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ccueil" sheetId="1" state="visible" r:id="rId3"/>
    <sheet name="Tableau de Bord" sheetId="2" state="visible" r:id="rId4"/>
    <sheet name="Pipeline" sheetId="3" state="visible" r:id="rId5"/>
    <sheet name="Skills" sheetId="4" state="visible" r:id="rId6"/>
    <sheet name="Formation Initiale" sheetId="5" state="visible" r:id="rId7"/>
    <sheet name="Agences &amp; Après-vente" sheetId="6" state="visible" r:id="rId8"/>
    <sheet name="Evermont" sheetId="7" state="visible" r:id="rId9"/>
    <sheet name="Planner" sheetId="8" state="visible" r:id="rId10"/>
    <sheet name="Mode d'emploi" sheetId="9" state="visible" r:id="rId11"/>
    <sheet name="OBJECTIVES" sheetId="11" state="visible" r:id="rId13"/>
    <sheet name="AGENTS" sheetId="12" state="hidden" r:id="rId14"/>
  </sheets>
  <definedNames>
    <definedName function="false" hidden="true" localSheetId="10" name="_xlnm._FilterDatabase" vbProcedure="false">AGENTS!$A$1:$F$190</definedName>
    <definedName function="false" hidden="true" localSheetId="5" name="_xlnm._FilterDatabase" vbProcedure="false">'Agences &amp; Après-vente'!$A$1:$J$1000</definedName>
    <definedName function="false" hidden="true" localSheetId="4" name="_xlnm._FilterDatabase" vbProcedure="false">'Formation Initiale'!$A$1:$AB$999</definedName>
    <definedName function="false" hidden="true" localSheetId="3" name="_xlnm._FilterDatabase" vbProcedure="false">Skills!$A$1:$M$999</definedName>
    <definedName function="false" hidden="true" localSheetId="6" name="_xlnm._FilterDatabase" vbProcedure="false">Evermont!$A$1:$X$1000</definedName>
  </definedNames>
  <calcPr iterateCount="100" refMode="A1" iterate="false" iterateDelta="0.001" fullCalcOnLoad="true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Arial"/>
            <family val="2"/>
          </rPr>
          <t xml:space="preserve">Tapez DONE ici une fois la formation terminée. Le ✓ Agences/Après-vente apparaît alors automatiquement sur Active + Skills.</t>
        </r>
      </text>
    </comment>
  </commentList>
</comments>
</file>

<file path=xl/sharedStrings.xml><?xml version="1.0" encoding="utf-8"?>
<sst xmlns="http://schemas.openxmlformats.org/spreadsheetml/2006/main" count="4135" uniqueCount="1088">
  <si>
    <t xml:space="preserve">HUB QUILL</t>
  </si>
  <si>
    <t xml:space="preserve">Suivi des formations des agents — Montréal &amp; Lisbonne</t>
  </si>
  <si>
    <t xml:space="preserve">EN UN COUP D’ŒIL</t>
  </si>
  <si>
    <t xml:space="preserve">Agents actifs</t>
  </si>
  <si>
    <t xml:space="preserve">Formations en cours</t>
  </si>
  <si>
    <t xml:space="preserve">Agents en arrêt (maladie)</t>
  </si>
  <si>
    <t xml:space="preserve">COMMENT ÇA MARCHE</t>
  </si>
  <si>
    <t xml:space="preserve">• Les cellules dorées sont à remplir ; tout ce qui est bleu est automatique.</t>
  </si>
  <si>
    <t xml:space="preserve">• Le Pipeline et le Tableau de bord se mettent à jour tout seuls.</t>
  </si>
  <si>
    <t xml:space="preserve">• Marquez une formation « Terminé » dans son onglet : elle quitte le Pipeline.</t>
  </si>
  <si>
    <t xml:space="preserve">QUE VOULEZ-VOUS FAIRE ?</t>
  </si>
  <si>
    <t xml:space="preserve">Astuce : Ctrl + clic (Cmd + clic sur Mac) sur un lien pour ouvrir l’onglet.</t>
  </si>
  <si>
    <t xml:space="preserve">LÉGENDE</t>
  </si>
  <si>
    <t xml:space="preserve">     Cellule à remplir (vous écrivez ici)</t>
  </si>
  <si>
    <t xml:space="preserve">     Cellule automatique — ne pas modifier</t>
  </si>
  <si>
    <t xml:space="preserve">Onglets : verts = saisie · bleus = automatiques · gris = références.</t>
  </si>
  <si>
    <t xml:space="preserve">HUB FORMATION QUILL  ·  TABLEAU DE BORD</t>
  </si>
  <si>
    <t xml:space="preserve">▌ INDICATEURS CLÉS</t>
  </si>
  <si>
    <t xml:space="preserve">AGENTS TOTAUX</t>
  </si>
  <si>
    <t xml:space="preserve">AGENTS MONTRÉAL</t>
  </si>
  <si>
    <t xml:space="preserve">AGENTS LISBONNE</t>
  </si>
  <si>
    <t xml:space="preserve">GROUPES ACTIFS</t>
  </si>
  <si>
    <t xml:space="preserve">EN FORMATION</t>
  </si>
  <si>
    <t xml:space="preserve"/>
  </si>
  <si>
    <t xml:space="preserve">▌ COUVERTURE DES COMPÉTENCES</t>
  </si>
  <si>
    <t xml:space="preserve">B2C</t>
  </si>
  <si>
    <t xml:space="preserve">B2B</t>
  </si>
  <si>
    <t xml:space="preserve">Agences B2C</t>
  </si>
  <si>
    <t xml:space="preserve">Agences B2B</t>
  </si>
  <si>
    <t xml:space="preserve">Après-vente B2C</t>
  </si>
  <si>
    <t xml:space="preserve">Après-vente B2B</t>
  </si>
  <si>
    <t xml:space="preserve">Evermont</t>
  </si>
  <si>
    <t xml:space="preserve">▌ STATUT DES FORMATIONS (Cumul: B2C/B2B + Agences/Après-vente + Evermont)</t>
  </si>
  <si>
    <t xml:space="preserve">TERMINÉES</t>
  </si>
  <si>
    <t xml:space="preserve">EN COURS</t>
  </si>
  <si>
    <t xml:space="preserve">À VENIR</t>
  </si>
  <si>
    <t xml:space="preserve">PROG. MOYENNE</t>
  </si>
  <si>
    <t xml:space="preserve">% AGENTS PRÊTS</t>
  </si>
  <si>
    <t xml:space="preserve">▌ RÉPARTITION PAR PRIORITÉ (Formations en cours)</t>
  </si>
  <si>
    <t xml:space="preserve">P1 — CRITIQUE
(retard ≥12%)</t>
  </si>
  <si>
    <t xml:space="preserve">P2 — À SURVEILLER
(retard ≥6%)</t>
  </si>
  <si>
    <t xml:space="preserve">P3 — SUR LA VOIE
(retard &lt;6%)</t>
  </si>
  <si>
    <t xml:space="preserve">NON ÉVALUÉS</t>
  </si>
  <si>
    <t xml:space="preserve">▌ RÉPARTITION PAR SITE</t>
  </si>
  <si>
    <t xml:space="preserve">Site</t>
  </si>
  <si>
    <t xml:space="preserve">Total Agents</t>
  </si>
  <si>
    <t xml:space="preserve">En Formation</t>
  </si>
  <si>
    <t xml:space="preserve">% Prêts</t>
  </si>
  <si>
    <t xml:space="preserve">🇨🇦 Montréal</t>
  </si>
  <si>
    <t xml:space="preserve">🇵🇹 Lisbonne</t>
  </si>
  <si>
    <t xml:space="preserve">🌍 TOTAL</t>
  </si>
  <si>
    <t xml:space="preserve">▌ STATUT PAR COHORTE (Formation initiale B2C/B2B)</t>
  </si>
  <si>
    <t xml:space="preserve">Cohorte</t>
  </si>
  <si>
    <t xml:space="preserve">Total</t>
  </si>
  <si>
    <t xml:space="preserve">Date début</t>
  </si>
  <si>
    <t xml:space="preserve">Date fin</t>
  </si>
  <si>
    <t xml:space="preserve">Terminés</t>
  </si>
  <si>
    <t xml:space="preserve">En cours</t>
  </si>
  <si>
    <t xml:space="preserve">% Complétion</t>
  </si>
  <si>
    <t xml:space="preserve">Prêts (Y)</t>
  </si>
  <si>
    <t xml:space="preserve">173</t>
  </si>
  <si>
    <t xml:space="preserve">174</t>
  </si>
  <si>
    <t xml:space="preserve">175</t>
  </si>
  <si>
    <t xml:space="preserve">176</t>
  </si>
  <si>
    <t xml:space="preserve">177</t>
  </si>
  <si>
    <t xml:space="preserve">OS1</t>
  </si>
  <si>
    <t xml:space="preserve">OS2</t>
  </si>
  <si>
    <t xml:space="preserve">OS3</t>
  </si>
  <si>
    <t xml:space="preserve">OS4</t>
  </si>
  <si>
    <t xml:space="preserve">OS5</t>
  </si>
  <si>
    <t xml:space="preserve">OS6</t>
  </si>
  <si>
    <t xml:space="preserve">OS7</t>
  </si>
  <si>
    <t xml:space="preserve">▌ ENTONNOIR DE PROGRESSION (Tous types de formation)</t>
  </si>
  <si>
    <t xml:space="preserve">Type de formation</t>
  </si>
  <si>
    <t xml:space="preserve">Sessions Total</t>
  </si>
  <si>
    <t xml:space="preserve">Terminées</t>
  </si>
  <si>
    <t xml:space="preserve">À venir</t>
  </si>
  <si>
    <t xml:space="preserve">Formation B2C/B2B</t>
  </si>
  <si>
    <t xml:space="preserve">Agences</t>
  </si>
  <si>
    <t xml:space="preserve">Après-vente</t>
  </si>
  <si>
    <t xml:space="preserve">▌ AGENTS POLYVALENTS (Nombre de compétences acquises)</t>
  </si>
  <si>
    <t xml:space="preserve">Nb compétences</t>
  </si>
  <si>
    <t xml:space="preserve">Agents</t>
  </si>
  <si>
    <t xml:space="preserve">%</t>
  </si>
  <si>
    <t xml:space="preserve">0 compétences</t>
  </si>
  <si>
    <t xml:space="preserve">1 compétence</t>
  </si>
  <si>
    <t xml:space="preserve">2 compétences</t>
  </si>
  <si>
    <t xml:space="preserve">3 compétences</t>
  </si>
  <si>
    <t xml:space="preserve">4 compétences</t>
  </si>
  <si>
    <t xml:space="preserve">5 compétences</t>
  </si>
  <si>
    <t xml:space="preserve">6 compétences</t>
  </si>
  <si>
    <t xml:space="preserve">7 compétences</t>
  </si>
  <si>
    <t xml:space="preserve">▌ DURÉE MOYENNE DE COMPLÉTION — jours ouvrés (hors Agences / Après-vente)</t>
  </si>
  <si>
    <t xml:space="preserve">FORMATION INITIALE
(B2C / B2B)</t>
  </si>
  <si>
    <t xml:space="preserve">INITIALE — MONTRÉAL</t>
  </si>
  <si>
    <t xml:space="preserve">INITIALE — LISBONNE</t>
  </si>
  <si>
    <t xml:space="preserve">▌ DÉTAIL Agences / Après-vente / Evermont (Statut courant)</t>
  </si>
  <si>
    <t xml:space="preserve">Formation</t>
  </si>
  <si>
    <t xml:space="preserve">Total sessions</t>
  </si>
  <si>
    <t xml:space="preserve">DONE</t>
  </si>
  <si>
    <t xml:space="preserve">Site Ulman</t>
  </si>
  <si>
    <t xml:space="preserve">Site Valmont</t>
  </si>
  <si>
    <t xml:space="preserve">Agences (toutes)</t>
  </si>
  <si>
    <t xml:space="preserve">Après-vente (toutes)</t>
  </si>
  <si>
    <t xml:space="preserve">💡 Astuce : Tous les chiffres se mettent à jour automatiquement quand vous modifiez Formation Initiale, Agences &amp; Après-vente ou Evermont.</t>
  </si>
  <si>
    <t xml:space="preserve">▌ EFFECTIFS &amp; ATTRITION  (Statut COS = départ)</t>
  </si>
  <si>
    <t xml:space="preserve">ACTIFS</t>
  </si>
  <si>
    <t xml:space="preserve">DÉPARTS (COS)</t>
  </si>
  <si>
    <t xml:space="preserve">EN ARRÊT (Maladie)</t>
  </si>
  <si>
    <t xml:space="preserve">TAUX D'ATTRITION</t>
  </si>
  <si>
    <t xml:space="preserve">EFFECTIF TOTAL</t>
  </si>
  <si>
    <t xml:space="preserve">▌ ATTRITION PAR GROUPE / COHORTE</t>
  </si>
  <si>
    <t xml:space="preserve">Groupe</t>
  </si>
  <si>
    <t xml:space="preserve">Effectif (roster)</t>
  </si>
  <si>
    <t xml:space="preserve">Actifs</t>
  </si>
  <si>
    <t xml:space="preserve">Départs (COS)</t>
  </si>
  <si>
    <t xml:space="preserve">Taux d'attrition</t>
  </si>
  <si>
    <t xml:space="preserve">Absences (jours)</t>
  </si>
  <si>
    <t xml:space="preserve">Sessions touchées</t>
  </si>
  <si>
    <t xml:space="preserve">Jours / actif</t>
  </si>
  <si>
    <t xml:space="preserve">OS8</t>
  </si>
  <si>
    <t xml:space="preserve">Général (sans cohorte)</t>
  </si>
  <si>
    <t xml:space="preserve">—</t>
  </si>
  <si>
    <t xml:space="preserve">TOTAL</t>
  </si>
  <si>
    <t xml:space="preserve">▌ INTÉGRITÉ DES DONNÉES  (ancrage sur Active + Skills)</t>
  </si>
  <si>
    <t xml:space="preserve">Vérification</t>
  </si>
  <si>
    <t xml:space="preserve">Nombre</t>
  </si>
  <si>
    <t xml:space="preserve">IDs orphelins — Formation Initiale (absents du roster)</t>
  </si>
  <si>
    <t xml:space="preserve">IDs orphelins — Agences &amp; Après-vente</t>
  </si>
  <si>
    <t xml:space="preserve">IDs orphelins — Evermont</t>
  </si>
  <si>
    <t xml:space="preserve">IDs en double dans le roster</t>
  </si>
  <si>
    <t xml:space="preserve">💡 Les lignes concernées sont signalées « ⚠ ID absent du roster » dans la colonne « Intégrité » de chaque onglet. Ajoutez la personne dans Active + Skills (avec son Lieu) pour résoudre.</t>
  </si>
  <si>
    <t xml:space="preserve">▌ ABSENCES  (Formation Initiale + Evermont)</t>
  </si>
  <si>
    <t xml:space="preserve">JOURS D'ABSENCE
(total)</t>
  </si>
  <si>
    <t xml:space="preserve">SESSIONS AVEC
ABSENCE</t>
  </si>
  <si>
    <t xml:space="preserve">JOURS — FORMATIONS
EN COURS</t>
  </si>
  <si>
    <t xml:space="preserve">MOY. JOURS /
SESSION TOUCHÉE</t>
  </si>
  <si>
    <t xml:space="preserve">JOURS — FORMATION
INITIALE</t>
  </si>
  <si>
    <t xml:space="preserve">JOURS — Evermont</t>
  </si>
  <si>
    <t xml:space="preserve">▌ ABSENCES PAR SITE</t>
  </si>
  <si>
    <t xml:space="preserve">Jours d'absence</t>
  </si>
  <si>
    <t xml:space="preserve">% du total</t>
  </si>
  <si>
    <t xml:space="preserve">▌ ABSENCES PAR TYPE DE FORMATION</t>
  </si>
  <si>
    <t xml:space="preserve">Moy. j./session</t>
  </si>
  <si>
    <t xml:space="preserve">Formation Initiale</t>
  </si>
  <si>
    <t xml:space="preserve">💡 Saisir le nombre de jours dans la colonne « Absences (jours) » des onglets Formation Initiale et Evermont — les indicateurs se mettent à jour automatiquement.</t>
  </si>
  <si>
    <t xml:space="preserve">PIPELINE — AGENTS EN FORMATION ACTIVE</t>
  </si>
  <si>
    <t xml:space="preserve">Formation en cours / à venir / à planifier · Auto-rempli depuis Active + Skills, Formation Initiale, Agences &amp; Après-vente, Evermont</t>
  </si>
  <si>
    <t xml:space="preserve">Filtres :</t>
  </si>
  <si>
    <t xml:space="preserve">Lieu</t>
  </si>
  <si>
    <t xml:space="preserve">Tous</t>
  </si>
  <si>
    <t xml:space="preserve">Statut</t>
  </si>
  <si>
    <t xml:space="preserve">ID</t>
  </si>
  <si>
    <t xml:space="preserve">Agent</t>
  </si>
  <si>
    <t xml:space="preserve">Jrs rest.</t>
  </si>
  <si>
    <t xml:space="preserve">HELPER (do not edit)</t>
  </si>
  <si>
    <t xml:space="preserve">ID Agent</t>
  </si>
  <si>
    <t xml:space="preserve">Prénom</t>
  </si>
  <si>
    <t xml:space="preserve">Nom</t>
  </si>
  <si>
    <t xml:space="preserve">Loisirs</t>
  </si>
  <si>
    <t xml:space="preserve">Quillridge B2C</t>
  </si>
  <si>
    <t xml:space="preserve">Quillridge B2B</t>
  </si>
  <si>
    <t xml:space="preserve">Quillridge Agences B2C</t>
  </si>
  <si>
    <t xml:space="preserve">Quillridge Agences B2B</t>
  </si>
  <si>
    <t xml:space="preserve">Quillridge Après-vente B2C</t>
  </si>
  <si>
    <t xml:space="preserve">Quillridge Après-vente B2B</t>
  </si>
  <si>
    <t xml:space="preserve">Quillridge Evermont</t>
  </si>
  <si>
    <t xml:space="preserve">Groupe (saisie)</t>
  </si>
  <si>
    <t xml:space="preserve">TR001</t>
  </si>
  <si>
    <t xml:space="preserve">Lumus</t>
  </si>
  <si>
    <t xml:space="preserve">Fenel Valeridge</t>
  </si>
  <si>
    <t xml:space="preserve">Montréal</t>
  </si>
  <si>
    <t xml:space="preserve">Active</t>
  </si>
  <si>
    <t xml:space="preserve">✓</t>
  </si>
  <si>
    <t xml:space="preserve">TR002</t>
  </si>
  <si>
    <t xml:space="preserve">Rownvale</t>
  </si>
  <si>
    <t xml:space="preserve">Rownmere Fenon Doric</t>
  </si>
  <si>
    <t xml:space="preserve">TR003</t>
  </si>
  <si>
    <t xml:space="preserve">Kendfield</t>
  </si>
  <si>
    <t xml:space="preserve">Moran Lumith</t>
  </si>
  <si>
    <t xml:space="preserve">TR004</t>
  </si>
  <si>
    <t xml:space="preserve">Brambrook Holtfield</t>
  </si>
  <si>
    <t xml:space="preserve">Marsfield</t>
  </si>
  <si>
    <t xml:space="preserve">TR005</t>
  </si>
  <si>
    <t xml:space="preserve">Dellshaw</t>
  </si>
  <si>
    <t xml:space="preserve">Gilith</t>
  </si>
  <si>
    <t xml:space="preserve">Lisbonne</t>
  </si>
  <si>
    <t xml:space="preserve">TR006</t>
  </si>
  <si>
    <t xml:space="preserve">Quillbrook</t>
  </si>
  <si>
    <t xml:space="preserve">Iverfield</t>
  </si>
  <si>
    <t xml:space="preserve">TR007</t>
  </si>
  <si>
    <t xml:space="preserve">Stelfield</t>
  </si>
  <si>
    <t xml:space="preserve">Dellmere Valegate</t>
  </si>
  <si>
    <t xml:space="preserve">TR008</t>
  </si>
  <si>
    <t xml:space="preserve">Corrfield</t>
  </si>
  <si>
    <t xml:space="preserve">Doric Ulmel</t>
  </si>
  <si>
    <t xml:space="preserve">COS</t>
  </si>
  <si>
    <t xml:space="preserve">TR009</t>
  </si>
  <si>
    <t xml:space="preserve">Ashgate</t>
  </si>
  <si>
    <t xml:space="preserve">Fairgate</t>
  </si>
  <si>
    <t xml:space="preserve">TR010</t>
  </si>
  <si>
    <t xml:space="preserve">Haxay Morys</t>
  </si>
  <si>
    <t xml:space="preserve">TR011</t>
  </si>
  <si>
    <t xml:space="preserve">Kelys Torea</t>
  </si>
  <si>
    <t xml:space="preserve">Corrmont</t>
  </si>
  <si>
    <t xml:space="preserve">TR012</t>
  </si>
  <si>
    <t xml:space="preserve">Marshaven</t>
  </si>
  <si>
    <t xml:space="preserve">Kendgate</t>
  </si>
  <si>
    <t xml:space="preserve">TR013</t>
  </si>
  <si>
    <t xml:space="preserve">Torus</t>
  </si>
  <si>
    <t xml:space="preserve">Joror</t>
  </si>
  <si>
    <t xml:space="preserve">TR014</t>
  </si>
  <si>
    <t xml:space="preserve">Selel</t>
  </si>
  <si>
    <t xml:space="preserve">Fairwood</t>
  </si>
  <si>
    <t xml:space="preserve">TR015</t>
  </si>
  <si>
    <t xml:space="preserve">Zanol</t>
  </si>
  <si>
    <t xml:space="preserve">Granshaw</t>
  </si>
  <si>
    <t xml:space="preserve">TR016</t>
  </si>
  <si>
    <t xml:space="preserve">Gilum</t>
  </si>
  <si>
    <t xml:space="preserve">Larkfield</t>
  </si>
  <si>
    <t xml:space="preserve">TR017</t>
  </si>
  <si>
    <t xml:space="preserve">Larkmont</t>
  </si>
  <si>
    <t xml:space="preserve">Yoran</t>
  </si>
  <si>
    <t xml:space="preserve">TR018</t>
  </si>
  <si>
    <t xml:space="preserve">Granbrook</t>
  </si>
  <si>
    <t xml:space="preserve">Yoril Corrfield</t>
  </si>
  <si>
    <t xml:space="preserve">TR019</t>
  </si>
  <si>
    <t xml:space="preserve">Kelar</t>
  </si>
  <si>
    <t xml:space="preserve">Dellbrook</t>
  </si>
  <si>
    <t xml:space="preserve">TR020</t>
  </si>
  <si>
    <t xml:space="preserve">Selan</t>
  </si>
  <si>
    <t xml:space="preserve">Dellgate</t>
  </si>
  <si>
    <t xml:space="preserve">TR021</t>
  </si>
  <si>
    <t xml:space="preserve">Nevus</t>
  </si>
  <si>
    <t xml:space="preserve">Kelir</t>
  </si>
  <si>
    <t xml:space="preserve">TR022</t>
  </si>
  <si>
    <t xml:space="preserve">Ulmys</t>
  </si>
  <si>
    <t xml:space="preserve">Corrvale</t>
  </si>
  <si>
    <t xml:space="preserve">TR023</t>
  </si>
  <si>
    <t xml:space="preserve">Granfield Granridge</t>
  </si>
  <si>
    <t xml:space="preserve">Torel</t>
  </si>
  <si>
    <t xml:space="preserve">TR024</t>
  </si>
  <si>
    <t xml:space="preserve">Dellfield</t>
  </si>
  <si>
    <t xml:space="preserve">Stelridge Haxel</t>
  </si>
  <si>
    <t xml:space="preserve">TR025</t>
  </si>
  <si>
    <t xml:space="preserve">Stelworth</t>
  </si>
  <si>
    <t xml:space="preserve">Stelridge Vorar</t>
  </si>
  <si>
    <t xml:space="preserve">TR026</t>
  </si>
  <si>
    <t xml:space="preserve">Selar</t>
  </si>
  <si>
    <t xml:space="preserve">Gilen</t>
  </si>
  <si>
    <t xml:space="preserve">TR027</t>
  </si>
  <si>
    <t xml:space="preserve">Everhaven</t>
  </si>
  <si>
    <t xml:space="preserve">Yorys</t>
  </si>
  <si>
    <t xml:space="preserve">TR028</t>
  </si>
  <si>
    <t xml:space="preserve">Larkmere</t>
  </si>
  <si>
    <t xml:space="preserve">Braon</t>
  </si>
  <si>
    <t xml:space="preserve">TR029</t>
  </si>
  <si>
    <t xml:space="preserve">Pelus</t>
  </si>
  <si>
    <t xml:space="preserve">Corrstone</t>
  </si>
  <si>
    <t xml:space="preserve">TR030</t>
  </si>
  <si>
    <t xml:space="preserve">Fenus</t>
  </si>
  <si>
    <t xml:space="preserve">Yoror</t>
  </si>
  <si>
    <t xml:space="preserve">TR031</t>
  </si>
  <si>
    <t xml:space="preserve">Lumor</t>
  </si>
  <si>
    <t xml:space="preserve">Holtmere</t>
  </si>
  <si>
    <t xml:space="preserve">TR032</t>
  </si>
  <si>
    <t xml:space="preserve">Ulmor</t>
  </si>
  <si>
    <t xml:space="preserve">Grangate</t>
  </si>
  <si>
    <t xml:space="preserve">TR033</t>
  </si>
  <si>
    <t xml:space="preserve">Fenith</t>
  </si>
  <si>
    <t xml:space="preserve">Calar</t>
  </si>
  <si>
    <t xml:space="preserve">TR034</t>
  </si>
  <si>
    <t xml:space="preserve">Toril</t>
  </si>
  <si>
    <t xml:space="preserve">Rhoys</t>
  </si>
  <si>
    <t xml:space="preserve">TR035</t>
  </si>
  <si>
    <t xml:space="preserve">Haxar</t>
  </si>
  <si>
    <t xml:space="preserve">Doril Everstone</t>
  </si>
  <si>
    <t xml:space="preserve">Maladie</t>
  </si>
  <si>
    <t xml:space="preserve">TR036</t>
  </si>
  <si>
    <t xml:space="preserve">Rowndale</t>
  </si>
  <si>
    <t xml:space="preserve">Joren</t>
  </si>
  <si>
    <t xml:space="preserve">TR037</t>
  </si>
  <si>
    <t xml:space="preserve">Ivervale</t>
  </si>
  <si>
    <t xml:space="preserve">Ashridge</t>
  </si>
  <si>
    <t xml:space="preserve">TR038</t>
  </si>
  <si>
    <t xml:space="preserve">Brammere</t>
  </si>
  <si>
    <t xml:space="preserve">Lumic</t>
  </si>
  <si>
    <t xml:space="preserve">TR039</t>
  </si>
  <si>
    <t xml:space="preserve">Kelon Ulmar</t>
  </si>
  <si>
    <t xml:space="preserve">Norridge</t>
  </si>
  <si>
    <t xml:space="preserve">TR040</t>
  </si>
  <si>
    <t xml:space="preserve">Yorol</t>
  </si>
  <si>
    <t xml:space="preserve">Fenar</t>
  </si>
  <si>
    <t xml:space="preserve">TR041</t>
  </si>
  <si>
    <t xml:space="preserve">Thorncroft</t>
  </si>
  <si>
    <t xml:space="preserve">Zanon Thornfield</t>
  </si>
  <si>
    <t xml:space="preserve">TR042</t>
  </si>
  <si>
    <t xml:space="preserve">Kelic</t>
  </si>
  <si>
    <t xml:space="preserve">Corrwood</t>
  </si>
  <si>
    <t xml:space="preserve">TR043</t>
  </si>
  <si>
    <t xml:space="preserve">Calol</t>
  </si>
  <si>
    <t xml:space="preserve">Calel</t>
  </si>
  <si>
    <t xml:space="preserve">TR044</t>
  </si>
  <si>
    <t xml:space="preserve">Rownbrook</t>
  </si>
  <si>
    <t xml:space="preserve">Orinar</t>
  </si>
  <si>
    <t xml:space="preserve">TR045</t>
  </si>
  <si>
    <t xml:space="preserve">Bramwood</t>
  </si>
  <si>
    <t xml:space="preserve">Kendhaven</t>
  </si>
  <si>
    <t xml:space="preserve">TR046</t>
  </si>
  <si>
    <t xml:space="preserve">Kelea</t>
  </si>
  <si>
    <t xml:space="preserve">Ashshaw</t>
  </si>
  <si>
    <t xml:space="preserve">TR047</t>
  </si>
  <si>
    <t xml:space="preserve">Evergate</t>
  </si>
  <si>
    <t xml:space="preserve">Rownfield</t>
  </si>
  <si>
    <t xml:space="preserve">TR048</t>
  </si>
  <si>
    <t xml:space="preserve">Yoren</t>
  </si>
  <si>
    <t xml:space="preserve">Selon</t>
  </si>
  <si>
    <t xml:space="preserve">TR049</t>
  </si>
  <si>
    <t xml:space="preserve">Fenol</t>
  </si>
  <si>
    <t xml:space="preserve">Corrcroft</t>
  </si>
  <si>
    <t xml:space="preserve">TR050</t>
  </si>
  <si>
    <t xml:space="preserve">Kelor</t>
  </si>
  <si>
    <t xml:space="preserve">Stelwood</t>
  </si>
  <si>
    <t xml:space="preserve">TR051</t>
  </si>
  <si>
    <t xml:space="preserve">Ashcroft</t>
  </si>
  <si>
    <t xml:space="preserve">Pelan</t>
  </si>
  <si>
    <t xml:space="preserve">TR052</t>
  </si>
  <si>
    <t xml:space="preserve">Gilon</t>
  </si>
  <si>
    <t xml:space="preserve">Marsstone Dorol</t>
  </si>
  <si>
    <t xml:space="preserve">TR053</t>
  </si>
  <si>
    <t xml:space="preserve">Stelcroft</t>
  </si>
  <si>
    <t xml:space="preserve">Jorea Calon</t>
  </si>
  <si>
    <t xml:space="preserve">TR054</t>
  </si>
  <si>
    <t xml:space="preserve">Pykewood</t>
  </si>
  <si>
    <t xml:space="preserve">Stelshaw Doric</t>
  </si>
  <si>
    <t xml:space="preserve">TR055</t>
  </si>
  <si>
    <t xml:space="preserve">Quillhaven</t>
  </si>
  <si>
    <t xml:space="preserve">Larkworth</t>
  </si>
  <si>
    <t xml:space="preserve">TR056</t>
  </si>
  <si>
    <t xml:space="preserve">Marsdale</t>
  </si>
  <si>
    <t xml:space="preserve">Valevale</t>
  </si>
  <si>
    <t xml:space="preserve">TR057</t>
  </si>
  <si>
    <t xml:space="preserve">Ivercroft</t>
  </si>
  <si>
    <t xml:space="preserve">Corrmere</t>
  </si>
  <si>
    <t xml:space="preserve">TR058</t>
  </si>
  <si>
    <t xml:space="preserve">Haxea Corrfield</t>
  </si>
  <si>
    <t xml:space="preserve">Corrgate</t>
  </si>
  <si>
    <t xml:space="preserve">TR059</t>
  </si>
  <si>
    <t xml:space="preserve">Fairmere</t>
  </si>
  <si>
    <t xml:space="preserve">Stelhaven</t>
  </si>
  <si>
    <t xml:space="preserve">TR060</t>
  </si>
  <si>
    <t xml:space="preserve">Stelvale</t>
  </si>
  <si>
    <t xml:space="preserve">Valebrook</t>
  </si>
  <si>
    <t xml:space="preserve">TR061</t>
  </si>
  <si>
    <t xml:space="preserve">Bramworth</t>
  </si>
  <si>
    <t xml:space="preserve">Vorys</t>
  </si>
  <si>
    <t xml:space="preserve">TR062</t>
  </si>
  <si>
    <t xml:space="preserve">Braan</t>
  </si>
  <si>
    <t xml:space="preserve">Gilil</t>
  </si>
  <si>
    <t xml:space="preserve">TR063</t>
  </si>
  <si>
    <t xml:space="preserve">Jorus</t>
  </si>
  <si>
    <t xml:space="preserve">Marsgate</t>
  </si>
  <si>
    <t xml:space="preserve">TR064</t>
  </si>
  <si>
    <t xml:space="preserve">Calus</t>
  </si>
  <si>
    <t xml:space="preserve">Braor</t>
  </si>
  <si>
    <t xml:space="preserve">TR065</t>
  </si>
  <si>
    <t xml:space="preserve">Vorol</t>
  </si>
  <si>
    <t xml:space="preserve">Quenir</t>
  </si>
  <si>
    <t xml:space="preserve">TR066</t>
  </si>
  <si>
    <t xml:space="preserve">Norshaw</t>
  </si>
  <si>
    <t xml:space="preserve">TR067</t>
  </si>
  <si>
    <t xml:space="preserve">Orinir</t>
  </si>
  <si>
    <t xml:space="preserve">Quillmere</t>
  </si>
  <si>
    <t xml:space="preserve">TR068</t>
  </si>
  <si>
    <t xml:space="preserve">Voray</t>
  </si>
  <si>
    <t xml:space="preserve">Granmont</t>
  </si>
  <si>
    <t xml:space="preserve">TR069</t>
  </si>
  <si>
    <t xml:space="preserve">Selil</t>
  </si>
  <si>
    <t xml:space="preserve">Holtmont</t>
  </si>
  <si>
    <t xml:space="preserve">TR070</t>
  </si>
  <si>
    <t xml:space="preserve">Pykemere</t>
  </si>
  <si>
    <t xml:space="preserve">Holtmont Orinor</t>
  </si>
  <si>
    <t xml:space="preserve">TR071</t>
  </si>
  <si>
    <t xml:space="preserve">Fenil</t>
  </si>
  <si>
    <t xml:space="preserve">Zanen</t>
  </si>
  <si>
    <t xml:space="preserve">TR072</t>
  </si>
  <si>
    <t xml:space="preserve">Bramridge</t>
  </si>
  <si>
    <t xml:space="preserve">Pelol</t>
  </si>
  <si>
    <t xml:space="preserve">TR073</t>
  </si>
  <si>
    <t xml:space="preserve">Brammont</t>
  </si>
  <si>
    <t xml:space="preserve">Holtvale</t>
  </si>
  <si>
    <t xml:space="preserve">TR074</t>
  </si>
  <si>
    <t xml:space="preserve">Marsridge</t>
  </si>
  <si>
    <t xml:space="preserve">Holtgate</t>
  </si>
  <si>
    <t xml:space="preserve">TR075</t>
  </si>
  <si>
    <t xml:space="preserve">Valeworth</t>
  </si>
  <si>
    <t xml:space="preserve">Nevol</t>
  </si>
  <si>
    <t xml:space="preserve">TR076</t>
  </si>
  <si>
    <t xml:space="preserve">Thornwood</t>
  </si>
  <si>
    <t xml:space="preserve">TR077</t>
  </si>
  <si>
    <t xml:space="preserve">Brail</t>
  </si>
  <si>
    <t xml:space="preserve">Orinay</t>
  </si>
  <si>
    <t xml:space="preserve">TR078</t>
  </si>
  <si>
    <t xml:space="preserve">Wesith</t>
  </si>
  <si>
    <t xml:space="preserve">Kendworth</t>
  </si>
  <si>
    <t xml:space="preserve">TR079</t>
  </si>
  <si>
    <t xml:space="preserve">Pykedale</t>
  </si>
  <si>
    <t xml:space="preserve">Ulmay</t>
  </si>
  <si>
    <t xml:space="preserve">TR080</t>
  </si>
  <si>
    <t xml:space="preserve">Marsbrook</t>
  </si>
  <si>
    <t xml:space="preserve">Quenic</t>
  </si>
  <si>
    <t xml:space="preserve">TR081</t>
  </si>
  <si>
    <t xml:space="preserve">Gilel</t>
  </si>
  <si>
    <t xml:space="preserve">Moron</t>
  </si>
  <si>
    <t xml:space="preserve">TR082</t>
  </si>
  <si>
    <t xml:space="preserve">Calea</t>
  </si>
  <si>
    <t xml:space="preserve">Bramvale</t>
  </si>
  <si>
    <t xml:space="preserve">TR083</t>
  </si>
  <si>
    <t xml:space="preserve">Kendmere</t>
  </si>
  <si>
    <t xml:space="preserve">Selor</t>
  </si>
  <si>
    <t xml:space="preserve">TR084</t>
  </si>
  <si>
    <t xml:space="preserve">Vorith</t>
  </si>
  <si>
    <t xml:space="preserve">Norfield</t>
  </si>
  <si>
    <t xml:space="preserve">TR085</t>
  </si>
  <si>
    <t xml:space="preserve">Larkshaw</t>
  </si>
  <si>
    <t xml:space="preserve">Moric</t>
  </si>
  <si>
    <t xml:space="preserve">TR086</t>
  </si>
  <si>
    <t xml:space="preserve">Pykehaven</t>
  </si>
  <si>
    <t xml:space="preserve">Granmere</t>
  </si>
  <si>
    <t xml:space="preserve">TR087</t>
  </si>
  <si>
    <t xml:space="preserve">Iverridge</t>
  </si>
  <si>
    <t xml:space="preserve">Wesol</t>
  </si>
  <si>
    <t xml:space="preserve">TR088</t>
  </si>
  <si>
    <t xml:space="preserve">Pykeworth</t>
  </si>
  <si>
    <t xml:space="preserve">Le</t>
  </si>
  <si>
    <t xml:space="preserve">TR089</t>
  </si>
  <si>
    <t xml:space="preserve">Doran</t>
  </si>
  <si>
    <t xml:space="preserve">Voren Voren</t>
  </si>
  <si>
    <t xml:space="preserve">TR090</t>
  </si>
  <si>
    <t xml:space="preserve">Gilar</t>
  </si>
  <si>
    <t xml:space="preserve">Lumar</t>
  </si>
  <si>
    <t xml:space="preserve">TR091</t>
  </si>
  <si>
    <t xml:space="preserve">Gilan</t>
  </si>
  <si>
    <t xml:space="preserve">Rownshaw</t>
  </si>
  <si>
    <t xml:space="preserve">TR092</t>
  </si>
  <si>
    <t xml:space="preserve">Pykestone</t>
  </si>
  <si>
    <t xml:space="preserve">TR093</t>
  </si>
  <si>
    <t xml:space="preserve">Holtshaw</t>
  </si>
  <si>
    <t xml:space="preserve">Haxor</t>
  </si>
  <si>
    <t xml:space="preserve">TR094</t>
  </si>
  <si>
    <t xml:space="preserve">Braith</t>
  </si>
  <si>
    <t xml:space="preserve">Calith</t>
  </si>
  <si>
    <t xml:space="preserve">TR095</t>
  </si>
  <si>
    <t xml:space="preserve">Quenan</t>
  </si>
  <si>
    <t xml:space="preserve">Quillwood</t>
  </si>
  <si>
    <t xml:space="preserve">TR096</t>
  </si>
  <si>
    <t xml:space="preserve">Norstone</t>
  </si>
  <si>
    <t xml:space="preserve">TR097</t>
  </si>
  <si>
    <t xml:space="preserve">Valen</t>
  </si>
  <si>
    <t xml:space="preserve">Lumol</t>
  </si>
  <si>
    <t xml:space="preserve">TR098</t>
  </si>
  <si>
    <t xml:space="preserve">Holtstone</t>
  </si>
  <si>
    <t xml:space="preserve">Gilir</t>
  </si>
  <si>
    <t xml:space="preserve">TR099</t>
  </si>
  <si>
    <t xml:space="preserve">Haxay</t>
  </si>
  <si>
    <t xml:space="preserve">Corrfield Dellstone</t>
  </si>
  <si>
    <t xml:space="preserve">TR100</t>
  </si>
  <si>
    <t xml:space="preserve">Ashdale</t>
  </si>
  <si>
    <t xml:space="preserve">Valedale</t>
  </si>
  <si>
    <t xml:space="preserve">TR101</t>
  </si>
  <si>
    <t xml:space="preserve">Wesar</t>
  </si>
  <si>
    <t xml:space="preserve">Selys</t>
  </si>
  <si>
    <t xml:space="preserve">TR102</t>
  </si>
  <si>
    <t xml:space="preserve">Orinus Jorith</t>
  </si>
  <si>
    <t xml:space="preserve">TR103</t>
  </si>
  <si>
    <t xml:space="preserve">Kelan</t>
  </si>
  <si>
    <t xml:space="preserve">TR104</t>
  </si>
  <si>
    <t xml:space="preserve">Haxus</t>
  </si>
  <si>
    <t xml:space="preserve">Corrridge</t>
  </si>
  <si>
    <t xml:space="preserve">TR105</t>
  </si>
  <si>
    <t xml:space="preserve">Dellridge</t>
  </si>
  <si>
    <t xml:space="preserve">Larkbrook</t>
  </si>
  <si>
    <t xml:space="preserve">TR106</t>
  </si>
  <si>
    <t xml:space="preserve">Pelic</t>
  </si>
  <si>
    <t xml:space="preserve">Doren</t>
  </si>
  <si>
    <t xml:space="preserve">TR107</t>
  </si>
  <si>
    <t xml:space="preserve">Ivershaw</t>
  </si>
  <si>
    <t xml:space="preserve">Iverworth</t>
  </si>
  <si>
    <t xml:space="preserve">TR108</t>
  </si>
  <si>
    <t xml:space="preserve">Bramdale</t>
  </si>
  <si>
    <t xml:space="preserve">Pelum</t>
  </si>
  <si>
    <t xml:space="preserve">TR109</t>
  </si>
  <si>
    <t xml:space="preserve">Lumum</t>
  </si>
  <si>
    <t xml:space="preserve">Valemont Norbrook</t>
  </si>
  <si>
    <t xml:space="preserve">TR110</t>
  </si>
  <si>
    <t xml:space="preserve">Everworth</t>
  </si>
  <si>
    <t xml:space="preserve">Voran</t>
  </si>
  <si>
    <t xml:space="preserve">TR111</t>
  </si>
  <si>
    <t xml:space="preserve">Bramhaven Lumil</t>
  </si>
  <si>
    <t xml:space="preserve">Steldale</t>
  </si>
  <si>
    <t xml:space="preserve">TR112</t>
  </si>
  <si>
    <t xml:space="preserve">Pelys</t>
  </si>
  <si>
    <t xml:space="preserve">Calic</t>
  </si>
  <si>
    <t xml:space="preserve">TR113</t>
  </si>
  <si>
    <t xml:space="preserve">Dellworth</t>
  </si>
  <si>
    <t xml:space="preserve">Joric</t>
  </si>
  <si>
    <t xml:space="preserve">TR114</t>
  </si>
  <si>
    <t xml:space="preserve">Kelol</t>
  </si>
  <si>
    <t xml:space="preserve">Thornridge</t>
  </si>
  <si>
    <t xml:space="preserve">TR115</t>
  </si>
  <si>
    <t xml:space="preserve">Orinon</t>
  </si>
  <si>
    <t xml:space="preserve">Quenar</t>
  </si>
  <si>
    <t xml:space="preserve">TR116</t>
  </si>
  <si>
    <t xml:space="preserve">Zanus</t>
  </si>
  <si>
    <t xml:space="preserve">Ashhaven</t>
  </si>
  <si>
    <t xml:space="preserve">TR117</t>
  </si>
  <si>
    <t xml:space="preserve">Orinum</t>
  </si>
  <si>
    <t xml:space="preserve">Valecroft</t>
  </si>
  <si>
    <t xml:space="preserve">TR118</t>
  </si>
  <si>
    <t xml:space="preserve">Kelus</t>
  </si>
  <si>
    <t xml:space="preserve">Corrworth</t>
  </si>
  <si>
    <t xml:space="preserve">TR119</t>
  </si>
  <si>
    <t xml:space="preserve">Dorys</t>
  </si>
  <si>
    <t xml:space="preserve">TR120</t>
  </si>
  <si>
    <t xml:space="preserve">Pykevale Quillvale</t>
  </si>
  <si>
    <t xml:space="preserve">Iverdale</t>
  </si>
  <si>
    <t xml:space="preserve">TR121</t>
  </si>
  <si>
    <t xml:space="preserve">Bramcroft</t>
  </si>
  <si>
    <t xml:space="preserve">TR122</t>
  </si>
  <si>
    <t xml:space="preserve">Wrendale</t>
  </si>
  <si>
    <t xml:space="preserve">Wesum</t>
  </si>
  <si>
    <t xml:space="preserve">TR123</t>
  </si>
  <si>
    <t xml:space="preserve">Stelmere</t>
  </si>
  <si>
    <t xml:space="preserve">Wrenbrook</t>
  </si>
  <si>
    <t xml:space="preserve">TR124</t>
  </si>
  <si>
    <t xml:space="preserve">Vorel</t>
  </si>
  <si>
    <t xml:space="preserve">Fenor</t>
  </si>
  <si>
    <t xml:space="preserve">TR125</t>
  </si>
  <si>
    <t xml:space="preserve">Fenic</t>
  </si>
  <si>
    <t xml:space="preserve">TR126</t>
  </si>
  <si>
    <t xml:space="preserve">Pelea</t>
  </si>
  <si>
    <t xml:space="preserve">Yorir</t>
  </si>
  <si>
    <t xml:space="preserve">TR127</t>
  </si>
  <si>
    <t xml:space="preserve">Haxir</t>
  </si>
  <si>
    <t xml:space="preserve">Orinel</t>
  </si>
  <si>
    <t xml:space="preserve">TR128</t>
  </si>
  <si>
    <t xml:space="preserve">Thornhaven</t>
  </si>
  <si>
    <t xml:space="preserve">Norgate</t>
  </si>
  <si>
    <t xml:space="preserve">TR129</t>
  </si>
  <si>
    <t xml:space="preserve">Haxil</t>
  </si>
  <si>
    <t xml:space="preserve">Dellhaven</t>
  </si>
  <si>
    <t xml:space="preserve">TR130</t>
  </si>
  <si>
    <t xml:space="preserve">Valemere</t>
  </si>
  <si>
    <t xml:space="preserve">Wesea</t>
  </si>
  <si>
    <t xml:space="preserve">TR131</t>
  </si>
  <si>
    <t xml:space="preserve">Yorel</t>
  </si>
  <si>
    <t xml:space="preserve">Dellvale</t>
  </si>
  <si>
    <t xml:space="preserve">TR132</t>
  </si>
  <si>
    <t xml:space="preserve">Marsmere</t>
  </si>
  <si>
    <t xml:space="preserve">Stelgate</t>
  </si>
  <si>
    <t xml:space="preserve">TR133</t>
  </si>
  <si>
    <t xml:space="preserve">Ulmith</t>
  </si>
  <si>
    <t xml:space="preserve">Larkvale</t>
  </si>
  <si>
    <t xml:space="preserve">TR134</t>
  </si>
  <si>
    <t xml:space="preserve">Norcroft</t>
  </si>
  <si>
    <t xml:space="preserve">Yorea</t>
  </si>
  <si>
    <t xml:space="preserve">TR135</t>
  </si>
  <si>
    <t xml:space="preserve">Brael</t>
  </si>
  <si>
    <t xml:space="preserve">Larkwood Nevil Nevic</t>
  </si>
  <si>
    <t xml:space="preserve">TR136</t>
  </si>
  <si>
    <t xml:space="preserve">Grandale</t>
  </si>
  <si>
    <t xml:space="preserve">Vorus Torith Nevir</t>
  </si>
  <si>
    <t xml:space="preserve">TR137</t>
  </si>
  <si>
    <t xml:space="preserve">Wrenshaw</t>
  </si>
  <si>
    <t xml:space="preserve">Orinan</t>
  </si>
  <si>
    <t xml:space="preserve">TR138</t>
  </si>
  <si>
    <t xml:space="preserve">Fenum</t>
  </si>
  <si>
    <t xml:space="preserve">TR139</t>
  </si>
  <si>
    <t xml:space="preserve">Faircroft</t>
  </si>
  <si>
    <t xml:space="preserve">Fenir</t>
  </si>
  <si>
    <t xml:space="preserve">TR140</t>
  </si>
  <si>
    <t xml:space="preserve">Kelen</t>
  </si>
  <si>
    <t xml:space="preserve">Toric</t>
  </si>
  <si>
    <t xml:space="preserve">TR141</t>
  </si>
  <si>
    <t xml:space="preserve">Kelil</t>
  </si>
  <si>
    <t xml:space="preserve">Marsvale</t>
  </si>
  <si>
    <t xml:space="preserve">TR142</t>
  </si>
  <si>
    <t xml:space="preserve">Thornmont</t>
  </si>
  <si>
    <t xml:space="preserve">Nevar</t>
  </si>
  <si>
    <t xml:space="preserve">TR143</t>
  </si>
  <si>
    <t xml:space="preserve">Pelay</t>
  </si>
  <si>
    <t xml:space="preserve">Valewood</t>
  </si>
  <si>
    <t xml:space="preserve">TR144</t>
  </si>
  <si>
    <t xml:space="preserve">Ashbrook</t>
  </si>
  <si>
    <t xml:space="preserve">TR145</t>
  </si>
  <si>
    <t xml:space="preserve">Rhool</t>
  </si>
  <si>
    <t xml:space="preserve">TR146</t>
  </si>
  <si>
    <t xml:space="preserve">Moror</t>
  </si>
  <si>
    <t xml:space="preserve">Vorir</t>
  </si>
  <si>
    <t xml:space="preserve">TR147</t>
  </si>
  <si>
    <t xml:space="preserve">Luman</t>
  </si>
  <si>
    <t xml:space="preserve">Ulmen</t>
  </si>
  <si>
    <t xml:space="preserve">TR148</t>
  </si>
  <si>
    <t xml:space="preserve">Thorndale</t>
  </si>
  <si>
    <t xml:space="preserve">Holthaven</t>
  </si>
  <si>
    <t xml:space="preserve">TR149</t>
  </si>
  <si>
    <t xml:space="preserve">Holtdale</t>
  </si>
  <si>
    <t xml:space="preserve">Wrenmere</t>
  </si>
  <si>
    <t xml:space="preserve">TR150</t>
  </si>
  <si>
    <t xml:space="preserve">Wesor</t>
  </si>
  <si>
    <t xml:space="preserve">TR151</t>
  </si>
  <si>
    <t xml:space="preserve">Nevan</t>
  </si>
  <si>
    <t xml:space="preserve">Gilys</t>
  </si>
  <si>
    <t xml:space="preserve">TR152</t>
  </si>
  <si>
    <t xml:space="preserve">Marsworth</t>
  </si>
  <si>
    <t xml:space="preserve">TR153</t>
  </si>
  <si>
    <t xml:space="preserve">Larkdale</t>
  </si>
  <si>
    <t xml:space="preserve">TR154</t>
  </si>
  <si>
    <t xml:space="preserve">Granhaven</t>
  </si>
  <si>
    <t xml:space="preserve">Iverwood</t>
  </si>
  <si>
    <t xml:space="preserve">TR155</t>
  </si>
  <si>
    <t xml:space="preserve">Fairvale Rhoel</t>
  </si>
  <si>
    <t xml:space="preserve">Yoric</t>
  </si>
  <si>
    <t xml:space="preserve">TR156</t>
  </si>
  <si>
    <t xml:space="preserve">Fairstone</t>
  </si>
  <si>
    <t xml:space="preserve">TR157</t>
  </si>
  <si>
    <t xml:space="preserve">Stelstone</t>
  </si>
  <si>
    <t xml:space="preserve">Pykegate</t>
  </si>
  <si>
    <t xml:space="preserve">TR158</t>
  </si>
  <si>
    <t xml:space="preserve">Rownwood</t>
  </si>
  <si>
    <t xml:space="preserve">Dellmont</t>
  </si>
  <si>
    <t xml:space="preserve">TR159</t>
  </si>
  <si>
    <t xml:space="preserve">Corrdale</t>
  </si>
  <si>
    <t xml:space="preserve">Zanor</t>
  </si>
  <si>
    <t xml:space="preserve">TR160</t>
  </si>
  <si>
    <t xml:space="preserve">Pykeshaw</t>
  </si>
  <si>
    <t xml:space="preserve">Pelir</t>
  </si>
  <si>
    <t xml:space="preserve">TR161</t>
  </si>
  <si>
    <t xml:space="preserve">Kendshaw Zanum</t>
  </si>
  <si>
    <t xml:space="preserve">Thornbrook</t>
  </si>
  <si>
    <t xml:space="preserve">TR162</t>
  </si>
  <si>
    <t xml:space="preserve">Kendstone</t>
  </si>
  <si>
    <t xml:space="preserve">Marsshaw</t>
  </si>
  <si>
    <t xml:space="preserve">Rhoea</t>
  </si>
  <si>
    <t xml:space="preserve">Thornshaw</t>
  </si>
  <si>
    <t xml:space="preserve">Weson</t>
  </si>
  <si>
    <t xml:space="preserve">Pykefield</t>
  </si>
  <si>
    <t xml:space="preserve">Holtmont Rhous</t>
  </si>
  <si>
    <t xml:space="preserve">Dorum</t>
  </si>
  <si>
    <t xml:space="preserve">Norwood Torol</t>
  </si>
  <si>
    <t xml:space="preserve">Holtridge Ivermont</t>
  </si>
  <si>
    <t xml:space="preserve">Wesil</t>
  </si>
  <si>
    <t xml:space="preserve">Orinen</t>
  </si>
  <si>
    <t xml:space="preserve">Ashwood</t>
  </si>
  <si>
    <t xml:space="preserve">Zanay</t>
  </si>
  <si>
    <t xml:space="preserve">Dorel</t>
  </si>
  <si>
    <t xml:space="preserve">Wrenhaven</t>
  </si>
  <si>
    <t xml:space="preserve">Moril Wesus</t>
  </si>
  <si>
    <t xml:space="preserve">Wrenfield</t>
  </si>
  <si>
    <t xml:space="preserve">Zanan</t>
  </si>
  <si>
    <t xml:space="preserve">Ashmont</t>
  </si>
  <si>
    <t xml:space="preserve">Kendwood</t>
  </si>
  <si>
    <t xml:space="preserve">Marsmont</t>
  </si>
  <si>
    <t xml:space="preserve">Wesan</t>
  </si>
  <si>
    <t xml:space="preserve">Lumon Quillcroft</t>
  </si>
  <si>
    <t xml:space="preserve">Stelridge Gilus</t>
  </si>
  <si>
    <t xml:space="preserve">Gilor</t>
  </si>
  <si>
    <t xml:space="preserve">Stelbrook</t>
  </si>
  <si>
    <t xml:space="preserve">Rhoic</t>
  </si>
  <si>
    <t xml:space="preserve">Iverstone</t>
  </si>
  <si>
    <t xml:space="preserve">Corrfield Haxay</t>
  </si>
  <si>
    <t xml:space="preserve">Quenen</t>
  </si>
  <si>
    <t xml:space="preserve">Type cohorte</t>
  </si>
  <si>
    <t xml:space="preserve">Durée</t>
  </si>
  <si>
    <t xml:space="preserve">Date de début</t>
  </si>
  <si>
    <t xml:space="preserve">Date de fin</t>
  </si>
  <si>
    <t xml:space="preserve">Date terminée</t>
  </si>
  <si>
    <t xml:space="preserve">Jours fériés</t>
  </si>
  <si>
    <t xml:space="preserve">JOUR</t>
  </si>
  <si>
    <t xml:space="preserve">Jours restants</t>
  </si>
  <si>
    <t xml:space="preserve">Pourcentage</t>
  </si>
  <si>
    <t xml:space="preserve">Objectif</t>
  </si>
  <si>
    <t xml:space="preserve">Écart de l'objectif</t>
  </si>
  <si>
    <t xml:space="preserve">Priorité</t>
  </si>
  <si>
    <t xml:space="preserve">Priorité réelle</t>
  </si>
  <si>
    <t xml:space="preserve">Paiement échelonné</t>
  </si>
  <si>
    <t xml:space="preserve">Vérification poste</t>
  </si>
  <si>
    <t xml:space="preserve">Séance observation</t>
  </si>
  <si>
    <t xml:space="preserve">Prêt (O/N)</t>
  </si>
  <si>
    <t xml:space="preserve">Prise d'appels encadrée</t>
  </si>
  <si>
    <t xml:space="preserve">Notes</t>
  </si>
  <si>
    <t xml:space="preserve">Durée réelle (j. ouvrés)</t>
  </si>
  <si>
    <t xml:space="preserve">Intégrité</t>
  </si>
  <si>
    <t xml:space="preserve">X</t>
  </si>
  <si>
    <t xml:space="preserve">N/A</t>
  </si>
  <si>
    <t xml:space="preserve">Y</t>
  </si>
  <si>
    <t xml:space="preserve">Fait</t>
  </si>
  <si>
    <t xml:space="preserve">SENT</t>
  </si>
  <si>
    <t xml:space="preserve">P1</t>
  </si>
  <si>
    <t xml:space="preserve">Terminé</t>
  </si>
  <si>
    <t xml:space="preserve">SENT 1-JUN26</t>
  </si>
  <si>
    <t xml:space="preserve">DONE 1-JUN26</t>
  </si>
  <si>
    <t xml:space="preserve">N</t>
  </si>
  <si>
    <t xml:space="preserve">11 JUN 13:30-16:00</t>
  </si>
  <si>
    <t xml:space="preserve">DONE 29-MAY26</t>
  </si>
  <si>
    <t xml:space="preserve">8-9 JUN</t>
  </si>
  <si>
    <t xml:space="preserve">11 JUN 10:15-12:45</t>
  </si>
  <si>
    <t xml:space="preserve">Rownwood Dellmont</t>
  </si>
  <si>
    <t xml:space="preserve">TR163</t>
  </si>
  <si>
    <t xml:space="preserve">RET</t>
  </si>
  <si>
    <t xml:space="preserve">P3</t>
  </si>
  <si>
    <t xml:space="preserve">TR164</t>
  </si>
  <si>
    <t xml:space="preserve">TR165</t>
  </si>
  <si>
    <t xml:space="preserve">TR166</t>
  </si>
  <si>
    <t xml:space="preserve">TR167</t>
  </si>
  <si>
    <t xml:space="preserve">TR168</t>
  </si>
  <si>
    <t xml:space="preserve">TR169</t>
  </si>
  <si>
    <t xml:space="preserve">TR170</t>
  </si>
  <si>
    <t xml:space="preserve">TR171</t>
  </si>
  <si>
    <t xml:space="preserve">TR172</t>
  </si>
  <si>
    <t xml:space="preserve">TR173</t>
  </si>
  <si>
    <t xml:space="preserve">TR174</t>
  </si>
  <si>
    <t xml:space="preserve">TR175</t>
  </si>
  <si>
    <t xml:space="preserve">TR176</t>
  </si>
  <si>
    <t xml:space="preserve">TR177</t>
  </si>
  <si>
    <t xml:space="preserve">Compétence</t>
  </si>
  <si>
    <t xml:space="preserve">Jours</t>
  </si>
  <si>
    <t xml:space="preserve">Agences et Après-vente</t>
  </si>
  <si>
    <t xml:space="preserve">Dates : 06MAI26 07MAI26 10MAI26; demi-journée</t>
  </si>
  <si>
    <t xml:space="preserve">Dates : 06MAI26 07MAI26; NUIT 10h travaille</t>
  </si>
  <si>
    <t xml:space="preserve">Dates : 06MAI26 07MAI26 08MAI26; PM, demi-journée</t>
  </si>
  <si>
    <t xml:space="preserve">Dates : 06MAI26 07MAI26 08MAI26; demi-journée</t>
  </si>
  <si>
    <t xml:space="preserve">Dates : 07MAI26 08MAI26 09MAI26; demi-journée</t>
  </si>
  <si>
    <t xml:space="preserve">Dates : 08MAI26 09MAI26 10MAI26; demi-journée</t>
  </si>
  <si>
    <t xml:space="preserve">Dates : 09MAI26 10MAI26; NUIT 10h travaille</t>
  </si>
  <si>
    <t xml:space="preserve">Dates : 09MAI26 10MAI26 11MAI26; demi-journée</t>
  </si>
  <si>
    <t xml:space="preserve">Dates : 10MAI26 11MAI26 12MAI26; demi-journée</t>
  </si>
  <si>
    <t xml:space="preserve">02-05juin et 06juin demi-journée Après-vente deja fait</t>
  </si>
  <si>
    <t xml:space="preserve">Dates: 25MAI26, 26MAI26</t>
  </si>
  <si>
    <t xml:space="preserve">Dates: 25MAI, 26MAI</t>
  </si>
  <si>
    <t xml:space="preserve">01juin demi journée et 02-03 juin Après-vente deja fait</t>
  </si>
  <si>
    <t xml:space="preserve">Dates : 26MAI, 27MAI</t>
  </si>
  <si>
    <t xml:space="preserve">01-02juin et 05juin demi-journée Après-vente deja fait</t>
  </si>
  <si>
    <t xml:space="preserve">01-02juin et 03juin demi-journée Après-vente deja fait</t>
  </si>
  <si>
    <t xml:space="preserve">26-27 Mai 2026</t>
  </si>
  <si>
    <t xml:space="preserve">26 Mai 2026</t>
  </si>
  <si>
    <t xml:space="preserve">30 Mai</t>
  </si>
  <si>
    <t xml:space="preserve">29 Mai</t>
  </si>
  <si>
    <t xml:space="preserve">Cohorte: Agences OS2 (Lisbonne)</t>
  </si>
  <si>
    <t xml:space="preserve">09-11 fév et 15fév AM</t>
  </si>
  <si>
    <t xml:space="preserve">09-10fév demi-journée, 11fév et 13fév demi-journée</t>
  </si>
  <si>
    <t xml:space="preserve">12-14fév et 15fév AM</t>
  </si>
  <si>
    <t xml:space="preserve">12-13fév et 15fév AM</t>
  </si>
  <si>
    <t xml:space="preserve">09-10-11fév demi-journée et 14fév</t>
  </si>
  <si>
    <t xml:space="preserve">15-17fév et 21fév AM</t>
  </si>
  <si>
    <t xml:space="preserve">09-10 fév et 11fév AM</t>
  </si>
  <si>
    <t xml:space="preserve">11-12 fév et 13fév AM</t>
  </si>
  <si>
    <t xml:space="preserve">18-19 fév et 20fév AM</t>
  </si>
  <si>
    <t xml:space="preserve">12-13 fév et 14fév AM</t>
  </si>
  <si>
    <t xml:space="preserve">16-17fév et 20fév AM</t>
  </si>
  <si>
    <t xml:space="preserve">18-19fév et 20fév AM</t>
  </si>
  <si>
    <t xml:space="preserve">11-12fév et 13fév AM</t>
  </si>
  <si>
    <t xml:space="preserve">09-10fév et 11fév AM</t>
  </si>
  <si>
    <t xml:space="preserve">16-17fév et 18fév AM</t>
  </si>
  <si>
    <t xml:space="preserve">16-17fév et 18fév demi-journée</t>
  </si>
  <si>
    <t xml:space="preserve">Dates : 28MAI26 29MAI26; promo 12MAI; déjà planifié pour l'instant</t>
  </si>
  <si>
    <t xml:space="preserve">28-29 mai 2026</t>
  </si>
  <si>
    <t xml:space="preserve">28-29 Mai 2026</t>
  </si>
  <si>
    <t xml:space="preserve">28-29-30 Mai 2026</t>
  </si>
  <si>
    <t xml:space="preserve">Après-vente pole déjà fait// 25-26mai Après-vente deja fait</t>
  </si>
  <si>
    <t xml:space="preserve">Après-vente pole déjà fait//  26-27mai Après-vente deja fait</t>
  </si>
  <si>
    <t xml:space="preserve">26-27mai et 30 mai demi-journée Après-vente deja fait</t>
  </si>
  <si>
    <t xml:space="preserve">27-28mai et 29mai demi-journée Après-vente deja fait</t>
  </si>
  <si>
    <t xml:space="preserve">Dates: 26MAI26, 27MAI, 30 MAI</t>
  </si>
  <si>
    <t xml:space="preserve">Après-vente: fait; Forfait: na</t>
  </si>
  <si>
    <t xml:space="preserve">Après-vente: fait; Forfait: fait</t>
  </si>
  <si>
    <t xml:space="preserve">Après-vente: fait ; Forfait: na</t>
  </si>
  <si>
    <t xml:space="preserve">Après-vente: Arret de Travail; Forfait: fait</t>
  </si>
  <si>
    <t xml:space="preserve">Après-vente Vol: fait; Suivi: 25 MAY /12h30 - 14h00</t>
  </si>
  <si>
    <t xml:space="preserve">Après-vente Vol: fait</t>
  </si>
  <si>
    <t xml:space="preserve">Après-vente Vol: fait; Suivi: 25 MAY/ 10H30 - 12H00</t>
  </si>
  <si>
    <t xml:space="preserve">Après-vente Vol: fait; Suivi: 25 MAY /13h00 - 14h30</t>
  </si>
  <si>
    <t xml:space="preserve">Après-vente Vol: fait; Suivi: 25 MAY / 11h00 - 12h30</t>
  </si>
  <si>
    <t xml:space="preserve">Après-vente Vol: ext; Suivi: nexiste plus?</t>
  </si>
  <si>
    <t xml:space="preserve">Après-vente Vol: fait; Suivi: 25 MAY / 9H15 - 10H15</t>
  </si>
  <si>
    <t xml:space="preserve">Écart objectif</t>
  </si>
  <si>
    <t xml:space="preserve">Extension WFM demander.</t>
  </si>
  <si>
    <t xml:space="preserve">YES</t>
  </si>
  <si>
    <t xml:space="preserve">FAIT 15 JUN</t>
  </si>
  <si>
    <t xml:space="preserve">FAIT 12 JUN</t>
  </si>
  <si>
    <t xml:space="preserve">FAIT 16 JUIN</t>
  </si>
  <si>
    <t xml:space="preserve">FAIT 17 JUN</t>
  </si>
  <si>
    <t xml:space="preserve">9-10-11-12-15-16 JUIN</t>
  </si>
  <si>
    <t xml:space="preserve">9-10-11-15-16-17 JUIN</t>
  </si>
  <si>
    <t xml:space="preserve">9-12-15-16-17 JUIN</t>
  </si>
  <si>
    <t xml:space="preserve">Planificateur de Formation  —  Formation Initiale QUILL</t>
  </si>
  <si>
    <t xml:space="preserve"/>
  </si>
  <si>
    <t xml:space="preserve">Type de cohorte</t>
  </si>
  <si>
    <t xml:space="preserve">JOURS FÉRIÉS  (exclus du calendrier)</t>
  </si>
  <si>
    <t xml:space="preserve">◄ Jours fériés : bloc à droite (les dates saisies décalent le calendrier)</t>
  </si>
  <si>
    <t xml:space="preserve">Nombre de jours fériés</t>
  </si>
  <si>
    <t xml:space="preserve">Dates à exclure (une par ligne) :</t>
  </si>
  <si>
    <t xml:space="preserve"/>
  </si>
  <si>
    <t xml:space="preserve">DATE DE DÉBUT</t>
  </si>
  <si>
    <t xml:space="preserve">DATE DE FIN</t>
  </si>
  <si>
    <t xml:space="preserve">TYPE DE COHORTE</t>
  </si>
  <si>
    <t xml:space="preserve">Férié 1</t>
  </si>
  <si>
    <t xml:space="preserve">Férié 2</t>
  </si>
  <si>
    <t xml:space="preserve">Férié 3</t>
  </si>
  <si>
    <t xml:space="preserve">Jour</t>
  </si>
  <si>
    <t xml:space="preserve">Date</t>
  </si>
  <si>
    <t xml:space="preserve">Activités</t>
  </si>
  <si>
    <t xml:space="preserve">Férié 4</t>
  </si>
  <si>
    <t xml:space="preserve">Férié 5</t>
  </si>
  <si>
    <t xml:space="preserve">Férié 6</t>
  </si>
  <si>
    <t xml:space="preserve">Jours sans atelier = Académie / Autoformation (e-learning).  «Gestion des situations difficiles» (2,5 h) se planifie ~10 jours après la formation initiale.</t>
  </si>
  <si>
    <t xml:space="preserve"/>
  </si>
  <si>
    <t xml:space="preserve"/>
  </si>
  <si>
    <t xml:space="preserve">Note</t>
  </si>
  <si>
    <t xml:space="preserve"/>
  </si>
  <si>
    <t xml:space="preserve">J1</t>
  </si>
  <si>
    <t xml:space="preserve">Académie / Autoformation</t>
  </si>
  <si>
    <t xml:space="preserve">J2</t>
  </si>
  <si>
    <t xml:space="preserve">Introduction à QuillRes</t>
  </si>
  <si>
    <t xml:space="preserve">45 min</t>
  </si>
  <si>
    <t xml:space="preserve">J3</t>
  </si>
  <si>
    <t xml:space="preserve">À la découverte de QuillTour + Séance d’observation avec mentor</t>
  </si>
  <si>
    <t xml:space="preserve">90 min</t>
  </si>
  <si>
    <t xml:space="preserve">Module en groupe ; séance à planifier avec le mentor</t>
  </si>
  <si>
    <t xml:space="preserve">À la découverte de QuillTour</t>
  </si>
  <si>
    <t xml:space="preserve">Module en groupe</t>
  </si>
  <si>
    <t xml:space="preserve">J4</t>
  </si>
  <si>
    <t xml:space="preserve">J5</t>
  </si>
  <si>
    <t xml:space="preserve">Calcul de prix + Gestion d’appel : Réservation &amp; grille</t>
  </si>
  <si>
    <t xml:space="preserve">45 / 90 min</t>
  </si>
  <si>
    <t xml:space="preserve">J5 ou J6 — interchangeable avec Modifications</t>
  </si>
  <si>
    <t xml:space="preserve">J6</t>
  </si>
  <si>
    <t xml:space="preserve">Gestion d’appel : Modifications et techniques de vente</t>
  </si>
  <si>
    <t xml:space="preserve">J5 ou J6 — interchangeable avec Réservation</t>
  </si>
  <si>
    <t xml:space="preserve">Gestion d’appel : Modifications</t>
  </si>
  <si>
    <t xml:space="preserve">J7</t>
  </si>
  <si>
    <t xml:space="preserve">J8</t>
  </si>
  <si>
    <t xml:space="preserve">Gestion d’appel : Réservation ou Modifications (si non fait)</t>
  </si>
  <si>
    <t xml:space="preserve">Selon planification</t>
  </si>
  <si>
    <t xml:space="preserve">Les systèmes chez Quillridge</t>
  </si>
  <si>
    <t xml:space="preserve">2 h</t>
  </si>
  <si>
    <t xml:space="preserve">J9</t>
  </si>
  <si>
    <t xml:space="preserve">Salesforce</t>
  </si>
  <si>
    <t xml:space="preserve">Aviser WFM pour horaires / inscriptions</t>
  </si>
  <si>
    <t xml:space="preserve">J10</t>
  </si>
  <si>
    <t xml:space="preserve">Journée complète</t>
  </si>
  <si>
    <t xml:space="preserve">Aviser WFM + rencontre fin de formation avec co-pilote</t>
  </si>
  <si>
    <t xml:space="preserve">J11</t>
  </si>
  <si>
    <t xml:space="preserve"/>
  </si>
  <si>
    <t xml:space="preserve">📘  MODE D'EMPLOI — HUB FORMATION QUILL</t>
  </si>
  <si>
    <t xml:space="preserve">Comment tenir le fichier à jour de façon cohérente · à lire avant toute saisie</t>
  </si>
  <si>
    <t xml:space="preserve">▌ PRINCIPE GÉNÉRAL</t>
  </si>
  <si>
    <t xml:space="preserve">« Skills » est la fiche maîtresse : c'est le SEUL endroit où l'on inscrit une personne (ID, Prénom, Nom, Lieu, Statut).</t>
  </si>
  <si>
    <t xml:space="preserve">Les onglets « Formation Initiale », « Agences &amp; Après-vente » et « Evermont » sont les registres de formation : on y inscrit les formations avec leur date de début.</t>
  </si>
  <si>
    <t xml:space="preserve">Les compétences (✓ et dates) sur « Skills » se remplissent AUTOMATIQUEMENT à partir de ces onglets — ne rien y retaper à la main.</t>
  </si>
  <si>
    <t xml:space="preserve">Tout est relié par l'ID de l'agent (TRxxx). On ne retape jamais les noms : ils se remplissent seuls grâce à l'ID.</t>
  </si>
  <si>
    <t xml:space="preserve">Le Groupe (col. W de « Skills ») se remplit seul depuis Formation Initiale ; « Général » si l'agent n'y figure pas. Pour forcer un groupe : col. X « Groupe (saisie) ».</t>
  </si>
  <si>
    <t xml:space="preserve">▌ 1.  AJOUTER UNE NOUVELLE PERSONNE</t>
  </si>
  <si>
    <t xml:space="preserve">1.  Ouvrir l'onglet « Skills ».</t>
  </si>
  <si>
    <t xml:space="preserve">2.  Sur la première ligne vide, saisir : Prénom (col. B), Nom (col. C) et Lieu (col. D — choisir Montréal ou Lisbonne dans la liste).</t>
  </si>
  <si>
    <t xml:space="preserve">3.  L'ID Agent (col. A) et le Statut « Active » (col. M) se génèrent tout seuls.</t>
  </si>
  <si>
    <t xml:space="preserve">➜  La personne existe maintenant dans le système. On peut enregistrer ses formations.</t>
  </si>
  <si>
    <t xml:space="preserve">▌ 2.  ENREGISTRER UNE FORMATION</t>
  </si>
  <si>
    <t xml:space="preserve">a)  Formation initiale B2C / B2B  →  onglet « Formation Initiale »</t>
  </si>
  <si>
    <t xml:space="preserve">1.  Nouvelle ligne : saisir l'ID Agent (col. A), le Groupe / cohorte (col. B, ex. 177 ou OS4) et la Date de début (col. G).</t>
  </si>
  <si>
    <t xml:space="preserve">2.  Le nom et le Lieu se remplissent seuls ; le Statut (col. R) se calcule (À venir / En cours / Terminé) et reste modifiable via sa liste déroulante.</t>
  </si>
  <si>
    <t xml:space="preserve">3.  Pour clore : saisir la Date terminée (col. I) → le statut passe à « Terminé » → le ✓ B2C (et B2B si Montréal) apparaît sur « Skills ».</t>
  </si>
  <si>
    <t xml:space="preserve">b)  Agences / Après-vente (compétences additionnelles)  →  onglet « Agences &amp; Après-vente »</t>
  </si>
  <si>
    <t xml:space="preserve">1.  Nouvelle ligne : ID Agent (col. A), Compétence (col. D : Agences, Après-vente ou Agences et Après-vente), Date de début (col. E), Jours (col. G).</t>
  </si>
  <si>
    <t xml:space="preserve">2.  Mettre le Statut (col. I) à « DONE » une fois la formation terminée.</t>
  </si>
  <si>
    <t xml:space="preserve">3.  La date apparaît sur « Skills » dès la saisie ; le ✓ apparaît quand le statut = DONE.</t>
  </si>
  <si>
    <t xml:space="preserve">c)  Evermont  →  onglet « Evermont »  (fonctionne maintenant comme « Formation Initiale »)</t>
  </si>
  <si>
    <t xml:space="preserve">1.  Nouvelle ligne : ID Agent (col. A), Durée en jours (col. E), Date de début (col. F). Ajouter des Jours fériés (col. I) si la période en contient.</t>
  </si>
  <si>
    <t xml:space="preserve">2.  Le Statut (col. Q) se calcule (À venir / En cours / Terminé). Pour clore : saisir la Date terminée (col. H) → « Terminé » → le ✓ Evermont apparaît sur « Skills ».</t>
  </si>
  <si>
    <t xml:space="preserve">3.  Suivi identique à Formation Initiale : Priorité auto + Priorité réelle (P1/P2/P3 pour forcer), Séance observation, Prêt (O/N), Prise d'appels encadrée, Absences (col. X).</t>
  </si>
  <si>
    <t xml:space="preserve">▌ 3.  RÈGLE DE LOCALISATION  (automatique)</t>
  </si>
  <si>
    <t xml:space="preserve">•  Agent Montréal  →  compétences B2C ET B2B.</t>
  </si>
  <si>
    <t xml:space="preserve">•  Agent Lisbonne  →  compétences B2C seulement (les colonnes B2B et Evermont restent vides automatiquement).</t>
  </si>
  <si>
    <t xml:space="preserve">Cette règle est déjà appliquée par les formules — rien à faire.</t>
  </si>
  <si>
    <t xml:space="preserve">▌ 4.  DÉPART OU ARRÊT D'UN AGENT</t>
  </si>
  <si>
    <t xml:space="preserve">Dans « Skills », changer le Statut (col. M) :  COS = départ (attrition)  ·  Maladie = arrêt de travail.</t>
  </si>
  <si>
    <t xml:space="preserve">Les indicateurs d'attrition du Tableau de Bord (globaux et par groupe) se mettent à jour automatiquement.</t>
  </si>
  <si>
    <t xml:space="preserve">▌ 5.  LIRE LES TABLEAUX</t>
  </si>
  <si>
    <t xml:space="preserve">•  « Tableau de Bord » : tous les indicateurs (effectifs, couverture des compétences, attrition, cohortes) se calculent seuls.</t>
  </si>
  <si>
    <t xml:space="preserve">•  « Pipeline » : liste automatique (LECTURE SEULE) de tous les agents en formation — ne rien y saisir.</t>
  </si>
  <si>
    <t xml:space="preserve">▌ 6.  TRIER / FILTRER</t>
  </si>
  <si>
    <t xml:space="preserve">Cliquer sur la flèche dans l'en-tête de n'importe quelle colonne (Skills, Formation Initiale, Agences &amp; Après-vente, Evermont, AGENTS). Les filtres couvrent toute la largeur : le tri déplace la ligne entière, les colonnes manuelles suivent.</t>
  </si>
  <si>
    <t xml:space="preserve">▌ 7.  CONTRÔLE D'INTÉGRITÉ</t>
  </si>
  <si>
    <t xml:space="preserve">Si un ID est utilisé dans un onglet mais absent de « Skills », la colonne « Intégrité » affiche « ⚠ ID absent du roster » et le Tableau de Bord le compte.</t>
  </si>
  <si>
    <t xml:space="preserve">Solution : ajouter cette personne dans « Skills » (voir étape 1).</t>
  </si>
  <si>
    <t xml:space="preserve">▌ À NE PAS FAIRE  /  ASTUCES</t>
  </si>
  <si>
    <t xml:space="preserve">•  Toujours inscrire la personne dans « Skills » AVANT (ou au moment) d'enregistrer sa formation.</t>
  </si>
  <si>
    <t xml:space="preserve">•  Ne jamais retaper les noms dans les onglets : saisir l'ID, le reste se remplit seul.</t>
  </si>
  <si>
    <t xml:space="preserve">•  Ne pas supprimer les colonnes « Quillridge » O à U sur « Skills » : elles portent les ✓ historiques.</t>
  </si>
  <si>
    <t xml:space="preserve">•  Colonnes O–U (clic droit sur un en-tête → Afficher si masquées) : servent à cocher une compétence à la main pour un historique sans ligne de formation.</t>
  </si>
  <si>
    <t xml:space="preserve">•  Si des chiffres semblent vides à l'ouverture : appuyer sur Ctrl+Maj+F9 (recalcul complet).</t>
  </si>
  <si>
    <t xml:space="preserve">•  Le fichier fonctionne dans Excel ET LibreOffice (100 % formules, aucune macro requise).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</si>
  <si>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</si>
  <si>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</si>
  <si>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</si>
  <si>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</si>
  <si>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</si>
  <si>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</si>
  <si>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</si>
  <si>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</si>
  <si>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</si>
  <si>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</si>
  <si>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</si>
  <si>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</si>
  <si>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</si>
  <si>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</si>
  <si>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</si>
  <si>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</si>
  <si>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</si>
  <si>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</si>
  <si>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</si>
  <si>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</si>
  <si>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</si>
  <si>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</si>
  <si>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</si>
  <si>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</si>
  <si>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</si>
  <si>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</si>
  <si>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</si>
  <si>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</si>
  <si>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</si>
  <si>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</si>
  <si>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</si>
  <si>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</si>
  <si>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</si>
  <si>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</si>
  <si>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</si>
  <si>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</si>
  <si>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</si>
  <si>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</si>
  <si>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</si>
  <si>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</si>
  <si>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</si>
  <si>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</si>
  <si>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</si>
  <si>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</si>
  <si>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</si>
  <si>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</si>
  <si>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</si>
  <si>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QUILL</t>
  </si>
  <si>
    <t xml:space="preserve">FORMATION</t>
  </si>
  <si>
    <t xml:space="preserve">INITIALE</t>
  </si>
  <si>
    <t xml:space="preserve">Chapters FORMATION INITIALE QUILL:</t>
  </si>
  <si>
    <t xml:space="preserve">Percentage:</t>
  </si>
  <si>
    <t xml:space="preserve">Chapters FORMATION INITIALE GR:</t>
  </si>
  <si>
    <t xml:space="preserve">QUILL FORMATION</t>
  </si>
  <si>
    <t xml:space="preserve">GR FORMATION</t>
  </si>
  <si>
    <t xml:space="preserve">QUILL Evermont</t>
  </si>
  <si>
    <t xml:space="preserve">jour</t>
  </si>
  <si>
    <t xml:space="preserve">nbr cours</t>
  </si>
  <si>
    <t xml:space="preserve">progression</t>
  </si>
  <si>
    <t xml:space="preserve">Premiers pas au comptoir</t>
  </si>
  <si>
    <t xml:space="preserve"/>
  </si>
  <si>
    <t xml:space="preserve"/>
  </si>
  <si>
    <t xml:space="preserve"/>
  </si>
  <si>
    <t xml:space="preserve">Sac au dos !</t>
  </si>
  <si>
    <t xml:space="preserve"/>
  </si>
  <si>
    <t xml:space="preserve"/>
  </si>
  <si>
    <t xml:space="preserve"/>
  </si>
  <si>
    <t xml:space="preserve"/>
  </si>
  <si>
    <t xml:space="preserve">Premiers kilomètres</t>
  </si>
  <si>
    <t xml:space="preserve"/>
  </si>
  <si>
    <t xml:space="preserve"/>
  </si>
  <si>
    <t xml:space="preserve"/>
  </si>
  <si>
    <t xml:space="preserve"/>
  </si>
  <si>
    <t xml:space="preserve">Outils du quotidien</t>
  </si>
  <si>
    <t xml:space="preserve"/>
  </si>
  <si>
    <t xml:space="preserve"/>
  </si>
  <si>
    <t xml:space="preserve"/>
  </si>
  <si>
    <t xml:space="preserve"/>
  </si>
  <si>
    <t xml:space="preserve">Pause au refuge</t>
  </si>
  <si>
    <t xml:space="preserve"/>
  </si>
  <si>
    <t xml:space="preserve"/>
  </si>
  <si>
    <t xml:space="preserve">Passage du col</t>
  </si>
  <si>
    <t xml:space="preserve"/>
  </si>
  <si>
    <t xml:space="preserve"/>
  </si>
  <si>
    <t xml:space="preserve"/>
  </si>
  <si>
    <t xml:space="preserve"/>
  </si>
  <si>
    <t xml:space="preserve">Trousse de secours</t>
  </si>
  <si>
    <t xml:space="preserve"/>
  </si>
  <si>
    <t xml:space="preserve"/>
  </si>
  <si>
    <t xml:space="preserve"/>
  </si>
  <si>
    <t xml:space="preserve"/>
  </si>
  <si>
    <t xml:space="preserve">Y a-t-il un guide dans le groupe</t>
  </si>
  <si>
    <t xml:space="preserve"/>
  </si>
  <si>
    <t xml:space="preserve"/>
  </si>
  <si>
    <t xml:space="preserve"/>
  </si>
  <si>
    <t xml:space="preserve"/>
  </si>
  <si>
    <t xml:space="preserve">Balises allumées</t>
  </si>
  <si>
    <t xml:space="preserve"/>
  </si>
  <si>
    <t xml:space="preserve"/>
  </si>
  <si>
    <t xml:space="preserve"/>
  </si>
  <si>
    <t xml:space="preserve">Sentier ou raccourci ?</t>
  </si>
  <si>
    <t xml:space="preserve"/>
  </si>
  <si>
    <t xml:space="preserve"/>
  </si>
  <si>
    <t xml:space="preserve"/>
  </si>
  <si>
    <t xml:space="preserve"/>
  </si>
  <si>
    <t xml:space="preserve">En autonomie</t>
  </si>
  <si>
    <t xml:space="preserve"/>
  </si>
  <si>
    <t xml:space="preserve"/>
  </si>
  <si>
    <t xml:space="preserve"/>
  </si>
  <si>
    <t xml:space="preserve">L'aventure commence !</t>
  </si>
  <si>
    <t xml:space="preserve"/>
  </si>
  <si>
    <t xml:space="preserve"/>
  </si>
  <si>
    <t xml:space="preserve">Référence: utilisé par la formule Priorité dans Formation Initiale</t>
  </si>
  <si>
    <t xml:space="preserve">VERS</t>
  </si>
  <si>
    <t xml:space="preserve">Chapters FORMATION INITIALE VERS Evermont:</t>
  </si>
  <si>
    <t xml:space="preserve">Arrivée au camp de base</t>
  </si>
  <si>
    <t xml:space="preserve"/>
  </si>
  <si>
    <t xml:space="preserve">Règles Priorité</t>
  </si>
  <si>
    <t xml:space="preserve"/>
  </si>
  <si>
    <t xml:space="preserve">Rencontre avec l'équipe locale</t>
  </si>
  <si>
    <t xml:space="preserve"/>
  </si>
  <si>
    <t xml:space="preserve"/>
  </si>
  <si>
    <t xml:space="preserve"/>
  </si>
  <si>
    <t xml:space="preserve">Repos au bord du lac</t>
  </si>
  <si>
    <t xml:space="preserve"/>
  </si>
  <si>
    <t xml:space="preserve">P2</t>
  </si>
  <si>
    <t xml:space="preserve"/>
  </si>
  <si>
    <t xml:space="preserve"/>
  </si>
  <si>
    <t xml:space="preserve">Tente qui prend l'eau</t>
  </si>
  <si>
    <t xml:space="preserve"/>
  </si>
  <si>
    <t xml:space="preserve"/>
  </si>
  <si>
    <t xml:space="preserve"/>
  </si>
  <si>
    <t xml:space="preserve">Coup de fatigue</t>
  </si>
  <si>
    <t xml:space="preserve"/>
  </si>
  <si>
    <t xml:space="preserve"/>
  </si>
  <si>
    <t xml:space="preserve"/>
  </si>
  <si>
    <t xml:space="preserve">Feu de camp et guitare</t>
  </si>
  <si>
    <t xml:space="preserve"/>
  </si>
  <si>
    <t xml:space="preserve"/>
  </si>
  <si>
    <t xml:space="preserve">Soirée au village !</t>
  </si>
  <si>
    <t xml:space="preserve"/>
  </si>
  <si>
    <t xml:space="preserve"/>
  </si>
  <si>
    <t xml:space="preserve">Nouvelle compétence Formation Initiale vers Hybride Loisirs</t>
  </si>
  <si>
    <t xml:space="preserve">Variantes (historique)</t>
  </si>
  <si>
    <t xml:space="preserve">Actif</t>
  </si>
  <si>
    <t xml:space="preserve">Joror*</t>
  </si>
  <si>
    <t xml:space="preserve">Montréal</t>
  </si>
  <si>
    <t xml:space="preserve">Lisbonne</t>
  </si>
  <si>
    <t xml:space="preserve">MODÈLE D’ACTIVITÉS — saisir ici les modules de chaque journée. Le nombre de jours de formation suit le nombre de lignes remplies ; renommer un site met à jour la liste « Type de cohorte ».</t>
  </si>
  <si>
    <t xml:space="preserve">Choisir le type de cohorte et la date de début — le calendrier se génère automatiquement à partir des modules saisis plus bas</t>
  </si>
  <si>
    <t xml:space="preserve">Laisser une ligne vide pour raccourcir la cohorte</t>
  </si>
  <si>
    <t xml:space="preserve">JOURS DE FORMATION  (auto — lignes remplies)</t>
  </si>
  <si>
    <t xml:space="preserve">33% - 41%</t>
  </si>
  <si>
    <t xml:space="preserve">34% - 46%</t>
  </si>
  <si>
    <t xml:space="preserve">72% - 85%</t>
  </si>
  <si>
    <t xml:space="preserve">100%</t>
  </si>
  <si>
    <t xml:space="preserve">31% - 38%</t>
  </si>
  <si>
    <t xml:space="preserve">71% - 79%</t>
  </si>
  <si>
    <t xml:space="preserve">14% - 21%</t>
  </si>
  <si>
    <t xml:space="preserve">87% - 97%</t>
  </si>
  <si>
    <t xml:space="preserve">0% - 7%</t>
  </si>
  <si>
    <t xml:space="preserve">68% - 76%</t>
  </si>
  <si>
    <t xml:space="preserve">80% - 89%</t>
  </si>
  <si>
    <t xml:space="preserve">60% - 71%</t>
  </si>
  <si>
    <t xml:space="preserve">90% - 100%</t>
  </si>
  <si>
    <t xml:space="preserve">0% - 6%</t>
  </si>
  <si>
    <t xml:space="preserve">48% - 57%</t>
  </si>
  <si>
    <t xml:space="preserve">77% - 86%</t>
  </si>
  <si>
    <t xml:space="preserve">16% - 33%</t>
  </si>
  <si>
    <t xml:space="preserve">47% - 59%</t>
  </si>
  <si>
    <t xml:space="preserve">25% - 32%</t>
  </si>
  <si>
    <t xml:space="preserve">51% - 60%</t>
  </si>
  <si>
    <t xml:space="preserve">39% - 47%</t>
  </si>
  <si>
    <t xml:space="preserve">16% - 24%</t>
  </si>
  <si>
    <t xml:space="preserve">86% - 100%</t>
  </si>
  <si>
    <t xml:space="preserve">0% - 15%</t>
  </si>
  <si>
    <t xml:space="preserve">61% - 70%</t>
  </si>
  <si>
    <t xml:space="preserve">7% - 13%</t>
  </si>
  <si>
    <t xml:space="preserve">42% - 50%</t>
  </si>
  <si>
    <t xml:space="preserve">98% - 100%</t>
  </si>
  <si>
    <t xml:space="preserve">8% - 15%</t>
  </si>
  <si>
    <t xml:space="preserve">58% - 67%</t>
  </si>
  <si>
    <t xml:space="preserve">22% - 30%</t>
  </si>
  <si>
    <t xml:space="preserve">Écart ≥ 12% sous objectif</t>
  </si>
  <si>
    <t xml:space="preserve">Écart 6–12% sous objectif</t>
  </si>
  <si>
    <t xml:space="preserve">Écart &lt; 6% / au-dessus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</si>
</sst>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%"/>
    <numFmt numFmtId="167" formatCode="yyyy\-mm\-dd"/>
    <numFmt numFmtId="168" formatCode="0.0&quot; j&quot;"/>
    <numFmt numFmtId="169" formatCode="0.0%"/>
    <numFmt numFmtId="170" formatCode="0.0"/>
    <numFmt numFmtId="171" formatCode="0"/>
    <numFmt numFmtId="172" formatCode="d\-mmm"/>
    <numFmt numFmtId="173" formatCode="dd\ mmm\ yyyy"/>
    <numFmt numFmtId="174" formatCode="m/d/yyyy"/>
    <numFmt numFmtId="175" formatCode="dd\ mmm"/>
  </numFmts>
  <fonts count="8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sz val="11"/>
      <color rgb="FF404040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sz val="10"/>
      <color rgb="FF404040"/>
      <name val="Calibri"/>
      <family val="0"/>
      <charset val="1"/>
    </font>
    <font>
      <i val="true"/>
      <sz val="10"/>
      <color rgb="FFC55A11"/>
      <name val="Calibri"/>
      <family val="0"/>
      <charset val="1"/>
    </font>
    <font>
      <b val="true"/>
      <u val="single"/>
      <sz val="11"/>
      <color rgb="FF0563C1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22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u val="single"/>
      <sz val="11"/>
      <color rgb="FF1F4E78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8"/>
      <color rgb="FF1F4E7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8"/>
      <color rgb="FF3E6DA3"/>
      <name val="Calibri"/>
      <family val="0"/>
      <charset val="1"/>
    </font>
    <font>
      <b val="true"/>
      <sz val="18"/>
      <color rgb="FF5B9469"/>
      <name val="Calibri"/>
      <family val="0"/>
      <charset val="1"/>
    </font>
    <font>
      <b val="true"/>
      <sz val="18"/>
      <color rgb="FF7D6B9E"/>
      <name val="Calibri"/>
      <family val="0"/>
      <charset val="1"/>
    </font>
    <font>
      <b val="true"/>
      <sz val="18"/>
      <color rgb="FFC0504D"/>
      <name val="Calibri"/>
      <family val="0"/>
      <charset val="1"/>
    </font>
    <font>
      <i val="true"/>
      <sz val="8"/>
      <color rgb="FF999999"/>
      <name val="Calibri"/>
      <family val="0"/>
      <charset val="1"/>
    </font>
    <font>
      <b val="true"/>
      <sz val="22"/>
      <color rgb="FF155724"/>
      <name val="Calibri"/>
      <family val="0"/>
      <charset val="1"/>
    </font>
    <font>
      <b val="true"/>
      <sz val="22"/>
      <color rgb="FF856404"/>
      <name val="Calibri"/>
      <family val="0"/>
      <charset val="1"/>
    </font>
    <font>
      <b val="true"/>
      <sz val="22"/>
      <color rgb="FF3E6DA3"/>
      <name val="Calibri"/>
      <family val="0"/>
      <charset val="1"/>
    </font>
    <font>
      <b val="true"/>
      <sz val="22"/>
      <color rgb="FFC77A45"/>
      <name val="Calibri"/>
      <family val="0"/>
      <charset val="1"/>
    </font>
    <font>
      <b val="true"/>
      <sz val="22"/>
      <color rgb="FF5B9469"/>
      <name val="Calibri"/>
      <family val="0"/>
      <charset val="1"/>
    </font>
    <font>
      <b val="true"/>
      <sz val="22"/>
      <color rgb="FF721C24"/>
      <name val="Calibri"/>
      <family val="0"/>
      <charset val="1"/>
    </font>
    <font>
      <b val="true"/>
      <sz val="22"/>
      <color rgb="FF555555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22"/>
      <color rgb="FF7D6B9E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20"/>
      <color rgb="FF5B9469"/>
      <name val="Calibri"/>
      <family val="0"/>
      <charset val="1"/>
    </font>
    <font>
      <b val="true"/>
      <sz val="20"/>
      <color rgb="FFC0504B"/>
      <name val="Calibri"/>
      <family val="0"/>
      <charset val="1"/>
    </font>
    <font>
      <b val="true"/>
      <sz val="20"/>
      <color rgb="FFD9A441"/>
      <name val="Calibri"/>
      <family val="0"/>
      <charset val="1"/>
    </font>
    <font>
      <b val="true"/>
      <sz val="20"/>
      <color rgb="FF1F3864"/>
      <name val="Calibri"/>
      <family val="0"/>
      <charset val="1"/>
    </font>
    <font>
      <b val="true"/>
      <sz val="20"/>
      <color rgb="FF3E6DA3"/>
      <name val="Calibri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sz val="10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22"/>
      <color rgb="FFC77A45"/>
      <name val="Cambria"/>
      <family val="0"/>
      <charset val="1"/>
    </font>
    <font>
      <b val="true"/>
      <sz val="22"/>
      <color rgb="FF3E6DA3"/>
      <name val="Cambria"/>
      <family val="0"/>
      <charset val="1"/>
    </font>
    <font>
      <b val="true"/>
      <sz val="22"/>
      <color rgb="FF721C24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8"/>
      <color rgb="FFFFFFFF"/>
      <name val="Calibri"/>
      <family val="0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theme="5" tint="-0.25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0"/>
      <name val="Arial"/>
      <family val="2"/>
    </font>
    <font>
      <sz val="11"/>
      <color theme="1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7F8C9A"/>
      <name val="Calibri"/>
      <family val="0"/>
      <charset val="1"/>
    </font>
    <font>
      <b val="true"/>
      <sz val="11"/>
      <color rgb="FF222222"/>
      <name val="Calibri"/>
      <family val="0"/>
      <charset val="1"/>
    </font>
    <font>
      <b val="true"/>
      <sz val="16"/>
      <color rgb="FF3E6DA3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b val="true"/>
      <sz val="12"/>
      <color rgb="FF3E6DA3"/>
      <name val="Calibri"/>
      <family val="0"/>
      <charset val="1"/>
    </font>
    <font>
      <sz val="10"/>
      <color rgb="FF7F8C9A"/>
      <name val="Calibri"/>
      <family val="0"/>
      <charset val="1"/>
    </font>
    <font>
      <b val="true"/>
      <sz val="10"/>
      <color rgb="FF3E6DA3"/>
      <name val="Calibri"/>
      <family val="0"/>
      <charset val="1"/>
    </font>
    <font>
      <i val="true"/>
      <sz val="9"/>
      <color rgb="FF8A8A8A"/>
      <name val="Calibri"/>
      <family val="0"/>
      <charset val="1"/>
    </font>
    <font>
      <i val="true"/>
      <sz val="9"/>
      <color rgb="FF7F8C9A"/>
      <name val="Calibri"/>
      <family val="0"/>
      <charset val="1"/>
    </font>
    <font>
      <sz val="9"/>
      <name val="Calibri"/>
      <family val="0"/>
      <charset val="1"/>
    </font>
    <font>
      <sz val="9"/>
      <color rgb="FF3E6DA3"/>
      <name val="Calibri"/>
      <family val="0"/>
      <charset val="1"/>
    </font>
    <font>
      <i val="true"/>
      <sz val="8"/>
      <color rgb="FF8A8A8A"/>
      <name val="Calibri"/>
      <family val="0"/>
      <charset val="1"/>
    </font>
    <font>
      <sz val="10.5"/>
      <name val="Calibri"/>
      <family val="0"/>
      <charset val="1"/>
    </font>
    <font>
      <b val="true"/>
      <sz val="10.5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29">
    <fill>
      <patternFill patternType="none"/>
    </fill>
    <fill>
      <patternFill patternType="gray125"/>
    </fill>
    <fill>
      <patternFill patternType="solid">
        <fgColor rgb="FF1F4E78"/>
        <bgColor rgb="FF34495E"/>
      </patternFill>
    </fill>
    <fill>
      <patternFill patternType="solid">
        <fgColor rgb="FFF2F6FB"/>
        <bgColor rgb="FFEDF1F7"/>
      </patternFill>
    </fill>
    <fill>
      <patternFill patternType="solid">
        <fgColor rgb="FFFFD966"/>
        <bgColor rgb="FFFFEB9C"/>
      </patternFill>
    </fill>
    <fill>
      <patternFill patternType="solid">
        <fgColor rgb="FF34495E"/>
        <bgColor rgb="FF404040"/>
      </patternFill>
    </fill>
    <fill>
      <patternFill patternType="solid">
        <fgColor rgb="FF1F3864"/>
        <bgColor rgb="FF34495E"/>
      </patternFill>
    </fill>
    <fill>
      <patternFill patternType="solid">
        <fgColor rgb="FF2E75B6"/>
        <bgColor rgb="FF3E6DA3"/>
      </patternFill>
    </fill>
    <fill>
      <patternFill patternType="solid">
        <fgColor rgb="FF3E6DA3"/>
        <bgColor rgb="FF2E75B6"/>
      </patternFill>
    </fill>
    <fill>
      <patternFill patternType="solid">
        <fgColor rgb="FF5B9469"/>
        <bgColor rgb="FF548235"/>
      </patternFill>
    </fill>
    <fill>
      <patternFill patternType="solid">
        <fgColor rgb="FF7D6B9E"/>
        <bgColor rgb="FF7F7F7F"/>
      </patternFill>
    </fill>
    <fill>
      <patternFill patternType="solid">
        <fgColor rgb="FF2F8E9E"/>
        <bgColor rgb="FF2E75B6"/>
      </patternFill>
    </fill>
    <fill>
      <patternFill patternType="solid">
        <fgColor rgb="FFFFFFFF"/>
        <bgColor rgb="FFFFF9E6"/>
      </patternFill>
    </fill>
    <fill>
      <patternFill patternType="solid">
        <fgColor rgb="FF155724"/>
        <bgColor rgb="FF006100"/>
      </patternFill>
    </fill>
    <fill>
      <patternFill patternType="solid">
        <fgColor rgb="FF856404"/>
        <bgColor rgb="FF7F6000"/>
      </patternFill>
    </fill>
    <fill>
      <patternFill patternType="solid">
        <fgColor rgb="FFC77A45"/>
        <bgColor rgb="FFB9770E"/>
      </patternFill>
    </fill>
    <fill>
      <patternFill patternType="solid">
        <fgColor rgb="FF721C24"/>
        <bgColor rgb="FF953735"/>
      </patternFill>
    </fill>
    <fill>
      <patternFill patternType="solid">
        <fgColor rgb="FF555555"/>
        <bgColor rgb="FF595959"/>
      </patternFill>
    </fill>
    <fill>
      <patternFill patternType="solid">
        <fgColor rgb="FFE7E6E6"/>
        <bgColor rgb="FFEDEDED"/>
      </patternFill>
    </fill>
    <fill>
      <patternFill patternType="solid">
        <fgColor rgb="FFC0504B"/>
        <bgColor rgb="FFC0504D"/>
      </patternFill>
    </fill>
    <fill>
      <patternFill patternType="solid">
        <fgColor rgb="FFD9A441"/>
        <bgColor rgb="FFC77A45"/>
      </patternFill>
    </fill>
    <fill>
      <patternFill patternType="solid">
        <fgColor rgb="FFEDEDED"/>
        <bgColor rgb="FFEDF1F7"/>
      </patternFill>
    </fill>
    <fill>
      <patternFill patternType="solid">
        <fgColor rgb="FFFFF9E6"/>
        <bgColor rgb="FFFFFFFF"/>
      </patternFill>
    </fill>
    <fill>
      <patternFill patternType="solid">
        <fgColor rgb="FF2E7D32"/>
        <bgColor rgb="FF548235"/>
      </patternFill>
    </fill>
    <fill>
      <patternFill patternType="solid">
        <fgColor rgb="FFB9770E"/>
        <bgColor rgb="FFC77A45"/>
      </patternFill>
    </fill>
    <fill>
      <patternFill patternType="solid">
        <fgColor rgb="FF7F7F7F"/>
        <bgColor rgb="FF808080"/>
      </patternFill>
    </fill>
    <fill>
      <patternFill patternType="solid">
        <fgColor rgb="FFEAF1F8"/>
        <bgColor rgb="FFEDF1F7"/>
      </patternFill>
    </fill>
    <fill>
      <patternFill patternType="solid">
        <fgColor rgb="FFFFF3CD"/>
        <bgColor rgb="FFFFF2CC"/>
      </patternFill>
    </fill>
    <fill>
      <patternFill patternType="solid">
        <fgColor rgb="FFEDF1F7"/>
        <bgColor rgb="FFEAF1F8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/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double"/>
      <right/>
      <top style="double"/>
      <bottom/>
      <diagonal/>
    </border>
    <border diagonalUp="false" diagonalDown="false">
      <left style="double"/>
      <right style="double"/>
      <top style="double"/>
      <bottom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/>
      <diagonal/>
    </border>
    <border diagonalUp="false" diagonalDown="false">
      <left/>
      <right/>
      <top style="thin">
        <color rgb="FFD9D9D9"/>
      </top>
      <bottom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/>
      <right style="double"/>
      <top style="double"/>
      <bottom/>
      <diagonal/>
    </border>
    <border diagonalUp="false" diagonalDown="false"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  <border diagonalUp="false" diagonalDown="false">
      <left style="thin">
        <color rgb="FFD9E1EC"/>
      </left>
      <right/>
      <top style="thin">
        <color rgb="FFD9E1EC"/>
      </top>
      <bottom style="thin">
        <color rgb="FFD9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2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3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2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2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1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5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2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2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2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6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8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7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7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7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7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35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2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3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35" fillId="2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26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8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6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9" fillId="2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0" fillId="2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9">
    <dxf>
      <border diagonalUp="false" diagonalDown="false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diagonal/>
      </border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E8D5F0"/>
        </patternFill>
      </fill>
    </dxf>
    <dxf>
      <fill>
        <patternFill patternType="solid">
          <fgColor rgb="FFBFE4FF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5B946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E6DA3"/>
          <bgColor rgb="FF000000"/>
        </patternFill>
      </fill>
    </dxf>
    <dxf>
      <fill>
        <patternFill patternType="solid">
          <fgColor rgb="FFC77A45"/>
          <bgColor rgb="FF000000"/>
        </patternFill>
      </fill>
    </dxf>
    <dxf>
      <fill>
        <patternFill patternType="solid">
          <fgColor rgb="FF7D6B9E"/>
          <bgColor rgb="FF000000"/>
        </patternFill>
      </fill>
    </dxf>
    <dxf>
      <fill>
        <patternFill patternType="solid">
          <fgColor rgb="FFC0504D"/>
          <bgColor rgb="FF000000"/>
        </patternFill>
      </fill>
    </dxf>
    <dxf>
      <fill>
        <patternFill patternType="solid">
          <fgColor rgb="FF34495E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>
          <bgColor rgb="FFBFE4FF"/>
        </patternFill>
      </fill>
    </dxf>
    <dxf>
      <font>
        <name val="Calibri"/>
        <charset val="1"/>
        <family val="0"/>
        <b val="1"/>
        <strike val="1"/>
        <color rgb="FFC00000"/>
      </font>
    </dxf>
    <dxf>
      <font>
        <name val="Calibri"/>
        <charset val="1"/>
        <family val="0"/>
        <b val="1"/>
        <color rgb="FFFFFFFF"/>
      </font>
      <fill>
        <patternFill>
          <bgColor rgb="FFE06666"/>
        </patternFill>
      </fill>
    </dxf>
    <dxf>
      <font>
        <name val="Calibri"/>
        <charset val="1"/>
        <family val="0"/>
        <b val="1"/>
        <color rgb="FF1F6FB0"/>
      </font>
    </dxf>
    <dxf>
      <font>
        <name val="Calibri"/>
        <charset val="1"/>
        <family val="0"/>
        <b val="1"/>
        <color rgb="FF2E7D32"/>
      </font>
    </dxf>
    <dxf>
      <font>
        <name val="Calibri"/>
        <charset val="1"/>
        <family val="0"/>
        <b val="1"/>
        <color rgb="FFFFFFFF"/>
        <sz val="14"/>
      </font>
      <fill>
        <patternFill>
          <bgColor rgb="FF5B9469"/>
        </patternFill>
      </fill>
    </dxf>
    <dxf>
      <font>
        <name val="Calibri"/>
        <charset val="1"/>
        <family val="0"/>
        <color rgb="FF7F6000"/>
        <sz val="10"/>
      </font>
      <fill>
        <patternFill>
          <bgColor rgb="FFFFF2CC"/>
        </patternFill>
      </fill>
    </dxf>
    <dxf>
      <font>
        <name val="Calibri"/>
        <charset val="1"/>
        <family val="0"/>
        <b val="1"/>
        <color rgb="FFFFFFFF"/>
        <sz val="14"/>
      </font>
      <fill>
        <patternFill>
          <bgColor rgb="FF3E6DA3"/>
        </patternFill>
      </fill>
    </dxf>
    <dxf>
      <font>
        <name val="Calibri"/>
        <charset val="1"/>
        <family val="0"/>
        <b val="1"/>
        <color rgb="FFFFFFFF"/>
        <sz val="14"/>
      </font>
      <fill>
        <patternFill>
          <bgColor rgb="FFC77A45"/>
        </patternFill>
      </fill>
    </dxf>
    <dxf>
      <font>
        <name val="Calibri"/>
        <charset val="1"/>
        <family val="0"/>
        <b val="1"/>
        <color rgb="FFFFFFFF"/>
        <sz val="14"/>
      </font>
      <fill>
        <patternFill>
          <bgColor rgb="FF7D6B9E"/>
        </patternFill>
      </fill>
    </dxf>
    <dxf>
      <font>
        <name val="Calibri"/>
        <charset val="1"/>
        <family val="0"/>
        <b val="1"/>
        <color rgb="FFFFFFFF"/>
        <sz val="14"/>
      </font>
      <fill>
        <patternFill>
          <bgColor rgb="FFC0504D"/>
        </patternFill>
      </fill>
    </dxf>
    <dxf>
      <font>
        <name val="Calibri"/>
        <charset val="1"/>
        <family val="0"/>
        <b val="1"/>
        <color rgb="FFFFFFFF"/>
        <sz val="14"/>
      </font>
      <fill>
        <patternFill>
          <bgColor rgb="FF34495E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C00000"/>
      <rgbColor rgb="FF548235"/>
      <rgbColor rgb="FF7F7F7F"/>
      <rgbColor rgb="FFFFF2CC"/>
      <rgbColor rgb="FFEDEDED"/>
      <rgbColor rgb="FFD9E1EC"/>
      <rgbColor rgb="FF9C0006"/>
      <rgbColor rgb="FF006100"/>
      <rgbColor rgb="FF1F4E78"/>
      <rgbColor rgb="FF856404"/>
      <rgbColor rgb="FF595959"/>
      <rgbColor rgb="FF2E7D32"/>
      <rgbColor rgb="FFD9D9D9"/>
      <rgbColor rgb="FF808080"/>
      <rgbColor rgb="FF7F8C9A"/>
      <rgbColor rgb="FF953735"/>
      <rgbColor rgb="FFFFF3CD"/>
      <rgbColor rgb="FFEAF1F8"/>
      <rgbColor rgb="FF555555"/>
      <rgbColor rgb="FFE06666"/>
      <rgbColor rgb="FF0A69BB"/>
      <rgbColor rgb="FFBDD7EE"/>
      <rgbColor rgb="FF666666"/>
      <rgbColor rgb="FFF2F6FB"/>
      <rgbColor rgb="FFFFF9E6"/>
      <rgbColor rgb="FFE7E6E6"/>
      <rgbColor rgb="FFC0504B"/>
      <rgbColor rgb="FF721C24"/>
      <rgbColor rgb="FF3E6DA3"/>
      <rgbColor rgb="FF7F6000"/>
      <rgbColor rgb="FF8A8A8A"/>
      <rgbColor rgb="FFEDF1F7"/>
      <rgbColor rgb="FFC6EFCE"/>
      <rgbColor rgb="FFFFEB9C"/>
      <rgbColor rgb="FFBFE4FF"/>
      <rgbColor rgb="FFC77A45"/>
      <rgbColor rgb="FFE8D5F0"/>
      <rgbColor rgb="FFFFC7CE"/>
      <rgbColor rgb="FF2E75B6"/>
      <rgbColor rgb="FF5B9469"/>
      <rgbColor rgb="FFB9770E"/>
      <rgbColor rgb="FFFFD966"/>
      <rgbColor rgb="FFD9A441"/>
      <rgbColor rgb="FFC55A11"/>
      <rgbColor rgb="FF7D6B9E"/>
      <rgbColor rgb="FF999999"/>
      <rgbColor rgb="FF1F3864"/>
      <rgbColor rgb="FF2F8E9E"/>
      <rgbColor rgb="FF155724"/>
      <rgbColor rgb="FF202020"/>
      <rgbColor rgb="FF9C5700"/>
      <rgbColor rgb="FFC0504D"/>
      <rgbColor rgb="FF34495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B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48" hidden="false" customHeight="tru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4" customFormat="false" ht="15" hidden="false" customHeight="false" outlineLevel="0" collapsed="false">
      <c r="B4" s="3" t="s">
        <v>2</v>
      </c>
    </row>
    <row r="5" customFormat="false" ht="24" hidden="false" customHeight="true" outlineLevel="0" collapsed="false">
      <c r="B5" s="4" t="s">
        <v>3</v>
      </c>
      <c r="C5" s="5" t="n">
        <f aca="false">COUNTIF(Skills!M:M,"Active")</f>
        <v>147</v>
      </c>
    </row>
    <row r="6" customFormat="false" ht="24" hidden="false" customHeight="true" outlineLevel="0" collapsed="false">
      <c r="B6" s="4" t="s">
        <v>4</v>
      </c>
      <c r="C6" s="5" t="n">
        <f aca="false">SUM(Pipeline!K400:K4395)</f>
        <v>19</v>
      </c>
    </row>
    <row r="7" customFormat="false" ht="24" hidden="false" customHeight="true" outlineLevel="0" collapsed="false">
      <c r="B7" s="4" t="s">
        <v>5</v>
      </c>
      <c r="C7" s="5" t="n">
        <f aca="false">COUNTIF(Skills!M:M,"Maladie")</f>
        <v>3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6" t="s">
        <v>7</v>
      </c>
    </row>
    <row r="11" customFormat="false" ht="15" hidden="false" customHeight="false" outlineLevel="0" collapsed="false">
      <c r="B11" s="6" t="s">
        <v>8</v>
      </c>
    </row>
    <row r="12" customFormat="false" ht="15" hidden="false" customHeight="false" outlineLevel="0" collapsed="false">
      <c r="B12" s="6" t="s">
        <v>9</v>
      </c>
    </row>
    <row r="14" customFormat="false" ht="15" hidden="false" customHeight="false" outlineLevel="0" collapsed="false">
      <c r="B14" s="3" t="s">
        <v>10</v>
      </c>
    </row>
    <row r="15" customFormat="false" ht="15" hidden="false" customHeight="false" outlineLevel="0" collapsed="false">
      <c r="B15" s="7" t="s">
        <v>11</v>
      </c>
    </row>
    <row r="16" customFormat="false" ht="19.5" hidden="false" customHeight="true" outlineLevel="0" collapsed="false">
      <c r="B16" s="8" t="str">
        <f aca="false">HYPERLINK("#'Pipeline'!A1","→  Voir les formations en cours")</f>
        <v>→  Voir les formations en cours</v>
      </c>
    </row>
    <row r="17" customFormat="false" ht="19.5" hidden="false" customHeight="true" outlineLevel="0" collapsed="false">
      <c r="B17" s="8" t="str">
        <f aca="false">HYPERLINK("#'Tableau de Bord'!A1","→  Tableau de bord (indicateurs)")</f>
        <v>→  Tableau de bord (indicateurs)</v>
      </c>
    </row>
    <row r="18" customFormat="false" ht="19.5" hidden="false" customHeight="true" outlineLevel="0" collapsed="false">
      <c r="B18" s="8" t="str">
        <f aca="false">HYPERLINK("#'Skills'!A1","→  Compétences et agents")</f>
        <v>→  Compétences et agents</v>
      </c>
    </row>
    <row r="19" customFormat="false" ht="19.5" hidden="false" customHeight="true" outlineLevel="0" collapsed="false">
      <c r="B19" s="8" t="str">
        <f aca="false">HYPERLINK("#'Formation Initiale'!A1","→  Formation initiale (B2C / B2B)")</f>
        <v>→  Formation initiale (B2C / B2B)</v>
      </c>
    </row>
    <row r="20" customFormat="false" ht="19.5" hidden="false" customHeight="true" outlineLevel="0" collapsed="false">
      <c r="B20" s="8" t="str">
        <f aca="false">HYPERLINK("#'Agences &amp; Après-vente'!A1","→  Nouvelle compétence — Agences &amp; Après-vente")</f>
        <v>→  Nouvelle compétence — Agences &amp; Après-vente</v>
      </c>
    </row>
    <row r="21" customFormat="false" ht="19.5" hidden="false" customHeight="true" outlineLevel="0" collapsed="false">
      <c r="B21" s="8" t="str">
        <f aca="false">HYPERLINK("#'Evermont'!A1","→  Nouvelle compétence — Evermont")</f>
        <v>→  Nouvelle compétence — Evermont</v>
      </c>
    </row>
    <row r="22" customFormat="false" ht="19.5" hidden="false" customHeight="true" outlineLevel="0" collapsed="false">
      <c r="B22" s="8" t="str">
        <f aca="false">HYPERLINK("#'Planner'!A1","→  Calendrier des cohortes (Planner)")</f>
        <v>→  Calendrier des cohortes (Planner)</v>
      </c>
    </row>
    <row r="23" customFormat="false" ht="19.5" hidden="false" customHeight="true" outlineLevel="0" collapsed="false">
      <c r="B23" s="8" t="str">
        <f aca="false">HYPERLINK("#'Mode d''emploi'!A1","→  Mode d’emploi")</f>
        <v>→  Mode d’emploi</v>
      </c>
    </row>
    <row r="25" customFormat="false" ht="15" hidden="false" customHeight="false" outlineLevel="0" collapsed="false">
      <c r="B25" s="3" t="s">
        <v>12</v>
      </c>
    </row>
    <row r="26" customFormat="false" ht="15" hidden="false" customHeight="false" outlineLevel="0" collapsed="false">
      <c r="B26" s="9" t="s">
        <v>13</v>
      </c>
    </row>
    <row r="27" customFormat="false" ht="15" hidden="false" customHeight="false" outlineLevel="0" collapsed="false">
      <c r="B27" s="10" t="s">
        <v>14</v>
      </c>
    </row>
    <row r="29" customFormat="false" ht="15" hidden="false" customHeight="false" outlineLevel="0" collapsed="false">
      <c r="B29" s="11" t="s">
        <v>15</v>
      </c>
    </row>
  </sheetData>
  <mergeCells count="2">
    <mergeCell ref="B1:D1"/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L1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3"/>
  </cols>
  <sheetData>
    <row r="1" customFormat="false" ht="43.5" hidden="false" customHeight="true" outlineLevel="0" collapsed="false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8" hidden="false" customHeight="true" outlineLevel="0" collapsed="false">
      <c r="A2" s="13" t="str">
        <f aca="true">"Vue d'ensemble des formations · Mis à jour le "&amp;TEXT(TODAY(),"dddd dd mmmm yyyy")</f>
        <v>Vue d'ensemble des formations · Mis à jour le Friday 19 June 2026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customFormat="false" ht="15" hidden="false" customHeight="false" outlineLevel="0" collapsed="false">
      <c r="A3" s="14" t="str">
        <f aca="false">HYPERLINK("#Accueil!A1","⌂ Accueil")</f>
        <v>⌂ Accueil</v>
      </c>
    </row>
    <row r="4" customFormat="false" ht="24" hidden="false" customHeight="true" outlineLevel="0" collapsed="false">
      <c r="A4" s="15" t="s">
        <v>17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6" customFormat="false" ht="18" hidden="false" customHeight="true" outlineLevel="0" collapsed="false">
      <c r="A6" s="16" t="s">
        <v>18</v>
      </c>
      <c r="B6" s="16"/>
      <c r="C6" s="16" t="s">
        <v>19</v>
      </c>
      <c r="D6" s="16"/>
      <c r="E6" s="16" t="s">
        <v>20</v>
      </c>
      <c r="F6" s="16"/>
      <c r="G6" s="16" t="s">
        <v>21</v>
      </c>
      <c r="H6" s="16"/>
      <c r="I6" s="16" t="s">
        <v>22</v>
      </c>
      <c r="J6" s="16"/>
      <c r="K6" s="16"/>
      <c r="L6" s="16"/>
    </row>
    <row r="7" customFormat="false" ht="30" hidden="false" customHeight="true" outlineLevel="0" collapsed="false">
      <c r="A7" s="17" t="n">
        <f aca="false">COUNTIFS(Skills!$A$2:$A$999,"?*",Skills!$M$2:$M$999,"Active")</f>
        <v>147</v>
      </c>
      <c r="B7" s="17"/>
      <c r="C7" s="17" t="n">
        <f aca="false">COUNTIFS(Skills!$D$2:$D$999,"Montréal",Skills!$M$2:$M$999,"Active")</f>
        <v>112</v>
      </c>
      <c r="D7" s="17"/>
      <c r="E7" s="17" t="n">
        <f aca="false">COUNTIFS(Skills!$D$2:$D$999,"Lisbonne",Skills!$M$2:$M$999,"Active")</f>
        <v>35</v>
      </c>
      <c r="F7" s="17"/>
      <c r="G7" s="17" t="n">
        <f aca="false">SUMPRODUCT(IFERROR(1/COUNTIFS('Formation Initiale'!$B$2:$B$999,'Formation Initiale'!$B$2:$B$999,'Formation Initiale'!$R$2:$R$999,"En cours"),0)*('Formation Initiale'!$R$2:$R$999="En cours"))</f>
        <v>2</v>
      </c>
      <c r="H7" s="17"/>
      <c r="I7" s="17" t="n">
        <f aca="false">COUNTIF('Formation Initiale'!$R$2:$R$999,"En cours")+COUNTIF('Agences &amp; Après-vente'!$I$2:$I$1000,"En cours")+COUNTIF(Evermont!$Q$2:$Q$1000,"En cours")</f>
        <v>18</v>
      </c>
      <c r="J7" s="17"/>
      <c r="K7" s="17" t="n"/>
      <c r="L7" s="17"/>
    </row>
    <row r="9" customFormat="false" ht="24" hidden="false" customHeight="true" outlineLevel="0" collapsed="false">
      <c r="A9" s="15" t="s">
        <v>24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1" customFormat="false" ht="21.75" hidden="false" customHeight="true" outlineLevel="0" collapsed="false">
      <c r="A11" s="18" t="s">
        <v>25</v>
      </c>
      <c r="B11" s="18" t="s">
        <v>26</v>
      </c>
      <c r="C11" s="19" t="s">
        <v>27</v>
      </c>
      <c r="D11" s="19" t="s">
        <v>28</v>
      </c>
      <c r="E11" s="20" t="s">
        <v>29</v>
      </c>
      <c r="F11" s="20" t="s">
        <v>30</v>
      </c>
      <c r="G11" s="21" t="s">
        <v>31</v>
      </c>
    </row>
    <row r="12" customFormat="false" ht="31.5" hidden="false" customHeight="true" outlineLevel="0" collapsed="false">
      <c r="A12" s="22" t="n">
        <f aca="false">COUNTIFS(Skills!$E$2:$E$999,"✓",Skills!$M$2:$M$999,"Active")</f>
        <v>132</v>
      </c>
      <c r="B12" s="22" t="n">
        <f aca="false">COUNTIFS(Skills!$F$2:$F$999,"✓",Skills!$M$2:$M$999,"Active")</f>
        <v>97</v>
      </c>
      <c r="C12" s="23" t="n">
        <f aca="false">COUNTIFS(Skills!$G$2:$G$999,"✓",Skills!$M$2:$M$999,"Active")</f>
        <v>101</v>
      </c>
      <c r="D12" s="23" t="n">
        <f aca="false">COUNTIFS(Skills!$H$2:$H$999,"✓",Skills!$M$2:$M$999,"Active")</f>
        <v>79</v>
      </c>
      <c r="E12" s="24" t="n">
        <f aca="false">COUNTIFS(Skills!$I$2:$I$999,"✓",Skills!$M$2:$M$999,"Active")</f>
        <v>95</v>
      </c>
      <c r="F12" s="24" t="n">
        <f aca="false">COUNTIFS(Skills!$J$2:$J$999,"✓",Skills!$M$2:$M$999,"Active")</f>
        <v>76</v>
      </c>
      <c r="G12" s="25" t="n">
        <f aca="false">COUNTIFS(Skills!$K$2:$K$999,"✓",Skills!$M$2:$M$999,"Active")</f>
        <v>61</v>
      </c>
    </row>
    <row r="13" customFormat="false" ht="13.5" hidden="false" customHeight="true" outlineLevel="0" collapsed="false">
      <c r="A13" s="26" t="str">
        <f aca="false">"/ "&amp;COUNTIFS(Skills!$A$2:$A$999,"?*",Skills!$M$2:$M$999,"Active")</f>
        <v>/ 147</v>
      </c>
      <c r="B13" s="26" t="str">
        <f aca="false">"/ "&amp;COUNTIFS(Skills!$D$2:$D$999,"Montréal",Skills!$M$2:$M$999,"Active")</f>
        <v>/ 112</v>
      </c>
      <c r="C13" s="26" t="str">
        <f aca="false">"/ "&amp;COUNTIFS(Skills!$A$2:$A$999,"?*",Skills!$M$2:$M$999,"Active")</f>
        <v>/ 147</v>
      </c>
      <c r="D13" s="26" t="str">
        <f aca="false">"/ "&amp;COUNTIFS(Skills!$D$2:$D$999,"Montréal",Skills!$M$2:$M$999,"Active")</f>
        <v>/ 112</v>
      </c>
      <c r="E13" s="26" t="str">
        <f aca="false">"/ "&amp;COUNTIFS(Skills!$A$2:$A$999,"?*",Skills!$M$2:$M$999,"Active")</f>
        <v>/ 147</v>
      </c>
      <c r="F13" s="26" t="str">
        <f aca="false">"/ "&amp;COUNTIFS(Skills!$D$2:$D$999,"Montréal",Skills!$M$2:$M$999,"Active")</f>
        <v>/ 112</v>
      </c>
      <c r="G13" s="26" t="str">
        <f aca="false">"/ "&amp;COUNTIFS(Skills!$A$2:$A$999,"?*",Skills!$M$2:$M$999,"Active")</f>
        <v>/ 147</v>
      </c>
    </row>
    <row r="15" customFormat="false" ht="24" hidden="false" customHeight="true" outlineLevel="0" collapsed="false">
      <c r="A15" s="15" t="s">
        <v>32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7" customFormat="false" ht="27.75" hidden="false" customHeight="true" outlineLevel="0" collapsed="false">
      <c r="A17" s="27" t="s">
        <v>33</v>
      </c>
      <c r="B17" s="27"/>
      <c r="C17" s="28" t="s">
        <v>34</v>
      </c>
      <c r="D17" s="28"/>
      <c r="E17" s="29" t="s">
        <v>35</v>
      </c>
      <c r="F17" s="29"/>
      <c r="G17" s="30" t="s">
        <v>36</v>
      </c>
      <c r="H17" s="30"/>
      <c r="I17" s="31" t="s">
        <v>37</v>
      </c>
      <c r="J17" s="31"/>
    </row>
    <row r="18" customFormat="false" ht="39.75" hidden="false" customHeight="true" outlineLevel="0" collapsed="false">
      <c r="A18" s="32" t="n">
        <f aca="false">COUNTIF('Formation Initiale'!$R$2:$R$999,"Terminé")+COUNTIF('Agences &amp; Après-vente'!$I$2:$I$1000,"DONE")+COUNTIF(Evermont!$Q$2:$Q$1000,"Terminé")</f>
        <v>261</v>
      </c>
      <c r="B18" s="32"/>
      <c r="C18" s="33" t="n">
        <f aca="false">COUNTIF('Formation Initiale'!$R$2:$R$999,"En cours")+COUNTIF('Agences &amp; Après-vente'!$I$2:$I$1000,"En cours")+COUNTIF(Evermont!$Q$2:$Q$1000,"En cours")</f>
        <v>18</v>
      </c>
      <c r="D18" s="33"/>
      <c r="E18" s="34" t="n">
        <f aca="false">COUNTIF('Formation Initiale'!$R$2:$R$999,"À venir")+COUNTIF('Agences &amp; Après-vente'!$I$2:$I$1000,"À venir")+COUNTIF(Evermont!$Q$2:$Q$1000,"À venir")</f>
        <v>1</v>
      </c>
      <c r="F18" s="34"/>
      <c r="G18" s="35" t="n">
        <f aca="false">IFERROR(AVERAGEIFS('Formation Initiale'!$M$2:$M$999,'Formation Initiale'!$R$2:$R$999,"En cours"),0)</f>
        <v>0.166</v>
      </c>
      <c r="H18" s="35"/>
      <c r="I18" s="36" t="n">
        <f aca="false">IFERROR(COUNTIF('Formation Initiale'!$W$2:$W$999,"Y")/COUNTIF(Skills!$A$2:$A$999,"?*"),0)</f>
        <v>0.378531073446328</v>
      </c>
      <c r="J18" s="36"/>
    </row>
    <row r="20" customFormat="false" ht="24" hidden="false" customHeight="true" outlineLevel="0" collapsed="false">
      <c r="A20" s="15" t="s">
        <v>38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2" customFormat="false" ht="30" hidden="false" customHeight="true" outlineLevel="0" collapsed="false">
      <c r="A22" s="37" t="s">
        <v>39</v>
      </c>
      <c r="B22" s="37"/>
      <c r="C22" s="28" t="s">
        <v>40</v>
      </c>
      <c r="D22" s="28"/>
      <c r="E22" s="27" t="s">
        <v>41</v>
      </c>
      <c r="F22" s="27"/>
      <c r="G22" s="38" t="s">
        <v>42</v>
      </c>
      <c r="H22" s="38"/>
    </row>
    <row r="23" customFormat="false" ht="39.75" hidden="false" customHeight="true" outlineLevel="0" collapsed="false">
      <c r="A23" s="39" t="n">
        <f aca="false">COUNTIF('Formation Initiale'!$P$2:$P$999,"P1")</f>
        <v>20</v>
      </c>
      <c r="B23" s="39"/>
      <c r="C23" s="33" t="n">
        <f aca="false">COUNTIF('Formation Initiale'!$P$2:$P$999,"P2")</f>
        <v>7</v>
      </c>
      <c r="D23" s="33"/>
      <c r="E23" s="32" t="n">
        <f aca="false">COUNTIF('Formation Initiale'!$P$2:$P$999,"P3")</f>
        <v>70</v>
      </c>
      <c r="F23" s="32"/>
      <c r="G23" s="40" t="n">
        <f aca="false">SUMPRODUCT(('Formation Initiale'!$R$2:$R$999="En cours")*('Formation Initiale'!$P$2:$P$999=""))</f>
        <v>0</v>
      </c>
      <c r="H23" s="40"/>
    </row>
    <row r="25" customFormat="false" ht="24" hidden="false" customHeight="true" outlineLevel="0" collapsed="false">
      <c r="A25" s="15" t="s">
        <v>43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</row>
    <row r="27" customFormat="false" ht="30" hidden="false" customHeight="true" outlineLevel="0" collapsed="false">
      <c r="A27" s="41" t="s">
        <v>44</v>
      </c>
      <c r="B27" s="41" t="s">
        <v>45</v>
      </c>
      <c r="C27" s="41" t="s">
        <v>46</v>
      </c>
      <c r="D27" s="41" t="s">
        <v>25</v>
      </c>
      <c r="E27" s="41" t="s">
        <v>26</v>
      </c>
      <c r="F27" s="41" t="s">
        <v>27</v>
      </c>
      <c r="G27" s="41" t="s">
        <v>28</v>
      </c>
      <c r="H27" s="41" t="s">
        <v>29</v>
      </c>
      <c r="I27" s="41" t="s">
        <v>30</v>
      </c>
      <c r="J27" s="41" t="s">
        <v>31</v>
      </c>
      <c r="K27" s="41" t="s">
        <v>47</v>
      </c>
    </row>
    <row r="28" customFormat="false" ht="15" hidden="false" customHeight="true" outlineLevel="0" collapsed="false">
      <c r="A28" s="42" t="s">
        <v>48</v>
      </c>
      <c r="B28" s="43" t="n">
        <f aca="false">COUNTIFS(Skills!$D$2:$D$999,"Montréal",Skills!$M$2:$M$999,"Active")</f>
        <v>112</v>
      </c>
      <c r="C28" s="43" t="n">
        <f aca="false">COUNTIFS('Formation Initiale'!$R$2:$R$999,"En cours",'Formation Initiale'!$F$2:$F$999,"Montréal")</f>
        <v>15</v>
      </c>
      <c r="D28" s="43" t="n">
        <f aca="false">COUNTIFS(Skills!$E$2:$E$999,"✓",Skills!$D$2:$D$999,"Montréal",Skills!$M$2:$M$999,"Active")</f>
        <v>97</v>
      </c>
      <c r="E28" s="43" t="n">
        <f aca="false">COUNTIFS(Skills!$F$2:$F$999,"✓",Skills!$D$2:$D$999,"Montréal",Skills!$M$2:$M$999,"Active")</f>
        <v>97</v>
      </c>
      <c r="F28" s="43" t="n">
        <f aca="false">COUNTIFS(Skills!$G$2:$G$999,"✓",Skills!$D$2:$D$999,"Montréal",Skills!$M$2:$M$999,"Active")</f>
        <v>79</v>
      </c>
      <c r="G28" s="43" t="n">
        <f aca="false">COUNTIFS(Skills!$H$2:$H$999,"✓",Skills!$D$2:$D$999,"Montréal",Skills!$M$2:$M$999,"Active")</f>
        <v>79</v>
      </c>
      <c r="H28" s="43" t="n">
        <f aca="false">COUNTIFS(Skills!$I$2:$I$999,"✓",Skills!$D$2:$D$999,"Montréal",Skills!$M$2:$M$999,"Active")</f>
        <v>76</v>
      </c>
      <c r="I28" s="43" t="n">
        <f aca="false">COUNTIFS(Skills!$J$2:$J$999,"✓",Skills!$D$2:$D$999,"Montréal",Skills!$M$2:$M$999,"Active")</f>
        <v>76</v>
      </c>
      <c r="J28" s="43" t="n">
        <f aca="false">COUNTIFS(Skills!$K$2:$K$999,"✓",Skills!$D$2:$D$999,"Montréal",Skills!$M$2:$M$999,"Active")</f>
        <v>61</v>
      </c>
      <c r="K28" s="44" t="n">
        <f aca="false">IFERROR(COUNTIFS('Formation Initiale'!$W$2:$W$999,"Y",'Formation Initiale'!$F$2:$F$999,"Montréal")/COUNTIFS('Formation Initiale'!$F$2:$F$999,"Montréal"),0)</f>
        <v>0.454545454545455</v>
      </c>
    </row>
    <row r="29" customFormat="false" ht="15" hidden="false" customHeight="true" outlineLevel="0" collapsed="false">
      <c r="A29" s="42" t="s">
        <v>49</v>
      </c>
      <c r="B29" s="43" t="n">
        <f aca="false">COUNTIFS(Skills!$D$2:$D$999,"Lisbonne",Skills!$M$2:$M$999,"Active")</f>
        <v>35</v>
      </c>
      <c r="C29" s="43" t="n">
        <f aca="false">COUNTIFS('Formation Initiale'!$R$2:$R$999,"En cours",'Formation Initiale'!$F$2:$F$999,"Lisbonne")</f>
        <v>0</v>
      </c>
      <c r="D29" s="43" t="n">
        <f aca="false">COUNTIFS(Skills!$E$2:$E$999,"✓",Skills!$D$2:$D$999,"Lisbonne",Skills!$M$2:$M$999,"Active")</f>
        <v>35</v>
      </c>
      <c r="E29" s="43" t="n">
        <f aca="false">COUNTIFS(Skills!$F$2:$F$999,"✓",Skills!$D$2:$D$999,"Lisbonne",Skills!$M$2:$M$999,"Active")</f>
        <v>0</v>
      </c>
      <c r="F29" s="43" t="n">
        <f aca="false">COUNTIFS(Skills!$G$2:$G$999,"✓",Skills!$D$2:$D$999,"Lisbonne",Skills!$M$2:$M$999,"Active")</f>
        <v>22</v>
      </c>
      <c r="G29" s="43" t="n">
        <f aca="false">COUNTIFS(Skills!$H$2:$H$999,"✓",Skills!$D$2:$D$999,"Lisbonne",Skills!$M$2:$M$999,"Active")</f>
        <v>0</v>
      </c>
      <c r="H29" s="43" t="n">
        <f aca="false">COUNTIFS(Skills!$I$2:$I$999,"✓",Skills!$D$2:$D$999,"Lisbonne",Skills!$M$2:$M$999,"Active")</f>
        <v>19</v>
      </c>
      <c r="I29" s="43" t="n">
        <f aca="false">COUNTIFS(Skills!$J$2:$J$999,"✓",Skills!$D$2:$D$999,"Lisbonne",Skills!$M$2:$M$999,"Active")</f>
        <v>0</v>
      </c>
      <c r="J29" s="43" t="n">
        <f aca="false">COUNTIFS(Skills!$K$2:$K$999,"✓",Skills!$D$2:$D$999,"Lisbonne",Skills!$M$2:$M$999,"Active")</f>
        <v>0</v>
      </c>
      <c r="K29" s="44" t="n">
        <f aca="false">IFERROR(COUNTIFS('Formation Initiale'!$W$2:$W$999,"Y",'Formation Initiale'!$F$2:$F$999,"Lisbonne")/COUNTIFS('Formation Initiale'!$F$2:$F$999,"Lisbonne"),0)</f>
        <v>0.886792452830189</v>
      </c>
    </row>
    <row r="30" customFormat="false" ht="15" hidden="false" customHeight="true" outlineLevel="0" collapsed="false">
      <c r="A30" s="45" t="s">
        <v>50</v>
      </c>
      <c r="B30" s="45" t="n">
        <f aca="false">COUNTIFS(Skills!$A$2:$A$999,"?*",Skills!$M$2:$M$999,"Active")</f>
        <v>147</v>
      </c>
      <c r="C30" s="45" t="n">
        <f aca="false">COUNTIF('Formation Initiale'!$R$2:$R$999,"En cours")</f>
        <v>15</v>
      </c>
      <c r="D30" s="45" t="n">
        <f aca="false">COUNTIFS(Skills!$E$2:$E$999,"✓",Skills!$M$2:$M$999,"Active")</f>
        <v>132</v>
      </c>
      <c r="E30" s="45" t="n">
        <f aca="false">COUNTIFS(Skills!$F$2:$F$999,"✓",Skills!$M$2:$M$999,"Active")</f>
        <v>97</v>
      </c>
      <c r="F30" s="45" t="n">
        <f aca="false">COUNTIFS(Skills!$G$2:$G$999,"✓",Skills!$M$2:$M$999,"Active")</f>
        <v>101</v>
      </c>
      <c r="G30" s="45" t="n">
        <f aca="false">COUNTIFS(Skills!$H$2:$H$999,"✓",Skills!$M$2:$M$999,"Active")</f>
        <v>79</v>
      </c>
      <c r="H30" s="45" t="n">
        <f aca="false">COUNTIFS(Skills!$I$2:$I$999,"✓",Skills!$M$2:$M$999,"Active")</f>
        <v>95</v>
      </c>
      <c r="I30" s="45" t="n">
        <f aca="false">COUNTIFS(Skills!$J$2:$J$999,"✓",Skills!$M$2:$M$999,"Active")</f>
        <v>76</v>
      </c>
      <c r="J30" s="45" t="n">
        <f aca="false">COUNTIFS(Skills!$K$2:$K$999,"✓",Skills!$M$2:$M$999,"Active")</f>
        <v>61</v>
      </c>
      <c r="K30" s="46" t="n">
        <f aca="false">IFERROR(COUNTIF('Formation Initiale'!$W$2:$W$999,"Y")/COUNTA('Formation Initiale'!$E$2:$E$999),0)</f>
        <v>0.0671342685370742</v>
      </c>
    </row>
    <row r="33" customFormat="false" ht="24" hidden="false" customHeight="true" outlineLevel="0" collapsed="false">
      <c r="A33" s="15" t="s">
        <v>51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5" customFormat="false" ht="27.75" hidden="false" customHeight="true" outlineLevel="0" collapsed="false">
      <c r="A35" s="41" t="s">
        <v>52</v>
      </c>
      <c r="B35" s="41" t="s">
        <v>53</v>
      </c>
      <c r="C35" s="41" t="s">
        <v>44</v>
      </c>
      <c r="D35" s="41" t="s">
        <v>54</v>
      </c>
      <c r="E35" s="41" t="s">
        <v>55</v>
      </c>
      <c r="F35" s="41" t="s">
        <v>56</v>
      </c>
      <c r="G35" s="41" t="s">
        <v>57</v>
      </c>
      <c r="H35" s="41" t="s">
        <v>58</v>
      </c>
      <c r="I35" s="41" t="s">
        <v>59</v>
      </c>
    </row>
    <row r="36" customFormat="false" ht="15" hidden="false" customHeight="true" outlineLevel="0" collapsed="false">
      <c r="A36" s="42" t="s">
        <v>60</v>
      </c>
      <c r="B36" s="43" t="n">
        <f aca="false">COUNTIF('Formation Initiale'!$B$2:$B$999,"173")</f>
        <v>6</v>
      </c>
      <c r="C36" s="43" t="str">
        <f aca="false">IF(LEFT($A36,2)="OS","🇵🇹 Lisbonne","🇨🇦 Montréal")</f>
        <v>🇨🇦 Montréal</v>
      </c>
      <c r="D36" s="47" t="n">
        <f aca="false">IFERROR(_xlfn.MINIFS('Formation Initiale'!$G$2:$G$999,'Formation Initiale'!$B$2:$B$999,"173"),"")</f>
        <v>46056</v>
      </c>
      <c r="E36" s="47" t="n">
        <f aca="false">IFERROR(_xlfn.MAXIFS('Formation Initiale'!$H$2:$H$999,'Formation Initiale'!$B$2:$B$999,"173"),"")</f>
        <v>46070</v>
      </c>
      <c r="F36" s="43" t="n">
        <f aca="false">COUNTIFS('Formation Initiale'!$B$2:$B$999,"173",'Formation Initiale'!$R$2:$R$999,"Terminé")</f>
        <v>6</v>
      </c>
      <c r="G36" s="43" t="n">
        <f aca="false">COUNTIFS('Formation Initiale'!$B$2:$B$999,"173",'Formation Initiale'!$R$2:$R$999,"En cours")</f>
        <v>0</v>
      </c>
      <c r="H36" s="44" t="n">
        <f aca="false">IFERROR(COUNTIFS('Formation Initiale'!$B$2:$B$999,"173",'Formation Initiale'!$R$2:$R$999,"Terminé")/COUNTIF('Formation Initiale'!$B$2:$B$999,"173"),0)</f>
        <v>1</v>
      </c>
      <c r="I36" s="43" t="n">
        <f aca="false">COUNTIFS('Formation Initiale'!$B$2:$B$999,"173",'Formation Initiale'!$W$2:$W$999,"Y")</f>
        <v>6</v>
      </c>
    </row>
    <row r="37" customFormat="false" ht="15" hidden="false" customHeight="true" outlineLevel="0" collapsed="false">
      <c r="A37" s="42" t="s">
        <v>61</v>
      </c>
      <c r="B37" s="43" t="n">
        <f aca="false">COUNTIF('Formation Initiale'!$B$2:$B$999,"174")</f>
        <v>5</v>
      </c>
      <c r="C37" s="43" t="str">
        <f aca="false">IF(LEFT($A37,2)="OS","🇵🇹 Lisbonne","🇨🇦 Montréal")</f>
        <v>🇨🇦 Montréal</v>
      </c>
      <c r="D37" s="47" t="n">
        <f aca="false">IFERROR(_xlfn.MINIFS('Formation Initiale'!$G$2:$G$999,'Formation Initiale'!$B$2:$B$999,"174"),"")</f>
        <v>46099</v>
      </c>
      <c r="E37" s="47" t="n">
        <f aca="false">IFERROR(_xlfn.MAXIFS('Formation Initiale'!$H$2:$H$999,'Formation Initiale'!$B$2:$B$999,"174"),"")</f>
        <v>46114</v>
      </c>
      <c r="F37" s="43" t="n">
        <f aca="false">COUNTIFS('Formation Initiale'!$B$2:$B$999,"174",'Formation Initiale'!$R$2:$R$999,"Terminé")</f>
        <v>5</v>
      </c>
      <c r="G37" s="43" t="n">
        <f aca="false">COUNTIFS('Formation Initiale'!$B$2:$B$999,"174",'Formation Initiale'!$R$2:$R$999,"En cours")</f>
        <v>0</v>
      </c>
      <c r="H37" s="44" t="n">
        <f aca="false">IFERROR(COUNTIFS('Formation Initiale'!$B$2:$B$999,"174",'Formation Initiale'!$R$2:$R$999,"Terminé")/COUNTIF('Formation Initiale'!$B$2:$B$999,"174"),0)</f>
        <v>1</v>
      </c>
      <c r="I37" s="43" t="n">
        <f aca="false">COUNTIFS('Formation Initiale'!$B$2:$B$999,"174",'Formation Initiale'!$W$2:$W$999,"Y")</f>
        <v>5</v>
      </c>
    </row>
    <row r="38" customFormat="false" ht="15" hidden="false" customHeight="true" outlineLevel="0" collapsed="false">
      <c r="A38" s="42" t="s">
        <v>62</v>
      </c>
      <c r="B38" s="43" t="n">
        <f aca="false">COUNTIF('Formation Initiale'!$B$2:$B$999,"175")</f>
        <v>8</v>
      </c>
      <c r="C38" s="43" t="str">
        <f aca="false">IF(LEFT($A38,2)="OS","🇵🇹 Lisbonne","🇨🇦 Montréal")</f>
        <v>🇨🇦 Montréal</v>
      </c>
      <c r="D38" s="47" t="n">
        <f aca="false">IFERROR(_xlfn.MINIFS('Formation Initiale'!$G$2:$G$999,'Formation Initiale'!$B$2:$B$999,"175"),"")</f>
        <v>46125</v>
      </c>
      <c r="E38" s="47" t="n">
        <f aca="false">IFERROR(_xlfn.MAXIFS('Formation Initiale'!$H$2:$H$999,'Formation Initiale'!$B$2:$B$999,"175"),"")</f>
        <v>46139</v>
      </c>
      <c r="F38" s="43" t="n">
        <f aca="false">COUNTIFS('Formation Initiale'!$B$2:$B$999,"175",'Formation Initiale'!$R$2:$R$999,"Terminé")</f>
        <v>8</v>
      </c>
      <c r="G38" s="43" t="n">
        <f aca="false">COUNTIFS('Formation Initiale'!$B$2:$B$999,"175",'Formation Initiale'!$R$2:$R$999,"En cours")</f>
        <v>0</v>
      </c>
      <c r="H38" s="44" t="n">
        <f aca="false">IFERROR(COUNTIFS('Formation Initiale'!$B$2:$B$999,"175",'Formation Initiale'!$R$2:$R$999,"Terminé")/COUNTIF('Formation Initiale'!$B$2:$B$999,"175"),0)</f>
        <v>1</v>
      </c>
      <c r="I38" s="43" t="n">
        <f aca="false">COUNTIFS('Formation Initiale'!$B$2:$B$999,"175",'Formation Initiale'!$W$2:$W$999,"Y")</f>
        <v>8</v>
      </c>
    </row>
    <row r="39" customFormat="false" ht="15" hidden="false" customHeight="true" outlineLevel="0" collapsed="false">
      <c r="A39" s="42" t="s">
        <v>63</v>
      </c>
      <c r="B39" s="43" t="n">
        <f aca="false">COUNTIF('Formation Initiale'!$B$2:$B$999,"176")</f>
        <v>1</v>
      </c>
      <c r="C39" s="43" t="str">
        <f aca="false">IF(LEFT($A39,2)="OS","🇵🇹 Lisbonne","🇨🇦 Montréal")</f>
        <v>🇨🇦 Montréal</v>
      </c>
      <c r="D39" s="47" t="n">
        <f aca="false">IFERROR(_xlfn.MINIFS('Formation Initiale'!$G$2:$G$999,'Formation Initiale'!$B$2:$B$999,"176"),"")</f>
        <v>46146</v>
      </c>
      <c r="E39" s="47" t="n">
        <f aca="false">IFERROR(_xlfn.MAXIFS('Formation Initiale'!$H$2:$H$999,'Formation Initiale'!$B$2:$B$999,"176"),"")</f>
        <v>46161</v>
      </c>
      <c r="F39" s="43" t="n">
        <f aca="false">COUNTIFS('Formation Initiale'!$B$2:$B$999,"176",'Formation Initiale'!$R$2:$R$999,"Terminé")</f>
        <v>1</v>
      </c>
      <c r="G39" s="43" t="n">
        <f aca="false">COUNTIFS('Formation Initiale'!$B$2:$B$999,"176",'Formation Initiale'!$R$2:$R$999,"En cours")</f>
        <v>0</v>
      </c>
      <c r="H39" s="44" t="n">
        <f aca="false">IFERROR(COUNTIFS('Formation Initiale'!$B$2:$B$999,"176",'Formation Initiale'!$R$2:$R$999,"Terminé")/COUNTIF('Formation Initiale'!$B$2:$B$999,"176"),0)</f>
        <v>1</v>
      </c>
      <c r="I39" s="43" t="n">
        <f aca="false">COUNTIFS('Formation Initiale'!$B$2:$B$999,"176",'Formation Initiale'!$W$2:$W$999,"Y")</f>
        <v>1</v>
      </c>
    </row>
    <row r="40" customFormat="false" ht="15" hidden="false" customHeight="true" outlineLevel="0" collapsed="false">
      <c r="A40" s="42" t="s">
        <v>64</v>
      </c>
      <c r="B40" s="43" t="n">
        <f aca="false">COUNTIF('Formation Initiale'!$B$2:$B$999,"177")</f>
        <v>9</v>
      </c>
      <c r="C40" s="43" t="str">
        <f aca="false">IF(LEFT($A40,2)="OS","🇵🇹 Lisbonne","🇨🇦 Montréal")</f>
        <v>🇨🇦 Montréal</v>
      </c>
      <c r="D40" s="47" t="n">
        <f aca="false">IFERROR(_xlfn.MINIFS('Formation Initiale'!$G$2:$G$999,'Formation Initiale'!$B$2:$B$999,"177"),"")</f>
        <v>46167</v>
      </c>
      <c r="E40" s="47" t="n">
        <f aca="false">IFERROR(_xlfn.MAXIFS('Formation Initiale'!$H$2:$H$999,'Formation Initiale'!$B$2:$B$999,"177"),"")</f>
        <v>46181</v>
      </c>
      <c r="F40" s="43" t="n">
        <f aca="false">COUNTIFS('Formation Initiale'!$B$2:$B$999,"177",'Formation Initiale'!$R$2:$R$999,"Terminé")</f>
        <v>9</v>
      </c>
      <c r="G40" s="43" t="n">
        <f aca="false">COUNTIFS('Formation Initiale'!$B$2:$B$999,"177",'Formation Initiale'!$R$2:$R$999,"En cours")</f>
        <v>0</v>
      </c>
      <c r="H40" s="44" t="n">
        <f aca="false">IFERROR(COUNTIFS('Formation Initiale'!$B$2:$B$999,"177",'Formation Initiale'!$R$2:$R$999,"Terminé")/COUNTIF('Formation Initiale'!$B$2:$B$999,"177"),0)</f>
        <v>1</v>
      </c>
      <c r="I40" s="43" t="n">
        <f aca="false">COUNTIFS('Formation Initiale'!$B$2:$B$999,"177",'Formation Initiale'!$W$2:$W$999,"Y")</f>
        <v>0</v>
      </c>
    </row>
    <row r="41" customFormat="false" ht="15" hidden="false" customHeight="true" outlineLevel="0" collapsed="false">
      <c r="A41" s="42" t="s">
        <v>65</v>
      </c>
      <c r="B41" s="43" t="n">
        <f aca="false">COUNTIF('Formation Initiale'!$B$2:$B$999,"OS1")</f>
        <v>13</v>
      </c>
      <c r="C41" s="43" t="str">
        <f aca="false">IF(LEFT($A41,2)="OS","🇵🇹 Lisbonne","🇨🇦 Montréal")</f>
        <v>🇵🇹 Lisbonne</v>
      </c>
      <c r="D41" s="47" t="n">
        <f aca="false">IFERROR(_xlfn.MINIFS('Formation Initiale'!$G$2:$G$999,'Formation Initiale'!$B$2:$B$999,"OS1"),"")</f>
        <v>46006</v>
      </c>
      <c r="E41" s="47" t="n">
        <f aca="false">IFERROR(_xlfn.MAXIFS('Formation Initiale'!$H$2:$H$999,'Formation Initiale'!$B$2:$B$999,"OS1"),"")</f>
        <v>46017</v>
      </c>
      <c r="F41" s="43" t="n">
        <f aca="false">COUNTIFS('Formation Initiale'!$B$2:$B$999,"OS1",'Formation Initiale'!$R$2:$R$999,"Terminé")</f>
        <v>13</v>
      </c>
      <c r="G41" s="43" t="n">
        <f aca="false">COUNTIFS('Formation Initiale'!$B$2:$B$999,"OS1",'Formation Initiale'!$R$2:$R$999,"En cours")</f>
        <v>0</v>
      </c>
      <c r="H41" s="44" t="n">
        <f aca="false">IFERROR(COUNTIFS('Formation Initiale'!$B$2:$B$999,"OS1",'Formation Initiale'!$R$2:$R$999,"Terminé")/COUNTIF('Formation Initiale'!$B$2:$B$999,"OS1"),0)</f>
        <v>1</v>
      </c>
      <c r="I41" s="43" t="n">
        <f aca="false">COUNTIFS('Formation Initiale'!$B$2:$B$999,"OS1",'Formation Initiale'!$W$2:$W$999,"Y")</f>
        <v>13</v>
      </c>
    </row>
    <row r="42" customFormat="false" ht="15" hidden="false" customHeight="true" outlineLevel="0" collapsed="false">
      <c r="A42" s="42" t="s">
        <v>66</v>
      </c>
      <c r="B42" s="43" t="n">
        <f aca="false">COUNTIF('Formation Initiale'!$B$2:$B$999,"OS2")</f>
        <v>5</v>
      </c>
      <c r="C42" s="43" t="str">
        <f aca="false">IF(LEFT($A42,2)="OS","🇵🇹 Lisbonne","🇨🇦 Montréal")</f>
        <v>🇵🇹 Lisbonne</v>
      </c>
      <c r="D42" s="47" t="n">
        <f aca="false">IFERROR(_xlfn.MINIFS('Formation Initiale'!$G$2:$G$999,'Formation Initiale'!$B$2:$B$999,"OS2"),"")</f>
        <v>46027</v>
      </c>
      <c r="E42" s="47" t="n">
        <f aca="false">IFERROR(_xlfn.MAXIFS('Formation Initiale'!$H$2:$H$999,'Formation Initiale'!$B$2:$B$999,"OS2"),"")</f>
        <v>46038</v>
      </c>
      <c r="F42" s="43" t="n">
        <f aca="false">COUNTIFS('Formation Initiale'!$B$2:$B$999,"OS2",'Formation Initiale'!$R$2:$R$999,"Terminé")</f>
        <v>5</v>
      </c>
      <c r="G42" s="43" t="n">
        <f aca="false">COUNTIFS('Formation Initiale'!$B$2:$B$999,"OS2",'Formation Initiale'!$R$2:$R$999,"En cours")</f>
        <v>0</v>
      </c>
      <c r="H42" s="44" t="n">
        <f aca="false">IFERROR(COUNTIFS('Formation Initiale'!$B$2:$B$999,"OS2",'Formation Initiale'!$R$2:$R$999,"Terminé")/COUNTIF('Formation Initiale'!$B$2:$B$999,"OS2"),0)</f>
        <v>1</v>
      </c>
      <c r="I42" s="43" t="n">
        <f aca="false">COUNTIFS('Formation Initiale'!$B$2:$B$999,"OS2",'Formation Initiale'!$W$2:$W$999,"Y")</f>
        <v>5</v>
      </c>
    </row>
    <row r="43" customFormat="false" ht="15" hidden="false" customHeight="true" outlineLevel="0" collapsed="false">
      <c r="A43" s="42" t="s">
        <v>67</v>
      </c>
      <c r="B43" s="43" t="n">
        <f aca="false">COUNTIF('Formation Initiale'!$B$2:$B$999,"OS3")</f>
        <v>9</v>
      </c>
      <c r="C43" s="43" t="str">
        <f aca="false">IF(LEFT($A43,2)="OS","🇵🇹 Lisbonne","🇨🇦 Montréal")</f>
        <v>🇵🇹 Lisbonne</v>
      </c>
      <c r="D43" s="47" t="n">
        <f aca="false">IFERROR(_xlfn.MINIFS('Formation Initiale'!$G$2:$G$999,'Formation Initiale'!$B$2:$B$999,"OS3"),"")</f>
        <v>46034</v>
      </c>
      <c r="E43" s="47" t="n">
        <f aca="false">IFERROR(_xlfn.MAXIFS('Formation Initiale'!$H$2:$H$999,'Formation Initiale'!$B$2:$B$999,"OS3"),"")</f>
        <v>46045</v>
      </c>
      <c r="F43" s="43" t="n">
        <f aca="false">COUNTIFS('Formation Initiale'!$B$2:$B$999,"OS3",'Formation Initiale'!$R$2:$R$999,"Terminé")</f>
        <v>9</v>
      </c>
      <c r="G43" s="43" t="n">
        <f aca="false">COUNTIFS('Formation Initiale'!$B$2:$B$999,"OS3",'Formation Initiale'!$R$2:$R$999,"En cours")</f>
        <v>0</v>
      </c>
      <c r="H43" s="44" t="n">
        <f aca="false">IFERROR(COUNTIFS('Formation Initiale'!$B$2:$B$999,"OS3",'Formation Initiale'!$R$2:$R$999,"Terminé")/COUNTIF('Formation Initiale'!$B$2:$B$999,"OS3"),0)</f>
        <v>1</v>
      </c>
      <c r="I43" s="43" t="n">
        <f aca="false">COUNTIFS('Formation Initiale'!$B$2:$B$999,"OS3",'Formation Initiale'!$W$2:$W$999,"Y")</f>
        <v>9</v>
      </c>
    </row>
    <row r="44" customFormat="false" ht="15" hidden="false" customHeight="true" outlineLevel="0" collapsed="false">
      <c r="A44" s="42" t="s">
        <v>68</v>
      </c>
      <c r="B44" s="43" t="n">
        <f aca="false">COUNTIF('Formation Initiale'!$B$2:$B$999,"OS4")</f>
        <v>5</v>
      </c>
      <c r="C44" s="43" t="str">
        <f aca="false">IF(LEFT($A44,2)="OS","🇵🇹 Lisbonne","🇨🇦 Montréal")</f>
        <v>🇵🇹 Lisbonne</v>
      </c>
      <c r="D44" s="47" t="n">
        <f aca="false">IFERROR(_xlfn.MINIFS('Formation Initiale'!$G$2:$G$999,'Formation Initiale'!$B$2:$B$999,"OS4"),"")</f>
        <v>46043</v>
      </c>
      <c r="E44" s="47" t="n">
        <f aca="false">IFERROR(_xlfn.MAXIFS('Formation Initiale'!$H$2:$H$999,'Formation Initiale'!$B$2:$B$999,"OS4"),"")</f>
        <v>46056</v>
      </c>
      <c r="F44" s="43" t="n">
        <f aca="false">COUNTIFS('Formation Initiale'!$B$2:$B$999,"OS4",'Formation Initiale'!$R$2:$R$999,"Terminé")</f>
        <v>5</v>
      </c>
      <c r="G44" s="43" t="n">
        <f aca="false">COUNTIFS('Formation Initiale'!$B$2:$B$999,"OS4",'Formation Initiale'!$R$2:$R$999,"En cours")</f>
        <v>0</v>
      </c>
      <c r="H44" s="44" t="n">
        <f aca="false">IFERROR(COUNTIFS('Formation Initiale'!$B$2:$B$999,"OS4",'Formation Initiale'!$R$2:$R$999,"Terminé")/COUNTIF('Formation Initiale'!$B$2:$B$999,"OS4"),0)</f>
        <v>1</v>
      </c>
      <c r="I44" s="43" t="n">
        <f aca="false">COUNTIFS('Formation Initiale'!$B$2:$B$999,"OS4",'Formation Initiale'!$W$2:$W$999,"Y")</f>
        <v>5</v>
      </c>
    </row>
    <row r="45" customFormat="false" ht="15" hidden="false" customHeight="true" outlineLevel="0" collapsed="false">
      <c r="A45" s="42" t="s">
        <v>69</v>
      </c>
      <c r="B45" s="43" t="n">
        <f aca="false">COUNTIF('Formation Initiale'!$B$2:$B$999,"OS5")</f>
        <v>5</v>
      </c>
      <c r="C45" s="43" t="str">
        <f aca="false">IF(LEFT($A45,2)="OS","🇵🇹 Lisbonne","🇨🇦 Montréal")</f>
        <v>🇵🇹 Lisbonne</v>
      </c>
      <c r="D45" s="47" t="n">
        <f aca="false">IFERROR(_xlfn.MINIFS('Formation Initiale'!$G$2:$G$999,'Formation Initiale'!$B$2:$B$999,"OS5"),"")</f>
        <v>46111</v>
      </c>
      <c r="E45" s="47" t="n">
        <f aca="false">IFERROR(_xlfn.MAXIFS('Formation Initiale'!$H$2:$H$999,'Formation Initiale'!$B$2:$B$999,"OS5"),"")</f>
        <v>46122</v>
      </c>
      <c r="F45" s="43" t="n">
        <f aca="false">COUNTIFS('Formation Initiale'!$B$2:$B$999,"OS5",'Formation Initiale'!$R$2:$R$999,"Terminé")</f>
        <v>5</v>
      </c>
      <c r="G45" s="43" t="n">
        <f aca="false">COUNTIFS('Formation Initiale'!$B$2:$B$999,"OS5",'Formation Initiale'!$R$2:$R$999,"En cours")</f>
        <v>0</v>
      </c>
      <c r="H45" s="44" t="n">
        <f aca="false">IFERROR(COUNTIFS('Formation Initiale'!$B$2:$B$999,"OS5",'Formation Initiale'!$R$2:$R$999,"Terminé")/COUNTIF('Formation Initiale'!$B$2:$B$999,"OS5"),0)</f>
        <v>1</v>
      </c>
      <c r="I45" s="43" t="n">
        <f aca="false">COUNTIFS('Formation Initiale'!$B$2:$B$999,"OS5",'Formation Initiale'!$W$2:$W$999,"Y")</f>
        <v>5</v>
      </c>
    </row>
    <row r="46" customFormat="false" ht="15" hidden="false" customHeight="true" outlineLevel="0" collapsed="false">
      <c r="A46" s="42" t="s">
        <v>70</v>
      </c>
      <c r="B46" s="43" t="n">
        <f aca="false">COUNTIF('Formation Initiale'!$B$2:$B$999,"OS6")</f>
        <v>4</v>
      </c>
      <c r="C46" s="43" t="str">
        <f aca="false">IF(LEFT($A46,2)="OS","🇵🇹 Lisbonne","🇨🇦 Montréal")</f>
        <v>🇵🇹 Lisbonne</v>
      </c>
      <c r="D46" s="47" t="n">
        <f aca="false">IFERROR(_xlfn.MINIFS('Formation Initiale'!$G$2:$G$999,'Formation Initiale'!$B$2:$B$999,"OS6"),"")</f>
        <v>46132</v>
      </c>
      <c r="E46" s="47" t="n">
        <f aca="false">IFERROR(_xlfn.MAXIFS('Formation Initiale'!$H$2:$H$999,'Formation Initiale'!$B$2:$B$999,"OS6"),"")</f>
        <v>46143</v>
      </c>
      <c r="F46" s="43" t="n">
        <f aca="false">COUNTIFS('Formation Initiale'!$B$2:$B$999,"OS6",'Formation Initiale'!$R$2:$R$999,"Terminé")</f>
        <v>4</v>
      </c>
      <c r="G46" s="43" t="n">
        <f aca="false">COUNTIFS('Formation Initiale'!$B$2:$B$999,"OS6",'Formation Initiale'!$R$2:$R$999,"En cours")</f>
        <v>0</v>
      </c>
      <c r="H46" s="44" t="n">
        <f aca="false">IFERROR(COUNTIFS('Formation Initiale'!$B$2:$B$999,"OS6",'Formation Initiale'!$R$2:$R$999,"Terminé")/COUNTIF('Formation Initiale'!$B$2:$B$999,"OS6"),0)</f>
        <v>1</v>
      </c>
      <c r="I46" s="43" t="n">
        <f aca="false">COUNTIFS('Formation Initiale'!$B$2:$B$999,"OS6",'Formation Initiale'!$W$2:$W$999,"Y")</f>
        <v>4</v>
      </c>
    </row>
    <row r="47" customFormat="false" ht="15" hidden="false" customHeight="true" outlineLevel="0" collapsed="false">
      <c r="A47" s="42" t="s">
        <v>71</v>
      </c>
      <c r="B47" s="43" t="n">
        <f aca="false">COUNTIF('Formation Initiale'!$B$2:$B$999,"OS7")</f>
        <v>6</v>
      </c>
      <c r="C47" s="43" t="str">
        <f aca="false">IF(LEFT($A47,2)="OS","🇵🇹 Lisbonne","🇨🇦 Montréal")</f>
        <v>🇵🇹 Lisbonne</v>
      </c>
      <c r="D47" s="47" t="n">
        <f aca="false">IFERROR(_xlfn.MINIFS('Formation Initiale'!$G$2:$G$999,'Formation Initiale'!$B$2:$B$999,"OS7"),"")</f>
        <v>46139</v>
      </c>
      <c r="E47" s="47" t="n">
        <f aca="false">IFERROR(_xlfn.MAXIFS('Formation Initiale'!$H$2:$H$999,'Formation Initiale'!$B$2:$B$999,"OS7"),"")</f>
        <v>46150</v>
      </c>
      <c r="F47" s="43" t="n">
        <f aca="false">COUNTIFS('Formation Initiale'!$B$2:$B$999,"OS7",'Formation Initiale'!$R$2:$R$999,"Terminé")</f>
        <v>6</v>
      </c>
      <c r="G47" s="43" t="n">
        <f aca="false">COUNTIFS('Formation Initiale'!$B$2:$B$999,"OS7",'Formation Initiale'!$R$2:$R$999,"En cours")</f>
        <v>0</v>
      </c>
      <c r="H47" s="44" t="n">
        <f aca="false">IFERROR(COUNTIFS('Formation Initiale'!$B$2:$B$999,"OS7",'Formation Initiale'!$R$2:$R$999,"Terminé")/COUNTIF('Formation Initiale'!$B$2:$B$999,"OS7"),0)</f>
        <v>1</v>
      </c>
      <c r="I47" s="43" t="n">
        <f aca="false">COUNTIFS('Formation Initiale'!$B$2:$B$999,"OS7",'Formation Initiale'!$W$2:$W$999,"Y")</f>
        <v>6</v>
      </c>
    </row>
    <row r="50" customFormat="false" ht="24" hidden="false" customHeight="true" outlineLevel="0" collapsed="false">
      <c r="A50" s="15" t="s">
        <v>72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2" customFormat="false" ht="27.75" hidden="false" customHeight="true" outlineLevel="0" collapsed="false">
      <c r="A52" s="41" t="s">
        <v>73</v>
      </c>
      <c r="B52" s="41" t="s">
        <v>74</v>
      </c>
      <c r="C52" s="41" t="s">
        <v>75</v>
      </c>
      <c r="D52" s="41" t="s">
        <v>57</v>
      </c>
      <c r="E52" s="41" t="s">
        <v>76</v>
      </c>
      <c r="F52" s="41" t="s">
        <v>58</v>
      </c>
    </row>
    <row r="53" customFormat="false" ht="15" hidden="false" customHeight="true" outlineLevel="0" collapsed="false">
      <c r="A53" s="42" t="s">
        <v>77</v>
      </c>
      <c r="B53" s="43" t="n">
        <f aca="false">COUNTA('Formation Initiale'!$E$2:$E$999)</f>
        <v>998</v>
      </c>
      <c r="C53" s="43" t="n">
        <f aca="false">COUNTIF('Formation Initiale'!$R$2:$R$999,"Terminé")</f>
        <v>82</v>
      </c>
      <c r="D53" s="43" t="n">
        <f aca="false">COUNTIF('Formation Initiale'!$R$2:$R$999,"En cours")</f>
        <v>15</v>
      </c>
      <c r="E53" s="43" t="n">
        <f aca="false">COUNTIF('Formation Initiale'!$R$2:$R$999,"À venir")</f>
        <v>0</v>
      </c>
      <c r="F53" s="44" t="n">
        <f aca="false">IFERROR(C53/B53,0)</f>
        <v>0.0821643286573146</v>
      </c>
    </row>
    <row r="54" customFormat="false" ht="15" hidden="false" customHeight="true" outlineLevel="0" collapsed="false">
      <c r="A54" s="42" t="s">
        <v>78</v>
      </c>
      <c r="B54" s="43" t="n">
        <f aca="false">COUNTIFS('Agences &amp; Après-vente'!$D$2:$D$1000,"Agences")+COUNTIFS('Agences &amp; Après-vente'!$D$2:$D$1000,"Agences et Après-vente")</f>
        <v>82</v>
      </c>
      <c r="C54" s="43" t="n">
        <f aca="false">SUMPRODUCT((('Agences &amp; Après-vente'!$D$2:$D$1000="Agences")+('Agences &amp; Après-vente'!$D$2:$D$1000="Agences et Après-vente"))*('Agences &amp; Après-vente'!$I$2:$I$1000="DONE"))</f>
        <v>80</v>
      </c>
      <c r="D54" s="43" t="n">
        <f aca="false">SUMPRODUCT((('Agences &amp; Après-vente'!$D$2:$D$1000="Agences")+('Agences &amp; Après-vente'!$D$2:$D$1000="Agences et Après-vente"))*('Agences &amp; Après-vente'!$I$2:$I$1000="En cours"))</f>
        <v>2</v>
      </c>
      <c r="E54" s="43" t="n">
        <f aca="false">SUMPRODUCT((('Agences &amp; Après-vente'!$D$2:$D$1000="Agences")+('Agences &amp; Après-vente'!$D$2:$D$1000="Agences et Après-vente"))*('Agences &amp; Après-vente'!$I$2:$I$1000="À venir"))</f>
        <v>0</v>
      </c>
      <c r="F54" s="44" t="n">
        <f aca="false">IFERROR(C54/B54,0)</f>
        <v>0.975609756097561</v>
      </c>
    </row>
    <row r="55" customFormat="false" ht="15" hidden="false" customHeight="true" outlineLevel="0" collapsed="false">
      <c r="A55" s="42" t="s">
        <v>79</v>
      </c>
      <c r="B55" s="43" t="n">
        <f aca="false">COUNTIFS('Agences &amp; Après-vente'!$D$2:$D$1000,"Après-vente")+COUNTIFS('Agences &amp; Après-vente'!$D$2:$D$1000,"Agences et Après-vente")</f>
        <v>91</v>
      </c>
      <c r="C55" s="43" t="n">
        <f aca="false">SUMPRODUCT((('Agences &amp; Après-vente'!$D$2:$D$1000="Après-vente")+('Agences &amp; Après-vente'!$D$2:$D$1000="Agences et Après-vente"))*('Agences &amp; Après-vente'!$I$2:$I$1000="DONE"))</f>
        <v>89</v>
      </c>
      <c r="D55" s="43" t="n">
        <f aca="false">SUMPRODUCT((('Agences &amp; Après-vente'!$D$2:$D$1000="Après-vente")+('Agences &amp; Après-vente'!$D$2:$D$1000="Agences et Après-vente"))*('Agences &amp; Après-vente'!$I$2:$I$1000="En cours"))</f>
        <v>2</v>
      </c>
      <c r="E55" s="43" t="n">
        <f aca="false">SUMPRODUCT((('Agences &amp; Après-vente'!$D$2:$D$1000="Après-vente")+('Agences &amp; Après-vente'!$D$2:$D$1000="Agences et Après-vente"))*('Agences &amp; Après-vente'!$I$2:$I$1000="À venir"))</f>
        <v>0</v>
      </c>
      <c r="F55" s="44" t="n">
        <f aca="false">IFERROR(C55/B55,0)</f>
        <v>0.978021978021978</v>
      </c>
    </row>
    <row r="56" customFormat="false" ht="15" hidden="false" customHeight="true" outlineLevel="0" collapsed="false">
      <c r="A56" s="42" t="s">
        <v>31</v>
      </c>
      <c r="B56" s="43" t="n">
        <f aca="false">COUNTA(Evermont!$A$2:$A$1000)</f>
        <v>24</v>
      </c>
      <c r="C56" s="43" t="n">
        <f aca="false">COUNTIF(Evermont!$Q$2:$Q$1000,"Terminé")</f>
        <v>22</v>
      </c>
      <c r="D56" s="43" t="n">
        <f aca="false">COUNTIF(Evermont!$Q$2:$Q$1000,"En cours")</f>
        <v>1</v>
      </c>
      <c r="E56" s="43" t="n">
        <f aca="false">COUNTIF(Evermont!$Q$2:$Q$1000,"À venir")</f>
        <v>1</v>
      </c>
      <c r="F56" s="44" t="n">
        <f aca="false">IFERROR(C56/B56,0)</f>
        <v>0.916666666666667</v>
      </c>
    </row>
    <row r="59" customFormat="false" ht="24" hidden="false" customHeight="true" outlineLevel="0" collapsed="false">
      <c r="A59" s="15" t="s">
        <v>80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1" customFormat="false" ht="27.75" hidden="false" customHeight="true" outlineLevel="0" collapsed="false">
      <c r="A61" s="41" t="s">
        <v>81</v>
      </c>
      <c r="B61" s="41" t="s">
        <v>82</v>
      </c>
      <c r="C61" s="41" t="s">
        <v>83</v>
      </c>
    </row>
    <row r="62" customFormat="false" ht="15" hidden="false" customHeight="true" outlineLevel="0" collapsed="false">
      <c r="A62" s="42" t="s">
        <v>84</v>
      </c>
      <c r="B62" s="43" t="n">
        <f aca="false">COUNTIFS(Skills!$L$2:$L$999,0,Skills!$M$2:$M$999,"Active")</f>
        <v>15</v>
      </c>
      <c r="C62" s="44" t="n">
        <f aca="false">IFERROR(B62/COUNTIFS(Skills!$A$2:$A$999,"?*",Skills!$M$2:$M$999,"Active"),0)</f>
        <v>0.102040816326531</v>
      </c>
    </row>
    <row r="63" customFormat="false" ht="15" hidden="false" customHeight="true" outlineLevel="0" collapsed="false">
      <c r="A63" s="42" t="s">
        <v>85</v>
      </c>
      <c r="B63" s="43" t="n">
        <f aca="false">COUNTIFS(Skills!$L$2:$L$999,1,Skills!$M$2:$M$999,"Active")</f>
        <v>13</v>
      </c>
      <c r="C63" s="44" t="n">
        <f aca="false">IFERROR(B63/COUNTIFS(Skills!$A$2:$A$999,"?*",Skills!$M$2:$M$999,"Active"),0)</f>
        <v>0.0884353741496599</v>
      </c>
    </row>
    <row r="64" customFormat="false" ht="15" hidden="false" customHeight="true" outlineLevel="0" collapsed="false">
      <c r="A64" s="42" t="s">
        <v>86</v>
      </c>
      <c r="B64" s="43" t="n">
        <f aca="false">COUNTIFS(Skills!$L$2:$L$999,2,Skills!$M$2:$M$999,"Active")</f>
        <v>21</v>
      </c>
      <c r="C64" s="44" t="n">
        <f aca="false">IFERROR(B64/COUNTIFS(Skills!$A$2:$A$999,"?*",Skills!$M$2:$M$999,"Active"),0)</f>
        <v>0.142857142857143</v>
      </c>
    </row>
    <row r="65" customFormat="false" ht="15" hidden="false" customHeight="true" outlineLevel="0" collapsed="false">
      <c r="A65" s="42" t="s">
        <v>87</v>
      </c>
      <c r="B65" s="43" t="n">
        <f aca="false">COUNTIFS(Skills!$L$2:$L$999,3,Skills!$M$2:$M$999,"Active")</f>
        <v>19</v>
      </c>
      <c r="C65" s="44" t="n">
        <f aca="false">IFERROR(B65/COUNTIFS(Skills!$A$2:$A$999,"?*",Skills!$M$2:$M$999,"Active"),0)</f>
        <v>0.129251700680272</v>
      </c>
    </row>
    <row r="66" customFormat="false" ht="15" hidden="false" customHeight="true" outlineLevel="0" collapsed="false">
      <c r="A66" s="42" t="s">
        <v>88</v>
      </c>
      <c r="B66" s="43" t="n">
        <f aca="false">COUNTIFS(Skills!$L$2:$L$999,4,Skills!$M$2:$M$999,"Active")</f>
        <v>2</v>
      </c>
      <c r="C66" s="44" t="n">
        <f aca="false">IFERROR(B66/COUNTIFS(Skills!$A$2:$A$999,"?*",Skills!$M$2:$M$999,"Active"),0)</f>
        <v>0.0136054421768707</v>
      </c>
    </row>
    <row r="67" customFormat="false" ht="15" hidden="false" customHeight="true" outlineLevel="0" collapsed="false">
      <c r="A67" s="42" t="s">
        <v>89</v>
      </c>
      <c r="B67" s="43" t="n">
        <f aca="false">COUNTIFS(Skills!$L$2:$L$999,5,Skills!$M$2:$M$999,"Active")</f>
        <v>1</v>
      </c>
      <c r="C67" s="44" t="n">
        <f aca="false">IFERROR(B67/COUNTIFS(Skills!$A$2:$A$999,"?*",Skills!$M$2:$M$999,"Active"),0)</f>
        <v>0.00680272108843537</v>
      </c>
    </row>
    <row r="68" customFormat="false" ht="15" hidden="false" customHeight="true" outlineLevel="0" collapsed="false">
      <c r="A68" s="42" t="s">
        <v>90</v>
      </c>
      <c r="B68" s="43" t="n">
        <f aca="false">COUNTIFS(Skills!$L$2:$L$999,6,Skills!$M$2:$M$999,"Active")</f>
        <v>16</v>
      </c>
      <c r="C68" s="44" t="n">
        <f aca="false">IFERROR(B68/COUNTIFS(Skills!$A$2:$A$999,"?*",Skills!$M$2:$M$999,"Active"),0)</f>
        <v>0.108843537414966</v>
      </c>
    </row>
    <row r="69" customFormat="false" ht="15" hidden="false" customHeight="true" outlineLevel="0" collapsed="false">
      <c r="A69" s="42" t="s">
        <v>91</v>
      </c>
      <c r="B69" s="43" t="n">
        <f aca="false">COUNTIFS(Skills!$L$2:$L$999,7,Skills!$M$2:$M$999,"Active")</f>
        <v>60</v>
      </c>
      <c r="C69" s="44" t="n">
        <f aca="false">IFERROR(B69/COUNTIFS(Skills!$A$2:$A$999,"?*",Skills!$M$2:$M$999,"Active"),0)</f>
        <v>0.408163265306122</v>
      </c>
    </row>
    <row r="72" customFormat="false" ht="24" hidden="false" customHeight="true" outlineLevel="0" collapsed="false">
      <c r="A72" s="15" t="s">
        <v>92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4" customFormat="false" ht="30" hidden="false" customHeight="true" outlineLevel="0" collapsed="false">
      <c r="A74" s="29" t="s">
        <v>93</v>
      </c>
      <c r="B74" s="29"/>
      <c r="C74" s="31" t="s">
        <v>94</v>
      </c>
      <c r="D74" s="31"/>
      <c r="E74" s="30" t="s">
        <v>95</v>
      </c>
      <c r="F74" s="30"/>
      <c r="G74" s="48" t="s">
        <v>31</v>
      </c>
      <c r="H74" s="48"/>
    </row>
    <row r="75" customFormat="false" ht="39.75" hidden="false" customHeight="true" outlineLevel="0" collapsed="false">
      <c r="A75" s="49" t="n">
        <f aca="false">IFERROR(AVERAGE('Formation Initiale'!$Z$2:$Z$999),0)</f>
        <v>11.3048780487805</v>
      </c>
      <c r="B75" s="49"/>
      <c r="C75" s="50" t="n">
        <f aca="false">IFERROR(AVERAGEIFS('Formation Initiale'!$Z$2:$Z$999,'Formation Initiale'!$F$2:$F$999,"Montréal",'Formation Initiale'!$R$2:$R$999,"Terminé"),0)</f>
        <v>13.3103448275862</v>
      </c>
      <c r="D75" s="50"/>
      <c r="E75" s="51" t="n">
        <f aca="false">IFERROR(AVERAGEIFS('Formation Initiale'!$Z$2:$Z$999,'Formation Initiale'!$F$2:$F$999,"Lisbonne",'Formation Initiale'!$R$2:$R$999,"Terminé"),0)</f>
        <v>10.2075471698113</v>
      </c>
      <c r="F75" s="51"/>
      <c r="G75" s="52" t="n">
        <f aca="false">IFERROR(AVERAGE(Evermont!$V$2:$V$1000),0)</f>
        <v>7.72727272727273</v>
      </c>
      <c r="H75" s="52"/>
    </row>
    <row r="78" customFormat="false" ht="24" hidden="false" customHeight="true" outlineLevel="0" collapsed="false">
      <c r="A78" s="15" t="s">
        <v>96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80" customFormat="false" ht="27.75" hidden="false" customHeight="true" outlineLevel="0" collapsed="false">
      <c r="A80" s="41" t="s">
        <v>97</v>
      </c>
      <c r="B80" s="41" t="s">
        <v>98</v>
      </c>
      <c r="C80" s="41" t="s">
        <v>99</v>
      </c>
      <c r="D80" s="41" t="s">
        <v>57</v>
      </c>
      <c r="E80" s="41" t="s">
        <v>76</v>
      </c>
      <c r="F80" s="41" t="s">
        <v>100</v>
      </c>
      <c r="G80" s="41" t="s">
        <v>101</v>
      </c>
    </row>
    <row r="81" customFormat="false" ht="15" hidden="false" customHeight="true" outlineLevel="0" collapsed="false">
      <c r="A81" s="42" t="s">
        <v>102</v>
      </c>
      <c r="B81" s="43" t="n">
        <f aca="false">COUNTIFS('Agences &amp; Après-vente'!$D$2:$D$1000,"Agences")+COUNTIFS('Agences &amp; Après-vente'!$D$2:$D$1000,"Agences et Après-vente")</f>
        <v>82</v>
      </c>
      <c r="C81" s="43" t="n">
        <f aca="false">SUMPRODUCT((('Agences &amp; Après-vente'!$D$2:$D$1000="Agences")+('Agences &amp; Après-vente'!$D$2:$D$1000="Agences et Après-vente"))*('Agences &amp; Après-vente'!$I$2:$I$1000="DONE"))</f>
        <v>80</v>
      </c>
      <c r="D81" s="43" t="n">
        <f aca="false">SUMPRODUCT((('Agences &amp; Après-vente'!$D$2:$D$1000="Agences")+('Agences &amp; Après-vente'!$D$2:$D$1000="Agences et Après-vente"))*('Agences &amp; Après-vente'!$I$2:$I$1000="En cours"))</f>
        <v>2</v>
      </c>
      <c r="E81" s="43" t="n">
        <f aca="false">SUMPRODUCT((('Agences &amp; Après-vente'!$D$2:$D$1000="Agences")+('Agences &amp; Après-vente'!$D$2:$D$1000="Agences et Après-vente"))*('Agences &amp; Après-vente'!$I$2:$I$1000="À venir"))</f>
        <v>0</v>
      </c>
      <c r="F81" s="43" t="n">
        <f aca="false">SUMPRODUCT((('Agences &amp; Après-vente'!$D$2:$D$1000="Agences")+('Agences &amp; Après-vente'!$D$2:$D$1000="Agences et Après-vente"))*('Agences &amp; Après-vente'!$C$2:$C$1000="Montréal"))</f>
        <v>59</v>
      </c>
      <c r="G81" s="43" t="n">
        <f aca="false">SUMPRODUCT((('Agences &amp; Après-vente'!$D$2:$D$1000="Agences")+('Agences &amp; Après-vente'!$D$2:$D$1000="Agences et Après-vente"))*('Agences &amp; Après-vente'!$C$2:$C$1000="Lisbonne"))</f>
        <v>23</v>
      </c>
    </row>
    <row r="82" customFormat="false" ht="15" hidden="false" customHeight="true" outlineLevel="0" collapsed="false">
      <c r="A82" s="42" t="s">
        <v>103</v>
      </c>
      <c r="B82" s="43" t="n">
        <f aca="false">COUNTIFS('Agences &amp; Après-vente'!$D$2:$D$1000,"Après-vente")+COUNTIFS('Agences &amp; Après-vente'!$D$2:$D$1000,"Agences et Après-vente")</f>
        <v>91</v>
      </c>
      <c r="C82" s="43" t="n">
        <f aca="false">SUMPRODUCT((('Agences &amp; Après-vente'!$D$2:$D$1000="Après-vente")+('Agences &amp; Après-vente'!$D$2:$D$1000="Agences et Après-vente"))*('Agences &amp; Après-vente'!$I$2:$I$1000="DONE"))</f>
        <v>89</v>
      </c>
      <c r="D82" s="43" t="n">
        <f aca="false">SUMPRODUCT((('Agences &amp; Après-vente'!$D$2:$D$1000="Après-vente")+('Agences &amp; Après-vente'!$D$2:$D$1000="Agences et Après-vente"))*('Agences &amp; Après-vente'!$I$2:$I$1000="En cours"))</f>
        <v>2</v>
      </c>
      <c r="E82" s="43" t="n">
        <f aca="false">SUMPRODUCT((('Agences &amp; Après-vente'!$D$2:$D$1000="Après-vente")+('Agences &amp; Après-vente'!$D$2:$D$1000="Agences et Après-vente"))*('Agences &amp; Après-vente'!$I$2:$I$1000="À venir"))</f>
        <v>0</v>
      </c>
      <c r="F82" s="43" t="n">
        <f aca="false">SUMPRODUCT((('Agences &amp; Après-vente'!$D$2:$D$1000="Après-vente")+('Agences &amp; Après-vente'!$D$2:$D$1000="Agences et Après-vente"))*('Agences &amp; Après-vente'!$C$2:$C$1000="Montréal"))</f>
        <v>71</v>
      </c>
      <c r="G82" s="43" t="n">
        <f aca="false">SUMPRODUCT((('Agences &amp; Après-vente'!$D$2:$D$1000="Après-vente")+('Agences &amp; Après-vente'!$D$2:$D$1000="Agences et Après-vente"))*('Agences &amp; Après-vente'!$C$2:$C$1000="Lisbonne"))</f>
        <v>20</v>
      </c>
    </row>
    <row r="83" customFormat="false" ht="15" hidden="false" customHeight="true" outlineLevel="0" collapsed="false">
      <c r="A83" s="42" t="s">
        <v>31</v>
      </c>
      <c r="B83" s="43" t="n">
        <f aca="false">COUNTA(Evermont!$A$2:$A$1000)</f>
        <v>24</v>
      </c>
      <c r="C83" s="43" t="n">
        <f aca="false">COUNTIF(Evermont!$Q$2:$Q$1000,"Terminé")</f>
        <v>22</v>
      </c>
      <c r="D83" s="43" t="n">
        <f aca="false">COUNTIF(Evermont!$Q$2:$Q$1000,"En cours")</f>
        <v>1</v>
      </c>
      <c r="E83" s="43" t="n">
        <f aca="false">COUNTIF(Evermont!$Q$2:$Q$1000,"À venir")</f>
        <v>1</v>
      </c>
      <c r="F83" s="43" t="n">
        <f aca="false">COUNTIF(Evermont!$C$2:$C$1000,"Montréal")</f>
        <v>24</v>
      </c>
      <c r="G83" s="43" t="n">
        <f aca="false">COUNTIF(Evermont!$C$2:$C$1000,"Lisbonne")</f>
        <v>0</v>
      </c>
    </row>
    <row r="85" customFormat="false" ht="15" hidden="false" customHeight="true" outlineLevel="0" collapsed="false">
      <c r="A85" s="53" t="s">
        <v>104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</row>
    <row r="87" customFormat="false" ht="15" hidden="false" customHeight="true" outlineLevel="0" collapsed="false">
      <c r="A87" s="54" t="s">
        <v>105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</row>
    <row r="89" customFormat="false" ht="15" hidden="false" customHeight="true" outlineLevel="0" collapsed="false">
      <c r="A89" s="31" t="s">
        <v>106</v>
      </c>
      <c r="B89" s="31"/>
      <c r="C89" s="55" t="s">
        <v>107</v>
      </c>
      <c r="D89" s="55"/>
      <c r="E89" s="56" t="s">
        <v>108</v>
      </c>
      <c r="F89" s="56"/>
      <c r="G89" s="57" t="s">
        <v>109</v>
      </c>
      <c r="H89" s="57"/>
      <c r="I89" s="29" t="s">
        <v>110</v>
      </c>
      <c r="J89" s="29"/>
    </row>
    <row r="90" customFormat="false" ht="24" hidden="false" customHeight="true" outlineLevel="0" collapsed="false">
      <c r="A90" s="58" t="n">
        <f aca="false">COUNTIF(Skills!$M$2:$M$999,"Active")</f>
        <v>147</v>
      </c>
      <c r="B90" s="58"/>
      <c r="C90" s="59" t="n">
        <f aca="false">COUNTIF(Skills!$M$2:$M$999,"COS")</f>
        <v>27</v>
      </c>
      <c r="D90" s="59"/>
      <c r="E90" s="60" t="n">
        <f aca="false">COUNTIF(Skills!$M$2:$M$999,"Maladie")</f>
        <v>3</v>
      </c>
      <c r="F90" s="60"/>
      <c r="G90" s="61" t="n">
        <f aca="false">IFERROR(COUNTIF(Skills!$M$2:$M$999,"COS")/COUNTIF(Skills!$A$2:$A$999,"?*"),0)</f>
        <v>0.152542372881356</v>
      </c>
      <c r="H90" s="61"/>
      <c r="I90" s="62" t="n">
        <f aca="false">COUNTIF(Skills!$A$2:$A$999,"?*")</f>
        <v>177</v>
      </c>
      <c r="J90" s="62"/>
    </row>
    <row r="92" customFormat="false" ht="15" hidden="false" customHeight="true" outlineLevel="0" collapsed="false">
      <c r="A92" s="54" t="s">
        <v>111</v>
      </c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</row>
    <row r="94" customFormat="false" ht="15" hidden="false" customHeight="true" outlineLevel="0" collapsed="false">
      <c r="A94" s="63" t="s">
        <v>112</v>
      </c>
      <c r="B94" s="63" t="s">
        <v>44</v>
      </c>
      <c r="C94" s="63" t="s">
        <v>113</v>
      </c>
      <c r="D94" s="63" t="s">
        <v>114</v>
      </c>
      <c r="E94" s="63" t="s">
        <v>115</v>
      </c>
      <c r="F94" s="63" t="s">
        <v>116</v>
      </c>
      <c r="G94" s="64" t="s">
        <v>117</v>
      </c>
      <c r="H94" s="64" t="s">
        <v>118</v>
      </c>
      <c r="I94" s="64" t="s">
        <v>119</v>
      </c>
    </row>
    <row r="95" customFormat="false" ht="15" hidden="false" customHeight="true" outlineLevel="0" collapsed="false">
      <c r="A95" s="65" t="s">
        <v>60</v>
      </c>
      <c r="B95" s="66" t="str">
        <f aca="false">IF(LEFT($A95,2)="OS","🇵🇹 Lisbonne","🇨🇦 Montréal")</f>
        <v>🇨🇦 Montréal</v>
      </c>
      <c r="C95" s="67" t="n">
        <f aca="false">COUNTIF(Skills!$W$2:$W$999,$A95)</f>
        <v>6</v>
      </c>
      <c r="D95" s="67" t="n">
        <f aca="false">COUNTIFS(Skills!$W$2:$W$999,$A95,Skills!$M$2:$M$999,"Active")</f>
        <v>4</v>
      </c>
      <c r="E95" s="67" t="n">
        <f aca="false">COUNTIFS(Skills!$W$2:$W$999,$A95,Skills!$M$2:$M$999,"COS")</f>
        <v>2</v>
      </c>
      <c r="F95" s="68" t="n">
        <f aca="false">IFERROR($E95/$C95,0)</f>
        <v>0.333333333333333</v>
      </c>
      <c r="G95" s="69" t="n">
        <f aca="false">SUMIF('Formation Initiale'!$B$2:$B$999,$A95,'Formation Initiale'!$AB$2:$AB$999)+SUMPRODUCT(Evermont!$X$2:$X$1000*ISNUMBER(MATCH(Evermont!$A$2:$A$1000,IF(Skills!$W$2:$W$999=$A95,Skills!$A$2:$A$999),0)))</f>
        <v>0</v>
      </c>
      <c r="H95" s="69" t="n">
        <f aca="false">COUNTIFS('Formation Initiale'!$B$2:$B$999,$A95,'Formation Initiale'!$AB$2:$AB$999,"&gt;0")+SUMPRODUCT((Evermont!$X$2:$X$1000&gt;0)*ISNUMBER(MATCH(Evermont!$A$2:$A$1000,IF(Skills!$W$2:$W$999=$A95,Skills!$A$2:$A$999),0)))</f>
        <v>0</v>
      </c>
      <c r="I95" s="70" t="n">
        <f aca="false">IFERROR($G95/$D95,0)</f>
        <v>0</v>
      </c>
    </row>
    <row r="96" customFormat="false" ht="15" hidden="false" customHeight="true" outlineLevel="0" collapsed="false">
      <c r="A96" s="65" t="s">
        <v>61</v>
      </c>
      <c r="B96" s="66" t="str">
        <f aca="false">IF(LEFT($A96,2)="OS","🇵🇹 Lisbonne","🇨🇦 Montréal")</f>
        <v>🇨🇦 Montréal</v>
      </c>
      <c r="C96" s="67" t="n">
        <f aca="false">COUNTIF(Skills!$W$2:$W$999,$A96)</f>
        <v>5</v>
      </c>
      <c r="D96" s="67" t="n">
        <f aca="false">COUNTIFS(Skills!$W$2:$W$999,$A96,Skills!$M$2:$M$999,"Active")</f>
        <v>5</v>
      </c>
      <c r="E96" s="67" t="n">
        <f aca="false">COUNTIFS(Skills!$W$2:$W$999,$A96,Skills!$M$2:$M$999,"COS")</f>
        <v>0</v>
      </c>
      <c r="F96" s="68" t="n">
        <f aca="false">IFERROR($E96/$C96,0)</f>
        <v>0</v>
      </c>
      <c r="G96" s="69" t="n">
        <f aca="false">SUMIF('Formation Initiale'!$B$2:$B$999,$A96,'Formation Initiale'!$AB$2:$AB$999)+SUMPRODUCT(Evermont!$X$2:$X$1000*ISNUMBER(MATCH(Evermont!$A$2:$A$1000,IF(Skills!$W$2:$W$999=$A96,Skills!$A$2:$A$999),0)))</f>
        <v>0</v>
      </c>
      <c r="H96" s="69" t="n">
        <f aca="false">COUNTIFS('Formation Initiale'!$B$2:$B$999,$A96,'Formation Initiale'!$AB$2:$AB$999,"&gt;0")+SUMPRODUCT((Evermont!$X$2:$X$1000&gt;0)*ISNUMBER(MATCH(Evermont!$A$2:$A$1000,IF(Skills!$W$2:$W$999=$A96,Skills!$A$2:$A$999),0)))</f>
        <v>0</v>
      </c>
      <c r="I96" s="70" t="n">
        <f aca="false">IFERROR($G96/$D96,0)</f>
        <v>0</v>
      </c>
    </row>
    <row r="97" customFormat="false" ht="15" hidden="false" customHeight="true" outlineLevel="0" collapsed="false">
      <c r="A97" s="65" t="s">
        <v>62</v>
      </c>
      <c r="B97" s="66" t="str">
        <f aca="false">IF(LEFT($A97,2)="OS","🇵🇹 Lisbonne","🇨🇦 Montréal")</f>
        <v>🇨🇦 Montréal</v>
      </c>
      <c r="C97" s="67" t="n">
        <f aca="false">COUNTIF(Skills!$W$2:$W$999,$A97)</f>
        <v>8</v>
      </c>
      <c r="D97" s="67" t="n">
        <f aca="false">COUNTIFS(Skills!$W$2:$W$999,$A97,Skills!$M$2:$M$999,"Active")</f>
        <v>8</v>
      </c>
      <c r="E97" s="67" t="n">
        <f aca="false">COUNTIFS(Skills!$W$2:$W$999,$A97,Skills!$M$2:$M$999,"COS")</f>
        <v>0</v>
      </c>
      <c r="F97" s="68" t="n">
        <f aca="false">IFERROR($E97/$C97,0)</f>
        <v>0</v>
      </c>
      <c r="G97" s="69" t="n">
        <f aca="false">SUMIF('Formation Initiale'!$B$2:$B$999,$A97,'Formation Initiale'!$AB$2:$AB$999)+SUMPRODUCT(Evermont!$X$2:$X$1000*ISNUMBER(MATCH(Evermont!$A$2:$A$1000,IF(Skills!$W$2:$W$999=$A97,Skills!$A$2:$A$999),0)))</f>
        <v>0</v>
      </c>
      <c r="H97" s="69" t="n">
        <f aca="false">COUNTIFS('Formation Initiale'!$B$2:$B$999,$A97,'Formation Initiale'!$AB$2:$AB$999,"&gt;0")+SUMPRODUCT((Evermont!$X$2:$X$1000&gt;0)*ISNUMBER(MATCH(Evermont!$A$2:$A$1000,IF(Skills!$W$2:$W$999=$A97,Skills!$A$2:$A$999),0)))</f>
        <v>0</v>
      </c>
      <c r="I97" s="70" t="n">
        <f aca="false">IFERROR($G97/$D97,0)</f>
        <v>0</v>
      </c>
    </row>
    <row r="98" customFormat="false" ht="15" hidden="false" customHeight="true" outlineLevel="0" collapsed="false">
      <c r="A98" s="65" t="s">
        <v>63</v>
      </c>
      <c r="B98" s="66" t="str">
        <f aca="false">IF(LEFT($A98,2)="OS","🇵🇹 Lisbonne","🇨🇦 Montréal")</f>
        <v>🇨🇦 Montréal</v>
      </c>
      <c r="C98" s="67" t="n">
        <f aca="false">COUNTIF(Skills!$W$2:$W$999,$A98)</f>
        <v>1</v>
      </c>
      <c r="D98" s="67" t="n">
        <f aca="false">COUNTIFS(Skills!$W$2:$W$999,$A98,Skills!$M$2:$M$999,"Active")</f>
        <v>0</v>
      </c>
      <c r="E98" s="67" t="n">
        <f aca="false">COUNTIFS(Skills!$W$2:$W$999,$A98,Skills!$M$2:$M$999,"COS")</f>
        <v>1</v>
      </c>
      <c r="F98" s="68" t="n">
        <f aca="false">IFERROR($E98/$C98,0)</f>
        <v>1</v>
      </c>
      <c r="G98" s="69" t="n">
        <f aca="false">SUMIF('Formation Initiale'!$B$2:$B$999,$A98,'Formation Initiale'!$AB$2:$AB$999)+SUMPRODUCT(Evermont!$X$2:$X$1000*ISNUMBER(MATCH(Evermont!$A$2:$A$1000,IF(Skills!$W$2:$W$999=$A98,Skills!$A$2:$A$999),0)))</f>
        <v>0</v>
      </c>
      <c r="H98" s="69" t="n">
        <f aca="false">COUNTIFS('Formation Initiale'!$B$2:$B$999,$A98,'Formation Initiale'!$AB$2:$AB$999,"&gt;0")+SUMPRODUCT((Evermont!$X$2:$X$1000&gt;0)*ISNUMBER(MATCH(Evermont!$A$2:$A$1000,IF(Skills!$W$2:$W$999=$A98,Skills!$A$2:$A$999),0)))</f>
        <v>0</v>
      </c>
      <c r="I98" s="70" t="n">
        <f aca="false">IFERROR($G98/$D98,0)</f>
        <v>0</v>
      </c>
    </row>
    <row r="99" customFormat="false" ht="15" hidden="false" customHeight="true" outlineLevel="0" collapsed="false">
      <c r="A99" s="65" t="s">
        <v>64</v>
      </c>
      <c r="B99" s="66" t="str">
        <f aca="false">IF(LEFT($A99,2)="OS","🇵🇹 Lisbonne","🇨🇦 Montréal")</f>
        <v>🇨🇦 Montréal</v>
      </c>
      <c r="C99" s="67" t="n">
        <f aca="false">COUNTIF(Skills!$W$2:$W$999,$A99)</f>
        <v>9</v>
      </c>
      <c r="D99" s="67" t="n">
        <f aca="false">COUNTIFS(Skills!$W$2:$W$999,$A99,Skills!$M$2:$M$999,"Active")</f>
        <v>8</v>
      </c>
      <c r="E99" s="67" t="n">
        <f aca="false">COUNTIFS(Skills!$W$2:$W$999,$A99,Skills!$M$2:$M$999,"COS")</f>
        <v>1</v>
      </c>
      <c r="F99" s="68" t="n">
        <f aca="false">IFERROR($E99/$C99,0)</f>
        <v>0.111111111111111</v>
      </c>
      <c r="G99" s="69" t="n">
        <f aca="false">SUMIF('Formation Initiale'!$B$2:$B$999,$A99,'Formation Initiale'!$AB$2:$AB$999)+SUMPRODUCT(Evermont!$X$2:$X$1000*ISNUMBER(MATCH(Evermont!$A$2:$A$1000,IF(Skills!$W$2:$W$999=$A99,Skills!$A$2:$A$999),0)))</f>
        <v>2</v>
      </c>
      <c r="H99" s="69" t="n">
        <f aca="false">COUNTIFS('Formation Initiale'!$B$2:$B$999,$A99,'Formation Initiale'!$AB$2:$AB$999,"&gt;0")+SUMPRODUCT((Evermont!$X$2:$X$1000&gt;0)*ISNUMBER(MATCH(Evermont!$A$2:$A$1000,IF(Skills!$W$2:$W$999=$A99,Skills!$A$2:$A$999),0)))</f>
        <v>1</v>
      </c>
      <c r="I99" s="70" t="n">
        <f aca="false">IFERROR($G99/$D99,0)</f>
        <v>0.25</v>
      </c>
    </row>
    <row r="100" customFormat="false" ht="15" hidden="false" customHeight="true" outlineLevel="0" collapsed="false">
      <c r="A100" s="65" t="s">
        <v>65</v>
      </c>
      <c r="B100" s="66" t="str">
        <f aca="false">IF(LEFT($A100,2)="OS","🇵🇹 Lisbonne","🇨🇦 Montréal")</f>
        <v>🇵🇹 Lisbonne</v>
      </c>
      <c r="C100" s="67" t="n">
        <f aca="false">COUNTIF(Skills!$W$2:$W$999,$A100)</f>
        <v>13</v>
      </c>
      <c r="D100" s="67" t="n">
        <f aca="false">COUNTIFS(Skills!$W$2:$W$999,$A100,Skills!$M$2:$M$999,"Active")</f>
        <v>9</v>
      </c>
      <c r="E100" s="67" t="n">
        <f aca="false">COUNTIFS(Skills!$W$2:$W$999,$A100,Skills!$M$2:$M$999,"COS")</f>
        <v>4</v>
      </c>
      <c r="F100" s="68" t="n">
        <f aca="false">IFERROR($E100/$C100,0)</f>
        <v>0.307692307692308</v>
      </c>
      <c r="G100" s="69" t="n">
        <f aca="false">SUMIF('Formation Initiale'!$B$2:$B$999,$A100,'Formation Initiale'!$AB$2:$AB$999)+SUMPRODUCT(Evermont!$X$2:$X$1000*ISNUMBER(MATCH(Evermont!$A$2:$A$1000,IF(Skills!$W$2:$W$999=$A100,Skills!$A$2:$A$999),0)))</f>
        <v>0</v>
      </c>
      <c r="H100" s="69" t="n">
        <f aca="false">COUNTIFS('Formation Initiale'!$B$2:$B$999,$A100,'Formation Initiale'!$AB$2:$AB$999,"&gt;0")+SUMPRODUCT((Evermont!$X$2:$X$1000&gt;0)*ISNUMBER(MATCH(Evermont!$A$2:$A$1000,IF(Skills!$W$2:$W$999=$A100,Skills!$A$2:$A$999),0)))</f>
        <v>0</v>
      </c>
      <c r="I100" s="70" t="n">
        <f aca="false">IFERROR($G100/$D100,0)</f>
        <v>0</v>
      </c>
    </row>
    <row r="101" customFormat="false" ht="15" hidden="false" customHeight="true" outlineLevel="0" collapsed="false">
      <c r="A101" s="65" t="s">
        <v>66</v>
      </c>
      <c r="B101" s="66" t="str">
        <f aca="false">IF(LEFT($A101,2)="OS","🇵🇹 Lisbonne","🇨🇦 Montréal")</f>
        <v>🇵🇹 Lisbonne</v>
      </c>
      <c r="C101" s="67" t="n">
        <f aca="false">COUNTIF(Skills!$W$2:$W$999,$A101)</f>
        <v>5</v>
      </c>
      <c r="D101" s="67" t="n">
        <f aca="false">COUNTIFS(Skills!$W$2:$W$999,$A101,Skills!$M$2:$M$999,"Active")</f>
        <v>2</v>
      </c>
      <c r="E101" s="67" t="n">
        <f aca="false">COUNTIFS(Skills!$W$2:$W$999,$A101,Skills!$M$2:$M$999,"COS")</f>
        <v>3</v>
      </c>
      <c r="F101" s="68" t="n">
        <f aca="false">IFERROR($E101/$C101,0)</f>
        <v>0.6</v>
      </c>
      <c r="G101" s="69" t="n">
        <f aca="false">SUMIF('Formation Initiale'!$B$2:$B$999,$A101,'Formation Initiale'!$AB$2:$AB$999)+SUMPRODUCT(Evermont!$X$2:$X$1000*ISNUMBER(MATCH(Evermont!$A$2:$A$1000,IF(Skills!$W$2:$W$999=$A101,Skills!$A$2:$A$999),0)))</f>
        <v>0</v>
      </c>
      <c r="H101" s="69" t="n">
        <f aca="false">COUNTIFS('Formation Initiale'!$B$2:$B$999,$A101,'Formation Initiale'!$AB$2:$AB$999,"&gt;0")+SUMPRODUCT((Evermont!$X$2:$X$1000&gt;0)*ISNUMBER(MATCH(Evermont!$A$2:$A$1000,IF(Skills!$W$2:$W$999=$A101,Skills!$A$2:$A$999),0)))</f>
        <v>0</v>
      </c>
      <c r="I101" s="70" t="n">
        <f aca="false">IFERROR($G101/$D101,0)</f>
        <v>0</v>
      </c>
    </row>
    <row r="102" customFormat="false" ht="15" hidden="false" customHeight="true" outlineLevel="0" collapsed="false">
      <c r="A102" s="65" t="s">
        <v>67</v>
      </c>
      <c r="B102" s="66" t="str">
        <f aca="false">IF(LEFT($A102,2)="OS","🇵🇹 Lisbonne","🇨🇦 Montréal")</f>
        <v>🇵🇹 Lisbonne</v>
      </c>
      <c r="C102" s="67" t="n">
        <f aca="false">COUNTIF(Skills!$W$2:$W$999,$A102)</f>
        <v>9</v>
      </c>
      <c r="D102" s="67" t="n">
        <f aca="false">COUNTIFS(Skills!$W$2:$W$999,$A102,Skills!$M$2:$M$999,"Active")</f>
        <v>3</v>
      </c>
      <c r="E102" s="67" t="n">
        <f aca="false">COUNTIFS(Skills!$W$2:$W$999,$A102,Skills!$M$2:$M$999,"COS")</f>
        <v>6</v>
      </c>
      <c r="F102" s="68" t="n">
        <f aca="false">IFERROR($E102/$C102,0)</f>
        <v>0.666666666666667</v>
      </c>
      <c r="G102" s="69" t="n">
        <f aca="false">SUMIF('Formation Initiale'!$B$2:$B$999,$A102,'Formation Initiale'!$AB$2:$AB$999)+SUMPRODUCT(Evermont!$X$2:$X$1000*ISNUMBER(MATCH(Evermont!$A$2:$A$1000,IF(Skills!$W$2:$W$999=$A102,Skills!$A$2:$A$999),0)))</f>
        <v>0</v>
      </c>
      <c r="H102" s="69" t="n">
        <f aca="false">COUNTIFS('Formation Initiale'!$B$2:$B$999,$A102,'Formation Initiale'!$AB$2:$AB$999,"&gt;0")+SUMPRODUCT((Evermont!$X$2:$X$1000&gt;0)*ISNUMBER(MATCH(Evermont!$A$2:$A$1000,IF(Skills!$W$2:$W$999=$A102,Skills!$A$2:$A$999),0)))</f>
        <v>0</v>
      </c>
      <c r="I102" s="70" t="n">
        <f aca="false">IFERROR($G102/$D102,0)</f>
        <v>0</v>
      </c>
    </row>
    <row r="103" customFormat="false" ht="15" hidden="false" customHeight="true" outlineLevel="0" collapsed="false">
      <c r="A103" s="65" t="s">
        <v>68</v>
      </c>
      <c r="B103" s="66" t="str">
        <f aca="false">IF(LEFT($A103,2)="OS","🇵🇹 Lisbonne","🇨🇦 Montréal")</f>
        <v>🇵🇹 Lisbonne</v>
      </c>
      <c r="C103" s="67" t="n">
        <f aca="false">COUNTIF(Skills!$W$2:$W$999,$A103)</f>
        <v>5</v>
      </c>
      <c r="D103" s="67" t="n">
        <f aca="false">COUNTIFS(Skills!$W$2:$W$999,$A103,Skills!$M$2:$M$999,"Active")</f>
        <v>2</v>
      </c>
      <c r="E103" s="67" t="n">
        <f aca="false">COUNTIFS(Skills!$W$2:$W$999,$A103,Skills!$M$2:$M$999,"COS")</f>
        <v>3</v>
      </c>
      <c r="F103" s="68" t="n">
        <f aca="false">IFERROR($E103/$C103,0)</f>
        <v>0.6</v>
      </c>
      <c r="G103" s="69" t="n">
        <f aca="false">SUMIF('Formation Initiale'!$B$2:$B$999,$A103,'Formation Initiale'!$AB$2:$AB$999)+SUMPRODUCT(Evermont!$X$2:$X$1000*ISNUMBER(MATCH(Evermont!$A$2:$A$1000,IF(Skills!$W$2:$W$999=$A103,Skills!$A$2:$A$999),0)))</f>
        <v>0</v>
      </c>
      <c r="H103" s="69" t="n">
        <f aca="false">COUNTIFS('Formation Initiale'!$B$2:$B$999,$A103,'Formation Initiale'!$AB$2:$AB$999,"&gt;0")+SUMPRODUCT((Evermont!$X$2:$X$1000&gt;0)*ISNUMBER(MATCH(Evermont!$A$2:$A$1000,IF(Skills!$W$2:$W$999=$A103,Skills!$A$2:$A$999),0)))</f>
        <v>0</v>
      </c>
      <c r="I103" s="70" t="n">
        <f aca="false">IFERROR($G103/$D103,0)</f>
        <v>0</v>
      </c>
    </row>
    <row r="104" customFormat="false" ht="15" hidden="false" customHeight="true" outlineLevel="0" collapsed="false">
      <c r="A104" s="65" t="s">
        <v>69</v>
      </c>
      <c r="B104" s="66" t="str">
        <f aca="false">IF(LEFT($A104,2)="OS","🇵🇹 Lisbonne","🇨🇦 Montréal")</f>
        <v>🇵🇹 Lisbonne</v>
      </c>
      <c r="C104" s="67" t="n">
        <f aca="false">COUNTIF(Skills!$W$2:$W$999,$A104)</f>
        <v>5</v>
      </c>
      <c r="D104" s="67" t="n">
        <f aca="false">COUNTIFS(Skills!$W$2:$W$999,$A104,Skills!$M$2:$M$999,"Active")</f>
        <v>5</v>
      </c>
      <c r="E104" s="67" t="n">
        <f aca="false">COUNTIFS(Skills!$W$2:$W$999,$A104,Skills!$M$2:$M$999,"COS")</f>
        <v>0</v>
      </c>
      <c r="F104" s="68" t="n">
        <f aca="false">IFERROR($E104/$C104,0)</f>
        <v>0</v>
      </c>
      <c r="G104" s="69" t="n">
        <f aca="false">SUMIF('Formation Initiale'!$B$2:$B$999,$A104,'Formation Initiale'!$AB$2:$AB$999)+SUMPRODUCT(Evermont!$X$2:$X$1000*ISNUMBER(MATCH(Evermont!$A$2:$A$1000,IF(Skills!$W$2:$W$999=$A104,Skills!$A$2:$A$999),0)))</f>
        <v>0</v>
      </c>
      <c r="H104" s="69" t="n">
        <f aca="false">COUNTIFS('Formation Initiale'!$B$2:$B$999,$A104,'Formation Initiale'!$AB$2:$AB$999,"&gt;0")+SUMPRODUCT((Evermont!$X$2:$X$1000&gt;0)*ISNUMBER(MATCH(Evermont!$A$2:$A$1000,IF(Skills!$W$2:$W$999=$A104,Skills!$A$2:$A$999),0)))</f>
        <v>0</v>
      </c>
      <c r="I104" s="70" t="n">
        <f aca="false">IFERROR($G104/$D104,0)</f>
        <v>0</v>
      </c>
    </row>
    <row r="105" customFormat="false" ht="15" hidden="false" customHeight="true" outlineLevel="0" collapsed="false">
      <c r="A105" s="65" t="s">
        <v>70</v>
      </c>
      <c r="B105" s="66" t="str">
        <f aca="false">IF(LEFT($A105,2)="OS","🇵🇹 Lisbonne","🇨🇦 Montréal")</f>
        <v>🇵🇹 Lisbonne</v>
      </c>
      <c r="C105" s="67" t="n">
        <f aca="false">COUNTIF(Skills!$W$2:$W$999,$A105)</f>
        <v>4</v>
      </c>
      <c r="D105" s="67" t="n">
        <f aca="false">COUNTIFS(Skills!$W$2:$W$999,$A105,Skills!$M$2:$M$999,"Active")</f>
        <v>4</v>
      </c>
      <c r="E105" s="67" t="n">
        <f aca="false">COUNTIFS(Skills!$W$2:$W$999,$A105,Skills!$M$2:$M$999,"COS")</f>
        <v>0</v>
      </c>
      <c r="F105" s="68" t="n">
        <f aca="false">IFERROR($E105/$C105,0)</f>
        <v>0</v>
      </c>
      <c r="G105" s="69" t="n">
        <f aca="false">SUMIF('Formation Initiale'!$B$2:$B$999,$A105,'Formation Initiale'!$AB$2:$AB$999)+SUMPRODUCT(Evermont!$X$2:$X$1000*ISNUMBER(MATCH(Evermont!$A$2:$A$1000,IF(Skills!$W$2:$W$999=$A105,Skills!$A$2:$A$999),0)))</f>
        <v>0</v>
      </c>
      <c r="H105" s="69" t="n">
        <f aca="false">COUNTIFS('Formation Initiale'!$B$2:$B$999,$A105,'Formation Initiale'!$AB$2:$AB$999,"&gt;0")+SUMPRODUCT((Evermont!$X$2:$X$1000&gt;0)*ISNUMBER(MATCH(Evermont!$A$2:$A$1000,IF(Skills!$W$2:$W$999=$A105,Skills!$A$2:$A$999),0)))</f>
        <v>0</v>
      </c>
      <c r="I105" s="70" t="n">
        <f aca="false">IFERROR($G105/$D105,0)</f>
        <v>0</v>
      </c>
    </row>
    <row r="106" customFormat="false" ht="15" hidden="false" customHeight="true" outlineLevel="0" collapsed="false">
      <c r="A106" s="65" t="s">
        <v>71</v>
      </c>
      <c r="B106" s="66" t="str">
        <f aca="false">IF(LEFT($A106,2)="OS","🇵🇹 Lisbonne","🇨🇦 Montréal")</f>
        <v>🇵🇹 Lisbonne</v>
      </c>
      <c r="C106" s="67" t="n">
        <f aca="false">COUNTIF(Skills!$W$2:$W$999,$A106)</f>
        <v>6</v>
      </c>
      <c r="D106" s="67" t="n">
        <f aca="false">COUNTIFS(Skills!$W$2:$W$999,$A106,Skills!$M$2:$M$999,"Active")</f>
        <v>4</v>
      </c>
      <c r="E106" s="67" t="n">
        <f aca="false">COUNTIFS(Skills!$W$2:$W$999,$A106,Skills!$M$2:$M$999,"COS")</f>
        <v>2</v>
      </c>
      <c r="F106" s="68" t="n">
        <f aca="false">IFERROR($E106/$C106,0)</f>
        <v>0.333333333333333</v>
      </c>
      <c r="G106" s="69" t="n">
        <f aca="false">SUMIF('Formation Initiale'!$B$2:$B$999,$A106,'Formation Initiale'!$AB$2:$AB$999)+SUMPRODUCT(Evermont!$X$2:$X$1000*ISNUMBER(MATCH(Evermont!$A$2:$A$1000,IF(Skills!$W$2:$W$999=$A106,Skills!$A$2:$A$999),0)))</f>
        <v>0</v>
      </c>
      <c r="H106" s="69" t="n">
        <f aca="false">COUNTIFS('Formation Initiale'!$B$2:$B$999,$A106,'Formation Initiale'!$AB$2:$AB$999,"&gt;0")+SUMPRODUCT((Evermont!$X$2:$X$1000&gt;0)*ISNUMBER(MATCH(Evermont!$A$2:$A$1000,IF(Skills!$W$2:$W$999=$A106,Skills!$A$2:$A$999),0)))</f>
        <v>0</v>
      </c>
      <c r="I106" s="70" t="n">
        <f aca="false">IFERROR($G106/$D106,0)</f>
        <v>0</v>
      </c>
    </row>
    <row r="107" customFormat="false" ht="15" hidden="false" customHeight="true" outlineLevel="0" collapsed="false">
      <c r="A107" s="65" t="s">
        <v>120</v>
      </c>
      <c r="B107" s="66" t="str">
        <f aca="false">IF(LEFT($A107,2)="OS","🇵🇹 Lisbonne","🇨🇦 Montréal")</f>
        <v>🇵🇹 Lisbonne</v>
      </c>
      <c r="C107" s="67" t="n">
        <f aca="false">COUNTIF(Skills!$W$2:$W$999,$A107)</f>
        <v>6</v>
      </c>
      <c r="D107" s="67" t="n">
        <f aca="false">COUNTIFS(Skills!$W$2:$W$999,$A107,Skills!$M$2:$M$999,"Active")</f>
        <v>6</v>
      </c>
      <c r="E107" s="67" t="n">
        <f aca="false">COUNTIFS(Skills!$W$2:$W$999,$A107,Skills!$M$2:$M$999,"COS")</f>
        <v>0</v>
      </c>
      <c r="F107" s="68" t="n">
        <f aca="false">IFERROR($E107/$C107,0)</f>
        <v>0</v>
      </c>
      <c r="G107" s="69" t="n">
        <f aca="false">SUMIF('Formation Initiale'!$B$2:$B$999,$A107,'Formation Initiale'!$AB$2:$AB$999)+SUMPRODUCT(Evermont!$X$2:$X$1000*ISNUMBER(MATCH(Evermont!$A$2:$A$1000,IF(Skills!$W$2:$W$999=$A107,Skills!$A$2:$A$999),0)))</f>
        <v>3</v>
      </c>
      <c r="H107" s="69" t="n">
        <f aca="false">COUNTIFS('Formation Initiale'!$B$2:$B$999,$A107,'Formation Initiale'!$AB$2:$AB$999,"&gt;0")+SUMPRODUCT((Evermont!$X$2:$X$1000&gt;0)*ISNUMBER(MATCH(Evermont!$A$2:$A$1000,IF(Skills!$W$2:$W$999=$A107,Skills!$A$2:$A$999),0)))</f>
        <v>2</v>
      </c>
      <c r="I107" s="70" t="n">
        <f aca="false">IFERROR($G107/$D107,0)</f>
        <v>0.5</v>
      </c>
    </row>
    <row r="108" customFormat="false" ht="15" hidden="false" customHeight="true" outlineLevel="0" collapsed="false">
      <c r="A108" s="71" t="s">
        <v>121</v>
      </c>
      <c r="B108" s="67" t="s">
        <v>122</v>
      </c>
      <c r="C108" s="67" t="n">
        <f aca="false">COUNTIF(Skills!$W$2:$W$999,"Général")</f>
        <v>80</v>
      </c>
      <c r="D108" s="67" t="n">
        <f aca="false">COUNTIFS(Skills!$W$2:$W$999,"Général",Skills!$M$2:$M$999,"Active")</f>
        <v>72</v>
      </c>
      <c r="E108" s="67" t="n">
        <f aca="false">COUNTIFS(Skills!$W$2:$W$999,"Général",Skills!$M$2:$M$999,"COS")</f>
        <v>5</v>
      </c>
      <c r="F108" s="68" t="n">
        <f aca="false">IFERROR($E108/$C108,0)</f>
        <v>0.0625</v>
      </c>
      <c r="G108" s="69" t="n">
        <f aca="false">SUMIF('Formation Initiale'!$B$2:$B$999,"Général",'Formation Initiale'!$AB$2:$AB$999)+SUMPRODUCT(Evermont!$X$2:$X$1000*ISNUMBER(MATCH(Evermont!$A$2:$A$1000,IF(Skills!$W$2:$W$999="Général",Skills!$A$2:$A$999),0)))</f>
        <v>5</v>
      </c>
      <c r="H108" s="69" t="n">
        <f aca="false">COUNTIFS('Formation Initiale'!$B$2:$B$999,"Général",'Formation Initiale'!$AB$2:$AB$999,"&gt;0")+SUMPRODUCT((Evermont!$X$2:$X$1000&gt;0)*ISNUMBER(MATCH(Evermont!$A$2:$A$1000,IF(Skills!$W$2:$W$999="Général",Skills!$A$2:$A$999),0)))</f>
        <v>4</v>
      </c>
      <c r="I108" s="70" t="n">
        <f aca="false">IFERROR($G108/$D108,0)</f>
        <v>0.0694444444444445</v>
      </c>
    </row>
    <row r="109" customFormat="false" ht="15" hidden="false" customHeight="true" outlineLevel="0" collapsed="false">
      <c r="A109" s="72" t="s">
        <v>123</v>
      </c>
      <c r="B109" s="73"/>
      <c r="C109" s="72" t="n">
        <f aca="false">COUNTIF(Skills!$A$2:$A$999,"?*")</f>
        <v>177</v>
      </c>
      <c r="D109" s="72" t="n">
        <f aca="false">COUNTIF(Skills!$M$2:$M$999,"Active")</f>
        <v>147</v>
      </c>
      <c r="E109" s="72" t="n">
        <f aca="false">COUNTIF(Skills!$M$2:$M$999,"COS")</f>
        <v>27</v>
      </c>
      <c r="F109" s="74" t="n">
        <f aca="false">IFERROR($E109/$C109,0)</f>
        <v>0.152542372881356</v>
      </c>
      <c r="G109" s="75" t="n">
        <f aca="false">SUM('Formation Initiale'!$AB$2:$AB$999)+SUM(Evermont!$X$2:$X$1000)</f>
        <v>10</v>
      </c>
      <c r="H109" s="75" t="n">
        <f aca="false">COUNTIF('Formation Initiale'!$AB$2:$AB$999,"&gt;0")+COUNTIF(Evermont!$X$2:$X$1000,"&gt;0")</f>
        <v>7</v>
      </c>
      <c r="I109" s="76" t="n">
        <f aca="false">IFERROR($G109/$D109,0)</f>
        <v>0.0680272108843538</v>
      </c>
    </row>
    <row r="110" customFormat="false" ht="14.25" hidden="false" customHeight="true" outlineLevel="0" collapsed="false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</row>
    <row r="111" customFormat="false" ht="15" hidden="false" customHeight="true" outlineLevel="0" collapsed="false">
      <c r="A111" s="54" t="s">
        <v>124</v>
      </c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</row>
    <row r="112" customFormat="false" ht="14.25" hidden="false" customHeight="true" outlineLevel="0" collapsed="false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</row>
    <row r="113" customFormat="false" ht="15" hidden="false" customHeight="true" outlineLevel="0" collapsed="false">
      <c r="A113" s="78" t="s">
        <v>125</v>
      </c>
      <c r="B113" s="78"/>
      <c r="C113" s="79" t="s">
        <v>126</v>
      </c>
      <c r="D113" s="79"/>
      <c r="E113" s="77"/>
      <c r="F113" s="77"/>
      <c r="G113" s="77"/>
      <c r="H113" s="77"/>
      <c r="I113" s="77"/>
      <c r="J113" s="77"/>
      <c r="K113" s="77"/>
      <c r="L113" s="77"/>
    </row>
    <row r="114" customFormat="false" ht="15" hidden="false" customHeight="true" outlineLevel="0" collapsed="false">
      <c r="A114" s="80" t="s">
        <v>127</v>
      </c>
      <c r="B114" s="80"/>
      <c r="C114" s="81" t="n">
        <f aca="false">SUMPRODUCT(('Formation Initiale'!$A$2:$A$999&lt;&gt;"")*(COUNTIF(Skills!$A$2:$A$999,'Formation Initiale'!$A$2:$A$999)=0))</f>
        <v>0</v>
      </c>
      <c r="D114" s="81"/>
      <c r="E114" s="77"/>
      <c r="F114" s="77"/>
      <c r="G114" s="77"/>
      <c r="H114" s="77"/>
      <c r="I114" s="77"/>
      <c r="J114" s="77"/>
      <c r="K114" s="77"/>
      <c r="L114" s="77"/>
    </row>
    <row r="115" customFormat="false" ht="15" hidden="false" customHeight="true" outlineLevel="0" collapsed="false">
      <c r="A115" s="80" t="s">
        <v>128</v>
      </c>
      <c r="B115" s="80"/>
      <c r="C115" s="81" t="n">
        <f aca="false">SUMPRODUCT(('Agences &amp; Après-vente'!$A$2:$A$1000&lt;&gt;"")*(COUNTIF(Skills!$A$2:$A$999,'Agences &amp; Après-vente'!$A$2:$A$1000)=0))</f>
        <v>0</v>
      </c>
      <c r="D115" s="81"/>
      <c r="E115" s="77"/>
      <c r="F115" s="77"/>
      <c r="G115" s="77"/>
      <c r="H115" s="77"/>
      <c r="I115" s="77"/>
      <c r="J115" s="77"/>
      <c r="K115" s="77"/>
      <c r="L115" s="77"/>
    </row>
    <row r="116" customFormat="false" ht="15" hidden="false" customHeight="true" outlineLevel="0" collapsed="false">
      <c r="A116" s="80" t="s">
        <v>129</v>
      </c>
      <c r="B116" s="80"/>
      <c r="C116" s="81" t="n">
        <f aca="false">SUMPRODUCT((Evermont!$A$2:$A$1000&lt;&gt;"")*(COUNTIF(Skills!$A$2:$A$999,Evermont!$A$2:$A$1000)=0))</f>
        <v>0</v>
      </c>
      <c r="D116" s="81"/>
      <c r="E116" s="77"/>
      <c r="F116" s="77"/>
      <c r="G116" s="77"/>
      <c r="H116" s="77"/>
      <c r="I116" s="77"/>
      <c r="J116" s="77"/>
      <c r="K116" s="77"/>
      <c r="L116" s="77"/>
    </row>
    <row r="117" customFormat="false" ht="15" hidden="false" customHeight="true" outlineLevel="0" collapsed="false">
      <c r="A117" s="80" t="s">
        <v>130</v>
      </c>
      <c r="B117" s="80"/>
      <c r="C117" s="81" t="n">
        <f aca="false">SUMPRODUCT((Skills!$A$2:$A$999&lt;&gt;"")*(COUNTIF(Skills!$A$2:$A$999,Skills!$A$2:$A$999)&gt;1))</f>
        <v>0</v>
      </c>
      <c r="D117" s="81"/>
      <c r="E117" s="77"/>
      <c r="F117" s="77"/>
      <c r="G117" s="77"/>
      <c r="H117" s="77"/>
      <c r="I117" s="77"/>
      <c r="J117" s="77"/>
      <c r="K117" s="77"/>
      <c r="L117" s="77"/>
    </row>
    <row r="118" customFormat="false" ht="15" hidden="false" customHeight="true" outlineLevel="0" collapsed="false">
      <c r="A118" s="82" t="s">
        <v>131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</row>
    <row r="119" customFormat="false" ht="14.25" hidden="false" customHeight="true" outlineLevel="0" collapsed="false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</row>
    <row r="120" customFormat="false" ht="21.75" hidden="false" customHeight="true" outlineLevel="0" collapsed="false">
      <c r="A120" s="83" t="s">
        <v>132</v>
      </c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</row>
    <row r="121" customFormat="false" ht="30" hidden="false" customHeight="true" outlineLevel="0" collapsed="false">
      <c r="A121" s="84" t="s">
        <v>133</v>
      </c>
      <c r="B121" s="84"/>
      <c r="C121" s="85" t="s">
        <v>134</v>
      </c>
      <c r="D121" s="85"/>
      <c r="E121" s="86" t="s">
        <v>135</v>
      </c>
      <c r="F121" s="86"/>
      <c r="G121" s="85" t="s">
        <v>136</v>
      </c>
      <c r="H121" s="85"/>
      <c r="I121" s="85" t="s">
        <v>137</v>
      </c>
      <c r="J121" s="85"/>
      <c r="K121" s="85" t="s">
        <v>138</v>
      </c>
      <c r="L121" s="85"/>
    </row>
    <row r="122" customFormat="false" ht="39.75" hidden="false" customHeight="true" outlineLevel="0" collapsed="false">
      <c r="A122" s="87" t="n">
        <f aca="false">SUM('Formation Initiale'!$AB$2:$AB$999)+SUM(Evermont!$X$2:$X$1000)</f>
        <v>10</v>
      </c>
      <c r="B122" s="87"/>
      <c r="C122" s="88" t="n">
        <f aca="false">COUNTIF('Formation Initiale'!$AB$2:$AB$999,"&gt;0")+COUNTIF(Evermont!$X$2:$X$1000,"&gt;0")</f>
        <v>7</v>
      </c>
      <c r="D122" s="88"/>
      <c r="E122" s="89" t="n">
        <f aca="false">SUMIFS('Formation Initiale'!$AB$2:$AB$999,'Formation Initiale'!$R$2:$R$999,"En cours")+SUMIFS(Evermont!$X$2:$X$1000,Evermont!$Q$2:$Q$1000,"En cours")</f>
        <v>1</v>
      </c>
      <c r="F122" s="89"/>
      <c r="G122" s="90" t="n">
        <f aca="false">IFERROR((SUM('Formation Initiale'!$AB$2:$AB$999)+SUM(Evermont!$X$2:$X$1000))/(COUNTIF('Formation Initiale'!$AB$2:$AB$999,"&gt;0")+COUNTIF(Evermont!$X$2:$X$1000,"&gt;0")),0)</f>
        <v>1.42857142857143</v>
      </c>
      <c r="H122" s="90"/>
      <c r="I122" s="88" t="n">
        <f aca="false">SUM('Formation Initiale'!$AB$2:$AB$999)</f>
        <v>5</v>
      </c>
      <c r="J122" s="88"/>
      <c r="K122" s="88" t="n">
        <f aca="false">SUM(Evermont!$X$2:$X$1000)</f>
        <v>5</v>
      </c>
      <c r="L122" s="88"/>
    </row>
    <row r="123" customFormat="false" ht="14.25" hidden="false" customHeight="true" outlineLevel="0" collapsed="false">
      <c r="A123" s="77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</row>
    <row r="124" customFormat="false" ht="21.75" hidden="false" customHeight="true" outlineLevel="0" collapsed="false">
      <c r="A124" s="83" t="s">
        <v>139</v>
      </c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</row>
    <row r="125" customFormat="false" ht="14.25" hidden="false" customHeight="true" outlineLevel="0" collapsed="false">
      <c r="A125" s="64" t="s">
        <v>44</v>
      </c>
      <c r="B125" s="64" t="s">
        <v>140</v>
      </c>
      <c r="C125" s="64" t="s">
        <v>141</v>
      </c>
      <c r="D125" s="64" t="s">
        <v>118</v>
      </c>
      <c r="E125" s="77"/>
      <c r="F125" s="77"/>
      <c r="G125" s="77"/>
      <c r="H125" s="77"/>
      <c r="I125" s="77"/>
      <c r="J125" s="77"/>
      <c r="K125" s="77"/>
      <c r="L125" s="77"/>
    </row>
    <row r="126" customFormat="false" ht="14.25" hidden="false" customHeight="true" outlineLevel="0" collapsed="false">
      <c r="A126" s="91" t="s">
        <v>48</v>
      </c>
      <c r="B126" s="92" t="n">
        <f aca="false">SUMIF('Formation Initiale'!$F$2:$F$999,"Montréal",'Formation Initiale'!$AB$2:$AB$999)+SUMIF(Evermont!$C$2:$C$1000,"Montréal",Evermont!$X$2:$X$1000)</f>
        <v>7</v>
      </c>
      <c r="C126" s="93" t="n">
        <f aca="false">IFERROR((SUMIF('Formation Initiale'!$F$2:$F$999,"Montréal",'Formation Initiale'!$AB$2:$AB$999)+SUMIF(Evermont!$C$2:$C$1000,"Montréal",Evermont!$X$2:$X$1000))/(SUM('Formation Initiale'!$AB$2:$AB$999)+SUM(Evermont!$X$2:$X$1000)),0)</f>
        <v>0.7</v>
      </c>
      <c r="D126" s="92" t="n">
        <f aca="false">COUNTIFS('Formation Initiale'!$F$2:$F$999,"Montréal",'Formation Initiale'!$AB$2:$AB$999,"&gt;0")+COUNTIFS(Evermont!$C$2:$C$1000,"Montréal",Evermont!$X$2:$X$1000,"&gt;0")</f>
        <v>5</v>
      </c>
      <c r="E126" s="77"/>
      <c r="F126" s="77"/>
      <c r="G126" s="77"/>
      <c r="H126" s="77"/>
      <c r="I126" s="77"/>
      <c r="J126" s="77"/>
      <c r="K126" s="77"/>
      <c r="L126" s="77"/>
    </row>
    <row r="127" customFormat="false" ht="14.25" hidden="false" customHeight="true" outlineLevel="0" collapsed="false">
      <c r="A127" s="91" t="s">
        <v>49</v>
      </c>
      <c r="B127" s="92" t="n">
        <f aca="false">SUMIF('Formation Initiale'!$F$2:$F$999,"Lisbonne",'Formation Initiale'!$AB$2:$AB$999)+SUMIF(Evermont!$C$2:$C$1000,"Lisbonne",Evermont!$X$2:$X$1000)</f>
        <v>3</v>
      </c>
      <c r="C127" s="93" t="n">
        <f aca="false">IFERROR((SUMIF('Formation Initiale'!$F$2:$F$999,"Lisbonne",'Formation Initiale'!$AB$2:$AB$999)+SUMIF(Evermont!$C$2:$C$1000,"Lisbonne",Evermont!$X$2:$X$1000))/(SUM('Formation Initiale'!$AB$2:$AB$999)+SUM(Evermont!$X$2:$X$1000)),0)</f>
        <v>0.3</v>
      </c>
      <c r="D127" s="92" t="n">
        <f aca="false">COUNTIFS('Formation Initiale'!$F$2:$F$999,"Lisbonne",'Formation Initiale'!$AB$2:$AB$999,"&gt;0")+COUNTIFS(Evermont!$C$2:$C$1000,"Lisbonne",Evermont!$X$2:$X$1000,"&gt;0")</f>
        <v>2</v>
      </c>
      <c r="E127" s="77"/>
      <c r="F127" s="77"/>
      <c r="G127" s="77"/>
      <c r="H127" s="77"/>
      <c r="I127" s="77"/>
      <c r="J127" s="77"/>
      <c r="K127" s="77"/>
      <c r="L127" s="77"/>
    </row>
    <row r="128" customFormat="false" ht="14.25" hidden="false" customHeight="true" outlineLevel="0" collapsed="false">
      <c r="A128" s="91" t="s">
        <v>50</v>
      </c>
      <c r="B128" s="75" t="n">
        <f aca="false">SUM('Formation Initiale'!$AB$2:$AB$999)+SUM(Evermont!$X$2:$X$1000)</f>
        <v>10</v>
      </c>
      <c r="C128" s="94" t="n">
        <f aca="false">IFERROR(SUM(C125:C126),0)</f>
        <v>0.7</v>
      </c>
      <c r="D128" s="75" t="n">
        <f aca="false">COUNTIF('Formation Initiale'!$AB$2:$AB$999,"&gt;0")+COUNTIF(Evermont!$X$2:$X$1000,"&gt;0")</f>
        <v>7</v>
      </c>
      <c r="E128" s="77"/>
      <c r="F128" s="77"/>
      <c r="G128" s="77"/>
      <c r="H128" s="77"/>
      <c r="I128" s="77"/>
      <c r="J128" s="77"/>
      <c r="K128" s="77"/>
      <c r="L128" s="77"/>
    </row>
    <row r="129" customFormat="false" ht="14.25" hidden="false" customHeight="true" outlineLevel="0" collapsed="false">
      <c r="A129" s="77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</row>
    <row r="130" customFormat="false" ht="21.75" hidden="false" customHeight="true" outlineLevel="0" collapsed="false">
      <c r="A130" s="83" t="s">
        <v>142</v>
      </c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</row>
    <row r="131" customFormat="false" ht="14.25" hidden="false" customHeight="true" outlineLevel="0" collapsed="false">
      <c r="A131" s="64" t="s">
        <v>97</v>
      </c>
      <c r="B131" s="64" t="s">
        <v>140</v>
      </c>
      <c r="C131" s="95" t="s">
        <v>141</v>
      </c>
      <c r="D131" s="64" t="s">
        <v>118</v>
      </c>
      <c r="E131" s="64" t="s">
        <v>143</v>
      </c>
      <c r="F131" s="77"/>
      <c r="G131" s="77"/>
      <c r="H131" s="77"/>
      <c r="I131" s="96"/>
      <c r="J131" s="77"/>
      <c r="K131" s="97"/>
      <c r="L131" s="77"/>
    </row>
    <row r="132" customFormat="false" ht="14.25" hidden="false" customHeight="true" outlineLevel="0" collapsed="false">
      <c r="A132" s="91" t="s">
        <v>144</v>
      </c>
      <c r="B132" s="92" t="n">
        <f aca="false">SUM('Formation Initiale'!$AB$2:$AB$999)</f>
        <v>5</v>
      </c>
      <c r="C132" s="93" t="n">
        <f aca="false">IFERROR(SUM('Formation Initiale'!$AB$2:$AB$999)/(SUM('Formation Initiale'!$AB$2:$AB$999)+SUM(Evermont!$X$2:$X$1000)),0)</f>
        <v>0.5</v>
      </c>
      <c r="D132" s="92" t="n">
        <f aca="false">COUNTIF('Formation Initiale'!$AB$2:$AB$999,"&gt;0")</f>
        <v>3</v>
      </c>
      <c r="E132" s="98" t="n">
        <f aca="false">IFERROR(SUM('Formation Initiale'!$AB$2:$AB$999)/COUNTIF('Formation Initiale'!$AB$2:$AB$999,"&gt;0"),0)</f>
        <v>1.66666666666667</v>
      </c>
      <c r="F132" s="77"/>
      <c r="G132" s="77"/>
      <c r="H132" s="77"/>
      <c r="I132" s="77"/>
      <c r="J132" s="77"/>
      <c r="K132" s="77"/>
      <c r="L132" s="77"/>
    </row>
    <row r="133" customFormat="false" ht="14.25" hidden="false" customHeight="true" outlineLevel="0" collapsed="false">
      <c r="A133" s="91" t="s">
        <v>31</v>
      </c>
      <c r="B133" s="92" t="n">
        <f aca="false">SUM(Evermont!$X$2:$X$1000)</f>
        <v>5</v>
      </c>
      <c r="C133" s="93" t="n">
        <f aca="false">IFERROR(SUM(Evermont!$X$2:$X$1000)/(SUM('Formation Initiale'!$AB$2:$AB$999)+SUM(Evermont!$X$2:$X$1000)),0)</f>
        <v>0.5</v>
      </c>
      <c r="D133" s="92" t="n">
        <f aca="false">COUNTIF(Evermont!$X$2:$X$1000,"&gt;0")</f>
        <v>4</v>
      </c>
      <c r="E133" s="98" t="n">
        <f aca="false">IFERROR(SUM(Evermont!$X$2:$X$1000)/COUNTIF(Evermont!$X$2:$X$1000,"&gt;0"),0)</f>
        <v>1.25</v>
      </c>
      <c r="F133" s="77"/>
      <c r="G133" s="77"/>
      <c r="H133" s="77"/>
      <c r="I133" s="77"/>
      <c r="J133" s="77"/>
      <c r="K133" s="77"/>
      <c r="L133" s="77"/>
    </row>
    <row r="134" customFormat="false" ht="14.25" hidden="false" customHeight="true" outlineLevel="0" collapsed="false">
      <c r="A134" s="91" t="s">
        <v>123</v>
      </c>
      <c r="B134" s="75" t="n">
        <f aca="false">SUM('Formation Initiale'!$AB$2:$AB$999)+SUM(Evermont!$X$2:$X$1000)</f>
        <v>10</v>
      </c>
      <c r="C134" s="94" t="n">
        <f aca="false">IFERROR(SUM(C131:C132),0)</f>
        <v>0.5</v>
      </c>
      <c r="D134" s="75" t="n">
        <f aca="false">COUNTIF('Formation Initiale'!$AB$2:$AB$999,"&gt;0")+COUNTIF(Evermont!$X$2:$X$1000,"&gt;0")</f>
        <v>7</v>
      </c>
      <c r="E134" s="76" t="n">
        <f aca="false">IFERROR((SUM('Formation Initiale'!$AB$2:$AB$999)+SUM(Evermont!$X$2:$X$1000))/(COUNTIF('Formation Initiale'!$AB$2:$AB$999,"&gt;0")+COUNTIF(Evermont!$X$2:$X$1000,"&gt;0")),0)</f>
        <v>1.42857142857143</v>
      </c>
      <c r="F134" s="77"/>
      <c r="G134" s="77"/>
      <c r="H134" s="77"/>
      <c r="I134" s="77"/>
      <c r="J134" s="77"/>
      <c r="K134" s="77"/>
      <c r="L134" s="77"/>
    </row>
    <row r="135" customFormat="false" ht="14.25" hidden="false" customHeight="true" outlineLevel="0" collapsed="false">
      <c r="A135" s="77"/>
      <c r="B135" s="77"/>
      <c r="C135" s="96"/>
      <c r="D135" s="77"/>
      <c r="E135" s="99"/>
      <c r="F135" s="77"/>
      <c r="G135" s="77"/>
      <c r="H135" s="77"/>
      <c r="I135" s="77"/>
      <c r="J135" s="77"/>
      <c r="K135" s="77"/>
      <c r="L135" s="77"/>
    </row>
    <row r="136" customFormat="false" ht="14.25" hidden="false" customHeight="true" outlineLevel="0" collapsed="false">
      <c r="A136" s="100" t="s">
        <v>145</v>
      </c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</row>
    <row r="137" customFormat="false" ht="14.25" hidden="false" customHeight="true" outlineLevel="0" collapsed="false">
      <c r="A137" s="77"/>
      <c r="B137" s="77"/>
      <c r="C137" s="96"/>
      <c r="D137" s="77"/>
      <c r="E137" s="99"/>
      <c r="F137" s="77"/>
      <c r="G137" s="77"/>
      <c r="H137" s="77"/>
      <c r="I137" s="77"/>
      <c r="J137" s="77"/>
      <c r="K137" s="77"/>
      <c r="L137" s="77"/>
    </row>
    <row r="138" customFormat="false" ht="14.25" hidden="false" customHeight="true" outlineLevel="0" collapsed="false">
      <c r="A138" s="77"/>
      <c r="B138" s="77"/>
      <c r="C138" s="96"/>
      <c r="D138" s="77"/>
      <c r="E138" s="99"/>
      <c r="F138" s="77"/>
      <c r="G138" s="77"/>
      <c r="H138" s="77"/>
      <c r="I138" s="77"/>
      <c r="J138" s="77"/>
      <c r="K138" s="77"/>
      <c r="L138" s="77"/>
    </row>
    <row r="139" customFormat="false" ht="14.25" hidden="false" customHeight="true" outlineLevel="0" collapsed="false">
      <c r="A139" s="77"/>
      <c r="B139" s="77"/>
      <c r="C139" s="96"/>
      <c r="D139" s="77"/>
      <c r="E139" s="99"/>
      <c r="F139" s="77"/>
      <c r="G139" s="77"/>
      <c r="H139" s="77"/>
      <c r="I139" s="77"/>
      <c r="J139" s="77"/>
      <c r="K139" s="77"/>
      <c r="L139" s="77"/>
    </row>
    <row r="140" customFormat="false" ht="14.25" hidden="false" customHeight="true" outlineLevel="0" collapsed="false">
      <c r="A140" s="77"/>
      <c r="B140" s="77"/>
      <c r="C140" s="96"/>
      <c r="D140" s="77"/>
      <c r="E140" s="99"/>
      <c r="F140" s="77"/>
      <c r="G140" s="77"/>
      <c r="H140" s="77"/>
      <c r="I140" s="77"/>
      <c r="J140" s="77"/>
      <c r="K140" s="77"/>
      <c r="L140" s="77"/>
    </row>
    <row r="141" customFormat="false" ht="14.25" hidden="false" customHeight="true" outlineLevel="0" collapsed="false">
      <c r="A141" s="77"/>
      <c r="B141" s="77"/>
      <c r="C141" s="96"/>
      <c r="D141" s="77"/>
      <c r="E141" s="99"/>
      <c r="F141" s="77"/>
      <c r="G141" s="77"/>
      <c r="H141" s="77"/>
      <c r="I141" s="77"/>
      <c r="J141" s="77"/>
      <c r="K141" s="77"/>
      <c r="L141" s="77"/>
    </row>
    <row r="142" customFormat="false" ht="14.25" hidden="false" customHeight="true" outlineLevel="0" collapsed="false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</row>
    <row r="143" customFormat="false" ht="14.25" hidden="false" customHeight="true" outlineLevel="0" collapsed="false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</row>
    <row r="144" customFormat="false" ht="14.25" hidden="false" customHeight="true" outlineLevel="0" collapsed="false">
      <c r="A144" s="77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</row>
    <row r="145" customFormat="false" ht="14.25" hidden="false" customHeight="true" outlineLevel="0" collapsed="false">
      <c r="A145" s="77"/>
      <c r="B145" s="77"/>
      <c r="C145" s="96"/>
      <c r="D145" s="77"/>
      <c r="E145" s="77"/>
      <c r="F145" s="77"/>
      <c r="G145" s="77"/>
      <c r="H145" s="77"/>
      <c r="I145" s="77"/>
      <c r="J145" s="77"/>
      <c r="K145" s="77"/>
      <c r="L145" s="77"/>
    </row>
    <row r="146" customFormat="false" ht="14.25" hidden="false" customHeight="true" outlineLevel="0" collapsed="false">
      <c r="A146" s="77"/>
      <c r="B146" s="77"/>
      <c r="C146" s="96"/>
      <c r="D146" s="77"/>
      <c r="E146" s="77"/>
      <c r="F146" s="77"/>
      <c r="G146" s="77"/>
      <c r="H146" s="77"/>
      <c r="I146" s="77"/>
      <c r="J146" s="77"/>
      <c r="K146" s="77"/>
      <c r="L146" s="77"/>
    </row>
    <row r="147" customFormat="false" ht="14.25" hidden="false" customHeight="true" outlineLevel="0" collapsed="false">
      <c r="A147" s="77"/>
      <c r="B147" s="77"/>
      <c r="C147" s="96"/>
      <c r="D147" s="77"/>
      <c r="E147" s="77"/>
      <c r="F147" s="77"/>
      <c r="G147" s="77"/>
      <c r="H147" s="77"/>
      <c r="I147" s="77"/>
      <c r="J147" s="77"/>
      <c r="K147" s="77"/>
      <c r="L147" s="77"/>
    </row>
    <row r="148" customFormat="false" ht="14.25" hidden="false" customHeight="true" outlineLevel="0" collapsed="false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</row>
    <row r="149" customFormat="false" ht="14.25" hidden="false" customHeight="true" outlineLevel="0" collapsed="false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</row>
  </sheetData>
  <mergeCells count="91">
    <mergeCell ref="A1:L1"/>
    <mergeCell ref="A2:L2"/>
    <mergeCell ref="A4:L4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L9"/>
    <mergeCell ref="A15:L15"/>
    <mergeCell ref="A17:B17"/>
    <mergeCell ref="C17:D17"/>
    <mergeCell ref="E17:F17"/>
    <mergeCell ref="G17:H17"/>
    <mergeCell ref="I17:J17"/>
    <mergeCell ref="A18:B18"/>
    <mergeCell ref="C18:D18"/>
    <mergeCell ref="E18:F18"/>
    <mergeCell ref="G18:H18"/>
    <mergeCell ref="I18:J18"/>
    <mergeCell ref="A20:L20"/>
    <mergeCell ref="A22:B22"/>
    <mergeCell ref="C22:D22"/>
    <mergeCell ref="E22:F22"/>
    <mergeCell ref="G22:H22"/>
    <mergeCell ref="A23:B23"/>
    <mergeCell ref="C23:D23"/>
    <mergeCell ref="E23:F23"/>
    <mergeCell ref="G23:H23"/>
    <mergeCell ref="A25:L25"/>
    <mergeCell ref="A33:L33"/>
    <mergeCell ref="A50:L50"/>
    <mergeCell ref="A59:L59"/>
    <mergeCell ref="A72:L72"/>
    <mergeCell ref="A74:B74"/>
    <mergeCell ref="C74:D74"/>
    <mergeCell ref="E74:F74"/>
    <mergeCell ref="G74:H74"/>
    <mergeCell ref="A75:B75"/>
    <mergeCell ref="C75:D75"/>
    <mergeCell ref="E75:F75"/>
    <mergeCell ref="G75:H75"/>
    <mergeCell ref="A78:L78"/>
    <mergeCell ref="A85:L85"/>
    <mergeCell ref="A87:L87"/>
    <mergeCell ref="A89:B89"/>
    <mergeCell ref="C89:D89"/>
    <mergeCell ref="E89:F89"/>
    <mergeCell ref="G89:H89"/>
    <mergeCell ref="I89:J89"/>
    <mergeCell ref="A90:B90"/>
    <mergeCell ref="C90:D90"/>
    <mergeCell ref="E90:F90"/>
    <mergeCell ref="G90:H90"/>
    <mergeCell ref="I90:J90"/>
    <mergeCell ref="A92:L92"/>
    <mergeCell ref="A111:L111"/>
    <mergeCell ref="A113:B113"/>
    <mergeCell ref="C113:D113"/>
    <mergeCell ref="A114:B114"/>
    <mergeCell ref="C114:D114"/>
    <mergeCell ref="A115:B115"/>
    <mergeCell ref="C115:D115"/>
    <mergeCell ref="A116:B116"/>
    <mergeCell ref="C116:D116"/>
    <mergeCell ref="A117:B117"/>
    <mergeCell ref="C117:D117"/>
    <mergeCell ref="A118:L118"/>
    <mergeCell ref="A120:L120"/>
    <mergeCell ref="A121:B121"/>
    <mergeCell ref="C121:D121"/>
    <mergeCell ref="E121:F121"/>
    <mergeCell ref="G121:H121"/>
    <mergeCell ref="I121:J121"/>
    <mergeCell ref="K121:L121"/>
    <mergeCell ref="A122:B122"/>
    <mergeCell ref="C122:D122"/>
    <mergeCell ref="E122:F122"/>
    <mergeCell ref="G122:H122"/>
    <mergeCell ref="I122:J122"/>
    <mergeCell ref="K122:L122"/>
    <mergeCell ref="A124:L124"/>
    <mergeCell ref="A130:L130"/>
    <mergeCell ref="A136:L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43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I9" activeCellId="0" sqref="I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2"/>
    <col collapsed="false" customWidth="true" hidden="false" outlineLevel="0" max="6" min="6" style="0" width="5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"/>
    <col collapsed="false" customWidth="true" hidden="false" outlineLevel="0" max="11" min="11" style="0" width="5"/>
    <col collapsed="false" customWidth="true" hidden="false" outlineLevel="0" max="12" min="12" style="0" width="22"/>
    <col collapsed="false" customWidth="true" hidden="false" outlineLevel="0" max="13" min="13" style="0" width="8"/>
    <col collapsed="false" customWidth="true" hidden="false" outlineLevel="0" max="14" min="14" style="0" width="10"/>
  </cols>
  <sheetData>
    <row r="1" customFormat="false" ht="30" hidden="false" customHeight="true" outlineLevel="0" collapsed="false">
      <c r="A1" s="101" t="s">
        <v>146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4" t="str">
        <f aca="false">HYPERLINK("#Accueil!A1","⌂ Accueil")</f>
        <v>⌂ Accueil</v>
      </c>
    </row>
    <row r="2" customFormat="false" ht="19.5" hidden="false" customHeight="true" outlineLevel="0" collapsed="false">
      <c r="A2" s="102" t="s">
        <v>147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customFormat="false" ht="15" hidden="false" customHeight="true" outlineLevel="0" collapsed="false">
      <c r="A3" s="103" t="s">
        <v>148</v>
      </c>
      <c r="B3" s="104" t="s">
        <v>149</v>
      </c>
      <c r="C3" s="105" t="s">
        <v>150</v>
      </c>
      <c r="D3" s="104" t="s">
        <v>151</v>
      </c>
      <c r="E3" s="105" t="s">
        <v>150</v>
      </c>
    </row>
    <row r="5" customFormat="false" ht="31.5" hidden="false" customHeight="true" outlineLevel="0" collapsed="false">
      <c r="A5" s="106"/>
      <c r="B5" s="106"/>
      <c r="C5" s="106"/>
      <c r="D5" s="106"/>
      <c r="E5" s="106"/>
      <c r="F5" s="106"/>
      <c r="G5" s="106"/>
      <c r="H5" s="106"/>
      <c r="I5" s="106"/>
      <c r="J5" s="107"/>
      <c r="K5" s="107"/>
      <c r="L5" s="107"/>
      <c r="M5" s="107"/>
      <c r="N5" s="107"/>
      <c r="O5" s="107"/>
    </row>
    <row r="6" customFormat="false" ht="21.75" hidden="false" customHeight="true" outlineLevel="0" collapsed="false">
      <c r="A6" s="108" t="str">
        <f aca="false">"FORMATION INITIALE — Formation Initiale · "&amp;$L$799</f>
        <v>FORMATION INITIALE — Formation Initiale · 15</v>
      </c>
      <c r="B6" s="108"/>
      <c r="C6" s="108"/>
      <c r="D6" s="108"/>
      <c r="E6" s="109"/>
      <c r="F6" s="110" t="str">
        <f aca="false">"NOUVELLE COMPÉTENCE — Agences &amp; Après-vente · "&amp;($L$1199-$L$799)</f>
        <v>NOUVELLE COMPÉTENCE — Agences &amp; Après-vente · 2</v>
      </c>
      <c r="G6" s="110"/>
      <c r="H6" s="110"/>
      <c r="I6" s="110"/>
      <c r="J6" s="107"/>
      <c r="K6" s="111" t="str">
        <f aca="false">"NOUVELLE COMPÉTENCE — Evermont · "&amp;($L$1599-$L$1199)</f>
        <v>NOUVELLE COMPÉTENCE — Evermont · 2</v>
      </c>
      <c r="L6" s="111"/>
      <c r="M6" s="111"/>
      <c r="N6" s="111"/>
      <c r="O6" s="107"/>
    </row>
    <row r="7" customFormat="false" ht="15" hidden="false" customHeight="true" outlineLevel="0" collapsed="false">
      <c r="A7" s="112" t="s">
        <v>152</v>
      </c>
      <c r="B7" s="112" t="s">
        <v>153</v>
      </c>
      <c r="C7" s="112" t="s">
        <v>154</v>
      </c>
      <c r="D7" s="112" t="s">
        <v>151</v>
      </c>
      <c r="E7" s="109"/>
      <c r="F7" s="112" t="s">
        <v>152</v>
      </c>
      <c r="G7" s="112" t="s">
        <v>153</v>
      </c>
      <c r="H7" s="112" t="s">
        <v>154</v>
      </c>
      <c r="I7" s="112" t="s">
        <v>151</v>
      </c>
      <c r="J7" s="107"/>
      <c r="K7" s="112" t="s">
        <v>152</v>
      </c>
      <c r="L7" s="112" t="s">
        <v>153</v>
      </c>
      <c r="M7" s="112" t="s">
        <v>154</v>
      </c>
      <c r="N7" s="112" t="s">
        <v>151</v>
      </c>
      <c r="O7" s="107"/>
    </row>
    <row r="8" customFormat="false" ht="15" hidden="false" customHeight="true" outlineLevel="0" collapsed="false">
      <c r="A8" s="113" t="str">
        <f aca="false">IFERROR(INDEX($A:$A,MATCH(1,$L$400:$L$799,0)+399),"")</f>
        <v>TR163</v>
      </c>
      <c r="B8" s="114" t="str">
        <f aca="false">IFERROR(INDEX($B:$B,MATCH(1,$L$400:$L$799,0)+399),"")</f>
        <v>Rhoea Thornshaw</v>
      </c>
      <c r="C8" s="115" t="n">
        <f aca="false">IFERROR(INDEX($H:$H,MATCH(1,$L$400:$L$799,0)+399),"")</f>
        <v>0</v>
      </c>
      <c r="D8" s="109" t="str">
        <f aca="false">IFERROR(INDEX($I:$I,MATCH(1,$L$400:$L$799,0)+399),"")</f>
        <v>En cours</v>
      </c>
      <c r="E8" s="109"/>
      <c r="F8" s="113" t="str">
        <f aca="false">IFERROR(INDEX($A:$A,MATCH($L$799+1,$L$800:$L$1199,0)+799),"")</f>
        <v>TR163</v>
      </c>
      <c r="G8" s="114" t="str">
        <f aca="false">IFERROR(INDEX($B:$B,MATCH($L$799+1,$L$800:$L$1199,0)+799),"")</f>
        <v>Rhoea Thornshaw</v>
      </c>
      <c r="H8" s="109" t="str">
        <f aca="false">IFERROR(INDEX($H:$H,MATCH($L$799+1,$L$800:$L$1199,0)+799),"")</f>
        <v/>
      </c>
      <c r="I8" s="109" t="str">
        <f aca="false">IFERROR(INDEX($I:$I,MATCH($L$799+1,$L$800:$L$1199,0)+799),"")</f>
        <v>En cours</v>
      </c>
      <c r="J8" s="107"/>
      <c r="K8" s="113" t="str">
        <f aca="false">IFERROR(INDEX($A:$A,MATCH($L$1199+1,$L$1200:$L$1599,0)+1199),"")</f>
        <v>TR140</v>
      </c>
      <c r="L8" s="114" t="str">
        <f aca="false">IFERROR(INDEX($B:$B,MATCH($L$1199+1,$L$1200:$L$1599,0)+1199),"")</f>
        <v>Kelen Toric</v>
      </c>
      <c r="M8" s="115" t="n">
        <f aca="false">IFERROR(INDEX($H:$H,MATCH($L$1199+1,$L$1200:$L$1599,0)+1199),"")</f>
        <v>0</v>
      </c>
      <c r="N8" s="109" t="str">
        <f aca="false">IFERROR(INDEX($I:$I,MATCH($L$1199+1,$L$1200:$L$1599,0)+1199),"")</f>
        <v>En cours</v>
      </c>
      <c r="O8" s="107"/>
    </row>
    <row r="9" customFormat="false" ht="15" hidden="false" customHeight="true" outlineLevel="0" collapsed="false">
      <c r="A9" s="113" t="str">
        <f aca="false">IFERROR(INDEX($A:$A,MATCH(2,$L$400:$L$799,0)+399),"")</f>
        <v>TR164</v>
      </c>
      <c r="B9" s="114" t="str">
        <f aca="false">IFERROR(INDEX($B:$B,MATCH(2,$L$400:$L$799,0)+399),"")</f>
        <v>Weson Pykefield</v>
      </c>
      <c r="C9" s="115" t="n">
        <f aca="false">IFERROR(INDEX($H:$H,MATCH(2,$L$400:$L$799,0)+399),"")</f>
        <v>6</v>
      </c>
      <c r="D9" s="109" t="str">
        <f aca="false">IFERROR(INDEX($I:$I,MATCH(2,$L$400:$L$799,0)+399),"")</f>
        <v>En cours</v>
      </c>
      <c r="E9" s="109"/>
      <c r="F9" s="113" t="str">
        <f aca="false">IFERROR(INDEX($A:$A,MATCH($L$799+2,$L$800:$L$1199,0)+799),"")</f>
        <v>TR164</v>
      </c>
      <c r="G9" s="114" t="str">
        <f aca="false">IFERROR(INDEX($B:$B,MATCH($L$799+2,$L$800:$L$1199,0)+799),"")</f>
        <v>Weson Pykefield</v>
      </c>
      <c r="H9" s="109" t="str">
        <f aca="false">IFERROR(INDEX($H:$H,MATCH($L$799+2,$L$800:$L$1199,0)+799),"")</f>
        <v/>
      </c>
      <c r="I9" s="109" t="str">
        <f aca="false">IFERROR(INDEX($I:$I,MATCH($L$799+2,$L$800:$L$1199,0)+799),"")</f>
        <v>En cours</v>
      </c>
      <c r="J9" s="107"/>
      <c r="K9" s="113" t="str">
        <f aca="false">IFERROR(INDEX($A:$A,MATCH($L$1199+2,$L$1200:$L$1599,0)+1199),"")</f>
        <v>TR164</v>
      </c>
      <c r="L9" s="114" t="str">
        <f aca="false">IFERROR(INDEX($B:$B,MATCH($L$1199+2,$L$1200:$L$1599,0)+1199),"")</f>
        <v>Weson Pykefield</v>
      </c>
      <c r="M9" s="115" t="str">
        <f aca="false">IFERROR(INDEX($H:$H,MATCH($L$1199+2,$L$1200:$L$1599,0)+1199),"")</f>
        <v/>
      </c>
      <c r="N9" s="109" t="str">
        <f aca="false">IFERROR(INDEX($I:$I,MATCH($L$1199+2,$L$1200:$L$1599,0)+1199),"")</f>
        <v>À venir</v>
      </c>
      <c r="O9" s="107"/>
    </row>
    <row r="10" customFormat="false" ht="15" hidden="false" customHeight="true" outlineLevel="0" collapsed="false">
      <c r="A10" s="113" t="str">
        <f aca="false">IFERROR(INDEX($A:$A,MATCH(3,$L$400:$L$799,0)+399),"")</f>
        <v>TR165</v>
      </c>
      <c r="B10" s="114" t="str">
        <f aca="false">IFERROR(INDEX($B:$B,MATCH(3,$L$400:$L$799,0)+399),"")</f>
        <v>Holtmont Rhous Dorum</v>
      </c>
      <c r="C10" s="115" t="n">
        <f aca="false">IFERROR(INDEX($H:$H,MATCH(3,$L$400:$L$799,0)+399),"")</f>
        <v>7</v>
      </c>
      <c r="D10" s="109" t="str">
        <f aca="false">IFERROR(INDEX($I:$I,MATCH(3,$L$400:$L$799,0)+399),"")</f>
        <v>En cours</v>
      </c>
      <c r="E10" s="109"/>
      <c r="F10" s="113" t="str">
        <f aca="false">IFERROR(INDEX($A:$A,MATCH($L$799+3,$L$800:$L$1199,0)+799),"")</f>
        <v/>
      </c>
      <c r="G10" s="114" t="str">
        <f aca="false">IFERROR(INDEX($B:$B,MATCH($L$799+3,$L$800:$L$1199,0)+799),"")</f>
        <v/>
      </c>
      <c r="H10" s="109" t="str">
        <f aca="false">IFERROR(INDEX($H:$H,MATCH($L$799+3,$L$800:$L$1199,0)+799),"")</f>
        <v/>
      </c>
      <c r="I10" s="109" t="str">
        <f aca="false">IFERROR(INDEX($I:$I,MATCH($L$799+3,$L$800:$L$1199,0)+799),"")</f>
        <v/>
      </c>
      <c r="J10" s="107"/>
      <c r="K10" s="113" t="str">
        <f aca="false">IFERROR(INDEX($A:$A,MATCH($L$1199+3,$L$1200:$L$1599,0)+1199),"")</f>
        <v/>
      </c>
      <c r="L10" s="114" t="str">
        <f aca="false">IFERROR(INDEX($B:$B,MATCH($L$1199+3,$L$1200:$L$1599,0)+1199),"")</f>
        <v/>
      </c>
      <c r="M10" s="115" t="str">
        <f aca="false">IFERROR(INDEX($H:$H,MATCH($L$1199+3,$L$1200:$L$1599,0)+1199),"")</f>
        <v/>
      </c>
      <c r="N10" s="109" t="str">
        <f aca="false">IFERROR(INDEX($I:$I,MATCH($L$1199+3,$L$1200:$L$1599,0)+1199),"")</f>
        <v/>
      </c>
      <c r="O10" s="107"/>
    </row>
    <row r="11" customFormat="false" ht="15" hidden="false" customHeight="true" outlineLevel="0" collapsed="false">
      <c r="A11" s="113" t="str">
        <f aca="false">IFERROR(INDEX($A:$A,MATCH(4,$L$400:$L$799,0)+399),"")</f>
        <v>TR166</v>
      </c>
      <c r="B11" s="114" t="str">
        <f aca="false">IFERROR(INDEX($B:$B,MATCH(4,$L$400:$L$799,0)+399),"")</f>
        <v>Norwood Torol Holtridge Ivermont</v>
      </c>
      <c r="C11" s="115" t="n">
        <f aca="false">IFERROR(INDEX($H:$H,MATCH(4,$L$400:$L$799,0)+399),"")</f>
        <v>7</v>
      </c>
      <c r="D11" s="109" t="str">
        <f aca="false">IFERROR(INDEX($I:$I,MATCH(4,$L$400:$L$799,0)+399),"")</f>
        <v>En cours</v>
      </c>
      <c r="E11" s="109"/>
      <c r="F11" s="113" t="str">
        <f aca="false">IFERROR(INDEX($A:$A,MATCH($L$799+4,$L$800:$L$1199,0)+799),"")</f>
        <v/>
      </c>
      <c r="G11" s="114" t="str">
        <f aca="false">IFERROR(INDEX($B:$B,MATCH($L$799+4,$L$800:$L$1199,0)+799),"")</f>
        <v/>
      </c>
      <c r="H11" s="109" t="str">
        <f aca="false">IFERROR(INDEX($H:$H,MATCH($L$799+4,$L$800:$L$1199,0)+799),"")</f>
        <v/>
      </c>
      <c r="I11" s="109" t="str">
        <f aca="false">IFERROR(INDEX($I:$I,MATCH($L$799+4,$L$800:$L$1199,0)+799),"")</f>
        <v/>
      </c>
      <c r="J11" s="107"/>
      <c r="K11" s="113" t="str">
        <f aca="false">IFERROR(INDEX($A:$A,MATCH($L$1199+4,$L$1200:$L$1599,0)+1199),"")</f>
        <v/>
      </c>
      <c r="L11" s="114" t="str">
        <f aca="false">IFERROR(INDEX($B:$B,MATCH($L$1199+4,$L$1200:$L$1599,0)+1199),"")</f>
        <v/>
      </c>
      <c r="M11" s="115" t="str">
        <f aca="false">IFERROR(INDEX($H:$H,MATCH($L$1199+4,$L$1200:$L$1599,0)+1199),"")</f>
        <v/>
      </c>
      <c r="N11" s="109" t="str">
        <f aca="false">IFERROR(INDEX($I:$I,MATCH($L$1199+4,$L$1200:$L$1599,0)+1199),"")</f>
        <v/>
      </c>
      <c r="O11" s="107"/>
    </row>
    <row r="12" customFormat="false" ht="15" hidden="false" customHeight="true" outlineLevel="0" collapsed="false">
      <c r="A12" s="113" t="str">
        <f aca="false">IFERROR(INDEX($A:$A,MATCH(5,$L$400:$L$799,0)+399),"")</f>
        <v>TR167</v>
      </c>
      <c r="B12" s="114" t="str">
        <f aca="false">IFERROR(INDEX($B:$B,MATCH(5,$L$400:$L$799,0)+399),"")</f>
        <v>Wesil Orinen</v>
      </c>
      <c r="C12" s="115" t="n">
        <f aca="false">IFERROR(INDEX($H:$H,MATCH(5,$L$400:$L$799,0)+399),"")</f>
        <v>7</v>
      </c>
      <c r="D12" s="109" t="str">
        <f aca="false">IFERROR(INDEX($I:$I,MATCH(5,$L$400:$L$799,0)+399),"")</f>
        <v>En cours</v>
      </c>
      <c r="E12" s="109"/>
      <c r="F12" s="113" t="str">
        <f aca="false">IFERROR(INDEX($A:$A,MATCH($L$799+5,$L$800:$L$1199,0)+799),"")</f>
        <v/>
      </c>
      <c r="G12" s="114" t="str">
        <f aca="false">IFERROR(INDEX($B:$B,MATCH($L$799+5,$L$800:$L$1199,0)+799),"")</f>
        <v/>
      </c>
      <c r="H12" s="109" t="str">
        <f aca="false">IFERROR(INDEX($H:$H,MATCH($L$799+5,$L$800:$L$1199,0)+799),"")</f>
        <v/>
      </c>
      <c r="I12" s="109" t="str">
        <f aca="false">IFERROR(INDEX($I:$I,MATCH($L$799+5,$L$800:$L$1199,0)+799),"")</f>
        <v/>
      </c>
      <c r="J12" s="107"/>
      <c r="K12" s="113" t="str">
        <f aca="false">IFERROR(INDEX($A:$A,MATCH($L$1199+5,$L$1200:$L$1599,0)+1199),"")</f>
        <v/>
      </c>
      <c r="L12" s="114" t="str">
        <f aca="false">IFERROR(INDEX($B:$B,MATCH($L$1199+5,$L$1200:$L$1599,0)+1199),"")</f>
        <v/>
      </c>
      <c r="M12" s="115" t="str">
        <f aca="false">IFERROR(INDEX($H:$H,MATCH($L$1199+5,$L$1200:$L$1599,0)+1199),"")</f>
        <v/>
      </c>
      <c r="N12" s="109" t="str">
        <f aca="false">IFERROR(INDEX($I:$I,MATCH($L$1199+5,$L$1200:$L$1599,0)+1199),"")</f>
        <v/>
      </c>
      <c r="O12" s="107"/>
    </row>
    <row r="13" customFormat="false" ht="15" hidden="false" customHeight="true" outlineLevel="0" collapsed="false">
      <c r="A13" s="113" t="str">
        <f aca="false">IFERROR(INDEX($A:$A,MATCH(6,$L$400:$L$799,0)+399),"")</f>
        <v>TR168</v>
      </c>
      <c r="B13" s="114" t="str">
        <f aca="false">IFERROR(INDEX($B:$B,MATCH(6,$L$400:$L$799,0)+399),"")</f>
        <v>Ashwood Zanay</v>
      </c>
      <c r="C13" s="115" t="n">
        <f aca="false">IFERROR(INDEX($H:$H,MATCH(6,$L$400:$L$799,0)+399),"")</f>
        <v>7</v>
      </c>
      <c r="D13" s="109" t="str">
        <f aca="false">IFERROR(INDEX($I:$I,MATCH(6,$L$400:$L$799,0)+399),"")</f>
        <v>En cours</v>
      </c>
      <c r="E13" s="109"/>
      <c r="F13" s="113" t="str">
        <f aca="false">IFERROR(INDEX($A:$A,MATCH($L$799+6,$L$800:$L$1199,0)+799),"")</f>
        <v/>
      </c>
      <c r="G13" s="114" t="str">
        <f aca="false">IFERROR(INDEX($B:$B,MATCH($L$799+6,$L$800:$L$1199,0)+799),"")</f>
        <v/>
      </c>
      <c r="H13" s="109" t="str">
        <f aca="false">IFERROR(INDEX($H:$H,MATCH($L$799+6,$L$800:$L$1199,0)+799),"")</f>
        <v/>
      </c>
      <c r="I13" s="109" t="str">
        <f aca="false">IFERROR(INDEX($I:$I,MATCH($L$799+6,$L$800:$L$1199,0)+799),"")</f>
        <v/>
      </c>
      <c r="J13" s="107"/>
      <c r="K13" s="113" t="str">
        <f aca="false">IFERROR(INDEX($A:$A,MATCH($L$1199+6,$L$1200:$L$1599,0)+1199),"")</f>
        <v/>
      </c>
      <c r="L13" s="114" t="str">
        <f aca="false">IFERROR(INDEX($B:$B,MATCH($L$1199+6,$L$1200:$L$1599,0)+1199),"")</f>
        <v/>
      </c>
      <c r="M13" s="115" t="str">
        <f aca="false">IFERROR(INDEX($H:$H,MATCH($L$1199+6,$L$1200:$L$1599,0)+1199),"")</f>
        <v/>
      </c>
      <c r="N13" s="109" t="str">
        <f aca="false">IFERROR(INDEX($I:$I,MATCH($L$1199+6,$L$1200:$L$1599,0)+1199),"")</f>
        <v/>
      </c>
      <c r="O13" s="107"/>
    </row>
    <row r="14" customFormat="false" ht="15" hidden="false" customHeight="true" outlineLevel="0" collapsed="false">
      <c r="A14" s="113" t="str">
        <f aca="false">IFERROR(INDEX($A:$A,MATCH(7,$L$400:$L$799,0)+399),"")</f>
        <v>TR169</v>
      </c>
      <c r="B14" s="114" t="str">
        <f aca="false">IFERROR(INDEX($B:$B,MATCH(7,$L$400:$L$799,0)+399),"")</f>
        <v>Dorel Wrenhaven</v>
      </c>
      <c r="C14" s="115" t="n">
        <f aca="false">IFERROR(INDEX($H:$H,MATCH(7,$L$400:$L$799,0)+399),"")</f>
        <v>7</v>
      </c>
      <c r="D14" s="109" t="str">
        <f aca="false">IFERROR(INDEX($I:$I,MATCH(7,$L$400:$L$799,0)+399),"")</f>
        <v>En cours</v>
      </c>
      <c r="E14" s="109"/>
      <c r="F14" s="113" t="str">
        <f aca="false">IFERROR(INDEX($A:$A,MATCH($L$799+7,$L$800:$L$1199,0)+799),"")</f>
        <v/>
      </c>
      <c r="G14" s="114" t="str">
        <f aca="false">IFERROR(INDEX($B:$B,MATCH($L$799+7,$L$800:$L$1199,0)+799),"")</f>
        <v/>
      </c>
      <c r="H14" s="109" t="str">
        <f aca="false">IFERROR(INDEX($H:$H,MATCH($L$799+7,$L$800:$L$1199,0)+799),"")</f>
        <v/>
      </c>
      <c r="I14" s="109" t="str">
        <f aca="false">IFERROR(INDEX($I:$I,MATCH($L$799+7,$L$800:$L$1199,0)+799),"")</f>
        <v/>
      </c>
      <c r="J14" s="107"/>
      <c r="K14" s="113" t="str">
        <f aca="false">IFERROR(INDEX($A:$A,MATCH($L$1199+7,$L$1200:$L$1599,0)+1199),"")</f>
        <v/>
      </c>
      <c r="L14" s="114" t="str">
        <f aca="false">IFERROR(INDEX($B:$B,MATCH($L$1199+7,$L$1200:$L$1599,0)+1199),"")</f>
        <v/>
      </c>
      <c r="M14" s="115" t="str">
        <f aca="false">IFERROR(INDEX($H:$H,MATCH($L$1199+7,$L$1200:$L$1599,0)+1199),"")</f>
        <v/>
      </c>
      <c r="N14" s="109" t="str">
        <f aca="false">IFERROR(INDEX($I:$I,MATCH($L$1199+7,$L$1200:$L$1599,0)+1199),"")</f>
        <v/>
      </c>
      <c r="O14" s="107"/>
    </row>
    <row r="15" customFormat="false" ht="15" hidden="false" customHeight="true" outlineLevel="0" collapsed="false">
      <c r="A15" s="113" t="str">
        <f aca="false">IFERROR(INDEX($A:$A,MATCH(8,$L$400:$L$799,0)+399),"")</f>
        <v>TR170</v>
      </c>
      <c r="B15" s="114" t="str">
        <f aca="false">IFERROR(INDEX($B:$B,MATCH(8,$L$400:$L$799,0)+399),"")</f>
        <v>Moril Wesus Wrenfield</v>
      </c>
      <c r="C15" s="115" t="n">
        <f aca="false">IFERROR(INDEX($H:$H,MATCH(8,$L$400:$L$799,0)+399),"")</f>
        <v>7</v>
      </c>
      <c r="D15" s="109" t="str">
        <f aca="false">IFERROR(INDEX($I:$I,MATCH(8,$L$400:$L$799,0)+399),"")</f>
        <v>En cours</v>
      </c>
      <c r="E15" s="109"/>
      <c r="F15" s="113" t="str">
        <f aca="false">IFERROR(INDEX($A:$A,MATCH($L$799+8,$L$800:$L$1199,0)+799),"")</f>
        <v/>
      </c>
      <c r="G15" s="114" t="str">
        <f aca="false">IFERROR(INDEX($B:$B,MATCH($L$799+8,$L$800:$L$1199,0)+799),"")</f>
        <v/>
      </c>
      <c r="H15" s="109" t="str">
        <f aca="false">IFERROR(INDEX($H:$H,MATCH($L$799+8,$L$800:$L$1199,0)+799),"")</f>
        <v/>
      </c>
      <c r="I15" s="109" t="str">
        <f aca="false">IFERROR(INDEX($I:$I,MATCH($L$799+8,$L$800:$L$1199,0)+799),"")</f>
        <v/>
      </c>
      <c r="J15" s="107"/>
      <c r="K15" s="113" t="str">
        <f aca="false">IFERROR(INDEX($A:$A,MATCH($L$1199+8,$L$1200:$L$1599,0)+1199),"")</f>
        <v/>
      </c>
      <c r="L15" s="114" t="str">
        <f aca="false">IFERROR(INDEX($B:$B,MATCH($L$1199+8,$L$1200:$L$1599,0)+1199),"")</f>
        <v/>
      </c>
      <c r="M15" s="115" t="str">
        <f aca="false">IFERROR(INDEX($H:$H,MATCH($L$1199+8,$L$1200:$L$1599,0)+1199),"")</f>
        <v/>
      </c>
      <c r="N15" s="109" t="str">
        <f aca="false">IFERROR(INDEX($I:$I,MATCH($L$1199+8,$L$1200:$L$1599,0)+1199),"")</f>
        <v/>
      </c>
      <c r="O15" s="107"/>
    </row>
    <row r="16" customFormat="false" ht="15" hidden="false" customHeight="true" outlineLevel="0" collapsed="false">
      <c r="A16" s="113" t="str">
        <f aca="false">IFERROR(INDEX($A:$A,MATCH(9,$L$400:$L$799,0)+399),"")</f>
        <v>TR171</v>
      </c>
      <c r="B16" s="114" t="str">
        <f aca="false">IFERROR(INDEX($B:$B,MATCH(9,$L$400:$L$799,0)+399),"")</f>
        <v>Zanan Pelol</v>
      </c>
      <c r="C16" s="115" t="n">
        <f aca="false">IFERROR(INDEX($H:$H,MATCH(9,$L$400:$L$799,0)+399),"")</f>
        <v>7</v>
      </c>
      <c r="D16" s="109" t="str">
        <f aca="false">IFERROR(INDEX($I:$I,MATCH(9,$L$400:$L$799,0)+399),"")</f>
        <v>En cours</v>
      </c>
      <c r="E16" s="109"/>
      <c r="F16" s="113" t="str">
        <f aca="false">IFERROR(INDEX($A:$A,MATCH($L$799+9,$L$800:$L$1199,0)+799),"")</f>
        <v/>
      </c>
      <c r="G16" s="114" t="str">
        <f aca="false">IFERROR(INDEX($B:$B,MATCH($L$799+9,$L$800:$L$1199,0)+799),"")</f>
        <v/>
      </c>
      <c r="H16" s="109" t="str">
        <f aca="false">IFERROR(INDEX($H:$H,MATCH($L$799+9,$L$800:$L$1199,0)+799),"")</f>
        <v/>
      </c>
      <c r="I16" s="109" t="str">
        <f aca="false">IFERROR(INDEX($I:$I,MATCH($L$799+9,$L$800:$L$1199,0)+799),"")</f>
        <v/>
      </c>
      <c r="J16" s="107"/>
      <c r="K16" s="113" t="str">
        <f aca="false">IFERROR(INDEX($A:$A,MATCH($L$1199+9,$L$1200:$L$1599,0)+1199),"")</f>
        <v/>
      </c>
      <c r="L16" s="114" t="str">
        <f aca="false">IFERROR(INDEX($B:$B,MATCH($L$1199+9,$L$1200:$L$1599,0)+1199),"")</f>
        <v/>
      </c>
      <c r="M16" s="115" t="str">
        <f aca="false">IFERROR(INDEX($H:$H,MATCH($L$1199+9,$L$1200:$L$1599,0)+1199),"")</f>
        <v/>
      </c>
      <c r="N16" s="109" t="str">
        <f aca="false">IFERROR(INDEX($I:$I,MATCH($L$1199+9,$L$1200:$L$1599,0)+1199),"")</f>
        <v/>
      </c>
      <c r="O16" s="107"/>
    </row>
    <row r="17" customFormat="false" ht="15" hidden="false" customHeight="true" outlineLevel="0" collapsed="false">
      <c r="A17" s="113" t="str">
        <f aca="false">IFERROR(INDEX($A:$A,MATCH(10,$L$400:$L$799,0)+399),"")</f>
        <v>TR172</v>
      </c>
      <c r="B17" s="114" t="str">
        <f aca="false">IFERROR(INDEX($B:$B,MATCH(10,$L$400:$L$799,0)+399),"")</f>
        <v>Ashmont Kendwood</v>
      </c>
      <c r="C17" s="115" t="n">
        <f aca="false">IFERROR(INDEX($H:$H,MATCH(10,$L$400:$L$799,0)+399),"")</f>
        <v>7</v>
      </c>
      <c r="D17" s="109" t="str">
        <f aca="false">IFERROR(INDEX($I:$I,MATCH(10,$L$400:$L$799,0)+399),"")</f>
        <v>En cours</v>
      </c>
      <c r="E17" s="109"/>
      <c r="F17" s="113" t="str">
        <f aca="false">IFERROR(INDEX($A:$A,MATCH($L$799+10,$L$800:$L$1199,0)+799),"")</f>
        <v/>
      </c>
      <c r="G17" s="114" t="str">
        <f aca="false">IFERROR(INDEX($B:$B,MATCH($L$799+10,$L$800:$L$1199,0)+799),"")</f>
        <v/>
      </c>
      <c r="H17" s="109" t="str">
        <f aca="false">IFERROR(INDEX($H:$H,MATCH($L$799+10,$L$800:$L$1199,0)+799),"")</f>
        <v/>
      </c>
      <c r="I17" s="109" t="str">
        <f aca="false">IFERROR(INDEX($I:$I,MATCH($L$799+10,$L$800:$L$1199,0)+799),"")</f>
        <v/>
      </c>
      <c r="J17" s="107"/>
      <c r="K17" s="113" t="str">
        <f aca="false">IFERROR(INDEX($A:$A,MATCH($L$1199+10,$L$1200:$L$1599,0)+1199),"")</f>
        <v/>
      </c>
      <c r="L17" s="114" t="str">
        <f aca="false">IFERROR(INDEX($B:$B,MATCH($L$1199+10,$L$1200:$L$1599,0)+1199),"")</f>
        <v/>
      </c>
      <c r="M17" s="115" t="str">
        <f aca="false">IFERROR(INDEX($H:$H,MATCH($L$1199+10,$L$1200:$L$1599,0)+1199),"")</f>
        <v/>
      </c>
      <c r="N17" s="109" t="str">
        <f aca="false">IFERROR(INDEX($I:$I,MATCH($L$1199+10,$L$1200:$L$1599,0)+1199),"")</f>
        <v/>
      </c>
      <c r="O17" s="107"/>
    </row>
    <row r="18" customFormat="false" ht="15" hidden="false" customHeight="true" outlineLevel="0" collapsed="false">
      <c r="A18" s="113" t="str">
        <f aca="false">IFERROR(INDEX($A:$A,MATCH(11,$L$400:$L$799,0)+399),"")</f>
        <v>TR173</v>
      </c>
      <c r="B18" s="114" t="str">
        <f aca="false">IFERROR(INDEX($B:$B,MATCH(11,$L$400:$L$799,0)+399),"")</f>
        <v>Marsmont Wesan</v>
      </c>
      <c r="C18" s="115" t="n">
        <f aca="false">IFERROR(INDEX($H:$H,MATCH(11,$L$400:$L$799,0)+399),"")</f>
        <v>7</v>
      </c>
      <c r="D18" s="109" t="str">
        <f aca="false">IFERROR(INDEX($I:$I,MATCH(11,$L$400:$L$799,0)+399),"")</f>
        <v>En cours</v>
      </c>
      <c r="E18" s="109"/>
      <c r="F18" s="113" t="str">
        <f aca="false">IFERROR(INDEX($A:$A,MATCH($L$799+11,$L$800:$L$1199,0)+799),"")</f>
        <v/>
      </c>
      <c r="G18" s="114" t="str">
        <f aca="false">IFERROR(INDEX($B:$B,MATCH($L$799+11,$L$800:$L$1199,0)+799),"")</f>
        <v/>
      </c>
      <c r="H18" s="109" t="str">
        <f aca="false">IFERROR(INDEX($H:$H,MATCH($L$799+11,$L$800:$L$1199,0)+799),"")</f>
        <v/>
      </c>
      <c r="I18" s="109" t="str">
        <f aca="false">IFERROR(INDEX($I:$I,MATCH($L$799+11,$L$800:$L$1199,0)+799),"")</f>
        <v/>
      </c>
      <c r="J18" s="107"/>
      <c r="K18" s="113" t="str">
        <f aca="false">IFERROR(INDEX($A:$A,MATCH($L$1199+11,$L$1200:$L$1599,0)+1199),"")</f>
        <v/>
      </c>
      <c r="L18" s="114" t="str">
        <f aca="false">IFERROR(INDEX($B:$B,MATCH($L$1199+11,$L$1200:$L$1599,0)+1199),"")</f>
        <v/>
      </c>
      <c r="M18" s="115" t="str">
        <f aca="false">IFERROR(INDEX($H:$H,MATCH($L$1199+11,$L$1200:$L$1599,0)+1199),"")</f>
        <v/>
      </c>
      <c r="N18" s="109" t="str">
        <f aca="false">IFERROR(INDEX($I:$I,MATCH($L$1199+11,$L$1200:$L$1599,0)+1199),"")</f>
        <v/>
      </c>
      <c r="O18" s="107"/>
    </row>
    <row r="19" customFormat="false" ht="15" hidden="false" customHeight="true" outlineLevel="0" collapsed="false">
      <c r="A19" s="113" t="str">
        <f aca="false">IFERROR(INDEX($A:$A,MATCH(12,$L$400:$L$799,0)+399),"")</f>
        <v>TR174</v>
      </c>
      <c r="B19" s="114" t="str">
        <f aca="false">IFERROR(INDEX($B:$B,MATCH(12,$L$400:$L$799,0)+399),"")</f>
        <v>Lumon Quillcroft Stelridge Gilus</v>
      </c>
      <c r="C19" s="115" t="n">
        <f aca="false">IFERROR(INDEX($H:$H,MATCH(12,$L$400:$L$799,0)+399),"")</f>
        <v>7</v>
      </c>
      <c r="D19" s="109" t="str">
        <f aca="false">IFERROR(INDEX($I:$I,MATCH(12,$L$400:$L$799,0)+399),"")</f>
        <v>En cours</v>
      </c>
      <c r="E19" s="109"/>
      <c r="F19" s="113" t="str">
        <f aca="false">IFERROR(INDEX($A:$A,MATCH($L$799+12,$L$800:$L$1199,0)+799),"")</f>
        <v/>
      </c>
      <c r="G19" s="114" t="str">
        <f aca="false">IFERROR(INDEX($B:$B,MATCH($L$799+12,$L$800:$L$1199,0)+799),"")</f>
        <v/>
      </c>
      <c r="H19" s="109" t="str">
        <f aca="false">IFERROR(INDEX($H:$H,MATCH($L$799+12,$L$800:$L$1199,0)+799),"")</f>
        <v/>
      </c>
      <c r="I19" s="109" t="str">
        <f aca="false">IFERROR(INDEX($I:$I,MATCH($L$799+12,$L$800:$L$1199,0)+799),"")</f>
        <v/>
      </c>
      <c r="J19" s="107"/>
      <c r="K19" s="113" t="str">
        <f aca="false">IFERROR(INDEX($A:$A,MATCH($L$1199+12,$L$1200:$L$1599,0)+1199),"")</f>
        <v/>
      </c>
      <c r="L19" s="114" t="str">
        <f aca="false">IFERROR(INDEX($B:$B,MATCH($L$1199+12,$L$1200:$L$1599,0)+1199),"")</f>
        <v/>
      </c>
      <c r="M19" s="115" t="str">
        <f aca="false">IFERROR(INDEX($H:$H,MATCH($L$1199+12,$L$1200:$L$1599,0)+1199),"")</f>
        <v/>
      </c>
      <c r="N19" s="109" t="str">
        <f aca="false">IFERROR(INDEX($I:$I,MATCH($L$1199+12,$L$1200:$L$1599,0)+1199),"")</f>
        <v/>
      </c>
      <c r="O19" s="107"/>
    </row>
    <row r="20" customFormat="false" ht="15" hidden="false" customHeight="true" outlineLevel="0" collapsed="false">
      <c r="A20" s="113" t="str">
        <f aca="false">IFERROR(INDEX($A:$A,MATCH(13,$L$400:$L$799,0)+399),"")</f>
        <v>TR175</v>
      </c>
      <c r="B20" s="114" t="str">
        <f aca="false">IFERROR(INDEX($B:$B,MATCH(13,$L$400:$L$799,0)+399),"")</f>
        <v>Gilor Stelbrook</v>
      </c>
      <c r="C20" s="115" t="n">
        <f aca="false">IFERROR(INDEX($H:$H,MATCH(13,$L$400:$L$799,0)+399),"")</f>
        <v>7</v>
      </c>
      <c r="D20" s="109" t="str">
        <f aca="false">IFERROR(INDEX($I:$I,MATCH(13,$L$400:$L$799,0)+399),"")</f>
        <v>En cours</v>
      </c>
      <c r="E20" s="109"/>
      <c r="F20" s="113" t="str">
        <f aca="false">IFERROR(INDEX($A:$A,MATCH($L$799+13,$L$800:$L$1199,0)+799),"")</f>
        <v/>
      </c>
      <c r="G20" s="114" t="str">
        <f aca="false">IFERROR(INDEX($B:$B,MATCH($L$799+13,$L$800:$L$1199,0)+799),"")</f>
        <v/>
      </c>
      <c r="H20" s="109" t="str">
        <f aca="false">IFERROR(INDEX($H:$H,MATCH($L$799+13,$L$800:$L$1199,0)+799),"")</f>
        <v/>
      </c>
      <c r="I20" s="109" t="str">
        <f aca="false">IFERROR(INDEX($I:$I,MATCH($L$799+13,$L$800:$L$1199,0)+799),"")</f>
        <v/>
      </c>
      <c r="J20" s="107"/>
      <c r="K20" s="113" t="str">
        <f aca="false">IFERROR(INDEX($A:$A,MATCH($L$1199+13,$L$1200:$L$1599,0)+1199),"")</f>
        <v/>
      </c>
      <c r="L20" s="114" t="str">
        <f aca="false">IFERROR(INDEX($B:$B,MATCH($L$1199+13,$L$1200:$L$1599,0)+1199),"")</f>
        <v/>
      </c>
      <c r="M20" s="115" t="str">
        <f aca="false">IFERROR(INDEX($H:$H,MATCH($L$1199+13,$L$1200:$L$1599,0)+1199),"")</f>
        <v/>
      </c>
      <c r="N20" s="109" t="str">
        <f aca="false">IFERROR(INDEX($I:$I,MATCH($L$1199+13,$L$1200:$L$1599,0)+1199),"")</f>
        <v/>
      </c>
      <c r="O20" s="107"/>
    </row>
    <row r="21" customFormat="false" ht="15" hidden="false" customHeight="true" outlineLevel="0" collapsed="false">
      <c r="A21" s="113" t="str">
        <f aca="false">IFERROR(INDEX($A:$A,MATCH(14,$L$400:$L$799,0)+399),"")</f>
        <v>TR176</v>
      </c>
      <c r="B21" s="114" t="str">
        <f aca="false">IFERROR(INDEX($B:$B,MATCH(14,$L$400:$L$799,0)+399),"")</f>
        <v>Rhoic Iverstone</v>
      </c>
      <c r="C21" s="115" t="n">
        <f aca="false">IFERROR(INDEX($H:$H,MATCH(14,$L$400:$L$799,0)+399),"")</f>
        <v>7</v>
      </c>
      <c r="D21" s="109" t="str">
        <f aca="false">IFERROR(INDEX($I:$I,MATCH(14,$L$400:$L$799,0)+399),"")</f>
        <v>En cours</v>
      </c>
      <c r="E21" s="109"/>
      <c r="F21" s="113" t="str">
        <f aca="false">IFERROR(INDEX($A:$A,MATCH($L$799+14,$L$800:$L$1199,0)+799),"")</f>
        <v/>
      </c>
      <c r="G21" s="114" t="str">
        <f aca="false">IFERROR(INDEX($B:$B,MATCH($L$799+14,$L$800:$L$1199,0)+799),"")</f>
        <v/>
      </c>
      <c r="H21" s="109" t="str">
        <f aca="false">IFERROR(INDEX($H:$H,MATCH($L$799+14,$L$800:$L$1199,0)+799),"")</f>
        <v/>
      </c>
      <c r="I21" s="109" t="str">
        <f aca="false">IFERROR(INDEX($I:$I,MATCH($L$799+14,$L$800:$L$1199,0)+799),"")</f>
        <v/>
      </c>
      <c r="J21" s="107"/>
      <c r="K21" s="113" t="str">
        <f aca="false">IFERROR(INDEX($A:$A,MATCH($L$1199+14,$L$1200:$L$1599,0)+1199),"")</f>
        <v/>
      </c>
      <c r="L21" s="114" t="str">
        <f aca="false">IFERROR(INDEX($B:$B,MATCH($L$1199+14,$L$1200:$L$1599,0)+1199),"")</f>
        <v/>
      </c>
      <c r="M21" s="115" t="str">
        <f aca="false">IFERROR(INDEX($H:$H,MATCH($L$1199+14,$L$1200:$L$1599,0)+1199),"")</f>
        <v/>
      </c>
      <c r="N21" s="109" t="str">
        <f aca="false">IFERROR(INDEX($I:$I,MATCH($L$1199+14,$L$1200:$L$1599,0)+1199),"")</f>
        <v/>
      </c>
      <c r="O21" s="107"/>
    </row>
    <row r="22" customFormat="false" ht="15" hidden="false" customHeight="true" outlineLevel="0" collapsed="false">
      <c r="A22" s="113" t="str">
        <f aca="false">IFERROR(INDEX($A:$A,MATCH(15,$L$400:$L$799,0)+399),"")</f>
        <v>TR177</v>
      </c>
      <c r="B22" s="114" t="str">
        <f aca="false">IFERROR(INDEX($B:$B,MATCH(15,$L$400:$L$799,0)+399),"")</f>
        <v>Corrfield Haxay Quenen</v>
      </c>
      <c r="C22" s="115" t="n">
        <f aca="false">IFERROR(INDEX($H:$H,MATCH(15,$L$400:$L$799,0)+399),"")</f>
        <v>7</v>
      </c>
      <c r="D22" s="109" t="str">
        <f aca="false">IFERROR(INDEX($I:$I,MATCH(15,$L$400:$L$799,0)+399),"")</f>
        <v>En cours</v>
      </c>
      <c r="E22" s="109"/>
      <c r="F22" s="113" t="str">
        <f aca="false">IFERROR(INDEX($A:$A,MATCH($L$799+15,$L$800:$L$1199,0)+799),"")</f>
        <v/>
      </c>
      <c r="G22" s="114" t="str">
        <f aca="false">IFERROR(INDEX($B:$B,MATCH($L$799+15,$L$800:$L$1199,0)+799),"")</f>
        <v/>
      </c>
      <c r="H22" s="109" t="str">
        <f aca="false">IFERROR(INDEX($H:$H,MATCH($L$799+15,$L$800:$L$1199,0)+799),"")</f>
        <v/>
      </c>
      <c r="I22" s="109" t="str">
        <f aca="false">IFERROR(INDEX($I:$I,MATCH($L$799+15,$L$800:$L$1199,0)+799),"")</f>
        <v/>
      </c>
      <c r="J22" s="107"/>
      <c r="K22" s="113" t="str">
        <f aca="false">IFERROR(INDEX($A:$A,MATCH($L$1199+15,$L$1200:$L$1599,0)+1199),"")</f>
        <v/>
      </c>
      <c r="L22" s="114" t="str">
        <f aca="false">IFERROR(INDEX($B:$B,MATCH($L$1199+15,$L$1200:$L$1599,0)+1199),"")</f>
        <v/>
      </c>
      <c r="M22" s="115" t="str">
        <f aca="false">IFERROR(INDEX($H:$H,MATCH($L$1199+15,$L$1200:$L$1599,0)+1199),"")</f>
        <v/>
      </c>
      <c r="N22" s="109" t="str">
        <f aca="false">IFERROR(INDEX($I:$I,MATCH($L$1199+15,$L$1200:$L$1599,0)+1199),"")</f>
        <v/>
      </c>
      <c r="O22" s="107"/>
    </row>
    <row r="23" customFormat="false" ht="15" hidden="false" customHeight="true" outlineLevel="0" collapsed="false">
      <c r="A23" s="113" t="str">
        <f aca="false">IFERROR(INDEX($A:$A,MATCH(16,$L$400:$L$799,0)+399),"")</f>
        <v/>
      </c>
      <c r="B23" s="114" t="str">
        <f aca="false">IFERROR(INDEX($B:$B,MATCH(16,$L$400:$L$799,0)+399),"")</f>
        <v/>
      </c>
      <c r="C23" s="115" t="str">
        <f aca="false">IFERROR(INDEX($H:$H,MATCH(16,$L$400:$L$799,0)+399),"")</f>
        <v/>
      </c>
      <c r="D23" s="109" t="str">
        <f aca="false">IFERROR(INDEX($I:$I,MATCH(16,$L$400:$L$799,0)+399),"")</f>
        <v/>
      </c>
      <c r="E23" s="109"/>
      <c r="F23" s="113" t="str">
        <f aca="false">IFERROR(INDEX($A:$A,MATCH($L$799+16,$L$800:$L$1199,0)+799),"")</f>
        <v/>
      </c>
      <c r="G23" s="114" t="str">
        <f aca="false">IFERROR(INDEX($B:$B,MATCH($L$799+16,$L$800:$L$1199,0)+799),"")</f>
        <v/>
      </c>
      <c r="H23" s="109" t="str">
        <f aca="false">IFERROR(INDEX($H:$H,MATCH($L$799+16,$L$800:$L$1199,0)+799),"")</f>
        <v/>
      </c>
      <c r="I23" s="109" t="str">
        <f aca="false">IFERROR(INDEX($I:$I,MATCH($L$799+16,$L$800:$L$1199,0)+799),"")</f>
        <v/>
      </c>
      <c r="J23" s="107"/>
      <c r="K23" s="113" t="str">
        <f aca="false">IFERROR(INDEX($A:$A,MATCH($L$1199+16,$L$1200:$L$1599,0)+1199),"")</f>
        <v/>
      </c>
      <c r="L23" s="114" t="str">
        <f aca="false">IFERROR(INDEX($B:$B,MATCH($L$1199+16,$L$1200:$L$1599,0)+1199),"")</f>
        <v/>
      </c>
      <c r="M23" s="115" t="str">
        <f aca="false">IFERROR(INDEX($H:$H,MATCH($L$1199+16,$L$1200:$L$1599,0)+1199),"")</f>
        <v/>
      </c>
      <c r="N23" s="109" t="str">
        <f aca="false">IFERROR(INDEX($I:$I,MATCH($L$1199+16,$L$1200:$L$1599,0)+1199),"")</f>
        <v/>
      </c>
      <c r="O23" s="107"/>
    </row>
    <row r="24" customFormat="false" ht="15" hidden="false" customHeight="true" outlineLevel="0" collapsed="false">
      <c r="A24" s="113" t="str">
        <f aca="false">IFERROR(INDEX($A:$A,MATCH(17,$L$400:$L$799,0)+399),"")</f>
        <v/>
      </c>
      <c r="B24" s="114" t="str">
        <f aca="false">IFERROR(INDEX($B:$B,MATCH(17,$L$400:$L$799,0)+399),"")</f>
        <v/>
      </c>
      <c r="C24" s="115" t="str">
        <f aca="false">IFERROR(INDEX($H:$H,MATCH(17,$L$400:$L$799,0)+399),"")</f>
        <v/>
      </c>
      <c r="D24" s="109" t="str">
        <f aca="false">IFERROR(INDEX($I:$I,MATCH(17,$L$400:$L$799,0)+399),"")</f>
        <v/>
      </c>
      <c r="E24" s="109"/>
      <c r="F24" s="113" t="str">
        <f aca="false">IFERROR(INDEX($A:$A,MATCH($L$799+17,$L$800:$L$1199,0)+799),"")</f>
        <v/>
      </c>
      <c r="G24" s="114" t="str">
        <f aca="false">IFERROR(INDEX($B:$B,MATCH($L$799+17,$L$800:$L$1199,0)+799),"")</f>
        <v/>
      </c>
      <c r="H24" s="109" t="str">
        <f aca="false">IFERROR(INDEX($H:$H,MATCH($L$799+17,$L$800:$L$1199,0)+799),"")</f>
        <v/>
      </c>
      <c r="I24" s="109" t="str">
        <f aca="false">IFERROR(INDEX($I:$I,MATCH($L$799+17,$L$800:$L$1199,0)+799),"")</f>
        <v/>
      </c>
      <c r="J24" s="107"/>
      <c r="K24" s="113" t="str">
        <f aca="false">IFERROR(INDEX($A:$A,MATCH($L$1199+17,$L$1200:$L$1599,0)+1199),"")</f>
        <v/>
      </c>
      <c r="L24" s="114" t="str">
        <f aca="false">IFERROR(INDEX($B:$B,MATCH($L$1199+17,$L$1200:$L$1599,0)+1199),"")</f>
        <v/>
      </c>
      <c r="M24" s="115" t="str">
        <f aca="false">IFERROR(INDEX($H:$H,MATCH($L$1199+17,$L$1200:$L$1599,0)+1199),"")</f>
        <v/>
      </c>
      <c r="N24" s="109" t="str">
        <f aca="false">IFERROR(INDEX($I:$I,MATCH($L$1199+17,$L$1200:$L$1599,0)+1199),"")</f>
        <v/>
      </c>
      <c r="O24" s="107"/>
    </row>
    <row r="25" customFormat="false" ht="15" hidden="false" customHeight="true" outlineLevel="0" collapsed="false">
      <c r="A25" s="113" t="str">
        <f aca="false">IFERROR(INDEX($A:$A,MATCH(18,$L$400:$L$799,0)+399),"")</f>
        <v/>
      </c>
      <c r="B25" s="114" t="str">
        <f aca="false">IFERROR(INDEX($B:$B,MATCH(18,$L$400:$L$799,0)+399),"")</f>
        <v/>
      </c>
      <c r="C25" s="115" t="str">
        <f aca="false">IFERROR(INDEX($H:$H,MATCH(18,$L$400:$L$799,0)+399),"")</f>
        <v/>
      </c>
      <c r="D25" s="109" t="str">
        <f aca="false">IFERROR(INDEX($I:$I,MATCH(18,$L$400:$L$799,0)+399),"")</f>
        <v/>
      </c>
      <c r="E25" s="109"/>
      <c r="F25" s="113" t="str">
        <f aca="false">IFERROR(INDEX($A:$A,MATCH($L$799+18,$L$800:$L$1199,0)+799),"")</f>
        <v/>
      </c>
      <c r="G25" s="114" t="str">
        <f aca="false">IFERROR(INDEX($B:$B,MATCH($L$799+18,$L$800:$L$1199,0)+799),"")</f>
        <v/>
      </c>
      <c r="H25" s="109" t="str">
        <f aca="false">IFERROR(INDEX($H:$H,MATCH($L$799+18,$L$800:$L$1199,0)+799),"")</f>
        <v/>
      </c>
      <c r="I25" s="109" t="str">
        <f aca="false">IFERROR(INDEX($I:$I,MATCH($L$799+18,$L$800:$L$1199,0)+799),"")</f>
        <v/>
      </c>
      <c r="J25" s="107"/>
      <c r="K25" s="113" t="str">
        <f aca="false">IFERROR(INDEX($A:$A,MATCH($L$1199+18,$L$1200:$L$1599,0)+1199),"")</f>
        <v/>
      </c>
      <c r="L25" s="114" t="str">
        <f aca="false">IFERROR(INDEX($B:$B,MATCH($L$1199+18,$L$1200:$L$1599,0)+1199),"")</f>
        <v/>
      </c>
      <c r="M25" s="115" t="str">
        <f aca="false">IFERROR(INDEX($H:$H,MATCH($L$1199+18,$L$1200:$L$1599,0)+1199),"")</f>
        <v/>
      </c>
      <c r="N25" s="109" t="str">
        <f aca="false">IFERROR(INDEX($I:$I,MATCH($L$1199+18,$L$1200:$L$1599,0)+1199),"")</f>
        <v/>
      </c>
      <c r="O25" s="107"/>
    </row>
    <row r="26" customFormat="false" ht="15" hidden="false" customHeight="true" outlineLevel="0" collapsed="false">
      <c r="A26" s="113" t="str">
        <f aca="false">IFERROR(INDEX($A:$A,MATCH(19,$L$400:$L$799,0)+399),"")</f>
        <v/>
      </c>
      <c r="B26" s="114" t="str">
        <f aca="false">IFERROR(INDEX($B:$B,MATCH(19,$L$400:$L$799,0)+399),"")</f>
        <v/>
      </c>
      <c r="C26" s="115" t="str">
        <f aca="false">IFERROR(INDEX($H:$H,MATCH(19,$L$400:$L$799,0)+399),"")</f>
        <v/>
      </c>
      <c r="D26" s="109" t="str">
        <f aca="false">IFERROR(INDEX($I:$I,MATCH(19,$L$400:$L$799,0)+399),"")</f>
        <v/>
      </c>
      <c r="E26" s="109"/>
      <c r="F26" s="113" t="str">
        <f aca="false">IFERROR(INDEX($A:$A,MATCH($L$799+19,$L$800:$L$1199,0)+799),"")</f>
        <v/>
      </c>
      <c r="G26" s="114" t="str">
        <f aca="false">IFERROR(INDEX($B:$B,MATCH($L$799+19,$L$800:$L$1199,0)+799),"")</f>
        <v/>
      </c>
      <c r="H26" s="109" t="str">
        <f aca="false">IFERROR(INDEX($H:$H,MATCH($L$799+19,$L$800:$L$1199,0)+799),"")</f>
        <v/>
      </c>
      <c r="I26" s="109" t="str">
        <f aca="false">IFERROR(INDEX($I:$I,MATCH($L$799+19,$L$800:$L$1199,0)+799),"")</f>
        <v/>
      </c>
      <c r="J26" s="107"/>
      <c r="K26" s="113" t="str">
        <f aca="false">IFERROR(INDEX($A:$A,MATCH($L$1199+19,$L$1200:$L$1599,0)+1199),"")</f>
        <v/>
      </c>
      <c r="L26" s="114" t="str">
        <f aca="false">IFERROR(INDEX($B:$B,MATCH($L$1199+19,$L$1200:$L$1599,0)+1199),"")</f>
        <v/>
      </c>
      <c r="M26" s="115" t="str">
        <f aca="false">IFERROR(INDEX($H:$H,MATCH($L$1199+19,$L$1200:$L$1599,0)+1199),"")</f>
        <v/>
      </c>
      <c r="N26" s="109" t="str">
        <f aca="false">IFERROR(INDEX($I:$I,MATCH($L$1199+19,$L$1200:$L$1599,0)+1199),"")</f>
        <v/>
      </c>
      <c r="O26" s="107"/>
    </row>
    <row r="27" customFormat="false" ht="15" hidden="false" customHeight="true" outlineLevel="0" collapsed="false">
      <c r="A27" s="113" t="str">
        <f aca="false">IFERROR(INDEX($A:$A,MATCH(20,$L$400:$L$799,0)+399),"")</f>
        <v/>
      </c>
      <c r="B27" s="114" t="str">
        <f aca="false">IFERROR(INDEX($B:$B,MATCH(20,$L$400:$L$799,0)+399),"")</f>
        <v/>
      </c>
      <c r="C27" s="115" t="str">
        <f aca="false">IFERROR(INDEX($H:$H,MATCH(20,$L$400:$L$799,0)+399),"")</f>
        <v/>
      </c>
      <c r="D27" s="109" t="str">
        <f aca="false">IFERROR(INDEX($I:$I,MATCH(20,$L$400:$L$799,0)+399),"")</f>
        <v/>
      </c>
      <c r="E27" s="109"/>
      <c r="F27" s="113" t="str">
        <f aca="false">IFERROR(INDEX($A:$A,MATCH($L$799+20,$L$800:$L$1199,0)+799),"")</f>
        <v/>
      </c>
      <c r="G27" s="114" t="str">
        <f aca="false">IFERROR(INDEX($B:$B,MATCH($L$799+20,$L$800:$L$1199,0)+799),"")</f>
        <v/>
      </c>
      <c r="H27" s="109" t="str">
        <f aca="false">IFERROR(INDEX($H:$H,MATCH($L$799+20,$L$800:$L$1199,0)+799),"")</f>
        <v/>
      </c>
      <c r="I27" s="109" t="str">
        <f aca="false">IFERROR(INDEX($I:$I,MATCH($L$799+20,$L$800:$L$1199,0)+799),"")</f>
        <v/>
      </c>
      <c r="J27" s="107"/>
      <c r="K27" s="113" t="str">
        <f aca="false">IFERROR(INDEX($A:$A,MATCH($L$1199+20,$L$1200:$L$1599,0)+1199),"")</f>
        <v/>
      </c>
      <c r="L27" s="114" t="str">
        <f aca="false">IFERROR(INDEX($B:$B,MATCH($L$1199+20,$L$1200:$L$1599,0)+1199),"")</f>
        <v/>
      </c>
      <c r="M27" s="115" t="str">
        <f aca="false">IFERROR(INDEX($H:$H,MATCH($L$1199+20,$L$1200:$L$1599,0)+1199),"")</f>
        <v/>
      </c>
      <c r="N27" s="109" t="str">
        <f aca="false">IFERROR(INDEX($I:$I,MATCH($L$1199+20,$L$1200:$L$1599,0)+1199),"")</f>
        <v/>
      </c>
      <c r="O27" s="107"/>
    </row>
    <row r="28" customFormat="false" ht="15" hidden="false" customHeight="true" outlineLevel="0" collapsed="false">
      <c r="A28" s="113" t="str">
        <f aca="false">IFERROR(INDEX($A:$A,MATCH(21,$L$400:$L$799,0)+399),"")</f>
        <v/>
      </c>
      <c r="B28" s="114" t="str">
        <f aca="false">IFERROR(INDEX($B:$B,MATCH(21,$L$400:$L$799,0)+399),"")</f>
        <v/>
      </c>
      <c r="C28" s="115" t="str">
        <f aca="false">IFERROR(INDEX($H:$H,MATCH(21,$L$400:$L$799,0)+399),"")</f>
        <v/>
      </c>
      <c r="D28" s="109" t="str">
        <f aca="false">IFERROR(INDEX($I:$I,MATCH(21,$L$400:$L$799,0)+399),"")</f>
        <v/>
      </c>
      <c r="E28" s="109"/>
      <c r="F28" s="113" t="str">
        <f aca="false">IFERROR(INDEX($A:$A,MATCH($L$799+21,$L$800:$L$1199,0)+799),"")</f>
        <v/>
      </c>
      <c r="G28" s="114" t="str">
        <f aca="false">IFERROR(INDEX($B:$B,MATCH($L$799+21,$L$800:$L$1199,0)+799),"")</f>
        <v/>
      </c>
      <c r="H28" s="109" t="str">
        <f aca="false">IFERROR(INDEX($H:$H,MATCH($L$799+21,$L$800:$L$1199,0)+799),"")</f>
        <v/>
      </c>
      <c r="I28" s="109" t="str">
        <f aca="false">IFERROR(INDEX($I:$I,MATCH($L$799+21,$L$800:$L$1199,0)+799),"")</f>
        <v/>
      </c>
      <c r="J28" s="107"/>
      <c r="K28" s="113" t="str">
        <f aca="false">IFERROR(INDEX($A:$A,MATCH($L$1199+21,$L$1200:$L$1599,0)+1199),"")</f>
        <v/>
      </c>
      <c r="L28" s="114" t="str">
        <f aca="false">IFERROR(INDEX($B:$B,MATCH($L$1199+21,$L$1200:$L$1599,0)+1199),"")</f>
        <v/>
      </c>
      <c r="M28" s="115" t="str">
        <f aca="false">IFERROR(INDEX($H:$H,MATCH($L$1199+21,$L$1200:$L$1599,0)+1199),"")</f>
        <v/>
      </c>
      <c r="N28" s="109" t="str">
        <f aca="false">IFERROR(INDEX($I:$I,MATCH($L$1199+21,$L$1200:$L$1599,0)+1199),"")</f>
        <v/>
      </c>
      <c r="O28" s="107"/>
    </row>
    <row r="29" customFormat="false" ht="15" hidden="false" customHeight="true" outlineLevel="0" collapsed="false">
      <c r="A29" s="113" t="str">
        <f aca="false">IFERROR(INDEX($A:$A,MATCH(22,$L$400:$L$799,0)+399),"")</f>
        <v/>
      </c>
      <c r="B29" s="114" t="str">
        <f aca="false">IFERROR(INDEX($B:$B,MATCH(22,$L$400:$L$799,0)+399),"")</f>
        <v/>
      </c>
      <c r="C29" s="115" t="str">
        <f aca="false">IFERROR(INDEX($H:$H,MATCH(22,$L$400:$L$799,0)+399),"")</f>
        <v/>
      </c>
      <c r="D29" s="109" t="str">
        <f aca="false">IFERROR(INDEX($I:$I,MATCH(22,$L$400:$L$799,0)+399),"")</f>
        <v/>
      </c>
      <c r="E29" s="109"/>
      <c r="F29" s="113" t="str">
        <f aca="false">IFERROR(INDEX($A:$A,MATCH($L$799+22,$L$800:$L$1199,0)+799),"")</f>
        <v/>
      </c>
      <c r="G29" s="114" t="str">
        <f aca="false">IFERROR(INDEX($B:$B,MATCH($L$799+22,$L$800:$L$1199,0)+799),"")</f>
        <v/>
      </c>
      <c r="H29" s="109" t="str">
        <f aca="false">IFERROR(INDEX($H:$H,MATCH($L$799+22,$L$800:$L$1199,0)+799),"")</f>
        <v/>
      </c>
      <c r="I29" s="109" t="str">
        <f aca="false">IFERROR(INDEX($I:$I,MATCH($L$799+22,$L$800:$L$1199,0)+799),"")</f>
        <v/>
      </c>
      <c r="J29" s="107"/>
      <c r="K29" s="113" t="str">
        <f aca="false">IFERROR(INDEX($A:$A,MATCH($L$1199+22,$L$1200:$L$1599,0)+1199),"")</f>
        <v/>
      </c>
      <c r="L29" s="114" t="str">
        <f aca="false">IFERROR(INDEX($B:$B,MATCH($L$1199+22,$L$1200:$L$1599,0)+1199),"")</f>
        <v/>
      </c>
      <c r="M29" s="115" t="str">
        <f aca="false">IFERROR(INDEX($H:$H,MATCH($L$1199+22,$L$1200:$L$1599,0)+1199),"")</f>
        <v/>
      </c>
      <c r="N29" s="109" t="str">
        <f aca="false">IFERROR(INDEX($I:$I,MATCH($L$1199+22,$L$1200:$L$1599,0)+1199),"")</f>
        <v/>
      </c>
      <c r="O29" s="107"/>
    </row>
    <row r="30" customFormat="false" ht="15" hidden="false" customHeight="true" outlineLevel="0" collapsed="false">
      <c r="A30" s="113" t="str">
        <f aca="false">IFERROR(INDEX($A:$A,MATCH(23,$L$400:$L$799,0)+399),"")</f>
        <v/>
      </c>
      <c r="B30" s="114" t="str">
        <f aca="false">IFERROR(INDEX($B:$B,MATCH(23,$L$400:$L$799,0)+399),"")</f>
        <v/>
      </c>
      <c r="C30" s="115" t="str">
        <f aca="false">IFERROR(INDEX($H:$H,MATCH(23,$L$400:$L$799,0)+399),"")</f>
        <v/>
      </c>
      <c r="D30" s="109" t="str">
        <f aca="false">IFERROR(INDEX($I:$I,MATCH(23,$L$400:$L$799,0)+399),"")</f>
        <v/>
      </c>
      <c r="E30" s="109"/>
      <c r="F30" s="113" t="str">
        <f aca="false">IFERROR(INDEX($A:$A,MATCH($L$799+23,$L$800:$L$1199,0)+799),"")</f>
        <v/>
      </c>
      <c r="G30" s="114" t="str">
        <f aca="false">IFERROR(INDEX($B:$B,MATCH($L$799+23,$L$800:$L$1199,0)+799),"")</f>
        <v/>
      </c>
      <c r="H30" s="109" t="str">
        <f aca="false">IFERROR(INDEX($H:$H,MATCH($L$799+23,$L$800:$L$1199,0)+799),"")</f>
        <v/>
      </c>
      <c r="I30" s="109" t="str">
        <f aca="false">IFERROR(INDEX($I:$I,MATCH($L$799+23,$L$800:$L$1199,0)+799),"")</f>
        <v/>
      </c>
      <c r="J30" s="107"/>
      <c r="K30" s="113" t="str">
        <f aca="false">IFERROR(INDEX($A:$A,MATCH($L$1199+23,$L$1200:$L$1599,0)+1199),"")</f>
        <v/>
      </c>
      <c r="L30" s="114" t="str">
        <f aca="false">IFERROR(INDEX($B:$B,MATCH($L$1199+23,$L$1200:$L$1599,0)+1199),"")</f>
        <v/>
      </c>
      <c r="M30" s="115" t="str">
        <f aca="false">IFERROR(INDEX($H:$H,MATCH($L$1199+23,$L$1200:$L$1599,0)+1199),"")</f>
        <v/>
      </c>
      <c r="N30" s="109" t="str">
        <f aca="false">IFERROR(INDEX($I:$I,MATCH($L$1199+23,$L$1200:$L$1599,0)+1199),"")</f>
        <v/>
      </c>
      <c r="O30" s="107"/>
    </row>
    <row r="31" customFormat="false" ht="15" hidden="false" customHeight="true" outlineLevel="0" collapsed="false">
      <c r="A31" s="113" t="str">
        <f aca="false">IFERROR(INDEX($A:$A,MATCH(24,$L$400:$L$799,0)+399),"")</f>
        <v/>
      </c>
      <c r="B31" s="114" t="str">
        <f aca="false">IFERROR(INDEX($B:$B,MATCH(24,$L$400:$L$799,0)+399),"")</f>
        <v/>
      </c>
      <c r="C31" s="115" t="str">
        <f aca="false">IFERROR(INDEX($H:$H,MATCH(24,$L$400:$L$799,0)+399),"")</f>
        <v/>
      </c>
      <c r="D31" s="109" t="str">
        <f aca="false">IFERROR(INDEX($I:$I,MATCH(24,$L$400:$L$799,0)+399),"")</f>
        <v/>
      </c>
      <c r="E31" s="109"/>
      <c r="F31" s="113" t="str">
        <f aca="false">IFERROR(INDEX($A:$A,MATCH($L$799+24,$L$800:$L$1199,0)+799),"")</f>
        <v/>
      </c>
      <c r="G31" s="114" t="str">
        <f aca="false">IFERROR(INDEX($B:$B,MATCH($L$799+24,$L$800:$L$1199,0)+799),"")</f>
        <v/>
      </c>
      <c r="H31" s="109" t="str">
        <f aca="false">IFERROR(INDEX($H:$H,MATCH($L$799+24,$L$800:$L$1199,0)+799),"")</f>
        <v/>
      </c>
      <c r="I31" s="109" t="str">
        <f aca="false">IFERROR(INDEX($I:$I,MATCH($L$799+24,$L$800:$L$1199,0)+799),"")</f>
        <v/>
      </c>
      <c r="J31" s="107"/>
      <c r="K31" s="113" t="str">
        <f aca="false">IFERROR(INDEX($A:$A,MATCH($L$1199+24,$L$1200:$L$1599,0)+1199),"")</f>
        <v/>
      </c>
      <c r="L31" s="114" t="str">
        <f aca="false">IFERROR(INDEX($B:$B,MATCH($L$1199+24,$L$1200:$L$1599,0)+1199),"")</f>
        <v/>
      </c>
      <c r="M31" s="115" t="str">
        <f aca="false">IFERROR(INDEX($H:$H,MATCH($L$1199+24,$L$1200:$L$1599,0)+1199),"")</f>
        <v/>
      </c>
      <c r="N31" s="109" t="str">
        <f aca="false">IFERROR(INDEX($I:$I,MATCH($L$1199+24,$L$1200:$L$1599,0)+1199),"")</f>
        <v/>
      </c>
      <c r="O31" s="107"/>
    </row>
    <row r="32" customFormat="false" ht="15" hidden="true" customHeight="true" outlineLevel="0" collapsed="false">
      <c r="A32" s="113"/>
      <c r="B32" s="114"/>
      <c r="C32" s="109"/>
      <c r="D32" s="109"/>
      <c r="E32" s="109"/>
      <c r="F32" s="109"/>
      <c r="G32" s="109"/>
      <c r="H32" s="109"/>
      <c r="I32" s="109"/>
      <c r="J32" s="107"/>
      <c r="K32" s="107"/>
      <c r="L32" s="107"/>
      <c r="M32" s="107"/>
      <c r="N32" s="107"/>
      <c r="O32" s="107"/>
    </row>
    <row r="33" customFormat="false" ht="15" hidden="true" customHeight="true" outlineLevel="0" collapsed="false">
      <c r="A33" s="113"/>
      <c r="B33" s="114"/>
      <c r="C33" s="109"/>
      <c r="D33" s="109"/>
      <c r="E33" s="109"/>
      <c r="F33" s="109"/>
      <c r="G33" s="109"/>
      <c r="H33" s="109"/>
      <c r="I33" s="109"/>
      <c r="J33" s="107"/>
      <c r="K33" s="107"/>
      <c r="L33" s="107"/>
      <c r="M33" s="107"/>
      <c r="N33" s="107"/>
      <c r="O33" s="107"/>
    </row>
    <row r="34" customFormat="false" ht="15" hidden="true" customHeight="true" outlineLevel="0" collapsed="false">
      <c r="A34" s="113"/>
      <c r="B34" s="114"/>
      <c r="C34" s="109"/>
      <c r="D34" s="109"/>
      <c r="E34" s="109"/>
      <c r="F34" s="109"/>
      <c r="G34" s="109"/>
      <c r="H34" s="109"/>
      <c r="I34" s="109"/>
      <c r="J34" s="107"/>
      <c r="K34" s="107"/>
      <c r="L34" s="107"/>
      <c r="M34" s="107"/>
      <c r="N34" s="107"/>
      <c r="O34" s="107"/>
    </row>
    <row r="35" customFormat="false" ht="15" hidden="true" customHeight="true" outlineLevel="0" collapsed="false">
      <c r="A35" s="113"/>
      <c r="B35" s="114"/>
      <c r="C35" s="109"/>
      <c r="D35" s="109"/>
      <c r="E35" s="109"/>
      <c r="F35" s="109"/>
      <c r="G35" s="109"/>
      <c r="H35" s="109"/>
      <c r="I35" s="109"/>
      <c r="J35" s="107"/>
      <c r="K35" s="107"/>
      <c r="L35" s="107"/>
      <c r="M35" s="107"/>
      <c r="N35" s="107"/>
      <c r="O35" s="107"/>
    </row>
    <row r="36" customFormat="false" ht="15" hidden="true" customHeight="true" outlineLevel="0" collapsed="false">
      <c r="A36" s="113"/>
      <c r="B36" s="114"/>
      <c r="C36" s="109"/>
      <c r="D36" s="109"/>
      <c r="E36" s="109"/>
      <c r="F36" s="109"/>
      <c r="G36" s="109"/>
      <c r="H36" s="109"/>
      <c r="I36" s="109"/>
      <c r="J36" s="107"/>
      <c r="K36" s="107"/>
      <c r="L36" s="107"/>
      <c r="M36" s="107"/>
      <c r="N36" s="107"/>
      <c r="O36" s="107"/>
    </row>
    <row r="37" customFormat="false" ht="15" hidden="true" customHeight="true" outlineLevel="0" collapsed="false">
      <c r="A37" s="113"/>
      <c r="B37" s="114"/>
      <c r="C37" s="109"/>
      <c r="D37" s="109"/>
      <c r="E37" s="109"/>
      <c r="F37" s="109"/>
      <c r="G37" s="109"/>
      <c r="H37" s="109"/>
      <c r="I37" s="109"/>
      <c r="J37" s="107"/>
      <c r="K37" s="107"/>
      <c r="L37" s="107"/>
      <c r="M37" s="107"/>
      <c r="N37" s="107"/>
      <c r="O37" s="107"/>
    </row>
    <row r="38" customFormat="false" ht="15" hidden="true" customHeight="true" outlineLevel="0" collapsed="false">
      <c r="A38" s="113"/>
      <c r="B38" s="114"/>
      <c r="C38" s="109"/>
      <c r="D38" s="109"/>
      <c r="E38" s="109"/>
      <c r="F38" s="109"/>
      <c r="G38" s="109"/>
      <c r="H38" s="109"/>
      <c r="I38" s="109"/>
      <c r="J38" s="107"/>
      <c r="K38" s="107"/>
      <c r="L38" s="107"/>
      <c r="M38" s="107"/>
      <c r="N38" s="107"/>
      <c r="O38" s="107"/>
    </row>
    <row r="39" customFormat="false" ht="15" hidden="true" customHeight="true" outlineLevel="0" collapsed="false">
      <c r="A39" s="113"/>
      <c r="B39" s="114"/>
      <c r="C39" s="109"/>
      <c r="D39" s="109"/>
      <c r="E39" s="109"/>
      <c r="F39" s="109"/>
      <c r="G39" s="109"/>
      <c r="H39" s="109"/>
      <c r="I39" s="109"/>
      <c r="J39" s="107"/>
      <c r="K39" s="107"/>
      <c r="L39" s="107"/>
      <c r="M39" s="107"/>
      <c r="N39" s="107"/>
      <c r="O39" s="107"/>
    </row>
    <row r="40" customFormat="false" ht="15" hidden="true" customHeight="true" outlineLevel="0" collapsed="false">
      <c r="A40" s="113"/>
      <c r="B40" s="114"/>
      <c r="C40" s="109"/>
      <c r="D40" s="109"/>
      <c r="E40" s="109"/>
      <c r="F40" s="109"/>
      <c r="G40" s="109"/>
      <c r="H40" s="109"/>
      <c r="I40" s="109"/>
      <c r="J40" s="107"/>
      <c r="K40" s="107"/>
      <c r="L40" s="107"/>
      <c r="M40" s="107"/>
      <c r="N40" s="107"/>
      <c r="O40" s="107"/>
    </row>
    <row r="41" customFormat="false" ht="15" hidden="true" customHeight="true" outlineLevel="0" collapsed="false">
      <c r="A41" s="113"/>
      <c r="B41" s="114"/>
      <c r="C41" s="109"/>
      <c r="D41" s="109"/>
      <c r="E41" s="109"/>
      <c r="F41" s="109"/>
      <c r="G41" s="109"/>
      <c r="H41" s="109"/>
      <c r="I41" s="109"/>
      <c r="J41" s="107"/>
      <c r="K41" s="107"/>
      <c r="L41" s="107"/>
      <c r="M41" s="107"/>
      <c r="N41" s="107"/>
      <c r="O41" s="107"/>
    </row>
    <row r="42" customFormat="false" ht="15" hidden="true" customHeight="true" outlineLevel="0" collapsed="false">
      <c r="A42" s="113"/>
      <c r="B42" s="114"/>
      <c r="C42" s="109"/>
      <c r="D42" s="109"/>
      <c r="E42" s="109"/>
      <c r="F42" s="109"/>
      <c r="G42" s="109"/>
      <c r="H42" s="109"/>
      <c r="I42" s="109"/>
      <c r="J42" s="107"/>
      <c r="K42" s="107"/>
      <c r="L42" s="107"/>
      <c r="M42" s="107"/>
      <c r="N42" s="107"/>
      <c r="O42" s="107"/>
    </row>
    <row r="43" customFormat="false" ht="15" hidden="true" customHeight="true" outlineLevel="0" collapsed="false">
      <c r="A43" s="113"/>
      <c r="B43" s="114"/>
      <c r="C43" s="109"/>
      <c r="D43" s="109"/>
      <c r="E43" s="109"/>
      <c r="F43" s="109"/>
      <c r="G43" s="109"/>
      <c r="H43" s="109"/>
      <c r="I43" s="109"/>
      <c r="J43" s="107"/>
      <c r="K43" s="107"/>
      <c r="L43" s="107"/>
      <c r="M43" s="107"/>
      <c r="N43" s="107"/>
      <c r="O43" s="107"/>
    </row>
    <row r="44" customFormat="false" ht="15" hidden="true" customHeight="true" outlineLevel="0" collapsed="false">
      <c r="A44" s="113"/>
      <c r="B44" s="114"/>
      <c r="C44" s="109"/>
      <c r="D44" s="109"/>
      <c r="E44" s="109"/>
      <c r="F44" s="109"/>
      <c r="G44" s="109"/>
      <c r="H44" s="109"/>
      <c r="I44" s="109"/>
      <c r="J44" s="107"/>
      <c r="K44" s="107"/>
      <c r="L44" s="107"/>
      <c r="M44" s="107"/>
      <c r="N44" s="107"/>
      <c r="O44" s="107"/>
    </row>
    <row r="45" customFormat="false" ht="15" hidden="true" customHeight="true" outlineLevel="0" collapsed="false">
      <c r="A45" s="113"/>
      <c r="B45" s="114"/>
      <c r="C45" s="109"/>
      <c r="D45" s="109"/>
      <c r="E45" s="109"/>
      <c r="F45" s="109"/>
      <c r="G45" s="109"/>
      <c r="H45" s="109"/>
      <c r="I45" s="109"/>
      <c r="J45" s="107"/>
      <c r="K45" s="107"/>
      <c r="L45" s="107"/>
      <c r="M45" s="107"/>
      <c r="N45" s="107"/>
      <c r="O45" s="107"/>
    </row>
    <row r="46" customFormat="false" ht="15" hidden="true" customHeight="true" outlineLevel="0" collapsed="false">
      <c r="A46" s="113"/>
      <c r="B46" s="114"/>
      <c r="C46" s="109"/>
      <c r="D46" s="109"/>
      <c r="E46" s="109"/>
      <c r="F46" s="109"/>
      <c r="G46" s="109"/>
      <c r="H46" s="109"/>
      <c r="I46" s="109"/>
      <c r="J46" s="107"/>
      <c r="K46" s="107"/>
      <c r="L46" s="107"/>
      <c r="M46" s="107"/>
      <c r="N46" s="107"/>
      <c r="O46" s="107"/>
    </row>
    <row r="47" customFormat="false" ht="15" hidden="true" customHeight="true" outlineLevel="0" collapsed="false">
      <c r="A47" s="113"/>
      <c r="B47" s="114"/>
      <c r="C47" s="109"/>
      <c r="D47" s="109"/>
      <c r="E47" s="109"/>
      <c r="F47" s="109"/>
      <c r="G47" s="109"/>
      <c r="H47" s="109"/>
      <c r="I47" s="109"/>
      <c r="J47" s="107"/>
      <c r="K47" s="107"/>
      <c r="L47" s="107"/>
      <c r="M47" s="107"/>
      <c r="N47" s="107"/>
      <c r="O47" s="107"/>
    </row>
    <row r="48" customFormat="false" ht="15" hidden="true" customHeight="true" outlineLevel="0" collapsed="false">
      <c r="A48" s="113"/>
      <c r="B48" s="114"/>
      <c r="C48" s="109"/>
      <c r="D48" s="109"/>
      <c r="E48" s="109"/>
      <c r="F48" s="109"/>
      <c r="G48" s="109"/>
      <c r="H48" s="109"/>
      <c r="I48" s="109"/>
      <c r="J48" s="107"/>
      <c r="K48" s="107"/>
      <c r="L48" s="107"/>
      <c r="M48" s="107"/>
      <c r="N48" s="107"/>
      <c r="O48" s="107"/>
    </row>
    <row r="49" customFormat="false" ht="15" hidden="true" customHeight="true" outlineLevel="0" collapsed="false">
      <c r="A49" s="113"/>
      <c r="B49" s="114"/>
      <c r="C49" s="109"/>
      <c r="D49" s="109"/>
      <c r="E49" s="109"/>
      <c r="F49" s="109"/>
      <c r="G49" s="109"/>
      <c r="H49" s="109"/>
      <c r="I49" s="109"/>
      <c r="J49" s="107"/>
      <c r="K49" s="107"/>
      <c r="L49" s="107"/>
      <c r="M49" s="107"/>
      <c r="N49" s="107"/>
      <c r="O49" s="107"/>
    </row>
    <row r="50" customFormat="false" ht="15" hidden="true" customHeight="true" outlineLevel="0" collapsed="false">
      <c r="A50" s="113"/>
      <c r="B50" s="114"/>
      <c r="C50" s="109"/>
      <c r="D50" s="109"/>
      <c r="E50" s="109"/>
      <c r="F50" s="109"/>
      <c r="G50" s="109"/>
      <c r="H50" s="109"/>
      <c r="I50" s="109"/>
      <c r="J50" s="107"/>
      <c r="K50" s="107"/>
      <c r="L50" s="107"/>
      <c r="M50" s="107"/>
      <c r="N50" s="107"/>
      <c r="O50" s="107"/>
    </row>
    <row r="51" customFormat="false" ht="15" hidden="true" customHeight="true" outlineLevel="0" collapsed="false">
      <c r="A51" s="113"/>
      <c r="B51" s="114"/>
      <c r="C51" s="109"/>
      <c r="D51" s="109"/>
      <c r="E51" s="109"/>
      <c r="F51" s="109"/>
      <c r="G51" s="109"/>
      <c r="H51" s="109"/>
      <c r="I51" s="109"/>
      <c r="J51" s="107"/>
      <c r="K51" s="107"/>
      <c r="L51" s="107"/>
      <c r="M51" s="107"/>
      <c r="N51" s="107"/>
      <c r="O51" s="107"/>
    </row>
    <row r="52" customFormat="false" ht="15" hidden="true" customHeight="true" outlineLevel="0" collapsed="false">
      <c r="A52" s="113"/>
      <c r="B52" s="114"/>
      <c r="C52" s="109"/>
      <c r="D52" s="109"/>
      <c r="E52" s="109"/>
      <c r="F52" s="109"/>
      <c r="G52" s="109"/>
      <c r="H52" s="109"/>
      <c r="I52" s="109"/>
      <c r="J52" s="107"/>
      <c r="K52" s="107"/>
      <c r="L52" s="107"/>
      <c r="M52" s="107"/>
      <c r="N52" s="107"/>
      <c r="O52" s="107"/>
    </row>
    <row r="53" customFormat="false" ht="15" hidden="true" customHeight="true" outlineLevel="0" collapsed="false">
      <c r="A53" s="113"/>
      <c r="B53" s="114"/>
      <c r="C53" s="109"/>
      <c r="D53" s="109"/>
      <c r="E53" s="109"/>
      <c r="F53" s="109"/>
      <c r="G53" s="109"/>
      <c r="H53" s="109"/>
      <c r="I53" s="109"/>
      <c r="J53" s="107"/>
      <c r="K53" s="107"/>
      <c r="L53" s="107"/>
      <c r="M53" s="107"/>
      <c r="N53" s="107"/>
      <c r="O53" s="107"/>
    </row>
    <row r="54" customFormat="false" ht="15" hidden="true" customHeight="true" outlineLevel="0" collapsed="false">
      <c r="A54" s="113"/>
      <c r="B54" s="114"/>
      <c r="C54" s="109"/>
      <c r="D54" s="109"/>
      <c r="E54" s="109"/>
      <c r="F54" s="109"/>
      <c r="G54" s="109"/>
      <c r="H54" s="109"/>
      <c r="I54" s="109"/>
      <c r="J54" s="107"/>
      <c r="K54" s="107"/>
      <c r="L54" s="107"/>
      <c r="M54" s="107"/>
      <c r="N54" s="107"/>
      <c r="O54" s="107"/>
    </row>
    <row r="55" customFormat="false" ht="15" hidden="true" customHeight="true" outlineLevel="0" collapsed="false">
      <c r="A55" s="113"/>
      <c r="B55" s="114"/>
      <c r="C55" s="109"/>
      <c r="D55" s="109"/>
      <c r="E55" s="109"/>
      <c r="F55" s="109"/>
      <c r="G55" s="109"/>
      <c r="H55" s="109"/>
      <c r="I55" s="109"/>
      <c r="J55" s="107"/>
      <c r="K55" s="107"/>
      <c r="L55" s="107"/>
      <c r="M55" s="107"/>
      <c r="N55" s="107"/>
      <c r="O55" s="107"/>
    </row>
    <row r="56" customFormat="false" ht="15" hidden="true" customHeight="true" outlineLevel="0" collapsed="false">
      <c r="A56" s="113"/>
      <c r="B56" s="114"/>
      <c r="C56" s="109"/>
      <c r="D56" s="109"/>
      <c r="E56" s="109"/>
      <c r="F56" s="109"/>
      <c r="G56" s="109"/>
      <c r="H56" s="109"/>
      <c r="I56" s="109"/>
      <c r="J56" s="107"/>
      <c r="K56" s="107"/>
      <c r="L56" s="107"/>
      <c r="M56" s="107"/>
      <c r="N56" s="107"/>
      <c r="O56" s="107"/>
    </row>
    <row r="57" customFormat="false" ht="15" hidden="true" customHeight="true" outlineLevel="0" collapsed="false">
      <c r="A57" s="113"/>
      <c r="B57" s="114"/>
      <c r="C57" s="109"/>
      <c r="D57" s="109"/>
      <c r="E57" s="109"/>
      <c r="F57" s="109"/>
      <c r="G57" s="109"/>
      <c r="H57" s="109"/>
      <c r="I57" s="109"/>
      <c r="J57" s="107"/>
      <c r="K57" s="107"/>
      <c r="L57" s="107"/>
      <c r="M57" s="107"/>
      <c r="N57" s="107"/>
      <c r="O57" s="107"/>
    </row>
    <row r="58" customFormat="false" ht="15" hidden="true" customHeight="true" outlineLevel="0" collapsed="false">
      <c r="A58" s="113"/>
      <c r="B58" s="114"/>
      <c r="C58" s="109"/>
      <c r="D58" s="109"/>
      <c r="E58" s="109"/>
      <c r="F58" s="109"/>
      <c r="G58" s="109"/>
      <c r="H58" s="109"/>
      <c r="I58" s="109"/>
      <c r="J58" s="107"/>
      <c r="K58" s="107"/>
      <c r="L58" s="107"/>
      <c r="M58" s="107"/>
      <c r="N58" s="107"/>
      <c r="O58" s="107"/>
    </row>
    <row r="59" customFormat="false" ht="15" hidden="true" customHeight="true" outlineLevel="0" collapsed="false">
      <c r="A59" s="113"/>
      <c r="B59" s="114"/>
      <c r="C59" s="109"/>
      <c r="D59" s="109"/>
      <c r="E59" s="109"/>
      <c r="F59" s="109"/>
      <c r="G59" s="109"/>
      <c r="H59" s="109"/>
      <c r="I59" s="109"/>
      <c r="J59" s="107"/>
      <c r="K59" s="107"/>
      <c r="L59" s="107"/>
      <c r="M59" s="107"/>
      <c r="N59" s="107"/>
      <c r="O59" s="107"/>
    </row>
    <row r="60" customFormat="false" ht="15" hidden="true" customHeight="true" outlineLevel="0" collapsed="false">
      <c r="A60" s="113"/>
      <c r="B60" s="114"/>
      <c r="C60" s="109"/>
      <c r="D60" s="109"/>
      <c r="E60" s="109"/>
      <c r="F60" s="109"/>
      <c r="G60" s="109"/>
      <c r="H60" s="109"/>
      <c r="I60" s="109"/>
      <c r="J60" s="107"/>
      <c r="K60" s="107"/>
      <c r="L60" s="107"/>
      <c r="M60" s="107"/>
      <c r="N60" s="107"/>
      <c r="O60" s="107"/>
    </row>
    <row r="61" customFormat="false" ht="15" hidden="true" customHeight="true" outlineLevel="0" collapsed="false">
      <c r="A61" s="113"/>
      <c r="B61" s="114"/>
      <c r="C61" s="109"/>
      <c r="D61" s="109"/>
      <c r="E61" s="109"/>
      <c r="F61" s="109"/>
      <c r="G61" s="109"/>
      <c r="H61" s="109"/>
      <c r="I61" s="109"/>
      <c r="J61" s="107"/>
      <c r="K61" s="107"/>
      <c r="L61" s="107"/>
      <c r="M61" s="107"/>
      <c r="N61" s="107"/>
      <c r="O61" s="107"/>
    </row>
    <row r="62" customFormat="false" ht="15" hidden="true" customHeight="true" outlineLevel="0" collapsed="false">
      <c r="A62" s="113"/>
      <c r="B62" s="114"/>
      <c r="C62" s="109"/>
      <c r="D62" s="109"/>
      <c r="E62" s="109"/>
      <c r="F62" s="109"/>
      <c r="G62" s="109"/>
      <c r="H62" s="109"/>
      <c r="I62" s="109"/>
      <c r="J62" s="107"/>
      <c r="K62" s="107"/>
      <c r="L62" s="107"/>
      <c r="M62" s="107"/>
      <c r="N62" s="107"/>
      <c r="O62" s="107"/>
    </row>
    <row r="63" customFormat="false" ht="15" hidden="true" customHeight="true" outlineLevel="0" collapsed="false">
      <c r="A63" s="113"/>
      <c r="B63" s="114"/>
      <c r="C63" s="109"/>
      <c r="D63" s="109"/>
      <c r="E63" s="109"/>
      <c r="F63" s="109"/>
      <c r="G63" s="109"/>
      <c r="H63" s="109"/>
      <c r="I63" s="109"/>
      <c r="J63" s="107"/>
      <c r="K63" s="107"/>
      <c r="L63" s="107"/>
      <c r="M63" s="107"/>
      <c r="N63" s="107"/>
      <c r="O63" s="107"/>
    </row>
    <row r="64" customFormat="false" ht="15" hidden="true" customHeight="true" outlineLevel="0" collapsed="false">
      <c r="A64" s="113"/>
      <c r="B64" s="114"/>
      <c r="C64" s="109"/>
      <c r="D64" s="109"/>
      <c r="E64" s="109"/>
      <c r="F64" s="109"/>
      <c r="G64" s="109"/>
      <c r="H64" s="109"/>
      <c r="I64" s="109"/>
      <c r="J64" s="107"/>
      <c r="K64" s="107"/>
      <c r="L64" s="107"/>
      <c r="M64" s="107"/>
      <c r="N64" s="107"/>
      <c r="O64" s="107"/>
    </row>
    <row r="65" customFormat="false" ht="15" hidden="true" customHeight="true" outlineLevel="0" collapsed="false">
      <c r="A65" s="113"/>
      <c r="B65" s="114"/>
      <c r="C65" s="109"/>
      <c r="D65" s="109"/>
      <c r="E65" s="109"/>
      <c r="F65" s="109"/>
      <c r="G65" s="109"/>
      <c r="H65" s="109"/>
      <c r="I65" s="109"/>
      <c r="J65" s="107"/>
      <c r="K65" s="107"/>
      <c r="L65" s="107"/>
      <c r="M65" s="107"/>
      <c r="N65" s="107"/>
      <c r="O65" s="107"/>
    </row>
    <row r="66" customFormat="false" ht="15" hidden="true" customHeight="true" outlineLevel="0" collapsed="false">
      <c r="A66" s="113"/>
      <c r="B66" s="114"/>
      <c r="C66" s="109"/>
      <c r="D66" s="109"/>
      <c r="E66" s="109"/>
      <c r="F66" s="109"/>
      <c r="G66" s="109"/>
      <c r="H66" s="109"/>
      <c r="I66" s="109"/>
      <c r="J66" s="107"/>
      <c r="K66" s="107"/>
      <c r="L66" s="107"/>
      <c r="M66" s="107"/>
      <c r="N66" s="107"/>
      <c r="O66" s="107"/>
    </row>
    <row r="67" customFormat="false" ht="15" hidden="true" customHeight="true" outlineLevel="0" collapsed="false">
      <c r="A67" s="113"/>
      <c r="B67" s="114"/>
      <c r="C67" s="109"/>
      <c r="D67" s="109"/>
      <c r="E67" s="109"/>
      <c r="F67" s="109"/>
      <c r="G67" s="109"/>
      <c r="H67" s="109"/>
      <c r="I67" s="109"/>
      <c r="J67" s="107"/>
      <c r="K67" s="107"/>
      <c r="L67" s="107"/>
      <c r="M67" s="107"/>
      <c r="N67" s="107"/>
      <c r="O67" s="107"/>
    </row>
    <row r="68" customFormat="false" ht="15" hidden="true" customHeight="true" outlineLevel="0" collapsed="false">
      <c r="A68" s="113"/>
      <c r="B68" s="114"/>
      <c r="C68" s="109"/>
      <c r="D68" s="109"/>
      <c r="E68" s="109"/>
      <c r="F68" s="109"/>
      <c r="G68" s="109"/>
      <c r="H68" s="109"/>
      <c r="I68" s="109"/>
      <c r="J68" s="107"/>
      <c r="K68" s="107"/>
      <c r="L68" s="107"/>
      <c r="M68" s="107"/>
      <c r="N68" s="107"/>
      <c r="O68" s="107"/>
    </row>
    <row r="69" customFormat="false" ht="15" hidden="true" customHeight="true" outlineLevel="0" collapsed="false">
      <c r="A69" s="113"/>
      <c r="B69" s="114"/>
      <c r="C69" s="109"/>
      <c r="D69" s="109"/>
      <c r="E69" s="109"/>
      <c r="F69" s="109"/>
      <c r="G69" s="109"/>
      <c r="H69" s="109"/>
      <c r="I69" s="109"/>
      <c r="J69" s="107"/>
      <c r="K69" s="107"/>
      <c r="L69" s="107"/>
      <c r="M69" s="107"/>
      <c r="N69" s="107"/>
      <c r="O69" s="107"/>
    </row>
    <row r="70" customFormat="false" ht="15" hidden="true" customHeight="true" outlineLevel="0" collapsed="false">
      <c r="A70" s="113"/>
      <c r="B70" s="114"/>
      <c r="C70" s="109"/>
      <c r="D70" s="109"/>
      <c r="E70" s="109"/>
      <c r="F70" s="109"/>
      <c r="G70" s="109"/>
      <c r="H70" s="109"/>
      <c r="I70" s="109"/>
      <c r="J70" s="107"/>
      <c r="K70" s="107"/>
      <c r="L70" s="107"/>
      <c r="M70" s="107"/>
      <c r="N70" s="107"/>
      <c r="O70" s="107"/>
    </row>
    <row r="71" customFormat="false" ht="15" hidden="true" customHeight="true" outlineLevel="0" collapsed="false">
      <c r="A71" s="113"/>
      <c r="B71" s="114"/>
      <c r="C71" s="109"/>
      <c r="D71" s="109"/>
      <c r="E71" s="109"/>
      <c r="F71" s="109"/>
      <c r="G71" s="109"/>
      <c r="H71" s="109"/>
      <c r="I71" s="109"/>
      <c r="J71" s="107"/>
      <c r="K71" s="107"/>
      <c r="L71" s="107"/>
      <c r="M71" s="107"/>
      <c r="N71" s="107"/>
      <c r="O71" s="107"/>
    </row>
    <row r="72" customFormat="false" ht="15" hidden="true" customHeight="true" outlineLevel="0" collapsed="false">
      <c r="A72" s="113"/>
      <c r="B72" s="114"/>
      <c r="C72" s="109"/>
      <c r="D72" s="109"/>
      <c r="E72" s="109"/>
      <c r="F72" s="109"/>
      <c r="G72" s="109"/>
      <c r="H72" s="109"/>
      <c r="I72" s="109"/>
      <c r="J72" s="107"/>
      <c r="K72" s="107"/>
      <c r="L72" s="107"/>
      <c r="M72" s="107"/>
      <c r="N72" s="107"/>
      <c r="O72" s="107"/>
    </row>
    <row r="73" customFormat="false" ht="15" hidden="true" customHeight="true" outlineLevel="0" collapsed="false">
      <c r="A73" s="113"/>
      <c r="B73" s="114"/>
      <c r="C73" s="109"/>
      <c r="D73" s="109"/>
      <c r="E73" s="109"/>
      <c r="F73" s="109"/>
      <c r="G73" s="109"/>
      <c r="H73" s="109"/>
      <c r="I73" s="109"/>
      <c r="J73" s="107"/>
      <c r="K73" s="107"/>
      <c r="L73" s="107"/>
      <c r="M73" s="107"/>
      <c r="N73" s="107"/>
      <c r="O73" s="107"/>
    </row>
    <row r="74" customFormat="false" ht="15" hidden="true" customHeight="true" outlineLevel="0" collapsed="false">
      <c r="A74" s="113"/>
      <c r="B74" s="114"/>
      <c r="C74" s="109"/>
      <c r="D74" s="109"/>
      <c r="E74" s="109"/>
      <c r="F74" s="109"/>
      <c r="G74" s="109"/>
      <c r="H74" s="109"/>
      <c r="I74" s="109"/>
      <c r="J74" s="107"/>
      <c r="K74" s="107"/>
      <c r="L74" s="107"/>
      <c r="M74" s="107"/>
      <c r="N74" s="107"/>
      <c r="O74" s="107"/>
    </row>
    <row r="75" customFormat="false" ht="15" hidden="true" customHeight="true" outlineLevel="0" collapsed="false">
      <c r="A75" s="113"/>
      <c r="B75" s="114"/>
      <c r="C75" s="109"/>
      <c r="D75" s="109"/>
      <c r="E75" s="109"/>
      <c r="F75" s="109"/>
      <c r="G75" s="109"/>
      <c r="H75" s="109"/>
      <c r="I75" s="109"/>
      <c r="J75" s="107"/>
      <c r="K75" s="107"/>
      <c r="L75" s="107"/>
      <c r="M75" s="107"/>
      <c r="N75" s="107"/>
      <c r="O75" s="107"/>
    </row>
    <row r="76" customFormat="false" ht="15" hidden="true" customHeight="true" outlineLevel="0" collapsed="false">
      <c r="A76" s="113"/>
      <c r="B76" s="114"/>
      <c r="C76" s="109"/>
      <c r="D76" s="109"/>
      <c r="E76" s="109"/>
      <c r="F76" s="109"/>
      <c r="G76" s="109"/>
      <c r="H76" s="109"/>
      <c r="I76" s="109"/>
      <c r="J76" s="107"/>
      <c r="K76" s="107"/>
      <c r="L76" s="107"/>
      <c r="M76" s="107"/>
      <c r="N76" s="107"/>
      <c r="O76" s="107"/>
    </row>
    <row r="77" customFormat="false" ht="15" hidden="true" customHeight="true" outlineLevel="0" collapsed="false">
      <c r="A77" s="113"/>
      <c r="B77" s="114"/>
      <c r="C77" s="109"/>
      <c r="D77" s="109"/>
      <c r="E77" s="109"/>
      <c r="F77" s="109"/>
      <c r="G77" s="109"/>
      <c r="H77" s="109"/>
      <c r="I77" s="109"/>
      <c r="J77" s="107"/>
      <c r="K77" s="107"/>
      <c r="L77" s="107"/>
      <c r="M77" s="107"/>
      <c r="N77" s="107"/>
      <c r="O77" s="107"/>
    </row>
    <row r="78" customFormat="false" ht="15" hidden="true" customHeight="true" outlineLevel="0" collapsed="false">
      <c r="A78" s="113"/>
      <c r="B78" s="114"/>
      <c r="C78" s="109"/>
      <c r="D78" s="109"/>
      <c r="E78" s="109"/>
      <c r="F78" s="109"/>
      <c r="G78" s="109"/>
      <c r="H78" s="109"/>
      <c r="I78" s="109"/>
      <c r="J78" s="107"/>
      <c r="K78" s="107"/>
      <c r="L78" s="107"/>
      <c r="M78" s="107"/>
      <c r="N78" s="107"/>
      <c r="O78" s="107"/>
    </row>
    <row r="79" customFormat="false" ht="15" hidden="true" customHeight="true" outlineLevel="0" collapsed="false">
      <c r="A79" s="113"/>
      <c r="B79" s="114"/>
      <c r="C79" s="109"/>
      <c r="D79" s="109"/>
      <c r="E79" s="109"/>
      <c r="F79" s="109"/>
      <c r="G79" s="109"/>
      <c r="H79" s="109"/>
      <c r="I79" s="109"/>
      <c r="J79" s="107"/>
      <c r="K79" s="107"/>
      <c r="L79" s="107"/>
      <c r="M79" s="107"/>
      <c r="N79" s="107"/>
      <c r="O79" s="107"/>
    </row>
    <row r="80" customFormat="false" ht="15" hidden="true" customHeight="true" outlineLevel="0" collapsed="false">
      <c r="A80" s="113"/>
      <c r="B80" s="114"/>
      <c r="C80" s="109"/>
      <c r="D80" s="109"/>
      <c r="E80" s="109"/>
      <c r="F80" s="109"/>
      <c r="G80" s="109"/>
      <c r="H80" s="109"/>
      <c r="I80" s="109"/>
      <c r="J80" s="107"/>
      <c r="K80" s="107"/>
      <c r="L80" s="107"/>
      <c r="M80" s="107"/>
      <c r="N80" s="107"/>
      <c r="O80" s="107"/>
    </row>
    <row r="81" customFormat="false" ht="15" hidden="true" customHeight="true" outlineLevel="0" collapsed="false">
      <c r="A81" s="113"/>
      <c r="B81" s="114"/>
      <c r="C81" s="109"/>
      <c r="D81" s="109"/>
      <c r="E81" s="109"/>
      <c r="F81" s="109"/>
      <c r="G81" s="109"/>
      <c r="H81" s="109"/>
      <c r="I81" s="109"/>
      <c r="J81" s="107"/>
      <c r="K81" s="107"/>
      <c r="L81" s="107"/>
      <c r="M81" s="107"/>
      <c r="N81" s="107"/>
      <c r="O81" s="107"/>
    </row>
    <row r="82" customFormat="false" ht="15" hidden="true" customHeight="true" outlineLevel="0" collapsed="false">
      <c r="A82" s="113"/>
      <c r="B82" s="114"/>
      <c r="C82" s="109"/>
      <c r="D82" s="109"/>
      <c r="E82" s="109"/>
      <c r="F82" s="109"/>
      <c r="G82" s="109"/>
      <c r="H82" s="109"/>
      <c r="I82" s="109"/>
      <c r="J82" s="107"/>
      <c r="K82" s="107"/>
      <c r="L82" s="107"/>
      <c r="M82" s="107"/>
      <c r="N82" s="107"/>
      <c r="O82" s="107"/>
    </row>
    <row r="83" customFormat="false" ht="15" hidden="true" customHeight="true" outlineLevel="0" collapsed="false">
      <c r="A83" s="113"/>
      <c r="B83" s="114"/>
      <c r="C83" s="109"/>
      <c r="D83" s="109"/>
      <c r="E83" s="109"/>
      <c r="F83" s="109"/>
      <c r="G83" s="109"/>
      <c r="H83" s="109"/>
      <c r="I83" s="109"/>
      <c r="J83" s="107"/>
      <c r="K83" s="107"/>
      <c r="L83" s="107"/>
      <c r="M83" s="107"/>
      <c r="N83" s="107"/>
      <c r="O83" s="107"/>
    </row>
    <row r="84" customFormat="false" ht="15" hidden="true" customHeight="true" outlineLevel="0" collapsed="false">
      <c r="A84" s="113"/>
      <c r="B84" s="114"/>
      <c r="C84" s="109"/>
      <c r="D84" s="109"/>
      <c r="E84" s="109"/>
      <c r="F84" s="109"/>
      <c r="G84" s="109"/>
      <c r="H84" s="109"/>
      <c r="I84" s="109"/>
      <c r="J84" s="107"/>
      <c r="K84" s="107"/>
      <c r="L84" s="107"/>
      <c r="M84" s="107"/>
      <c r="N84" s="107"/>
      <c r="O84" s="107"/>
    </row>
    <row r="85" customFormat="false" ht="15" hidden="true" customHeight="true" outlineLevel="0" collapsed="false">
      <c r="A85" s="113"/>
      <c r="B85" s="114"/>
      <c r="C85" s="109"/>
      <c r="D85" s="109"/>
      <c r="E85" s="109"/>
      <c r="F85" s="109"/>
      <c r="G85" s="109"/>
      <c r="H85" s="109"/>
      <c r="I85" s="109"/>
      <c r="J85" s="107"/>
      <c r="K85" s="107"/>
      <c r="L85" s="107"/>
      <c r="M85" s="107"/>
      <c r="N85" s="107"/>
      <c r="O85" s="107"/>
    </row>
    <row r="86" customFormat="false" ht="15" hidden="true" customHeight="true" outlineLevel="0" collapsed="false">
      <c r="A86" s="113"/>
      <c r="B86" s="114"/>
      <c r="C86" s="109"/>
      <c r="D86" s="109"/>
      <c r="E86" s="109"/>
      <c r="F86" s="109"/>
      <c r="G86" s="109"/>
      <c r="H86" s="109"/>
      <c r="I86" s="109"/>
      <c r="J86" s="107"/>
      <c r="K86" s="107"/>
      <c r="L86" s="107"/>
      <c r="M86" s="107"/>
      <c r="N86" s="107"/>
      <c r="O86" s="107"/>
    </row>
    <row r="87" customFormat="false" ht="15" hidden="true" customHeight="true" outlineLevel="0" collapsed="false">
      <c r="A87" s="113"/>
      <c r="B87" s="114"/>
      <c r="C87" s="109"/>
      <c r="D87" s="109"/>
      <c r="E87" s="109"/>
      <c r="F87" s="109"/>
      <c r="G87" s="109"/>
      <c r="H87" s="109"/>
      <c r="I87" s="109"/>
      <c r="J87" s="107"/>
      <c r="K87" s="107"/>
      <c r="L87" s="107"/>
      <c r="M87" s="107"/>
      <c r="N87" s="107"/>
      <c r="O87" s="107"/>
    </row>
    <row r="88" customFormat="false" ht="15" hidden="true" customHeight="true" outlineLevel="0" collapsed="false">
      <c r="A88" s="113"/>
      <c r="B88" s="114"/>
      <c r="C88" s="109"/>
      <c r="D88" s="109"/>
      <c r="E88" s="109"/>
      <c r="F88" s="109"/>
      <c r="G88" s="109"/>
      <c r="H88" s="109"/>
      <c r="I88" s="109"/>
      <c r="J88" s="107"/>
      <c r="K88" s="107"/>
      <c r="L88" s="107"/>
      <c r="M88" s="107"/>
      <c r="N88" s="107"/>
      <c r="O88" s="107"/>
    </row>
    <row r="89" customFormat="false" ht="15" hidden="true" customHeight="true" outlineLevel="0" collapsed="false">
      <c r="A89" s="113"/>
      <c r="B89" s="114"/>
      <c r="C89" s="109"/>
      <c r="D89" s="109"/>
      <c r="E89" s="109"/>
      <c r="F89" s="109"/>
      <c r="G89" s="109"/>
      <c r="H89" s="109"/>
      <c r="I89" s="109"/>
      <c r="J89" s="107"/>
      <c r="K89" s="107"/>
      <c r="L89" s="107"/>
      <c r="M89" s="107"/>
      <c r="N89" s="107"/>
      <c r="O89" s="107"/>
    </row>
    <row r="90" customFormat="false" ht="15" hidden="true" customHeight="true" outlineLevel="0" collapsed="false">
      <c r="A90" s="113"/>
      <c r="B90" s="114"/>
      <c r="C90" s="109"/>
      <c r="D90" s="109"/>
      <c r="E90" s="109"/>
      <c r="F90" s="109"/>
      <c r="G90" s="109"/>
      <c r="H90" s="109"/>
      <c r="I90" s="109"/>
      <c r="J90" s="107"/>
      <c r="K90" s="107"/>
      <c r="L90" s="107"/>
      <c r="M90" s="107"/>
      <c r="N90" s="107"/>
      <c r="O90" s="107"/>
    </row>
    <row r="91" customFormat="false" ht="15" hidden="true" customHeight="true" outlineLevel="0" collapsed="false">
      <c r="A91" s="113"/>
      <c r="B91" s="114"/>
      <c r="C91" s="109"/>
      <c r="D91" s="109"/>
      <c r="E91" s="109"/>
      <c r="F91" s="109"/>
      <c r="G91" s="109"/>
      <c r="H91" s="109"/>
      <c r="I91" s="109"/>
      <c r="J91" s="107"/>
      <c r="K91" s="107"/>
      <c r="L91" s="107"/>
      <c r="M91" s="107"/>
      <c r="N91" s="107"/>
      <c r="O91" s="107"/>
    </row>
    <row r="92" customFormat="false" ht="15" hidden="true" customHeight="true" outlineLevel="0" collapsed="false">
      <c r="A92" s="113"/>
      <c r="B92" s="114"/>
      <c r="C92" s="109"/>
      <c r="D92" s="109"/>
      <c r="E92" s="109"/>
      <c r="F92" s="109"/>
      <c r="G92" s="109"/>
      <c r="H92" s="109"/>
      <c r="I92" s="109"/>
      <c r="J92" s="107"/>
      <c r="K92" s="107"/>
      <c r="L92" s="107"/>
      <c r="M92" s="107"/>
      <c r="N92" s="107"/>
      <c r="O92" s="107"/>
    </row>
    <row r="93" customFormat="false" ht="15" hidden="true" customHeight="true" outlineLevel="0" collapsed="false">
      <c r="A93" s="113"/>
      <c r="B93" s="114"/>
      <c r="C93" s="109"/>
      <c r="D93" s="109"/>
      <c r="E93" s="109"/>
      <c r="F93" s="109"/>
      <c r="G93" s="109"/>
      <c r="H93" s="109"/>
      <c r="I93" s="109"/>
      <c r="J93" s="107"/>
      <c r="K93" s="107"/>
      <c r="L93" s="107"/>
      <c r="M93" s="107"/>
      <c r="N93" s="107"/>
      <c r="O93" s="107"/>
    </row>
    <row r="94" customFormat="false" ht="15" hidden="true" customHeight="true" outlineLevel="0" collapsed="false">
      <c r="A94" s="113"/>
      <c r="B94" s="114"/>
      <c r="C94" s="109"/>
      <c r="D94" s="109"/>
      <c r="E94" s="109"/>
      <c r="F94" s="109"/>
      <c r="G94" s="109"/>
      <c r="H94" s="109"/>
      <c r="I94" s="109"/>
      <c r="J94" s="107"/>
      <c r="K94" s="107"/>
      <c r="L94" s="107"/>
      <c r="M94" s="107"/>
      <c r="N94" s="107"/>
      <c r="O94" s="107"/>
    </row>
    <row r="95" customFormat="false" ht="15" hidden="true" customHeight="true" outlineLevel="0" collapsed="false">
      <c r="A95" s="113"/>
      <c r="B95" s="114"/>
      <c r="C95" s="109"/>
      <c r="D95" s="109"/>
      <c r="E95" s="109"/>
      <c r="F95" s="109"/>
      <c r="G95" s="109"/>
      <c r="H95" s="109"/>
      <c r="I95" s="109"/>
      <c r="J95" s="107"/>
      <c r="K95" s="107"/>
      <c r="L95" s="107"/>
      <c r="M95" s="107"/>
      <c r="N95" s="107"/>
      <c r="O95" s="107"/>
    </row>
    <row r="96" customFormat="false" ht="15" hidden="true" customHeight="true" outlineLevel="0" collapsed="false">
      <c r="A96" s="113"/>
      <c r="B96" s="114"/>
      <c r="C96" s="109"/>
      <c r="D96" s="109"/>
      <c r="E96" s="109"/>
      <c r="F96" s="109"/>
      <c r="G96" s="109"/>
      <c r="H96" s="109"/>
      <c r="I96" s="109"/>
      <c r="J96" s="107"/>
      <c r="K96" s="107"/>
      <c r="L96" s="107"/>
      <c r="M96" s="107"/>
      <c r="N96" s="107"/>
      <c r="O96" s="107"/>
    </row>
    <row r="97" customFormat="false" ht="15" hidden="true" customHeight="true" outlineLevel="0" collapsed="false">
      <c r="A97" s="113"/>
      <c r="B97" s="114"/>
      <c r="C97" s="109"/>
      <c r="D97" s="109"/>
      <c r="E97" s="109"/>
      <c r="F97" s="109"/>
      <c r="G97" s="109"/>
      <c r="H97" s="109"/>
      <c r="I97" s="109"/>
      <c r="J97" s="107"/>
      <c r="K97" s="107"/>
      <c r="L97" s="107"/>
      <c r="M97" s="107"/>
      <c r="N97" s="107"/>
      <c r="O97" s="107"/>
    </row>
    <row r="98" customFormat="false" ht="15" hidden="true" customHeight="true" outlineLevel="0" collapsed="false">
      <c r="A98" s="113"/>
      <c r="B98" s="114"/>
      <c r="C98" s="109"/>
      <c r="D98" s="109"/>
      <c r="E98" s="109"/>
      <c r="F98" s="109"/>
      <c r="G98" s="109"/>
      <c r="H98" s="109"/>
      <c r="I98" s="109"/>
      <c r="J98" s="107"/>
      <c r="K98" s="107"/>
      <c r="L98" s="107"/>
      <c r="M98" s="107"/>
      <c r="N98" s="107"/>
      <c r="O98" s="107"/>
    </row>
    <row r="99" customFormat="false" ht="15" hidden="true" customHeight="true" outlineLevel="0" collapsed="false">
      <c r="A99" s="113"/>
      <c r="B99" s="114"/>
      <c r="C99" s="109"/>
      <c r="D99" s="109"/>
      <c r="E99" s="109"/>
      <c r="F99" s="109"/>
      <c r="G99" s="109"/>
      <c r="H99" s="109"/>
      <c r="I99" s="109"/>
      <c r="J99" s="107"/>
      <c r="K99" s="107"/>
      <c r="L99" s="107"/>
      <c r="M99" s="107"/>
      <c r="N99" s="107"/>
      <c r="O99" s="107"/>
    </row>
    <row r="100" customFormat="false" ht="15" hidden="true" customHeight="true" outlineLevel="0" collapsed="false">
      <c r="A100" s="113"/>
      <c r="B100" s="114"/>
      <c r="C100" s="109"/>
      <c r="D100" s="109"/>
      <c r="E100" s="109"/>
      <c r="F100" s="109"/>
      <c r="G100" s="109"/>
      <c r="H100" s="109"/>
      <c r="I100" s="109"/>
      <c r="J100" s="107"/>
      <c r="K100" s="107"/>
      <c r="L100" s="107"/>
      <c r="M100" s="107"/>
      <c r="N100" s="107"/>
      <c r="O100" s="107"/>
    </row>
    <row r="101" customFormat="false" ht="15" hidden="true" customHeight="true" outlineLevel="0" collapsed="false">
      <c r="A101" s="113"/>
      <c r="B101" s="114"/>
      <c r="C101" s="109"/>
      <c r="D101" s="109"/>
      <c r="E101" s="109"/>
      <c r="F101" s="109"/>
      <c r="G101" s="109"/>
      <c r="H101" s="109"/>
      <c r="I101" s="109"/>
      <c r="J101" s="107"/>
      <c r="K101" s="107"/>
      <c r="L101" s="107"/>
      <c r="M101" s="107"/>
      <c r="N101" s="107"/>
      <c r="O101" s="107"/>
    </row>
    <row r="102" customFormat="false" ht="15" hidden="true" customHeight="true" outlineLevel="0" collapsed="false">
      <c r="A102" s="113"/>
      <c r="B102" s="114"/>
      <c r="C102" s="109"/>
      <c r="D102" s="109"/>
      <c r="E102" s="109"/>
      <c r="F102" s="109"/>
      <c r="G102" s="109"/>
      <c r="H102" s="109"/>
      <c r="I102" s="109"/>
      <c r="J102" s="107"/>
      <c r="K102" s="107"/>
      <c r="L102" s="107"/>
      <c r="M102" s="107"/>
      <c r="N102" s="107"/>
      <c r="O102" s="107"/>
    </row>
    <row r="103" customFormat="false" ht="15" hidden="true" customHeight="true" outlineLevel="0" collapsed="false">
      <c r="A103" s="113"/>
      <c r="B103" s="114"/>
      <c r="C103" s="109"/>
      <c r="D103" s="109"/>
      <c r="E103" s="109"/>
      <c r="F103" s="109"/>
      <c r="G103" s="109"/>
      <c r="H103" s="109"/>
      <c r="I103" s="109"/>
      <c r="J103" s="107"/>
      <c r="K103" s="107"/>
      <c r="L103" s="107"/>
      <c r="M103" s="107"/>
      <c r="N103" s="107"/>
      <c r="O103" s="107"/>
    </row>
    <row r="104" customFormat="false" ht="15" hidden="true" customHeight="true" outlineLevel="0" collapsed="false">
      <c r="A104" s="113"/>
      <c r="B104" s="114"/>
      <c r="C104" s="109"/>
      <c r="D104" s="109"/>
      <c r="E104" s="109"/>
      <c r="F104" s="109"/>
      <c r="G104" s="109"/>
      <c r="H104" s="109"/>
      <c r="I104" s="109"/>
      <c r="J104" s="107"/>
      <c r="K104" s="107"/>
      <c r="L104" s="107"/>
      <c r="M104" s="107"/>
      <c r="N104" s="107"/>
      <c r="O104" s="107"/>
    </row>
    <row r="105" customFormat="false" ht="15" hidden="true" customHeight="true" outlineLevel="0" collapsed="false">
      <c r="A105" s="113"/>
      <c r="B105" s="114"/>
      <c r="C105" s="109"/>
      <c r="D105" s="109"/>
      <c r="E105" s="109"/>
      <c r="F105" s="109"/>
      <c r="G105" s="109"/>
      <c r="H105" s="109"/>
      <c r="I105" s="109"/>
      <c r="J105" s="107"/>
      <c r="K105" s="107"/>
      <c r="L105" s="107"/>
      <c r="M105" s="107"/>
      <c r="N105" s="107"/>
      <c r="O105" s="107"/>
    </row>
    <row r="106" customFormat="false" ht="15" hidden="true" customHeight="true" outlineLevel="0" collapsed="false">
      <c r="A106" s="113"/>
      <c r="B106" s="114"/>
      <c r="C106" s="109"/>
      <c r="D106" s="109"/>
      <c r="E106" s="109"/>
      <c r="F106" s="109"/>
      <c r="G106" s="109"/>
      <c r="H106" s="109"/>
      <c r="I106" s="109"/>
      <c r="J106" s="107"/>
      <c r="K106" s="107"/>
      <c r="L106" s="107"/>
      <c r="M106" s="107"/>
      <c r="N106" s="107"/>
      <c r="O106" s="107"/>
    </row>
    <row r="107" customFormat="false" ht="15" hidden="true" customHeight="true" outlineLevel="0" collapsed="false">
      <c r="A107" s="113"/>
      <c r="B107" s="114"/>
      <c r="C107" s="109"/>
      <c r="D107" s="109"/>
      <c r="E107" s="109"/>
      <c r="F107" s="109"/>
      <c r="G107" s="109"/>
      <c r="H107" s="109"/>
      <c r="I107" s="109"/>
      <c r="J107" s="107"/>
      <c r="K107" s="107"/>
      <c r="L107" s="107"/>
      <c r="M107" s="107"/>
      <c r="N107" s="107"/>
      <c r="O107" s="107"/>
    </row>
    <row r="108" customFormat="false" ht="15" hidden="true" customHeight="true" outlineLevel="0" collapsed="false">
      <c r="A108" s="113"/>
      <c r="B108" s="114"/>
      <c r="C108" s="109"/>
      <c r="D108" s="109"/>
      <c r="E108" s="109"/>
      <c r="F108" s="109"/>
      <c r="G108" s="109"/>
      <c r="H108" s="109"/>
      <c r="I108" s="109"/>
      <c r="J108" s="107"/>
      <c r="K108" s="107"/>
      <c r="L108" s="107"/>
      <c r="M108" s="107"/>
      <c r="N108" s="107"/>
      <c r="O108" s="107"/>
    </row>
    <row r="109" customFormat="false" ht="15" hidden="true" customHeight="true" outlineLevel="0" collapsed="false">
      <c r="A109" s="113"/>
      <c r="B109" s="114"/>
      <c r="C109" s="109"/>
      <c r="D109" s="109"/>
      <c r="E109" s="109"/>
      <c r="F109" s="109"/>
      <c r="G109" s="109"/>
      <c r="H109" s="109"/>
      <c r="I109" s="109"/>
      <c r="J109" s="107"/>
      <c r="K109" s="107"/>
      <c r="L109" s="107"/>
      <c r="M109" s="107"/>
      <c r="N109" s="107"/>
      <c r="O109" s="107"/>
    </row>
    <row r="110" customFormat="false" ht="15" hidden="true" customHeight="true" outlineLevel="0" collapsed="false">
      <c r="A110" s="113"/>
      <c r="B110" s="114"/>
      <c r="C110" s="109"/>
      <c r="D110" s="109"/>
      <c r="E110" s="109"/>
      <c r="F110" s="109"/>
      <c r="G110" s="109"/>
      <c r="H110" s="109"/>
      <c r="I110" s="109"/>
      <c r="J110" s="107"/>
      <c r="K110" s="107"/>
      <c r="L110" s="107"/>
      <c r="M110" s="107"/>
      <c r="N110" s="107"/>
      <c r="O110" s="107"/>
    </row>
    <row r="111" customFormat="false" ht="15" hidden="true" customHeight="true" outlineLevel="0" collapsed="false">
      <c r="A111" s="113"/>
      <c r="B111" s="114"/>
      <c r="C111" s="109"/>
      <c r="D111" s="109"/>
      <c r="E111" s="109"/>
      <c r="F111" s="109"/>
      <c r="G111" s="109"/>
      <c r="H111" s="109"/>
      <c r="I111" s="109"/>
      <c r="J111" s="107"/>
      <c r="K111" s="107"/>
      <c r="L111" s="107"/>
      <c r="M111" s="107"/>
      <c r="N111" s="107"/>
      <c r="O111" s="107"/>
    </row>
    <row r="112" customFormat="false" ht="15" hidden="true" customHeight="true" outlineLevel="0" collapsed="false">
      <c r="A112" s="113"/>
      <c r="B112" s="114"/>
      <c r="C112" s="109"/>
      <c r="D112" s="109"/>
      <c r="E112" s="109"/>
      <c r="F112" s="109"/>
      <c r="G112" s="109"/>
      <c r="H112" s="109"/>
      <c r="I112" s="109"/>
      <c r="J112" s="107"/>
      <c r="K112" s="107"/>
      <c r="L112" s="107"/>
      <c r="M112" s="107"/>
      <c r="N112" s="107"/>
      <c r="O112" s="107"/>
    </row>
    <row r="113" customFormat="false" ht="15" hidden="true" customHeight="true" outlineLevel="0" collapsed="false">
      <c r="A113" s="113"/>
      <c r="B113" s="114"/>
      <c r="C113" s="109"/>
      <c r="D113" s="109"/>
      <c r="E113" s="109"/>
      <c r="F113" s="109"/>
      <c r="G113" s="109"/>
      <c r="H113" s="109"/>
      <c r="I113" s="109"/>
      <c r="J113" s="107"/>
      <c r="K113" s="107"/>
      <c r="L113" s="107"/>
      <c r="M113" s="107"/>
      <c r="N113" s="107"/>
      <c r="O113" s="107"/>
    </row>
    <row r="114" customFormat="false" ht="15" hidden="true" customHeight="true" outlineLevel="0" collapsed="false">
      <c r="A114" s="113"/>
      <c r="B114" s="114"/>
      <c r="C114" s="109"/>
      <c r="D114" s="109"/>
      <c r="E114" s="109"/>
      <c r="F114" s="109"/>
      <c r="G114" s="109"/>
      <c r="H114" s="109"/>
      <c r="I114" s="109"/>
      <c r="J114" s="107"/>
      <c r="K114" s="107"/>
      <c r="L114" s="107"/>
      <c r="M114" s="107"/>
      <c r="N114" s="107"/>
      <c r="O114" s="107"/>
    </row>
    <row r="115" customFormat="false" ht="15" hidden="true" customHeight="true" outlineLevel="0" collapsed="false">
      <c r="A115" s="113"/>
      <c r="B115" s="114"/>
      <c r="C115" s="109"/>
      <c r="D115" s="109"/>
      <c r="E115" s="109"/>
      <c r="F115" s="109"/>
      <c r="G115" s="109"/>
      <c r="H115" s="109"/>
      <c r="I115" s="109"/>
      <c r="J115" s="107"/>
      <c r="K115" s="107"/>
      <c r="L115" s="107"/>
      <c r="M115" s="107"/>
      <c r="N115" s="107"/>
      <c r="O115" s="107"/>
    </row>
    <row r="116" customFormat="false" ht="15" hidden="true" customHeight="true" outlineLevel="0" collapsed="false">
      <c r="A116" s="113"/>
      <c r="B116" s="114"/>
      <c r="C116" s="109"/>
      <c r="D116" s="109"/>
      <c r="E116" s="109"/>
      <c r="F116" s="109"/>
      <c r="G116" s="109"/>
      <c r="H116" s="109"/>
      <c r="I116" s="109"/>
      <c r="J116" s="107"/>
      <c r="K116" s="107"/>
      <c r="L116" s="107"/>
      <c r="M116" s="107"/>
      <c r="N116" s="107"/>
      <c r="O116" s="107"/>
    </row>
    <row r="117" customFormat="false" ht="15" hidden="true" customHeight="true" outlineLevel="0" collapsed="false">
      <c r="A117" s="113"/>
      <c r="B117" s="114"/>
      <c r="C117" s="109"/>
      <c r="D117" s="109"/>
      <c r="E117" s="109"/>
      <c r="F117" s="109"/>
      <c r="G117" s="109"/>
      <c r="H117" s="109"/>
      <c r="I117" s="109"/>
      <c r="J117" s="107"/>
      <c r="K117" s="107"/>
      <c r="L117" s="107"/>
      <c r="M117" s="107"/>
      <c r="N117" s="107"/>
      <c r="O117" s="107"/>
    </row>
    <row r="118" customFormat="false" ht="15" hidden="true" customHeight="true" outlineLevel="0" collapsed="false">
      <c r="A118" s="113"/>
      <c r="B118" s="114"/>
      <c r="C118" s="109"/>
      <c r="D118" s="109"/>
      <c r="E118" s="109"/>
      <c r="F118" s="109"/>
      <c r="G118" s="109"/>
      <c r="H118" s="109"/>
      <c r="I118" s="109"/>
      <c r="J118" s="107"/>
      <c r="K118" s="107"/>
      <c r="L118" s="107"/>
      <c r="M118" s="107"/>
      <c r="N118" s="107"/>
      <c r="O118" s="107"/>
    </row>
    <row r="119" customFormat="false" ht="15" hidden="true" customHeight="true" outlineLevel="0" collapsed="false">
      <c r="A119" s="113"/>
      <c r="B119" s="114"/>
      <c r="C119" s="109"/>
      <c r="D119" s="109"/>
      <c r="E119" s="109"/>
      <c r="F119" s="109"/>
      <c r="G119" s="109"/>
      <c r="H119" s="109"/>
      <c r="I119" s="109"/>
      <c r="J119" s="107"/>
      <c r="K119" s="107"/>
      <c r="L119" s="107"/>
      <c r="M119" s="107"/>
      <c r="N119" s="107"/>
      <c r="O119" s="107"/>
    </row>
    <row r="120" customFormat="false" ht="15" hidden="true" customHeight="true" outlineLevel="0" collapsed="false">
      <c r="A120" s="113"/>
      <c r="B120" s="114"/>
      <c r="C120" s="109"/>
      <c r="D120" s="109"/>
      <c r="E120" s="109"/>
      <c r="F120" s="109"/>
      <c r="G120" s="109"/>
      <c r="H120" s="109"/>
      <c r="I120" s="109"/>
      <c r="J120" s="107"/>
      <c r="K120" s="107"/>
      <c r="L120" s="107"/>
      <c r="M120" s="107"/>
      <c r="N120" s="107"/>
      <c r="O120" s="107"/>
    </row>
    <row r="121" customFormat="false" ht="15" hidden="true" customHeight="true" outlineLevel="0" collapsed="false">
      <c r="A121" s="113"/>
      <c r="B121" s="114"/>
      <c r="C121" s="109"/>
      <c r="D121" s="109"/>
      <c r="E121" s="109"/>
      <c r="F121" s="109"/>
      <c r="G121" s="109"/>
      <c r="H121" s="109"/>
      <c r="I121" s="109"/>
      <c r="J121" s="107"/>
      <c r="K121" s="107"/>
      <c r="L121" s="107"/>
      <c r="M121" s="107"/>
      <c r="N121" s="107"/>
      <c r="O121" s="107"/>
    </row>
    <row r="122" customFormat="false" ht="15" hidden="true" customHeight="true" outlineLevel="0" collapsed="false">
      <c r="A122" s="113"/>
      <c r="B122" s="114"/>
      <c r="C122" s="109"/>
      <c r="D122" s="109"/>
      <c r="E122" s="109"/>
      <c r="F122" s="109"/>
      <c r="G122" s="109"/>
      <c r="H122" s="109"/>
      <c r="I122" s="109"/>
      <c r="J122" s="107"/>
      <c r="K122" s="107"/>
      <c r="L122" s="107"/>
      <c r="M122" s="107"/>
      <c r="N122" s="107"/>
      <c r="O122" s="107"/>
    </row>
    <row r="123" customFormat="false" ht="15" hidden="true" customHeight="true" outlineLevel="0" collapsed="false">
      <c r="A123" s="113"/>
      <c r="B123" s="114"/>
      <c r="C123" s="109"/>
      <c r="D123" s="109"/>
      <c r="E123" s="109"/>
      <c r="F123" s="109"/>
      <c r="G123" s="109"/>
      <c r="H123" s="109"/>
      <c r="I123" s="109"/>
      <c r="J123" s="107"/>
      <c r="K123" s="107"/>
      <c r="L123" s="107"/>
      <c r="M123" s="107"/>
      <c r="N123" s="107"/>
      <c r="O123" s="107"/>
    </row>
    <row r="124" customFormat="false" ht="15" hidden="true" customHeight="true" outlineLevel="0" collapsed="false">
      <c r="A124" s="113"/>
      <c r="B124" s="114"/>
      <c r="C124" s="109"/>
      <c r="D124" s="109"/>
      <c r="E124" s="109"/>
      <c r="F124" s="109"/>
      <c r="G124" s="109"/>
      <c r="H124" s="109"/>
      <c r="I124" s="109"/>
      <c r="J124" s="107"/>
      <c r="K124" s="107"/>
      <c r="L124" s="107"/>
      <c r="M124" s="107"/>
      <c r="N124" s="107"/>
      <c r="O124" s="107"/>
    </row>
    <row r="125" customFormat="false" ht="15" hidden="true" customHeight="true" outlineLevel="0" collapsed="false">
      <c r="A125" s="113"/>
      <c r="B125" s="114"/>
      <c r="C125" s="109"/>
      <c r="D125" s="109"/>
      <c r="E125" s="109"/>
      <c r="F125" s="109"/>
      <c r="G125" s="109"/>
      <c r="H125" s="109"/>
      <c r="I125" s="109"/>
      <c r="J125" s="107"/>
      <c r="K125" s="107"/>
      <c r="L125" s="107"/>
      <c r="M125" s="107"/>
      <c r="N125" s="107"/>
      <c r="O125" s="107"/>
    </row>
    <row r="126" customFormat="false" ht="15" hidden="true" customHeight="true" outlineLevel="0" collapsed="false">
      <c r="A126" s="113"/>
      <c r="B126" s="114"/>
      <c r="C126" s="109"/>
      <c r="D126" s="109"/>
      <c r="E126" s="109"/>
      <c r="F126" s="109"/>
      <c r="G126" s="109"/>
      <c r="H126" s="109"/>
      <c r="I126" s="109"/>
      <c r="J126" s="107"/>
      <c r="K126" s="107"/>
      <c r="L126" s="107"/>
      <c r="M126" s="107"/>
      <c r="N126" s="107"/>
      <c r="O126" s="107"/>
    </row>
    <row r="127" customFormat="false" ht="15" hidden="true" customHeight="true" outlineLevel="0" collapsed="false">
      <c r="A127" s="113"/>
      <c r="B127" s="114"/>
      <c r="C127" s="109"/>
      <c r="D127" s="109"/>
      <c r="E127" s="109"/>
      <c r="F127" s="109"/>
      <c r="G127" s="109"/>
      <c r="H127" s="109"/>
      <c r="I127" s="109"/>
      <c r="J127" s="107"/>
      <c r="K127" s="107"/>
      <c r="L127" s="107"/>
      <c r="M127" s="107"/>
      <c r="N127" s="107"/>
      <c r="O127" s="107"/>
    </row>
    <row r="128" customFormat="false" ht="15" hidden="true" customHeight="true" outlineLevel="0" collapsed="false">
      <c r="A128" s="113"/>
      <c r="B128" s="114"/>
      <c r="C128" s="109"/>
      <c r="D128" s="109"/>
      <c r="E128" s="109"/>
      <c r="F128" s="109"/>
      <c r="G128" s="109"/>
      <c r="H128" s="109"/>
      <c r="I128" s="109"/>
      <c r="J128" s="107"/>
      <c r="K128" s="107"/>
      <c r="L128" s="107"/>
      <c r="M128" s="107"/>
      <c r="N128" s="107"/>
      <c r="O128" s="107"/>
    </row>
    <row r="129" customFormat="false" ht="15" hidden="true" customHeight="true" outlineLevel="0" collapsed="false">
      <c r="A129" s="113"/>
      <c r="B129" s="114"/>
      <c r="C129" s="109"/>
      <c r="D129" s="109"/>
      <c r="E129" s="109"/>
      <c r="F129" s="109"/>
      <c r="G129" s="109"/>
      <c r="H129" s="109"/>
      <c r="I129" s="109"/>
      <c r="J129" s="107"/>
      <c r="K129" s="107"/>
      <c r="L129" s="107"/>
      <c r="M129" s="107"/>
      <c r="N129" s="107"/>
      <c r="O129" s="107"/>
    </row>
    <row r="130" customFormat="false" ht="15" hidden="true" customHeight="true" outlineLevel="0" collapsed="false">
      <c r="A130" s="113"/>
      <c r="B130" s="114"/>
      <c r="C130" s="109"/>
      <c r="D130" s="109"/>
      <c r="E130" s="109"/>
      <c r="F130" s="109"/>
      <c r="G130" s="109"/>
      <c r="H130" s="109"/>
      <c r="I130" s="109"/>
      <c r="J130" s="107"/>
      <c r="K130" s="107"/>
      <c r="L130" s="107"/>
      <c r="M130" s="107"/>
      <c r="N130" s="107"/>
      <c r="O130" s="107"/>
    </row>
    <row r="131" customFormat="false" ht="15" hidden="true" customHeight="true" outlineLevel="0" collapsed="false">
      <c r="A131" s="113"/>
      <c r="B131" s="114"/>
      <c r="C131" s="109"/>
      <c r="D131" s="109"/>
      <c r="E131" s="109"/>
      <c r="F131" s="109"/>
      <c r="G131" s="109"/>
      <c r="H131" s="109"/>
      <c r="I131" s="109"/>
      <c r="J131" s="107"/>
      <c r="K131" s="107"/>
      <c r="L131" s="107"/>
      <c r="M131" s="107"/>
      <c r="N131" s="107"/>
      <c r="O131" s="107"/>
    </row>
    <row r="132" customFormat="false" ht="15" hidden="true" customHeight="true" outlineLevel="0" collapsed="false">
      <c r="A132" s="113"/>
      <c r="B132" s="114"/>
      <c r="C132" s="109"/>
      <c r="D132" s="109"/>
      <c r="E132" s="109"/>
      <c r="F132" s="109"/>
      <c r="G132" s="109"/>
      <c r="H132" s="109"/>
      <c r="I132" s="109"/>
      <c r="J132" s="107"/>
      <c r="K132" s="107"/>
      <c r="L132" s="107"/>
      <c r="M132" s="107"/>
      <c r="N132" s="107"/>
      <c r="O132" s="107"/>
    </row>
    <row r="133" customFormat="false" ht="15" hidden="true" customHeight="true" outlineLevel="0" collapsed="false">
      <c r="A133" s="113"/>
      <c r="B133" s="114"/>
      <c r="C133" s="109"/>
      <c r="D133" s="109"/>
      <c r="E133" s="109"/>
      <c r="F133" s="109"/>
      <c r="G133" s="109"/>
      <c r="H133" s="109"/>
      <c r="I133" s="109"/>
      <c r="J133" s="107"/>
      <c r="K133" s="107"/>
      <c r="L133" s="107"/>
      <c r="M133" s="107"/>
      <c r="N133" s="107"/>
      <c r="O133" s="107"/>
    </row>
    <row r="134" customFormat="false" ht="15" hidden="true" customHeight="true" outlineLevel="0" collapsed="false">
      <c r="A134" s="113"/>
      <c r="B134" s="114"/>
      <c r="C134" s="109"/>
      <c r="D134" s="109"/>
      <c r="E134" s="109"/>
      <c r="F134" s="109"/>
      <c r="G134" s="109"/>
      <c r="H134" s="109"/>
      <c r="I134" s="109"/>
      <c r="J134" s="107"/>
      <c r="K134" s="107"/>
      <c r="L134" s="107"/>
      <c r="M134" s="107"/>
      <c r="N134" s="107"/>
      <c r="O134" s="107"/>
    </row>
    <row r="135" customFormat="false" ht="15" hidden="true" customHeight="true" outlineLevel="0" collapsed="false">
      <c r="A135" s="113"/>
      <c r="B135" s="114"/>
      <c r="C135" s="109"/>
      <c r="D135" s="109"/>
      <c r="E135" s="109"/>
      <c r="F135" s="109"/>
      <c r="G135" s="109"/>
      <c r="H135" s="109"/>
      <c r="I135" s="109"/>
      <c r="J135" s="107"/>
      <c r="K135" s="107"/>
      <c r="L135" s="107"/>
      <c r="M135" s="107"/>
      <c r="N135" s="107"/>
      <c r="O135" s="107"/>
    </row>
    <row r="136" customFormat="false" ht="15" hidden="true" customHeight="true" outlineLevel="0" collapsed="false">
      <c r="A136" s="113"/>
      <c r="B136" s="114"/>
      <c r="C136" s="109"/>
      <c r="D136" s="109"/>
      <c r="E136" s="109"/>
      <c r="F136" s="109"/>
      <c r="G136" s="109"/>
      <c r="H136" s="109"/>
      <c r="I136" s="109"/>
      <c r="J136" s="107"/>
      <c r="K136" s="107"/>
      <c r="L136" s="107"/>
      <c r="M136" s="107"/>
      <c r="N136" s="107"/>
      <c r="O136" s="107"/>
    </row>
    <row r="137" customFormat="false" ht="15" hidden="true" customHeight="true" outlineLevel="0" collapsed="false">
      <c r="A137" s="113"/>
      <c r="B137" s="114"/>
      <c r="C137" s="109"/>
      <c r="D137" s="109"/>
      <c r="E137" s="109"/>
      <c r="F137" s="109"/>
      <c r="G137" s="109"/>
      <c r="H137" s="109"/>
      <c r="I137" s="109"/>
      <c r="J137" s="107"/>
      <c r="K137" s="107"/>
      <c r="L137" s="107"/>
      <c r="M137" s="107"/>
      <c r="N137" s="107"/>
      <c r="O137" s="107"/>
    </row>
    <row r="138" customFormat="false" ht="15" hidden="true" customHeight="true" outlineLevel="0" collapsed="false">
      <c r="A138" s="113"/>
      <c r="B138" s="114"/>
      <c r="C138" s="109"/>
      <c r="D138" s="109"/>
      <c r="E138" s="109"/>
      <c r="F138" s="109"/>
      <c r="G138" s="109"/>
      <c r="H138" s="109"/>
      <c r="I138" s="109"/>
      <c r="J138" s="107"/>
      <c r="K138" s="107"/>
      <c r="L138" s="107"/>
      <c r="M138" s="107"/>
      <c r="N138" s="107"/>
      <c r="O138" s="107"/>
    </row>
    <row r="139" customFormat="false" ht="15" hidden="true" customHeight="true" outlineLevel="0" collapsed="false">
      <c r="A139" s="113"/>
      <c r="B139" s="114"/>
      <c r="C139" s="109"/>
      <c r="D139" s="109"/>
      <c r="E139" s="109"/>
      <c r="F139" s="109"/>
      <c r="G139" s="109"/>
      <c r="H139" s="109"/>
      <c r="I139" s="109"/>
      <c r="J139" s="107"/>
      <c r="K139" s="107"/>
      <c r="L139" s="107"/>
      <c r="M139" s="107"/>
      <c r="N139" s="107"/>
      <c r="O139" s="107"/>
    </row>
    <row r="140" customFormat="false" ht="15" hidden="true" customHeight="true" outlineLevel="0" collapsed="false">
      <c r="A140" s="113"/>
      <c r="B140" s="114"/>
      <c r="C140" s="109"/>
      <c r="D140" s="109"/>
      <c r="E140" s="109"/>
      <c r="F140" s="109"/>
      <c r="G140" s="109"/>
      <c r="H140" s="109"/>
      <c r="I140" s="109"/>
      <c r="J140" s="107"/>
      <c r="K140" s="107"/>
      <c r="L140" s="107"/>
      <c r="M140" s="107"/>
      <c r="N140" s="107"/>
      <c r="O140" s="107"/>
    </row>
    <row r="141" customFormat="false" ht="15" hidden="true" customHeight="true" outlineLevel="0" collapsed="false">
      <c r="A141" s="113"/>
      <c r="B141" s="114"/>
      <c r="C141" s="109"/>
      <c r="D141" s="109"/>
      <c r="E141" s="109"/>
      <c r="F141" s="109"/>
      <c r="G141" s="109"/>
      <c r="H141" s="109"/>
      <c r="I141" s="109"/>
      <c r="J141" s="107"/>
      <c r="K141" s="107"/>
      <c r="L141" s="107"/>
      <c r="M141" s="107"/>
      <c r="N141" s="107"/>
      <c r="O141" s="107"/>
    </row>
    <row r="142" customFormat="false" ht="15" hidden="true" customHeight="true" outlineLevel="0" collapsed="false">
      <c r="A142" s="113"/>
      <c r="B142" s="114"/>
      <c r="C142" s="109"/>
      <c r="D142" s="109"/>
      <c r="E142" s="109"/>
      <c r="F142" s="109"/>
      <c r="G142" s="109"/>
      <c r="H142" s="109"/>
      <c r="I142" s="109"/>
      <c r="J142" s="107"/>
      <c r="K142" s="107"/>
      <c r="L142" s="107"/>
      <c r="M142" s="107"/>
      <c r="N142" s="107"/>
      <c r="O142" s="107"/>
    </row>
    <row r="143" customFormat="false" ht="15" hidden="true" customHeight="true" outlineLevel="0" collapsed="false">
      <c r="A143" s="113"/>
      <c r="B143" s="114"/>
      <c r="C143" s="109"/>
      <c r="D143" s="109"/>
      <c r="E143" s="109"/>
      <c r="F143" s="109"/>
      <c r="G143" s="109"/>
      <c r="H143" s="109"/>
      <c r="I143" s="109"/>
      <c r="J143" s="107"/>
      <c r="K143" s="107"/>
      <c r="L143" s="107"/>
      <c r="M143" s="107"/>
      <c r="N143" s="107"/>
      <c r="O143" s="107"/>
    </row>
    <row r="144" customFormat="false" ht="15" hidden="true" customHeight="true" outlineLevel="0" collapsed="false">
      <c r="A144" s="113"/>
      <c r="B144" s="114"/>
      <c r="C144" s="109"/>
      <c r="D144" s="109"/>
      <c r="E144" s="109"/>
      <c r="F144" s="109"/>
      <c r="G144" s="109"/>
      <c r="H144" s="109"/>
      <c r="I144" s="109"/>
      <c r="J144" s="107"/>
      <c r="K144" s="107"/>
      <c r="L144" s="107"/>
      <c r="M144" s="107"/>
      <c r="N144" s="107"/>
      <c r="O144" s="107"/>
    </row>
    <row r="145" customFormat="false" ht="15" hidden="true" customHeight="true" outlineLevel="0" collapsed="false">
      <c r="A145" s="113"/>
      <c r="B145" s="114"/>
      <c r="C145" s="109"/>
      <c r="D145" s="109"/>
      <c r="E145" s="109"/>
      <c r="F145" s="109"/>
      <c r="G145" s="109"/>
      <c r="H145" s="109"/>
      <c r="I145" s="109"/>
      <c r="J145" s="107"/>
      <c r="K145" s="107"/>
      <c r="L145" s="107"/>
      <c r="M145" s="107"/>
      <c r="N145" s="107"/>
      <c r="O145" s="107"/>
    </row>
    <row r="146" customFormat="false" ht="15" hidden="true" customHeight="true" outlineLevel="0" collapsed="false">
      <c r="A146" s="113"/>
      <c r="B146" s="114"/>
      <c r="C146" s="109"/>
      <c r="D146" s="109"/>
      <c r="E146" s="109"/>
      <c r="F146" s="109"/>
      <c r="G146" s="109"/>
      <c r="H146" s="109"/>
      <c r="I146" s="109"/>
      <c r="J146" s="107"/>
      <c r="K146" s="107"/>
      <c r="L146" s="107"/>
      <c r="M146" s="107"/>
      <c r="N146" s="107"/>
      <c r="O146" s="107"/>
    </row>
    <row r="147" customFormat="false" ht="15" hidden="true" customHeight="true" outlineLevel="0" collapsed="false">
      <c r="A147" s="113"/>
      <c r="B147" s="114"/>
      <c r="C147" s="109"/>
      <c r="D147" s="109"/>
      <c r="E147" s="109"/>
      <c r="F147" s="109"/>
      <c r="G147" s="109"/>
      <c r="H147" s="109"/>
      <c r="I147" s="109"/>
      <c r="J147" s="107"/>
      <c r="K147" s="107"/>
      <c r="L147" s="107"/>
      <c r="M147" s="107"/>
      <c r="N147" s="107"/>
      <c r="O147" s="107"/>
    </row>
    <row r="148" customFormat="false" ht="15" hidden="true" customHeight="true" outlineLevel="0" collapsed="false">
      <c r="A148" s="113"/>
      <c r="B148" s="114"/>
      <c r="C148" s="109"/>
      <c r="D148" s="109"/>
      <c r="E148" s="109"/>
      <c r="F148" s="109"/>
      <c r="G148" s="109"/>
      <c r="H148" s="109"/>
      <c r="I148" s="109"/>
      <c r="J148" s="107"/>
      <c r="K148" s="107"/>
      <c r="L148" s="107"/>
      <c r="M148" s="107"/>
      <c r="N148" s="107"/>
      <c r="O148" s="107"/>
    </row>
    <row r="149" customFormat="false" ht="15" hidden="true" customHeight="true" outlineLevel="0" collapsed="false">
      <c r="A149" s="113"/>
      <c r="B149" s="114"/>
      <c r="C149" s="109"/>
      <c r="D149" s="109"/>
      <c r="E149" s="109"/>
      <c r="F149" s="109"/>
      <c r="G149" s="109"/>
      <c r="H149" s="109"/>
      <c r="I149" s="109"/>
      <c r="J149" s="107"/>
      <c r="K149" s="107"/>
      <c r="L149" s="107"/>
      <c r="M149" s="107"/>
      <c r="N149" s="107"/>
      <c r="O149" s="107"/>
    </row>
    <row r="150" customFormat="false" ht="15" hidden="true" customHeight="true" outlineLevel="0" collapsed="false">
      <c r="A150" s="113"/>
      <c r="B150" s="114"/>
      <c r="C150" s="109"/>
      <c r="D150" s="109"/>
      <c r="E150" s="109"/>
      <c r="F150" s="109"/>
      <c r="G150" s="109"/>
      <c r="H150" s="109"/>
      <c r="I150" s="109"/>
      <c r="J150" s="107"/>
      <c r="K150" s="107"/>
      <c r="L150" s="107"/>
      <c r="M150" s="107"/>
      <c r="N150" s="107"/>
      <c r="O150" s="107"/>
    </row>
    <row r="151" customFormat="false" ht="15" hidden="true" customHeight="true" outlineLevel="0" collapsed="false">
      <c r="A151" s="113"/>
      <c r="B151" s="114"/>
      <c r="C151" s="109"/>
      <c r="D151" s="109"/>
      <c r="E151" s="109"/>
      <c r="F151" s="109"/>
      <c r="G151" s="109"/>
      <c r="H151" s="109"/>
      <c r="I151" s="109"/>
      <c r="J151" s="107"/>
      <c r="K151" s="107"/>
      <c r="L151" s="107"/>
      <c r="M151" s="107"/>
      <c r="N151" s="107"/>
      <c r="O151" s="107"/>
    </row>
    <row r="152" customFormat="false" ht="15" hidden="true" customHeight="true" outlineLevel="0" collapsed="false">
      <c r="A152" s="113"/>
      <c r="B152" s="114"/>
      <c r="C152" s="109"/>
      <c r="D152" s="109"/>
      <c r="E152" s="109"/>
      <c r="F152" s="109"/>
      <c r="G152" s="109"/>
      <c r="H152" s="109"/>
      <c r="I152" s="109"/>
      <c r="J152" s="107"/>
      <c r="K152" s="107"/>
      <c r="L152" s="107"/>
      <c r="M152" s="107"/>
      <c r="N152" s="107"/>
      <c r="O152" s="107"/>
    </row>
    <row r="153" customFormat="false" ht="15" hidden="true" customHeight="true" outlineLevel="0" collapsed="false">
      <c r="A153" s="113"/>
      <c r="B153" s="114"/>
      <c r="C153" s="109"/>
      <c r="D153" s="109"/>
      <c r="E153" s="109"/>
      <c r="F153" s="109"/>
      <c r="G153" s="109"/>
      <c r="H153" s="109"/>
      <c r="I153" s="109"/>
      <c r="J153" s="107"/>
      <c r="K153" s="107"/>
      <c r="L153" s="107"/>
      <c r="M153" s="107"/>
      <c r="N153" s="107"/>
      <c r="O153" s="107"/>
    </row>
    <row r="154" customFormat="false" ht="15" hidden="true" customHeight="true" outlineLevel="0" collapsed="false">
      <c r="A154" s="113"/>
      <c r="B154" s="114"/>
      <c r="C154" s="109"/>
      <c r="D154" s="109"/>
      <c r="E154" s="109"/>
      <c r="F154" s="109"/>
      <c r="G154" s="109"/>
      <c r="H154" s="109"/>
      <c r="I154" s="109"/>
      <c r="J154" s="107"/>
      <c r="K154" s="107"/>
      <c r="L154" s="107"/>
      <c r="M154" s="107"/>
      <c r="N154" s="107"/>
      <c r="O154" s="107"/>
    </row>
    <row r="155" customFormat="false" ht="15" hidden="true" customHeight="true" outlineLevel="0" collapsed="false">
      <c r="A155" s="113"/>
      <c r="B155" s="114"/>
      <c r="C155" s="109"/>
      <c r="D155" s="109"/>
      <c r="E155" s="109"/>
      <c r="F155" s="109"/>
      <c r="G155" s="109"/>
      <c r="H155" s="109"/>
      <c r="I155" s="109"/>
      <c r="J155" s="107"/>
      <c r="K155" s="107"/>
      <c r="L155" s="107"/>
      <c r="M155" s="107"/>
      <c r="N155" s="107"/>
      <c r="O155" s="107"/>
    </row>
    <row r="156" customFormat="false" ht="15" hidden="true" customHeight="true" outlineLevel="0" collapsed="false">
      <c r="A156" s="113"/>
      <c r="B156" s="114"/>
      <c r="C156" s="109"/>
      <c r="D156" s="109"/>
      <c r="E156" s="109"/>
      <c r="F156" s="109"/>
      <c r="G156" s="109"/>
      <c r="H156" s="109"/>
      <c r="I156" s="109"/>
      <c r="J156" s="107"/>
      <c r="K156" s="107"/>
      <c r="L156" s="107"/>
      <c r="M156" s="107"/>
      <c r="N156" s="107"/>
      <c r="O156" s="107"/>
    </row>
    <row r="157" customFormat="false" ht="15" hidden="true" customHeight="true" outlineLevel="0" collapsed="false">
      <c r="A157" s="113"/>
      <c r="B157" s="114"/>
      <c r="C157" s="109"/>
      <c r="D157" s="109"/>
      <c r="E157" s="109"/>
      <c r="F157" s="109"/>
      <c r="G157" s="109"/>
      <c r="H157" s="109"/>
      <c r="I157" s="109"/>
      <c r="J157" s="107"/>
      <c r="K157" s="107"/>
      <c r="L157" s="107"/>
      <c r="M157" s="107"/>
      <c r="N157" s="107"/>
      <c r="O157" s="107"/>
    </row>
    <row r="158" customFormat="false" ht="15" hidden="true" customHeight="true" outlineLevel="0" collapsed="false">
      <c r="A158" s="113"/>
      <c r="B158" s="114"/>
      <c r="C158" s="109"/>
      <c r="D158" s="109"/>
      <c r="E158" s="109"/>
      <c r="F158" s="109"/>
      <c r="G158" s="109"/>
      <c r="H158" s="109"/>
      <c r="I158" s="109"/>
      <c r="J158" s="107"/>
      <c r="K158" s="107"/>
      <c r="L158" s="107"/>
      <c r="M158" s="107"/>
      <c r="N158" s="107"/>
      <c r="O158" s="107"/>
    </row>
    <row r="159" customFormat="false" ht="15" hidden="true" customHeight="true" outlineLevel="0" collapsed="false">
      <c r="A159" s="113"/>
      <c r="B159" s="114"/>
      <c r="C159" s="109"/>
      <c r="D159" s="109"/>
      <c r="E159" s="109"/>
      <c r="F159" s="109"/>
      <c r="G159" s="109"/>
      <c r="H159" s="109"/>
      <c r="I159" s="109"/>
      <c r="J159" s="107"/>
      <c r="K159" s="107"/>
      <c r="L159" s="107"/>
      <c r="M159" s="107"/>
      <c r="N159" s="107"/>
      <c r="O159" s="107"/>
    </row>
    <row r="160" customFormat="false" ht="15" hidden="true" customHeight="true" outlineLevel="0" collapsed="false">
      <c r="A160" s="113"/>
      <c r="B160" s="114"/>
      <c r="C160" s="109"/>
      <c r="D160" s="109"/>
      <c r="E160" s="109"/>
      <c r="F160" s="109"/>
      <c r="G160" s="109"/>
      <c r="H160" s="109"/>
      <c r="I160" s="109"/>
      <c r="J160" s="107"/>
      <c r="K160" s="107"/>
      <c r="L160" s="107"/>
      <c r="M160" s="107"/>
      <c r="N160" s="107"/>
      <c r="O160" s="107"/>
    </row>
    <row r="161" customFormat="false" ht="15" hidden="true" customHeight="true" outlineLevel="0" collapsed="false">
      <c r="A161" s="113"/>
      <c r="B161" s="114"/>
      <c r="C161" s="109"/>
      <c r="D161" s="109"/>
      <c r="E161" s="109"/>
      <c r="F161" s="109"/>
      <c r="G161" s="109"/>
      <c r="H161" s="109"/>
      <c r="I161" s="109"/>
      <c r="J161" s="107"/>
      <c r="K161" s="107"/>
      <c r="L161" s="107"/>
      <c r="M161" s="107"/>
      <c r="N161" s="107"/>
      <c r="O161" s="107"/>
    </row>
    <row r="162" customFormat="false" ht="15" hidden="true" customHeight="true" outlineLevel="0" collapsed="false">
      <c r="A162" s="113"/>
      <c r="B162" s="114"/>
      <c r="C162" s="109"/>
      <c r="D162" s="109"/>
      <c r="E162" s="109"/>
      <c r="F162" s="109"/>
      <c r="G162" s="109"/>
      <c r="H162" s="109"/>
      <c r="I162" s="109"/>
      <c r="J162" s="107"/>
      <c r="K162" s="107"/>
      <c r="L162" s="107"/>
      <c r="M162" s="107"/>
      <c r="N162" s="107"/>
      <c r="O162" s="107"/>
    </row>
    <row r="163" customFormat="false" ht="15" hidden="true" customHeight="true" outlineLevel="0" collapsed="false">
      <c r="A163" s="113"/>
      <c r="B163" s="114"/>
      <c r="C163" s="109"/>
      <c r="D163" s="109"/>
      <c r="E163" s="109"/>
      <c r="F163" s="109"/>
      <c r="G163" s="109"/>
      <c r="H163" s="109"/>
      <c r="I163" s="109"/>
      <c r="J163" s="107"/>
      <c r="K163" s="107"/>
      <c r="L163" s="107"/>
      <c r="M163" s="107"/>
      <c r="N163" s="107"/>
      <c r="O163" s="107"/>
    </row>
    <row r="164" customFormat="false" ht="15" hidden="true" customHeight="true" outlineLevel="0" collapsed="false">
      <c r="A164" s="113"/>
      <c r="B164" s="114"/>
      <c r="C164" s="109"/>
      <c r="D164" s="109"/>
      <c r="E164" s="109"/>
      <c r="F164" s="109"/>
      <c r="G164" s="109"/>
      <c r="H164" s="109"/>
      <c r="I164" s="109"/>
      <c r="J164" s="107"/>
      <c r="K164" s="107"/>
      <c r="L164" s="107"/>
      <c r="M164" s="107"/>
      <c r="N164" s="107"/>
      <c r="O164" s="107"/>
    </row>
    <row r="165" customFormat="false" ht="15" hidden="true" customHeight="true" outlineLevel="0" collapsed="false">
      <c r="A165" s="113"/>
      <c r="B165" s="114"/>
      <c r="C165" s="109"/>
      <c r="D165" s="109"/>
      <c r="E165" s="109"/>
      <c r="F165" s="109"/>
      <c r="G165" s="109"/>
      <c r="H165" s="109"/>
      <c r="I165" s="109"/>
      <c r="J165" s="107"/>
      <c r="K165" s="107"/>
      <c r="L165" s="107"/>
      <c r="M165" s="107"/>
      <c r="N165" s="107"/>
      <c r="O165" s="107"/>
    </row>
    <row r="166" customFormat="false" ht="15" hidden="true" customHeight="true" outlineLevel="0" collapsed="false">
      <c r="A166" s="113"/>
      <c r="B166" s="114"/>
      <c r="C166" s="109"/>
      <c r="D166" s="109"/>
      <c r="E166" s="109"/>
      <c r="F166" s="109"/>
      <c r="G166" s="109"/>
      <c r="H166" s="109"/>
      <c r="I166" s="109"/>
      <c r="J166" s="107"/>
      <c r="K166" s="107"/>
      <c r="L166" s="107"/>
      <c r="M166" s="107"/>
      <c r="N166" s="107"/>
      <c r="O166" s="107"/>
    </row>
    <row r="167" customFormat="false" ht="15" hidden="true" customHeight="true" outlineLevel="0" collapsed="false">
      <c r="A167" s="113"/>
      <c r="B167" s="114"/>
      <c r="C167" s="109"/>
      <c r="D167" s="109"/>
      <c r="E167" s="109"/>
      <c r="F167" s="109"/>
      <c r="G167" s="109"/>
      <c r="H167" s="109"/>
      <c r="I167" s="109"/>
      <c r="J167" s="107"/>
      <c r="K167" s="107"/>
      <c r="L167" s="107"/>
      <c r="M167" s="107"/>
      <c r="N167" s="107"/>
      <c r="O167" s="107"/>
    </row>
    <row r="168" customFormat="false" ht="15" hidden="true" customHeight="true" outlineLevel="0" collapsed="false">
      <c r="A168" s="113"/>
      <c r="B168" s="114"/>
      <c r="C168" s="109"/>
      <c r="D168" s="109"/>
      <c r="E168" s="109"/>
      <c r="F168" s="109"/>
      <c r="G168" s="109"/>
      <c r="H168" s="109"/>
      <c r="I168" s="109"/>
      <c r="J168" s="107"/>
      <c r="K168" s="107"/>
      <c r="L168" s="107"/>
      <c r="M168" s="107"/>
      <c r="N168" s="107"/>
      <c r="O168" s="107"/>
    </row>
    <row r="169" customFormat="false" ht="15" hidden="true" customHeight="true" outlineLevel="0" collapsed="false">
      <c r="A169" s="113"/>
      <c r="B169" s="114"/>
      <c r="C169" s="109"/>
      <c r="D169" s="109"/>
      <c r="E169" s="109"/>
      <c r="F169" s="109"/>
      <c r="G169" s="109"/>
      <c r="H169" s="109"/>
      <c r="I169" s="109"/>
      <c r="J169" s="107"/>
      <c r="K169" s="107"/>
      <c r="L169" s="107"/>
      <c r="M169" s="107"/>
      <c r="N169" s="107"/>
      <c r="O169" s="107"/>
    </row>
    <row r="170" customFormat="false" ht="15" hidden="true" customHeight="true" outlineLevel="0" collapsed="false">
      <c r="A170" s="113"/>
      <c r="B170" s="114"/>
      <c r="C170" s="109"/>
      <c r="D170" s="109"/>
      <c r="E170" s="109"/>
      <c r="F170" s="109"/>
      <c r="G170" s="109"/>
      <c r="H170" s="109"/>
      <c r="I170" s="109"/>
      <c r="J170" s="107"/>
      <c r="K170" s="107"/>
      <c r="L170" s="107"/>
      <c r="M170" s="107"/>
      <c r="N170" s="107"/>
      <c r="O170" s="107"/>
    </row>
    <row r="171" customFormat="false" ht="15" hidden="true" customHeight="true" outlineLevel="0" collapsed="false">
      <c r="A171" s="113"/>
      <c r="B171" s="114"/>
      <c r="C171" s="109"/>
      <c r="D171" s="109"/>
      <c r="E171" s="109"/>
      <c r="F171" s="109"/>
      <c r="G171" s="109"/>
      <c r="H171" s="109"/>
      <c r="I171" s="109"/>
      <c r="J171" s="107"/>
      <c r="K171" s="107"/>
      <c r="L171" s="107"/>
      <c r="M171" s="107"/>
      <c r="N171" s="107"/>
      <c r="O171" s="107"/>
    </row>
    <row r="172" customFormat="false" ht="15" hidden="true" customHeight="true" outlineLevel="0" collapsed="false">
      <c r="A172" s="113"/>
      <c r="B172" s="114"/>
      <c r="C172" s="109"/>
      <c r="D172" s="109"/>
      <c r="E172" s="109"/>
      <c r="F172" s="109"/>
      <c r="G172" s="109"/>
      <c r="H172" s="109"/>
      <c r="I172" s="109"/>
      <c r="J172" s="107"/>
      <c r="K172" s="107"/>
      <c r="L172" s="107"/>
      <c r="M172" s="107"/>
      <c r="N172" s="107"/>
      <c r="O172" s="107"/>
    </row>
    <row r="173" customFormat="false" ht="15" hidden="true" customHeight="true" outlineLevel="0" collapsed="false">
      <c r="A173" s="113"/>
      <c r="B173" s="114"/>
      <c r="C173" s="109"/>
      <c r="D173" s="109"/>
      <c r="E173" s="109"/>
      <c r="F173" s="109"/>
      <c r="G173" s="109"/>
      <c r="H173" s="109"/>
      <c r="I173" s="109"/>
      <c r="J173" s="107"/>
      <c r="K173" s="107"/>
      <c r="L173" s="107"/>
      <c r="M173" s="107"/>
      <c r="N173" s="107"/>
      <c r="O173" s="107"/>
    </row>
    <row r="174" customFormat="false" ht="15" hidden="true" customHeight="true" outlineLevel="0" collapsed="false">
      <c r="A174" s="113"/>
      <c r="B174" s="114"/>
      <c r="C174" s="109"/>
      <c r="D174" s="109"/>
      <c r="E174" s="109"/>
      <c r="F174" s="109"/>
      <c r="G174" s="109"/>
      <c r="H174" s="109"/>
      <c r="I174" s="109"/>
      <c r="J174" s="107"/>
      <c r="K174" s="107"/>
      <c r="L174" s="107"/>
      <c r="M174" s="107"/>
      <c r="N174" s="107"/>
      <c r="O174" s="107"/>
    </row>
    <row r="175" customFormat="false" ht="15" hidden="true" customHeight="true" outlineLevel="0" collapsed="false">
      <c r="A175" s="113"/>
      <c r="B175" s="114"/>
      <c r="C175" s="109"/>
      <c r="D175" s="109"/>
      <c r="E175" s="109"/>
      <c r="F175" s="109"/>
      <c r="G175" s="109"/>
      <c r="H175" s="109"/>
      <c r="I175" s="109"/>
      <c r="J175" s="107"/>
      <c r="K175" s="107"/>
      <c r="L175" s="107"/>
      <c r="M175" s="107"/>
      <c r="N175" s="107"/>
      <c r="O175" s="107"/>
    </row>
    <row r="176" customFormat="false" ht="15" hidden="true" customHeight="true" outlineLevel="0" collapsed="false">
      <c r="A176" s="113"/>
      <c r="B176" s="114"/>
      <c r="C176" s="109"/>
      <c r="D176" s="109"/>
      <c r="E176" s="109"/>
      <c r="F176" s="109"/>
      <c r="G176" s="109"/>
      <c r="H176" s="109"/>
      <c r="I176" s="109"/>
      <c r="J176" s="107"/>
      <c r="K176" s="107"/>
      <c r="L176" s="107"/>
      <c r="M176" s="107"/>
      <c r="N176" s="107"/>
      <c r="O176" s="107"/>
    </row>
    <row r="177" customFormat="false" ht="15" hidden="true" customHeight="true" outlineLevel="0" collapsed="false">
      <c r="A177" s="113"/>
      <c r="B177" s="114"/>
      <c r="C177" s="109"/>
      <c r="D177" s="109"/>
      <c r="E177" s="109"/>
      <c r="F177" s="109"/>
      <c r="G177" s="109"/>
      <c r="H177" s="109"/>
      <c r="I177" s="109"/>
      <c r="J177" s="107"/>
      <c r="K177" s="107"/>
      <c r="L177" s="107"/>
      <c r="M177" s="107"/>
      <c r="N177" s="107"/>
      <c r="O177" s="107"/>
    </row>
    <row r="178" customFormat="false" ht="15" hidden="true" customHeight="true" outlineLevel="0" collapsed="false">
      <c r="A178" s="113"/>
      <c r="B178" s="114"/>
      <c r="C178" s="109"/>
      <c r="D178" s="109"/>
      <c r="E178" s="109"/>
      <c r="F178" s="109"/>
      <c r="G178" s="109"/>
      <c r="H178" s="109"/>
      <c r="I178" s="109"/>
      <c r="J178" s="107"/>
      <c r="K178" s="107"/>
      <c r="L178" s="107"/>
      <c r="M178" s="107"/>
      <c r="N178" s="107"/>
      <c r="O178" s="107"/>
    </row>
    <row r="179" customFormat="false" ht="15" hidden="true" customHeight="true" outlineLevel="0" collapsed="false">
      <c r="A179" s="113"/>
      <c r="B179" s="114"/>
      <c r="C179" s="109"/>
      <c r="D179" s="109"/>
      <c r="E179" s="109"/>
      <c r="F179" s="109"/>
      <c r="G179" s="109"/>
      <c r="H179" s="109"/>
      <c r="I179" s="109"/>
      <c r="J179" s="107"/>
      <c r="K179" s="107"/>
      <c r="L179" s="107"/>
      <c r="M179" s="107"/>
      <c r="N179" s="107"/>
      <c r="O179" s="107"/>
    </row>
    <row r="180" customFormat="false" ht="15" hidden="true" customHeight="true" outlineLevel="0" collapsed="false">
      <c r="A180" s="113"/>
      <c r="B180" s="114"/>
      <c r="C180" s="109"/>
      <c r="D180" s="109"/>
      <c r="E180" s="109"/>
      <c r="F180" s="109"/>
      <c r="G180" s="109"/>
      <c r="H180" s="109"/>
      <c r="I180" s="109"/>
      <c r="J180" s="107"/>
      <c r="K180" s="107"/>
      <c r="L180" s="107"/>
      <c r="M180" s="107"/>
      <c r="N180" s="107"/>
      <c r="O180" s="107"/>
    </row>
    <row r="181" customFormat="false" ht="15" hidden="true" customHeight="true" outlineLevel="0" collapsed="false">
      <c r="A181" s="113"/>
      <c r="B181" s="114"/>
      <c r="C181" s="109"/>
      <c r="D181" s="109"/>
      <c r="E181" s="109"/>
      <c r="F181" s="109"/>
      <c r="G181" s="109"/>
      <c r="H181" s="109"/>
      <c r="I181" s="109"/>
      <c r="J181" s="107"/>
      <c r="K181" s="107"/>
      <c r="L181" s="107"/>
      <c r="M181" s="107"/>
      <c r="N181" s="107"/>
      <c r="O181" s="107"/>
    </row>
    <row r="182" customFormat="false" ht="15" hidden="true" customHeight="true" outlineLevel="0" collapsed="false">
      <c r="A182" s="113"/>
      <c r="B182" s="114"/>
      <c r="C182" s="109"/>
      <c r="D182" s="109"/>
      <c r="E182" s="109"/>
      <c r="F182" s="109"/>
      <c r="G182" s="109"/>
      <c r="H182" s="109"/>
      <c r="I182" s="109"/>
      <c r="J182" s="107"/>
      <c r="K182" s="107"/>
      <c r="L182" s="107"/>
      <c r="M182" s="107"/>
      <c r="N182" s="107"/>
      <c r="O182" s="107"/>
    </row>
    <row r="183" customFormat="false" ht="15" hidden="true" customHeight="true" outlineLevel="0" collapsed="false">
      <c r="A183" s="113"/>
      <c r="B183" s="114"/>
      <c r="C183" s="109"/>
      <c r="D183" s="109"/>
      <c r="E183" s="109"/>
      <c r="F183" s="109"/>
      <c r="G183" s="109"/>
      <c r="H183" s="109"/>
      <c r="I183" s="109"/>
      <c r="J183" s="107"/>
      <c r="K183" s="107"/>
      <c r="L183" s="107"/>
      <c r="M183" s="107"/>
      <c r="N183" s="107"/>
      <c r="O183" s="107"/>
    </row>
    <row r="184" customFormat="false" ht="15" hidden="true" customHeight="true" outlineLevel="0" collapsed="false">
      <c r="A184" s="113"/>
      <c r="B184" s="114"/>
      <c r="C184" s="109"/>
      <c r="D184" s="109"/>
      <c r="E184" s="109"/>
      <c r="F184" s="109"/>
      <c r="G184" s="109"/>
      <c r="H184" s="109"/>
      <c r="I184" s="109"/>
      <c r="J184" s="107"/>
      <c r="K184" s="107"/>
      <c r="L184" s="107"/>
      <c r="M184" s="107"/>
      <c r="N184" s="107"/>
      <c r="O184" s="107"/>
    </row>
    <row r="185" customFormat="false" ht="15" hidden="true" customHeight="true" outlineLevel="0" collapsed="false">
      <c r="A185" s="113"/>
      <c r="B185" s="114"/>
      <c r="C185" s="109"/>
      <c r="D185" s="109"/>
      <c r="E185" s="109"/>
      <c r="F185" s="109"/>
      <c r="G185" s="109"/>
      <c r="H185" s="109"/>
      <c r="I185" s="109"/>
      <c r="J185" s="107"/>
      <c r="K185" s="107"/>
      <c r="L185" s="107"/>
      <c r="M185" s="107"/>
      <c r="N185" s="107"/>
      <c r="O185" s="107"/>
    </row>
    <row r="186" customFormat="false" ht="15" hidden="true" customHeight="true" outlineLevel="0" collapsed="false">
      <c r="A186" s="113"/>
      <c r="B186" s="114"/>
      <c r="C186" s="109"/>
      <c r="D186" s="109"/>
      <c r="E186" s="109"/>
      <c r="F186" s="109"/>
      <c r="G186" s="109"/>
      <c r="H186" s="109"/>
      <c r="I186" s="109"/>
      <c r="J186" s="107"/>
      <c r="K186" s="107"/>
      <c r="L186" s="107"/>
      <c r="M186" s="107"/>
      <c r="N186" s="107"/>
      <c r="O186" s="107"/>
    </row>
    <row r="187" customFormat="false" ht="15" hidden="true" customHeight="true" outlineLevel="0" collapsed="false">
      <c r="A187" s="113"/>
      <c r="B187" s="114"/>
      <c r="C187" s="109"/>
      <c r="D187" s="109"/>
      <c r="E187" s="109"/>
      <c r="F187" s="109"/>
      <c r="G187" s="109"/>
      <c r="H187" s="109"/>
      <c r="I187" s="109"/>
      <c r="J187" s="107"/>
      <c r="K187" s="107"/>
      <c r="L187" s="107"/>
      <c r="M187" s="107"/>
      <c r="N187" s="107"/>
      <c r="O187" s="107"/>
    </row>
    <row r="188" customFormat="false" ht="15" hidden="true" customHeight="true" outlineLevel="0" collapsed="false">
      <c r="A188" s="113"/>
      <c r="B188" s="114"/>
      <c r="C188" s="109"/>
      <c r="D188" s="109"/>
      <c r="E188" s="109"/>
      <c r="F188" s="109"/>
      <c r="G188" s="109"/>
      <c r="H188" s="109"/>
      <c r="I188" s="109"/>
      <c r="J188" s="107"/>
      <c r="K188" s="107"/>
      <c r="L188" s="107"/>
      <c r="M188" s="107"/>
      <c r="N188" s="107"/>
      <c r="O188" s="107"/>
    </row>
    <row r="189" customFormat="false" ht="15" hidden="true" customHeight="true" outlineLevel="0" collapsed="false">
      <c r="A189" s="113"/>
      <c r="B189" s="114"/>
      <c r="C189" s="109"/>
      <c r="D189" s="109"/>
      <c r="E189" s="109"/>
      <c r="F189" s="109"/>
      <c r="G189" s="109"/>
      <c r="H189" s="109"/>
      <c r="I189" s="109"/>
      <c r="J189" s="107"/>
      <c r="K189" s="107"/>
      <c r="L189" s="107"/>
      <c r="M189" s="107"/>
      <c r="N189" s="107"/>
      <c r="O189" s="107"/>
    </row>
    <row r="190" customFormat="false" ht="15" hidden="true" customHeight="true" outlineLevel="0" collapsed="false">
      <c r="A190" s="113"/>
      <c r="B190" s="114"/>
      <c r="C190" s="109"/>
      <c r="D190" s="109"/>
      <c r="E190" s="109"/>
      <c r="F190" s="109"/>
      <c r="G190" s="109"/>
      <c r="H190" s="109"/>
      <c r="I190" s="109"/>
      <c r="J190" s="107"/>
      <c r="K190" s="107"/>
      <c r="L190" s="107"/>
      <c r="M190" s="107"/>
      <c r="N190" s="107"/>
      <c r="O190" s="107"/>
    </row>
    <row r="191" customFormat="false" ht="15" hidden="true" customHeight="true" outlineLevel="0" collapsed="false">
      <c r="A191" s="113"/>
      <c r="B191" s="114"/>
      <c r="C191" s="109"/>
      <c r="D191" s="109"/>
      <c r="E191" s="109"/>
      <c r="F191" s="109"/>
      <c r="G191" s="109"/>
      <c r="H191" s="109"/>
      <c r="I191" s="109"/>
      <c r="J191" s="107"/>
      <c r="K191" s="107"/>
      <c r="L191" s="107"/>
      <c r="M191" s="107"/>
      <c r="N191" s="107"/>
      <c r="O191" s="107"/>
    </row>
    <row r="192" customFormat="false" ht="15" hidden="true" customHeight="true" outlineLevel="0" collapsed="false">
      <c r="A192" s="113"/>
      <c r="B192" s="114"/>
      <c r="C192" s="109"/>
      <c r="D192" s="109"/>
      <c r="E192" s="109"/>
      <c r="F192" s="109"/>
      <c r="G192" s="109"/>
      <c r="H192" s="109"/>
      <c r="I192" s="109"/>
      <c r="J192" s="107"/>
      <c r="K192" s="107"/>
      <c r="L192" s="107"/>
      <c r="M192" s="107"/>
      <c r="N192" s="107"/>
      <c r="O192" s="107"/>
    </row>
    <row r="193" customFormat="false" ht="15" hidden="true" customHeight="true" outlineLevel="0" collapsed="false">
      <c r="A193" s="113"/>
      <c r="B193" s="114"/>
      <c r="C193" s="109"/>
      <c r="D193" s="109"/>
      <c r="E193" s="109"/>
      <c r="F193" s="109"/>
      <c r="G193" s="109"/>
      <c r="H193" s="109"/>
      <c r="I193" s="109"/>
      <c r="J193" s="107"/>
      <c r="K193" s="107"/>
      <c r="L193" s="107"/>
      <c r="M193" s="107"/>
      <c r="N193" s="107"/>
      <c r="O193" s="107"/>
    </row>
    <row r="194" customFormat="false" ht="15" hidden="true" customHeight="true" outlineLevel="0" collapsed="false">
      <c r="A194" s="113"/>
      <c r="B194" s="114"/>
      <c r="C194" s="109"/>
      <c r="D194" s="109"/>
      <c r="E194" s="109"/>
      <c r="F194" s="109"/>
      <c r="G194" s="109"/>
      <c r="H194" s="109"/>
      <c r="I194" s="109"/>
      <c r="J194" s="107"/>
      <c r="K194" s="107"/>
      <c r="L194" s="107"/>
      <c r="M194" s="107"/>
      <c r="N194" s="107"/>
      <c r="O194" s="107"/>
    </row>
    <row r="195" customFormat="false" ht="15" hidden="true" customHeight="true" outlineLevel="0" collapsed="false">
      <c r="A195" s="113"/>
      <c r="B195" s="114"/>
      <c r="C195" s="109"/>
      <c r="D195" s="109"/>
      <c r="E195" s="109"/>
      <c r="F195" s="109"/>
      <c r="G195" s="109"/>
      <c r="H195" s="109"/>
      <c r="I195" s="109"/>
      <c r="J195" s="107"/>
      <c r="K195" s="107"/>
      <c r="L195" s="107"/>
      <c r="M195" s="107"/>
      <c r="N195" s="107"/>
      <c r="O195" s="107"/>
    </row>
    <row r="196" customFormat="false" ht="15" hidden="true" customHeight="true" outlineLevel="0" collapsed="false">
      <c r="A196" s="113"/>
      <c r="B196" s="114"/>
      <c r="C196" s="109"/>
      <c r="D196" s="109"/>
      <c r="E196" s="109"/>
      <c r="F196" s="109"/>
      <c r="G196" s="109"/>
      <c r="H196" s="109"/>
      <c r="I196" s="109"/>
      <c r="J196" s="107"/>
      <c r="K196" s="107"/>
      <c r="L196" s="107"/>
      <c r="M196" s="107"/>
      <c r="N196" s="107"/>
      <c r="O196" s="107"/>
    </row>
    <row r="197" customFormat="false" ht="15" hidden="true" customHeight="true" outlineLevel="0" collapsed="false">
      <c r="A197" s="113"/>
      <c r="B197" s="114"/>
      <c r="C197" s="109"/>
      <c r="D197" s="109"/>
      <c r="E197" s="109"/>
      <c r="F197" s="109"/>
      <c r="G197" s="109"/>
      <c r="H197" s="109"/>
      <c r="I197" s="109"/>
      <c r="J197" s="107"/>
      <c r="K197" s="107"/>
      <c r="L197" s="107"/>
      <c r="M197" s="107"/>
      <c r="N197" s="107"/>
      <c r="O197" s="107"/>
    </row>
    <row r="198" customFormat="false" ht="15" hidden="true" customHeight="true" outlineLevel="0" collapsed="false">
      <c r="A198" s="113"/>
      <c r="B198" s="114"/>
      <c r="C198" s="109"/>
      <c r="D198" s="109"/>
      <c r="E198" s="109"/>
      <c r="F198" s="109"/>
      <c r="G198" s="109"/>
      <c r="H198" s="109"/>
      <c r="I198" s="109"/>
      <c r="J198" s="107"/>
      <c r="K198" s="107"/>
      <c r="L198" s="107"/>
      <c r="M198" s="107"/>
      <c r="N198" s="107"/>
      <c r="O198" s="107"/>
    </row>
    <row r="199" customFormat="false" ht="15" hidden="true" customHeight="true" outlineLevel="0" collapsed="false">
      <c r="A199" s="113"/>
      <c r="B199" s="114"/>
      <c r="C199" s="109"/>
      <c r="D199" s="109"/>
      <c r="E199" s="109"/>
      <c r="F199" s="109"/>
      <c r="G199" s="109"/>
      <c r="H199" s="109"/>
      <c r="I199" s="109"/>
      <c r="J199" s="107"/>
      <c r="K199" s="107"/>
      <c r="L199" s="107"/>
      <c r="M199" s="107"/>
      <c r="N199" s="107"/>
      <c r="O199" s="107"/>
    </row>
    <row r="200" customFormat="false" ht="15" hidden="true" customHeight="true" outlineLevel="0" collapsed="false">
      <c r="A200" s="113"/>
      <c r="B200" s="114"/>
      <c r="C200" s="109"/>
      <c r="D200" s="109"/>
      <c r="E200" s="109"/>
      <c r="F200" s="109"/>
      <c r="G200" s="109"/>
      <c r="H200" s="109"/>
      <c r="I200" s="109"/>
      <c r="J200" s="107"/>
      <c r="K200" s="107"/>
      <c r="L200" s="107"/>
      <c r="M200" s="107"/>
      <c r="N200" s="107"/>
      <c r="O200" s="107"/>
    </row>
    <row r="201" customFormat="false" ht="15" hidden="true" customHeight="true" outlineLevel="0" collapsed="false">
      <c r="A201" s="113"/>
      <c r="B201" s="114"/>
      <c r="C201" s="109"/>
      <c r="D201" s="109"/>
      <c r="E201" s="109"/>
      <c r="F201" s="109"/>
      <c r="G201" s="109"/>
      <c r="H201" s="109"/>
      <c r="I201" s="109"/>
      <c r="J201" s="107"/>
      <c r="K201" s="107"/>
      <c r="L201" s="107"/>
      <c r="M201" s="107"/>
      <c r="N201" s="107"/>
      <c r="O201" s="107"/>
    </row>
    <row r="202" customFormat="false" ht="15" hidden="true" customHeight="true" outlineLevel="0" collapsed="false">
      <c r="A202" s="113"/>
      <c r="B202" s="114"/>
      <c r="C202" s="109"/>
      <c r="D202" s="109"/>
      <c r="E202" s="109"/>
      <c r="F202" s="109"/>
      <c r="G202" s="109"/>
      <c r="H202" s="109"/>
      <c r="I202" s="109"/>
      <c r="J202" s="107"/>
      <c r="K202" s="107"/>
      <c r="L202" s="107"/>
      <c r="M202" s="107"/>
      <c r="N202" s="107"/>
      <c r="O202" s="107"/>
    </row>
    <row r="203" customFormat="false" ht="15" hidden="true" customHeight="true" outlineLevel="0" collapsed="false">
      <c r="A203" s="113"/>
      <c r="B203" s="114"/>
      <c r="C203" s="109"/>
      <c r="D203" s="109"/>
      <c r="E203" s="109"/>
      <c r="F203" s="109"/>
      <c r="G203" s="109"/>
      <c r="H203" s="109"/>
      <c r="I203" s="109"/>
      <c r="J203" s="107"/>
      <c r="K203" s="107"/>
      <c r="L203" s="107"/>
      <c r="M203" s="107"/>
      <c r="N203" s="107"/>
      <c r="O203" s="107"/>
    </row>
    <row r="204" customFormat="false" ht="15" hidden="true" customHeight="true" outlineLevel="0" collapsed="false">
      <c r="A204" s="113"/>
      <c r="B204" s="114"/>
      <c r="C204" s="109"/>
      <c r="D204" s="109"/>
      <c r="E204" s="109"/>
      <c r="F204" s="109"/>
      <c r="G204" s="109"/>
      <c r="H204" s="109"/>
      <c r="I204" s="109"/>
      <c r="J204" s="107"/>
      <c r="K204" s="107"/>
      <c r="L204" s="107"/>
      <c r="M204" s="107"/>
      <c r="N204" s="107"/>
      <c r="O204" s="107"/>
    </row>
    <row r="205" customFormat="false" ht="15" hidden="true" customHeight="true" outlineLevel="0" collapsed="false">
      <c r="A205" s="113"/>
      <c r="B205" s="114"/>
      <c r="C205" s="109"/>
      <c r="D205" s="109"/>
      <c r="E205" s="109"/>
      <c r="F205" s="109"/>
      <c r="G205" s="109"/>
      <c r="H205" s="109"/>
      <c r="I205" s="109"/>
      <c r="J205" s="107"/>
      <c r="K205" s="107"/>
      <c r="L205" s="107"/>
      <c r="M205" s="107"/>
      <c r="N205" s="107"/>
      <c r="O205" s="107"/>
    </row>
    <row r="206" customFormat="false" ht="15" hidden="true" customHeight="true" outlineLevel="0" collapsed="false">
      <c r="A206" s="113"/>
      <c r="B206" s="114"/>
      <c r="C206" s="109"/>
      <c r="D206" s="109"/>
      <c r="E206" s="109"/>
      <c r="F206" s="109"/>
      <c r="G206" s="109"/>
      <c r="H206" s="109"/>
      <c r="I206" s="109"/>
      <c r="J206" s="107"/>
      <c r="K206" s="107"/>
      <c r="L206" s="107"/>
      <c r="M206" s="107"/>
      <c r="N206" s="107"/>
      <c r="O206" s="107"/>
    </row>
    <row r="207" customFormat="false" ht="15" hidden="true" customHeight="true" outlineLevel="0" collapsed="false">
      <c r="A207" s="113"/>
      <c r="B207" s="114"/>
      <c r="C207" s="109"/>
      <c r="D207" s="109"/>
      <c r="E207" s="109"/>
      <c r="F207" s="109"/>
      <c r="G207" s="109"/>
      <c r="H207" s="109"/>
      <c r="I207" s="109"/>
      <c r="J207" s="107"/>
      <c r="K207" s="107"/>
      <c r="L207" s="107"/>
      <c r="M207" s="107"/>
      <c r="N207" s="107"/>
      <c r="O207" s="107"/>
    </row>
    <row r="208" customFormat="false" ht="15" hidden="true" customHeight="true" outlineLevel="0" collapsed="false">
      <c r="A208" s="113"/>
      <c r="B208" s="114"/>
      <c r="C208" s="109"/>
      <c r="D208" s="109"/>
      <c r="E208" s="109"/>
      <c r="F208" s="109"/>
      <c r="G208" s="109"/>
      <c r="H208" s="109"/>
      <c r="I208" s="109"/>
      <c r="J208" s="107"/>
      <c r="K208" s="107"/>
      <c r="L208" s="107"/>
      <c r="M208" s="107"/>
      <c r="N208" s="107"/>
      <c r="O208" s="107"/>
    </row>
    <row r="209" customFormat="false" ht="15" hidden="true" customHeight="true" outlineLevel="0" collapsed="false">
      <c r="A209" s="113"/>
      <c r="B209" s="114"/>
      <c r="C209" s="109"/>
      <c r="D209" s="109"/>
      <c r="E209" s="109"/>
      <c r="F209" s="109"/>
      <c r="G209" s="109"/>
      <c r="H209" s="109"/>
      <c r="I209" s="109"/>
      <c r="J209" s="107"/>
      <c r="K209" s="107"/>
      <c r="L209" s="107"/>
      <c r="M209" s="107"/>
      <c r="N209" s="107"/>
      <c r="O209" s="107"/>
    </row>
    <row r="210" customFormat="false" ht="15" hidden="true" customHeight="true" outlineLevel="0" collapsed="false">
      <c r="A210" s="113"/>
      <c r="B210" s="114"/>
      <c r="C210" s="109"/>
      <c r="D210" s="109"/>
      <c r="E210" s="109"/>
      <c r="F210" s="109"/>
      <c r="G210" s="109"/>
      <c r="H210" s="109"/>
      <c r="I210" s="109"/>
      <c r="J210" s="107"/>
      <c r="K210" s="107"/>
      <c r="L210" s="107"/>
      <c r="M210" s="107"/>
      <c r="N210" s="107"/>
      <c r="O210" s="107"/>
    </row>
    <row r="211" customFormat="false" ht="15" hidden="true" customHeight="true" outlineLevel="0" collapsed="false">
      <c r="A211" s="113"/>
      <c r="B211" s="114"/>
      <c r="C211" s="109"/>
      <c r="D211" s="109"/>
      <c r="E211" s="109"/>
      <c r="F211" s="109"/>
      <c r="G211" s="109"/>
      <c r="H211" s="109"/>
      <c r="I211" s="109"/>
      <c r="J211" s="107"/>
      <c r="K211" s="107"/>
      <c r="L211" s="107"/>
      <c r="M211" s="107"/>
      <c r="N211" s="107"/>
      <c r="O211" s="107"/>
    </row>
    <row r="212" customFormat="false" ht="15" hidden="true" customHeight="true" outlineLevel="0" collapsed="false">
      <c r="A212" s="113"/>
      <c r="B212" s="114"/>
      <c r="C212" s="109"/>
      <c r="D212" s="109"/>
      <c r="E212" s="109"/>
      <c r="F212" s="109"/>
      <c r="G212" s="109"/>
      <c r="H212" s="109"/>
      <c r="I212" s="109"/>
      <c r="J212" s="107"/>
      <c r="K212" s="107"/>
      <c r="L212" s="107"/>
      <c r="M212" s="107"/>
      <c r="N212" s="107"/>
      <c r="O212" s="107"/>
    </row>
    <row r="213" customFormat="false" ht="15" hidden="true" customHeight="true" outlineLevel="0" collapsed="false">
      <c r="A213" s="113"/>
      <c r="B213" s="114"/>
      <c r="C213" s="109"/>
      <c r="D213" s="109"/>
      <c r="E213" s="109"/>
      <c r="F213" s="109"/>
      <c r="G213" s="109"/>
      <c r="H213" s="109"/>
      <c r="I213" s="109"/>
      <c r="J213" s="107"/>
      <c r="K213" s="107"/>
      <c r="L213" s="107"/>
      <c r="M213" s="107"/>
      <c r="N213" s="107"/>
      <c r="O213" s="107"/>
    </row>
    <row r="214" customFormat="false" ht="15" hidden="true" customHeight="true" outlineLevel="0" collapsed="false">
      <c r="A214" s="113"/>
      <c r="B214" s="114"/>
      <c r="C214" s="109"/>
      <c r="D214" s="109"/>
      <c r="E214" s="109"/>
      <c r="F214" s="109"/>
      <c r="G214" s="109"/>
      <c r="H214" s="109"/>
      <c r="I214" s="109"/>
      <c r="J214" s="107"/>
      <c r="K214" s="107"/>
      <c r="L214" s="107"/>
      <c r="M214" s="107"/>
      <c r="N214" s="107"/>
      <c r="O214" s="107"/>
    </row>
    <row r="215" customFormat="false" ht="15" hidden="true" customHeight="true" outlineLevel="0" collapsed="false">
      <c r="A215" s="113"/>
      <c r="B215" s="114"/>
      <c r="C215" s="109"/>
      <c r="D215" s="109"/>
      <c r="E215" s="109"/>
      <c r="F215" s="109"/>
      <c r="G215" s="109"/>
      <c r="H215" s="109"/>
      <c r="I215" s="109"/>
      <c r="J215" s="107"/>
      <c r="K215" s="107"/>
      <c r="L215" s="107"/>
      <c r="M215" s="107"/>
      <c r="N215" s="107"/>
      <c r="O215" s="107"/>
    </row>
    <row r="216" customFormat="false" ht="15" hidden="true" customHeight="true" outlineLevel="0" collapsed="false">
      <c r="A216" s="113"/>
      <c r="B216" s="114"/>
      <c r="C216" s="109"/>
      <c r="D216" s="109"/>
      <c r="E216" s="109"/>
      <c r="F216" s="109"/>
      <c r="G216" s="109"/>
      <c r="H216" s="109"/>
      <c r="I216" s="109"/>
      <c r="J216" s="107"/>
      <c r="K216" s="107"/>
      <c r="L216" s="107"/>
      <c r="M216" s="107"/>
      <c r="N216" s="107"/>
      <c r="O216" s="107"/>
    </row>
    <row r="217" customFormat="false" ht="15" hidden="true" customHeight="true" outlineLevel="0" collapsed="false">
      <c r="A217" s="113"/>
      <c r="B217" s="114"/>
      <c r="C217" s="109"/>
      <c r="D217" s="109"/>
      <c r="E217" s="109"/>
      <c r="F217" s="109"/>
      <c r="G217" s="109"/>
      <c r="H217" s="109"/>
      <c r="I217" s="109"/>
      <c r="J217" s="107"/>
      <c r="K217" s="107"/>
      <c r="L217" s="107"/>
      <c r="M217" s="107"/>
      <c r="N217" s="107"/>
      <c r="O217" s="107"/>
    </row>
    <row r="218" customFormat="false" ht="15" hidden="true" customHeight="true" outlineLevel="0" collapsed="false">
      <c r="A218" s="113"/>
      <c r="B218" s="114"/>
      <c r="C218" s="109"/>
      <c r="D218" s="109"/>
      <c r="E218" s="109"/>
      <c r="F218" s="109"/>
      <c r="G218" s="109"/>
      <c r="H218" s="109"/>
      <c r="I218" s="109"/>
      <c r="J218" s="107"/>
      <c r="K218" s="107"/>
      <c r="L218" s="107"/>
      <c r="M218" s="107"/>
      <c r="N218" s="107"/>
      <c r="O218" s="107"/>
    </row>
    <row r="219" customFormat="false" ht="15" hidden="true" customHeight="true" outlineLevel="0" collapsed="false">
      <c r="A219" s="113"/>
      <c r="B219" s="114"/>
      <c r="C219" s="109"/>
      <c r="D219" s="109"/>
      <c r="E219" s="109"/>
      <c r="F219" s="109"/>
      <c r="G219" s="109"/>
      <c r="H219" s="109"/>
      <c r="I219" s="109"/>
      <c r="J219" s="107"/>
      <c r="K219" s="107"/>
      <c r="L219" s="107"/>
      <c r="M219" s="107"/>
      <c r="N219" s="107"/>
      <c r="O219" s="107"/>
    </row>
    <row r="220" customFormat="false" ht="15" hidden="true" customHeight="true" outlineLevel="0" collapsed="false">
      <c r="A220" s="113"/>
      <c r="B220" s="114"/>
      <c r="C220" s="109"/>
      <c r="D220" s="109"/>
      <c r="E220" s="109"/>
      <c r="F220" s="109"/>
      <c r="G220" s="109"/>
      <c r="H220" s="109"/>
      <c r="I220" s="109"/>
      <c r="J220" s="107"/>
      <c r="K220" s="107"/>
      <c r="L220" s="107"/>
      <c r="M220" s="107"/>
      <c r="N220" s="107"/>
      <c r="O220" s="107"/>
    </row>
    <row r="221" customFormat="false" ht="15" hidden="true" customHeight="true" outlineLevel="0" collapsed="false">
      <c r="A221" s="113"/>
      <c r="B221" s="114"/>
      <c r="C221" s="109"/>
      <c r="D221" s="109"/>
      <c r="E221" s="109"/>
      <c r="F221" s="109"/>
      <c r="G221" s="109"/>
      <c r="H221" s="109"/>
      <c r="I221" s="109"/>
      <c r="J221" s="107"/>
      <c r="K221" s="107"/>
      <c r="L221" s="107"/>
      <c r="M221" s="107"/>
      <c r="N221" s="107"/>
      <c r="O221" s="107"/>
    </row>
    <row r="222" customFormat="false" ht="15" hidden="true" customHeight="true" outlineLevel="0" collapsed="false">
      <c r="A222" s="113"/>
      <c r="B222" s="114"/>
      <c r="C222" s="109"/>
      <c r="D222" s="109"/>
      <c r="E222" s="109"/>
      <c r="F222" s="109"/>
      <c r="G222" s="109"/>
      <c r="H222" s="109"/>
      <c r="I222" s="109"/>
      <c r="J222" s="107"/>
      <c r="K222" s="107"/>
      <c r="L222" s="107"/>
      <c r="M222" s="107"/>
      <c r="N222" s="107"/>
      <c r="O222" s="107"/>
    </row>
    <row r="223" customFormat="false" ht="15" hidden="true" customHeight="true" outlineLevel="0" collapsed="false">
      <c r="A223" s="113"/>
      <c r="B223" s="114"/>
      <c r="C223" s="109"/>
      <c r="D223" s="109"/>
      <c r="E223" s="109"/>
      <c r="F223" s="109"/>
      <c r="G223" s="109"/>
      <c r="H223" s="109"/>
      <c r="I223" s="109"/>
      <c r="J223" s="107"/>
      <c r="K223" s="107"/>
      <c r="L223" s="107"/>
      <c r="M223" s="107"/>
      <c r="N223" s="107"/>
      <c r="O223" s="107"/>
    </row>
    <row r="224" customFormat="false" ht="15" hidden="true" customHeight="true" outlineLevel="0" collapsed="false">
      <c r="A224" s="113"/>
      <c r="B224" s="114"/>
      <c r="C224" s="109"/>
      <c r="D224" s="109"/>
      <c r="E224" s="109"/>
      <c r="F224" s="109"/>
      <c r="G224" s="109"/>
      <c r="H224" s="109"/>
      <c r="I224" s="109"/>
      <c r="J224" s="107"/>
      <c r="K224" s="107"/>
      <c r="L224" s="107"/>
      <c r="M224" s="107"/>
      <c r="N224" s="107"/>
      <c r="O224" s="107"/>
    </row>
    <row r="225" customFormat="false" ht="15" hidden="true" customHeight="true" outlineLevel="0" collapsed="false">
      <c r="A225" s="113"/>
      <c r="B225" s="114"/>
      <c r="C225" s="109"/>
      <c r="D225" s="109"/>
      <c r="E225" s="109"/>
      <c r="F225" s="109"/>
      <c r="G225" s="109"/>
      <c r="H225" s="109"/>
      <c r="I225" s="109"/>
      <c r="J225" s="107"/>
      <c r="K225" s="107"/>
      <c r="L225" s="107"/>
      <c r="M225" s="107"/>
      <c r="N225" s="107"/>
      <c r="O225" s="107"/>
    </row>
    <row r="226" customFormat="false" ht="15" hidden="true" customHeight="true" outlineLevel="0" collapsed="false">
      <c r="A226" s="113"/>
      <c r="B226" s="114"/>
      <c r="C226" s="109"/>
      <c r="D226" s="109"/>
      <c r="E226" s="109"/>
      <c r="F226" s="109"/>
      <c r="G226" s="109"/>
      <c r="H226" s="109"/>
      <c r="I226" s="109"/>
      <c r="J226" s="107"/>
      <c r="K226" s="107"/>
      <c r="L226" s="107"/>
      <c r="M226" s="107"/>
      <c r="N226" s="107"/>
      <c r="O226" s="107"/>
    </row>
    <row r="227" customFormat="false" ht="15" hidden="true" customHeight="true" outlineLevel="0" collapsed="false">
      <c r="A227" s="113"/>
      <c r="B227" s="114"/>
      <c r="C227" s="109"/>
      <c r="D227" s="109"/>
      <c r="E227" s="109"/>
      <c r="F227" s="109"/>
      <c r="G227" s="109"/>
      <c r="H227" s="109"/>
      <c r="I227" s="109"/>
      <c r="J227" s="107"/>
      <c r="K227" s="107"/>
      <c r="L227" s="107"/>
      <c r="M227" s="107"/>
      <c r="N227" s="107"/>
      <c r="O227" s="107"/>
    </row>
    <row r="228" customFormat="false" ht="15" hidden="true" customHeight="true" outlineLevel="0" collapsed="false">
      <c r="A228" s="113"/>
      <c r="B228" s="114"/>
      <c r="C228" s="109"/>
      <c r="D228" s="109"/>
      <c r="E228" s="109"/>
      <c r="F228" s="109"/>
      <c r="G228" s="109"/>
      <c r="H228" s="109"/>
      <c r="I228" s="109"/>
      <c r="J228" s="107"/>
      <c r="K228" s="107"/>
      <c r="L228" s="107"/>
      <c r="M228" s="107"/>
      <c r="N228" s="107"/>
      <c r="O228" s="107"/>
    </row>
    <row r="229" customFormat="false" ht="15" hidden="true" customHeight="true" outlineLevel="0" collapsed="false">
      <c r="A229" s="113"/>
      <c r="B229" s="114"/>
      <c r="C229" s="109"/>
      <c r="D229" s="109"/>
      <c r="E229" s="109"/>
      <c r="F229" s="109"/>
      <c r="G229" s="109"/>
      <c r="H229" s="109"/>
      <c r="I229" s="109"/>
      <c r="J229" s="107"/>
      <c r="K229" s="107"/>
      <c r="L229" s="107"/>
      <c r="M229" s="107"/>
      <c r="N229" s="107"/>
      <c r="O229" s="107"/>
    </row>
    <row r="230" customFormat="false" ht="15" hidden="true" customHeight="true" outlineLevel="0" collapsed="false">
      <c r="A230" s="113"/>
      <c r="B230" s="114"/>
      <c r="C230" s="109"/>
      <c r="D230" s="109"/>
      <c r="E230" s="109"/>
      <c r="F230" s="109"/>
      <c r="G230" s="109"/>
      <c r="H230" s="109"/>
      <c r="I230" s="109"/>
      <c r="J230" s="107"/>
      <c r="K230" s="107"/>
      <c r="L230" s="107"/>
      <c r="M230" s="107"/>
      <c r="N230" s="107"/>
      <c r="O230" s="107"/>
    </row>
    <row r="231" customFormat="false" ht="15" hidden="true" customHeight="true" outlineLevel="0" collapsed="false">
      <c r="A231" s="113"/>
      <c r="B231" s="114"/>
      <c r="C231" s="109"/>
      <c r="D231" s="109"/>
      <c r="E231" s="109"/>
      <c r="F231" s="109"/>
      <c r="G231" s="109"/>
      <c r="H231" s="109"/>
      <c r="I231" s="109"/>
      <c r="J231" s="107"/>
      <c r="K231" s="107"/>
      <c r="L231" s="107"/>
      <c r="M231" s="107"/>
      <c r="N231" s="107"/>
      <c r="O231" s="107"/>
    </row>
    <row r="232" customFormat="false" ht="15" hidden="true" customHeight="true" outlineLevel="0" collapsed="false">
      <c r="A232" s="113"/>
      <c r="B232" s="114"/>
      <c r="C232" s="109"/>
      <c r="D232" s="109"/>
      <c r="E232" s="109"/>
      <c r="F232" s="109"/>
      <c r="G232" s="109"/>
      <c r="H232" s="109"/>
      <c r="I232" s="109"/>
      <c r="J232" s="107"/>
      <c r="K232" s="107"/>
      <c r="L232" s="107"/>
      <c r="M232" s="107"/>
      <c r="N232" s="107"/>
      <c r="O232" s="107"/>
    </row>
    <row r="233" customFormat="false" ht="15" hidden="true" customHeight="true" outlineLevel="0" collapsed="false">
      <c r="A233" s="113"/>
      <c r="B233" s="114"/>
      <c r="C233" s="109"/>
      <c r="D233" s="109"/>
      <c r="E233" s="109"/>
      <c r="F233" s="109"/>
      <c r="G233" s="109"/>
      <c r="H233" s="109"/>
      <c r="I233" s="109"/>
      <c r="J233" s="107"/>
      <c r="K233" s="107"/>
      <c r="L233" s="107"/>
      <c r="M233" s="107"/>
      <c r="N233" s="107"/>
      <c r="O233" s="107"/>
    </row>
    <row r="234" customFormat="false" ht="15" hidden="true" customHeight="true" outlineLevel="0" collapsed="false">
      <c r="A234" s="113"/>
      <c r="B234" s="114"/>
      <c r="C234" s="109"/>
      <c r="D234" s="109"/>
      <c r="E234" s="109"/>
      <c r="F234" s="109"/>
      <c r="G234" s="109"/>
      <c r="H234" s="109"/>
      <c r="I234" s="109"/>
      <c r="J234" s="107"/>
      <c r="K234" s="107"/>
      <c r="L234" s="107"/>
      <c r="M234" s="107"/>
      <c r="N234" s="107"/>
      <c r="O234" s="107"/>
    </row>
    <row r="235" customFormat="false" ht="15" hidden="true" customHeight="true" outlineLevel="0" collapsed="false">
      <c r="A235" s="113"/>
      <c r="B235" s="114"/>
      <c r="C235" s="109"/>
      <c r="D235" s="109"/>
      <c r="E235" s="109"/>
      <c r="F235" s="109"/>
      <c r="G235" s="109"/>
      <c r="H235" s="109"/>
      <c r="I235" s="109"/>
      <c r="J235" s="107"/>
      <c r="K235" s="107"/>
      <c r="L235" s="107"/>
      <c r="M235" s="107"/>
      <c r="N235" s="107"/>
      <c r="O235" s="107"/>
    </row>
    <row r="236" customFormat="false" ht="15" hidden="true" customHeight="true" outlineLevel="0" collapsed="false">
      <c r="A236" s="113"/>
      <c r="B236" s="114"/>
      <c r="C236" s="109"/>
      <c r="D236" s="109"/>
      <c r="E236" s="109"/>
      <c r="F236" s="109"/>
      <c r="G236" s="109"/>
      <c r="H236" s="109"/>
      <c r="I236" s="109"/>
      <c r="J236" s="107"/>
      <c r="K236" s="107"/>
      <c r="L236" s="107"/>
      <c r="M236" s="107"/>
      <c r="N236" s="107"/>
      <c r="O236" s="107"/>
    </row>
    <row r="237" customFormat="false" ht="15" hidden="true" customHeight="true" outlineLevel="0" collapsed="false">
      <c r="A237" s="113"/>
      <c r="B237" s="114"/>
      <c r="C237" s="109"/>
      <c r="D237" s="109"/>
      <c r="E237" s="109"/>
      <c r="F237" s="109"/>
      <c r="G237" s="109"/>
      <c r="H237" s="109"/>
      <c r="I237" s="109"/>
      <c r="J237" s="107"/>
      <c r="K237" s="107"/>
      <c r="L237" s="107"/>
      <c r="M237" s="107"/>
      <c r="N237" s="107"/>
      <c r="O237" s="107"/>
    </row>
    <row r="238" customFormat="false" ht="15" hidden="true" customHeight="true" outlineLevel="0" collapsed="false">
      <c r="A238" s="113"/>
      <c r="B238" s="114"/>
      <c r="C238" s="109"/>
      <c r="D238" s="109"/>
      <c r="E238" s="109"/>
      <c r="F238" s="109"/>
      <c r="G238" s="109"/>
      <c r="H238" s="109"/>
      <c r="I238" s="109"/>
      <c r="J238" s="107"/>
      <c r="K238" s="107"/>
      <c r="L238" s="107"/>
      <c r="M238" s="107"/>
      <c r="N238" s="107"/>
      <c r="O238" s="107"/>
    </row>
    <row r="239" customFormat="false" ht="15" hidden="true" customHeight="true" outlineLevel="0" collapsed="false">
      <c r="A239" s="113"/>
      <c r="B239" s="114"/>
      <c r="C239" s="109"/>
      <c r="D239" s="109"/>
      <c r="E239" s="109"/>
      <c r="F239" s="109"/>
      <c r="G239" s="109"/>
      <c r="H239" s="109"/>
      <c r="I239" s="109"/>
      <c r="J239" s="107"/>
      <c r="K239" s="107"/>
      <c r="L239" s="107"/>
      <c r="M239" s="107"/>
      <c r="N239" s="107"/>
      <c r="O239" s="107"/>
    </row>
    <row r="240" customFormat="false" ht="15" hidden="true" customHeight="true" outlineLevel="0" collapsed="false">
      <c r="A240" s="113"/>
      <c r="B240" s="114"/>
      <c r="C240" s="109"/>
      <c r="D240" s="109"/>
      <c r="E240" s="109"/>
      <c r="F240" s="109"/>
      <c r="G240" s="109"/>
      <c r="H240" s="109"/>
      <c r="I240" s="109"/>
      <c r="J240" s="107"/>
      <c r="K240" s="107"/>
      <c r="L240" s="107"/>
      <c r="M240" s="107"/>
      <c r="N240" s="107"/>
      <c r="O240" s="107"/>
    </row>
    <row r="241" customFormat="false" ht="15" hidden="true" customHeight="true" outlineLevel="0" collapsed="false">
      <c r="A241" s="113"/>
      <c r="B241" s="114"/>
      <c r="C241" s="109"/>
      <c r="D241" s="109"/>
      <c r="E241" s="109"/>
      <c r="F241" s="109"/>
      <c r="G241" s="109"/>
      <c r="H241" s="109"/>
      <c r="I241" s="109"/>
      <c r="J241" s="107"/>
      <c r="K241" s="107"/>
      <c r="L241" s="107"/>
      <c r="M241" s="107"/>
      <c r="N241" s="107"/>
      <c r="O241" s="107"/>
    </row>
    <row r="242" customFormat="false" ht="15" hidden="true" customHeight="true" outlineLevel="0" collapsed="false">
      <c r="A242" s="113"/>
      <c r="B242" s="114"/>
      <c r="C242" s="109"/>
      <c r="D242" s="109"/>
      <c r="E242" s="109"/>
      <c r="F242" s="109"/>
      <c r="G242" s="109"/>
      <c r="H242" s="109"/>
      <c r="I242" s="109"/>
      <c r="J242" s="107"/>
      <c r="K242" s="107"/>
      <c r="L242" s="107"/>
      <c r="M242" s="107"/>
      <c r="N242" s="107"/>
      <c r="O242" s="107"/>
    </row>
    <row r="243" customFormat="false" ht="15" hidden="true" customHeight="true" outlineLevel="0" collapsed="false">
      <c r="A243" s="113"/>
      <c r="B243" s="114"/>
      <c r="C243" s="109"/>
      <c r="D243" s="109"/>
      <c r="E243" s="109"/>
      <c r="F243" s="109"/>
      <c r="G243" s="109"/>
      <c r="H243" s="109"/>
      <c r="I243" s="109"/>
      <c r="J243" s="107"/>
      <c r="K243" s="107"/>
      <c r="L243" s="107"/>
      <c r="M243" s="107"/>
      <c r="N243" s="107"/>
      <c r="O243" s="107"/>
    </row>
    <row r="244" customFormat="false" ht="15" hidden="true" customHeight="true" outlineLevel="0" collapsed="false">
      <c r="A244" s="113"/>
      <c r="B244" s="114"/>
      <c r="C244" s="109"/>
      <c r="D244" s="109"/>
      <c r="E244" s="109"/>
      <c r="F244" s="109"/>
      <c r="G244" s="109"/>
      <c r="H244" s="109"/>
      <c r="I244" s="109"/>
      <c r="J244" s="107"/>
      <c r="K244" s="107"/>
      <c r="L244" s="107"/>
      <c r="M244" s="107"/>
      <c r="N244" s="107"/>
      <c r="O244" s="107"/>
    </row>
    <row r="245" customFormat="false" ht="15" hidden="true" customHeight="true" outlineLevel="0" collapsed="false">
      <c r="A245" s="113"/>
      <c r="B245" s="114"/>
      <c r="C245" s="109"/>
      <c r="D245" s="109"/>
      <c r="E245" s="109"/>
      <c r="F245" s="109"/>
      <c r="G245" s="109"/>
      <c r="H245" s="109"/>
      <c r="I245" s="109"/>
      <c r="J245" s="107"/>
      <c r="K245" s="107"/>
      <c r="L245" s="107"/>
      <c r="M245" s="107"/>
      <c r="N245" s="107"/>
      <c r="O245" s="107"/>
    </row>
    <row r="246" customFormat="false" ht="15" hidden="true" customHeight="true" outlineLevel="0" collapsed="false">
      <c r="A246" s="113"/>
      <c r="B246" s="114"/>
      <c r="C246" s="109"/>
      <c r="D246" s="109"/>
      <c r="E246" s="109"/>
      <c r="F246" s="109"/>
      <c r="G246" s="109"/>
      <c r="H246" s="109"/>
      <c r="I246" s="109"/>
      <c r="J246" s="107"/>
      <c r="K246" s="107"/>
      <c r="L246" s="107"/>
      <c r="M246" s="107"/>
      <c r="N246" s="107"/>
      <c r="O246" s="107"/>
    </row>
    <row r="247" customFormat="false" ht="15" hidden="true" customHeight="true" outlineLevel="0" collapsed="false">
      <c r="A247" s="113"/>
      <c r="B247" s="114"/>
      <c r="C247" s="109"/>
      <c r="D247" s="109"/>
      <c r="E247" s="109"/>
      <c r="F247" s="109"/>
      <c r="G247" s="109"/>
      <c r="H247" s="109"/>
      <c r="I247" s="109"/>
      <c r="J247" s="107"/>
      <c r="K247" s="107"/>
      <c r="L247" s="107"/>
      <c r="M247" s="107"/>
      <c r="N247" s="107"/>
      <c r="O247" s="107"/>
    </row>
    <row r="248" customFormat="false" ht="15" hidden="true" customHeight="true" outlineLevel="0" collapsed="false">
      <c r="A248" s="113"/>
      <c r="B248" s="114"/>
      <c r="C248" s="109"/>
      <c r="D248" s="109"/>
      <c r="E248" s="109"/>
      <c r="F248" s="109"/>
      <c r="G248" s="109"/>
      <c r="H248" s="109"/>
      <c r="I248" s="109"/>
      <c r="J248" s="107"/>
      <c r="K248" s="107"/>
      <c r="L248" s="107"/>
      <c r="M248" s="107"/>
      <c r="N248" s="107"/>
      <c r="O248" s="107"/>
    </row>
    <row r="249" customFormat="false" ht="15" hidden="true" customHeight="true" outlineLevel="0" collapsed="false">
      <c r="A249" s="113"/>
      <c r="B249" s="114"/>
      <c r="C249" s="109"/>
      <c r="D249" s="109"/>
      <c r="E249" s="109"/>
      <c r="F249" s="109"/>
      <c r="G249" s="109"/>
      <c r="H249" s="109"/>
      <c r="I249" s="109"/>
      <c r="J249" s="107"/>
      <c r="K249" s="107"/>
      <c r="L249" s="107"/>
      <c r="M249" s="107"/>
      <c r="N249" s="107"/>
      <c r="O249" s="107"/>
    </row>
    <row r="250" customFormat="false" ht="15" hidden="true" customHeight="true" outlineLevel="0" collapsed="false">
      <c r="A250" s="113"/>
      <c r="B250" s="114"/>
      <c r="C250" s="109"/>
      <c r="D250" s="109"/>
      <c r="E250" s="109"/>
      <c r="F250" s="109"/>
      <c r="G250" s="109"/>
      <c r="H250" s="109"/>
      <c r="I250" s="109"/>
      <c r="J250" s="107"/>
      <c r="K250" s="107"/>
      <c r="L250" s="107"/>
      <c r="M250" s="107"/>
      <c r="N250" s="107"/>
      <c r="O250" s="107"/>
    </row>
    <row r="251" customFormat="false" ht="15" hidden="true" customHeight="true" outlineLevel="0" collapsed="false">
      <c r="A251" s="113"/>
      <c r="B251" s="114"/>
      <c r="C251" s="109"/>
      <c r="D251" s="109"/>
      <c r="E251" s="109"/>
      <c r="F251" s="109"/>
      <c r="G251" s="109"/>
      <c r="H251" s="109"/>
      <c r="I251" s="109"/>
      <c r="J251" s="107"/>
      <c r="K251" s="107"/>
      <c r="L251" s="107"/>
      <c r="M251" s="107"/>
      <c r="N251" s="107"/>
      <c r="O251" s="107"/>
    </row>
    <row r="252" customFormat="false" ht="15" hidden="true" customHeight="true" outlineLevel="0" collapsed="false">
      <c r="A252" s="113"/>
      <c r="B252" s="114"/>
      <c r="C252" s="109"/>
      <c r="D252" s="109"/>
      <c r="E252" s="109"/>
      <c r="F252" s="109"/>
      <c r="G252" s="109"/>
      <c r="H252" s="109"/>
      <c r="I252" s="109"/>
      <c r="J252" s="107"/>
      <c r="K252" s="107"/>
      <c r="L252" s="107"/>
      <c r="M252" s="107"/>
      <c r="N252" s="107"/>
      <c r="O252" s="107"/>
    </row>
    <row r="253" customFormat="false" ht="15" hidden="true" customHeight="true" outlineLevel="0" collapsed="false">
      <c r="A253" s="113"/>
      <c r="B253" s="114"/>
      <c r="C253" s="109"/>
      <c r="D253" s="109"/>
      <c r="E253" s="109"/>
      <c r="F253" s="109"/>
      <c r="G253" s="109"/>
      <c r="H253" s="109"/>
      <c r="I253" s="109"/>
      <c r="J253" s="107"/>
      <c r="K253" s="107"/>
      <c r="L253" s="107"/>
      <c r="M253" s="107"/>
      <c r="N253" s="107"/>
      <c r="O253" s="107"/>
    </row>
    <row r="254" customFormat="false" ht="15" hidden="true" customHeight="true" outlineLevel="0" collapsed="false">
      <c r="A254" s="113"/>
      <c r="B254" s="114"/>
      <c r="C254" s="109"/>
      <c r="D254" s="109"/>
      <c r="E254" s="109"/>
      <c r="F254" s="109"/>
      <c r="G254" s="109"/>
      <c r="H254" s="109"/>
      <c r="I254" s="109"/>
      <c r="J254" s="107"/>
      <c r="K254" s="107"/>
      <c r="L254" s="107"/>
      <c r="M254" s="107"/>
      <c r="N254" s="107"/>
      <c r="O254" s="107"/>
    </row>
    <row r="255" customFormat="false" ht="15" hidden="true" customHeight="true" outlineLevel="0" collapsed="false">
      <c r="A255" s="113"/>
      <c r="B255" s="114"/>
      <c r="C255" s="109"/>
      <c r="D255" s="109"/>
      <c r="E255" s="109"/>
      <c r="F255" s="109"/>
      <c r="G255" s="109"/>
      <c r="H255" s="109"/>
      <c r="I255" s="109"/>
      <c r="J255" s="107"/>
      <c r="K255" s="107"/>
      <c r="L255" s="107"/>
      <c r="M255" s="107"/>
      <c r="N255" s="107"/>
      <c r="O255" s="107"/>
    </row>
    <row r="256" customFormat="false" ht="15" hidden="true" customHeight="true" outlineLevel="0" collapsed="false">
      <c r="A256" s="113"/>
      <c r="B256" s="114"/>
      <c r="C256" s="109"/>
      <c r="D256" s="109"/>
      <c r="E256" s="109"/>
      <c r="F256" s="109"/>
      <c r="G256" s="109"/>
      <c r="H256" s="109"/>
      <c r="I256" s="109"/>
      <c r="J256" s="107"/>
      <c r="K256" s="107"/>
      <c r="L256" s="107"/>
      <c r="M256" s="107"/>
      <c r="N256" s="107"/>
      <c r="O256" s="107"/>
    </row>
    <row r="257" customFormat="false" ht="15" hidden="true" customHeight="true" outlineLevel="0" collapsed="false">
      <c r="A257" s="113"/>
      <c r="B257" s="114"/>
      <c r="C257" s="109"/>
      <c r="D257" s="109"/>
      <c r="E257" s="109"/>
      <c r="F257" s="109"/>
      <c r="G257" s="109"/>
      <c r="H257" s="109"/>
      <c r="I257" s="109"/>
      <c r="J257" s="107"/>
      <c r="K257" s="107"/>
      <c r="L257" s="107"/>
      <c r="M257" s="107"/>
      <c r="N257" s="107"/>
      <c r="O257" s="107"/>
    </row>
    <row r="258" customFormat="false" ht="15" hidden="true" customHeight="true" outlineLevel="0" collapsed="false">
      <c r="A258" s="113"/>
      <c r="B258" s="114"/>
      <c r="C258" s="109"/>
      <c r="D258" s="109"/>
      <c r="E258" s="109"/>
      <c r="F258" s="109"/>
      <c r="G258" s="109"/>
      <c r="H258" s="109"/>
      <c r="I258" s="109"/>
      <c r="J258" s="107"/>
      <c r="K258" s="107"/>
      <c r="L258" s="107"/>
      <c r="M258" s="107"/>
      <c r="N258" s="107"/>
      <c r="O258" s="107"/>
    </row>
    <row r="259" customFormat="false" ht="15" hidden="true" customHeight="true" outlineLevel="0" collapsed="false">
      <c r="A259" s="113"/>
      <c r="B259" s="114"/>
      <c r="C259" s="109"/>
      <c r="D259" s="109"/>
      <c r="E259" s="109"/>
      <c r="F259" s="109"/>
      <c r="G259" s="109"/>
      <c r="H259" s="109"/>
      <c r="I259" s="109"/>
      <c r="J259" s="107"/>
      <c r="K259" s="107"/>
      <c r="L259" s="107"/>
      <c r="M259" s="107"/>
      <c r="N259" s="107"/>
      <c r="O259" s="107"/>
    </row>
    <row r="260" customFormat="false" ht="15" hidden="true" customHeight="true" outlineLevel="0" collapsed="false">
      <c r="A260" s="113"/>
      <c r="B260" s="114"/>
      <c r="C260" s="109"/>
      <c r="D260" s="109"/>
      <c r="E260" s="109"/>
      <c r="F260" s="109"/>
      <c r="G260" s="109"/>
      <c r="H260" s="109"/>
      <c r="I260" s="109"/>
      <c r="J260" s="107"/>
      <c r="K260" s="107"/>
      <c r="L260" s="107"/>
      <c r="M260" s="107"/>
      <c r="N260" s="107"/>
      <c r="O260" s="107"/>
    </row>
    <row r="261" customFormat="false" ht="15" hidden="true" customHeight="true" outlineLevel="0" collapsed="false">
      <c r="A261" s="113"/>
      <c r="B261" s="114"/>
      <c r="C261" s="109"/>
      <c r="D261" s="109"/>
      <c r="E261" s="109"/>
      <c r="F261" s="109"/>
      <c r="G261" s="109"/>
      <c r="H261" s="109"/>
      <c r="I261" s="109"/>
      <c r="J261" s="107"/>
      <c r="K261" s="107"/>
      <c r="L261" s="107"/>
      <c r="M261" s="107"/>
      <c r="N261" s="107"/>
      <c r="O261" s="107"/>
    </row>
    <row r="262" customFormat="false" ht="15" hidden="true" customHeight="true" outlineLevel="0" collapsed="false">
      <c r="A262" s="113"/>
      <c r="B262" s="114"/>
      <c r="C262" s="109"/>
      <c r="D262" s="109"/>
      <c r="E262" s="109"/>
      <c r="F262" s="109"/>
      <c r="G262" s="109"/>
      <c r="H262" s="109"/>
      <c r="I262" s="109"/>
      <c r="J262" s="107"/>
      <c r="K262" s="107"/>
      <c r="L262" s="107"/>
      <c r="M262" s="107"/>
      <c r="N262" s="107"/>
      <c r="O262" s="107"/>
    </row>
    <row r="263" customFormat="false" ht="15" hidden="true" customHeight="true" outlineLevel="0" collapsed="false">
      <c r="A263" s="113"/>
      <c r="B263" s="114"/>
      <c r="C263" s="109"/>
      <c r="D263" s="109"/>
      <c r="E263" s="109"/>
      <c r="F263" s="109"/>
      <c r="G263" s="109"/>
      <c r="H263" s="109"/>
      <c r="I263" s="109"/>
      <c r="J263" s="107"/>
      <c r="K263" s="107"/>
      <c r="L263" s="107"/>
      <c r="M263" s="107"/>
      <c r="N263" s="107"/>
      <c r="O263" s="107"/>
    </row>
    <row r="264" customFormat="false" ht="15" hidden="true" customHeight="true" outlineLevel="0" collapsed="false">
      <c r="A264" s="113"/>
      <c r="B264" s="114"/>
      <c r="C264" s="109"/>
      <c r="D264" s="109"/>
      <c r="E264" s="109"/>
      <c r="F264" s="109"/>
      <c r="G264" s="109"/>
      <c r="H264" s="109"/>
      <c r="I264" s="109"/>
      <c r="J264" s="107"/>
      <c r="K264" s="107"/>
      <c r="L264" s="107"/>
      <c r="M264" s="107"/>
      <c r="N264" s="107"/>
      <c r="O264" s="107"/>
    </row>
    <row r="265" customFormat="false" ht="15" hidden="true" customHeight="true" outlineLevel="0" collapsed="false">
      <c r="A265" s="113"/>
      <c r="B265" s="114"/>
      <c r="C265" s="109"/>
      <c r="D265" s="109"/>
      <c r="E265" s="109"/>
      <c r="F265" s="109"/>
      <c r="G265" s="109"/>
      <c r="H265" s="109"/>
      <c r="I265" s="109"/>
      <c r="J265" s="107"/>
      <c r="K265" s="107"/>
      <c r="L265" s="107"/>
      <c r="M265" s="107"/>
      <c r="N265" s="107"/>
      <c r="O265" s="107"/>
    </row>
    <row r="266" customFormat="false" ht="15" hidden="true" customHeight="true" outlineLevel="0" collapsed="false">
      <c r="A266" s="113"/>
      <c r="B266" s="114"/>
      <c r="C266" s="109"/>
      <c r="D266" s="109"/>
      <c r="E266" s="109"/>
      <c r="F266" s="109"/>
      <c r="G266" s="109"/>
      <c r="H266" s="109"/>
      <c r="I266" s="109"/>
      <c r="J266" s="107"/>
      <c r="K266" s="107"/>
      <c r="L266" s="107"/>
      <c r="M266" s="107"/>
      <c r="N266" s="107"/>
      <c r="O266" s="107"/>
    </row>
    <row r="267" customFormat="false" ht="15" hidden="true" customHeight="true" outlineLevel="0" collapsed="false">
      <c r="A267" s="113"/>
      <c r="B267" s="114"/>
      <c r="C267" s="109"/>
      <c r="D267" s="109"/>
      <c r="E267" s="109"/>
      <c r="F267" s="109"/>
      <c r="G267" s="109"/>
      <c r="H267" s="109"/>
      <c r="I267" s="109"/>
      <c r="J267" s="107"/>
      <c r="K267" s="107"/>
      <c r="L267" s="107"/>
      <c r="M267" s="107"/>
      <c r="N267" s="107"/>
      <c r="O267" s="107"/>
    </row>
    <row r="268" customFormat="false" ht="15" hidden="true" customHeight="true" outlineLevel="0" collapsed="false">
      <c r="A268" s="113"/>
      <c r="B268" s="114"/>
      <c r="C268" s="109"/>
      <c r="D268" s="109"/>
      <c r="E268" s="109"/>
      <c r="F268" s="109"/>
      <c r="G268" s="109"/>
      <c r="H268" s="109"/>
      <c r="I268" s="109"/>
      <c r="J268" s="107"/>
      <c r="K268" s="107"/>
      <c r="L268" s="107"/>
      <c r="M268" s="107"/>
      <c r="N268" s="107"/>
      <c r="O268" s="107"/>
    </row>
    <row r="269" customFormat="false" ht="15" hidden="true" customHeight="true" outlineLevel="0" collapsed="false">
      <c r="A269" s="113"/>
      <c r="B269" s="114"/>
      <c r="C269" s="109"/>
      <c r="D269" s="109"/>
      <c r="E269" s="109"/>
      <c r="F269" s="109"/>
      <c r="G269" s="109"/>
      <c r="H269" s="109"/>
      <c r="I269" s="109"/>
      <c r="J269" s="107"/>
      <c r="K269" s="107"/>
      <c r="L269" s="107"/>
      <c r="M269" s="107"/>
      <c r="N269" s="107"/>
      <c r="O269" s="107"/>
    </row>
    <row r="270" customFormat="false" ht="15" hidden="true" customHeight="true" outlineLevel="0" collapsed="false">
      <c r="A270" s="113"/>
      <c r="B270" s="114"/>
      <c r="C270" s="109"/>
      <c r="D270" s="109"/>
      <c r="E270" s="109"/>
      <c r="F270" s="109"/>
      <c r="G270" s="109"/>
      <c r="H270" s="109"/>
      <c r="I270" s="109"/>
      <c r="J270" s="107"/>
      <c r="K270" s="107"/>
      <c r="L270" s="107"/>
      <c r="M270" s="107"/>
      <c r="N270" s="107"/>
      <c r="O270" s="107"/>
    </row>
    <row r="271" customFormat="false" ht="15" hidden="true" customHeight="true" outlineLevel="0" collapsed="false">
      <c r="A271" s="113"/>
      <c r="B271" s="114"/>
      <c r="C271" s="109"/>
      <c r="D271" s="109"/>
      <c r="E271" s="109"/>
      <c r="F271" s="109"/>
      <c r="G271" s="109"/>
      <c r="H271" s="109"/>
      <c r="I271" s="109"/>
      <c r="J271" s="107"/>
      <c r="K271" s="107"/>
      <c r="L271" s="107"/>
      <c r="M271" s="107"/>
      <c r="N271" s="107"/>
      <c r="O271" s="107"/>
    </row>
    <row r="272" customFormat="false" ht="15" hidden="true" customHeight="true" outlineLevel="0" collapsed="false">
      <c r="A272" s="113"/>
      <c r="B272" s="114"/>
      <c r="C272" s="109"/>
      <c r="D272" s="109"/>
      <c r="E272" s="109"/>
      <c r="F272" s="109"/>
      <c r="G272" s="109"/>
      <c r="H272" s="109"/>
      <c r="I272" s="109"/>
      <c r="J272" s="107"/>
      <c r="K272" s="107"/>
      <c r="L272" s="107"/>
      <c r="M272" s="107"/>
      <c r="N272" s="107"/>
      <c r="O272" s="107"/>
    </row>
    <row r="273" customFormat="false" ht="15" hidden="true" customHeight="true" outlineLevel="0" collapsed="false">
      <c r="A273" s="113"/>
      <c r="B273" s="114"/>
      <c r="C273" s="109"/>
      <c r="D273" s="109"/>
      <c r="E273" s="109"/>
      <c r="F273" s="109"/>
      <c r="G273" s="109"/>
      <c r="H273" s="109"/>
      <c r="I273" s="109"/>
      <c r="J273" s="107"/>
      <c r="K273" s="107"/>
      <c r="L273" s="107"/>
      <c r="M273" s="107"/>
      <c r="N273" s="107"/>
      <c r="O273" s="107"/>
    </row>
    <row r="274" customFormat="false" ht="15" hidden="true" customHeight="true" outlineLevel="0" collapsed="false">
      <c r="A274" s="113"/>
      <c r="B274" s="114"/>
      <c r="C274" s="109"/>
      <c r="D274" s="109"/>
      <c r="E274" s="109"/>
      <c r="F274" s="109"/>
      <c r="G274" s="109"/>
      <c r="H274" s="109"/>
      <c r="I274" s="109"/>
      <c r="J274" s="107"/>
      <c r="K274" s="107"/>
      <c r="L274" s="107"/>
      <c r="M274" s="107"/>
      <c r="N274" s="107"/>
      <c r="O274" s="107"/>
    </row>
    <row r="275" customFormat="false" ht="15" hidden="true" customHeight="true" outlineLevel="0" collapsed="false">
      <c r="A275" s="113"/>
      <c r="B275" s="114"/>
      <c r="C275" s="109"/>
      <c r="D275" s="109"/>
      <c r="E275" s="109"/>
      <c r="F275" s="109"/>
      <c r="G275" s="109"/>
      <c r="H275" s="109"/>
      <c r="I275" s="109"/>
      <c r="J275" s="107"/>
      <c r="K275" s="107"/>
      <c r="L275" s="107"/>
      <c r="M275" s="107"/>
      <c r="N275" s="107"/>
      <c r="O275" s="107"/>
    </row>
    <row r="276" customFormat="false" ht="15" hidden="true" customHeight="true" outlineLevel="0" collapsed="false">
      <c r="A276" s="113"/>
      <c r="B276" s="114"/>
      <c r="C276" s="109"/>
      <c r="D276" s="109"/>
      <c r="E276" s="109"/>
      <c r="F276" s="109"/>
      <c r="G276" s="109"/>
      <c r="H276" s="109"/>
      <c r="I276" s="109"/>
      <c r="J276" s="107"/>
      <c r="K276" s="107"/>
      <c r="L276" s="107"/>
      <c r="M276" s="107"/>
      <c r="N276" s="107"/>
      <c r="O276" s="107"/>
    </row>
    <row r="277" customFormat="false" ht="15" hidden="true" customHeight="true" outlineLevel="0" collapsed="false">
      <c r="A277" s="113"/>
      <c r="B277" s="114"/>
      <c r="C277" s="109"/>
      <c r="D277" s="109"/>
      <c r="E277" s="109"/>
      <c r="F277" s="109"/>
      <c r="G277" s="109"/>
      <c r="H277" s="109"/>
      <c r="I277" s="109"/>
      <c r="J277" s="107"/>
      <c r="K277" s="107"/>
      <c r="L277" s="107"/>
      <c r="M277" s="107"/>
      <c r="N277" s="107"/>
      <c r="O277" s="107"/>
    </row>
    <row r="278" customFormat="false" ht="15" hidden="true" customHeight="true" outlineLevel="0" collapsed="false">
      <c r="A278" s="113"/>
      <c r="B278" s="114"/>
      <c r="C278" s="109"/>
      <c r="D278" s="109"/>
      <c r="E278" s="109"/>
      <c r="F278" s="109"/>
      <c r="G278" s="109"/>
      <c r="H278" s="109"/>
      <c r="I278" s="109"/>
      <c r="J278" s="107"/>
      <c r="K278" s="107"/>
      <c r="L278" s="107"/>
      <c r="M278" s="107"/>
      <c r="N278" s="107"/>
      <c r="O278" s="107"/>
    </row>
    <row r="279" customFormat="false" ht="15" hidden="true" customHeight="true" outlineLevel="0" collapsed="false">
      <c r="A279" s="113"/>
      <c r="B279" s="114"/>
      <c r="C279" s="109"/>
      <c r="D279" s="109"/>
      <c r="E279" s="109"/>
      <c r="F279" s="109"/>
      <c r="G279" s="109"/>
      <c r="H279" s="109"/>
      <c r="I279" s="109"/>
      <c r="J279" s="107"/>
      <c r="K279" s="107"/>
      <c r="L279" s="107"/>
      <c r="M279" s="107"/>
      <c r="N279" s="107"/>
      <c r="O279" s="107"/>
    </row>
    <row r="280" customFormat="false" ht="15" hidden="true" customHeight="true" outlineLevel="0" collapsed="false">
      <c r="A280" s="113"/>
      <c r="B280" s="114"/>
      <c r="C280" s="109"/>
      <c r="D280" s="109"/>
      <c r="E280" s="109"/>
      <c r="F280" s="109"/>
      <c r="G280" s="109"/>
      <c r="H280" s="109"/>
      <c r="I280" s="109"/>
      <c r="J280" s="107"/>
      <c r="K280" s="107"/>
      <c r="L280" s="107"/>
      <c r="M280" s="107"/>
      <c r="N280" s="107"/>
      <c r="O280" s="107"/>
    </row>
    <row r="281" customFormat="false" ht="15" hidden="true" customHeight="true" outlineLevel="0" collapsed="false">
      <c r="A281" s="113"/>
      <c r="B281" s="114"/>
      <c r="C281" s="109"/>
      <c r="D281" s="109"/>
      <c r="E281" s="109"/>
      <c r="F281" s="109"/>
      <c r="G281" s="109"/>
      <c r="H281" s="109"/>
      <c r="I281" s="109"/>
      <c r="J281" s="107"/>
      <c r="K281" s="107"/>
      <c r="L281" s="107"/>
      <c r="M281" s="107"/>
      <c r="N281" s="107"/>
      <c r="O281" s="107"/>
    </row>
    <row r="282" customFormat="false" ht="15" hidden="true" customHeight="true" outlineLevel="0" collapsed="false">
      <c r="A282" s="113"/>
      <c r="B282" s="114"/>
      <c r="C282" s="109"/>
      <c r="D282" s="109"/>
      <c r="E282" s="109"/>
      <c r="F282" s="109"/>
      <c r="G282" s="109"/>
      <c r="H282" s="109"/>
      <c r="I282" s="109"/>
      <c r="J282" s="107"/>
      <c r="K282" s="107"/>
      <c r="L282" s="107"/>
      <c r="M282" s="107"/>
      <c r="N282" s="107"/>
      <c r="O282" s="107"/>
    </row>
    <row r="283" customFormat="false" ht="15" hidden="true" customHeight="true" outlineLevel="0" collapsed="false">
      <c r="A283" s="113"/>
      <c r="B283" s="114"/>
      <c r="C283" s="109"/>
      <c r="D283" s="109"/>
      <c r="E283" s="109"/>
      <c r="F283" s="109"/>
      <c r="G283" s="109"/>
      <c r="H283" s="109"/>
      <c r="I283" s="109"/>
      <c r="J283" s="107"/>
      <c r="K283" s="107"/>
      <c r="L283" s="107"/>
      <c r="M283" s="107"/>
      <c r="N283" s="107"/>
      <c r="O283" s="107"/>
    </row>
    <row r="284" customFormat="false" ht="15" hidden="true" customHeight="true" outlineLevel="0" collapsed="false">
      <c r="A284" s="113"/>
      <c r="B284" s="114"/>
      <c r="C284" s="109"/>
      <c r="D284" s="109"/>
      <c r="E284" s="109"/>
      <c r="F284" s="109"/>
      <c r="G284" s="109"/>
      <c r="H284" s="109"/>
      <c r="I284" s="109"/>
      <c r="J284" s="107"/>
      <c r="K284" s="107"/>
      <c r="L284" s="107"/>
      <c r="M284" s="107"/>
      <c r="N284" s="107"/>
      <c r="O284" s="107"/>
    </row>
    <row r="285" customFormat="false" ht="15" hidden="true" customHeight="true" outlineLevel="0" collapsed="false">
      <c r="A285" s="113"/>
      <c r="B285" s="114"/>
      <c r="C285" s="109"/>
      <c r="D285" s="109"/>
      <c r="E285" s="109"/>
      <c r="F285" s="109"/>
      <c r="G285" s="109"/>
      <c r="H285" s="109"/>
      <c r="I285" s="109"/>
      <c r="J285" s="107"/>
      <c r="K285" s="107"/>
      <c r="L285" s="107"/>
      <c r="M285" s="107"/>
      <c r="N285" s="107"/>
      <c r="O285" s="107"/>
    </row>
    <row r="286" customFormat="false" ht="15" hidden="true" customHeight="true" outlineLevel="0" collapsed="false">
      <c r="A286" s="113"/>
      <c r="B286" s="114"/>
      <c r="C286" s="109"/>
      <c r="D286" s="109"/>
      <c r="E286" s="109"/>
      <c r="F286" s="109"/>
      <c r="G286" s="109"/>
      <c r="H286" s="109"/>
      <c r="I286" s="109"/>
      <c r="J286" s="107"/>
      <c r="K286" s="107"/>
      <c r="L286" s="107"/>
      <c r="M286" s="107"/>
      <c r="N286" s="107"/>
      <c r="O286" s="107"/>
    </row>
    <row r="287" customFormat="false" ht="15" hidden="true" customHeight="true" outlineLevel="0" collapsed="false">
      <c r="A287" s="113"/>
      <c r="B287" s="114"/>
      <c r="C287" s="109"/>
      <c r="D287" s="109"/>
      <c r="E287" s="109"/>
      <c r="F287" s="109"/>
      <c r="G287" s="109"/>
      <c r="H287" s="109"/>
      <c r="I287" s="109"/>
      <c r="J287" s="107"/>
      <c r="K287" s="107"/>
      <c r="L287" s="107"/>
      <c r="M287" s="107"/>
      <c r="N287" s="107"/>
      <c r="O287" s="107"/>
    </row>
    <row r="288" customFormat="false" ht="15" hidden="true" customHeight="true" outlineLevel="0" collapsed="false">
      <c r="A288" s="113"/>
      <c r="B288" s="114"/>
      <c r="C288" s="109"/>
      <c r="D288" s="109"/>
      <c r="E288" s="109"/>
      <c r="F288" s="109"/>
      <c r="G288" s="109"/>
      <c r="H288" s="109"/>
      <c r="I288" s="109"/>
      <c r="J288" s="107"/>
      <c r="K288" s="107"/>
      <c r="L288" s="107"/>
      <c r="M288" s="107"/>
      <c r="N288" s="107"/>
      <c r="O288" s="107"/>
    </row>
    <row r="289" customFormat="false" ht="15" hidden="true" customHeight="true" outlineLevel="0" collapsed="false">
      <c r="A289" s="113"/>
      <c r="B289" s="114"/>
      <c r="C289" s="109"/>
      <c r="D289" s="109"/>
      <c r="E289" s="109"/>
      <c r="F289" s="109"/>
      <c r="G289" s="109"/>
      <c r="H289" s="109"/>
      <c r="I289" s="109"/>
      <c r="J289" s="107"/>
      <c r="K289" s="107"/>
      <c r="L289" s="107"/>
      <c r="M289" s="107"/>
      <c r="N289" s="107"/>
      <c r="O289" s="107"/>
    </row>
    <row r="290" customFormat="false" ht="15" hidden="true" customHeight="true" outlineLevel="0" collapsed="false">
      <c r="A290" s="113"/>
      <c r="B290" s="114"/>
      <c r="C290" s="109"/>
      <c r="D290" s="109"/>
      <c r="E290" s="109"/>
      <c r="F290" s="109"/>
      <c r="G290" s="109"/>
      <c r="H290" s="109"/>
      <c r="I290" s="109"/>
      <c r="J290" s="107"/>
      <c r="K290" s="107"/>
      <c r="L290" s="107"/>
      <c r="M290" s="107"/>
      <c r="N290" s="107"/>
      <c r="O290" s="107"/>
    </row>
    <row r="291" customFormat="false" ht="15" hidden="true" customHeight="true" outlineLevel="0" collapsed="false">
      <c r="A291" s="113"/>
      <c r="B291" s="114"/>
      <c r="C291" s="109"/>
      <c r="D291" s="109"/>
      <c r="E291" s="109"/>
      <c r="F291" s="109"/>
      <c r="G291" s="109"/>
      <c r="H291" s="109"/>
      <c r="I291" s="109"/>
      <c r="J291" s="107"/>
      <c r="K291" s="107"/>
      <c r="L291" s="107"/>
      <c r="M291" s="107"/>
      <c r="N291" s="107"/>
      <c r="O291" s="107"/>
    </row>
    <row r="292" customFormat="false" ht="15" hidden="true" customHeight="true" outlineLevel="0" collapsed="false">
      <c r="A292" s="113"/>
      <c r="B292" s="114"/>
      <c r="C292" s="109"/>
      <c r="D292" s="109"/>
      <c r="E292" s="109"/>
      <c r="F292" s="109"/>
      <c r="G292" s="109"/>
      <c r="H292" s="109"/>
      <c r="I292" s="109"/>
      <c r="J292" s="107"/>
      <c r="K292" s="107"/>
      <c r="L292" s="107"/>
      <c r="M292" s="107"/>
      <c r="N292" s="107"/>
      <c r="O292" s="107"/>
    </row>
    <row r="293" customFormat="false" ht="15" hidden="true" customHeight="true" outlineLevel="0" collapsed="false">
      <c r="A293" s="113"/>
      <c r="B293" s="114"/>
      <c r="C293" s="109"/>
      <c r="D293" s="109"/>
      <c r="E293" s="109"/>
      <c r="F293" s="109"/>
      <c r="G293" s="109"/>
      <c r="H293" s="109"/>
      <c r="I293" s="109"/>
      <c r="J293" s="107"/>
      <c r="K293" s="107"/>
      <c r="L293" s="107"/>
      <c r="M293" s="107"/>
      <c r="N293" s="107"/>
      <c r="O293" s="107"/>
    </row>
    <row r="294" customFormat="false" ht="15" hidden="true" customHeight="true" outlineLevel="0" collapsed="false">
      <c r="A294" s="113"/>
      <c r="B294" s="114"/>
      <c r="C294" s="109"/>
      <c r="D294" s="109"/>
      <c r="E294" s="109"/>
      <c r="F294" s="109"/>
      <c r="G294" s="109"/>
      <c r="H294" s="109"/>
      <c r="I294" s="109"/>
      <c r="J294" s="107"/>
      <c r="K294" s="107"/>
      <c r="L294" s="107"/>
      <c r="M294" s="107"/>
      <c r="N294" s="107"/>
      <c r="O294" s="107"/>
    </row>
    <row r="295" customFormat="false" ht="15" hidden="true" customHeight="true" outlineLevel="0" collapsed="false">
      <c r="A295" s="113"/>
      <c r="B295" s="114"/>
      <c r="C295" s="109"/>
      <c r="D295" s="109"/>
      <c r="E295" s="109"/>
      <c r="F295" s="109"/>
      <c r="G295" s="109"/>
      <c r="H295" s="109"/>
      <c r="I295" s="109"/>
      <c r="J295" s="107"/>
      <c r="K295" s="107"/>
      <c r="L295" s="107"/>
      <c r="M295" s="107"/>
      <c r="N295" s="107"/>
      <c r="O295" s="107"/>
    </row>
    <row r="296" customFormat="false" ht="15" hidden="true" customHeight="true" outlineLevel="0" collapsed="false">
      <c r="A296" s="113"/>
      <c r="B296" s="114"/>
      <c r="C296" s="109"/>
      <c r="D296" s="109"/>
      <c r="E296" s="109"/>
      <c r="F296" s="109"/>
      <c r="G296" s="109"/>
      <c r="H296" s="109"/>
      <c r="I296" s="109"/>
      <c r="J296" s="107"/>
      <c r="K296" s="107"/>
      <c r="L296" s="107"/>
      <c r="M296" s="107"/>
      <c r="N296" s="107"/>
      <c r="O296" s="107"/>
    </row>
    <row r="297" customFormat="false" ht="15" hidden="true" customHeight="true" outlineLevel="0" collapsed="false">
      <c r="A297" s="113"/>
      <c r="B297" s="114"/>
      <c r="C297" s="109"/>
      <c r="D297" s="109"/>
      <c r="E297" s="109"/>
      <c r="F297" s="109"/>
      <c r="G297" s="109"/>
      <c r="H297" s="109"/>
      <c r="I297" s="109"/>
      <c r="J297" s="107"/>
      <c r="K297" s="107"/>
      <c r="L297" s="107"/>
      <c r="M297" s="107"/>
      <c r="N297" s="107"/>
      <c r="O297" s="107"/>
    </row>
    <row r="298" customFormat="false" ht="15" hidden="true" customHeight="true" outlineLevel="0" collapsed="false">
      <c r="A298" s="113"/>
      <c r="B298" s="114"/>
      <c r="C298" s="109"/>
      <c r="D298" s="109"/>
      <c r="E298" s="109"/>
      <c r="F298" s="109"/>
      <c r="G298" s="109"/>
      <c r="H298" s="109"/>
      <c r="I298" s="109"/>
      <c r="J298" s="107"/>
      <c r="K298" s="107"/>
      <c r="L298" s="107"/>
      <c r="M298" s="107"/>
      <c r="N298" s="107"/>
      <c r="O298" s="107"/>
    </row>
    <row r="299" customFormat="false" ht="15" hidden="true" customHeight="true" outlineLevel="0" collapsed="false">
      <c r="A299" s="113"/>
      <c r="B299" s="114"/>
      <c r="C299" s="109"/>
      <c r="D299" s="109"/>
      <c r="E299" s="109"/>
      <c r="F299" s="109"/>
      <c r="G299" s="109"/>
      <c r="H299" s="109"/>
      <c r="I299" s="109"/>
      <c r="J299" s="107"/>
      <c r="K299" s="107"/>
      <c r="L299" s="107"/>
      <c r="M299" s="107"/>
      <c r="N299" s="107"/>
      <c r="O299" s="107"/>
    </row>
    <row r="300" customFormat="false" ht="15" hidden="true" customHeight="true" outlineLevel="0" collapsed="false">
      <c r="A300" s="113"/>
      <c r="B300" s="114"/>
      <c r="C300" s="109"/>
      <c r="D300" s="109"/>
      <c r="E300" s="109"/>
      <c r="F300" s="109"/>
      <c r="G300" s="109"/>
      <c r="H300" s="109"/>
      <c r="I300" s="109"/>
      <c r="J300" s="107"/>
      <c r="K300" s="107"/>
      <c r="L300" s="107"/>
      <c r="M300" s="107"/>
      <c r="N300" s="107"/>
      <c r="O300" s="107"/>
    </row>
    <row r="301" customFormat="false" ht="15" hidden="true" customHeight="true" outlineLevel="0" collapsed="false">
      <c r="A301" s="113"/>
      <c r="B301" s="114"/>
      <c r="C301" s="109"/>
      <c r="D301" s="109"/>
      <c r="E301" s="109"/>
      <c r="F301" s="109"/>
      <c r="G301" s="109"/>
      <c r="H301" s="109"/>
      <c r="I301" s="109"/>
      <c r="J301" s="107"/>
      <c r="K301" s="107"/>
      <c r="L301" s="107"/>
      <c r="M301" s="107"/>
      <c r="N301" s="107"/>
      <c r="O301" s="107"/>
    </row>
    <row r="302" customFormat="false" ht="15" hidden="true" customHeight="true" outlineLevel="0" collapsed="false">
      <c r="A302" s="113"/>
      <c r="B302" s="114"/>
      <c r="C302" s="109"/>
      <c r="D302" s="109"/>
      <c r="E302" s="109"/>
      <c r="F302" s="109"/>
      <c r="G302" s="109"/>
      <c r="H302" s="109"/>
      <c r="I302" s="109"/>
      <c r="J302" s="107"/>
      <c r="K302" s="107"/>
      <c r="L302" s="107"/>
      <c r="M302" s="107"/>
      <c r="N302" s="107"/>
      <c r="O302" s="107"/>
    </row>
    <row r="303" customFormat="false" ht="15" hidden="true" customHeight="true" outlineLevel="0" collapsed="false">
      <c r="A303" s="113"/>
      <c r="B303" s="114"/>
      <c r="C303" s="109"/>
      <c r="D303" s="109"/>
      <c r="E303" s="109"/>
      <c r="F303" s="109"/>
      <c r="G303" s="109"/>
      <c r="H303" s="109"/>
      <c r="I303" s="109"/>
      <c r="J303" s="107"/>
      <c r="K303" s="107"/>
      <c r="L303" s="107"/>
      <c r="M303" s="107"/>
      <c r="N303" s="107"/>
      <c r="O303" s="107"/>
    </row>
    <row r="304" customFormat="false" ht="15" hidden="true" customHeight="true" outlineLevel="0" collapsed="false">
      <c r="A304" s="113"/>
      <c r="B304" s="114"/>
      <c r="C304" s="109"/>
      <c r="D304" s="109"/>
      <c r="E304" s="109"/>
      <c r="F304" s="109"/>
      <c r="G304" s="109"/>
      <c r="H304" s="109"/>
      <c r="I304" s="109"/>
      <c r="J304" s="107"/>
      <c r="K304" s="107"/>
      <c r="L304" s="107"/>
      <c r="M304" s="107"/>
      <c r="N304" s="107"/>
      <c r="O304" s="107"/>
    </row>
    <row r="305" customFormat="false" ht="15" hidden="true" customHeight="true" outlineLevel="0" collapsed="false">
      <c r="A305" s="113"/>
      <c r="B305" s="114"/>
      <c r="C305" s="109"/>
      <c r="D305" s="109"/>
      <c r="E305" s="109"/>
      <c r="F305" s="109"/>
      <c r="G305" s="109"/>
      <c r="H305" s="109"/>
      <c r="I305" s="109"/>
      <c r="J305" s="107"/>
      <c r="K305" s="107"/>
      <c r="L305" s="107"/>
      <c r="M305" s="107"/>
      <c r="N305" s="107"/>
      <c r="O305" s="107"/>
    </row>
    <row r="306" customFormat="false" ht="15" hidden="true" customHeight="true" outlineLevel="0" collapsed="false"/>
    <row r="307" customFormat="false" ht="15" hidden="true" customHeight="true" outlineLevel="0" collapsed="false"/>
    <row r="308" customFormat="false" ht="15" hidden="true" customHeight="true" outlineLevel="0" collapsed="false"/>
    <row r="309" customFormat="false" ht="15" hidden="true" customHeight="true" outlineLevel="0" collapsed="false"/>
    <row r="310" customFormat="false" ht="15" hidden="true" customHeight="true" outlineLevel="0" collapsed="false"/>
    <row r="311" customFormat="false" ht="15" hidden="true" customHeight="true" outlineLevel="0" collapsed="false"/>
    <row r="312" customFormat="false" ht="15" hidden="true" customHeight="true" outlineLevel="0" collapsed="false"/>
    <row r="313" customFormat="false" ht="15" hidden="true" customHeight="true" outlineLevel="0" collapsed="false"/>
    <row r="314" customFormat="false" ht="15" hidden="true" customHeight="true" outlineLevel="0" collapsed="false"/>
    <row r="315" customFormat="false" ht="15" hidden="true" customHeight="true" outlineLevel="0" collapsed="false"/>
    <row r="316" customFormat="false" ht="15" hidden="true" customHeight="true" outlineLevel="0" collapsed="false"/>
    <row r="317" customFormat="false" ht="15" hidden="true" customHeight="true" outlineLevel="0" collapsed="false"/>
    <row r="318" customFormat="false" ht="15" hidden="true" customHeight="true" outlineLevel="0" collapsed="false"/>
    <row r="319" customFormat="false" ht="15" hidden="true" customHeight="true" outlineLevel="0" collapsed="false"/>
    <row r="320" customFormat="false" ht="15" hidden="true" customHeight="true" outlineLevel="0" collapsed="false"/>
    <row r="321" customFormat="false" ht="15" hidden="true" customHeight="true" outlineLevel="0" collapsed="false"/>
    <row r="322" customFormat="false" ht="15" hidden="true" customHeight="true" outlineLevel="0" collapsed="false"/>
    <row r="323" customFormat="false" ht="15" hidden="true" customHeight="true" outlineLevel="0" collapsed="false"/>
    <row r="324" customFormat="false" ht="15" hidden="true" customHeight="true" outlineLevel="0" collapsed="false"/>
    <row r="325" customFormat="false" ht="15" hidden="true" customHeight="true" outlineLevel="0" collapsed="false"/>
    <row r="326" customFormat="false" ht="15" hidden="true" customHeight="true" outlineLevel="0" collapsed="false"/>
    <row r="327" customFormat="false" ht="15" hidden="true" customHeight="true" outlineLevel="0" collapsed="false"/>
    <row r="328" customFormat="false" ht="15" hidden="true" customHeight="true" outlineLevel="0" collapsed="false"/>
    <row r="329" customFormat="false" ht="15" hidden="true" customHeight="true" outlineLevel="0" collapsed="false"/>
    <row r="330" customFormat="false" ht="15" hidden="true" customHeight="true" outlineLevel="0" collapsed="false"/>
    <row r="331" customFormat="false" ht="15" hidden="true" customHeight="true" outlineLevel="0" collapsed="false"/>
    <row r="332" customFormat="false" ht="15" hidden="true" customHeight="true" outlineLevel="0" collapsed="false"/>
    <row r="333" customFormat="false" ht="15" hidden="true" customHeight="true" outlineLevel="0" collapsed="false"/>
    <row r="334" customFormat="false" ht="15" hidden="true" customHeight="true" outlineLevel="0" collapsed="false"/>
    <row r="335" customFormat="false" ht="15" hidden="true" customHeight="true" outlineLevel="0" collapsed="false"/>
    <row r="336" customFormat="false" ht="15" hidden="true" customHeight="true" outlineLevel="0" collapsed="false"/>
    <row r="337" customFormat="false" ht="15" hidden="true" customHeight="true" outlineLevel="0" collapsed="false"/>
    <row r="338" customFormat="false" ht="15" hidden="true" customHeight="true" outlineLevel="0" collapsed="false"/>
    <row r="339" customFormat="false" ht="15" hidden="true" customHeight="true" outlineLevel="0" collapsed="false"/>
    <row r="340" customFormat="false" ht="15" hidden="true" customHeight="true" outlineLevel="0" collapsed="false"/>
    <row r="341" customFormat="false" ht="15" hidden="true" customHeight="true" outlineLevel="0" collapsed="false"/>
    <row r="342" customFormat="false" ht="15" hidden="true" customHeight="true" outlineLevel="0" collapsed="false"/>
    <row r="343" customFormat="false" ht="15" hidden="true" customHeight="true" outlineLevel="0" collapsed="false"/>
    <row r="344" customFormat="false" ht="15" hidden="true" customHeight="true" outlineLevel="0" collapsed="false"/>
    <row r="345" customFormat="false" ht="15" hidden="true" customHeight="true" outlineLevel="0" collapsed="false"/>
    <row r="346" customFormat="false" ht="15" hidden="true" customHeight="true" outlineLevel="0" collapsed="false"/>
    <row r="347" customFormat="false" ht="15" hidden="true" customHeight="true" outlineLevel="0" collapsed="false"/>
    <row r="348" customFormat="false" ht="15" hidden="true" customHeight="true" outlineLevel="0" collapsed="false"/>
    <row r="349" customFormat="false" ht="15" hidden="true" customHeight="true" outlineLevel="0" collapsed="false"/>
    <row r="350" customFormat="false" ht="15" hidden="true" customHeight="true" outlineLevel="0" collapsed="false"/>
    <row r="351" customFormat="false" ht="15" hidden="true" customHeight="true" outlineLevel="0" collapsed="false"/>
    <row r="352" customFormat="false" ht="15" hidden="true" customHeight="true" outlineLevel="0" collapsed="false"/>
    <row r="353" customFormat="false" ht="15" hidden="true" customHeight="true" outlineLevel="0" collapsed="false"/>
    <row r="354" customFormat="false" ht="15" hidden="true" customHeight="true" outlineLevel="0" collapsed="false"/>
    <row r="355" customFormat="false" ht="15" hidden="true" customHeight="true" outlineLevel="0" collapsed="false"/>
    <row r="356" customFormat="false" ht="15" hidden="true" customHeight="true" outlineLevel="0" collapsed="false"/>
    <row r="357" customFormat="false" ht="15" hidden="true" customHeight="true" outlineLevel="0" collapsed="false"/>
    <row r="358" customFormat="false" ht="15" hidden="true" customHeight="true" outlineLevel="0" collapsed="false"/>
    <row r="359" customFormat="false" ht="15" hidden="true" customHeight="true" outlineLevel="0" collapsed="false"/>
    <row r="360" customFormat="false" ht="15" hidden="true" customHeight="true" outlineLevel="0" collapsed="false"/>
    <row r="361" customFormat="false" ht="15" hidden="true" customHeight="true" outlineLevel="0" collapsed="false"/>
    <row r="362" customFormat="false" ht="15" hidden="true" customHeight="true" outlineLevel="0" collapsed="false"/>
    <row r="363" customFormat="false" ht="15" hidden="true" customHeight="true" outlineLevel="0" collapsed="false"/>
    <row r="364" customFormat="false" ht="15" hidden="true" customHeight="true" outlineLevel="0" collapsed="false"/>
    <row r="365" customFormat="false" ht="15" hidden="true" customHeight="true" outlineLevel="0" collapsed="false"/>
    <row r="366" customFormat="false" ht="15" hidden="true" customHeight="true" outlineLevel="0" collapsed="false"/>
    <row r="367" customFormat="false" ht="15" hidden="true" customHeight="true" outlineLevel="0" collapsed="false"/>
    <row r="368" customFormat="false" ht="15" hidden="true" customHeight="true" outlineLevel="0" collapsed="false"/>
    <row r="369" customFormat="false" ht="15" hidden="true" customHeight="true" outlineLevel="0" collapsed="false"/>
    <row r="370" customFormat="false" ht="15" hidden="true" customHeight="true" outlineLevel="0" collapsed="false"/>
    <row r="371" customFormat="false" ht="15" hidden="true" customHeight="true" outlineLevel="0" collapsed="false"/>
    <row r="372" customFormat="false" ht="15" hidden="true" customHeight="true" outlineLevel="0" collapsed="false"/>
    <row r="373" customFormat="false" ht="15" hidden="true" customHeight="true" outlineLevel="0" collapsed="false"/>
    <row r="374" customFormat="false" ht="15" hidden="true" customHeight="true" outlineLevel="0" collapsed="false"/>
    <row r="375" customFormat="false" ht="15" hidden="true" customHeight="true" outlineLevel="0" collapsed="false"/>
    <row r="376" customFormat="false" ht="15" hidden="true" customHeight="true" outlineLevel="0" collapsed="false"/>
    <row r="377" customFormat="false" ht="15" hidden="true" customHeight="true" outlineLevel="0" collapsed="false"/>
    <row r="378" customFormat="false" ht="15" hidden="true" customHeight="true" outlineLevel="0" collapsed="false"/>
    <row r="379" customFormat="false" ht="15" hidden="true" customHeight="true" outlineLevel="0" collapsed="false"/>
    <row r="380" customFormat="false" ht="15" hidden="true" customHeight="true" outlineLevel="0" collapsed="false"/>
    <row r="381" customFormat="false" ht="15" hidden="true" customHeight="true" outlineLevel="0" collapsed="false"/>
    <row r="382" customFormat="false" ht="15" hidden="true" customHeight="true" outlineLevel="0" collapsed="false"/>
    <row r="383" customFormat="false" ht="15" hidden="true" customHeight="true" outlineLevel="0" collapsed="false"/>
    <row r="384" customFormat="false" ht="15" hidden="true" customHeight="true" outlineLevel="0" collapsed="false"/>
    <row r="385" customFormat="false" ht="15" hidden="true" customHeight="true" outlineLevel="0" collapsed="false"/>
    <row r="386" customFormat="false" ht="15" hidden="true" customHeight="true" outlineLevel="0" collapsed="false"/>
    <row r="387" customFormat="false" ht="15" hidden="true" customHeight="true" outlineLevel="0" collapsed="false"/>
    <row r="388" customFormat="false" ht="15" hidden="true" customHeight="true" outlineLevel="0" collapsed="false"/>
    <row r="389" customFormat="false" ht="15" hidden="true" customHeight="true" outlineLevel="0" collapsed="false"/>
    <row r="390" customFormat="false" ht="15" hidden="true" customHeight="true" outlineLevel="0" collapsed="false"/>
    <row r="391" customFormat="false" ht="15" hidden="true" customHeight="true" outlineLevel="0" collapsed="false"/>
    <row r="392" customFormat="false" ht="15" hidden="true" customHeight="true" outlineLevel="0" collapsed="false"/>
    <row r="393" customFormat="false" ht="15" hidden="true" customHeight="true" outlineLevel="0" collapsed="false"/>
    <row r="394" customFormat="false" ht="15" hidden="true" customHeight="true" outlineLevel="0" collapsed="false"/>
    <row r="395" customFormat="false" ht="15" hidden="true" customHeight="true" outlineLevel="0" collapsed="false"/>
    <row r="396" customFormat="false" ht="15" hidden="true" customHeight="true" outlineLevel="0" collapsed="false"/>
    <row r="397" customFormat="false" ht="15" hidden="true" customHeight="true" outlineLevel="0" collapsed="false"/>
    <row r="398" customFormat="false" ht="15" hidden="true" customHeight="true" outlineLevel="0" collapsed="false"/>
    <row r="399" customFormat="false" ht="15" hidden="true" customHeight="true" outlineLevel="0" collapsed="false">
      <c r="A399" s="0" t="s">
        <v>155</v>
      </c>
    </row>
    <row r="400" customFormat="false" ht="15" hidden="true" customHeight="true" outlineLevel="0" collapsed="false">
      <c r="A400" s="0" t="str">
        <f aca="false">IF('Formation Initiale'!$A2="","",'Formation Initiale'!$A2)</f>
        <v>TR129</v>
      </c>
      <c r="B400" s="0" t="str">
        <f aca="false">IF($A400="","",'Formation Initiale'!$E2)</f>
        <v>Haxil Dellhaven</v>
      </c>
      <c r="C400" s="0" t="str">
        <f aca="false">IF($A400="","",'Formation Initiale'!$F2)</f>
        <v>Lisbonne</v>
      </c>
      <c r="D400" s="0" t="str">
        <f aca="false">IF($A400="","",IF('Formation Initiale'!$F2="Lisbonne","B2C (Initiale)","B2C+B2B (Initiale)"))</f>
        <v>B2C (Initiale)</v>
      </c>
      <c r="E400" s="0" t="str">
        <f aca="false">IF($A400="","",'Formation Initiale'!$B2)</f>
        <v>OS1</v>
      </c>
      <c r="F400" s="116" t="n">
        <f aca="false">IF($A400="","",'Formation Initiale'!$G2)</f>
        <v>46006</v>
      </c>
      <c r="G400" s="116" t="n">
        <f aca="false">IF($A400="","",'Formation Initiale'!$H2)</f>
        <v>46017</v>
      </c>
      <c r="H400" s="104" t="n">
        <f aca="false">IF($A400="","",'Formation Initiale'!$L2)</f>
        <v>0</v>
      </c>
      <c r="I400" s="0" t="str">
        <f aca="false">IF($A400="","",'Formation Initiale'!$R2)</f>
        <v>Terminé</v>
      </c>
      <c r="K400" s="104" t="n">
        <f aca="false">IF(A400="",0,IF(IFERROR(VLOOKUP(A400,Skills!$A:$M,13,FALSE()),"")="COS",0,IF(OR(I400="En cours",I400="À venir",I400="À planifier"),IF(AND(OR($C$3="Tous",$C$3="",C400=$C$3),OR($E$3="Tous",$E$3="",I400=$E$3)),1,0),0)))</f>
        <v>0</v>
      </c>
      <c r="L400" s="104" t="n">
        <f aca="false">K400</f>
        <v>0</v>
      </c>
    </row>
    <row r="401" customFormat="false" ht="15" hidden="true" customHeight="true" outlineLevel="0" collapsed="false">
      <c r="A401" s="0" t="str">
        <f aca="false">IF('Formation Initiale'!$A3="","",'Formation Initiale'!$A3)</f>
        <v>TR099</v>
      </c>
      <c r="B401" s="0" t="str">
        <f aca="false">IF($A401="","",'Formation Initiale'!$E3)</f>
        <v>Haxay Corrfield Dellstone</v>
      </c>
      <c r="C401" s="0" t="str">
        <f aca="false">IF($A401="","",'Formation Initiale'!$F3)</f>
        <v>Lisbonne</v>
      </c>
      <c r="D401" s="0" t="str">
        <f aca="false">IF($A401="","",IF('Formation Initiale'!$F3="Lisbonne","B2C (Initiale)","B2C+B2B (Initiale)"))</f>
        <v>B2C (Initiale)</v>
      </c>
      <c r="E401" s="0" t="str">
        <f aca="false">IF($A401="","",'Formation Initiale'!$B3)</f>
        <v>OS1</v>
      </c>
      <c r="F401" s="116" t="n">
        <f aca="false">IF($A401="","",'Formation Initiale'!$G3)</f>
        <v>46006</v>
      </c>
      <c r="G401" s="116" t="n">
        <f aca="false">IF($A401="","",'Formation Initiale'!$H3)</f>
        <v>46017</v>
      </c>
      <c r="H401" s="104" t="n">
        <f aca="false">IF($A401="","",'Formation Initiale'!$L3)</f>
        <v>0</v>
      </c>
      <c r="I401" s="0" t="str">
        <f aca="false">IF($A401="","",'Formation Initiale'!$R3)</f>
        <v>Terminé</v>
      </c>
      <c r="K401" s="104" t="n">
        <f aca="false">IF(A401="",0,IF(IFERROR(VLOOKUP(A401,Skills!$A:$M,13,FALSE()),"")="COS",0,IF(OR(I401="En cours",I401="À venir",I401="À planifier"),IF(AND(OR($C$3="Tous",$C$3="",C401=$C$3),OR($E$3="Tous",$E$3="",I401=$E$3)),1,0),0)))</f>
        <v>0</v>
      </c>
      <c r="L401" s="104" t="n">
        <f aca="false">L400+K401</f>
        <v>0</v>
      </c>
    </row>
    <row r="402" customFormat="false" ht="15" hidden="true" customHeight="true" outlineLevel="0" collapsed="false">
      <c r="A402" s="0" t="str">
        <f aca="false">IF('Formation Initiale'!$A4="","",'Formation Initiale'!$A4)</f>
        <v>TR021</v>
      </c>
      <c r="B402" s="0" t="str">
        <f aca="false">IF($A402="","",'Formation Initiale'!$E4)</f>
        <v>Nevus Kelir</v>
      </c>
      <c r="C402" s="0" t="str">
        <f aca="false">IF($A402="","",'Formation Initiale'!$F4)</f>
        <v>Lisbonne</v>
      </c>
      <c r="D402" s="0" t="str">
        <f aca="false">IF($A402="","",IF('Formation Initiale'!$F4="Lisbonne","B2C (Initiale)","B2C+B2B (Initiale)"))</f>
        <v>B2C (Initiale)</v>
      </c>
      <c r="E402" s="0" t="str">
        <f aca="false">IF($A402="","",'Formation Initiale'!$B4)</f>
        <v>OS1</v>
      </c>
      <c r="F402" s="116" t="n">
        <f aca="false">IF($A402="","",'Formation Initiale'!$G4)</f>
        <v>46006</v>
      </c>
      <c r="G402" s="116" t="n">
        <f aca="false">IF($A402="","",'Formation Initiale'!$H4)</f>
        <v>46017</v>
      </c>
      <c r="H402" s="104" t="n">
        <f aca="false">IF($A402="","",'Formation Initiale'!$L4)</f>
        <v>0</v>
      </c>
      <c r="I402" s="0" t="str">
        <f aca="false">IF($A402="","",'Formation Initiale'!$R4)</f>
        <v>Terminé</v>
      </c>
      <c r="K402" s="104" t="n">
        <f aca="false">IF(A402="",0,IF(IFERROR(VLOOKUP(A402,Skills!$A:$M,13,FALSE()),"")="COS",0,IF(OR(I402="En cours",I402="À venir",I402="À planifier"),IF(AND(OR($C$3="Tous",$C$3="",C402=$C$3),OR($E$3="Tous",$E$3="",I402=$E$3)),1,0),0)))</f>
        <v>0</v>
      </c>
      <c r="L402" s="104" t="n">
        <f aca="false">L401+K402</f>
        <v>0</v>
      </c>
    </row>
    <row r="403" customFormat="false" ht="15" hidden="true" customHeight="true" outlineLevel="0" collapsed="false">
      <c r="A403" s="0" t="str">
        <f aca="false">IF('Formation Initiale'!$A5="","",'Formation Initiale'!$A5)</f>
        <v>TR018</v>
      </c>
      <c r="B403" s="0" t="str">
        <f aca="false">IF($A403="","",'Formation Initiale'!$E5)</f>
        <v>Granbrook Yoril Corrfield</v>
      </c>
      <c r="C403" s="0" t="str">
        <f aca="false">IF($A403="","",'Formation Initiale'!$F5)</f>
        <v>Lisbonne</v>
      </c>
      <c r="D403" s="0" t="str">
        <f aca="false">IF($A403="","",IF('Formation Initiale'!$F5="Lisbonne","B2C (Initiale)","B2C+B2B (Initiale)"))</f>
        <v>B2C (Initiale)</v>
      </c>
      <c r="E403" s="0" t="str">
        <f aca="false">IF($A403="","",'Formation Initiale'!$B5)</f>
        <v>OS1</v>
      </c>
      <c r="F403" s="116" t="n">
        <f aca="false">IF($A403="","",'Formation Initiale'!$G5)</f>
        <v>46006</v>
      </c>
      <c r="G403" s="116" t="n">
        <f aca="false">IF($A403="","",'Formation Initiale'!$H5)</f>
        <v>46017</v>
      </c>
      <c r="H403" s="104" t="n">
        <f aca="false">IF($A403="","",'Formation Initiale'!$L5)</f>
        <v>0</v>
      </c>
      <c r="I403" s="0" t="str">
        <f aca="false">IF($A403="","",'Formation Initiale'!$R5)</f>
        <v>Terminé</v>
      </c>
      <c r="K403" s="104" t="n">
        <f aca="false">IF(A403="",0,IF(IFERROR(VLOOKUP(A403,Skills!$A:$M,13,FALSE()),"")="COS",0,IF(OR(I403="En cours",I403="À venir",I403="À planifier"),IF(AND(OR($C$3="Tous",$C$3="",C403=$C$3),OR($E$3="Tous",$E$3="",I403=$E$3)),1,0),0)))</f>
        <v>0</v>
      </c>
      <c r="L403" s="104" t="n">
        <f aca="false">L402+K403</f>
        <v>0</v>
      </c>
    </row>
    <row r="404" customFormat="false" ht="15" hidden="true" customHeight="true" outlineLevel="0" collapsed="false">
      <c r="A404" s="0" t="str">
        <f aca="false">IF('Formation Initiale'!$A6="","",'Formation Initiale'!$A6)</f>
        <v>TR093</v>
      </c>
      <c r="B404" s="0" t="str">
        <f aca="false">IF($A404="","",'Formation Initiale'!$E6)</f>
        <v>Holtshaw Haxor</v>
      </c>
      <c r="C404" s="0" t="str">
        <f aca="false">IF($A404="","",'Formation Initiale'!$F6)</f>
        <v>Lisbonne</v>
      </c>
      <c r="D404" s="0" t="str">
        <f aca="false">IF($A404="","",IF('Formation Initiale'!$F6="Lisbonne","B2C (Initiale)","B2C+B2B (Initiale)"))</f>
        <v>B2C (Initiale)</v>
      </c>
      <c r="E404" s="0" t="str">
        <f aca="false">IF($A404="","",'Formation Initiale'!$B6)</f>
        <v>OS1</v>
      </c>
      <c r="F404" s="116" t="n">
        <f aca="false">IF($A404="","",'Formation Initiale'!$G6)</f>
        <v>46006</v>
      </c>
      <c r="G404" s="116" t="n">
        <f aca="false">IF($A404="","",'Formation Initiale'!$H6)</f>
        <v>46017</v>
      </c>
      <c r="H404" s="104" t="n">
        <f aca="false">IF($A404="","",'Formation Initiale'!$L6)</f>
        <v>0</v>
      </c>
      <c r="I404" s="0" t="str">
        <f aca="false">IF($A404="","",'Formation Initiale'!$R6)</f>
        <v>Terminé</v>
      </c>
      <c r="K404" s="104" t="n">
        <f aca="false">IF(A404="",0,IF(IFERROR(VLOOKUP(A404,Skills!$A:$M,13,FALSE()),"")="COS",0,IF(OR(I404="En cours",I404="À venir",I404="À planifier"),IF(AND(OR($C$3="Tous",$C$3="",C404=$C$3),OR($E$3="Tous",$E$3="",I404=$E$3)),1,0),0)))</f>
        <v>0</v>
      </c>
      <c r="L404" s="104" t="n">
        <f aca="false">L403+K404</f>
        <v>0</v>
      </c>
    </row>
    <row r="405" customFormat="false" ht="15" hidden="true" customHeight="true" outlineLevel="0" collapsed="false">
      <c r="A405" s="0" t="str">
        <f aca="false">IF('Formation Initiale'!$A7="","",'Formation Initiale'!$A7)</f>
        <v>TR100</v>
      </c>
      <c r="B405" s="0" t="str">
        <f aca="false">IF($A405="","",'Formation Initiale'!$E7)</f>
        <v>Ashdale Valedale</v>
      </c>
      <c r="C405" s="0" t="str">
        <f aca="false">IF($A405="","",'Formation Initiale'!$F7)</f>
        <v>Lisbonne</v>
      </c>
      <c r="D405" s="0" t="str">
        <f aca="false">IF($A405="","",IF('Formation Initiale'!$F7="Lisbonne","B2C (Initiale)","B2C+B2B (Initiale)"))</f>
        <v>B2C (Initiale)</v>
      </c>
      <c r="E405" s="0" t="str">
        <f aca="false">IF($A405="","",'Formation Initiale'!$B7)</f>
        <v>OS1</v>
      </c>
      <c r="F405" s="116" t="n">
        <f aca="false">IF($A405="","",'Formation Initiale'!$G7)</f>
        <v>46006</v>
      </c>
      <c r="G405" s="116" t="n">
        <f aca="false">IF($A405="","",'Formation Initiale'!$H7)</f>
        <v>46017</v>
      </c>
      <c r="H405" s="104" t="n">
        <f aca="false">IF($A405="","",'Formation Initiale'!$L7)</f>
        <v>0</v>
      </c>
      <c r="I405" s="0" t="str">
        <f aca="false">IF($A405="","",'Formation Initiale'!$R7)</f>
        <v>Terminé</v>
      </c>
      <c r="K405" s="104" t="n">
        <f aca="false">IF(A405="",0,IF(IFERROR(VLOOKUP(A405,Skills!$A:$M,13,FALSE()),"")="COS",0,IF(OR(I405="En cours",I405="À venir",I405="À planifier"),IF(AND(OR($C$3="Tous",$C$3="",C405=$C$3),OR($E$3="Tous",$E$3="",I405=$E$3)),1,0),0)))</f>
        <v>0</v>
      </c>
      <c r="L405" s="104" t="n">
        <f aca="false">L404+K405</f>
        <v>0</v>
      </c>
    </row>
    <row r="406" customFormat="false" ht="15" hidden="true" customHeight="true" outlineLevel="0" collapsed="false">
      <c r="A406" s="0" t="str">
        <f aca="false">IF('Formation Initiale'!$A8="","",'Formation Initiale'!$A8)</f>
        <v>TR051</v>
      </c>
      <c r="B406" s="0" t="str">
        <f aca="false">IF($A406="","",'Formation Initiale'!$E8)</f>
        <v>Ashcroft Pelan</v>
      </c>
      <c r="C406" s="0" t="str">
        <f aca="false">IF($A406="","",'Formation Initiale'!$F8)</f>
        <v>Lisbonne</v>
      </c>
      <c r="D406" s="0" t="str">
        <f aca="false">IF($A406="","",IF('Formation Initiale'!$F8="Lisbonne","B2C (Initiale)","B2C+B2B (Initiale)"))</f>
        <v>B2C (Initiale)</v>
      </c>
      <c r="E406" s="0" t="str">
        <f aca="false">IF($A406="","",'Formation Initiale'!$B8)</f>
        <v>OS1</v>
      </c>
      <c r="F406" s="116" t="n">
        <f aca="false">IF($A406="","",'Formation Initiale'!$G8)</f>
        <v>46006</v>
      </c>
      <c r="G406" s="116" t="n">
        <f aca="false">IF($A406="","",'Formation Initiale'!$H8)</f>
        <v>46017</v>
      </c>
      <c r="H406" s="104" t="n">
        <f aca="false">IF($A406="","",'Formation Initiale'!$L8)</f>
        <v>0</v>
      </c>
      <c r="I406" s="0" t="str">
        <f aca="false">IF($A406="","",'Formation Initiale'!$R8)</f>
        <v>Terminé</v>
      </c>
      <c r="K406" s="104" t="n">
        <f aca="false">IF(A406="",0,IF(IFERROR(VLOOKUP(A406,Skills!$A:$M,13,FALSE()),"")="COS",0,IF(OR(I406="En cours",I406="À venir",I406="À planifier"),IF(AND(OR($C$3="Tous",$C$3="",C406=$C$3),OR($E$3="Tous",$E$3="",I406=$E$3)),1,0),0)))</f>
        <v>0</v>
      </c>
      <c r="L406" s="104" t="n">
        <f aca="false">L405+K406</f>
        <v>0</v>
      </c>
    </row>
    <row r="407" customFormat="false" ht="15" hidden="true" customHeight="true" outlineLevel="0" collapsed="false">
      <c r="A407" s="0" t="str">
        <f aca="false">IF('Formation Initiale'!$A9="","",'Formation Initiale'!$A9)</f>
        <v>TR122</v>
      </c>
      <c r="B407" s="0" t="str">
        <f aca="false">IF($A407="","",'Formation Initiale'!$E9)</f>
        <v>Wrendale Wesum</v>
      </c>
      <c r="C407" s="0" t="str">
        <f aca="false">IF($A407="","",'Formation Initiale'!$F9)</f>
        <v>Lisbonne</v>
      </c>
      <c r="D407" s="0" t="str">
        <f aca="false">IF($A407="","",IF('Formation Initiale'!$F9="Lisbonne","B2C (Initiale)","B2C+B2B (Initiale)"))</f>
        <v>B2C (Initiale)</v>
      </c>
      <c r="E407" s="0" t="str">
        <f aca="false">IF($A407="","",'Formation Initiale'!$B9)</f>
        <v>OS1</v>
      </c>
      <c r="F407" s="116" t="n">
        <f aca="false">IF($A407="","",'Formation Initiale'!$G9)</f>
        <v>46006</v>
      </c>
      <c r="G407" s="116" t="n">
        <f aca="false">IF($A407="","",'Formation Initiale'!$H9)</f>
        <v>46017</v>
      </c>
      <c r="H407" s="104" t="n">
        <f aca="false">IF($A407="","",'Formation Initiale'!$L9)</f>
        <v>0</v>
      </c>
      <c r="I407" s="0" t="str">
        <f aca="false">IF($A407="","",'Formation Initiale'!$R9)</f>
        <v>Terminé</v>
      </c>
      <c r="K407" s="104" t="n">
        <f aca="false">IF(A407="",0,IF(IFERROR(VLOOKUP(A407,Skills!$A:$M,13,FALSE()),"")="COS",0,IF(OR(I407="En cours",I407="À venir",I407="À planifier"),IF(AND(OR($C$3="Tous",$C$3="",C407=$C$3),OR($E$3="Tous",$E$3="",I407=$E$3)),1,0),0)))</f>
        <v>0</v>
      </c>
      <c r="L407" s="104" t="n">
        <f aca="false">L406+K407</f>
        <v>0</v>
      </c>
    </row>
    <row r="408" customFormat="false" ht="15" hidden="true" customHeight="true" outlineLevel="0" collapsed="false">
      <c r="A408" s="0" t="str">
        <f aca="false">IF('Formation Initiale'!$A10="","",'Formation Initiale'!$A10)</f>
        <v>TR073</v>
      </c>
      <c r="B408" s="0" t="str">
        <f aca="false">IF($A408="","",'Formation Initiale'!$E10)</f>
        <v>Brammont Holtvale</v>
      </c>
      <c r="C408" s="0" t="str">
        <f aca="false">IF($A408="","",'Formation Initiale'!$F10)</f>
        <v>Lisbonne</v>
      </c>
      <c r="D408" s="0" t="str">
        <f aca="false">IF($A408="","",IF('Formation Initiale'!$F10="Lisbonne","B2C (Initiale)","B2C+B2B (Initiale)"))</f>
        <v>B2C (Initiale)</v>
      </c>
      <c r="E408" s="0" t="str">
        <f aca="false">IF($A408="","",'Formation Initiale'!$B10)</f>
        <v>OS1</v>
      </c>
      <c r="F408" s="116" t="n">
        <f aca="false">IF($A408="","",'Formation Initiale'!$G10)</f>
        <v>46006</v>
      </c>
      <c r="G408" s="116" t="n">
        <f aca="false">IF($A408="","",'Formation Initiale'!$H10)</f>
        <v>46017</v>
      </c>
      <c r="H408" s="104" t="n">
        <f aca="false">IF($A408="","",'Formation Initiale'!$L10)</f>
        <v>0</v>
      </c>
      <c r="I408" s="0" t="str">
        <f aca="false">IF($A408="","",'Formation Initiale'!$R10)</f>
        <v>Terminé</v>
      </c>
      <c r="K408" s="104" t="n">
        <f aca="false">IF(A408="",0,IF(IFERROR(VLOOKUP(A408,Skills!$A:$M,13,FALSE()),"")="COS",0,IF(OR(I408="En cours",I408="À venir",I408="À planifier"),IF(AND(OR($C$3="Tous",$C$3="",C408=$C$3),OR($E$3="Tous",$E$3="",I408=$E$3)),1,0),0)))</f>
        <v>0</v>
      </c>
      <c r="L408" s="104" t="n">
        <f aca="false">L407+K408</f>
        <v>0</v>
      </c>
    </row>
    <row r="409" customFormat="false" ht="15" hidden="true" customHeight="true" outlineLevel="0" collapsed="false">
      <c r="A409" s="0" t="str">
        <f aca="false">IF('Formation Initiale'!$A11="","",'Formation Initiale'!$A11)</f>
        <v>TR034</v>
      </c>
      <c r="B409" s="0" t="str">
        <f aca="false">IF($A409="","",'Formation Initiale'!$E11)</f>
        <v>Toril Rhoys</v>
      </c>
      <c r="C409" s="0" t="str">
        <f aca="false">IF($A409="","",'Formation Initiale'!$F11)</f>
        <v>Lisbonne</v>
      </c>
      <c r="D409" s="0" t="str">
        <f aca="false">IF($A409="","",IF('Formation Initiale'!$F11="Lisbonne","B2C (Initiale)","B2C+B2B (Initiale)"))</f>
        <v>B2C (Initiale)</v>
      </c>
      <c r="E409" s="0" t="str">
        <f aca="false">IF($A409="","",'Formation Initiale'!$B11)</f>
        <v>OS1</v>
      </c>
      <c r="F409" s="116" t="n">
        <f aca="false">IF($A409="","",'Formation Initiale'!$G11)</f>
        <v>46006</v>
      </c>
      <c r="G409" s="116" t="n">
        <f aca="false">IF($A409="","",'Formation Initiale'!$H11)</f>
        <v>46017</v>
      </c>
      <c r="H409" s="104" t="n">
        <f aca="false">IF($A409="","",'Formation Initiale'!$L11)</f>
        <v>0</v>
      </c>
      <c r="I409" s="0" t="str">
        <f aca="false">IF($A409="","",'Formation Initiale'!$R11)</f>
        <v>Terminé</v>
      </c>
      <c r="K409" s="104" t="n">
        <f aca="false">IF(A409="",0,IF(IFERROR(VLOOKUP(A409,Skills!$A:$M,13,FALSE()),"")="COS",0,IF(OR(I409="En cours",I409="À venir",I409="À planifier"),IF(AND(OR($C$3="Tous",$C$3="",C409=$C$3),OR($E$3="Tous",$E$3="",I409=$E$3)),1,0),0)))</f>
        <v>0</v>
      </c>
      <c r="L409" s="104" t="n">
        <f aca="false">L408+K409</f>
        <v>0</v>
      </c>
    </row>
    <row r="410" customFormat="false" ht="15" hidden="true" customHeight="true" outlineLevel="0" collapsed="false">
      <c r="A410" s="0" t="str">
        <f aca="false">IF('Formation Initiale'!$A12="","",'Formation Initiale'!$A12)</f>
        <v>TR008</v>
      </c>
      <c r="B410" s="0" t="str">
        <f aca="false">IF($A410="","",'Formation Initiale'!$E12)</f>
        <v>Corrfield Doric Ulmel</v>
      </c>
      <c r="C410" s="0" t="str">
        <f aca="false">IF($A410="","",'Formation Initiale'!$F12)</f>
        <v>Lisbonne</v>
      </c>
      <c r="D410" s="0" t="str">
        <f aca="false">IF($A410="","",IF('Formation Initiale'!$F12="Lisbonne","B2C (Initiale)","B2C+B2B (Initiale)"))</f>
        <v>B2C (Initiale)</v>
      </c>
      <c r="E410" s="0" t="str">
        <f aca="false">IF($A410="","",'Formation Initiale'!$B12)</f>
        <v>OS1</v>
      </c>
      <c r="F410" s="116" t="n">
        <f aca="false">IF($A410="","",'Formation Initiale'!$G12)</f>
        <v>46006</v>
      </c>
      <c r="G410" s="116" t="n">
        <f aca="false">IF($A410="","",'Formation Initiale'!$H12)</f>
        <v>46017</v>
      </c>
      <c r="H410" s="104" t="n">
        <f aca="false">IF($A410="","",'Formation Initiale'!$L12)</f>
        <v>0</v>
      </c>
      <c r="I410" s="0" t="str">
        <f aca="false">IF($A410="","",'Formation Initiale'!$R12)</f>
        <v>Terminé</v>
      </c>
      <c r="K410" s="104" t="n">
        <f aca="false">IF(A410="",0,IF(IFERROR(VLOOKUP(A410,Skills!$A:$M,13,FALSE()),"")="COS",0,IF(OR(I410="En cours",I410="À venir",I410="À planifier"),IF(AND(OR($C$3="Tous",$C$3="",C410=$C$3),OR($E$3="Tous",$E$3="",I410=$E$3)),1,0),0)))</f>
        <v>0</v>
      </c>
      <c r="L410" s="104" t="n">
        <f aca="false">L409+K410</f>
        <v>0</v>
      </c>
    </row>
    <row r="411" customFormat="false" ht="15" hidden="true" customHeight="true" outlineLevel="0" collapsed="false">
      <c r="A411" s="0" t="str">
        <f aca="false">IF('Formation Initiale'!$A13="","",'Formation Initiale'!$A13)</f>
        <v>TR085</v>
      </c>
      <c r="B411" s="0" t="str">
        <f aca="false">IF($A411="","",'Formation Initiale'!$E13)</f>
        <v>Larkshaw Moric</v>
      </c>
      <c r="C411" s="0" t="str">
        <f aca="false">IF($A411="","",'Formation Initiale'!$F13)</f>
        <v>Lisbonne</v>
      </c>
      <c r="D411" s="0" t="str">
        <f aca="false">IF($A411="","",IF('Formation Initiale'!$F13="Lisbonne","B2C (Initiale)","B2C+B2B (Initiale)"))</f>
        <v>B2C (Initiale)</v>
      </c>
      <c r="E411" s="0" t="str">
        <f aca="false">IF($A411="","",'Formation Initiale'!$B13)</f>
        <v>OS1</v>
      </c>
      <c r="F411" s="116" t="n">
        <f aca="false">IF($A411="","",'Formation Initiale'!$G13)</f>
        <v>46006</v>
      </c>
      <c r="G411" s="116" t="n">
        <f aca="false">IF($A411="","",'Formation Initiale'!$H13)</f>
        <v>46017</v>
      </c>
      <c r="H411" s="104" t="n">
        <f aca="false">IF($A411="","",'Formation Initiale'!$L13)</f>
        <v>0</v>
      </c>
      <c r="I411" s="0" t="str">
        <f aca="false">IF($A411="","",'Formation Initiale'!$R13)</f>
        <v>Terminé</v>
      </c>
      <c r="K411" s="104" t="n">
        <f aca="false">IF(A411="",0,IF(IFERROR(VLOOKUP(A411,Skills!$A:$M,13,FALSE()),"")="COS",0,IF(OR(I411="En cours",I411="À venir",I411="À planifier"),IF(AND(OR($C$3="Tous",$C$3="",C411=$C$3),OR($E$3="Tous",$E$3="",I411=$E$3)),1,0),0)))</f>
        <v>0</v>
      </c>
      <c r="L411" s="104" t="n">
        <f aca="false">L410+K411</f>
        <v>0</v>
      </c>
    </row>
    <row r="412" customFormat="false" ht="15" hidden="true" customHeight="true" outlineLevel="0" collapsed="false">
      <c r="A412" s="0" t="str">
        <f aca="false">IF('Formation Initiale'!$A14="","",'Formation Initiale'!$A14)</f>
        <v>TR054</v>
      </c>
      <c r="B412" s="0" t="str">
        <f aca="false">IF($A412="","",'Formation Initiale'!$E14)</f>
        <v>Pykewood Stelshaw Doric</v>
      </c>
      <c r="C412" s="0" t="str">
        <f aca="false">IF($A412="","",'Formation Initiale'!$F14)</f>
        <v>Lisbonne</v>
      </c>
      <c r="D412" s="0" t="str">
        <f aca="false">IF($A412="","",IF('Formation Initiale'!$F14="Lisbonne","B2C (Initiale)","B2C+B2B (Initiale)"))</f>
        <v>B2C (Initiale)</v>
      </c>
      <c r="E412" s="0" t="str">
        <f aca="false">IF($A412="","",'Formation Initiale'!$B14)</f>
        <v>OS1</v>
      </c>
      <c r="F412" s="116" t="n">
        <f aca="false">IF($A412="","",'Formation Initiale'!$G14)</f>
        <v>46006</v>
      </c>
      <c r="G412" s="116" t="n">
        <f aca="false">IF($A412="","",'Formation Initiale'!$H14)</f>
        <v>46017</v>
      </c>
      <c r="H412" s="104" t="n">
        <f aca="false">IF($A412="","",'Formation Initiale'!$L14)</f>
        <v>0</v>
      </c>
      <c r="I412" s="0" t="str">
        <f aca="false">IF($A412="","",'Formation Initiale'!$R14)</f>
        <v>Terminé</v>
      </c>
      <c r="K412" s="104" t="n">
        <f aca="false">IF(A412="",0,IF(IFERROR(VLOOKUP(A412,Skills!$A:$M,13,FALSE()),"")="COS",0,IF(OR(I412="En cours",I412="À venir",I412="À planifier"),IF(AND(OR($C$3="Tous",$C$3="",C412=$C$3),OR($E$3="Tous",$E$3="",I412=$E$3)),1,0),0)))</f>
        <v>0</v>
      </c>
      <c r="L412" s="104" t="n">
        <f aca="false">L411+K412</f>
        <v>0</v>
      </c>
    </row>
    <row r="413" customFormat="false" ht="15" hidden="true" customHeight="true" outlineLevel="0" collapsed="false">
      <c r="A413" s="0" t="str">
        <f aca="false">IF('Formation Initiale'!$A15="","",'Formation Initiale'!$A15)</f>
        <v>TR047</v>
      </c>
      <c r="B413" s="0" t="str">
        <f aca="false">IF($A413="","",'Formation Initiale'!$E15)</f>
        <v>Evergate Rownfield</v>
      </c>
      <c r="C413" s="0" t="str">
        <f aca="false">IF($A413="","",'Formation Initiale'!$F15)</f>
        <v>Lisbonne</v>
      </c>
      <c r="D413" s="0" t="str">
        <f aca="false">IF($A413="","",IF('Formation Initiale'!$F15="Lisbonne","B2C (Initiale)","B2C+B2B (Initiale)"))</f>
        <v>B2C (Initiale)</v>
      </c>
      <c r="E413" s="0" t="str">
        <f aca="false">IF($A413="","",'Formation Initiale'!$B15)</f>
        <v>OS2</v>
      </c>
      <c r="F413" s="116" t="n">
        <f aca="false">IF($A413="","",'Formation Initiale'!$G15)</f>
        <v>46027</v>
      </c>
      <c r="G413" s="116" t="n">
        <f aca="false">IF($A413="","",'Formation Initiale'!$H15)</f>
        <v>46038</v>
      </c>
      <c r="H413" s="104" t="n">
        <f aca="false">IF($A413="","",'Formation Initiale'!$L15)</f>
        <v>0</v>
      </c>
      <c r="I413" s="0" t="str">
        <f aca="false">IF($A413="","",'Formation Initiale'!$R15)</f>
        <v>Terminé</v>
      </c>
      <c r="K413" s="104" t="n">
        <f aca="false">IF(A413="",0,IF(IFERROR(VLOOKUP(A413,Skills!$A:$M,13,FALSE()),"")="COS",0,IF(OR(I413="En cours",I413="À venir",I413="À planifier"),IF(AND(OR($C$3="Tous",$C$3="",C413=$C$3),OR($E$3="Tous",$E$3="",I413=$E$3)),1,0),0)))</f>
        <v>0</v>
      </c>
      <c r="L413" s="104" t="n">
        <f aca="false">L412+K413</f>
        <v>0</v>
      </c>
    </row>
    <row r="414" customFormat="false" ht="15" hidden="true" customHeight="true" outlineLevel="0" collapsed="false">
      <c r="A414" s="0" t="str">
        <f aca="false">IF('Formation Initiale'!$A16="","",'Formation Initiale'!$A16)</f>
        <v>TR124</v>
      </c>
      <c r="B414" s="0" t="str">
        <f aca="false">IF($A414="","",'Formation Initiale'!$E16)</f>
        <v>Vorel Fenor</v>
      </c>
      <c r="C414" s="0" t="str">
        <f aca="false">IF($A414="","",'Formation Initiale'!$F16)</f>
        <v>Lisbonne</v>
      </c>
      <c r="D414" s="0" t="str">
        <f aca="false">IF($A414="","",IF('Formation Initiale'!$F16="Lisbonne","B2C (Initiale)","B2C+B2B (Initiale)"))</f>
        <v>B2C (Initiale)</v>
      </c>
      <c r="E414" s="0" t="str">
        <f aca="false">IF($A414="","",'Formation Initiale'!$B16)</f>
        <v>OS2</v>
      </c>
      <c r="F414" s="116" t="n">
        <f aca="false">IF($A414="","",'Formation Initiale'!$G16)</f>
        <v>46027</v>
      </c>
      <c r="G414" s="116" t="n">
        <f aca="false">IF($A414="","",'Formation Initiale'!$H16)</f>
        <v>46038</v>
      </c>
      <c r="H414" s="104" t="n">
        <f aca="false">IF($A414="","",'Formation Initiale'!$L16)</f>
        <v>0</v>
      </c>
      <c r="I414" s="0" t="str">
        <f aca="false">IF($A414="","",'Formation Initiale'!$R16)</f>
        <v>Terminé</v>
      </c>
      <c r="K414" s="104" t="n">
        <f aca="false">IF(A414="",0,IF(IFERROR(VLOOKUP(A414,Skills!$A:$M,13,FALSE()),"")="COS",0,IF(OR(I414="En cours",I414="À venir",I414="À planifier"),IF(AND(OR($C$3="Tous",$C$3="",C414=$C$3),OR($E$3="Tous",$E$3="",I414=$E$3)),1,0),0)))</f>
        <v>0</v>
      </c>
      <c r="L414" s="104" t="n">
        <f aca="false">L413+K414</f>
        <v>0</v>
      </c>
    </row>
    <row r="415" customFormat="false" ht="15" hidden="true" customHeight="true" outlineLevel="0" collapsed="false">
      <c r="A415" s="0" t="str">
        <f aca="false">IF('Formation Initiale'!$A17="","",'Formation Initiale'!$A17)</f>
        <v>TR141</v>
      </c>
      <c r="B415" s="0" t="str">
        <f aca="false">IF($A415="","",'Formation Initiale'!$E17)</f>
        <v>Kelil Marsvale</v>
      </c>
      <c r="C415" s="0" t="str">
        <f aca="false">IF($A415="","",'Formation Initiale'!$F17)</f>
        <v>Lisbonne</v>
      </c>
      <c r="D415" s="0" t="str">
        <f aca="false">IF($A415="","",IF('Formation Initiale'!$F17="Lisbonne","B2C (Initiale)","B2C+B2B (Initiale)"))</f>
        <v>B2C (Initiale)</v>
      </c>
      <c r="E415" s="0" t="str">
        <f aca="false">IF($A415="","",'Formation Initiale'!$B17)</f>
        <v>OS2</v>
      </c>
      <c r="F415" s="116" t="n">
        <f aca="false">IF($A415="","",'Formation Initiale'!$G17)</f>
        <v>46027</v>
      </c>
      <c r="G415" s="116" t="n">
        <f aca="false">IF($A415="","",'Formation Initiale'!$H17)</f>
        <v>46038</v>
      </c>
      <c r="H415" s="104" t="n">
        <f aca="false">IF($A415="","",'Formation Initiale'!$L17)</f>
        <v>0</v>
      </c>
      <c r="I415" s="0" t="str">
        <f aca="false">IF($A415="","",'Formation Initiale'!$R17)</f>
        <v>Terminé</v>
      </c>
      <c r="K415" s="104" t="n">
        <f aca="false">IF(A415="",0,IF(IFERROR(VLOOKUP(A415,Skills!$A:$M,13,FALSE()),"")="COS",0,IF(OR(I415="En cours",I415="À venir",I415="À planifier"),IF(AND(OR($C$3="Tous",$C$3="",C415=$C$3),OR($E$3="Tous",$E$3="",I415=$E$3)),1,0),0)))</f>
        <v>0</v>
      </c>
      <c r="L415" s="104" t="n">
        <f aca="false">L414+K415</f>
        <v>0</v>
      </c>
    </row>
    <row r="416" customFormat="false" ht="15" hidden="true" customHeight="true" outlineLevel="0" collapsed="false">
      <c r="A416" s="0" t="str">
        <f aca="false">IF('Formation Initiale'!$A18="","",'Formation Initiale'!$A18)</f>
        <v>TR125</v>
      </c>
      <c r="B416" s="0" t="str">
        <f aca="false">IF($A416="","",'Formation Initiale'!$E18)</f>
        <v>Fenic Fenor</v>
      </c>
      <c r="C416" s="0" t="str">
        <f aca="false">IF($A416="","",'Formation Initiale'!$F18)</f>
        <v>Lisbonne</v>
      </c>
      <c r="D416" s="0" t="str">
        <f aca="false">IF($A416="","",IF('Formation Initiale'!$F18="Lisbonne","B2C (Initiale)","B2C+B2B (Initiale)"))</f>
        <v>B2C (Initiale)</v>
      </c>
      <c r="E416" s="0" t="str">
        <f aca="false">IF($A416="","",'Formation Initiale'!$B18)</f>
        <v>OS2</v>
      </c>
      <c r="F416" s="116" t="n">
        <f aca="false">IF($A416="","",'Formation Initiale'!$G18)</f>
        <v>46027</v>
      </c>
      <c r="G416" s="116" t="n">
        <f aca="false">IF($A416="","",'Formation Initiale'!$H18)</f>
        <v>46038</v>
      </c>
      <c r="H416" s="104" t="n">
        <f aca="false">IF($A416="","",'Formation Initiale'!$L18)</f>
        <v>0</v>
      </c>
      <c r="I416" s="0" t="str">
        <f aca="false">IF($A416="","",'Formation Initiale'!$R18)</f>
        <v>Terminé</v>
      </c>
      <c r="K416" s="104" t="n">
        <f aca="false">IF(A416="",0,IF(IFERROR(VLOOKUP(A416,Skills!$A:$M,13,FALSE()),"")="COS",0,IF(OR(I416="En cours",I416="À venir",I416="À planifier"),IF(AND(OR($C$3="Tous",$C$3="",C416=$C$3),OR($E$3="Tous",$E$3="",I416=$E$3)),1,0),0)))</f>
        <v>0</v>
      </c>
      <c r="L416" s="104" t="n">
        <f aca="false">L415+K416</f>
        <v>0</v>
      </c>
    </row>
    <row r="417" customFormat="false" ht="15" hidden="true" customHeight="true" outlineLevel="0" collapsed="false">
      <c r="A417" s="0" t="str">
        <f aca="false">IF('Formation Initiale'!$A19="","",'Formation Initiale'!$A19)</f>
        <v>TR119</v>
      </c>
      <c r="B417" s="0" t="str">
        <f aca="false">IF($A417="","",'Formation Initiale'!$E19)</f>
        <v>Rownvale Dorys</v>
      </c>
      <c r="C417" s="0" t="str">
        <f aca="false">IF($A417="","",'Formation Initiale'!$F19)</f>
        <v>Lisbonne</v>
      </c>
      <c r="D417" s="0" t="str">
        <f aca="false">IF($A417="","",IF('Formation Initiale'!$F19="Lisbonne","B2C (Initiale)","B2C+B2B (Initiale)"))</f>
        <v>B2C (Initiale)</v>
      </c>
      <c r="E417" s="0" t="str">
        <f aca="false">IF($A417="","",'Formation Initiale'!$B19)</f>
        <v>OS2</v>
      </c>
      <c r="F417" s="116" t="n">
        <f aca="false">IF($A417="","",'Formation Initiale'!$G19)</f>
        <v>46027</v>
      </c>
      <c r="G417" s="116" t="n">
        <f aca="false">IF($A417="","",'Formation Initiale'!$H19)</f>
        <v>46038</v>
      </c>
      <c r="H417" s="104" t="n">
        <f aca="false">IF($A417="","",'Formation Initiale'!$L19)</f>
        <v>0</v>
      </c>
      <c r="I417" s="0" t="str">
        <f aca="false">IF($A417="","",'Formation Initiale'!$R19)</f>
        <v>Terminé</v>
      </c>
      <c r="K417" s="104" t="n">
        <f aca="false">IF(A417="",0,IF(IFERROR(VLOOKUP(A417,Skills!$A:$M,13,FALSE()),"")="COS",0,IF(OR(I417="En cours",I417="À venir",I417="À planifier"),IF(AND(OR($C$3="Tous",$C$3="",C417=$C$3),OR($E$3="Tous",$E$3="",I417=$E$3)),1,0),0)))</f>
        <v>0</v>
      </c>
      <c r="L417" s="104" t="n">
        <f aca="false">L416+K417</f>
        <v>0</v>
      </c>
    </row>
    <row r="418" customFormat="false" ht="15" hidden="true" customHeight="true" outlineLevel="0" collapsed="false">
      <c r="A418" s="0" t="str">
        <f aca="false">IF('Formation Initiale'!$A20="","",'Formation Initiale'!$A20)</f>
        <v>TR114</v>
      </c>
      <c r="B418" s="0" t="str">
        <f aca="false">IF($A418="","",'Formation Initiale'!$E20)</f>
        <v>Kelol Thornridge</v>
      </c>
      <c r="C418" s="0" t="str">
        <f aca="false">IF($A418="","",'Formation Initiale'!$F20)</f>
        <v>Lisbonne</v>
      </c>
      <c r="D418" s="0" t="str">
        <f aca="false">IF($A418="","",IF('Formation Initiale'!$F20="Lisbonne","B2C (Initiale)","B2C+B2B (Initiale)"))</f>
        <v>B2C (Initiale)</v>
      </c>
      <c r="E418" s="0" t="str">
        <f aca="false">IF($A418="","",'Formation Initiale'!$B20)</f>
        <v>OS3</v>
      </c>
      <c r="F418" s="116" t="n">
        <f aca="false">IF($A418="","",'Formation Initiale'!$G20)</f>
        <v>46034</v>
      </c>
      <c r="G418" s="116" t="n">
        <f aca="false">IF($A418="","",'Formation Initiale'!$H20)</f>
        <v>46045</v>
      </c>
      <c r="H418" s="104" t="n">
        <f aca="false">IF($A418="","",'Formation Initiale'!$L20)</f>
        <v>0</v>
      </c>
      <c r="I418" s="0" t="str">
        <f aca="false">IF($A418="","",'Formation Initiale'!$R20)</f>
        <v>Terminé</v>
      </c>
      <c r="K418" s="104" t="n">
        <f aca="false">IF(A418="",0,IF(IFERROR(VLOOKUP(A418,Skills!$A:$M,13,FALSE()),"")="COS",0,IF(OR(I418="En cours",I418="À venir",I418="À planifier"),IF(AND(OR($C$3="Tous",$C$3="",C418=$C$3),OR($E$3="Tous",$E$3="",I418=$E$3)),1,0),0)))</f>
        <v>0</v>
      </c>
      <c r="L418" s="104" t="n">
        <f aca="false">L417+K418</f>
        <v>0</v>
      </c>
    </row>
    <row r="419" customFormat="false" ht="15" hidden="true" customHeight="true" outlineLevel="0" collapsed="false">
      <c r="A419" s="0" t="str">
        <f aca="false">IF('Formation Initiale'!$A21="","",'Formation Initiale'!$A21)</f>
        <v>TR075</v>
      </c>
      <c r="B419" s="0" t="str">
        <f aca="false">IF($A419="","",'Formation Initiale'!$E21)</f>
        <v>Valeworth Nevol</v>
      </c>
      <c r="C419" s="0" t="str">
        <f aca="false">IF($A419="","",'Formation Initiale'!$F21)</f>
        <v>Lisbonne</v>
      </c>
      <c r="D419" s="0" t="str">
        <f aca="false">IF($A419="","",IF('Formation Initiale'!$F21="Lisbonne","B2C (Initiale)","B2C+B2B (Initiale)"))</f>
        <v>B2C (Initiale)</v>
      </c>
      <c r="E419" s="0" t="str">
        <f aca="false">IF($A419="","",'Formation Initiale'!$B21)</f>
        <v>OS3</v>
      </c>
      <c r="F419" s="116" t="n">
        <f aca="false">IF($A419="","",'Formation Initiale'!$G21)</f>
        <v>46034</v>
      </c>
      <c r="G419" s="116" t="n">
        <f aca="false">IF($A419="","",'Formation Initiale'!$H21)</f>
        <v>46045</v>
      </c>
      <c r="H419" s="104" t="n">
        <f aca="false">IF($A419="","",'Formation Initiale'!$L21)</f>
        <v>0</v>
      </c>
      <c r="I419" s="0" t="str">
        <f aca="false">IF($A419="","",'Formation Initiale'!$R21)</f>
        <v>Terminé</v>
      </c>
      <c r="K419" s="104" t="n">
        <f aca="false">IF(A419="",0,IF(IFERROR(VLOOKUP(A419,Skills!$A:$M,13,FALSE()),"")="COS",0,IF(OR(I419="En cours",I419="À venir",I419="À planifier"),IF(AND(OR($C$3="Tous",$C$3="",C419=$C$3),OR($E$3="Tous",$E$3="",I419=$E$3)),1,0),0)))</f>
        <v>0</v>
      </c>
      <c r="L419" s="104" t="n">
        <f aca="false">L418+K419</f>
        <v>0</v>
      </c>
    </row>
    <row r="420" customFormat="false" ht="15" hidden="true" customHeight="true" outlineLevel="0" collapsed="false">
      <c r="A420" s="0" t="str">
        <f aca="false">IF('Formation Initiale'!$A22="","",'Formation Initiale'!$A22)</f>
        <v>TR147</v>
      </c>
      <c r="B420" s="0" t="str">
        <f aca="false">IF($A420="","",'Formation Initiale'!$E22)</f>
        <v>Luman Ulmen</v>
      </c>
      <c r="C420" s="0" t="str">
        <f aca="false">IF($A420="","",'Formation Initiale'!$F22)</f>
        <v>Lisbonne</v>
      </c>
      <c r="D420" s="0" t="str">
        <f aca="false">IF($A420="","",IF('Formation Initiale'!$F22="Lisbonne","B2C (Initiale)","B2C+B2B (Initiale)"))</f>
        <v>B2C (Initiale)</v>
      </c>
      <c r="E420" s="0" t="str">
        <f aca="false">IF($A420="","",'Formation Initiale'!$B22)</f>
        <v>OS3</v>
      </c>
      <c r="F420" s="116" t="n">
        <f aca="false">IF($A420="","",'Formation Initiale'!$G22)</f>
        <v>46034</v>
      </c>
      <c r="G420" s="116" t="n">
        <f aca="false">IF($A420="","",'Formation Initiale'!$H22)</f>
        <v>46045</v>
      </c>
      <c r="H420" s="104" t="n">
        <f aca="false">IF($A420="","",'Formation Initiale'!$L22)</f>
        <v>0</v>
      </c>
      <c r="I420" s="0" t="str">
        <f aca="false">IF($A420="","",'Formation Initiale'!$R22)</f>
        <v>Terminé</v>
      </c>
      <c r="K420" s="104" t="n">
        <f aca="false">IF(A420="",0,IF(IFERROR(VLOOKUP(A420,Skills!$A:$M,13,FALSE()),"")="COS",0,IF(OR(I420="En cours",I420="À venir",I420="À planifier"),IF(AND(OR($C$3="Tous",$C$3="",C420=$C$3),OR($E$3="Tous",$E$3="",I420=$E$3)),1,0),0)))</f>
        <v>0</v>
      </c>
      <c r="L420" s="104" t="n">
        <f aca="false">L419+K420</f>
        <v>0</v>
      </c>
    </row>
    <row r="421" customFormat="false" ht="15" hidden="true" customHeight="true" outlineLevel="0" collapsed="false">
      <c r="A421" s="0" t="str">
        <f aca="false">IF('Formation Initiale'!$A23="","",'Formation Initiale'!$A23)</f>
        <v>TR066</v>
      </c>
      <c r="B421" s="0" t="str">
        <f aca="false">IF($A421="","",'Formation Initiale'!$E23)</f>
        <v>Larkmont Norshaw</v>
      </c>
      <c r="C421" s="0" t="str">
        <f aca="false">IF($A421="","",'Formation Initiale'!$F23)</f>
        <v>Lisbonne</v>
      </c>
      <c r="D421" s="0" t="str">
        <f aca="false">IF($A421="","",IF('Formation Initiale'!$F23="Lisbonne","B2C (Initiale)","B2C+B2B (Initiale)"))</f>
        <v>B2C (Initiale)</v>
      </c>
      <c r="E421" s="0" t="str">
        <f aca="false">IF($A421="","",'Formation Initiale'!$B23)</f>
        <v>OS3</v>
      </c>
      <c r="F421" s="116" t="n">
        <f aca="false">IF($A421="","",'Formation Initiale'!$G23)</f>
        <v>46034</v>
      </c>
      <c r="G421" s="116" t="n">
        <f aca="false">IF($A421="","",'Formation Initiale'!$H23)</f>
        <v>46045</v>
      </c>
      <c r="H421" s="104" t="n">
        <f aca="false">IF($A421="","",'Formation Initiale'!$L23)</f>
        <v>0</v>
      </c>
      <c r="I421" s="0" t="str">
        <f aca="false">IF($A421="","",'Formation Initiale'!$R23)</f>
        <v>Terminé</v>
      </c>
      <c r="K421" s="104" t="n">
        <f aca="false">IF(A421="",0,IF(IFERROR(VLOOKUP(A421,Skills!$A:$M,13,FALSE()),"")="COS",0,IF(OR(I421="En cours",I421="À venir",I421="À planifier"),IF(AND(OR($C$3="Tous",$C$3="",C421=$C$3),OR($E$3="Tous",$E$3="",I421=$E$3)),1,0),0)))</f>
        <v>0</v>
      </c>
      <c r="L421" s="104" t="n">
        <f aca="false">L420+K421</f>
        <v>0</v>
      </c>
    </row>
    <row r="422" customFormat="false" ht="15" hidden="true" customHeight="true" outlineLevel="0" collapsed="false">
      <c r="A422" s="0" t="str">
        <f aca="false">IF('Formation Initiale'!$A24="","",'Formation Initiale'!$A24)</f>
        <v>TR096</v>
      </c>
      <c r="B422" s="0" t="str">
        <f aca="false">IF($A422="","",'Formation Initiale'!$E24)</f>
        <v>Norstone Quillwood</v>
      </c>
      <c r="C422" s="0" t="str">
        <f aca="false">IF($A422="","",'Formation Initiale'!$F24)</f>
        <v>Lisbonne</v>
      </c>
      <c r="D422" s="0" t="str">
        <f aca="false">IF($A422="","",IF('Formation Initiale'!$F24="Lisbonne","B2C (Initiale)","B2C+B2B (Initiale)"))</f>
        <v>B2C (Initiale)</v>
      </c>
      <c r="E422" s="0" t="str">
        <f aca="false">IF($A422="","",'Formation Initiale'!$B24)</f>
        <v>OS3</v>
      </c>
      <c r="F422" s="116" t="n">
        <f aca="false">IF($A422="","",'Formation Initiale'!$G24)</f>
        <v>46034</v>
      </c>
      <c r="G422" s="116" t="n">
        <f aca="false">IF($A422="","",'Formation Initiale'!$H24)</f>
        <v>46045</v>
      </c>
      <c r="H422" s="104" t="n">
        <f aca="false">IF($A422="","",'Formation Initiale'!$L24)</f>
        <v>0</v>
      </c>
      <c r="I422" s="0" t="str">
        <f aca="false">IF($A422="","",'Formation Initiale'!$R24)</f>
        <v>Terminé</v>
      </c>
      <c r="K422" s="104" t="n">
        <f aca="false">IF(A422="",0,IF(IFERROR(VLOOKUP(A422,Skills!$A:$M,13,FALSE()),"")="COS",0,IF(OR(I422="En cours",I422="À venir",I422="À planifier"),IF(AND(OR($C$3="Tous",$C$3="",C422=$C$3),OR($E$3="Tous",$E$3="",I422=$E$3)),1,0),0)))</f>
        <v>0</v>
      </c>
      <c r="L422" s="104" t="n">
        <f aca="false">L421+K422</f>
        <v>0</v>
      </c>
    </row>
    <row r="423" customFormat="false" ht="15" hidden="true" customHeight="true" outlineLevel="0" collapsed="false">
      <c r="A423" s="0" t="str">
        <f aca="false">IF('Formation Initiale'!$A25="","",'Formation Initiale'!$A25)</f>
        <v>TR024</v>
      </c>
      <c r="B423" s="0" t="str">
        <f aca="false">IF($A423="","",'Formation Initiale'!$E25)</f>
        <v>Dellfield Stelridge Haxel</v>
      </c>
      <c r="C423" s="0" t="str">
        <f aca="false">IF($A423="","",'Formation Initiale'!$F25)</f>
        <v>Lisbonne</v>
      </c>
      <c r="D423" s="0" t="str">
        <f aca="false">IF($A423="","",IF('Formation Initiale'!$F25="Lisbonne","B2C (Initiale)","B2C+B2B (Initiale)"))</f>
        <v>B2C (Initiale)</v>
      </c>
      <c r="E423" s="0" t="str">
        <f aca="false">IF($A423="","",'Formation Initiale'!$B25)</f>
        <v>OS3</v>
      </c>
      <c r="F423" s="116" t="n">
        <f aca="false">IF($A423="","",'Formation Initiale'!$G25)</f>
        <v>46034</v>
      </c>
      <c r="G423" s="116" t="n">
        <f aca="false">IF($A423="","",'Formation Initiale'!$H25)</f>
        <v>46045</v>
      </c>
      <c r="H423" s="104" t="n">
        <f aca="false">IF($A423="","",'Formation Initiale'!$L25)</f>
        <v>0</v>
      </c>
      <c r="I423" s="0" t="str">
        <f aca="false">IF($A423="","",'Formation Initiale'!$R25)</f>
        <v>Terminé</v>
      </c>
      <c r="K423" s="104" t="n">
        <f aca="false">IF(A423="",0,IF(IFERROR(VLOOKUP(A423,Skills!$A:$M,13,FALSE()),"")="COS",0,IF(OR(I423="En cours",I423="À venir",I423="À planifier"),IF(AND(OR($C$3="Tous",$C$3="",C423=$C$3),OR($E$3="Tous",$E$3="",I423=$E$3)),1,0),0)))</f>
        <v>0</v>
      </c>
      <c r="L423" s="104" t="n">
        <f aca="false">L422+K423</f>
        <v>0</v>
      </c>
    </row>
    <row r="424" customFormat="false" ht="15" hidden="true" customHeight="true" outlineLevel="0" collapsed="false">
      <c r="A424" s="0" t="str">
        <f aca="false">IF('Formation Initiale'!$A26="","",'Formation Initiale'!$A26)</f>
        <v>TR025</v>
      </c>
      <c r="B424" s="0" t="str">
        <f aca="false">IF($A424="","",'Formation Initiale'!$E26)</f>
        <v>Stelworth Stelridge Vorar</v>
      </c>
      <c r="C424" s="0" t="str">
        <f aca="false">IF($A424="","",'Formation Initiale'!$F26)</f>
        <v>Lisbonne</v>
      </c>
      <c r="D424" s="0" t="str">
        <f aca="false">IF($A424="","",IF('Formation Initiale'!$F26="Lisbonne","B2C (Initiale)","B2C+B2B (Initiale)"))</f>
        <v>B2C (Initiale)</v>
      </c>
      <c r="E424" s="0" t="str">
        <f aca="false">IF($A424="","",'Formation Initiale'!$B26)</f>
        <v>OS3</v>
      </c>
      <c r="F424" s="116" t="n">
        <f aca="false">IF($A424="","",'Formation Initiale'!$G26)</f>
        <v>46034</v>
      </c>
      <c r="G424" s="116" t="n">
        <f aca="false">IF($A424="","",'Formation Initiale'!$H26)</f>
        <v>46045</v>
      </c>
      <c r="H424" s="104" t="n">
        <f aca="false">IF($A424="","",'Formation Initiale'!$L26)</f>
        <v>0</v>
      </c>
      <c r="I424" s="0" t="str">
        <f aca="false">IF($A424="","",'Formation Initiale'!$R26)</f>
        <v>Terminé</v>
      </c>
      <c r="K424" s="104" t="n">
        <f aca="false">IF(A424="",0,IF(IFERROR(VLOOKUP(A424,Skills!$A:$M,13,FALSE()),"")="COS",0,IF(OR(I424="En cours",I424="À venir",I424="À planifier"),IF(AND(OR($C$3="Tous",$C$3="",C424=$C$3),OR($E$3="Tous",$E$3="",I424=$E$3)),1,0),0)))</f>
        <v>0</v>
      </c>
      <c r="L424" s="104" t="n">
        <f aca="false">L423+K424</f>
        <v>0</v>
      </c>
    </row>
    <row r="425" customFormat="false" ht="15" hidden="true" customHeight="true" outlineLevel="0" collapsed="false">
      <c r="A425" s="0" t="str">
        <f aca="false">IF('Formation Initiale'!$A27="","",'Formation Initiale'!$A27)</f>
        <v>TR010</v>
      </c>
      <c r="B425" s="0" t="str">
        <f aca="false">IF($A425="","",'Formation Initiale'!$E27)</f>
        <v>Corrfield Haxay Morys</v>
      </c>
      <c r="C425" s="0" t="str">
        <f aca="false">IF($A425="","",'Formation Initiale'!$F27)</f>
        <v>Lisbonne</v>
      </c>
      <c r="D425" s="0" t="str">
        <f aca="false">IF($A425="","",IF('Formation Initiale'!$F27="Lisbonne","B2C (Initiale)","B2C+B2B (Initiale)"))</f>
        <v>B2C (Initiale)</v>
      </c>
      <c r="E425" s="0" t="str">
        <f aca="false">IF($A425="","",'Formation Initiale'!$B27)</f>
        <v>OS3</v>
      </c>
      <c r="F425" s="116" t="n">
        <f aca="false">IF($A425="","",'Formation Initiale'!$G27)</f>
        <v>46034</v>
      </c>
      <c r="G425" s="116" t="n">
        <f aca="false">IF($A425="","",'Formation Initiale'!$H27)</f>
        <v>46045</v>
      </c>
      <c r="H425" s="104" t="n">
        <f aca="false">IF($A425="","",'Formation Initiale'!$L27)</f>
        <v>0</v>
      </c>
      <c r="I425" s="0" t="str">
        <f aca="false">IF($A425="","",'Formation Initiale'!$R27)</f>
        <v>Terminé</v>
      </c>
      <c r="K425" s="104" t="n">
        <f aca="false">IF(A425="",0,IF(IFERROR(VLOOKUP(A425,Skills!$A:$M,13,FALSE()),"")="COS",0,IF(OR(I425="En cours",I425="À venir",I425="À planifier"),IF(AND(OR($C$3="Tous",$C$3="",C425=$C$3),OR($E$3="Tous",$E$3="",I425=$E$3)),1,0),0)))</f>
        <v>0</v>
      </c>
      <c r="L425" s="104" t="n">
        <f aca="false">L424+K425</f>
        <v>0</v>
      </c>
    </row>
    <row r="426" customFormat="false" ht="15" hidden="true" customHeight="true" outlineLevel="0" collapsed="false">
      <c r="A426" s="0" t="str">
        <f aca="false">IF('Formation Initiale'!$A28="","",'Formation Initiale'!$A28)</f>
        <v>TR076</v>
      </c>
      <c r="B426" s="0" t="str">
        <f aca="false">IF($A426="","",'Formation Initiale'!$E28)</f>
        <v>Ashgate Thornwood</v>
      </c>
      <c r="C426" s="0" t="str">
        <f aca="false">IF($A426="","",'Formation Initiale'!$F28)</f>
        <v>Lisbonne</v>
      </c>
      <c r="D426" s="0" t="str">
        <f aca="false">IF($A426="","",IF('Formation Initiale'!$F28="Lisbonne","B2C (Initiale)","B2C+B2B (Initiale)"))</f>
        <v>B2C (Initiale)</v>
      </c>
      <c r="E426" s="0" t="str">
        <f aca="false">IF($A426="","",'Formation Initiale'!$B28)</f>
        <v>OS3</v>
      </c>
      <c r="F426" s="116" t="n">
        <f aca="false">IF($A426="","",'Formation Initiale'!$G28)</f>
        <v>46034</v>
      </c>
      <c r="G426" s="116" t="n">
        <f aca="false">IF($A426="","",'Formation Initiale'!$H28)</f>
        <v>46045</v>
      </c>
      <c r="H426" s="104" t="n">
        <f aca="false">IF($A426="","",'Formation Initiale'!$L28)</f>
        <v>0</v>
      </c>
      <c r="I426" s="0" t="str">
        <f aca="false">IF($A426="","",'Formation Initiale'!$R28)</f>
        <v>Terminé</v>
      </c>
      <c r="K426" s="104" t="n">
        <f aca="false">IF(A426="",0,IF(IFERROR(VLOOKUP(A426,Skills!$A:$M,13,FALSE()),"")="COS",0,IF(OR(I426="En cours",I426="À venir",I426="À planifier"),IF(AND(OR($C$3="Tous",$C$3="",C426=$C$3),OR($E$3="Tous",$E$3="",I426=$E$3)),1,0),0)))</f>
        <v>0</v>
      </c>
      <c r="L426" s="104" t="n">
        <f aca="false">L425+K426</f>
        <v>0</v>
      </c>
    </row>
    <row r="427" customFormat="false" ht="15" hidden="true" customHeight="true" outlineLevel="0" collapsed="false">
      <c r="A427" s="0" t="str">
        <f aca="false">IF('Formation Initiale'!$A29="","",'Formation Initiale'!$A29)</f>
        <v>TR095</v>
      </c>
      <c r="B427" s="0" t="str">
        <f aca="false">IF($A427="","",'Formation Initiale'!$E29)</f>
        <v>Quenan Quillwood</v>
      </c>
      <c r="C427" s="0" t="str">
        <f aca="false">IF($A427="","",'Formation Initiale'!$F29)</f>
        <v>Lisbonne</v>
      </c>
      <c r="D427" s="0" t="str">
        <f aca="false">IF($A427="","",IF('Formation Initiale'!$F29="Lisbonne","B2C (Initiale)","B2C+B2B (Initiale)"))</f>
        <v>B2C (Initiale)</v>
      </c>
      <c r="E427" s="0" t="str">
        <f aca="false">IF($A427="","",'Formation Initiale'!$B29)</f>
        <v>OS4</v>
      </c>
      <c r="F427" s="116" t="n">
        <f aca="false">IF($A427="","",'Formation Initiale'!$G29)</f>
        <v>46043</v>
      </c>
      <c r="G427" s="116" t="n">
        <f aca="false">IF($A427="","",'Formation Initiale'!$H29)</f>
        <v>46056</v>
      </c>
      <c r="H427" s="104" t="n">
        <f aca="false">IF($A427="","",'Formation Initiale'!$L29)</f>
        <v>0</v>
      </c>
      <c r="I427" s="0" t="str">
        <f aca="false">IF($A427="","",'Formation Initiale'!$R29)</f>
        <v>Terminé</v>
      </c>
      <c r="K427" s="104" t="n">
        <f aca="false">IF(A427="",0,IF(IFERROR(VLOOKUP(A427,Skills!$A:$M,13,FALSE()),"")="COS",0,IF(OR(I427="En cours",I427="À venir",I427="À planifier"),IF(AND(OR($C$3="Tous",$C$3="",C427=$C$3),OR($E$3="Tous",$E$3="",I427=$E$3)),1,0),0)))</f>
        <v>0</v>
      </c>
      <c r="L427" s="104" t="n">
        <f aca="false">L426+K427</f>
        <v>0</v>
      </c>
    </row>
    <row r="428" customFormat="false" ht="15" hidden="true" customHeight="true" outlineLevel="0" collapsed="false">
      <c r="A428" s="0" t="str">
        <f aca="false">IF('Formation Initiale'!$A30="","",'Formation Initiale'!$A30)</f>
        <v>TR017</v>
      </c>
      <c r="B428" s="0" t="str">
        <f aca="false">IF($A428="","",'Formation Initiale'!$E30)</f>
        <v>Larkmont Yoran</v>
      </c>
      <c r="C428" s="0" t="str">
        <f aca="false">IF($A428="","",'Formation Initiale'!$F30)</f>
        <v>Lisbonne</v>
      </c>
      <c r="D428" s="0" t="str">
        <f aca="false">IF($A428="","",IF('Formation Initiale'!$F30="Lisbonne","B2C (Initiale)","B2C+B2B (Initiale)"))</f>
        <v>B2C (Initiale)</v>
      </c>
      <c r="E428" s="0" t="str">
        <f aca="false">IF($A428="","",'Formation Initiale'!$B30)</f>
        <v>OS4</v>
      </c>
      <c r="F428" s="116" t="n">
        <f aca="false">IF($A428="","",'Formation Initiale'!$G30)</f>
        <v>46043</v>
      </c>
      <c r="G428" s="116" t="n">
        <f aca="false">IF($A428="","",'Formation Initiale'!$H30)</f>
        <v>46056</v>
      </c>
      <c r="H428" s="104" t="n">
        <f aca="false">IF($A428="","",'Formation Initiale'!$L30)</f>
        <v>0</v>
      </c>
      <c r="I428" s="0" t="str">
        <f aca="false">IF($A428="","",'Formation Initiale'!$R30)</f>
        <v>Terminé</v>
      </c>
      <c r="K428" s="104" t="n">
        <f aca="false">IF(A428="",0,IF(IFERROR(VLOOKUP(A428,Skills!$A:$M,13,FALSE()),"")="COS",0,IF(OR(I428="En cours",I428="À venir",I428="À planifier"),IF(AND(OR($C$3="Tous",$C$3="",C428=$C$3),OR($E$3="Tous",$E$3="",I428=$E$3)),1,0),0)))</f>
        <v>0</v>
      </c>
      <c r="L428" s="104" t="n">
        <f aca="false">L427+K428</f>
        <v>0</v>
      </c>
    </row>
    <row r="429" customFormat="false" ht="15" hidden="true" customHeight="true" outlineLevel="0" collapsed="false">
      <c r="A429" s="0" t="str">
        <f aca="false">IF('Formation Initiale'!$A31="","",'Formation Initiale'!$A31)</f>
        <v>TR064</v>
      </c>
      <c r="B429" s="0" t="str">
        <f aca="false">IF($A429="","",'Formation Initiale'!$E31)</f>
        <v>Calus Braor</v>
      </c>
      <c r="C429" s="0" t="str">
        <f aca="false">IF($A429="","",'Formation Initiale'!$F31)</f>
        <v>Lisbonne</v>
      </c>
      <c r="D429" s="0" t="str">
        <f aca="false">IF($A429="","",IF('Formation Initiale'!$F31="Lisbonne","B2C (Initiale)","B2C+B2B (Initiale)"))</f>
        <v>B2C (Initiale)</v>
      </c>
      <c r="E429" s="0" t="str">
        <f aca="false">IF($A429="","",'Formation Initiale'!$B31)</f>
        <v>OS4</v>
      </c>
      <c r="F429" s="116" t="n">
        <f aca="false">IF($A429="","",'Formation Initiale'!$G31)</f>
        <v>46043</v>
      </c>
      <c r="G429" s="116" t="n">
        <f aca="false">IF($A429="","",'Formation Initiale'!$H31)</f>
        <v>46056</v>
      </c>
      <c r="H429" s="104" t="n">
        <f aca="false">IF($A429="","",'Formation Initiale'!$L31)</f>
        <v>0</v>
      </c>
      <c r="I429" s="0" t="str">
        <f aca="false">IF($A429="","",'Formation Initiale'!$R31)</f>
        <v>Terminé</v>
      </c>
      <c r="K429" s="104" t="n">
        <f aca="false">IF(A429="",0,IF(IFERROR(VLOOKUP(A429,Skills!$A:$M,13,FALSE()),"")="COS",0,IF(OR(I429="En cours",I429="À venir",I429="À planifier"),IF(AND(OR($C$3="Tous",$C$3="",C429=$C$3),OR($E$3="Tous",$E$3="",I429=$E$3)),1,0),0)))</f>
        <v>0</v>
      </c>
      <c r="L429" s="104" t="n">
        <f aca="false">L428+K429</f>
        <v>0</v>
      </c>
    </row>
    <row r="430" customFormat="false" ht="15" hidden="true" customHeight="true" outlineLevel="0" collapsed="false">
      <c r="A430" s="0" t="str">
        <f aca="false">IF('Formation Initiale'!$A32="","",'Formation Initiale'!$A32)</f>
        <v>TR115</v>
      </c>
      <c r="B430" s="0" t="str">
        <f aca="false">IF($A430="","",'Formation Initiale'!$E32)</f>
        <v>Orinon Quenar</v>
      </c>
      <c r="C430" s="0" t="str">
        <f aca="false">IF($A430="","",'Formation Initiale'!$F32)</f>
        <v>Lisbonne</v>
      </c>
      <c r="D430" s="0" t="str">
        <f aca="false">IF($A430="","",IF('Formation Initiale'!$F32="Lisbonne","B2C (Initiale)","B2C+B2B (Initiale)"))</f>
        <v>B2C (Initiale)</v>
      </c>
      <c r="E430" s="0" t="str">
        <f aca="false">IF($A430="","",'Formation Initiale'!$B32)</f>
        <v>OS4</v>
      </c>
      <c r="F430" s="116" t="n">
        <f aca="false">IF($A430="","",'Formation Initiale'!$G32)</f>
        <v>46043</v>
      </c>
      <c r="G430" s="116" t="n">
        <f aca="false">IF($A430="","",'Formation Initiale'!$H32)</f>
        <v>46056</v>
      </c>
      <c r="H430" s="104" t="n">
        <f aca="false">IF($A430="","",'Formation Initiale'!$L32)</f>
        <v>0</v>
      </c>
      <c r="I430" s="0" t="str">
        <f aca="false">IF($A430="","",'Formation Initiale'!$R32)</f>
        <v>Terminé</v>
      </c>
      <c r="K430" s="104" t="n">
        <f aca="false">IF(A430="",0,IF(IFERROR(VLOOKUP(A430,Skills!$A:$M,13,FALSE()),"")="COS",0,IF(OR(I430="En cours",I430="À venir",I430="À planifier"),IF(AND(OR($C$3="Tous",$C$3="",C430=$C$3),OR($E$3="Tous",$E$3="",I430=$E$3)),1,0),0)))</f>
        <v>0</v>
      </c>
      <c r="L430" s="104" t="n">
        <f aca="false">L429+K430</f>
        <v>0</v>
      </c>
    </row>
    <row r="431" customFormat="false" ht="15" hidden="true" customHeight="true" outlineLevel="0" collapsed="false">
      <c r="A431" s="0" t="str">
        <f aca="false">IF('Formation Initiale'!$A33="","",'Formation Initiale'!$A33)</f>
        <v>TR015</v>
      </c>
      <c r="B431" s="0" t="str">
        <f aca="false">IF($A431="","",'Formation Initiale'!$E33)</f>
        <v>Zanol Granshaw</v>
      </c>
      <c r="C431" s="0" t="str">
        <f aca="false">IF($A431="","",'Formation Initiale'!$F33)</f>
        <v>Lisbonne</v>
      </c>
      <c r="D431" s="0" t="str">
        <f aca="false">IF($A431="","",IF('Formation Initiale'!$F33="Lisbonne","B2C (Initiale)","B2C+B2B (Initiale)"))</f>
        <v>B2C (Initiale)</v>
      </c>
      <c r="E431" s="0" t="str">
        <f aca="false">IF($A431="","",'Formation Initiale'!$B33)</f>
        <v>OS4</v>
      </c>
      <c r="F431" s="116" t="n">
        <f aca="false">IF($A431="","",'Formation Initiale'!$G33)</f>
        <v>46043</v>
      </c>
      <c r="G431" s="116" t="n">
        <f aca="false">IF($A431="","",'Formation Initiale'!$H33)</f>
        <v>46056</v>
      </c>
      <c r="H431" s="104" t="n">
        <f aca="false">IF($A431="","",'Formation Initiale'!$L33)</f>
        <v>0</v>
      </c>
      <c r="I431" s="0" t="str">
        <f aca="false">IF($A431="","",'Formation Initiale'!$R33)</f>
        <v>Terminé</v>
      </c>
      <c r="K431" s="104" t="n">
        <f aca="false">IF(A431="",0,IF(IFERROR(VLOOKUP(A431,Skills!$A:$M,13,FALSE()),"")="COS",0,IF(OR(I431="En cours",I431="À venir",I431="À planifier"),IF(AND(OR($C$3="Tous",$C$3="",C431=$C$3),OR($E$3="Tous",$E$3="",I431=$E$3)),1,0),0)))</f>
        <v>0</v>
      </c>
      <c r="L431" s="104" t="n">
        <f aca="false">L430+K431</f>
        <v>0</v>
      </c>
    </row>
    <row r="432" customFormat="false" ht="15" hidden="true" customHeight="true" outlineLevel="0" collapsed="false">
      <c r="A432" s="0" t="str">
        <f aca="false">IF('Formation Initiale'!$A34="","",'Formation Initiale'!$A34)</f>
        <v>TR032</v>
      </c>
      <c r="B432" s="0" t="str">
        <f aca="false">IF($A432="","",'Formation Initiale'!$E34)</f>
        <v>Ulmor Grangate</v>
      </c>
      <c r="C432" s="0" t="str">
        <f aca="false">IF($A432="","",'Formation Initiale'!$F34)</f>
        <v>Lisbonne</v>
      </c>
      <c r="D432" s="0" t="str">
        <f aca="false">IF($A432="","",IF('Formation Initiale'!$F34="Lisbonne","B2C (Initiale)","B2C+B2B (Initiale)"))</f>
        <v>B2C (Initiale)</v>
      </c>
      <c r="E432" s="0" t="str">
        <f aca="false">IF($A432="","",'Formation Initiale'!$B34)</f>
        <v>OS5</v>
      </c>
      <c r="F432" s="116" t="n">
        <f aca="false">IF($A432="","",'Formation Initiale'!$G34)</f>
        <v>46111</v>
      </c>
      <c r="G432" s="116" t="n">
        <f aca="false">IF($A432="","",'Formation Initiale'!$H34)</f>
        <v>46122</v>
      </c>
      <c r="H432" s="104" t="n">
        <f aca="false">IF($A432="","",'Formation Initiale'!$L34)</f>
        <v>0</v>
      </c>
      <c r="I432" s="0" t="str">
        <f aca="false">IF($A432="","",'Formation Initiale'!$R34)</f>
        <v>Terminé</v>
      </c>
      <c r="K432" s="104" t="n">
        <f aca="false">IF(A432="",0,IF(IFERROR(VLOOKUP(A432,Skills!$A:$M,13,FALSE()),"")="COS",0,IF(OR(I432="En cours",I432="À venir",I432="À planifier"),IF(AND(OR($C$3="Tous",$C$3="",C432=$C$3),OR($E$3="Tous",$E$3="",I432=$E$3)),1,0),0)))</f>
        <v>0</v>
      </c>
      <c r="L432" s="104" t="n">
        <f aca="false">L431+K432</f>
        <v>0</v>
      </c>
    </row>
    <row r="433" customFormat="false" ht="15" hidden="true" customHeight="true" outlineLevel="0" collapsed="false">
      <c r="A433" s="0" t="str">
        <f aca="false">IF('Formation Initiale'!$A35="","",'Formation Initiale'!$A35)</f>
        <v>TR092</v>
      </c>
      <c r="B433" s="0" t="str">
        <f aca="false">IF($A433="","",'Formation Initiale'!$E35)</f>
        <v>Dellfield Pykestone</v>
      </c>
      <c r="C433" s="0" t="str">
        <f aca="false">IF($A433="","",'Formation Initiale'!$F35)</f>
        <v>Lisbonne</v>
      </c>
      <c r="D433" s="0" t="str">
        <f aca="false">IF($A433="","",IF('Formation Initiale'!$F35="Lisbonne","B2C (Initiale)","B2C+B2B (Initiale)"))</f>
        <v>B2C (Initiale)</v>
      </c>
      <c r="E433" s="0" t="str">
        <f aca="false">IF($A433="","",'Formation Initiale'!$B35)</f>
        <v>OS5</v>
      </c>
      <c r="F433" s="116" t="n">
        <f aca="false">IF($A433="","",'Formation Initiale'!$G35)</f>
        <v>46111</v>
      </c>
      <c r="G433" s="116" t="n">
        <f aca="false">IF($A433="","",'Formation Initiale'!$H35)</f>
        <v>46122</v>
      </c>
      <c r="H433" s="104" t="n">
        <f aca="false">IF($A433="","",'Formation Initiale'!$L35)</f>
        <v>0</v>
      </c>
      <c r="I433" s="0" t="str">
        <f aca="false">IF($A433="","",'Formation Initiale'!$R35)</f>
        <v>Terminé</v>
      </c>
      <c r="K433" s="104" t="n">
        <f aca="false">IF(A433="",0,IF(IFERROR(VLOOKUP(A433,Skills!$A:$M,13,FALSE()),"")="COS",0,IF(OR(I433="En cours",I433="À venir",I433="À planifier"),IF(AND(OR($C$3="Tous",$C$3="",C433=$C$3),OR($E$3="Tous",$E$3="",I433=$E$3)),1,0),0)))</f>
        <v>0</v>
      </c>
      <c r="L433" s="104" t="n">
        <f aca="false">L432+K433</f>
        <v>0</v>
      </c>
    </row>
    <row r="434" customFormat="false" ht="15" hidden="true" customHeight="true" outlineLevel="0" collapsed="false">
      <c r="A434" s="0" t="str">
        <f aca="false">IF('Formation Initiale'!$A36="","",'Formation Initiale'!$A36)</f>
        <v>TR112</v>
      </c>
      <c r="B434" s="0" t="str">
        <f aca="false">IF($A434="","",'Formation Initiale'!$E36)</f>
        <v>Pelys Calic</v>
      </c>
      <c r="C434" s="0" t="str">
        <f aca="false">IF($A434="","",'Formation Initiale'!$F36)</f>
        <v>Lisbonne</v>
      </c>
      <c r="D434" s="0" t="str">
        <f aca="false">IF($A434="","",IF('Formation Initiale'!$F36="Lisbonne","B2C (Initiale)","B2C+B2B (Initiale)"))</f>
        <v>B2C (Initiale)</v>
      </c>
      <c r="E434" s="0" t="str">
        <f aca="false">IF($A434="","",'Formation Initiale'!$B36)</f>
        <v>OS5</v>
      </c>
      <c r="F434" s="116" t="n">
        <f aca="false">IF($A434="","",'Formation Initiale'!$G36)</f>
        <v>46111</v>
      </c>
      <c r="G434" s="116" t="n">
        <f aca="false">IF($A434="","",'Formation Initiale'!$H36)</f>
        <v>46122</v>
      </c>
      <c r="H434" s="104" t="n">
        <f aca="false">IF($A434="","",'Formation Initiale'!$L36)</f>
        <v>0</v>
      </c>
      <c r="I434" s="0" t="str">
        <f aca="false">IF($A434="","",'Formation Initiale'!$R36)</f>
        <v>Terminé</v>
      </c>
      <c r="K434" s="104" t="n">
        <f aca="false">IF(A434="",0,IF(IFERROR(VLOOKUP(A434,Skills!$A:$M,13,FALSE()),"")="COS",0,IF(OR(I434="En cours",I434="À venir",I434="À planifier"),IF(AND(OR($C$3="Tous",$C$3="",C434=$C$3),OR($E$3="Tous",$E$3="",I434=$E$3)),1,0),0)))</f>
        <v>0</v>
      </c>
      <c r="L434" s="104" t="n">
        <f aca="false">L433+K434</f>
        <v>0</v>
      </c>
    </row>
    <row r="435" customFormat="false" ht="15" hidden="true" customHeight="true" outlineLevel="0" collapsed="false">
      <c r="A435" s="0" t="str">
        <f aca="false">IF('Formation Initiale'!$A37="","",'Formation Initiale'!$A37)</f>
        <v>TR142</v>
      </c>
      <c r="B435" s="0" t="str">
        <f aca="false">IF($A435="","",'Formation Initiale'!$E37)</f>
        <v>Thornmont Nevar</v>
      </c>
      <c r="C435" s="0" t="str">
        <f aca="false">IF($A435="","",'Formation Initiale'!$F37)</f>
        <v>Lisbonne</v>
      </c>
      <c r="D435" s="0" t="str">
        <f aca="false">IF($A435="","",IF('Formation Initiale'!$F37="Lisbonne","B2C (Initiale)","B2C+B2B (Initiale)"))</f>
        <v>B2C (Initiale)</v>
      </c>
      <c r="E435" s="0" t="str">
        <f aca="false">IF($A435="","",'Formation Initiale'!$B37)</f>
        <v>OS5</v>
      </c>
      <c r="F435" s="116" t="n">
        <f aca="false">IF($A435="","",'Formation Initiale'!$G37)</f>
        <v>46111</v>
      </c>
      <c r="G435" s="116" t="n">
        <f aca="false">IF($A435="","",'Formation Initiale'!$H37)</f>
        <v>46122</v>
      </c>
      <c r="H435" s="104" t="n">
        <f aca="false">IF($A435="","",'Formation Initiale'!$L37)</f>
        <v>0</v>
      </c>
      <c r="I435" s="0" t="str">
        <f aca="false">IF($A435="","",'Formation Initiale'!$R37)</f>
        <v>Terminé</v>
      </c>
      <c r="K435" s="104" t="n">
        <f aca="false">IF(A435="",0,IF(IFERROR(VLOOKUP(A435,Skills!$A:$M,13,FALSE()),"")="COS",0,IF(OR(I435="En cours",I435="À venir",I435="À planifier"),IF(AND(OR($C$3="Tous",$C$3="",C435=$C$3),OR($E$3="Tous",$E$3="",I435=$E$3)),1,0),0)))</f>
        <v>0</v>
      </c>
      <c r="L435" s="104" t="n">
        <f aca="false">L434+K435</f>
        <v>0</v>
      </c>
    </row>
    <row r="436" customFormat="false" ht="15" hidden="true" customHeight="true" outlineLevel="0" collapsed="false">
      <c r="A436" s="0" t="str">
        <f aca="false">IF('Formation Initiale'!$A38="","",'Formation Initiale'!$A38)</f>
        <v>TR081</v>
      </c>
      <c r="B436" s="0" t="str">
        <f aca="false">IF($A436="","",'Formation Initiale'!$E38)</f>
        <v>Gilel Moron</v>
      </c>
      <c r="C436" s="0" t="str">
        <f aca="false">IF($A436="","",'Formation Initiale'!$F38)</f>
        <v>Lisbonne</v>
      </c>
      <c r="D436" s="0" t="str">
        <f aca="false">IF($A436="","",IF('Formation Initiale'!$F38="Lisbonne","B2C (Initiale)","B2C+B2B (Initiale)"))</f>
        <v>B2C (Initiale)</v>
      </c>
      <c r="E436" s="0" t="str">
        <f aca="false">IF($A436="","",'Formation Initiale'!$B38)</f>
        <v>OS5</v>
      </c>
      <c r="F436" s="116" t="n">
        <f aca="false">IF($A436="","",'Formation Initiale'!$G38)</f>
        <v>46111</v>
      </c>
      <c r="G436" s="116" t="n">
        <f aca="false">IF($A436="","",'Formation Initiale'!$H38)</f>
        <v>46122</v>
      </c>
      <c r="H436" s="104" t="n">
        <f aca="false">IF($A436="","",'Formation Initiale'!$L38)</f>
        <v>0</v>
      </c>
      <c r="I436" s="0" t="str">
        <f aca="false">IF($A436="","",'Formation Initiale'!$R38)</f>
        <v>Terminé</v>
      </c>
      <c r="K436" s="104" t="n">
        <f aca="false">IF(A436="",0,IF(IFERROR(VLOOKUP(A436,Skills!$A:$M,13,FALSE()),"")="COS",0,IF(OR(I436="En cours",I436="À venir",I436="À planifier"),IF(AND(OR($C$3="Tous",$C$3="",C436=$C$3),OR($E$3="Tous",$E$3="",I436=$E$3)),1,0),0)))</f>
        <v>0</v>
      </c>
      <c r="L436" s="104" t="n">
        <f aca="false">L435+K436</f>
        <v>0</v>
      </c>
    </row>
    <row r="437" customFormat="false" ht="15" hidden="true" customHeight="true" outlineLevel="0" collapsed="false">
      <c r="A437" s="0" t="str">
        <f aca="false">IF('Formation Initiale'!$A39="","",'Formation Initiale'!$A39)</f>
        <v>TR052</v>
      </c>
      <c r="B437" s="0" t="str">
        <f aca="false">IF($A437="","",'Formation Initiale'!$E39)</f>
        <v>Gilon Marsstone Dorol</v>
      </c>
      <c r="C437" s="0" t="str">
        <f aca="false">IF($A437="","",'Formation Initiale'!$F39)</f>
        <v>Lisbonne</v>
      </c>
      <c r="D437" s="0" t="str">
        <f aca="false">IF($A437="","",IF('Formation Initiale'!$F39="Lisbonne","B2C (Initiale)","B2C+B2B (Initiale)"))</f>
        <v>B2C (Initiale)</v>
      </c>
      <c r="E437" s="0" t="str">
        <f aca="false">IF($A437="","",'Formation Initiale'!$B39)</f>
        <v>OS6</v>
      </c>
      <c r="F437" s="116" t="n">
        <f aca="false">IF($A437="","",'Formation Initiale'!$G39)</f>
        <v>46132</v>
      </c>
      <c r="G437" s="116" t="n">
        <f aca="false">IF($A437="","",'Formation Initiale'!$H39)</f>
        <v>46143</v>
      </c>
      <c r="H437" s="104" t="n">
        <f aca="false">IF($A437="","",'Formation Initiale'!$L39)</f>
        <v>0</v>
      </c>
      <c r="I437" s="0" t="str">
        <f aca="false">IF($A437="","",'Formation Initiale'!$R39)</f>
        <v>Terminé</v>
      </c>
      <c r="K437" s="104" t="n">
        <f aca="false">IF(A437="",0,IF(IFERROR(VLOOKUP(A437,Skills!$A:$M,13,FALSE()),"")="COS",0,IF(OR(I437="En cours",I437="À venir",I437="À planifier"),IF(AND(OR($C$3="Tous",$C$3="",C437=$C$3),OR($E$3="Tous",$E$3="",I437=$E$3)),1,0),0)))</f>
        <v>0</v>
      </c>
      <c r="L437" s="104" t="n">
        <f aca="false">L436+K437</f>
        <v>0</v>
      </c>
    </row>
    <row r="438" customFormat="false" ht="15" hidden="true" customHeight="true" outlineLevel="0" collapsed="false">
      <c r="A438" s="0" t="str">
        <f aca="false">IF('Formation Initiale'!$A40="","",'Formation Initiale'!$A40)</f>
        <v>TR038</v>
      </c>
      <c r="B438" s="0" t="str">
        <f aca="false">IF($A438="","",'Formation Initiale'!$E40)</f>
        <v>Brammere Lumic</v>
      </c>
      <c r="C438" s="0" t="str">
        <f aca="false">IF($A438="","",'Formation Initiale'!$F40)</f>
        <v>Lisbonne</v>
      </c>
      <c r="D438" s="0" t="str">
        <f aca="false">IF($A438="","",IF('Formation Initiale'!$F40="Lisbonne","B2C (Initiale)","B2C+B2B (Initiale)"))</f>
        <v>B2C (Initiale)</v>
      </c>
      <c r="E438" s="0" t="str">
        <f aca="false">IF($A438="","",'Formation Initiale'!$B40)</f>
        <v>OS6</v>
      </c>
      <c r="F438" s="116" t="n">
        <f aca="false">IF($A438="","",'Formation Initiale'!$G40)</f>
        <v>46132</v>
      </c>
      <c r="G438" s="116" t="n">
        <f aca="false">IF($A438="","",'Formation Initiale'!$H40)</f>
        <v>46143</v>
      </c>
      <c r="H438" s="104" t="n">
        <f aca="false">IF($A438="","",'Formation Initiale'!$L40)</f>
        <v>0</v>
      </c>
      <c r="I438" s="0" t="str">
        <f aca="false">IF($A438="","",'Formation Initiale'!$R40)</f>
        <v>Terminé</v>
      </c>
      <c r="K438" s="104" t="n">
        <f aca="false">IF(A438="",0,IF(IFERROR(VLOOKUP(A438,Skills!$A:$M,13,FALSE()),"")="COS",0,IF(OR(I438="En cours",I438="À venir",I438="À planifier"),IF(AND(OR($C$3="Tous",$C$3="",C438=$C$3),OR($E$3="Tous",$E$3="",I438=$E$3)),1,0),0)))</f>
        <v>0</v>
      </c>
      <c r="L438" s="104" t="n">
        <f aca="false">L437+K438</f>
        <v>0</v>
      </c>
    </row>
    <row r="439" customFormat="false" ht="15" hidden="true" customHeight="true" outlineLevel="0" collapsed="false">
      <c r="A439" s="0" t="str">
        <f aca="false">IF('Formation Initiale'!$A41="","",'Formation Initiale'!$A41)</f>
        <v>TR102</v>
      </c>
      <c r="B439" s="0" t="str">
        <f aca="false">IF($A439="","",'Formation Initiale'!$E41)</f>
        <v>Corrfield Orinus Jorith</v>
      </c>
      <c r="C439" s="0" t="str">
        <f aca="false">IF($A439="","",'Formation Initiale'!$F41)</f>
        <v>Lisbonne</v>
      </c>
      <c r="D439" s="0" t="str">
        <f aca="false">IF($A439="","",IF('Formation Initiale'!$F41="Lisbonne","B2C (Initiale)","B2C+B2B (Initiale)"))</f>
        <v>B2C (Initiale)</v>
      </c>
      <c r="E439" s="0" t="str">
        <f aca="false">IF($A439="","",'Formation Initiale'!$B41)</f>
        <v>OS6</v>
      </c>
      <c r="F439" s="116" t="n">
        <f aca="false">IF($A439="","",'Formation Initiale'!$G41)</f>
        <v>46132</v>
      </c>
      <c r="G439" s="116" t="n">
        <f aca="false">IF($A439="","",'Formation Initiale'!$H41)</f>
        <v>46143</v>
      </c>
      <c r="H439" s="104" t="n">
        <f aca="false">IF($A439="","",'Formation Initiale'!$L41)</f>
        <v>0</v>
      </c>
      <c r="I439" s="0" t="str">
        <f aca="false">IF($A439="","",'Formation Initiale'!$R41)</f>
        <v>Terminé</v>
      </c>
      <c r="K439" s="104" t="n">
        <f aca="false">IF(A439="",0,IF(IFERROR(VLOOKUP(A439,Skills!$A:$M,13,FALSE()),"")="COS",0,IF(OR(I439="En cours",I439="À venir",I439="À planifier"),IF(AND(OR($C$3="Tous",$C$3="",C439=$C$3),OR($E$3="Tous",$E$3="",I439=$E$3)),1,0),0)))</f>
        <v>0</v>
      </c>
      <c r="L439" s="104" t="n">
        <f aca="false">L438+K439</f>
        <v>0</v>
      </c>
    </row>
    <row r="440" customFormat="false" ht="15" hidden="true" customHeight="true" outlineLevel="0" collapsed="false">
      <c r="A440" s="0" t="str">
        <f aca="false">IF('Formation Initiale'!$A42="","",'Formation Initiale'!$A42)</f>
        <v>TR123</v>
      </c>
      <c r="B440" s="0" t="str">
        <f aca="false">IF($A440="","",'Formation Initiale'!$E42)</f>
        <v>Stelmere Wrenbrook</v>
      </c>
      <c r="C440" s="0" t="str">
        <f aca="false">IF($A440="","",'Formation Initiale'!$F42)</f>
        <v>Lisbonne</v>
      </c>
      <c r="D440" s="0" t="str">
        <f aca="false">IF($A440="","",IF('Formation Initiale'!$F42="Lisbonne","B2C (Initiale)","B2C+B2B (Initiale)"))</f>
        <v>B2C (Initiale)</v>
      </c>
      <c r="E440" s="0" t="str">
        <f aca="false">IF($A440="","",'Formation Initiale'!$B42)</f>
        <v>OS6</v>
      </c>
      <c r="F440" s="116" t="n">
        <f aca="false">IF($A440="","",'Formation Initiale'!$G42)</f>
        <v>46132</v>
      </c>
      <c r="G440" s="116" t="n">
        <f aca="false">IF($A440="","",'Formation Initiale'!$H42)</f>
        <v>46143</v>
      </c>
      <c r="H440" s="104" t="n">
        <f aca="false">IF($A440="","",'Formation Initiale'!$L42)</f>
        <v>0</v>
      </c>
      <c r="I440" s="0" t="str">
        <f aca="false">IF($A440="","",'Formation Initiale'!$R42)</f>
        <v>Terminé</v>
      </c>
      <c r="K440" s="104" t="n">
        <f aca="false">IF(A440="",0,IF(IFERROR(VLOOKUP(A440,Skills!$A:$M,13,FALSE()),"")="COS",0,IF(OR(I440="En cours",I440="À venir",I440="À planifier"),IF(AND(OR($C$3="Tous",$C$3="",C440=$C$3),OR($E$3="Tous",$E$3="",I440=$E$3)),1,0),0)))</f>
        <v>0</v>
      </c>
      <c r="L440" s="104" t="n">
        <f aca="false">L439+K440</f>
        <v>0</v>
      </c>
    </row>
    <row r="441" customFormat="false" ht="15" hidden="true" customHeight="true" outlineLevel="0" collapsed="false">
      <c r="A441" s="0" t="str">
        <f aca="false">IF('Formation Initiale'!$A43="","",'Formation Initiale'!$A43)</f>
        <v>TR005</v>
      </c>
      <c r="B441" s="0" t="str">
        <f aca="false">IF($A441="","",'Formation Initiale'!$E43)</f>
        <v>Dellshaw Gilith</v>
      </c>
      <c r="C441" s="0" t="str">
        <f aca="false">IF($A441="","",'Formation Initiale'!$F43)</f>
        <v>Lisbonne</v>
      </c>
      <c r="D441" s="0" t="str">
        <f aca="false">IF($A441="","",IF('Formation Initiale'!$F43="Lisbonne","B2C (Initiale)","B2C+B2B (Initiale)"))</f>
        <v>B2C (Initiale)</v>
      </c>
      <c r="E441" s="0" t="str">
        <f aca="false">IF($A441="","",'Formation Initiale'!$B43)</f>
        <v>OS7</v>
      </c>
      <c r="F441" s="116" t="n">
        <f aca="false">IF($A441="","",'Formation Initiale'!$G43)</f>
        <v>46139</v>
      </c>
      <c r="G441" s="116" t="n">
        <f aca="false">IF($A441="","",'Formation Initiale'!$H43)</f>
        <v>46150</v>
      </c>
      <c r="H441" s="104" t="n">
        <f aca="false">IF($A441="","",'Formation Initiale'!$L43)</f>
        <v>0</v>
      </c>
      <c r="I441" s="0" t="str">
        <f aca="false">IF($A441="","",'Formation Initiale'!$R43)</f>
        <v>Terminé</v>
      </c>
      <c r="K441" s="104" t="n">
        <f aca="false">IF(A441="",0,IF(IFERROR(VLOOKUP(A441,Skills!$A:$M,13,FALSE()),"")="COS",0,IF(OR(I441="En cours",I441="À venir",I441="À planifier"),IF(AND(OR($C$3="Tous",$C$3="",C441=$C$3),OR($E$3="Tous",$E$3="",I441=$E$3)),1,0),0)))</f>
        <v>0</v>
      </c>
      <c r="L441" s="104" t="n">
        <f aca="false">L440+K441</f>
        <v>0</v>
      </c>
    </row>
    <row r="442" customFormat="false" ht="15" hidden="true" customHeight="true" outlineLevel="0" collapsed="false">
      <c r="A442" s="0" t="str">
        <f aca="false">IF('Formation Initiale'!$A44="","",'Formation Initiale'!$A44)</f>
        <v>TR014</v>
      </c>
      <c r="B442" s="0" t="str">
        <f aca="false">IF($A442="","",'Formation Initiale'!$E44)</f>
        <v>Selel Fairwood</v>
      </c>
      <c r="C442" s="0" t="str">
        <f aca="false">IF($A442="","",'Formation Initiale'!$F44)</f>
        <v>Lisbonne</v>
      </c>
      <c r="D442" s="0" t="str">
        <f aca="false">IF($A442="","",IF('Formation Initiale'!$F44="Lisbonne","B2C (Initiale)","B2C+B2B (Initiale)"))</f>
        <v>B2C (Initiale)</v>
      </c>
      <c r="E442" s="0" t="str">
        <f aca="false">IF($A442="","",'Formation Initiale'!$B44)</f>
        <v>OS7</v>
      </c>
      <c r="F442" s="116" t="n">
        <f aca="false">IF($A442="","",'Formation Initiale'!$G44)</f>
        <v>46139</v>
      </c>
      <c r="G442" s="116" t="n">
        <f aca="false">IF($A442="","",'Formation Initiale'!$H44)</f>
        <v>46150</v>
      </c>
      <c r="H442" s="104" t="n">
        <f aca="false">IF($A442="","",'Formation Initiale'!$L44)</f>
        <v>0</v>
      </c>
      <c r="I442" s="0" t="str">
        <f aca="false">IF($A442="","",'Formation Initiale'!$R44)</f>
        <v>Terminé</v>
      </c>
      <c r="K442" s="104" t="n">
        <f aca="false">IF(A442="",0,IF(IFERROR(VLOOKUP(A442,Skills!$A:$M,13,FALSE()),"")="COS",0,IF(OR(I442="En cours",I442="À venir",I442="À planifier"),IF(AND(OR($C$3="Tous",$C$3="",C442=$C$3),OR($E$3="Tous",$E$3="",I442=$E$3)),1,0),0)))</f>
        <v>0</v>
      </c>
      <c r="L442" s="104" t="n">
        <f aca="false">L441+K442</f>
        <v>0</v>
      </c>
    </row>
    <row r="443" customFormat="false" ht="15" hidden="true" customHeight="true" outlineLevel="0" collapsed="false">
      <c r="A443" s="0" t="str">
        <f aca="false">IF('Formation Initiale'!$A45="","",'Formation Initiale'!$A45)</f>
        <v>TR103</v>
      </c>
      <c r="B443" s="0" t="str">
        <f aca="false">IF($A443="","",'Formation Initiale'!$E45)</f>
        <v>Ashdale Kelan</v>
      </c>
      <c r="C443" s="0" t="str">
        <f aca="false">IF($A443="","",'Formation Initiale'!$F45)</f>
        <v>Lisbonne</v>
      </c>
      <c r="D443" s="0" t="str">
        <f aca="false">IF($A443="","",IF('Formation Initiale'!$F45="Lisbonne","B2C (Initiale)","B2C+B2B (Initiale)"))</f>
        <v>B2C (Initiale)</v>
      </c>
      <c r="E443" s="0" t="str">
        <f aca="false">IF($A443="","",'Formation Initiale'!$B45)</f>
        <v>OS7</v>
      </c>
      <c r="F443" s="116" t="n">
        <f aca="false">IF($A443="","",'Formation Initiale'!$G45)</f>
        <v>46139</v>
      </c>
      <c r="G443" s="116" t="n">
        <f aca="false">IF($A443="","",'Formation Initiale'!$H45)</f>
        <v>46150</v>
      </c>
      <c r="H443" s="104" t="n">
        <f aca="false">IF($A443="","",'Formation Initiale'!$L45)</f>
        <v>0</v>
      </c>
      <c r="I443" s="0" t="str">
        <f aca="false">IF($A443="","",'Formation Initiale'!$R45)</f>
        <v>Terminé</v>
      </c>
      <c r="K443" s="104" t="n">
        <f aca="false">IF(A443="",0,IF(IFERROR(VLOOKUP(A443,Skills!$A:$M,13,FALSE()),"")="COS",0,IF(OR(I443="En cours",I443="À venir",I443="À planifier"),IF(AND(OR($C$3="Tous",$C$3="",C443=$C$3),OR($E$3="Tous",$E$3="",I443=$E$3)),1,0),0)))</f>
        <v>0</v>
      </c>
      <c r="L443" s="104" t="n">
        <f aca="false">L442+K443</f>
        <v>0</v>
      </c>
    </row>
    <row r="444" customFormat="false" ht="15" hidden="true" customHeight="true" outlineLevel="0" collapsed="false">
      <c r="A444" s="0" t="str">
        <f aca="false">IF('Formation Initiale'!$A46="","",'Formation Initiale'!$A46)</f>
        <v>TR101</v>
      </c>
      <c r="B444" s="0" t="str">
        <f aca="false">IF($A444="","",'Formation Initiale'!$E46)</f>
        <v>Wesar Selys</v>
      </c>
      <c r="C444" s="0" t="str">
        <f aca="false">IF($A444="","",'Formation Initiale'!$F46)</f>
        <v>Lisbonne</v>
      </c>
      <c r="D444" s="0" t="str">
        <f aca="false">IF($A444="","",IF('Formation Initiale'!$F46="Lisbonne","B2C (Initiale)","B2C+B2B (Initiale)"))</f>
        <v>B2C (Initiale)</v>
      </c>
      <c r="E444" s="0" t="str">
        <f aca="false">IF($A444="","",'Formation Initiale'!$B46)</f>
        <v>OS7</v>
      </c>
      <c r="F444" s="116" t="n">
        <f aca="false">IF($A444="","",'Formation Initiale'!$G46)</f>
        <v>46139</v>
      </c>
      <c r="G444" s="116" t="n">
        <f aca="false">IF($A444="","",'Formation Initiale'!$H46)</f>
        <v>46150</v>
      </c>
      <c r="H444" s="104" t="n">
        <f aca="false">IF($A444="","",'Formation Initiale'!$L46)</f>
        <v>0</v>
      </c>
      <c r="I444" s="0" t="str">
        <f aca="false">IF($A444="","",'Formation Initiale'!$R46)</f>
        <v>Terminé</v>
      </c>
      <c r="K444" s="104" t="n">
        <f aca="false">IF(A444="",0,IF(IFERROR(VLOOKUP(A444,Skills!$A:$M,13,FALSE()),"")="COS",0,IF(OR(I444="En cours",I444="À venir",I444="À planifier"),IF(AND(OR($C$3="Tous",$C$3="",C444=$C$3),OR($E$3="Tous",$E$3="",I444=$E$3)),1,0),0)))</f>
        <v>0</v>
      </c>
      <c r="L444" s="104" t="n">
        <f aca="false">L443+K444</f>
        <v>0</v>
      </c>
    </row>
    <row r="445" customFormat="false" ht="15" hidden="true" customHeight="true" outlineLevel="0" collapsed="false">
      <c r="A445" s="0" t="str">
        <f aca="false">IF('Formation Initiale'!$A47="","",'Formation Initiale'!$A47)</f>
        <v>TR146</v>
      </c>
      <c r="B445" s="0" t="str">
        <f aca="false">IF($A445="","",'Formation Initiale'!$E47)</f>
        <v>Moror Vorir</v>
      </c>
      <c r="C445" s="0" t="str">
        <f aca="false">IF($A445="","",'Formation Initiale'!$F47)</f>
        <v>Lisbonne</v>
      </c>
      <c r="D445" s="0" t="str">
        <f aca="false">IF($A445="","",IF('Formation Initiale'!$F47="Lisbonne","B2C (Initiale)","B2C+B2B (Initiale)"))</f>
        <v>B2C (Initiale)</v>
      </c>
      <c r="E445" s="0" t="str">
        <f aca="false">IF($A445="","",'Formation Initiale'!$B47)</f>
        <v>OS7</v>
      </c>
      <c r="F445" s="116" t="n">
        <f aca="false">IF($A445="","",'Formation Initiale'!$G47)</f>
        <v>46139</v>
      </c>
      <c r="G445" s="116" t="n">
        <f aca="false">IF($A445="","",'Formation Initiale'!$H47)</f>
        <v>46150</v>
      </c>
      <c r="H445" s="104" t="n">
        <f aca="false">IF($A445="","",'Formation Initiale'!$L47)</f>
        <v>0</v>
      </c>
      <c r="I445" s="0" t="str">
        <f aca="false">IF($A445="","",'Formation Initiale'!$R47)</f>
        <v>Terminé</v>
      </c>
      <c r="K445" s="104" t="n">
        <f aca="false">IF(A445="",0,IF(IFERROR(VLOOKUP(A445,Skills!$A:$M,13,FALSE()),"")="COS",0,IF(OR(I445="En cours",I445="À venir",I445="À planifier"),IF(AND(OR($C$3="Tous",$C$3="",C445=$C$3),OR($E$3="Tous",$E$3="",I445=$E$3)),1,0),0)))</f>
        <v>0</v>
      </c>
      <c r="L445" s="104" t="n">
        <f aca="false">L444+K445</f>
        <v>0</v>
      </c>
    </row>
    <row r="446" customFormat="false" ht="15" hidden="true" customHeight="true" outlineLevel="0" collapsed="false">
      <c r="A446" s="0" t="str">
        <f aca="false">IF('Formation Initiale'!$A48="","",'Formation Initiale'!$A48)</f>
        <v>TR065</v>
      </c>
      <c r="B446" s="0" t="str">
        <f aca="false">IF($A446="","",'Formation Initiale'!$E48)</f>
        <v>Vorol Quenir</v>
      </c>
      <c r="C446" s="0" t="str">
        <f aca="false">IF($A446="","",'Formation Initiale'!$F48)</f>
        <v>Lisbonne</v>
      </c>
      <c r="D446" s="0" t="str">
        <f aca="false">IF($A446="","",IF('Formation Initiale'!$F48="Lisbonne","B2C (Initiale)","B2C+B2B (Initiale)"))</f>
        <v>B2C (Initiale)</v>
      </c>
      <c r="E446" s="0" t="str">
        <f aca="false">IF($A446="","",'Formation Initiale'!$B48)</f>
        <v>OS7</v>
      </c>
      <c r="F446" s="116" t="n">
        <f aca="false">IF($A446="","",'Formation Initiale'!$G48)</f>
        <v>46139</v>
      </c>
      <c r="G446" s="116" t="n">
        <f aca="false">IF($A446="","",'Formation Initiale'!$H48)</f>
        <v>46150</v>
      </c>
      <c r="H446" s="104" t="n">
        <f aca="false">IF($A446="","",'Formation Initiale'!$L48)</f>
        <v>0</v>
      </c>
      <c r="I446" s="0" t="str">
        <f aca="false">IF($A446="","",'Formation Initiale'!$R48)</f>
        <v>Terminé</v>
      </c>
      <c r="K446" s="104" t="n">
        <f aca="false">IF(A446="",0,IF(IFERROR(VLOOKUP(A446,Skills!$A:$M,13,FALSE()),"")="COS",0,IF(OR(I446="En cours",I446="À venir",I446="À planifier"),IF(AND(OR($C$3="Tous",$C$3="",C446=$C$3),OR($E$3="Tous",$E$3="",I446=$E$3)),1,0),0)))</f>
        <v>0</v>
      </c>
      <c r="L446" s="104" t="n">
        <f aca="false">L445+K446</f>
        <v>0</v>
      </c>
    </row>
    <row r="447" customFormat="false" ht="15" hidden="true" customHeight="true" outlineLevel="0" collapsed="false">
      <c r="A447" s="0" t="str">
        <f aca="false">IF('Formation Initiale'!$A49="","",'Formation Initiale'!$A49)</f>
        <v>TR144</v>
      </c>
      <c r="B447" s="0" t="str">
        <f aca="false">IF($A447="","",'Formation Initiale'!$E49)</f>
        <v>Yorol Ashbrook</v>
      </c>
      <c r="C447" s="0" t="str">
        <f aca="false">IF($A447="","",'Formation Initiale'!$F49)</f>
        <v>Montréal</v>
      </c>
      <c r="D447" s="0" t="str">
        <f aca="false">IF($A447="","",IF('Formation Initiale'!$F49="Lisbonne","B2C (Initiale)","B2C+B2B (Initiale)"))</f>
        <v>B2C+B2B (Initiale)</v>
      </c>
      <c r="E447" s="0" t="str">
        <f aca="false">IF($A447="","",'Formation Initiale'!$B49)</f>
        <v>173</v>
      </c>
      <c r="F447" s="116" t="n">
        <f aca="false">IF($A447="","",'Formation Initiale'!$G49)</f>
        <v>46056</v>
      </c>
      <c r="G447" s="116" t="n">
        <f aca="false">IF($A447="","",'Formation Initiale'!$H49)</f>
        <v>46070</v>
      </c>
      <c r="H447" s="104" t="n">
        <f aca="false">IF($A447="","",'Formation Initiale'!$L49)</f>
        <v>0</v>
      </c>
      <c r="I447" s="0" t="str">
        <f aca="false">IF($A447="","",'Formation Initiale'!$R49)</f>
        <v>Terminé</v>
      </c>
      <c r="K447" s="104" t="n">
        <f aca="false">IF(A447="",0,IF(IFERROR(VLOOKUP(A447,Skills!$A:$M,13,FALSE()),"")="COS",0,IF(OR(I447="En cours",I447="À venir",I447="À planifier"),IF(AND(OR($C$3="Tous",$C$3="",C447=$C$3),OR($E$3="Tous",$E$3="",I447=$E$3)),1,0),0)))</f>
        <v>0</v>
      </c>
      <c r="L447" s="104" t="n">
        <f aca="false">L446+K447</f>
        <v>0</v>
      </c>
    </row>
    <row r="448" customFormat="false" ht="15" hidden="true" customHeight="true" outlineLevel="0" collapsed="false">
      <c r="A448" s="0" t="str">
        <f aca="false">IF('Formation Initiale'!$A50="","",'Formation Initiale'!$A50)</f>
        <v>TR026</v>
      </c>
      <c r="B448" s="0" t="str">
        <f aca="false">IF($A448="","",'Formation Initiale'!$E50)</f>
        <v>Selar Gilen</v>
      </c>
      <c r="C448" s="0" t="str">
        <f aca="false">IF($A448="","",'Formation Initiale'!$F50)</f>
        <v>Montréal</v>
      </c>
      <c r="D448" s="0" t="str">
        <f aca="false">IF($A448="","",IF('Formation Initiale'!$F50="Lisbonne","B2C (Initiale)","B2C+B2B (Initiale)"))</f>
        <v>B2C+B2B (Initiale)</v>
      </c>
      <c r="E448" s="0" t="str">
        <f aca="false">IF($A448="","",'Formation Initiale'!$B50)</f>
        <v>173</v>
      </c>
      <c r="F448" s="116" t="n">
        <f aca="false">IF($A448="","",'Formation Initiale'!$G50)</f>
        <v>46056</v>
      </c>
      <c r="G448" s="116" t="n">
        <f aca="false">IF($A448="","",'Formation Initiale'!$H50)</f>
        <v>46070</v>
      </c>
      <c r="H448" s="104" t="n">
        <f aca="false">IF($A448="","",'Formation Initiale'!$L50)</f>
        <v>0</v>
      </c>
      <c r="I448" s="0" t="str">
        <f aca="false">IF($A448="","",'Formation Initiale'!$R50)</f>
        <v>Terminé</v>
      </c>
      <c r="K448" s="104" t="n">
        <f aca="false">IF(A448="",0,IF(IFERROR(VLOOKUP(A448,Skills!$A:$M,13,FALSE()),"")="COS",0,IF(OR(I448="En cours",I448="À venir",I448="À planifier"),IF(AND(OR($C$3="Tous",$C$3="",C448=$C$3),OR($E$3="Tous",$E$3="",I448=$E$3)),1,0),0)))</f>
        <v>0</v>
      </c>
      <c r="L448" s="104" t="n">
        <f aca="false">L447+K448</f>
        <v>0</v>
      </c>
    </row>
    <row r="449" customFormat="false" ht="15" hidden="true" customHeight="true" outlineLevel="0" collapsed="false">
      <c r="A449" s="0" t="str">
        <f aca="false">IF('Formation Initiale'!$A51="","",'Formation Initiale'!$A51)</f>
        <v>TR107</v>
      </c>
      <c r="B449" s="0" t="str">
        <f aca="false">IF($A449="","",'Formation Initiale'!$E51)</f>
        <v>Ivershaw Iverworth</v>
      </c>
      <c r="C449" s="0" t="str">
        <f aca="false">IF($A449="","",'Formation Initiale'!$F51)</f>
        <v>Montréal</v>
      </c>
      <c r="D449" s="0" t="str">
        <f aca="false">IF($A449="","",IF('Formation Initiale'!$F51="Lisbonne","B2C (Initiale)","B2C+B2B (Initiale)"))</f>
        <v>B2C+B2B (Initiale)</v>
      </c>
      <c r="E449" s="0" t="str">
        <f aca="false">IF($A449="","",'Formation Initiale'!$B51)</f>
        <v>173</v>
      </c>
      <c r="F449" s="116" t="n">
        <f aca="false">IF($A449="","",'Formation Initiale'!$G51)</f>
        <v>46056</v>
      </c>
      <c r="G449" s="116" t="n">
        <f aca="false">IF($A449="","",'Formation Initiale'!$H51)</f>
        <v>46070</v>
      </c>
      <c r="H449" s="104" t="n">
        <f aca="false">IF($A449="","",'Formation Initiale'!$L51)</f>
        <v>0</v>
      </c>
      <c r="I449" s="0" t="str">
        <f aca="false">IF($A449="","",'Formation Initiale'!$R51)</f>
        <v>Terminé</v>
      </c>
      <c r="K449" s="104" t="n">
        <f aca="false">IF(A449="",0,IF(IFERROR(VLOOKUP(A449,Skills!$A:$M,13,FALSE()),"")="COS",0,IF(OR(I449="En cours",I449="À venir",I449="À planifier"),IF(AND(OR($C$3="Tous",$C$3="",C449=$C$3),OR($E$3="Tous",$E$3="",I449=$E$3)),1,0),0)))</f>
        <v>0</v>
      </c>
      <c r="L449" s="104" t="n">
        <f aca="false">L448+K449</f>
        <v>0</v>
      </c>
    </row>
    <row r="450" customFormat="false" ht="15" hidden="true" customHeight="true" outlineLevel="0" collapsed="false">
      <c r="A450" s="0" t="str">
        <f aca="false">IF('Formation Initiale'!$A52="","",'Formation Initiale'!$A52)</f>
        <v>TR113</v>
      </c>
      <c r="B450" s="0" t="str">
        <f aca="false">IF($A450="","",'Formation Initiale'!$E52)</f>
        <v>Dellworth Joric</v>
      </c>
      <c r="C450" s="0" t="str">
        <f aca="false">IF($A450="","",'Formation Initiale'!$F52)</f>
        <v>Montréal</v>
      </c>
      <c r="D450" s="0" t="str">
        <f aca="false">IF($A450="","",IF('Formation Initiale'!$F52="Lisbonne","B2C (Initiale)","B2C+B2B (Initiale)"))</f>
        <v>B2C+B2B (Initiale)</v>
      </c>
      <c r="E450" s="0" t="str">
        <f aca="false">IF($A450="","",'Formation Initiale'!$B52)</f>
        <v>173</v>
      </c>
      <c r="F450" s="116" t="n">
        <f aca="false">IF($A450="","",'Formation Initiale'!$G52)</f>
        <v>46056</v>
      </c>
      <c r="G450" s="116" t="n">
        <f aca="false">IF($A450="","",'Formation Initiale'!$H52)</f>
        <v>46070</v>
      </c>
      <c r="H450" s="104" t="n">
        <f aca="false">IF($A450="","",'Formation Initiale'!$L52)</f>
        <v>0</v>
      </c>
      <c r="I450" s="0" t="str">
        <f aca="false">IF($A450="","",'Formation Initiale'!$R52)</f>
        <v>Terminé</v>
      </c>
      <c r="K450" s="104" t="n">
        <f aca="false">IF(A450="",0,IF(IFERROR(VLOOKUP(A450,Skills!$A:$M,13,FALSE()),"")="COS",0,IF(OR(I450="En cours",I450="À venir",I450="À planifier"),IF(AND(OR($C$3="Tous",$C$3="",C450=$C$3),OR($E$3="Tous",$E$3="",I450=$E$3)),1,0),0)))</f>
        <v>0</v>
      </c>
      <c r="L450" s="104" t="n">
        <f aca="false">L449+K450</f>
        <v>0</v>
      </c>
    </row>
    <row r="451" customFormat="false" ht="15" hidden="true" customHeight="true" outlineLevel="0" collapsed="false">
      <c r="A451" s="0" t="str">
        <f aca="false">IF('Formation Initiale'!$A53="","",'Formation Initiale'!$A53)</f>
        <v>TR044</v>
      </c>
      <c r="B451" s="0" t="str">
        <f aca="false">IF($A451="","",'Formation Initiale'!$E53)</f>
        <v>Rownbrook Orinar</v>
      </c>
      <c r="C451" s="0" t="str">
        <f aca="false">IF($A451="","",'Formation Initiale'!$F53)</f>
        <v>Montréal</v>
      </c>
      <c r="D451" s="0" t="str">
        <f aca="false">IF($A451="","",IF('Formation Initiale'!$F53="Lisbonne","B2C (Initiale)","B2C+B2B (Initiale)"))</f>
        <v>B2C+B2B (Initiale)</v>
      </c>
      <c r="E451" s="0" t="str">
        <f aca="false">IF($A451="","",'Formation Initiale'!$B53)</f>
        <v>173</v>
      </c>
      <c r="F451" s="116" t="n">
        <f aca="false">IF($A451="","",'Formation Initiale'!$G53)</f>
        <v>46056</v>
      </c>
      <c r="G451" s="116" t="n">
        <f aca="false">IF($A451="","",'Formation Initiale'!$H53)</f>
        <v>46070</v>
      </c>
      <c r="H451" s="104" t="n">
        <f aca="false">IF($A451="","",'Formation Initiale'!$L53)</f>
        <v>0</v>
      </c>
      <c r="I451" s="0" t="str">
        <f aca="false">IF($A451="","",'Formation Initiale'!$R53)</f>
        <v>Terminé</v>
      </c>
      <c r="K451" s="104" t="n">
        <f aca="false">IF(A451="",0,IF(IFERROR(VLOOKUP(A451,Skills!$A:$M,13,FALSE()),"")="COS",0,IF(OR(I451="En cours",I451="À venir",I451="À planifier"),IF(AND(OR($C$3="Tous",$C$3="",C451=$C$3),OR($E$3="Tous",$E$3="",I451=$E$3)),1,0),0)))</f>
        <v>0</v>
      </c>
      <c r="L451" s="104" t="n">
        <f aca="false">L450+K451</f>
        <v>0</v>
      </c>
    </row>
    <row r="452" customFormat="false" ht="15" hidden="true" customHeight="true" outlineLevel="0" collapsed="false">
      <c r="A452" s="0" t="str">
        <f aca="false">IF('Formation Initiale'!$A54="","",'Formation Initiale'!$A54)</f>
        <v>TR135</v>
      </c>
      <c r="B452" s="0" t="str">
        <f aca="false">IF($A452="","",'Formation Initiale'!$E54)</f>
        <v>Brael Larkwood Nevil Nevic</v>
      </c>
      <c r="C452" s="0" t="str">
        <f aca="false">IF($A452="","",'Formation Initiale'!$F54)</f>
        <v>Montréal</v>
      </c>
      <c r="D452" s="0" t="str">
        <f aca="false">IF($A452="","",IF('Formation Initiale'!$F54="Lisbonne","B2C (Initiale)","B2C+B2B (Initiale)"))</f>
        <v>B2C+B2B (Initiale)</v>
      </c>
      <c r="E452" s="0" t="str">
        <f aca="false">IF($A452="","",'Formation Initiale'!$B54)</f>
        <v>173</v>
      </c>
      <c r="F452" s="116" t="n">
        <f aca="false">IF($A452="","",'Formation Initiale'!$G54)</f>
        <v>46056</v>
      </c>
      <c r="G452" s="116" t="n">
        <f aca="false">IF($A452="","",'Formation Initiale'!$H54)</f>
        <v>46070</v>
      </c>
      <c r="H452" s="104" t="n">
        <f aca="false">IF($A452="","",'Formation Initiale'!$L54)</f>
        <v>0</v>
      </c>
      <c r="I452" s="0" t="str">
        <f aca="false">IF($A452="","",'Formation Initiale'!$R54)</f>
        <v>Terminé</v>
      </c>
      <c r="K452" s="104" t="n">
        <f aca="false">IF(A452="",0,IF(IFERROR(VLOOKUP(A452,Skills!$A:$M,13,FALSE()),"")="COS",0,IF(OR(I452="En cours",I452="À venir",I452="À planifier"),IF(AND(OR($C$3="Tous",$C$3="",C452=$C$3),OR($E$3="Tous",$E$3="",I452=$E$3)),1,0),0)))</f>
        <v>0</v>
      </c>
      <c r="L452" s="104" t="n">
        <f aca="false">L451+K452</f>
        <v>0</v>
      </c>
    </row>
    <row r="453" customFormat="false" ht="15" hidden="true" customHeight="true" outlineLevel="0" collapsed="false">
      <c r="A453" s="0" t="str">
        <f aca="false">IF('Formation Initiale'!$A55="","",'Formation Initiale'!$A55)</f>
        <v>TR048</v>
      </c>
      <c r="B453" s="0" t="str">
        <f aca="false">IF($A453="","",'Formation Initiale'!$E55)</f>
        <v>Yoren Selon</v>
      </c>
      <c r="C453" s="0" t="str">
        <f aca="false">IF($A453="","",'Formation Initiale'!$F55)</f>
        <v>Montréal</v>
      </c>
      <c r="D453" s="0" t="str">
        <f aca="false">IF($A453="","",IF('Formation Initiale'!$F55="Lisbonne","B2C (Initiale)","B2C+B2B (Initiale)"))</f>
        <v>B2C+B2B (Initiale)</v>
      </c>
      <c r="E453" s="0" t="str">
        <f aca="false">IF($A453="","",'Formation Initiale'!$B55)</f>
        <v>174</v>
      </c>
      <c r="F453" s="116" t="n">
        <f aca="false">IF($A453="","",'Formation Initiale'!$G55)</f>
        <v>46099</v>
      </c>
      <c r="G453" s="116" t="n">
        <f aca="false">IF($A453="","",'Formation Initiale'!$H55)</f>
        <v>46114</v>
      </c>
      <c r="H453" s="104" t="n">
        <f aca="false">IF($A453="","",'Formation Initiale'!$L55)</f>
        <v>0</v>
      </c>
      <c r="I453" s="0" t="str">
        <f aca="false">IF($A453="","",'Formation Initiale'!$R55)</f>
        <v>Terminé</v>
      </c>
      <c r="K453" s="104" t="n">
        <f aca="false">IF(A453="",0,IF(IFERROR(VLOOKUP(A453,Skills!$A:$M,13,FALSE()),"")="COS",0,IF(OR(I453="En cours",I453="À venir",I453="À planifier"),IF(AND(OR($C$3="Tous",$C$3="",C453=$C$3),OR($E$3="Tous",$E$3="",I453=$E$3)),1,0),0)))</f>
        <v>0</v>
      </c>
      <c r="L453" s="104" t="n">
        <f aca="false">L452+K453</f>
        <v>0</v>
      </c>
    </row>
    <row r="454" customFormat="false" ht="15" hidden="true" customHeight="true" outlineLevel="0" collapsed="false">
      <c r="A454" s="0" t="str">
        <f aca="false">IF('Formation Initiale'!$A56="","",'Formation Initiale'!$A56)</f>
        <v>TR110</v>
      </c>
      <c r="B454" s="0" t="str">
        <f aca="false">IF($A454="","",'Formation Initiale'!$E56)</f>
        <v>Everworth Voran</v>
      </c>
      <c r="C454" s="0" t="str">
        <f aca="false">IF($A454="","",'Formation Initiale'!$F56)</f>
        <v>Montréal</v>
      </c>
      <c r="D454" s="0" t="str">
        <f aca="false">IF($A454="","",IF('Formation Initiale'!$F56="Lisbonne","B2C (Initiale)","B2C+B2B (Initiale)"))</f>
        <v>B2C+B2B (Initiale)</v>
      </c>
      <c r="E454" s="0" t="str">
        <f aca="false">IF($A454="","",'Formation Initiale'!$B56)</f>
        <v>174</v>
      </c>
      <c r="F454" s="116" t="n">
        <f aca="false">IF($A454="","",'Formation Initiale'!$G56)</f>
        <v>46099</v>
      </c>
      <c r="G454" s="116" t="n">
        <f aca="false">IF($A454="","",'Formation Initiale'!$H56)</f>
        <v>46114</v>
      </c>
      <c r="H454" s="104" t="n">
        <f aca="false">IF($A454="","",'Formation Initiale'!$L56)</f>
        <v>0</v>
      </c>
      <c r="I454" s="0" t="str">
        <f aca="false">IF($A454="","",'Formation Initiale'!$R56)</f>
        <v>Terminé</v>
      </c>
      <c r="K454" s="104" t="n">
        <f aca="false">IF(A454="",0,IF(IFERROR(VLOOKUP(A454,Skills!$A:$M,13,FALSE()),"")="COS",0,IF(OR(I454="En cours",I454="À venir",I454="À planifier"),IF(AND(OR($C$3="Tous",$C$3="",C454=$C$3),OR($E$3="Tous",$E$3="",I454=$E$3)),1,0),0)))</f>
        <v>0</v>
      </c>
      <c r="L454" s="104" t="n">
        <f aca="false">L453+K454</f>
        <v>0</v>
      </c>
    </row>
    <row r="455" customFormat="false" ht="15" hidden="true" customHeight="true" outlineLevel="0" collapsed="false">
      <c r="A455" s="0" t="str">
        <f aca="false">IF('Formation Initiale'!$A57="","",'Formation Initiale'!$A57)</f>
        <v>TR079</v>
      </c>
      <c r="B455" s="0" t="str">
        <f aca="false">IF($A455="","",'Formation Initiale'!$E57)</f>
        <v>Pykedale Ulmay</v>
      </c>
      <c r="C455" s="0" t="str">
        <f aca="false">IF($A455="","",'Formation Initiale'!$F57)</f>
        <v>Montréal</v>
      </c>
      <c r="D455" s="0" t="str">
        <f aca="false">IF($A455="","",IF('Formation Initiale'!$F57="Lisbonne","B2C (Initiale)","B2C+B2B (Initiale)"))</f>
        <v>B2C+B2B (Initiale)</v>
      </c>
      <c r="E455" s="0" t="str">
        <f aca="false">IF($A455="","",'Formation Initiale'!$B57)</f>
        <v>174</v>
      </c>
      <c r="F455" s="116" t="n">
        <f aca="false">IF($A455="","",'Formation Initiale'!$G57)</f>
        <v>46099</v>
      </c>
      <c r="G455" s="116" t="n">
        <f aca="false">IF($A455="","",'Formation Initiale'!$H57)</f>
        <v>46114</v>
      </c>
      <c r="H455" s="104" t="n">
        <f aca="false">IF($A455="","",'Formation Initiale'!$L57)</f>
        <v>0</v>
      </c>
      <c r="I455" s="0" t="str">
        <f aca="false">IF($A455="","",'Formation Initiale'!$R57)</f>
        <v>Terminé</v>
      </c>
      <c r="K455" s="104" t="n">
        <f aca="false">IF(A455="",0,IF(IFERROR(VLOOKUP(A455,Skills!$A:$M,13,FALSE()),"")="COS",0,IF(OR(I455="En cours",I455="À venir",I455="À planifier"),IF(AND(OR($C$3="Tous",$C$3="",C455=$C$3),OR($E$3="Tous",$E$3="",I455=$E$3)),1,0),0)))</f>
        <v>0</v>
      </c>
      <c r="L455" s="104" t="n">
        <f aca="false">L454+K455</f>
        <v>0</v>
      </c>
    </row>
    <row r="456" customFormat="false" ht="15" hidden="true" customHeight="true" outlineLevel="0" collapsed="false">
      <c r="A456" s="0" t="str">
        <f aca="false">IF('Formation Initiale'!$A58="","",'Formation Initiale'!$A58)</f>
        <v>TR020</v>
      </c>
      <c r="B456" s="0" t="str">
        <f aca="false">IF($A456="","",'Formation Initiale'!$E58)</f>
        <v>Selan Dellgate</v>
      </c>
      <c r="C456" s="0" t="str">
        <f aca="false">IF($A456="","",'Formation Initiale'!$F58)</f>
        <v>Montréal</v>
      </c>
      <c r="D456" s="0" t="str">
        <f aca="false">IF($A456="","",IF('Formation Initiale'!$F58="Lisbonne","B2C (Initiale)","B2C+B2B (Initiale)"))</f>
        <v>B2C+B2B (Initiale)</v>
      </c>
      <c r="E456" s="0" t="str">
        <f aca="false">IF($A456="","",'Formation Initiale'!$B58)</f>
        <v>174</v>
      </c>
      <c r="F456" s="116" t="n">
        <f aca="false">IF($A456="","",'Formation Initiale'!$G58)</f>
        <v>46099</v>
      </c>
      <c r="G456" s="116" t="n">
        <f aca="false">IF($A456="","",'Formation Initiale'!$H58)</f>
        <v>46114</v>
      </c>
      <c r="H456" s="104" t="n">
        <f aca="false">IF($A456="","",'Formation Initiale'!$L58)</f>
        <v>0</v>
      </c>
      <c r="I456" s="0" t="str">
        <f aca="false">IF($A456="","",'Formation Initiale'!$R58)</f>
        <v>Terminé</v>
      </c>
      <c r="K456" s="104" t="n">
        <f aca="false">IF(A456="",0,IF(IFERROR(VLOOKUP(A456,Skills!$A:$M,13,FALSE()),"")="COS",0,IF(OR(I456="En cours",I456="À venir",I456="À planifier"),IF(AND(OR($C$3="Tous",$C$3="",C456=$C$3),OR($E$3="Tous",$E$3="",I456=$E$3)),1,0),0)))</f>
        <v>0</v>
      </c>
      <c r="L456" s="104" t="n">
        <f aca="false">L455+K456</f>
        <v>0</v>
      </c>
    </row>
    <row r="457" customFormat="false" ht="15" hidden="true" customHeight="true" outlineLevel="0" collapsed="false">
      <c r="A457" s="0" t="str">
        <f aca="false">IF('Formation Initiale'!$A59="","",'Formation Initiale'!$A59)</f>
        <v>TR136</v>
      </c>
      <c r="B457" s="0" t="str">
        <f aca="false">IF($A457="","",'Formation Initiale'!$E59)</f>
        <v>Grandale Vorus Torith Nevir</v>
      </c>
      <c r="C457" s="0" t="str">
        <f aca="false">IF($A457="","",'Formation Initiale'!$F59)</f>
        <v>Montréal</v>
      </c>
      <c r="D457" s="0" t="str">
        <f aca="false">IF($A457="","",IF('Formation Initiale'!$F59="Lisbonne","B2C (Initiale)","B2C+B2B (Initiale)"))</f>
        <v>B2C+B2B (Initiale)</v>
      </c>
      <c r="E457" s="0" t="str">
        <f aca="false">IF($A457="","",'Formation Initiale'!$B59)</f>
        <v>174</v>
      </c>
      <c r="F457" s="116" t="n">
        <f aca="false">IF($A457="","",'Formation Initiale'!$G59)</f>
        <v>46099</v>
      </c>
      <c r="G457" s="116" t="n">
        <f aca="false">IF($A457="","",'Formation Initiale'!$H59)</f>
        <v>46114</v>
      </c>
      <c r="H457" s="104" t="n">
        <f aca="false">IF($A457="","",'Formation Initiale'!$L59)</f>
        <v>0</v>
      </c>
      <c r="I457" s="0" t="str">
        <f aca="false">IF($A457="","",'Formation Initiale'!$R59)</f>
        <v>Terminé</v>
      </c>
      <c r="K457" s="104" t="n">
        <f aca="false">IF(A457="",0,IF(IFERROR(VLOOKUP(A457,Skills!$A:$M,13,FALSE()),"")="COS",0,IF(OR(I457="En cours",I457="À venir",I457="À planifier"),IF(AND(OR($C$3="Tous",$C$3="",C457=$C$3),OR($E$3="Tous",$E$3="",I457=$E$3)),1,0),0)))</f>
        <v>0</v>
      </c>
      <c r="L457" s="104" t="n">
        <f aca="false">L456+K457</f>
        <v>0</v>
      </c>
    </row>
    <row r="458" customFormat="false" ht="15" hidden="true" customHeight="true" outlineLevel="0" collapsed="false">
      <c r="A458" s="0" t="str">
        <f aca="false">IF('Formation Initiale'!$A60="","",'Formation Initiale'!$A60)</f>
        <v>TR143</v>
      </c>
      <c r="B458" s="0" t="str">
        <f aca="false">IF($A458="","",'Formation Initiale'!$E60)</f>
        <v>Pelay Valewood</v>
      </c>
      <c r="C458" s="0" t="str">
        <f aca="false">IF($A458="","",'Formation Initiale'!$F60)</f>
        <v>Montréal</v>
      </c>
      <c r="D458" s="0" t="str">
        <f aca="false">IF($A458="","",IF('Formation Initiale'!$F60="Lisbonne","B2C (Initiale)","B2C+B2B (Initiale)"))</f>
        <v>B2C+B2B (Initiale)</v>
      </c>
      <c r="E458" s="0" t="str">
        <f aca="false">IF($A458="","",'Formation Initiale'!$B60)</f>
        <v>175</v>
      </c>
      <c r="F458" s="116" t="n">
        <f aca="false">IF($A458="","",'Formation Initiale'!$G60)</f>
        <v>46125</v>
      </c>
      <c r="G458" s="116" t="n">
        <f aca="false">IF($A458="","",'Formation Initiale'!$H60)</f>
        <v>46139</v>
      </c>
      <c r="H458" s="104" t="n">
        <f aca="false">IF($A458="","",'Formation Initiale'!$L60)</f>
        <v>0</v>
      </c>
      <c r="I458" s="0" t="str">
        <f aca="false">IF($A458="","",'Formation Initiale'!$R60)</f>
        <v>Terminé</v>
      </c>
      <c r="K458" s="104" t="n">
        <f aca="false">IF(A458="",0,IF(IFERROR(VLOOKUP(A458,Skills!$A:$M,13,FALSE()),"")="COS",0,IF(OR(I458="En cours",I458="À venir",I458="À planifier"),IF(AND(OR($C$3="Tous",$C$3="",C458=$C$3),OR($E$3="Tous",$E$3="",I458=$E$3)),1,0),0)))</f>
        <v>0</v>
      </c>
      <c r="L458" s="104" t="n">
        <f aca="false">L457+K458</f>
        <v>0</v>
      </c>
    </row>
    <row r="459" customFormat="false" ht="15" hidden="true" customHeight="true" outlineLevel="0" collapsed="false">
      <c r="A459" s="0" t="str">
        <f aca="false">IF('Formation Initiale'!$A61="","",'Formation Initiale'!$A61)</f>
        <v>TR022</v>
      </c>
      <c r="B459" s="0" t="str">
        <f aca="false">IF($A459="","",'Formation Initiale'!$E61)</f>
        <v>Ulmys Corrvale</v>
      </c>
      <c r="C459" s="0" t="str">
        <f aca="false">IF($A459="","",'Formation Initiale'!$F61)</f>
        <v>Montréal</v>
      </c>
      <c r="D459" s="0" t="str">
        <f aca="false">IF($A459="","",IF('Formation Initiale'!$F61="Lisbonne","B2C (Initiale)","B2C+B2B (Initiale)"))</f>
        <v>B2C+B2B (Initiale)</v>
      </c>
      <c r="E459" s="0" t="str">
        <f aca="false">IF($A459="","",'Formation Initiale'!$B61)</f>
        <v>175</v>
      </c>
      <c r="F459" s="116" t="n">
        <f aca="false">IF($A459="","",'Formation Initiale'!$G61)</f>
        <v>46125</v>
      </c>
      <c r="G459" s="116" t="n">
        <f aca="false">IF($A459="","",'Formation Initiale'!$H61)</f>
        <v>46139</v>
      </c>
      <c r="H459" s="104" t="n">
        <f aca="false">IF($A459="","",'Formation Initiale'!$L61)</f>
        <v>0</v>
      </c>
      <c r="I459" s="0" t="str">
        <f aca="false">IF($A459="","",'Formation Initiale'!$R61)</f>
        <v>Terminé</v>
      </c>
      <c r="K459" s="104" t="n">
        <f aca="false">IF(A459="",0,IF(IFERROR(VLOOKUP(A459,Skills!$A:$M,13,FALSE()),"")="COS",0,IF(OR(I459="En cours",I459="À venir",I459="À planifier"),IF(AND(OR($C$3="Tous",$C$3="",C459=$C$3),OR($E$3="Tous",$E$3="",I459=$E$3)),1,0),0)))</f>
        <v>0</v>
      </c>
      <c r="L459" s="104" t="n">
        <f aca="false">L458+K459</f>
        <v>0</v>
      </c>
    </row>
    <row r="460" customFormat="false" ht="15" hidden="true" customHeight="true" outlineLevel="0" collapsed="false">
      <c r="A460" s="0" t="str">
        <f aca="false">IF('Formation Initiale'!$A62="","",'Formation Initiale'!$A62)</f>
        <v>TR137</v>
      </c>
      <c r="B460" s="0" t="str">
        <f aca="false">IF($A460="","",'Formation Initiale'!$E62)</f>
        <v>Wrenshaw Orinan</v>
      </c>
      <c r="C460" s="0" t="str">
        <f aca="false">IF($A460="","",'Formation Initiale'!$F62)</f>
        <v>Montréal</v>
      </c>
      <c r="D460" s="0" t="str">
        <f aca="false">IF($A460="","",IF('Formation Initiale'!$F62="Lisbonne","B2C (Initiale)","B2C+B2B (Initiale)"))</f>
        <v>B2C+B2B (Initiale)</v>
      </c>
      <c r="E460" s="0" t="str">
        <f aca="false">IF($A460="","",'Formation Initiale'!$B62)</f>
        <v>175</v>
      </c>
      <c r="F460" s="116" t="n">
        <f aca="false">IF($A460="","",'Formation Initiale'!$G62)</f>
        <v>46125</v>
      </c>
      <c r="G460" s="116" t="n">
        <f aca="false">IF($A460="","",'Formation Initiale'!$H62)</f>
        <v>46139</v>
      </c>
      <c r="H460" s="104" t="n">
        <f aca="false">IF($A460="","",'Formation Initiale'!$L62)</f>
        <v>0</v>
      </c>
      <c r="I460" s="0" t="str">
        <f aca="false">IF($A460="","",'Formation Initiale'!$R62)</f>
        <v>Terminé</v>
      </c>
      <c r="K460" s="104" t="n">
        <f aca="false">IF(A460="",0,IF(IFERROR(VLOOKUP(A460,Skills!$A:$M,13,FALSE()),"")="COS",0,IF(OR(I460="En cours",I460="À venir",I460="À planifier"),IF(AND(OR($C$3="Tous",$C$3="",C460=$C$3),OR($E$3="Tous",$E$3="",I460=$E$3)),1,0),0)))</f>
        <v>0</v>
      </c>
      <c r="L460" s="104" t="n">
        <f aca="false">L459+K460</f>
        <v>0</v>
      </c>
    </row>
    <row r="461" customFormat="false" ht="15" hidden="true" customHeight="true" outlineLevel="0" collapsed="false">
      <c r="A461" s="0" t="str">
        <f aca="false">IF('Formation Initiale'!$A63="","",'Formation Initiale'!$A63)</f>
        <v>TR130</v>
      </c>
      <c r="B461" s="0" t="str">
        <f aca="false">IF($A461="","",'Formation Initiale'!$E63)</f>
        <v>Valemere Wesea</v>
      </c>
      <c r="C461" s="0" t="str">
        <f aca="false">IF($A461="","",'Formation Initiale'!$F63)</f>
        <v>Montréal</v>
      </c>
      <c r="D461" s="0" t="str">
        <f aca="false">IF($A461="","",IF('Formation Initiale'!$F63="Lisbonne","B2C (Initiale)","B2C+B2B (Initiale)"))</f>
        <v>B2C+B2B (Initiale)</v>
      </c>
      <c r="E461" s="0" t="str">
        <f aca="false">IF($A461="","",'Formation Initiale'!$B63)</f>
        <v>175</v>
      </c>
      <c r="F461" s="116" t="n">
        <f aca="false">IF($A461="","",'Formation Initiale'!$G63)</f>
        <v>46125</v>
      </c>
      <c r="G461" s="116" t="n">
        <f aca="false">IF($A461="","",'Formation Initiale'!$H63)</f>
        <v>46139</v>
      </c>
      <c r="H461" s="104" t="n">
        <f aca="false">IF($A461="","",'Formation Initiale'!$L63)</f>
        <v>0</v>
      </c>
      <c r="I461" s="0" t="str">
        <f aca="false">IF($A461="","",'Formation Initiale'!$R63)</f>
        <v>Terminé</v>
      </c>
      <c r="K461" s="104" t="n">
        <f aca="false">IF(A461="",0,IF(IFERROR(VLOOKUP(A461,Skills!$A:$M,13,FALSE()),"")="COS",0,IF(OR(I461="En cours",I461="À venir",I461="À planifier"),IF(AND(OR($C$3="Tous",$C$3="",C461=$C$3),OR($E$3="Tous",$E$3="",I461=$E$3)),1,0),0)))</f>
        <v>0</v>
      </c>
      <c r="L461" s="104" t="n">
        <f aca="false">L460+K461</f>
        <v>0</v>
      </c>
    </row>
    <row r="462" customFormat="false" ht="15" hidden="true" customHeight="true" outlineLevel="0" collapsed="false">
      <c r="A462" s="0" t="str">
        <f aca="false">IF('Formation Initiale'!$A64="","",'Formation Initiale'!$A64)</f>
        <v>TR053</v>
      </c>
      <c r="B462" s="0" t="str">
        <f aca="false">IF($A462="","",'Formation Initiale'!$E64)</f>
        <v>Stelcroft Jorea Calon</v>
      </c>
      <c r="C462" s="0" t="str">
        <f aca="false">IF($A462="","",'Formation Initiale'!$F64)</f>
        <v>Montréal</v>
      </c>
      <c r="D462" s="0" t="str">
        <f aca="false">IF($A462="","",IF('Formation Initiale'!$F64="Lisbonne","B2C (Initiale)","B2C+B2B (Initiale)"))</f>
        <v>B2C+B2B (Initiale)</v>
      </c>
      <c r="E462" s="0" t="str">
        <f aca="false">IF($A462="","",'Formation Initiale'!$B64)</f>
        <v>175</v>
      </c>
      <c r="F462" s="116" t="n">
        <f aca="false">IF($A462="","",'Formation Initiale'!$G64)</f>
        <v>46125</v>
      </c>
      <c r="G462" s="116" t="n">
        <f aca="false">IF($A462="","",'Formation Initiale'!$H64)</f>
        <v>46139</v>
      </c>
      <c r="H462" s="104" t="n">
        <f aca="false">IF($A462="","",'Formation Initiale'!$L64)</f>
        <v>0</v>
      </c>
      <c r="I462" s="0" t="str">
        <f aca="false">IF($A462="","",'Formation Initiale'!$R64)</f>
        <v>Terminé</v>
      </c>
      <c r="K462" s="104" t="n">
        <f aca="false">IF(A462="",0,IF(IFERROR(VLOOKUP(A462,Skills!$A:$M,13,FALSE()),"")="COS",0,IF(OR(I462="En cours",I462="À venir",I462="À planifier"),IF(AND(OR($C$3="Tous",$C$3="",C462=$C$3),OR($E$3="Tous",$E$3="",I462=$E$3)),1,0),0)))</f>
        <v>0</v>
      </c>
      <c r="L462" s="104" t="n">
        <f aca="false">L461+K462</f>
        <v>0</v>
      </c>
    </row>
    <row r="463" customFormat="false" ht="15" hidden="true" customHeight="true" outlineLevel="0" collapsed="false">
      <c r="A463" s="0" t="str">
        <f aca="false">IF('Formation Initiale'!$A65="","",'Formation Initiale'!$A65)</f>
        <v>TR106</v>
      </c>
      <c r="B463" s="0" t="str">
        <f aca="false">IF($A463="","",'Formation Initiale'!$E65)</f>
        <v>Pelic Doren</v>
      </c>
      <c r="C463" s="0" t="str">
        <f aca="false">IF($A463="","",'Formation Initiale'!$F65)</f>
        <v>Montréal</v>
      </c>
      <c r="D463" s="0" t="str">
        <f aca="false">IF($A463="","",IF('Formation Initiale'!$F65="Lisbonne","B2C (Initiale)","B2C+B2B (Initiale)"))</f>
        <v>B2C+B2B (Initiale)</v>
      </c>
      <c r="E463" s="0" t="str">
        <f aca="false">IF($A463="","",'Formation Initiale'!$B65)</f>
        <v>175</v>
      </c>
      <c r="F463" s="116" t="n">
        <f aca="false">IF($A463="","",'Formation Initiale'!$G65)</f>
        <v>46125</v>
      </c>
      <c r="G463" s="116" t="n">
        <f aca="false">IF($A463="","",'Formation Initiale'!$H65)</f>
        <v>46139</v>
      </c>
      <c r="H463" s="104" t="n">
        <f aca="false">IF($A463="","",'Formation Initiale'!$L65)</f>
        <v>0</v>
      </c>
      <c r="I463" s="0" t="str">
        <f aca="false">IF($A463="","",'Formation Initiale'!$R65)</f>
        <v>Terminé</v>
      </c>
      <c r="K463" s="104" t="n">
        <f aca="false">IF(A463="",0,IF(IFERROR(VLOOKUP(A463,Skills!$A:$M,13,FALSE()),"")="COS",0,IF(OR(I463="En cours",I463="À venir",I463="À planifier"),IF(AND(OR($C$3="Tous",$C$3="",C463=$C$3),OR($E$3="Tous",$E$3="",I463=$E$3)),1,0),0)))</f>
        <v>0</v>
      </c>
      <c r="L463" s="104" t="n">
        <f aca="false">L462+K463</f>
        <v>0</v>
      </c>
    </row>
    <row r="464" customFormat="false" ht="15" hidden="true" customHeight="true" outlineLevel="0" collapsed="false">
      <c r="A464" s="0" t="str">
        <f aca="false">IF('Formation Initiale'!$A66="","",'Formation Initiale'!$A66)</f>
        <v>TR045</v>
      </c>
      <c r="B464" s="0" t="str">
        <f aca="false">IF($A464="","",'Formation Initiale'!$E66)</f>
        <v>Bramwood Kendhaven</v>
      </c>
      <c r="C464" s="0" t="str">
        <f aca="false">IF($A464="","",'Formation Initiale'!$F66)</f>
        <v>Montréal</v>
      </c>
      <c r="D464" s="0" t="str">
        <f aca="false">IF($A464="","",IF('Formation Initiale'!$F66="Lisbonne","B2C (Initiale)","B2C+B2B (Initiale)"))</f>
        <v>B2C+B2B (Initiale)</v>
      </c>
      <c r="E464" s="0" t="str">
        <f aca="false">IF($A464="","",'Formation Initiale'!$B66)</f>
        <v>175</v>
      </c>
      <c r="F464" s="116" t="n">
        <f aca="false">IF($A464="","",'Formation Initiale'!$G66)</f>
        <v>46125</v>
      </c>
      <c r="G464" s="116" t="n">
        <f aca="false">IF($A464="","",'Formation Initiale'!$H66)</f>
        <v>46139</v>
      </c>
      <c r="H464" s="104" t="n">
        <f aca="false">IF($A464="","",'Formation Initiale'!$L66)</f>
        <v>0</v>
      </c>
      <c r="I464" s="0" t="str">
        <f aca="false">IF($A464="","",'Formation Initiale'!$R66)</f>
        <v>Terminé</v>
      </c>
      <c r="K464" s="104" t="n">
        <f aca="false">IF(A464="",0,IF(IFERROR(VLOOKUP(A464,Skills!$A:$M,13,FALSE()),"")="COS",0,IF(OR(I464="En cours",I464="À venir",I464="À planifier"),IF(AND(OR($C$3="Tous",$C$3="",C464=$C$3),OR($E$3="Tous",$E$3="",I464=$E$3)),1,0),0)))</f>
        <v>0</v>
      </c>
      <c r="L464" s="104" t="n">
        <f aca="false">L463+K464</f>
        <v>0</v>
      </c>
    </row>
    <row r="465" customFormat="false" ht="15" hidden="true" customHeight="true" outlineLevel="0" collapsed="false">
      <c r="A465" s="0" t="str">
        <f aca="false">IF('Formation Initiale'!$A67="","",'Formation Initiale'!$A67)</f>
        <v>TR084</v>
      </c>
      <c r="B465" s="0" t="str">
        <f aca="false">IF($A465="","",'Formation Initiale'!$E67)</f>
        <v>Vorith Norfield</v>
      </c>
      <c r="C465" s="0" t="str">
        <f aca="false">IF($A465="","",'Formation Initiale'!$F67)</f>
        <v>Montréal</v>
      </c>
      <c r="D465" s="0" t="str">
        <f aca="false">IF($A465="","",IF('Formation Initiale'!$F67="Lisbonne","B2C (Initiale)","B2C+B2B (Initiale)"))</f>
        <v>B2C+B2B (Initiale)</v>
      </c>
      <c r="E465" s="0" t="str">
        <f aca="false">IF($A465="","",'Formation Initiale'!$B67)</f>
        <v>175</v>
      </c>
      <c r="F465" s="116" t="n">
        <f aca="false">IF($A465="","",'Formation Initiale'!$G67)</f>
        <v>46125</v>
      </c>
      <c r="G465" s="116" t="n">
        <f aca="false">IF($A465="","",'Formation Initiale'!$H67)</f>
        <v>46139</v>
      </c>
      <c r="H465" s="104" t="n">
        <f aca="false">IF($A465="","",'Formation Initiale'!$L67)</f>
        <v>0</v>
      </c>
      <c r="I465" s="0" t="str">
        <f aca="false">IF($A465="","",'Formation Initiale'!$R67)</f>
        <v>Terminé</v>
      </c>
      <c r="K465" s="104" t="n">
        <f aca="false">IF(A465="",0,IF(IFERROR(VLOOKUP(A465,Skills!$A:$M,13,FALSE()),"")="COS",0,IF(OR(I465="En cours",I465="À venir",I465="À planifier"),IF(AND(OR($C$3="Tous",$C$3="",C465=$C$3),OR($E$3="Tous",$E$3="",I465=$E$3)),1,0),0)))</f>
        <v>0</v>
      </c>
      <c r="L465" s="104" t="n">
        <f aca="false">L464+K465</f>
        <v>0</v>
      </c>
    </row>
    <row r="466" customFormat="false" ht="15" hidden="true" customHeight="true" outlineLevel="0" collapsed="false">
      <c r="A466" s="0" t="str">
        <f aca="false">IF('Formation Initiale'!$A68="","",'Formation Initiale'!$A68)</f>
        <v>TR028</v>
      </c>
      <c r="B466" s="0" t="str">
        <f aca="false">IF($A466="","",'Formation Initiale'!$E68)</f>
        <v>Larkmere Braon</v>
      </c>
      <c r="C466" s="0" t="str">
        <f aca="false">IF($A466="","",'Formation Initiale'!$F68)</f>
        <v>Montréal</v>
      </c>
      <c r="D466" s="0" t="str">
        <f aca="false">IF($A466="","",IF('Formation Initiale'!$F68="Lisbonne","B2C (Initiale)","B2C+B2B (Initiale)"))</f>
        <v>B2C+B2B (Initiale)</v>
      </c>
      <c r="E466" s="0" t="str">
        <f aca="false">IF($A466="","",'Formation Initiale'!$B68)</f>
        <v>176</v>
      </c>
      <c r="F466" s="116" t="n">
        <f aca="false">IF($A466="","",'Formation Initiale'!$G68)</f>
        <v>46146</v>
      </c>
      <c r="G466" s="116" t="n">
        <f aca="false">IF($A466="","",'Formation Initiale'!$H68)</f>
        <v>46161</v>
      </c>
      <c r="H466" s="104" t="n">
        <f aca="false">IF($A466="","",'Formation Initiale'!$L68)</f>
        <v>0</v>
      </c>
      <c r="I466" s="0" t="str">
        <f aca="false">IF($A466="","",'Formation Initiale'!$R68)</f>
        <v>Terminé</v>
      </c>
      <c r="K466" s="104" t="n">
        <f aca="false">IF(A466="",0,IF(IFERROR(VLOOKUP(A466,Skills!$A:$M,13,FALSE()),"")="COS",0,IF(OR(I466="En cours",I466="À venir",I466="À planifier"),IF(AND(OR($C$3="Tous",$C$3="",C466=$C$3),OR($E$3="Tous",$E$3="",I466=$E$3)),1,0),0)))</f>
        <v>0</v>
      </c>
      <c r="L466" s="104" t="n">
        <f aca="false">L465+K466</f>
        <v>0</v>
      </c>
    </row>
    <row r="467" customFormat="false" ht="15" hidden="true" customHeight="true" outlineLevel="0" collapsed="false">
      <c r="A467" s="0" t="str">
        <f aca="false">IF('Formation Initiale'!$A69="","",'Formation Initiale'!$A69)</f>
        <v>TR148</v>
      </c>
      <c r="B467" s="0" t="str">
        <f aca="false">IF($A467="","",'Formation Initiale'!$E69)</f>
        <v>Thorndale Holthaven</v>
      </c>
      <c r="C467" s="0" t="str">
        <f aca="false">IF($A467="","",'Formation Initiale'!$F69)</f>
        <v>Lisbonne</v>
      </c>
      <c r="D467" s="0" t="str">
        <f aca="false">IF($A467="","",IF('Formation Initiale'!$F69="Lisbonne","B2C (Initiale)","B2C+B2B (Initiale)"))</f>
        <v>B2C (Initiale)</v>
      </c>
      <c r="E467" s="0" t="str">
        <f aca="false">IF($A467="","",'Formation Initiale'!$B69)</f>
        <v>OS8</v>
      </c>
      <c r="F467" s="116" t="n">
        <f aca="false">IF($A467="","",'Formation Initiale'!$G69)</f>
        <v>46163</v>
      </c>
      <c r="G467" s="116" t="n">
        <f aca="false">IF($A467="","",'Formation Initiale'!$H69)</f>
        <v>46176</v>
      </c>
      <c r="H467" s="104" t="n">
        <f aca="false">IF($A467="","",'Formation Initiale'!$L69)</f>
        <v>0</v>
      </c>
      <c r="I467" s="0" t="str">
        <f aca="false">IF($A467="","",'Formation Initiale'!$R69)</f>
        <v>Terminé</v>
      </c>
      <c r="K467" s="104" t="n">
        <f aca="false">IF(A467="",0,IF(IFERROR(VLOOKUP(A467,Skills!$A:$M,13,FALSE()),"")="COS",0,IF(OR(I467="En cours",I467="À venir",I467="À planifier"),IF(AND(OR($C$3="Tous",$C$3="",C467=$C$3),OR($E$3="Tous",$E$3="",I467=$E$3)),1,0),0)))</f>
        <v>0</v>
      </c>
      <c r="L467" s="104" t="n">
        <f aca="false">L466+K467</f>
        <v>0</v>
      </c>
    </row>
    <row r="468" customFormat="false" ht="15" hidden="true" customHeight="true" outlineLevel="0" collapsed="false">
      <c r="A468" s="0" t="str">
        <f aca="false">IF('Formation Initiale'!$A70="","",'Formation Initiale'!$A70)</f>
        <v>TR149</v>
      </c>
      <c r="B468" s="0" t="str">
        <f aca="false">IF($A468="","",'Formation Initiale'!$E70)</f>
        <v>Holtdale Wrenmere</v>
      </c>
      <c r="C468" s="0" t="str">
        <f aca="false">IF($A468="","",'Formation Initiale'!$F70)</f>
        <v>Lisbonne</v>
      </c>
      <c r="D468" s="0" t="str">
        <f aca="false">IF($A468="","",IF('Formation Initiale'!$F70="Lisbonne","B2C (Initiale)","B2C+B2B (Initiale)"))</f>
        <v>B2C (Initiale)</v>
      </c>
      <c r="E468" s="0" t="str">
        <f aca="false">IF($A468="","",'Formation Initiale'!$B70)</f>
        <v>OS8</v>
      </c>
      <c r="F468" s="116" t="n">
        <f aca="false">IF($A468="","",'Formation Initiale'!$G70)</f>
        <v>46163</v>
      </c>
      <c r="G468" s="116" t="n">
        <f aca="false">IF($A468="","",'Formation Initiale'!$H70)</f>
        <v>46176</v>
      </c>
      <c r="H468" s="104" t="n">
        <f aca="false">IF($A468="","",'Formation Initiale'!$L70)</f>
        <v>0</v>
      </c>
      <c r="I468" s="0" t="str">
        <f aca="false">IF($A468="","",'Formation Initiale'!$R70)</f>
        <v>Terminé</v>
      </c>
      <c r="K468" s="104" t="n">
        <f aca="false">IF(A468="",0,IF(IFERROR(VLOOKUP(A468,Skills!$A:$M,13,FALSE()),"")="COS",0,IF(OR(I468="En cours",I468="À venir",I468="À planifier"),IF(AND(OR($C$3="Tous",$C$3="",C468=$C$3),OR($E$3="Tous",$E$3="",I468=$E$3)),1,0),0)))</f>
        <v>0</v>
      </c>
      <c r="L468" s="104" t="n">
        <f aca="false">L467+K468</f>
        <v>0</v>
      </c>
    </row>
    <row r="469" customFormat="false" ht="15" hidden="true" customHeight="true" outlineLevel="0" collapsed="false">
      <c r="A469" s="0" t="str">
        <f aca="false">IF('Formation Initiale'!$A71="","",'Formation Initiale'!$A71)</f>
        <v>TR150</v>
      </c>
      <c r="B469" s="0" t="str">
        <f aca="false">IF($A469="","",'Formation Initiale'!$E71)</f>
        <v>Vorel Wesor</v>
      </c>
      <c r="C469" s="0" t="str">
        <f aca="false">IF($A469="","",'Formation Initiale'!$F71)</f>
        <v>Lisbonne</v>
      </c>
      <c r="D469" s="0" t="str">
        <f aca="false">IF($A469="","",IF('Formation Initiale'!$F71="Lisbonne","B2C (Initiale)","B2C+B2B (Initiale)"))</f>
        <v>B2C (Initiale)</v>
      </c>
      <c r="E469" s="0" t="str">
        <f aca="false">IF($A469="","",'Formation Initiale'!$B71)</f>
        <v>OS8</v>
      </c>
      <c r="F469" s="116" t="n">
        <f aca="false">IF($A469="","",'Formation Initiale'!$G71)</f>
        <v>46163</v>
      </c>
      <c r="G469" s="116" t="n">
        <f aca="false">IF($A469="","",'Formation Initiale'!$H71)</f>
        <v>46176</v>
      </c>
      <c r="H469" s="104" t="n">
        <f aca="false">IF($A469="","",'Formation Initiale'!$L71)</f>
        <v>0</v>
      </c>
      <c r="I469" s="0" t="str">
        <f aca="false">IF($A469="","",'Formation Initiale'!$R71)</f>
        <v>Terminé</v>
      </c>
      <c r="K469" s="104" t="n">
        <f aca="false">IF(A469="",0,IF(IFERROR(VLOOKUP(A469,Skills!$A:$M,13,FALSE()),"")="COS",0,IF(OR(I469="En cours",I469="À venir",I469="À planifier"),IF(AND(OR($C$3="Tous",$C$3="",C469=$C$3),OR($E$3="Tous",$E$3="",I469=$E$3)),1,0),0)))</f>
        <v>0</v>
      </c>
      <c r="L469" s="104" t="n">
        <f aca="false">L468+K469</f>
        <v>0</v>
      </c>
    </row>
    <row r="470" customFormat="false" ht="15" hidden="true" customHeight="true" outlineLevel="0" collapsed="false">
      <c r="A470" s="0" t="str">
        <f aca="false">IF('Formation Initiale'!$A72="","",'Formation Initiale'!$A72)</f>
        <v>TR151</v>
      </c>
      <c r="B470" s="0" t="str">
        <f aca="false">IF($A470="","",'Formation Initiale'!$E72)</f>
        <v>Nevan Gilys</v>
      </c>
      <c r="C470" s="0" t="str">
        <f aca="false">IF($A470="","",'Formation Initiale'!$F72)</f>
        <v>Lisbonne</v>
      </c>
      <c r="D470" s="0" t="str">
        <f aca="false">IF($A470="","",IF('Formation Initiale'!$F72="Lisbonne","B2C (Initiale)","B2C+B2B (Initiale)"))</f>
        <v>B2C (Initiale)</v>
      </c>
      <c r="E470" s="0" t="str">
        <f aca="false">IF($A470="","",'Formation Initiale'!$B72)</f>
        <v>OS8</v>
      </c>
      <c r="F470" s="116" t="n">
        <f aca="false">IF($A470="","",'Formation Initiale'!$G72)</f>
        <v>46163</v>
      </c>
      <c r="G470" s="116" t="n">
        <f aca="false">IF($A470="","",'Formation Initiale'!$H72)</f>
        <v>46176</v>
      </c>
      <c r="H470" s="104" t="n">
        <f aca="false">IF($A470="","",'Formation Initiale'!$L72)</f>
        <v>0</v>
      </c>
      <c r="I470" s="0" t="str">
        <f aca="false">IF($A470="","",'Formation Initiale'!$R72)</f>
        <v>Terminé</v>
      </c>
      <c r="K470" s="104" t="n">
        <f aca="false">IF(A470="",0,IF(IFERROR(VLOOKUP(A470,Skills!$A:$M,13,FALSE()),"")="COS",0,IF(OR(I470="En cours",I470="À venir",I470="À planifier"),IF(AND(OR($C$3="Tous",$C$3="",C470=$C$3),OR($E$3="Tous",$E$3="",I470=$E$3)),1,0),0)))</f>
        <v>0</v>
      </c>
      <c r="L470" s="104" t="n">
        <f aca="false">L469+K470</f>
        <v>0</v>
      </c>
    </row>
    <row r="471" customFormat="false" ht="15" hidden="true" customHeight="true" outlineLevel="0" collapsed="false">
      <c r="A471" s="0" t="str">
        <f aca="false">IF('Formation Initiale'!$A73="","",'Formation Initiale'!$A73)</f>
        <v>TR152</v>
      </c>
      <c r="B471" s="0" t="str">
        <f aca="false">IF($A471="","",'Formation Initiale'!$E73)</f>
        <v>Holtshaw Marsworth</v>
      </c>
      <c r="C471" s="0" t="str">
        <f aca="false">IF($A471="","",'Formation Initiale'!$F73)</f>
        <v>Lisbonne</v>
      </c>
      <c r="D471" s="0" t="str">
        <f aca="false">IF($A471="","",IF('Formation Initiale'!$F73="Lisbonne","B2C (Initiale)","B2C+B2B (Initiale)"))</f>
        <v>B2C (Initiale)</v>
      </c>
      <c r="E471" s="0" t="str">
        <f aca="false">IF($A471="","",'Formation Initiale'!$B73)</f>
        <v>OS8</v>
      </c>
      <c r="F471" s="116" t="n">
        <f aca="false">IF($A471="","",'Formation Initiale'!$G73)</f>
        <v>46163</v>
      </c>
      <c r="G471" s="116" t="n">
        <f aca="false">IF($A471="","",'Formation Initiale'!$H73)</f>
        <v>46176</v>
      </c>
      <c r="H471" s="104" t="n">
        <f aca="false">IF($A471="","",'Formation Initiale'!$L73)</f>
        <v>0</v>
      </c>
      <c r="I471" s="0" t="str">
        <f aca="false">IF($A471="","",'Formation Initiale'!$R73)</f>
        <v>Terminé</v>
      </c>
      <c r="K471" s="104" t="n">
        <f aca="false">IF(A471="",0,IF(IFERROR(VLOOKUP(A471,Skills!$A:$M,13,FALSE()),"")="COS",0,IF(OR(I471="En cours",I471="À venir",I471="À planifier"),IF(AND(OR($C$3="Tous",$C$3="",C471=$C$3),OR($E$3="Tous",$E$3="",I471=$E$3)),1,0),0)))</f>
        <v>0</v>
      </c>
      <c r="L471" s="104" t="n">
        <f aca="false">L470+K471</f>
        <v>0</v>
      </c>
    </row>
    <row r="472" customFormat="false" ht="15" hidden="true" customHeight="true" outlineLevel="0" collapsed="false">
      <c r="A472" s="0" t="str">
        <f aca="false">IF('Formation Initiale'!$A74="","",'Formation Initiale'!$A74)</f>
        <v>TR153</v>
      </c>
      <c r="B472" s="0" t="str">
        <f aca="false">IF($A472="","",'Formation Initiale'!$E74)</f>
        <v>Corrfield Larkdale</v>
      </c>
      <c r="C472" s="0" t="str">
        <f aca="false">IF($A472="","",'Formation Initiale'!$F74)</f>
        <v>Lisbonne</v>
      </c>
      <c r="D472" s="0" t="str">
        <f aca="false">IF($A472="","",IF('Formation Initiale'!$F74="Lisbonne","B2C (Initiale)","B2C+B2B (Initiale)"))</f>
        <v>B2C (Initiale)</v>
      </c>
      <c r="E472" s="0" t="str">
        <f aca="false">IF($A472="","",'Formation Initiale'!$B74)</f>
        <v>OS8</v>
      </c>
      <c r="F472" s="116" t="n">
        <f aca="false">IF($A472="","",'Formation Initiale'!$G74)</f>
        <v>46163</v>
      </c>
      <c r="G472" s="116" t="n">
        <f aca="false">IF($A472="","",'Formation Initiale'!$H74)</f>
        <v>46176</v>
      </c>
      <c r="H472" s="104" t="n">
        <f aca="false">IF($A472="","",'Formation Initiale'!$L74)</f>
        <v>0</v>
      </c>
      <c r="I472" s="0" t="str">
        <f aca="false">IF($A472="","",'Formation Initiale'!$R74)</f>
        <v>Terminé</v>
      </c>
      <c r="K472" s="104" t="n">
        <f aca="false">IF(A472="",0,IF(IFERROR(VLOOKUP(A472,Skills!$A:$M,13,FALSE()),"")="COS",0,IF(OR(I472="En cours",I472="À venir",I472="À planifier"),IF(AND(OR($C$3="Tous",$C$3="",C472=$C$3),OR($E$3="Tous",$E$3="",I472=$E$3)),1,0),0)))</f>
        <v>0</v>
      </c>
      <c r="L472" s="104" t="n">
        <f aca="false">L471+K472</f>
        <v>0</v>
      </c>
    </row>
    <row r="473" customFormat="false" ht="15" hidden="true" customHeight="true" outlineLevel="0" collapsed="false">
      <c r="A473" s="0" t="str">
        <f aca="false">IF('Formation Initiale'!$A75="","",'Formation Initiale'!$A75)</f>
        <v>TR154</v>
      </c>
      <c r="B473" s="0" t="str">
        <f aca="false">IF($A473="","",'Formation Initiale'!$E75)</f>
        <v>Granhaven Iverwood</v>
      </c>
      <c r="C473" s="0" t="str">
        <f aca="false">IF($A473="","",'Formation Initiale'!$F75)</f>
        <v>Montréal</v>
      </c>
      <c r="D473" s="0" t="str">
        <f aca="false">IF($A473="","",IF('Formation Initiale'!$F75="Lisbonne","B2C (Initiale)","B2C+B2B (Initiale)"))</f>
        <v>B2C+B2B (Initiale)</v>
      </c>
      <c r="E473" s="0" t="n">
        <f aca="false">IF($A473="","",'Formation Initiale'!$B75)</f>
        <v>177</v>
      </c>
      <c r="F473" s="116" t="n">
        <f aca="false">IF($A473="","",'Formation Initiale'!$G75)</f>
        <v>46167</v>
      </c>
      <c r="G473" s="116" t="n">
        <f aca="false">IF($A473="","",'Formation Initiale'!$H75)</f>
        <v>46181</v>
      </c>
      <c r="H473" s="104" t="n">
        <f aca="false">IF($A473="","",'Formation Initiale'!$L75)</f>
        <v>0</v>
      </c>
      <c r="I473" s="0" t="str">
        <f aca="false">IF($A473="","",'Formation Initiale'!$R75)</f>
        <v>Terminé</v>
      </c>
      <c r="K473" s="104" t="n">
        <f aca="false">IF(A473="",0,IF(IFERROR(VLOOKUP(A473,Skills!$A:$M,13,FALSE()),"")="COS",0,IF(OR(I473="En cours",I473="À venir",I473="À planifier"),IF(AND(OR($C$3="Tous",$C$3="",C473=$C$3),OR($E$3="Tous",$E$3="",I473=$E$3)),1,0),0)))</f>
        <v>0</v>
      </c>
      <c r="L473" s="104" t="n">
        <f aca="false">L472+K473</f>
        <v>0</v>
      </c>
    </row>
    <row r="474" customFormat="false" ht="15" hidden="true" customHeight="true" outlineLevel="0" collapsed="false">
      <c r="A474" s="0" t="str">
        <f aca="false">IF('Formation Initiale'!$A76="","",'Formation Initiale'!$A76)</f>
        <v>TR155</v>
      </c>
      <c r="B474" s="0" t="str">
        <f aca="false">IF($A474="","",'Formation Initiale'!$E76)</f>
        <v>Fairvale Rhoel Yoric</v>
      </c>
      <c r="C474" s="0" t="str">
        <f aca="false">IF($A474="","",'Formation Initiale'!$F76)</f>
        <v>Montréal</v>
      </c>
      <c r="D474" s="0" t="str">
        <f aca="false">IF($A474="","",IF('Formation Initiale'!$F76="Lisbonne","B2C (Initiale)","B2C+B2B (Initiale)"))</f>
        <v>B2C+B2B (Initiale)</v>
      </c>
      <c r="E474" s="0" t="n">
        <f aca="false">IF($A474="","",'Formation Initiale'!$B76)</f>
        <v>177</v>
      </c>
      <c r="F474" s="116" t="n">
        <f aca="false">IF($A474="","",'Formation Initiale'!$G76)</f>
        <v>46167</v>
      </c>
      <c r="G474" s="116" t="n">
        <f aca="false">IF($A474="","",'Formation Initiale'!$H76)</f>
        <v>46181</v>
      </c>
      <c r="H474" s="104" t="n">
        <f aca="false">IF($A474="","",'Formation Initiale'!$L76)</f>
        <v>0</v>
      </c>
      <c r="I474" s="0" t="str">
        <f aca="false">IF($A474="","",'Formation Initiale'!$R76)</f>
        <v>Terminé</v>
      </c>
      <c r="K474" s="104" t="n">
        <f aca="false">IF(A474="",0,IF(IFERROR(VLOOKUP(A474,Skills!$A:$M,13,FALSE()),"")="COS",0,IF(OR(I474="En cours",I474="À venir",I474="À planifier"),IF(AND(OR($C$3="Tous",$C$3="",C474=$C$3),OR($E$3="Tous",$E$3="",I474=$E$3)),1,0),0)))</f>
        <v>0</v>
      </c>
      <c r="L474" s="104" t="n">
        <f aca="false">L473+K474</f>
        <v>0</v>
      </c>
    </row>
    <row r="475" customFormat="false" ht="15" hidden="true" customHeight="true" outlineLevel="0" collapsed="false">
      <c r="A475" s="0" t="str">
        <f aca="false">IF('Formation Initiale'!$A77="","",'Formation Initiale'!$A77)</f>
        <v>TR156</v>
      </c>
      <c r="B475" s="0" t="str">
        <f aca="false">IF($A475="","",'Formation Initiale'!$E77)</f>
        <v>Corrmont Fairstone</v>
      </c>
      <c r="C475" s="0" t="str">
        <f aca="false">IF($A475="","",'Formation Initiale'!$F77)</f>
        <v>Montréal</v>
      </c>
      <c r="D475" s="0" t="str">
        <f aca="false">IF($A475="","",IF('Formation Initiale'!$F77="Lisbonne","B2C (Initiale)","B2C+B2B (Initiale)"))</f>
        <v>B2C+B2B (Initiale)</v>
      </c>
      <c r="E475" s="0" t="n">
        <f aca="false">IF($A475="","",'Formation Initiale'!$B77)</f>
        <v>177</v>
      </c>
      <c r="F475" s="116" t="n">
        <f aca="false">IF($A475="","",'Formation Initiale'!$G77)</f>
        <v>46167</v>
      </c>
      <c r="G475" s="116" t="n">
        <f aca="false">IF($A475="","",'Formation Initiale'!$H77)</f>
        <v>46181</v>
      </c>
      <c r="H475" s="104" t="n">
        <f aca="false">IF($A475="","",'Formation Initiale'!$L77)</f>
        <v>0</v>
      </c>
      <c r="I475" s="0" t="str">
        <f aca="false">IF($A475="","",'Formation Initiale'!$R77)</f>
        <v>Terminé</v>
      </c>
      <c r="K475" s="104" t="n">
        <f aca="false">IF(A475="",0,IF(IFERROR(VLOOKUP(A475,Skills!$A:$M,13,FALSE()),"")="COS",0,IF(OR(I475="En cours",I475="À venir",I475="À planifier"),IF(AND(OR($C$3="Tous",$C$3="",C475=$C$3),OR($E$3="Tous",$E$3="",I475=$E$3)),1,0),0)))</f>
        <v>0</v>
      </c>
      <c r="L475" s="104" t="n">
        <f aca="false">L474+K475</f>
        <v>0</v>
      </c>
    </row>
    <row r="476" customFormat="false" ht="15" hidden="true" customHeight="true" outlineLevel="0" collapsed="false">
      <c r="A476" s="0" t="str">
        <f aca="false">IF('Formation Initiale'!$A78="","",'Formation Initiale'!$A78)</f>
        <v>TR157</v>
      </c>
      <c r="B476" s="0" t="str">
        <f aca="false">IF($A476="","",'Formation Initiale'!$E78)</f>
        <v>Stelstone Pykegate</v>
      </c>
      <c r="C476" s="0" t="str">
        <f aca="false">IF($A476="","",'Formation Initiale'!$F78)</f>
        <v>Montréal</v>
      </c>
      <c r="D476" s="0" t="str">
        <f aca="false">IF($A476="","",IF('Formation Initiale'!$F78="Lisbonne","B2C (Initiale)","B2C+B2B (Initiale)"))</f>
        <v>B2C+B2B (Initiale)</v>
      </c>
      <c r="E476" s="0" t="n">
        <f aca="false">IF($A476="","",'Formation Initiale'!$B78)</f>
        <v>177</v>
      </c>
      <c r="F476" s="116" t="n">
        <f aca="false">IF($A476="","",'Formation Initiale'!$G78)</f>
        <v>46167</v>
      </c>
      <c r="G476" s="116" t="n">
        <f aca="false">IF($A476="","",'Formation Initiale'!$H78)</f>
        <v>46181</v>
      </c>
      <c r="H476" s="104" t="n">
        <f aca="false">IF($A476="","",'Formation Initiale'!$L78)</f>
        <v>0</v>
      </c>
      <c r="I476" s="0" t="str">
        <f aca="false">IF($A476="","",'Formation Initiale'!$R78)</f>
        <v>Terminé</v>
      </c>
      <c r="K476" s="104" t="n">
        <f aca="false">IF(A476="",0,IF(IFERROR(VLOOKUP(A476,Skills!$A:$M,13,FALSE()),"")="COS",0,IF(OR(I476="En cours",I476="À venir",I476="À planifier"),IF(AND(OR($C$3="Tous",$C$3="",C476=$C$3),OR($E$3="Tous",$E$3="",I476=$E$3)),1,0),0)))</f>
        <v>0</v>
      </c>
      <c r="L476" s="104" t="n">
        <f aca="false">L475+K476</f>
        <v>0</v>
      </c>
    </row>
    <row r="477" customFormat="false" ht="15" hidden="true" customHeight="true" outlineLevel="0" collapsed="false">
      <c r="A477" s="0" t="str">
        <f aca="false">IF('Formation Initiale'!$A79="","",'Formation Initiale'!$A79)</f>
        <v>TR159</v>
      </c>
      <c r="B477" s="0" t="str">
        <f aca="false">IF($A477="","",'Formation Initiale'!$E79)</f>
        <v>Corrdale Zanor</v>
      </c>
      <c r="C477" s="0" t="str">
        <f aca="false">IF($A477="","",'Formation Initiale'!$F79)</f>
        <v>Montréal</v>
      </c>
      <c r="D477" s="0" t="str">
        <f aca="false">IF($A477="","",IF('Formation Initiale'!$F79="Lisbonne","B2C (Initiale)","B2C+B2B (Initiale)"))</f>
        <v>B2C+B2B (Initiale)</v>
      </c>
      <c r="E477" s="0" t="n">
        <f aca="false">IF($A477="","",'Formation Initiale'!$B79)</f>
        <v>177</v>
      </c>
      <c r="F477" s="116" t="n">
        <f aca="false">IF($A477="","",'Formation Initiale'!$G79)</f>
        <v>46167</v>
      </c>
      <c r="G477" s="116" t="n">
        <f aca="false">IF($A477="","",'Formation Initiale'!$H79)</f>
        <v>46181</v>
      </c>
      <c r="H477" s="104" t="n">
        <f aca="false">IF($A477="","",'Formation Initiale'!$L79)</f>
        <v>0</v>
      </c>
      <c r="I477" s="0" t="str">
        <f aca="false">IF($A477="","",'Formation Initiale'!$R79)</f>
        <v>Terminé</v>
      </c>
      <c r="K477" s="104" t="n">
        <f aca="false">IF(A477="",0,IF(IFERROR(VLOOKUP(A477,Skills!$A:$M,13,FALSE()),"")="COS",0,IF(OR(I477="En cours",I477="À venir",I477="À planifier"),IF(AND(OR($C$3="Tous",$C$3="",C477=$C$3),OR($E$3="Tous",$E$3="",I477=$E$3)),1,0),0)))</f>
        <v>0</v>
      </c>
      <c r="L477" s="104" t="n">
        <f aca="false">L476+K477</f>
        <v>0</v>
      </c>
    </row>
    <row r="478" customFormat="false" ht="15" hidden="true" customHeight="true" outlineLevel="0" collapsed="false">
      <c r="A478" s="0" t="str">
        <f aca="false">IF('Formation Initiale'!$A80="","",'Formation Initiale'!$A80)</f>
        <v>TR160</v>
      </c>
      <c r="B478" s="0" t="str">
        <f aca="false">IF($A478="","",'Formation Initiale'!$E80)</f>
        <v>Pykeshaw Pelir</v>
      </c>
      <c r="C478" s="0" t="str">
        <f aca="false">IF($A478="","",'Formation Initiale'!$F80)</f>
        <v>Montréal</v>
      </c>
      <c r="D478" s="0" t="str">
        <f aca="false">IF($A478="","",IF('Formation Initiale'!$F80="Lisbonne","B2C (Initiale)","B2C+B2B (Initiale)"))</f>
        <v>B2C+B2B (Initiale)</v>
      </c>
      <c r="E478" s="0" t="n">
        <f aca="false">IF($A478="","",'Formation Initiale'!$B80)</f>
        <v>177</v>
      </c>
      <c r="F478" s="116" t="n">
        <f aca="false">IF($A478="","",'Formation Initiale'!$G80)</f>
        <v>46167</v>
      </c>
      <c r="G478" s="116" t="n">
        <f aca="false">IF($A478="","",'Formation Initiale'!$H80)</f>
        <v>46181</v>
      </c>
      <c r="H478" s="104" t="n">
        <f aca="false">IF($A478="","",'Formation Initiale'!$L80)</f>
        <v>0</v>
      </c>
      <c r="I478" s="0" t="str">
        <f aca="false">IF($A478="","",'Formation Initiale'!$R80)</f>
        <v>Terminé</v>
      </c>
      <c r="K478" s="104" t="n">
        <f aca="false">IF(A478="",0,IF(IFERROR(VLOOKUP(A478,Skills!$A:$M,13,FALSE()),"")="COS",0,IF(OR(I478="En cours",I478="À venir",I478="À planifier"),IF(AND(OR($C$3="Tous",$C$3="",C478=$C$3),OR($E$3="Tous",$E$3="",I478=$E$3)),1,0),0)))</f>
        <v>0</v>
      </c>
      <c r="L478" s="104" t="n">
        <f aca="false">L477+K478</f>
        <v>0</v>
      </c>
    </row>
    <row r="479" customFormat="false" ht="15" hidden="true" customHeight="true" outlineLevel="0" collapsed="false">
      <c r="A479" s="0" t="str">
        <f aca="false">IF('Formation Initiale'!$A81="","",'Formation Initiale'!$A81)</f>
        <v>TR161</v>
      </c>
      <c r="B479" s="0" t="str">
        <f aca="false">IF($A479="","",'Formation Initiale'!$E81)</f>
        <v>Kendshaw Zanum Thornbrook</v>
      </c>
      <c r="C479" s="0" t="str">
        <f aca="false">IF($A479="","",'Formation Initiale'!$F81)</f>
        <v>Montréal</v>
      </c>
      <c r="D479" s="0" t="str">
        <f aca="false">IF($A479="","",IF('Formation Initiale'!$F81="Lisbonne","B2C (Initiale)","B2C+B2B (Initiale)"))</f>
        <v>B2C+B2B (Initiale)</v>
      </c>
      <c r="E479" s="0" t="n">
        <f aca="false">IF($A479="","",'Formation Initiale'!$B81)</f>
        <v>177</v>
      </c>
      <c r="F479" s="116" t="n">
        <f aca="false">IF($A479="","",'Formation Initiale'!$G81)</f>
        <v>46167</v>
      </c>
      <c r="G479" s="116" t="n">
        <f aca="false">IF($A479="","",'Formation Initiale'!$H81)</f>
        <v>46181</v>
      </c>
      <c r="H479" s="104" t="n">
        <f aca="false">IF($A479="","",'Formation Initiale'!$L81)</f>
        <v>0</v>
      </c>
      <c r="I479" s="0" t="str">
        <f aca="false">IF($A479="","",'Formation Initiale'!$R81)</f>
        <v>Terminé</v>
      </c>
      <c r="K479" s="104" t="n">
        <f aca="false">IF(A479="",0,IF(IFERROR(VLOOKUP(A479,Skills!$A:$M,13,FALSE()),"")="COS",0,IF(OR(I479="En cours",I479="À venir",I479="À planifier"),IF(AND(OR($C$3="Tous",$C$3="",C479=$C$3),OR($E$3="Tous",$E$3="",I479=$E$3)),1,0),0)))</f>
        <v>0</v>
      </c>
      <c r="L479" s="104" t="n">
        <f aca="false">L478+K479</f>
        <v>0</v>
      </c>
    </row>
    <row r="480" customFormat="false" ht="15" hidden="true" customHeight="true" outlineLevel="0" collapsed="false">
      <c r="A480" s="0" t="str">
        <f aca="false">IF('Formation Initiale'!$A82="","",'Formation Initiale'!$A82)</f>
        <v>TR162</v>
      </c>
      <c r="B480" s="0" t="str">
        <f aca="false">IF($A480="","",'Formation Initiale'!$E82)</f>
        <v>Kendstone Marsshaw</v>
      </c>
      <c r="C480" s="0" t="str">
        <f aca="false">IF($A480="","",'Formation Initiale'!$F82)</f>
        <v>Montréal</v>
      </c>
      <c r="D480" s="0" t="str">
        <f aca="false">IF($A480="","",IF('Formation Initiale'!$F82="Lisbonne","B2C (Initiale)","B2C+B2B (Initiale)"))</f>
        <v>B2C+B2B (Initiale)</v>
      </c>
      <c r="E480" s="0" t="n">
        <f aca="false">IF($A480="","",'Formation Initiale'!$B82)</f>
        <v>177</v>
      </c>
      <c r="F480" s="116" t="n">
        <f aca="false">IF($A480="","",'Formation Initiale'!$G82)</f>
        <v>46167</v>
      </c>
      <c r="G480" s="116" t="n">
        <f aca="false">IF($A480="","",'Formation Initiale'!$H82)</f>
        <v>46181</v>
      </c>
      <c r="H480" s="104" t="n">
        <f aca="false">IF($A480="","",'Formation Initiale'!$L82)</f>
        <v>0</v>
      </c>
      <c r="I480" s="0" t="str">
        <f aca="false">IF($A480="","",'Formation Initiale'!$R82)</f>
        <v>Terminé</v>
      </c>
      <c r="K480" s="104" t="n">
        <f aca="false">IF(A480="",0,IF(IFERROR(VLOOKUP(A480,Skills!$A:$M,13,FALSE()),"")="COS",0,IF(OR(I480="En cours",I480="À venir",I480="À planifier"),IF(AND(OR($C$3="Tous",$C$3="",C480=$C$3),OR($E$3="Tous",$E$3="",I480=$E$3)),1,0),0)))</f>
        <v>0</v>
      </c>
      <c r="L480" s="104" t="n">
        <f aca="false">L479+K480</f>
        <v>0</v>
      </c>
    </row>
    <row r="481" customFormat="false" ht="15" hidden="true" customHeight="true" outlineLevel="0" collapsed="false">
      <c r="A481" s="0" t="str">
        <f aca="false">IF('Formation Initiale'!$A83="","",'Formation Initiale'!$A83)</f>
        <v>TR158</v>
      </c>
      <c r="B481" s="0" t="str">
        <f aca="false">IF($A481="","",'Formation Initiale'!$E83)</f>
        <v>Rownwood Dellmont</v>
      </c>
      <c r="C481" s="0" t="str">
        <f aca="false">IF($A481="","",'Formation Initiale'!$F83)</f>
        <v>Montréal</v>
      </c>
      <c r="D481" s="0" t="str">
        <f aca="false">IF($A481="","",IF('Formation Initiale'!$F83="Lisbonne","B2C (Initiale)","B2C+B2B (Initiale)"))</f>
        <v>B2C+B2B (Initiale)</v>
      </c>
      <c r="E481" s="0" t="n">
        <f aca="false">IF($A481="","",'Formation Initiale'!$B83)</f>
        <v>177</v>
      </c>
      <c r="F481" s="116" t="n">
        <f aca="false">IF($A481="","",'Formation Initiale'!$G83)</f>
        <v>46167</v>
      </c>
      <c r="G481" s="116" t="n">
        <f aca="false">IF($A481="","",'Formation Initiale'!$H83)</f>
        <v>46181</v>
      </c>
      <c r="H481" s="104" t="n">
        <f aca="false">IF($A481="","",'Formation Initiale'!$L83)</f>
        <v>0</v>
      </c>
      <c r="I481" s="0" t="str">
        <f aca="false">IF($A481="","",'Formation Initiale'!$R83)</f>
        <v>Terminé</v>
      </c>
      <c r="K481" s="104" t="n">
        <f aca="false">IF(A481="",0,IF(IFERROR(VLOOKUP(A481,Skills!$A:$M,13,FALSE()),"")="COS",0,IF(OR(I481="En cours",I481="À venir",I481="À planifier"),IF(AND(OR($C$3="Tous",$C$3="",C481=$C$3),OR($E$3="Tous",$E$3="",I481=$E$3)),1,0),0)))</f>
        <v>0</v>
      </c>
      <c r="L481" s="104" t="n">
        <f aca="false">L480+K481</f>
        <v>0</v>
      </c>
    </row>
    <row r="482" customFormat="false" ht="15" hidden="true" customHeight="true" outlineLevel="0" collapsed="false">
      <c r="A482" s="0" t="str">
        <f aca="false">IF('Formation Initiale'!$A84="","",'Formation Initiale'!$A84)</f>
        <v/>
      </c>
      <c r="B482" s="0" t="str">
        <f aca="false">IF($A482="","",'Formation Initiale'!$E84)</f>
        <v/>
      </c>
      <c r="C482" s="0" t="str">
        <f aca="false">IF($A482="","",'Formation Initiale'!$F84)</f>
        <v/>
      </c>
      <c r="D482" s="0" t="str">
        <f aca="false">IF($A482="","",IF('Formation Initiale'!$F84="Lisbonne","B2C (Initiale)","B2C+B2B (Initiale)"))</f>
        <v/>
      </c>
      <c r="E482" s="0" t="str">
        <f aca="false">IF($A482="","",'Formation Initiale'!$B84)</f>
        <v/>
      </c>
      <c r="F482" s="116" t="str">
        <f aca="false">IF($A482="","",'Formation Initiale'!$G84)</f>
        <v/>
      </c>
      <c r="G482" s="116" t="str">
        <f aca="false">IF($A482="","",'Formation Initiale'!$H84)</f>
        <v/>
      </c>
      <c r="H482" s="0" t="str">
        <f aca="false">IF($A482="","",'Formation Initiale'!$L84)</f>
        <v/>
      </c>
      <c r="I482" s="0" t="str">
        <f aca="false">IF($A482="","",'Formation Initiale'!$R84)</f>
        <v/>
      </c>
      <c r="K482" s="104" t="n">
        <f aca="false">IF(A482="",0,IF(IFERROR(VLOOKUP(A482,Skills!$A:$M,13,FALSE()),"")="COS",0,IF(OR(I482="En cours",I482="À venir",I482="À planifier"),IF(AND(OR($C$3="Tous",$C$3="",C482=$C$3),OR($E$3="Tous",$E$3="",I482=$E$3)),1,0),0)))</f>
        <v>0</v>
      </c>
      <c r="L482" s="104" t="n">
        <f aca="false">L481+K482</f>
        <v>0</v>
      </c>
    </row>
    <row r="483" customFormat="false" ht="15" hidden="true" customHeight="true" outlineLevel="0" collapsed="false">
      <c r="A483" s="0" t="str">
        <f aca="false">IF('Formation Initiale'!$A85="","",'Formation Initiale'!$A85)</f>
        <v/>
      </c>
      <c r="B483" s="0" t="str">
        <f aca="false">IF($A483="","",'Formation Initiale'!$E85)</f>
        <v/>
      </c>
      <c r="C483" s="0" t="str">
        <f aca="false">IF($A483="","",'Formation Initiale'!$F85)</f>
        <v/>
      </c>
      <c r="D483" s="0" t="str">
        <f aca="false">IF($A483="","",IF('Formation Initiale'!$F85="Lisbonne","B2C (Initiale)","B2C+B2B (Initiale)"))</f>
        <v/>
      </c>
      <c r="E483" s="0" t="str">
        <f aca="false">IF($A483="","",'Formation Initiale'!$B85)</f>
        <v/>
      </c>
      <c r="F483" s="116" t="str">
        <f aca="false">IF($A483="","",'Formation Initiale'!$G85)</f>
        <v/>
      </c>
      <c r="G483" s="116" t="str">
        <f aca="false">IF($A483="","",'Formation Initiale'!$H85)</f>
        <v/>
      </c>
      <c r="H483" s="0" t="str">
        <f aca="false">IF($A483="","",'Formation Initiale'!$L85)</f>
        <v/>
      </c>
      <c r="I483" s="0" t="str">
        <f aca="false">IF($A483="","",'Formation Initiale'!$R85)</f>
        <v/>
      </c>
      <c r="K483" s="104" t="n">
        <f aca="false">IF(A483="",0,IF(IFERROR(VLOOKUP(A483,Skills!$A:$M,13,FALSE()),"")="COS",0,IF(OR(I483="En cours",I483="À venir",I483="À planifier"),IF(AND(OR($C$3="Tous",$C$3="",C483=$C$3),OR($E$3="Tous",$E$3="",I483=$E$3)),1,0),0)))</f>
        <v>0</v>
      </c>
      <c r="L483" s="104" t="n">
        <f aca="false">L482+K483</f>
        <v>0</v>
      </c>
    </row>
    <row r="484" customFormat="false" ht="15" hidden="true" customHeight="true" outlineLevel="0" collapsed="false">
      <c r="A484" s="0" t="str">
        <f aca="false">IF('Formation Initiale'!$A86="","",'Formation Initiale'!$A86)</f>
        <v/>
      </c>
      <c r="B484" s="0" t="str">
        <f aca="false">IF($A484="","",'Formation Initiale'!$E86)</f>
        <v/>
      </c>
      <c r="C484" s="0" t="str">
        <f aca="false">IF($A484="","",'Formation Initiale'!$F86)</f>
        <v/>
      </c>
      <c r="D484" s="0" t="str">
        <f aca="false">IF($A484="","",IF('Formation Initiale'!$F86="Lisbonne","B2C (Initiale)","B2C+B2B (Initiale)"))</f>
        <v/>
      </c>
      <c r="E484" s="0" t="str">
        <f aca="false">IF($A484="","",'Formation Initiale'!$B86)</f>
        <v/>
      </c>
      <c r="F484" s="116" t="str">
        <f aca="false">IF($A484="","",'Formation Initiale'!$G86)</f>
        <v/>
      </c>
      <c r="G484" s="116" t="str">
        <f aca="false">IF($A484="","",'Formation Initiale'!$H86)</f>
        <v/>
      </c>
      <c r="H484" s="0" t="str">
        <f aca="false">IF($A484="","",'Formation Initiale'!$L86)</f>
        <v/>
      </c>
      <c r="I484" s="0" t="str">
        <f aca="false">IF($A484="","",'Formation Initiale'!$R86)</f>
        <v/>
      </c>
      <c r="K484" s="104" t="n">
        <f aca="false">IF(A484="",0,IF(IFERROR(VLOOKUP(A484,Skills!$A:$M,13,FALSE()),"")="COS",0,IF(OR(I484="En cours",I484="À venir",I484="À planifier"),IF(AND(OR($C$3="Tous",$C$3="",C484=$C$3),OR($E$3="Tous",$E$3="",I484=$E$3)),1,0),0)))</f>
        <v>0</v>
      </c>
      <c r="L484" s="104" t="n">
        <f aca="false">L483+K484</f>
        <v>0</v>
      </c>
    </row>
    <row r="485" customFormat="false" ht="15" hidden="true" customHeight="true" outlineLevel="0" collapsed="false">
      <c r="A485" s="0" t="str">
        <f aca="false">IF('Formation Initiale'!$A87="","",'Formation Initiale'!$A87)</f>
        <v/>
      </c>
      <c r="B485" s="0" t="str">
        <f aca="false">IF($A485="","",'Formation Initiale'!$E87)</f>
        <v/>
      </c>
      <c r="C485" s="0" t="str">
        <f aca="false">IF($A485="","",'Formation Initiale'!$F87)</f>
        <v/>
      </c>
      <c r="D485" s="0" t="str">
        <f aca="false">IF($A485="","",IF('Formation Initiale'!$F87="Lisbonne","B2C (Initiale)","B2C+B2B (Initiale)"))</f>
        <v/>
      </c>
      <c r="E485" s="0" t="str">
        <f aca="false">IF($A485="","",'Formation Initiale'!$B87)</f>
        <v/>
      </c>
      <c r="F485" s="116" t="str">
        <f aca="false">IF($A485="","",'Formation Initiale'!$G87)</f>
        <v/>
      </c>
      <c r="G485" s="116" t="str">
        <f aca="false">IF($A485="","",'Formation Initiale'!$H87)</f>
        <v/>
      </c>
      <c r="H485" s="0" t="str">
        <f aca="false">IF($A485="","",'Formation Initiale'!$L87)</f>
        <v/>
      </c>
      <c r="I485" s="0" t="str">
        <f aca="false">IF($A485="","",'Formation Initiale'!$R87)</f>
        <v/>
      </c>
      <c r="K485" s="104" t="n">
        <f aca="false">IF(A485="",0,IF(IFERROR(VLOOKUP(A485,Skills!$A:$M,13,FALSE()),"")="COS",0,IF(OR(I485="En cours",I485="À venir",I485="À planifier"),IF(AND(OR($C$3="Tous",$C$3="",C485=$C$3),OR($E$3="Tous",$E$3="",I485=$E$3)),1,0),0)))</f>
        <v>0</v>
      </c>
      <c r="L485" s="104" t="n">
        <f aca="false">L484+K485</f>
        <v>0</v>
      </c>
    </row>
    <row r="486" customFormat="false" ht="15" hidden="true" customHeight="true" outlineLevel="0" collapsed="false">
      <c r="A486" s="0" t="str">
        <f aca="false">IF('Formation Initiale'!$A88="","",'Formation Initiale'!$A88)</f>
        <v/>
      </c>
      <c r="B486" s="0" t="str">
        <f aca="false">IF($A486="","",'Formation Initiale'!$E88)</f>
        <v/>
      </c>
      <c r="C486" s="0" t="str">
        <f aca="false">IF($A486="","",'Formation Initiale'!$F88)</f>
        <v/>
      </c>
      <c r="D486" s="0" t="str">
        <f aca="false">IF($A486="","",IF('Formation Initiale'!$F88="Lisbonne","B2C (Initiale)","B2C+B2B (Initiale)"))</f>
        <v/>
      </c>
      <c r="E486" s="0" t="str">
        <f aca="false">IF($A486="","",'Formation Initiale'!$B88)</f>
        <v/>
      </c>
      <c r="F486" s="116" t="str">
        <f aca="false">IF($A486="","",'Formation Initiale'!$G88)</f>
        <v/>
      </c>
      <c r="G486" s="116" t="str">
        <f aca="false">IF($A486="","",'Formation Initiale'!$H88)</f>
        <v/>
      </c>
      <c r="H486" s="0" t="str">
        <f aca="false">IF($A486="","",'Formation Initiale'!$L88)</f>
        <v/>
      </c>
      <c r="I486" s="0" t="str">
        <f aca="false">IF($A486="","",'Formation Initiale'!$R88)</f>
        <v/>
      </c>
      <c r="K486" s="104" t="n">
        <f aca="false">IF(A486="",0,IF(IFERROR(VLOOKUP(A486,Skills!$A:$M,13,FALSE()),"")="COS",0,IF(OR(I486="En cours",I486="À venir",I486="À planifier"),IF(AND(OR($C$3="Tous",$C$3="",C486=$C$3),OR($E$3="Tous",$E$3="",I486=$E$3)),1,0),0)))</f>
        <v>0</v>
      </c>
      <c r="L486" s="104" t="n">
        <f aca="false">L485+K486</f>
        <v>0</v>
      </c>
    </row>
    <row r="487" customFormat="false" ht="15" hidden="true" customHeight="true" outlineLevel="0" collapsed="false">
      <c r="A487" s="0" t="str">
        <f aca="false">IF('Formation Initiale'!$A89="","",'Formation Initiale'!$A89)</f>
        <v/>
      </c>
      <c r="B487" s="0" t="str">
        <f aca="false">IF($A487="","",'Formation Initiale'!$E89)</f>
        <v/>
      </c>
      <c r="C487" s="0" t="str">
        <f aca="false">IF($A487="","",'Formation Initiale'!$F89)</f>
        <v/>
      </c>
      <c r="D487" s="0" t="str">
        <f aca="false">IF($A487="","",IF('Formation Initiale'!$F89="Lisbonne","B2C (Initiale)","B2C+B2B (Initiale)"))</f>
        <v/>
      </c>
      <c r="E487" s="0" t="str">
        <f aca="false">IF($A487="","",'Formation Initiale'!$B89)</f>
        <v/>
      </c>
      <c r="F487" s="116" t="str">
        <f aca="false">IF($A487="","",'Formation Initiale'!$G89)</f>
        <v/>
      </c>
      <c r="G487" s="116" t="str">
        <f aca="false">IF($A487="","",'Formation Initiale'!$H89)</f>
        <v/>
      </c>
      <c r="H487" s="0" t="str">
        <f aca="false">IF($A487="","",'Formation Initiale'!$L89)</f>
        <v/>
      </c>
      <c r="I487" s="0" t="str">
        <f aca="false">IF($A487="","",'Formation Initiale'!$R89)</f>
        <v/>
      </c>
      <c r="K487" s="104" t="n">
        <f aca="false">IF(A487="",0,IF(IFERROR(VLOOKUP(A487,Skills!$A:$M,13,FALSE()),"")="COS",0,IF(OR(I487="En cours",I487="À venir",I487="À planifier"),IF(AND(OR($C$3="Tous",$C$3="",C487=$C$3),OR($E$3="Tous",$E$3="",I487=$E$3)),1,0),0)))</f>
        <v>0</v>
      </c>
      <c r="L487" s="104" t="n">
        <f aca="false">L486+K487</f>
        <v>0</v>
      </c>
    </row>
    <row r="488" customFormat="false" ht="15" hidden="true" customHeight="true" outlineLevel="0" collapsed="false">
      <c r="A488" s="0" t="str">
        <f aca="false">IF('Formation Initiale'!$A90="","",'Formation Initiale'!$A90)</f>
        <v/>
      </c>
      <c r="B488" s="0" t="str">
        <f aca="false">IF($A488="","",'Formation Initiale'!$E90)</f>
        <v/>
      </c>
      <c r="C488" s="0" t="str">
        <f aca="false">IF($A488="","",'Formation Initiale'!$F90)</f>
        <v/>
      </c>
      <c r="D488" s="0" t="str">
        <f aca="false">IF($A488="","",IF('Formation Initiale'!$F90="Lisbonne","B2C (Initiale)","B2C+B2B (Initiale)"))</f>
        <v/>
      </c>
      <c r="E488" s="0" t="str">
        <f aca="false">IF($A488="","",'Formation Initiale'!$B90)</f>
        <v/>
      </c>
      <c r="F488" s="116" t="str">
        <f aca="false">IF($A488="","",'Formation Initiale'!$G90)</f>
        <v/>
      </c>
      <c r="G488" s="116" t="str">
        <f aca="false">IF($A488="","",'Formation Initiale'!$H90)</f>
        <v/>
      </c>
      <c r="H488" s="0" t="str">
        <f aca="false">IF($A488="","",'Formation Initiale'!$L90)</f>
        <v/>
      </c>
      <c r="I488" s="0" t="str">
        <f aca="false">IF($A488="","",'Formation Initiale'!$R90)</f>
        <v/>
      </c>
      <c r="K488" s="104" t="n">
        <f aca="false">IF(A488="",0,IF(IFERROR(VLOOKUP(A488,Skills!$A:$M,13,FALSE()),"")="COS",0,IF(OR(I488="En cours",I488="À venir",I488="À planifier"),IF(AND(OR($C$3="Tous",$C$3="",C488=$C$3),OR($E$3="Tous",$E$3="",I488=$E$3)),1,0),0)))</f>
        <v>0</v>
      </c>
      <c r="L488" s="104" t="n">
        <f aca="false">L487+K488</f>
        <v>0</v>
      </c>
    </row>
    <row r="489" customFormat="false" ht="15" hidden="true" customHeight="true" outlineLevel="0" collapsed="false">
      <c r="A489" s="0" t="str">
        <f aca="false">IF('Formation Initiale'!$A91="","",'Formation Initiale'!$A91)</f>
        <v/>
      </c>
      <c r="B489" s="0" t="str">
        <f aca="false">IF($A489="","",'Formation Initiale'!$E91)</f>
        <v/>
      </c>
      <c r="C489" s="0" t="str">
        <f aca="false">IF($A489="","",'Formation Initiale'!$F91)</f>
        <v/>
      </c>
      <c r="D489" s="0" t="str">
        <f aca="false">IF($A489="","",IF('Formation Initiale'!$F91="Lisbonne","B2C (Initiale)","B2C+B2B (Initiale)"))</f>
        <v/>
      </c>
      <c r="E489" s="0" t="str">
        <f aca="false">IF($A489="","",'Formation Initiale'!$B91)</f>
        <v/>
      </c>
      <c r="F489" s="116" t="str">
        <f aca="false">IF($A489="","",'Formation Initiale'!$G91)</f>
        <v/>
      </c>
      <c r="G489" s="116" t="str">
        <f aca="false">IF($A489="","",'Formation Initiale'!$H91)</f>
        <v/>
      </c>
      <c r="H489" s="0" t="str">
        <f aca="false">IF($A489="","",'Formation Initiale'!$L91)</f>
        <v/>
      </c>
      <c r="I489" s="0" t="str">
        <f aca="false">IF($A489="","",'Formation Initiale'!$R91)</f>
        <v/>
      </c>
      <c r="K489" s="104" t="n">
        <f aca="false">IF(A489="",0,IF(IFERROR(VLOOKUP(A489,Skills!$A:$M,13,FALSE()),"")="COS",0,IF(OR(I489="En cours",I489="À venir",I489="À planifier"),IF(AND(OR($C$3="Tous",$C$3="",C489=$C$3),OR($E$3="Tous",$E$3="",I489=$E$3)),1,0),0)))</f>
        <v>0</v>
      </c>
      <c r="L489" s="104" t="n">
        <f aca="false">L488+K489</f>
        <v>0</v>
      </c>
    </row>
    <row r="490" customFormat="false" ht="15" hidden="true" customHeight="true" outlineLevel="0" collapsed="false">
      <c r="A490" s="0" t="str">
        <f aca="false">IF('Formation Initiale'!$A92="","",'Formation Initiale'!$A92)</f>
        <v/>
      </c>
      <c r="B490" s="0" t="str">
        <f aca="false">IF($A490="","",'Formation Initiale'!$E92)</f>
        <v/>
      </c>
      <c r="C490" s="0" t="str">
        <f aca="false">IF($A490="","",'Formation Initiale'!$F92)</f>
        <v/>
      </c>
      <c r="D490" s="0" t="str">
        <f aca="false">IF($A490="","",IF('Formation Initiale'!$F92="Lisbonne","B2C (Initiale)","B2C+B2B (Initiale)"))</f>
        <v/>
      </c>
      <c r="E490" s="0" t="str">
        <f aca="false">IF($A490="","",'Formation Initiale'!$B92)</f>
        <v/>
      </c>
      <c r="F490" s="116" t="str">
        <f aca="false">IF($A490="","",'Formation Initiale'!$G92)</f>
        <v/>
      </c>
      <c r="G490" s="116" t="str">
        <f aca="false">IF($A490="","",'Formation Initiale'!$H92)</f>
        <v/>
      </c>
      <c r="H490" s="0" t="str">
        <f aca="false">IF($A490="","",'Formation Initiale'!$L92)</f>
        <v/>
      </c>
      <c r="I490" s="0" t="str">
        <f aca="false">IF($A490="","",'Formation Initiale'!$R92)</f>
        <v/>
      </c>
      <c r="K490" s="104" t="n">
        <f aca="false">IF(A490="",0,IF(IFERROR(VLOOKUP(A490,Skills!$A:$M,13,FALSE()),"")="COS",0,IF(OR(I490="En cours",I490="À venir",I490="À planifier"),IF(AND(OR($C$3="Tous",$C$3="",C490=$C$3),OR($E$3="Tous",$E$3="",I490=$E$3)),1,0),0)))</f>
        <v>0</v>
      </c>
      <c r="L490" s="104" t="n">
        <f aca="false">L489+K490</f>
        <v>0</v>
      </c>
    </row>
    <row r="491" customFormat="false" ht="15" hidden="true" customHeight="true" outlineLevel="0" collapsed="false">
      <c r="A491" s="0" t="str">
        <f aca="false">IF('Formation Initiale'!$A93="","",'Formation Initiale'!$A93)</f>
        <v/>
      </c>
      <c r="B491" s="0" t="str">
        <f aca="false">IF($A491="","",'Formation Initiale'!$E93)</f>
        <v/>
      </c>
      <c r="C491" s="0" t="str">
        <f aca="false">IF($A491="","",'Formation Initiale'!$F93)</f>
        <v/>
      </c>
      <c r="D491" s="0" t="str">
        <f aca="false">IF($A491="","",IF('Formation Initiale'!$F93="Lisbonne","B2C (Initiale)","B2C+B2B (Initiale)"))</f>
        <v/>
      </c>
      <c r="E491" s="0" t="str">
        <f aca="false">IF($A491="","",'Formation Initiale'!$B93)</f>
        <v/>
      </c>
      <c r="F491" s="116" t="str">
        <f aca="false">IF($A491="","",'Formation Initiale'!$G93)</f>
        <v/>
      </c>
      <c r="G491" s="116" t="str">
        <f aca="false">IF($A491="","",'Formation Initiale'!$H93)</f>
        <v/>
      </c>
      <c r="H491" s="0" t="str">
        <f aca="false">IF($A491="","",'Formation Initiale'!$L93)</f>
        <v/>
      </c>
      <c r="I491" s="0" t="str">
        <f aca="false">IF($A491="","",'Formation Initiale'!$R93)</f>
        <v/>
      </c>
      <c r="K491" s="104" t="n">
        <f aca="false">IF(A491="",0,IF(IFERROR(VLOOKUP(A491,Skills!$A:$M,13,FALSE()),"")="COS",0,IF(OR(I491="En cours",I491="À venir",I491="À planifier"),IF(AND(OR($C$3="Tous",$C$3="",C491=$C$3),OR($E$3="Tous",$E$3="",I491=$E$3)),1,0),0)))</f>
        <v>0</v>
      </c>
      <c r="L491" s="104" t="n">
        <f aca="false">L490+K491</f>
        <v>0</v>
      </c>
    </row>
    <row r="492" customFormat="false" ht="15" hidden="true" customHeight="true" outlineLevel="0" collapsed="false">
      <c r="A492" s="0" t="str">
        <f aca="false">IF('Formation Initiale'!$A94="","",'Formation Initiale'!$A94)</f>
        <v/>
      </c>
      <c r="B492" s="0" t="str">
        <f aca="false">IF($A492="","",'Formation Initiale'!$E94)</f>
        <v/>
      </c>
      <c r="C492" s="0" t="str">
        <f aca="false">IF($A492="","",'Formation Initiale'!$F94)</f>
        <v/>
      </c>
      <c r="D492" s="0" t="str">
        <f aca="false">IF($A492="","",IF('Formation Initiale'!$F94="Lisbonne","B2C (Initiale)","B2C+B2B (Initiale)"))</f>
        <v/>
      </c>
      <c r="E492" s="0" t="str">
        <f aca="false">IF($A492="","",'Formation Initiale'!$B94)</f>
        <v/>
      </c>
      <c r="F492" s="116" t="str">
        <f aca="false">IF($A492="","",'Formation Initiale'!$G94)</f>
        <v/>
      </c>
      <c r="G492" s="116" t="str">
        <f aca="false">IF($A492="","",'Formation Initiale'!$H94)</f>
        <v/>
      </c>
      <c r="H492" s="0" t="str">
        <f aca="false">IF($A492="","",'Formation Initiale'!$L94)</f>
        <v/>
      </c>
      <c r="I492" s="0" t="str">
        <f aca="false">IF($A492="","",'Formation Initiale'!$R94)</f>
        <v/>
      </c>
      <c r="K492" s="104" t="n">
        <f aca="false">IF(A492="",0,IF(IFERROR(VLOOKUP(A492,Skills!$A:$M,13,FALSE()),"")="COS",0,IF(OR(I492="En cours",I492="À venir",I492="À planifier"),IF(AND(OR($C$3="Tous",$C$3="",C492=$C$3),OR($E$3="Tous",$E$3="",I492=$E$3)),1,0),0)))</f>
        <v>0</v>
      </c>
      <c r="L492" s="104" t="n">
        <f aca="false">L491+K492</f>
        <v>0</v>
      </c>
    </row>
    <row r="493" customFormat="false" ht="15" hidden="true" customHeight="true" outlineLevel="0" collapsed="false">
      <c r="A493" s="0" t="str">
        <f aca="false">IF('Formation Initiale'!$A95="","",'Formation Initiale'!$A95)</f>
        <v/>
      </c>
      <c r="B493" s="0" t="str">
        <f aca="false">IF($A493="","",'Formation Initiale'!$E95)</f>
        <v/>
      </c>
      <c r="C493" s="0" t="str">
        <f aca="false">IF($A493="","",'Formation Initiale'!$F95)</f>
        <v/>
      </c>
      <c r="D493" s="0" t="str">
        <f aca="false">IF($A493="","",IF('Formation Initiale'!$F95="Lisbonne","B2C (Initiale)","B2C+B2B (Initiale)"))</f>
        <v/>
      </c>
      <c r="E493" s="0" t="str">
        <f aca="false">IF($A493="","",'Formation Initiale'!$B95)</f>
        <v/>
      </c>
      <c r="F493" s="116" t="str">
        <f aca="false">IF($A493="","",'Formation Initiale'!$G95)</f>
        <v/>
      </c>
      <c r="G493" s="116" t="str">
        <f aca="false">IF($A493="","",'Formation Initiale'!$H95)</f>
        <v/>
      </c>
      <c r="H493" s="0" t="str">
        <f aca="false">IF($A493="","",'Formation Initiale'!$L95)</f>
        <v/>
      </c>
      <c r="I493" s="0" t="str">
        <f aca="false">IF($A493="","",'Formation Initiale'!$R95)</f>
        <v/>
      </c>
      <c r="K493" s="104" t="n">
        <f aca="false">IF(A493="",0,IF(IFERROR(VLOOKUP(A493,Skills!$A:$M,13,FALSE()),"")="COS",0,IF(OR(I493="En cours",I493="À venir",I493="À planifier"),IF(AND(OR($C$3="Tous",$C$3="",C493=$C$3),OR($E$3="Tous",$E$3="",I493=$E$3)),1,0),0)))</f>
        <v>0</v>
      </c>
      <c r="L493" s="104" t="n">
        <f aca="false">L492+K493</f>
        <v>0</v>
      </c>
    </row>
    <row r="494" customFormat="false" ht="15" hidden="true" customHeight="true" outlineLevel="0" collapsed="false">
      <c r="A494" s="0" t="str">
        <f aca="false">IF('Formation Initiale'!$A96="","",'Formation Initiale'!$A96)</f>
        <v/>
      </c>
      <c r="B494" s="0" t="str">
        <f aca="false">IF($A494="","",'Formation Initiale'!$E96)</f>
        <v/>
      </c>
      <c r="C494" s="0" t="str">
        <f aca="false">IF($A494="","",'Formation Initiale'!$F96)</f>
        <v/>
      </c>
      <c r="D494" s="0" t="str">
        <f aca="false">IF($A494="","",IF('Formation Initiale'!$F96="Lisbonne","B2C (Initiale)","B2C+B2B (Initiale)"))</f>
        <v/>
      </c>
      <c r="E494" s="0" t="str">
        <f aca="false">IF($A494="","",'Formation Initiale'!$B96)</f>
        <v/>
      </c>
      <c r="F494" s="116" t="str">
        <f aca="false">IF($A494="","",'Formation Initiale'!$G96)</f>
        <v/>
      </c>
      <c r="G494" s="116" t="str">
        <f aca="false">IF($A494="","",'Formation Initiale'!$H96)</f>
        <v/>
      </c>
      <c r="H494" s="0" t="str">
        <f aca="false">IF($A494="","",'Formation Initiale'!$L96)</f>
        <v/>
      </c>
      <c r="I494" s="0" t="str">
        <f aca="false">IF($A494="","",'Formation Initiale'!$R96)</f>
        <v/>
      </c>
      <c r="K494" s="104" t="n">
        <f aca="false">IF(A494="",0,IF(IFERROR(VLOOKUP(A494,Skills!$A:$M,13,FALSE()),"")="COS",0,IF(OR(I494="En cours",I494="À venir",I494="À planifier"),IF(AND(OR($C$3="Tous",$C$3="",C494=$C$3),OR($E$3="Tous",$E$3="",I494=$E$3)),1,0),0)))</f>
        <v>0</v>
      </c>
      <c r="L494" s="104" t="n">
        <f aca="false">L493+K494</f>
        <v>0</v>
      </c>
    </row>
    <row r="495" customFormat="false" ht="15" hidden="true" customHeight="true" outlineLevel="0" collapsed="false">
      <c r="A495" s="0" t="str">
        <f aca="false">IF('Formation Initiale'!$A97="","",'Formation Initiale'!$A97)</f>
        <v/>
      </c>
      <c r="B495" s="0" t="str">
        <f aca="false">IF($A495="","",'Formation Initiale'!$E97)</f>
        <v/>
      </c>
      <c r="C495" s="0" t="str">
        <f aca="false">IF($A495="","",'Formation Initiale'!$F97)</f>
        <v/>
      </c>
      <c r="D495" s="0" t="str">
        <f aca="false">IF($A495="","",IF('Formation Initiale'!$F97="Lisbonne","B2C (Initiale)","B2C+B2B (Initiale)"))</f>
        <v/>
      </c>
      <c r="E495" s="0" t="str">
        <f aca="false">IF($A495="","",'Formation Initiale'!$B97)</f>
        <v/>
      </c>
      <c r="F495" s="116" t="str">
        <f aca="false">IF($A495="","",'Formation Initiale'!$G97)</f>
        <v/>
      </c>
      <c r="G495" s="116" t="str">
        <f aca="false">IF($A495="","",'Formation Initiale'!$H97)</f>
        <v/>
      </c>
      <c r="H495" s="0" t="str">
        <f aca="false">IF($A495="","",'Formation Initiale'!$L97)</f>
        <v/>
      </c>
      <c r="I495" s="0" t="str">
        <f aca="false">IF($A495="","",'Formation Initiale'!$R97)</f>
        <v/>
      </c>
      <c r="K495" s="104" t="n">
        <f aca="false">IF(A495="",0,IF(IFERROR(VLOOKUP(A495,Skills!$A:$M,13,FALSE()),"")="COS",0,IF(OR(I495="En cours",I495="À venir",I495="À planifier"),IF(AND(OR($C$3="Tous",$C$3="",C495=$C$3),OR($E$3="Tous",$E$3="",I495=$E$3)),1,0),0)))</f>
        <v>0</v>
      </c>
      <c r="L495" s="104" t="n">
        <f aca="false">L494+K495</f>
        <v>0</v>
      </c>
    </row>
    <row r="496" customFormat="false" ht="15" hidden="true" customHeight="true" outlineLevel="0" collapsed="false">
      <c r="A496" s="0" t="str">
        <f aca="false">IF('Formation Initiale'!$A98="","",'Formation Initiale'!$A98)</f>
        <v/>
      </c>
      <c r="B496" s="0" t="str">
        <f aca="false">IF($A496="","",'Formation Initiale'!$E98)</f>
        <v/>
      </c>
      <c r="C496" s="0" t="str">
        <f aca="false">IF($A496="","",'Formation Initiale'!$F98)</f>
        <v/>
      </c>
      <c r="D496" s="0" t="str">
        <f aca="false">IF($A496="","",IF('Formation Initiale'!$F98="Lisbonne","B2C (Initiale)","B2C+B2B (Initiale)"))</f>
        <v/>
      </c>
      <c r="E496" s="0" t="str">
        <f aca="false">IF($A496="","",'Formation Initiale'!$B98)</f>
        <v/>
      </c>
      <c r="F496" s="116" t="str">
        <f aca="false">IF($A496="","",'Formation Initiale'!$G98)</f>
        <v/>
      </c>
      <c r="G496" s="116" t="str">
        <f aca="false">IF($A496="","",'Formation Initiale'!$H98)</f>
        <v/>
      </c>
      <c r="H496" s="0" t="str">
        <f aca="false">IF($A496="","",'Formation Initiale'!$L98)</f>
        <v/>
      </c>
      <c r="I496" s="0" t="str">
        <f aca="false">IF($A496="","",'Formation Initiale'!$R98)</f>
        <v/>
      </c>
      <c r="K496" s="104" t="n">
        <f aca="false">IF(A496="",0,IF(IFERROR(VLOOKUP(A496,Skills!$A:$M,13,FALSE()),"")="COS",0,IF(OR(I496="En cours",I496="À venir",I496="À planifier"),IF(AND(OR($C$3="Tous",$C$3="",C496=$C$3),OR($E$3="Tous",$E$3="",I496=$E$3)),1,0),0)))</f>
        <v>0</v>
      </c>
      <c r="L496" s="104" t="n">
        <f aca="false">L495+K496</f>
        <v>0</v>
      </c>
    </row>
    <row r="497" customFormat="false" ht="15" hidden="true" customHeight="true" outlineLevel="0" collapsed="false">
      <c r="A497" s="0" t="str">
        <f aca="false">IF('Formation Initiale'!$A99="","",'Formation Initiale'!$A99)</f>
        <v/>
      </c>
      <c r="B497" s="0" t="str">
        <f aca="false">IF($A497="","",'Formation Initiale'!$E99)</f>
        <v/>
      </c>
      <c r="C497" s="0" t="str">
        <f aca="false">IF($A497="","",'Formation Initiale'!$F99)</f>
        <v/>
      </c>
      <c r="D497" s="0" t="str">
        <f aca="false">IF($A497="","",IF('Formation Initiale'!$F99="Lisbonne","B2C (Initiale)","B2C+B2B (Initiale)"))</f>
        <v/>
      </c>
      <c r="E497" s="0" t="str">
        <f aca="false">IF($A497="","",'Formation Initiale'!$B99)</f>
        <v/>
      </c>
      <c r="F497" s="116" t="str">
        <f aca="false">IF($A497="","",'Formation Initiale'!$G99)</f>
        <v/>
      </c>
      <c r="G497" s="116" t="str">
        <f aca="false">IF($A497="","",'Formation Initiale'!$H99)</f>
        <v/>
      </c>
      <c r="H497" s="0" t="str">
        <f aca="false">IF($A497="","",'Formation Initiale'!$L99)</f>
        <v/>
      </c>
      <c r="I497" s="0" t="str">
        <f aca="false">IF($A497="","",'Formation Initiale'!$R99)</f>
        <v/>
      </c>
      <c r="K497" s="104" t="n">
        <f aca="false">IF(A497="",0,IF(IFERROR(VLOOKUP(A497,Skills!$A:$M,13,FALSE()),"")="COS",0,IF(OR(I497="En cours",I497="À venir",I497="À planifier"),IF(AND(OR($C$3="Tous",$C$3="",C497=$C$3),OR($E$3="Tous",$E$3="",I497=$E$3)),1,0),0)))</f>
        <v>0</v>
      </c>
      <c r="L497" s="104" t="n">
        <f aca="false">L496+K497</f>
        <v>0</v>
      </c>
    </row>
    <row r="498" customFormat="false" ht="15" hidden="true" customHeight="true" outlineLevel="0" collapsed="false">
      <c r="A498" s="0" t="str">
        <f aca="false">IF('Formation Initiale'!$A100="","",'Formation Initiale'!$A100)</f>
        <v/>
      </c>
      <c r="B498" s="0" t="str">
        <f aca="false">IF($A498="","",'Formation Initiale'!$E100)</f>
        <v/>
      </c>
      <c r="C498" s="0" t="str">
        <f aca="false">IF($A498="","",'Formation Initiale'!$F100)</f>
        <v/>
      </c>
      <c r="D498" s="0" t="str">
        <f aca="false">IF($A498="","",IF('Formation Initiale'!$F100="Lisbonne","B2C (Initiale)","B2C+B2B (Initiale)"))</f>
        <v/>
      </c>
      <c r="E498" s="0" t="str">
        <f aca="false">IF($A498="","",'Formation Initiale'!$B100)</f>
        <v/>
      </c>
      <c r="F498" s="116" t="str">
        <f aca="false">IF($A498="","",'Formation Initiale'!$G100)</f>
        <v/>
      </c>
      <c r="G498" s="116" t="str">
        <f aca="false">IF($A498="","",'Formation Initiale'!$H100)</f>
        <v/>
      </c>
      <c r="H498" s="0" t="str">
        <f aca="false">IF($A498="","",'Formation Initiale'!$L100)</f>
        <v/>
      </c>
      <c r="I498" s="0" t="str">
        <f aca="false">IF($A498="","",'Formation Initiale'!$R100)</f>
        <v/>
      </c>
      <c r="K498" s="104" t="n">
        <f aca="false">IF(A498="",0,IF(IFERROR(VLOOKUP(A498,Skills!$A:$M,13,FALSE()),"")="COS",0,IF(OR(I498="En cours",I498="À venir",I498="À planifier"),IF(AND(OR($C$3="Tous",$C$3="",C498=$C$3),OR($E$3="Tous",$E$3="",I498=$E$3)),1,0),0)))</f>
        <v>0</v>
      </c>
      <c r="L498" s="104" t="n">
        <f aca="false">L497+K498</f>
        <v>0</v>
      </c>
    </row>
    <row r="499" customFormat="false" ht="15" hidden="true" customHeight="true" outlineLevel="0" collapsed="false">
      <c r="A499" s="0" t="str">
        <f aca="false">IF('Formation Initiale'!$A101="","",'Formation Initiale'!$A101)</f>
        <v/>
      </c>
      <c r="B499" s="0" t="str">
        <f aca="false">IF($A499="","",'Formation Initiale'!$E101)</f>
        <v/>
      </c>
      <c r="C499" s="0" t="str">
        <f aca="false">IF($A499="","",'Formation Initiale'!$F101)</f>
        <v/>
      </c>
      <c r="D499" s="0" t="str">
        <f aca="false">IF($A499="","",IF('Formation Initiale'!$F101="Lisbonne","B2C (Initiale)","B2C+B2B (Initiale)"))</f>
        <v/>
      </c>
      <c r="E499" s="0" t="str">
        <f aca="false">IF($A499="","",'Formation Initiale'!$B101)</f>
        <v/>
      </c>
      <c r="F499" s="116" t="str">
        <f aca="false">IF($A499="","",'Formation Initiale'!$G101)</f>
        <v/>
      </c>
      <c r="G499" s="116" t="str">
        <f aca="false">IF($A499="","",'Formation Initiale'!$H101)</f>
        <v/>
      </c>
      <c r="H499" s="0" t="str">
        <f aca="false">IF($A499="","",'Formation Initiale'!$L101)</f>
        <v/>
      </c>
      <c r="I499" s="0" t="str">
        <f aca="false">IF($A499="","",'Formation Initiale'!$R101)</f>
        <v/>
      </c>
      <c r="K499" s="104" t="n">
        <f aca="false">IF(A499="",0,IF(IFERROR(VLOOKUP(A499,Skills!$A:$M,13,FALSE()),"")="COS",0,IF(OR(I499="En cours",I499="À venir",I499="À planifier"),IF(AND(OR($C$3="Tous",$C$3="",C499=$C$3),OR($E$3="Tous",$E$3="",I499=$E$3)),1,0),0)))</f>
        <v>0</v>
      </c>
      <c r="L499" s="104" t="n">
        <f aca="false">L498+K499</f>
        <v>0</v>
      </c>
    </row>
    <row r="500" customFormat="false" ht="15" hidden="true" customHeight="true" outlineLevel="0" collapsed="false">
      <c r="A500" s="0" t="str">
        <f aca="false">IF('Formation Initiale'!$A102="","",'Formation Initiale'!$A102)</f>
        <v/>
      </c>
      <c r="B500" s="0" t="str">
        <f aca="false">IF($A500="","",'Formation Initiale'!$E102)</f>
        <v/>
      </c>
      <c r="C500" s="0" t="str">
        <f aca="false">IF($A500="","",'Formation Initiale'!$F102)</f>
        <v/>
      </c>
      <c r="D500" s="0" t="str">
        <f aca="false">IF($A500="","",IF('Formation Initiale'!$F102="Lisbonne","B2C (Initiale)","B2C+B2B (Initiale)"))</f>
        <v/>
      </c>
      <c r="E500" s="0" t="str">
        <f aca="false">IF($A500="","",'Formation Initiale'!$B102)</f>
        <v/>
      </c>
      <c r="F500" s="116" t="str">
        <f aca="false">IF($A500="","",'Formation Initiale'!$G102)</f>
        <v/>
      </c>
      <c r="G500" s="116" t="str">
        <f aca="false">IF($A500="","",'Formation Initiale'!$H102)</f>
        <v/>
      </c>
      <c r="H500" s="0" t="str">
        <f aca="false">IF($A500="","",'Formation Initiale'!$L102)</f>
        <v/>
      </c>
      <c r="I500" s="0" t="str">
        <f aca="false">IF($A500="","",'Formation Initiale'!$R102)</f>
        <v/>
      </c>
      <c r="K500" s="104" t="n">
        <f aca="false">IF(A500="",0,IF(IFERROR(VLOOKUP(A500,Skills!$A:$M,13,FALSE()),"")="COS",0,IF(OR(I500="En cours",I500="À venir",I500="À planifier"),IF(AND(OR($C$3="Tous",$C$3="",C500=$C$3),OR($E$3="Tous",$E$3="",I500=$E$3)),1,0),0)))</f>
        <v>0</v>
      </c>
      <c r="L500" s="104" t="n">
        <f aca="false">L499+K500</f>
        <v>0</v>
      </c>
    </row>
    <row r="501" customFormat="false" ht="15" hidden="true" customHeight="true" outlineLevel="0" collapsed="false">
      <c r="A501" s="0" t="str">
        <f aca="false">IF('Formation Initiale'!$A103="","",'Formation Initiale'!$A103)</f>
        <v/>
      </c>
      <c r="B501" s="0" t="str">
        <f aca="false">IF($A501="","",'Formation Initiale'!$E103)</f>
        <v/>
      </c>
      <c r="C501" s="0" t="str">
        <f aca="false">IF($A501="","",'Formation Initiale'!$F103)</f>
        <v/>
      </c>
      <c r="D501" s="0" t="str">
        <f aca="false">IF($A501="","",IF('Formation Initiale'!$F103="Lisbonne","B2C (Initiale)","B2C+B2B (Initiale)"))</f>
        <v/>
      </c>
      <c r="E501" s="0" t="str">
        <f aca="false">IF($A501="","",'Formation Initiale'!$B103)</f>
        <v/>
      </c>
      <c r="F501" s="116" t="str">
        <f aca="false">IF($A501="","",'Formation Initiale'!$G103)</f>
        <v/>
      </c>
      <c r="G501" s="116" t="str">
        <f aca="false">IF($A501="","",'Formation Initiale'!$H103)</f>
        <v/>
      </c>
      <c r="H501" s="0" t="str">
        <f aca="false">IF($A501="","",'Formation Initiale'!$L103)</f>
        <v/>
      </c>
      <c r="I501" s="0" t="str">
        <f aca="false">IF($A501="","",'Formation Initiale'!$R103)</f>
        <v/>
      </c>
      <c r="K501" s="104" t="n">
        <f aca="false">IF(A501="",0,IF(IFERROR(VLOOKUP(A501,Skills!$A:$M,13,FALSE()),"")="COS",0,IF(OR(I501="En cours",I501="À venir",I501="À planifier"),IF(AND(OR($C$3="Tous",$C$3="",C501=$C$3),OR($E$3="Tous",$E$3="",I501=$E$3)),1,0),0)))</f>
        <v>0</v>
      </c>
      <c r="L501" s="104" t="n">
        <f aca="false">L500+K501</f>
        <v>0</v>
      </c>
    </row>
    <row r="502" customFormat="false" ht="15" hidden="true" customHeight="true" outlineLevel="0" collapsed="false">
      <c r="A502" s="0" t="str">
        <f aca="false">IF('Formation Initiale'!$A104="","",'Formation Initiale'!$A104)</f>
        <v/>
      </c>
      <c r="B502" s="0" t="str">
        <f aca="false">IF($A502="","",'Formation Initiale'!$E104)</f>
        <v/>
      </c>
      <c r="C502" s="0" t="str">
        <f aca="false">IF($A502="","",'Formation Initiale'!$F104)</f>
        <v/>
      </c>
      <c r="D502" s="0" t="str">
        <f aca="false">IF($A502="","",IF('Formation Initiale'!$F104="Lisbonne","B2C (Initiale)","B2C+B2B (Initiale)"))</f>
        <v/>
      </c>
      <c r="E502" s="0" t="str">
        <f aca="false">IF($A502="","",'Formation Initiale'!$B104)</f>
        <v/>
      </c>
      <c r="F502" s="116" t="str">
        <f aca="false">IF($A502="","",'Formation Initiale'!$G104)</f>
        <v/>
      </c>
      <c r="G502" s="116" t="str">
        <f aca="false">IF($A502="","",'Formation Initiale'!$H104)</f>
        <v/>
      </c>
      <c r="H502" s="0" t="str">
        <f aca="false">IF($A502="","",'Formation Initiale'!$L104)</f>
        <v/>
      </c>
      <c r="I502" s="0" t="str">
        <f aca="false">IF($A502="","",'Formation Initiale'!$R104)</f>
        <v/>
      </c>
      <c r="K502" s="104" t="n">
        <f aca="false">IF(A502="",0,IF(IFERROR(VLOOKUP(A502,Skills!$A:$M,13,FALSE()),"")="COS",0,IF(OR(I502="En cours",I502="À venir",I502="À planifier"),IF(AND(OR($C$3="Tous",$C$3="",C502=$C$3),OR($E$3="Tous",$E$3="",I502=$E$3)),1,0),0)))</f>
        <v>0</v>
      </c>
      <c r="L502" s="104" t="n">
        <f aca="false">L501+K502</f>
        <v>0</v>
      </c>
    </row>
    <row r="503" customFormat="false" ht="15" hidden="true" customHeight="true" outlineLevel="0" collapsed="false">
      <c r="A503" s="0" t="str">
        <f aca="false">IF('Formation Initiale'!$A105="","",'Formation Initiale'!$A105)</f>
        <v/>
      </c>
      <c r="B503" s="0" t="str">
        <f aca="false">IF($A503="","",'Formation Initiale'!$E105)</f>
        <v/>
      </c>
      <c r="C503" s="0" t="str">
        <f aca="false">IF($A503="","",'Formation Initiale'!$F105)</f>
        <v/>
      </c>
      <c r="D503" s="0" t="str">
        <f aca="false">IF($A503="","",IF('Formation Initiale'!$F105="Lisbonne","B2C (Initiale)","B2C+B2B (Initiale)"))</f>
        <v/>
      </c>
      <c r="E503" s="0" t="str">
        <f aca="false">IF($A503="","",'Formation Initiale'!$B105)</f>
        <v/>
      </c>
      <c r="F503" s="116" t="str">
        <f aca="false">IF($A503="","",'Formation Initiale'!$G105)</f>
        <v/>
      </c>
      <c r="G503" s="116" t="str">
        <f aca="false">IF($A503="","",'Formation Initiale'!$H105)</f>
        <v/>
      </c>
      <c r="H503" s="0" t="str">
        <f aca="false">IF($A503="","",'Formation Initiale'!$L105)</f>
        <v/>
      </c>
      <c r="I503" s="0" t="str">
        <f aca="false">IF($A503="","",'Formation Initiale'!$R105)</f>
        <v/>
      </c>
      <c r="K503" s="104" t="n">
        <f aca="false">IF(A503="",0,IF(IFERROR(VLOOKUP(A503,Skills!$A:$M,13,FALSE()),"")="COS",0,IF(OR(I503="En cours",I503="À venir",I503="À planifier"),IF(AND(OR($C$3="Tous",$C$3="",C503=$C$3),OR($E$3="Tous",$E$3="",I503=$E$3)),1,0),0)))</f>
        <v>0</v>
      </c>
      <c r="L503" s="104" t="n">
        <f aca="false">L502+K503</f>
        <v>0</v>
      </c>
    </row>
    <row r="504" customFormat="false" ht="15" hidden="true" customHeight="true" outlineLevel="0" collapsed="false">
      <c r="A504" s="0" t="str">
        <f aca="false">IF('Formation Initiale'!$A106="","",'Formation Initiale'!$A106)</f>
        <v/>
      </c>
      <c r="B504" s="0" t="str">
        <f aca="false">IF($A504="","",'Formation Initiale'!$E106)</f>
        <v/>
      </c>
      <c r="C504" s="0" t="str">
        <f aca="false">IF($A504="","",'Formation Initiale'!$F106)</f>
        <v/>
      </c>
      <c r="D504" s="0" t="str">
        <f aca="false">IF($A504="","",IF('Formation Initiale'!$F106="Lisbonne","B2C (Initiale)","B2C+B2B (Initiale)"))</f>
        <v/>
      </c>
      <c r="E504" s="0" t="str">
        <f aca="false">IF($A504="","",'Formation Initiale'!$B106)</f>
        <v/>
      </c>
      <c r="F504" s="116" t="str">
        <f aca="false">IF($A504="","",'Formation Initiale'!$G106)</f>
        <v/>
      </c>
      <c r="G504" s="116" t="str">
        <f aca="false">IF($A504="","",'Formation Initiale'!$H106)</f>
        <v/>
      </c>
      <c r="H504" s="0" t="str">
        <f aca="false">IF($A504="","",'Formation Initiale'!$L106)</f>
        <v/>
      </c>
      <c r="I504" s="0" t="str">
        <f aca="false">IF($A504="","",'Formation Initiale'!$R106)</f>
        <v/>
      </c>
      <c r="K504" s="104" t="n">
        <f aca="false">IF(A504="",0,IF(IFERROR(VLOOKUP(A504,Skills!$A:$M,13,FALSE()),"")="COS",0,IF(OR(I504="En cours",I504="À venir",I504="À planifier"),IF(AND(OR($C$3="Tous",$C$3="",C504=$C$3),OR($E$3="Tous",$E$3="",I504=$E$3)),1,0),0)))</f>
        <v>0</v>
      </c>
      <c r="L504" s="104" t="n">
        <f aca="false">L503+K504</f>
        <v>0</v>
      </c>
    </row>
    <row r="505" customFormat="false" ht="15" hidden="true" customHeight="true" outlineLevel="0" collapsed="false">
      <c r="A505" s="0" t="str">
        <f aca="false">IF('Formation Initiale'!$A107="","",'Formation Initiale'!$A107)</f>
        <v/>
      </c>
      <c r="B505" s="0" t="str">
        <f aca="false">IF($A505="","",'Formation Initiale'!$E107)</f>
        <v/>
      </c>
      <c r="C505" s="0" t="str">
        <f aca="false">IF($A505="","",'Formation Initiale'!$F107)</f>
        <v/>
      </c>
      <c r="D505" s="0" t="str">
        <f aca="false">IF($A505="","",IF('Formation Initiale'!$F107="Lisbonne","B2C (Initiale)","B2C+B2B (Initiale)"))</f>
        <v/>
      </c>
      <c r="E505" s="0" t="str">
        <f aca="false">IF($A505="","",'Formation Initiale'!$B107)</f>
        <v/>
      </c>
      <c r="F505" s="116" t="str">
        <f aca="false">IF($A505="","",'Formation Initiale'!$G107)</f>
        <v/>
      </c>
      <c r="G505" s="116" t="str">
        <f aca="false">IF($A505="","",'Formation Initiale'!$H107)</f>
        <v/>
      </c>
      <c r="H505" s="0" t="str">
        <f aca="false">IF($A505="","",'Formation Initiale'!$L107)</f>
        <v/>
      </c>
      <c r="I505" s="0" t="str">
        <f aca="false">IF($A505="","",'Formation Initiale'!$R107)</f>
        <v/>
      </c>
      <c r="K505" s="104" t="n">
        <f aca="false">IF(A505="",0,IF(IFERROR(VLOOKUP(A505,Skills!$A:$M,13,FALSE()),"")="COS",0,IF(OR(I505="En cours",I505="À venir",I505="À planifier"),IF(AND(OR($C$3="Tous",$C$3="",C505=$C$3),OR($E$3="Tous",$E$3="",I505=$E$3)),1,0),0)))</f>
        <v>0</v>
      </c>
      <c r="L505" s="104" t="n">
        <f aca="false">L504+K505</f>
        <v>0</v>
      </c>
    </row>
    <row r="506" customFormat="false" ht="15" hidden="true" customHeight="true" outlineLevel="0" collapsed="false">
      <c r="A506" s="0" t="str">
        <f aca="false">IF('Formation Initiale'!$A108="","",'Formation Initiale'!$A108)</f>
        <v/>
      </c>
      <c r="B506" s="0" t="str">
        <f aca="false">IF($A506="","",'Formation Initiale'!$E108)</f>
        <v/>
      </c>
      <c r="C506" s="0" t="str">
        <f aca="false">IF($A506="","",'Formation Initiale'!$F108)</f>
        <v/>
      </c>
      <c r="D506" s="0" t="str">
        <f aca="false">IF($A506="","",IF('Formation Initiale'!$F108="Lisbonne","B2C (Initiale)","B2C+B2B (Initiale)"))</f>
        <v/>
      </c>
      <c r="E506" s="0" t="str">
        <f aca="false">IF($A506="","",'Formation Initiale'!$B108)</f>
        <v/>
      </c>
      <c r="F506" s="116" t="str">
        <f aca="false">IF($A506="","",'Formation Initiale'!$G108)</f>
        <v/>
      </c>
      <c r="G506" s="116" t="str">
        <f aca="false">IF($A506="","",'Formation Initiale'!$H108)</f>
        <v/>
      </c>
      <c r="H506" s="0" t="str">
        <f aca="false">IF($A506="","",'Formation Initiale'!$L108)</f>
        <v/>
      </c>
      <c r="I506" s="0" t="str">
        <f aca="false">IF($A506="","",'Formation Initiale'!$R108)</f>
        <v/>
      </c>
      <c r="K506" s="104" t="n">
        <f aca="false">IF(A506="",0,IF(IFERROR(VLOOKUP(A506,Skills!$A:$M,13,FALSE()),"")="COS",0,IF(OR(I506="En cours",I506="À venir",I506="À planifier"),IF(AND(OR($C$3="Tous",$C$3="",C506=$C$3),OR($E$3="Tous",$E$3="",I506=$E$3)),1,0),0)))</f>
        <v>0</v>
      </c>
      <c r="L506" s="104" t="n">
        <f aca="false">L505+K506</f>
        <v>0</v>
      </c>
    </row>
    <row r="507" customFormat="false" ht="15" hidden="true" customHeight="true" outlineLevel="0" collapsed="false">
      <c r="A507" s="0" t="str">
        <f aca="false">IF('Formation Initiale'!$A109="","",'Formation Initiale'!$A109)</f>
        <v/>
      </c>
      <c r="B507" s="0" t="str">
        <f aca="false">IF($A507="","",'Formation Initiale'!$E109)</f>
        <v/>
      </c>
      <c r="C507" s="0" t="str">
        <f aca="false">IF($A507="","",'Formation Initiale'!$F109)</f>
        <v/>
      </c>
      <c r="D507" s="0" t="str">
        <f aca="false">IF($A507="","",IF('Formation Initiale'!$F109="Lisbonne","B2C (Initiale)","B2C+B2B (Initiale)"))</f>
        <v/>
      </c>
      <c r="E507" s="0" t="str">
        <f aca="false">IF($A507="","",'Formation Initiale'!$B109)</f>
        <v/>
      </c>
      <c r="F507" s="116" t="str">
        <f aca="false">IF($A507="","",'Formation Initiale'!$G109)</f>
        <v/>
      </c>
      <c r="G507" s="116" t="str">
        <f aca="false">IF($A507="","",'Formation Initiale'!$H109)</f>
        <v/>
      </c>
      <c r="H507" s="0" t="str">
        <f aca="false">IF($A507="","",'Formation Initiale'!$L109)</f>
        <v/>
      </c>
      <c r="I507" s="0" t="str">
        <f aca="false">IF($A507="","",'Formation Initiale'!$R109)</f>
        <v/>
      </c>
      <c r="K507" s="104" t="n">
        <f aca="false">IF(A507="",0,IF(IFERROR(VLOOKUP(A507,Skills!$A:$M,13,FALSE()),"")="COS",0,IF(OR(I507="En cours",I507="À venir",I507="À planifier"),IF(AND(OR($C$3="Tous",$C$3="",C507=$C$3),OR($E$3="Tous",$E$3="",I507=$E$3)),1,0),0)))</f>
        <v>0</v>
      </c>
      <c r="L507" s="104" t="n">
        <f aca="false">L506+K507</f>
        <v>0</v>
      </c>
    </row>
    <row r="508" customFormat="false" ht="15" hidden="true" customHeight="true" outlineLevel="0" collapsed="false">
      <c r="A508" s="0" t="str">
        <f aca="false">IF('Formation Initiale'!$A110="","",'Formation Initiale'!$A110)</f>
        <v/>
      </c>
      <c r="B508" s="0" t="str">
        <f aca="false">IF($A508="","",'Formation Initiale'!$E110)</f>
        <v/>
      </c>
      <c r="C508" s="0" t="str">
        <f aca="false">IF($A508="","",'Formation Initiale'!$F110)</f>
        <v/>
      </c>
      <c r="D508" s="0" t="str">
        <f aca="false">IF($A508="","",IF('Formation Initiale'!$F110="Lisbonne","B2C (Initiale)","B2C+B2B (Initiale)"))</f>
        <v/>
      </c>
      <c r="E508" s="0" t="str">
        <f aca="false">IF($A508="","",'Formation Initiale'!$B110)</f>
        <v/>
      </c>
      <c r="F508" s="116" t="str">
        <f aca="false">IF($A508="","",'Formation Initiale'!$G110)</f>
        <v/>
      </c>
      <c r="G508" s="116" t="str">
        <f aca="false">IF($A508="","",'Formation Initiale'!$H110)</f>
        <v/>
      </c>
      <c r="H508" s="0" t="str">
        <f aca="false">IF($A508="","",'Formation Initiale'!$L110)</f>
        <v/>
      </c>
      <c r="I508" s="0" t="str">
        <f aca="false">IF($A508="","",'Formation Initiale'!$R110)</f>
        <v/>
      </c>
      <c r="K508" s="104" t="n">
        <f aca="false">IF(A508="",0,IF(IFERROR(VLOOKUP(A508,Skills!$A:$M,13,FALSE()),"")="COS",0,IF(OR(I508="En cours",I508="À venir",I508="À planifier"),IF(AND(OR($C$3="Tous",$C$3="",C508=$C$3),OR($E$3="Tous",$E$3="",I508=$E$3)),1,0),0)))</f>
        <v>0</v>
      </c>
      <c r="L508" s="104" t="n">
        <f aca="false">L507+K508</f>
        <v>0</v>
      </c>
    </row>
    <row r="509" customFormat="false" ht="15" hidden="true" customHeight="true" outlineLevel="0" collapsed="false">
      <c r="A509" s="0" t="str">
        <f aca="false">IF('Formation Initiale'!$A111="","",'Formation Initiale'!$A111)</f>
        <v/>
      </c>
      <c r="B509" s="0" t="str">
        <f aca="false">IF($A509="","",'Formation Initiale'!$E111)</f>
        <v/>
      </c>
      <c r="C509" s="0" t="str">
        <f aca="false">IF($A509="","",'Formation Initiale'!$F111)</f>
        <v/>
      </c>
      <c r="D509" s="0" t="str">
        <f aca="false">IF($A509="","",IF('Formation Initiale'!$F111="Lisbonne","B2C (Initiale)","B2C+B2B (Initiale)"))</f>
        <v/>
      </c>
      <c r="E509" s="0" t="str">
        <f aca="false">IF($A509="","",'Formation Initiale'!$B111)</f>
        <v/>
      </c>
      <c r="F509" s="116" t="str">
        <f aca="false">IF($A509="","",'Formation Initiale'!$G111)</f>
        <v/>
      </c>
      <c r="G509" s="116" t="str">
        <f aca="false">IF($A509="","",'Formation Initiale'!$H111)</f>
        <v/>
      </c>
      <c r="H509" s="0" t="str">
        <f aca="false">IF($A509="","",'Formation Initiale'!$L111)</f>
        <v/>
      </c>
      <c r="I509" s="0" t="str">
        <f aca="false">IF($A509="","",'Formation Initiale'!$R111)</f>
        <v/>
      </c>
      <c r="K509" s="104" t="n">
        <f aca="false">IF(A509="",0,IF(IFERROR(VLOOKUP(A509,Skills!$A:$M,13,FALSE()),"")="COS",0,IF(OR(I509="En cours",I509="À venir",I509="À planifier"),IF(AND(OR($C$3="Tous",$C$3="",C509=$C$3),OR($E$3="Tous",$E$3="",I509=$E$3)),1,0),0)))</f>
        <v>0</v>
      </c>
      <c r="L509" s="104" t="n">
        <f aca="false">L508+K509</f>
        <v>0</v>
      </c>
    </row>
    <row r="510" customFormat="false" ht="15" hidden="true" customHeight="true" outlineLevel="0" collapsed="false">
      <c r="A510" s="0" t="str">
        <f aca="false">IF('Formation Initiale'!$A112="","",'Formation Initiale'!$A112)</f>
        <v/>
      </c>
      <c r="B510" s="0" t="str">
        <f aca="false">IF($A510="","",'Formation Initiale'!$E112)</f>
        <v/>
      </c>
      <c r="C510" s="0" t="str">
        <f aca="false">IF($A510="","",'Formation Initiale'!$F112)</f>
        <v/>
      </c>
      <c r="D510" s="0" t="str">
        <f aca="false">IF($A510="","",IF('Formation Initiale'!$F112="Lisbonne","B2C (Initiale)","B2C+B2B (Initiale)"))</f>
        <v/>
      </c>
      <c r="E510" s="0" t="str">
        <f aca="false">IF($A510="","",'Formation Initiale'!$B112)</f>
        <v/>
      </c>
      <c r="F510" s="116" t="str">
        <f aca="false">IF($A510="","",'Formation Initiale'!$G112)</f>
        <v/>
      </c>
      <c r="G510" s="116" t="str">
        <f aca="false">IF($A510="","",'Formation Initiale'!$H112)</f>
        <v/>
      </c>
      <c r="H510" s="0" t="str">
        <f aca="false">IF($A510="","",'Formation Initiale'!$L112)</f>
        <v/>
      </c>
      <c r="I510" s="0" t="str">
        <f aca="false">IF($A510="","",'Formation Initiale'!$R112)</f>
        <v/>
      </c>
      <c r="K510" s="104" t="n">
        <f aca="false">IF(A510="",0,IF(IFERROR(VLOOKUP(A510,Skills!$A:$M,13,FALSE()),"")="COS",0,IF(OR(I510="En cours",I510="À venir",I510="À planifier"),IF(AND(OR($C$3="Tous",$C$3="",C510=$C$3),OR($E$3="Tous",$E$3="",I510=$E$3)),1,0),0)))</f>
        <v>0</v>
      </c>
      <c r="L510" s="104" t="n">
        <f aca="false">L509+K510</f>
        <v>0</v>
      </c>
    </row>
    <row r="511" customFormat="false" ht="15" hidden="true" customHeight="true" outlineLevel="0" collapsed="false">
      <c r="A511" s="0" t="str">
        <f aca="false">IF('Formation Initiale'!$A113="","",'Formation Initiale'!$A113)</f>
        <v/>
      </c>
      <c r="B511" s="0" t="str">
        <f aca="false">IF($A511="","",'Formation Initiale'!$E113)</f>
        <v/>
      </c>
      <c r="C511" s="0" t="str">
        <f aca="false">IF($A511="","",'Formation Initiale'!$F113)</f>
        <v/>
      </c>
      <c r="D511" s="0" t="str">
        <f aca="false">IF($A511="","",IF('Formation Initiale'!$F113="Lisbonne","B2C (Initiale)","B2C+B2B (Initiale)"))</f>
        <v/>
      </c>
      <c r="E511" s="0" t="str">
        <f aca="false">IF($A511="","",'Formation Initiale'!$B113)</f>
        <v/>
      </c>
      <c r="F511" s="116" t="str">
        <f aca="false">IF($A511="","",'Formation Initiale'!$G113)</f>
        <v/>
      </c>
      <c r="G511" s="116" t="str">
        <f aca="false">IF($A511="","",'Formation Initiale'!$H113)</f>
        <v/>
      </c>
      <c r="H511" s="0" t="str">
        <f aca="false">IF($A511="","",'Formation Initiale'!$L113)</f>
        <v/>
      </c>
      <c r="I511" s="0" t="str">
        <f aca="false">IF($A511="","",'Formation Initiale'!$R113)</f>
        <v/>
      </c>
      <c r="K511" s="104" t="n">
        <f aca="false">IF(A511="",0,IF(IFERROR(VLOOKUP(A511,Skills!$A:$M,13,FALSE()),"")="COS",0,IF(OR(I511="En cours",I511="À venir",I511="À planifier"),IF(AND(OR($C$3="Tous",$C$3="",C511=$C$3),OR($E$3="Tous",$E$3="",I511=$E$3)),1,0),0)))</f>
        <v>0</v>
      </c>
      <c r="L511" s="104" t="n">
        <f aca="false">L510+K511</f>
        <v>0</v>
      </c>
    </row>
    <row r="512" customFormat="false" ht="15" hidden="true" customHeight="true" outlineLevel="0" collapsed="false">
      <c r="A512" s="0" t="str">
        <f aca="false">IF('Formation Initiale'!$A114="","",'Formation Initiale'!$A114)</f>
        <v/>
      </c>
      <c r="B512" s="0" t="str">
        <f aca="false">IF($A512="","",'Formation Initiale'!$E114)</f>
        <v/>
      </c>
      <c r="C512" s="0" t="str">
        <f aca="false">IF($A512="","",'Formation Initiale'!$F114)</f>
        <v/>
      </c>
      <c r="D512" s="0" t="str">
        <f aca="false">IF($A512="","",IF('Formation Initiale'!$F114="Lisbonne","B2C (Initiale)","B2C+B2B (Initiale)"))</f>
        <v/>
      </c>
      <c r="E512" s="0" t="str">
        <f aca="false">IF($A512="","",'Formation Initiale'!$B114)</f>
        <v/>
      </c>
      <c r="F512" s="116" t="str">
        <f aca="false">IF($A512="","",'Formation Initiale'!$G114)</f>
        <v/>
      </c>
      <c r="G512" s="116" t="str">
        <f aca="false">IF($A512="","",'Formation Initiale'!$H114)</f>
        <v/>
      </c>
      <c r="H512" s="0" t="str">
        <f aca="false">IF($A512="","",'Formation Initiale'!$L114)</f>
        <v/>
      </c>
      <c r="I512" s="0" t="str">
        <f aca="false">IF($A512="","",'Formation Initiale'!$R114)</f>
        <v/>
      </c>
      <c r="K512" s="104" t="n">
        <f aca="false">IF(A512="",0,IF(IFERROR(VLOOKUP(A512,Skills!$A:$M,13,FALSE()),"")="COS",0,IF(OR(I512="En cours",I512="À venir",I512="À planifier"),IF(AND(OR($C$3="Tous",$C$3="",C512=$C$3),OR($E$3="Tous",$E$3="",I512=$E$3)),1,0),0)))</f>
        <v>0</v>
      </c>
      <c r="L512" s="104" t="n">
        <f aca="false">L511+K512</f>
        <v>0</v>
      </c>
    </row>
    <row r="513" customFormat="false" ht="15" hidden="true" customHeight="true" outlineLevel="0" collapsed="false">
      <c r="A513" s="0" t="str">
        <f aca="false">IF('Formation Initiale'!$A115="","",'Formation Initiale'!$A115)</f>
        <v/>
      </c>
      <c r="B513" s="0" t="str">
        <f aca="false">IF($A513="","",'Formation Initiale'!$E115)</f>
        <v/>
      </c>
      <c r="C513" s="0" t="str">
        <f aca="false">IF($A513="","",'Formation Initiale'!$F115)</f>
        <v/>
      </c>
      <c r="D513" s="0" t="str">
        <f aca="false">IF($A513="","",IF('Formation Initiale'!$F115="Lisbonne","B2C (Initiale)","B2C+B2B (Initiale)"))</f>
        <v/>
      </c>
      <c r="E513" s="0" t="str">
        <f aca="false">IF($A513="","",'Formation Initiale'!$B115)</f>
        <v/>
      </c>
      <c r="F513" s="116" t="str">
        <f aca="false">IF($A513="","",'Formation Initiale'!$G115)</f>
        <v/>
      </c>
      <c r="G513" s="116" t="str">
        <f aca="false">IF($A513="","",'Formation Initiale'!$H115)</f>
        <v/>
      </c>
      <c r="H513" s="0" t="str">
        <f aca="false">IF($A513="","",'Formation Initiale'!$L115)</f>
        <v/>
      </c>
      <c r="I513" s="0" t="str">
        <f aca="false">IF($A513="","",'Formation Initiale'!$R115)</f>
        <v/>
      </c>
      <c r="K513" s="104" t="n">
        <f aca="false">IF(A513="",0,IF(IFERROR(VLOOKUP(A513,Skills!$A:$M,13,FALSE()),"")="COS",0,IF(OR(I513="En cours",I513="À venir",I513="À planifier"),IF(AND(OR($C$3="Tous",$C$3="",C513=$C$3),OR($E$3="Tous",$E$3="",I513=$E$3)),1,0),0)))</f>
        <v>0</v>
      </c>
      <c r="L513" s="104" t="n">
        <f aca="false">L512+K513</f>
        <v>0</v>
      </c>
    </row>
    <row r="514" customFormat="false" ht="15" hidden="true" customHeight="true" outlineLevel="0" collapsed="false">
      <c r="A514" s="0" t="str">
        <f aca="false">IF('Formation Initiale'!$A116="","",'Formation Initiale'!$A116)</f>
        <v/>
      </c>
      <c r="B514" s="0" t="str">
        <f aca="false">IF($A514="","",'Formation Initiale'!$E116)</f>
        <v/>
      </c>
      <c r="C514" s="0" t="str">
        <f aca="false">IF($A514="","",'Formation Initiale'!$F116)</f>
        <v/>
      </c>
      <c r="D514" s="0" t="str">
        <f aca="false">IF($A514="","",IF('Formation Initiale'!$F116="Lisbonne","B2C (Initiale)","B2C+B2B (Initiale)"))</f>
        <v/>
      </c>
      <c r="E514" s="0" t="str">
        <f aca="false">IF($A514="","",'Formation Initiale'!$B116)</f>
        <v/>
      </c>
      <c r="F514" s="116" t="str">
        <f aca="false">IF($A514="","",'Formation Initiale'!$G116)</f>
        <v/>
      </c>
      <c r="G514" s="116" t="str">
        <f aca="false">IF($A514="","",'Formation Initiale'!$H116)</f>
        <v/>
      </c>
      <c r="H514" s="0" t="str">
        <f aca="false">IF($A514="","",'Formation Initiale'!$L116)</f>
        <v/>
      </c>
      <c r="I514" s="0" t="str">
        <f aca="false">IF($A514="","",'Formation Initiale'!$R116)</f>
        <v/>
      </c>
      <c r="K514" s="104" t="n">
        <f aca="false">IF(A514="",0,IF(IFERROR(VLOOKUP(A514,Skills!$A:$M,13,FALSE()),"")="COS",0,IF(OR(I514="En cours",I514="À venir",I514="À planifier"),IF(AND(OR($C$3="Tous",$C$3="",C514=$C$3),OR($E$3="Tous",$E$3="",I514=$E$3)),1,0),0)))</f>
        <v>0</v>
      </c>
      <c r="L514" s="104" t="n">
        <f aca="false">L513+K514</f>
        <v>0</v>
      </c>
    </row>
    <row r="515" customFormat="false" ht="15" hidden="true" customHeight="true" outlineLevel="0" collapsed="false">
      <c r="A515" s="0" t="str">
        <f aca="false">IF('Formation Initiale'!$A117="","",'Formation Initiale'!$A117)</f>
        <v/>
      </c>
      <c r="B515" s="0" t="str">
        <f aca="false">IF($A515="","",'Formation Initiale'!$E117)</f>
        <v/>
      </c>
      <c r="C515" s="0" t="str">
        <f aca="false">IF($A515="","",'Formation Initiale'!$F117)</f>
        <v/>
      </c>
      <c r="D515" s="0" t="str">
        <f aca="false">IF($A515="","",IF('Formation Initiale'!$F117="Lisbonne","B2C (Initiale)","B2C+B2B (Initiale)"))</f>
        <v/>
      </c>
      <c r="E515" s="0" t="str">
        <f aca="false">IF($A515="","",'Formation Initiale'!$B117)</f>
        <v/>
      </c>
      <c r="F515" s="116" t="str">
        <f aca="false">IF($A515="","",'Formation Initiale'!$G117)</f>
        <v/>
      </c>
      <c r="G515" s="116" t="str">
        <f aca="false">IF($A515="","",'Formation Initiale'!$H117)</f>
        <v/>
      </c>
      <c r="H515" s="0" t="str">
        <f aca="false">IF($A515="","",'Formation Initiale'!$L117)</f>
        <v/>
      </c>
      <c r="I515" s="0" t="str">
        <f aca="false">IF($A515="","",'Formation Initiale'!$R117)</f>
        <v/>
      </c>
      <c r="K515" s="104" t="n">
        <f aca="false">IF(A515="",0,IF(IFERROR(VLOOKUP(A515,Skills!$A:$M,13,FALSE()),"")="COS",0,IF(OR(I515="En cours",I515="À venir",I515="À planifier"),IF(AND(OR($C$3="Tous",$C$3="",C515=$C$3),OR($E$3="Tous",$E$3="",I515=$E$3)),1,0),0)))</f>
        <v>0</v>
      </c>
      <c r="L515" s="104" t="n">
        <f aca="false">L514+K515</f>
        <v>0</v>
      </c>
    </row>
    <row r="516" customFormat="false" ht="15" hidden="true" customHeight="true" outlineLevel="0" collapsed="false">
      <c r="A516" s="0" t="str">
        <f aca="false">IF('Formation Initiale'!$A118="","",'Formation Initiale'!$A118)</f>
        <v/>
      </c>
      <c r="B516" s="0" t="str">
        <f aca="false">IF($A516="","",'Formation Initiale'!$E118)</f>
        <v/>
      </c>
      <c r="C516" s="0" t="str">
        <f aca="false">IF($A516="","",'Formation Initiale'!$F118)</f>
        <v/>
      </c>
      <c r="D516" s="0" t="str">
        <f aca="false">IF($A516="","",IF('Formation Initiale'!$F118="Lisbonne","B2C (Initiale)","B2C+B2B (Initiale)"))</f>
        <v/>
      </c>
      <c r="E516" s="0" t="str">
        <f aca="false">IF($A516="","",'Formation Initiale'!$B118)</f>
        <v/>
      </c>
      <c r="F516" s="116" t="str">
        <f aca="false">IF($A516="","",'Formation Initiale'!$G118)</f>
        <v/>
      </c>
      <c r="G516" s="116" t="str">
        <f aca="false">IF($A516="","",'Formation Initiale'!$H118)</f>
        <v/>
      </c>
      <c r="H516" s="0" t="str">
        <f aca="false">IF($A516="","",'Formation Initiale'!$L118)</f>
        <v/>
      </c>
      <c r="I516" s="0" t="str">
        <f aca="false">IF($A516="","",'Formation Initiale'!$R118)</f>
        <v/>
      </c>
      <c r="K516" s="104" t="n">
        <f aca="false">IF(A516="",0,IF(IFERROR(VLOOKUP(A516,Skills!$A:$M,13,FALSE()),"")="COS",0,IF(OR(I516="En cours",I516="À venir",I516="À planifier"),IF(AND(OR($C$3="Tous",$C$3="",C516=$C$3),OR($E$3="Tous",$E$3="",I516=$E$3)),1,0),0)))</f>
        <v>0</v>
      </c>
      <c r="L516" s="104" t="n">
        <f aca="false">L515+K516</f>
        <v>0</v>
      </c>
    </row>
    <row r="517" customFormat="false" ht="15" hidden="true" customHeight="true" outlineLevel="0" collapsed="false">
      <c r="A517" s="0" t="str">
        <f aca="false">IF('Formation Initiale'!$A119="","",'Formation Initiale'!$A119)</f>
        <v/>
      </c>
      <c r="B517" s="0" t="str">
        <f aca="false">IF($A517="","",'Formation Initiale'!$E119)</f>
        <v/>
      </c>
      <c r="C517" s="0" t="str">
        <f aca="false">IF($A517="","",'Formation Initiale'!$F119)</f>
        <v/>
      </c>
      <c r="D517" s="0" t="str">
        <f aca="false">IF($A517="","",IF('Formation Initiale'!$F119="Lisbonne","B2C (Initiale)","B2C+B2B (Initiale)"))</f>
        <v/>
      </c>
      <c r="E517" s="0" t="str">
        <f aca="false">IF($A517="","",'Formation Initiale'!$B119)</f>
        <v/>
      </c>
      <c r="F517" s="116" t="str">
        <f aca="false">IF($A517="","",'Formation Initiale'!$G119)</f>
        <v/>
      </c>
      <c r="G517" s="116" t="str">
        <f aca="false">IF($A517="","",'Formation Initiale'!$H119)</f>
        <v/>
      </c>
      <c r="H517" s="0" t="str">
        <f aca="false">IF($A517="","",'Formation Initiale'!$L119)</f>
        <v/>
      </c>
      <c r="I517" s="0" t="str">
        <f aca="false">IF($A517="","",'Formation Initiale'!$R119)</f>
        <v/>
      </c>
      <c r="K517" s="104" t="n">
        <f aca="false">IF(A517="",0,IF(IFERROR(VLOOKUP(A517,Skills!$A:$M,13,FALSE()),"")="COS",0,IF(OR(I517="En cours",I517="À venir",I517="À planifier"),IF(AND(OR($C$3="Tous",$C$3="",C517=$C$3),OR($E$3="Tous",$E$3="",I517=$E$3)),1,0),0)))</f>
        <v>0</v>
      </c>
      <c r="L517" s="104" t="n">
        <f aca="false">L516+K517</f>
        <v>0</v>
      </c>
    </row>
    <row r="518" customFormat="false" ht="15" hidden="true" customHeight="true" outlineLevel="0" collapsed="false">
      <c r="A518" s="0" t="str">
        <f aca="false">IF('Formation Initiale'!$A120="","",'Formation Initiale'!$A120)</f>
        <v/>
      </c>
      <c r="B518" s="0" t="str">
        <f aca="false">IF($A518="","",'Formation Initiale'!$E120)</f>
        <v/>
      </c>
      <c r="C518" s="0" t="str">
        <f aca="false">IF($A518="","",'Formation Initiale'!$F120)</f>
        <v/>
      </c>
      <c r="D518" s="0" t="str">
        <f aca="false">IF($A518="","",IF('Formation Initiale'!$F120="Lisbonne","B2C (Initiale)","B2C+B2B (Initiale)"))</f>
        <v/>
      </c>
      <c r="E518" s="0" t="str">
        <f aca="false">IF($A518="","",'Formation Initiale'!$B120)</f>
        <v/>
      </c>
      <c r="F518" s="116" t="str">
        <f aca="false">IF($A518="","",'Formation Initiale'!$G120)</f>
        <v/>
      </c>
      <c r="G518" s="116" t="str">
        <f aca="false">IF($A518="","",'Formation Initiale'!$H120)</f>
        <v/>
      </c>
      <c r="H518" s="0" t="str">
        <f aca="false">IF($A518="","",'Formation Initiale'!$L120)</f>
        <v/>
      </c>
      <c r="I518" s="0" t="str">
        <f aca="false">IF($A518="","",'Formation Initiale'!$R120)</f>
        <v/>
      </c>
      <c r="K518" s="104" t="n">
        <f aca="false">IF(A518="",0,IF(IFERROR(VLOOKUP(A518,Skills!$A:$M,13,FALSE()),"")="COS",0,IF(OR(I518="En cours",I518="À venir",I518="À planifier"),IF(AND(OR($C$3="Tous",$C$3="",C518=$C$3),OR($E$3="Tous",$E$3="",I518=$E$3)),1,0),0)))</f>
        <v>0</v>
      </c>
      <c r="L518" s="104" t="n">
        <f aca="false">L517+K518</f>
        <v>0</v>
      </c>
    </row>
    <row r="519" customFormat="false" ht="15" hidden="true" customHeight="true" outlineLevel="0" collapsed="false">
      <c r="A519" s="0" t="str">
        <f aca="false">IF('Formation Initiale'!$A121="","",'Formation Initiale'!$A121)</f>
        <v/>
      </c>
      <c r="B519" s="0" t="str">
        <f aca="false">IF($A519="","",'Formation Initiale'!$E121)</f>
        <v/>
      </c>
      <c r="C519" s="0" t="str">
        <f aca="false">IF($A519="","",'Formation Initiale'!$F121)</f>
        <v/>
      </c>
      <c r="D519" s="0" t="str">
        <f aca="false">IF($A519="","",IF('Formation Initiale'!$F121="Lisbonne","B2C (Initiale)","B2C+B2B (Initiale)"))</f>
        <v/>
      </c>
      <c r="E519" s="0" t="str">
        <f aca="false">IF($A519="","",'Formation Initiale'!$B121)</f>
        <v/>
      </c>
      <c r="F519" s="116" t="str">
        <f aca="false">IF($A519="","",'Formation Initiale'!$G121)</f>
        <v/>
      </c>
      <c r="G519" s="116" t="str">
        <f aca="false">IF($A519="","",'Formation Initiale'!$H121)</f>
        <v/>
      </c>
      <c r="H519" s="0" t="str">
        <f aca="false">IF($A519="","",'Formation Initiale'!$L121)</f>
        <v/>
      </c>
      <c r="I519" s="0" t="str">
        <f aca="false">IF($A519="","",'Formation Initiale'!$R121)</f>
        <v/>
      </c>
      <c r="K519" s="104" t="n">
        <f aca="false">IF(A519="",0,IF(IFERROR(VLOOKUP(A519,Skills!$A:$M,13,FALSE()),"")="COS",0,IF(OR(I519="En cours",I519="À venir",I519="À planifier"),IF(AND(OR($C$3="Tous",$C$3="",C519=$C$3),OR($E$3="Tous",$E$3="",I519=$E$3)),1,0),0)))</f>
        <v>0</v>
      </c>
      <c r="L519" s="104" t="n">
        <f aca="false">L518+K519</f>
        <v>0</v>
      </c>
    </row>
    <row r="520" customFormat="false" ht="15" hidden="true" customHeight="true" outlineLevel="0" collapsed="false">
      <c r="A520" s="0" t="str">
        <f aca="false">IF('Formation Initiale'!$A122="","",'Formation Initiale'!$A122)</f>
        <v/>
      </c>
      <c r="B520" s="0" t="str">
        <f aca="false">IF($A520="","",'Formation Initiale'!$E122)</f>
        <v/>
      </c>
      <c r="C520" s="0" t="str">
        <f aca="false">IF($A520="","",'Formation Initiale'!$F122)</f>
        <v/>
      </c>
      <c r="D520" s="0" t="str">
        <f aca="false">IF($A520="","",IF('Formation Initiale'!$F122="Lisbonne","B2C (Initiale)","B2C+B2B (Initiale)"))</f>
        <v/>
      </c>
      <c r="E520" s="0" t="str">
        <f aca="false">IF($A520="","",'Formation Initiale'!$B122)</f>
        <v/>
      </c>
      <c r="F520" s="116" t="str">
        <f aca="false">IF($A520="","",'Formation Initiale'!$G122)</f>
        <v/>
      </c>
      <c r="G520" s="116" t="str">
        <f aca="false">IF($A520="","",'Formation Initiale'!$H122)</f>
        <v/>
      </c>
      <c r="H520" s="0" t="str">
        <f aca="false">IF($A520="","",'Formation Initiale'!$L122)</f>
        <v/>
      </c>
      <c r="I520" s="0" t="str">
        <f aca="false">IF($A520="","",'Formation Initiale'!$R122)</f>
        <v/>
      </c>
      <c r="K520" s="104" t="n">
        <f aca="false">IF(A520="",0,IF(IFERROR(VLOOKUP(A520,Skills!$A:$M,13,FALSE()),"")="COS",0,IF(OR(I520="En cours",I520="À venir",I520="À planifier"),IF(AND(OR($C$3="Tous",$C$3="",C520=$C$3),OR($E$3="Tous",$E$3="",I520=$E$3)),1,0),0)))</f>
        <v>0</v>
      </c>
      <c r="L520" s="104" t="n">
        <f aca="false">L519+K520</f>
        <v>0</v>
      </c>
    </row>
    <row r="521" customFormat="false" ht="15" hidden="true" customHeight="true" outlineLevel="0" collapsed="false">
      <c r="A521" s="0" t="str">
        <f aca="false">IF('Formation Initiale'!$A123="","",'Formation Initiale'!$A123)</f>
        <v/>
      </c>
      <c r="B521" s="0" t="str">
        <f aca="false">IF($A521="","",'Formation Initiale'!$E123)</f>
        <v/>
      </c>
      <c r="C521" s="0" t="str">
        <f aca="false">IF($A521="","",'Formation Initiale'!$F123)</f>
        <v/>
      </c>
      <c r="D521" s="0" t="str">
        <f aca="false">IF($A521="","",IF('Formation Initiale'!$F123="Lisbonne","B2C (Initiale)","B2C+B2B (Initiale)"))</f>
        <v/>
      </c>
      <c r="E521" s="0" t="str">
        <f aca="false">IF($A521="","",'Formation Initiale'!$B123)</f>
        <v/>
      </c>
      <c r="F521" s="116" t="str">
        <f aca="false">IF($A521="","",'Formation Initiale'!$G123)</f>
        <v/>
      </c>
      <c r="G521" s="116" t="str">
        <f aca="false">IF($A521="","",'Formation Initiale'!$H123)</f>
        <v/>
      </c>
      <c r="H521" s="0" t="str">
        <f aca="false">IF($A521="","",'Formation Initiale'!$L123)</f>
        <v/>
      </c>
      <c r="I521" s="0" t="str">
        <f aca="false">IF($A521="","",'Formation Initiale'!$R123)</f>
        <v/>
      </c>
      <c r="K521" s="104" t="n">
        <f aca="false">IF(A521="",0,IF(IFERROR(VLOOKUP(A521,Skills!$A:$M,13,FALSE()),"")="COS",0,IF(OR(I521="En cours",I521="À venir",I521="À planifier"),IF(AND(OR($C$3="Tous",$C$3="",C521=$C$3),OR($E$3="Tous",$E$3="",I521=$E$3)),1,0),0)))</f>
        <v>0</v>
      </c>
      <c r="L521" s="104" t="n">
        <f aca="false">L520+K521</f>
        <v>0</v>
      </c>
    </row>
    <row r="522" customFormat="false" ht="15" hidden="true" customHeight="true" outlineLevel="0" collapsed="false">
      <c r="A522" s="0" t="str">
        <f aca="false">IF('Formation Initiale'!$A124="","",'Formation Initiale'!$A124)</f>
        <v/>
      </c>
      <c r="B522" s="0" t="str">
        <f aca="false">IF($A522="","",'Formation Initiale'!$E124)</f>
        <v/>
      </c>
      <c r="C522" s="0" t="str">
        <f aca="false">IF($A522="","",'Formation Initiale'!$F124)</f>
        <v/>
      </c>
      <c r="D522" s="0" t="str">
        <f aca="false">IF($A522="","",IF('Formation Initiale'!$F124="Lisbonne","B2C (Initiale)","B2C+B2B (Initiale)"))</f>
        <v/>
      </c>
      <c r="E522" s="0" t="str">
        <f aca="false">IF($A522="","",'Formation Initiale'!$B124)</f>
        <v/>
      </c>
      <c r="F522" s="116" t="str">
        <f aca="false">IF($A522="","",'Formation Initiale'!$G124)</f>
        <v/>
      </c>
      <c r="G522" s="116" t="str">
        <f aca="false">IF($A522="","",'Formation Initiale'!$H124)</f>
        <v/>
      </c>
      <c r="H522" s="0" t="str">
        <f aca="false">IF($A522="","",'Formation Initiale'!$L124)</f>
        <v/>
      </c>
      <c r="I522" s="0" t="str">
        <f aca="false">IF($A522="","",'Formation Initiale'!$R124)</f>
        <v/>
      </c>
      <c r="K522" s="104" t="n">
        <f aca="false">IF(A522="",0,IF(IFERROR(VLOOKUP(A522,Skills!$A:$M,13,FALSE()),"")="COS",0,IF(OR(I522="En cours",I522="À venir",I522="À planifier"),IF(AND(OR($C$3="Tous",$C$3="",C522=$C$3),OR($E$3="Tous",$E$3="",I522=$E$3)),1,0),0)))</f>
        <v>0</v>
      </c>
      <c r="L522" s="104" t="n">
        <f aca="false">L521+K522</f>
        <v>0</v>
      </c>
    </row>
    <row r="523" customFormat="false" ht="15" hidden="true" customHeight="true" outlineLevel="0" collapsed="false">
      <c r="A523" s="0" t="str">
        <f aca="false">IF('Formation Initiale'!$A125="","",'Formation Initiale'!$A125)</f>
        <v/>
      </c>
      <c r="B523" s="0" t="str">
        <f aca="false">IF($A523="","",'Formation Initiale'!$E125)</f>
        <v/>
      </c>
      <c r="C523" s="0" t="str">
        <f aca="false">IF($A523="","",'Formation Initiale'!$F125)</f>
        <v/>
      </c>
      <c r="D523" s="0" t="str">
        <f aca="false">IF($A523="","",IF('Formation Initiale'!$F125="Lisbonne","B2C (Initiale)","B2C+B2B (Initiale)"))</f>
        <v/>
      </c>
      <c r="E523" s="0" t="str">
        <f aca="false">IF($A523="","",'Formation Initiale'!$B125)</f>
        <v/>
      </c>
      <c r="F523" s="116" t="str">
        <f aca="false">IF($A523="","",'Formation Initiale'!$G125)</f>
        <v/>
      </c>
      <c r="G523" s="116" t="str">
        <f aca="false">IF($A523="","",'Formation Initiale'!$H125)</f>
        <v/>
      </c>
      <c r="H523" s="0" t="str">
        <f aca="false">IF($A523="","",'Formation Initiale'!$L125)</f>
        <v/>
      </c>
      <c r="I523" s="0" t="str">
        <f aca="false">IF($A523="","",'Formation Initiale'!$R125)</f>
        <v/>
      </c>
      <c r="K523" s="104" t="n">
        <f aca="false">IF(A523="",0,IF(IFERROR(VLOOKUP(A523,Skills!$A:$M,13,FALSE()),"")="COS",0,IF(OR(I523="En cours",I523="À venir",I523="À planifier"),IF(AND(OR($C$3="Tous",$C$3="",C523=$C$3),OR($E$3="Tous",$E$3="",I523=$E$3)),1,0),0)))</f>
        <v>0</v>
      </c>
      <c r="L523" s="104" t="n">
        <f aca="false">L522+K523</f>
        <v>0</v>
      </c>
    </row>
    <row r="524" customFormat="false" ht="15" hidden="true" customHeight="true" outlineLevel="0" collapsed="false">
      <c r="A524" s="0" t="str">
        <f aca="false">IF('Formation Initiale'!$A126="","",'Formation Initiale'!$A126)</f>
        <v/>
      </c>
      <c r="B524" s="0" t="str">
        <f aca="false">IF($A524="","",'Formation Initiale'!$E126)</f>
        <v/>
      </c>
      <c r="C524" s="0" t="str">
        <f aca="false">IF($A524="","",'Formation Initiale'!$F126)</f>
        <v/>
      </c>
      <c r="D524" s="0" t="str">
        <f aca="false">IF($A524="","",IF('Formation Initiale'!$F126="Lisbonne","B2C (Initiale)","B2C+B2B (Initiale)"))</f>
        <v/>
      </c>
      <c r="E524" s="0" t="str">
        <f aca="false">IF($A524="","",'Formation Initiale'!$B126)</f>
        <v/>
      </c>
      <c r="F524" s="116" t="str">
        <f aca="false">IF($A524="","",'Formation Initiale'!$G126)</f>
        <v/>
      </c>
      <c r="G524" s="116" t="str">
        <f aca="false">IF($A524="","",'Formation Initiale'!$H126)</f>
        <v/>
      </c>
      <c r="H524" s="0" t="str">
        <f aca="false">IF($A524="","",'Formation Initiale'!$L126)</f>
        <v/>
      </c>
      <c r="I524" s="0" t="str">
        <f aca="false">IF($A524="","",'Formation Initiale'!$R126)</f>
        <v/>
      </c>
      <c r="K524" s="104" t="n">
        <f aca="false">IF(A524="",0,IF(IFERROR(VLOOKUP(A524,Skills!$A:$M,13,FALSE()),"")="COS",0,IF(OR(I524="En cours",I524="À venir",I524="À planifier"),IF(AND(OR($C$3="Tous",$C$3="",C524=$C$3),OR($E$3="Tous",$E$3="",I524=$E$3)),1,0),0)))</f>
        <v>0</v>
      </c>
      <c r="L524" s="104" t="n">
        <f aca="false">L523+K524</f>
        <v>0</v>
      </c>
    </row>
    <row r="525" customFormat="false" ht="15" hidden="true" customHeight="true" outlineLevel="0" collapsed="false">
      <c r="A525" s="0" t="str">
        <f aca="false">IF('Formation Initiale'!$A127="","",'Formation Initiale'!$A127)</f>
        <v/>
      </c>
      <c r="B525" s="0" t="str">
        <f aca="false">IF($A525="","",'Formation Initiale'!$E127)</f>
        <v/>
      </c>
      <c r="C525" s="0" t="str">
        <f aca="false">IF($A525="","",'Formation Initiale'!$F127)</f>
        <v/>
      </c>
      <c r="D525" s="0" t="str">
        <f aca="false">IF($A525="","",IF('Formation Initiale'!$F127="Lisbonne","B2C (Initiale)","B2C+B2B (Initiale)"))</f>
        <v/>
      </c>
      <c r="E525" s="0" t="str">
        <f aca="false">IF($A525="","",'Formation Initiale'!$B127)</f>
        <v/>
      </c>
      <c r="F525" s="116" t="str">
        <f aca="false">IF($A525="","",'Formation Initiale'!$G127)</f>
        <v/>
      </c>
      <c r="G525" s="116" t="str">
        <f aca="false">IF($A525="","",'Formation Initiale'!$H127)</f>
        <v/>
      </c>
      <c r="H525" s="0" t="str">
        <f aca="false">IF($A525="","",'Formation Initiale'!$L127)</f>
        <v/>
      </c>
      <c r="I525" s="0" t="str">
        <f aca="false">IF($A525="","",'Formation Initiale'!$R127)</f>
        <v/>
      </c>
      <c r="K525" s="104" t="n">
        <f aca="false">IF(A525="",0,IF(IFERROR(VLOOKUP(A525,Skills!$A:$M,13,FALSE()),"")="COS",0,IF(OR(I525="En cours",I525="À venir",I525="À planifier"),IF(AND(OR($C$3="Tous",$C$3="",C525=$C$3),OR($E$3="Tous",$E$3="",I525=$E$3)),1,0),0)))</f>
        <v>0</v>
      </c>
      <c r="L525" s="104" t="n">
        <f aca="false">L524+K525</f>
        <v>0</v>
      </c>
    </row>
    <row r="526" customFormat="false" ht="15" hidden="true" customHeight="true" outlineLevel="0" collapsed="false">
      <c r="A526" s="0" t="str">
        <f aca="false">IF('Formation Initiale'!$A128="","",'Formation Initiale'!$A128)</f>
        <v/>
      </c>
      <c r="B526" s="0" t="str">
        <f aca="false">IF($A526="","",'Formation Initiale'!$E128)</f>
        <v/>
      </c>
      <c r="C526" s="0" t="str">
        <f aca="false">IF($A526="","",'Formation Initiale'!$F128)</f>
        <v/>
      </c>
      <c r="D526" s="0" t="str">
        <f aca="false">IF($A526="","",IF('Formation Initiale'!$F128="Lisbonne","B2C (Initiale)","B2C+B2B (Initiale)"))</f>
        <v/>
      </c>
      <c r="E526" s="0" t="str">
        <f aca="false">IF($A526="","",'Formation Initiale'!$B128)</f>
        <v/>
      </c>
      <c r="F526" s="116" t="str">
        <f aca="false">IF($A526="","",'Formation Initiale'!$G128)</f>
        <v/>
      </c>
      <c r="G526" s="116" t="str">
        <f aca="false">IF($A526="","",'Formation Initiale'!$H128)</f>
        <v/>
      </c>
      <c r="H526" s="0" t="str">
        <f aca="false">IF($A526="","",'Formation Initiale'!$L128)</f>
        <v/>
      </c>
      <c r="I526" s="0" t="str">
        <f aca="false">IF($A526="","",'Formation Initiale'!$R128)</f>
        <v/>
      </c>
      <c r="K526" s="104" t="n">
        <f aca="false">IF(A526="",0,IF(IFERROR(VLOOKUP(A526,Skills!$A:$M,13,FALSE()),"")="COS",0,IF(OR(I526="En cours",I526="À venir",I526="À planifier"),IF(AND(OR($C$3="Tous",$C$3="",C526=$C$3),OR($E$3="Tous",$E$3="",I526=$E$3)),1,0),0)))</f>
        <v>0</v>
      </c>
      <c r="L526" s="104" t="n">
        <f aca="false">L525+K526</f>
        <v>0</v>
      </c>
    </row>
    <row r="527" customFormat="false" ht="15" hidden="true" customHeight="true" outlineLevel="0" collapsed="false">
      <c r="A527" s="0" t="str">
        <f aca="false">IF('Formation Initiale'!$A129="","",'Formation Initiale'!$A129)</f>
        <v/>
      </c>
      <c r="B527" s="0" t="str">
        <f aca="false">IF($A527="","",'Formation Initiale'!$E129)</f>
        <v/>
      </c>
      <c r="C527" s="0" t="str">
        <f aca="false">IF($A527="","",'Formation Initiale'!$F129)</f>
        <v/>
      </c>
      <c r="D527" s="0" t="str">
        <f aca="false">IF($A527="","",IF('Formation Initiale'!$F129="Lisbonne","B2C (Initiale)","B2C+B2B (Initiale)"))</f>
        <v/>
      </c>
      <c r="E527" s="0" t="str">
        <f aca="false">IF($A527="","",'Formation Initiale'!$B129)</f>
        <v/>
      </c>
      <c r="F527" s="116" t="str">
        <f aca="false">IF($A527="","",'Formation Initiale'!$G129)</f>
        <v/>
      </c>
      <c r="G527" s="116" t="str">
        <f aca="false">IF($A527="","",'Formation Initiale'!$H129)</f>
        <v/>
      </c>
      <c r="H527" s="0" t="str">
        <f aca="false">IF($A527="","",'Formation Initiale'!$L129)</f>
        <v/>
      </c>
      <c r="I527" s="0" t="str">
        <f aca="false">IF($A527="","",'Formation Initiale'!$R129)</f>
        <v/>
      </c>
      <c r="K527" s="104" t="n">
        <f aca="false">IF(A527="",0,IF(IFERROR(VLOOKUP(A527,Skills!$A:$M,13,FALSE()),"")="COS",0,IF(OR(I527="En cours",I527="À venir",I527="À planifier"),IF(AND(OR($C$3="Tous",$C$3="",C527=$C$3),OR($E$3="Tous",$E$3="",I527=$E$3)),1,0),0)))</f>
        <v>0</v>
      </c>
      <c r="L527" s="104" t="n">
        <f aca="false">L526+K527</f>
        <v>0</v>
      </c>
    </row>
    <row r="528" customFormat="false" ht="15" hidden="true" customHeight="true" outlineLevel="0" collapsed="false">
      <c r="A528" s="0" t="str">
        <f aca="false">IF('Formation Initiale'!$A130="","",'Formation Initiale'!$A130)</f>
        <v/>
      </c>
      <c r="B528" s="0" t="str">
        <f aca="false">IF($A528="","",'Formation Initiale'!$E130)</f>
        <v/>
      </c>
      <c r="C528" s="0" t="str">
        <f aca="false">IF($A528="","",'Formation Initiale'!$F130)</f>
        <v/>
      </c>
      <c r="D528" s="0" t="str">
        <f aca="false">IF($A528="","",IF('Formation Initiale'!$F130="Lisbonne","B2C (Initiale)","B2C+B2B (Initiale)"))</f>
        <v/>
      </c>
      <c r="E528" s="0" t="str">
        <f aca="false">IF($A528="","",'Formation Initiale'!$B130)</f>
        <v/>
      </c>
      <c r="F528" s="116" t="str">
        <f aca="false">IF($A528="","",'Formation Initiale'!$G130)</f>
        <v/>
      </c>
      <c r="G528" s="116" t="str">
        <f aca="false">IF($A528="","",'Formation Initiale'!$H130)</f>
        <v/>
      </c>
      <c r="H528" s="0" t="str">
        <f aca="false">IF($A528="","",'Formation Initiale'!$L130)</f>
        <v/>
      </c>
      <c r="I528" s="0" t="str">
        <f aca="false">IF($A528="","",'Formation Initiale'!$R130)</f>
        <v/>
      </c>
      <c r="K528" s="104" t="n">
        <f aca="false">IF(A528="",0,IF(IFERROR(VLOOKUP(A528,Skills!$A:$M,13,FALSE()),"")="COS",0,IF(OR(I528="En cours",I528="À venir",I528="À planifier"),IF(AND(OR($C$3="Tous",$C$3="",C528=$C$3),OR($E$3="Tous",$E$3="",I528=$E$3)),1,0),0)))</f>
        <v>0</v>
      </c>
      <c r="L528" s="104" t="n">
        <f aca="false">L527+K528</f>
        <v>0</v>
      </c>
    </row>
    <row r="529" customFormat="false" ht="15" hidden="true" customHeight="true" outlineLevel="0" collapsed="false">
      <c r="A529" s="0" t="str">
        <f aca="false">IF('Formation Initiale'!$A131="","",'Formation Initiale'!$A131)</f>
        <v/>
      </c>
      <c r="B529" s="0" t="str">
        <f aca="false">IF($A529="","",'Formation Initiale'!$E131)</f>
        <v/>
      </c>
      <c r="C529" s="0" t="str">
        <f aca="false">IF($A529="","",'Formation Initiale'!$F131)</f>
        <v/>
      </c>
      <c r="D529" s="0" t="str">
        <f aca="false">IF($A529="","",IF('Formation Initiale'!$F131="Lisbonne","B2C (Initiale)","B2C+B2B (Initiale)"))</f>
        <v/>
      </c>
      <c r="E529" s="0" t="str">
        <f aca="false">IF($A529="","",'Formation Initiale'!$B131)</f>
        <v/>
      </c>
      <c r="F529" s="116" t="str">
        <f aca="false">IF($A529="","",'Formation Initiale'!$G131)</f>
        <v/>
      </c>
      <c r="G529" s="116" t="str">
        <f aca="false">IF($A529="","",'Formation Initiale'!$H131)</f>
        <v/>
      </c>
      <c r="H529" s="0" t="str">
        <f aca="false">IF($A529="","",'Formation Initiale'!$L131)</f>
        <v/>
      </c>
      <c r="I529" s="0" t="str">
        <f aca="false">IF($A529="","",'Formation Initiale'!$R131)</f>
        <v/>
      </c>
      <c r="K529" s="104" t="n">
        <f aca="false">IF(A529="",0,IF(IFERROR(VLOOKUP(A529,Skills!$A:$M,13,FALSE()),"")="COS",0,IF(OR(I529="En cours",I529="À venir",I529="À planifier"),IF(AND(OR($C$3="Tous",$C$3="",C529=$C$3),OR($E$3="Tous",$E$3="",I529=$E$3)),1,0),0)))</f>
        <v>0</v>
      </c>
      <c r="L529" s="104" t="n">
        <f aca="false">L528+K529</f>
        <v>0</v>
      </c>
    </row>
    <row r="530" customFormat="false" ht="15" hidden="true" customHeight="true" outlineLevel="0" collapsed="false">
      <c r="A530" s="0" t="str">
        <f aca="false">IF('Formation Initiale'!$A132="","",'Formation Initiale'!$A132)</f>
        <v/>
      </c>
      <c r="B530" s="0" t="str">
        <f aca="false">IF($A530="","",'Formation Initiale'!$E132)</f>
        <v/>
      </c>
      <c r="C530" s="0" t="str">
        <f aca="false">IF($A530="","",'Formation Initiale'!$F132)</f>
        <v/>
      </c>
      <c r="D530" s="0" t="str">
        <f aca="false">IF($A530="","",IF('Formation Initiale'!$F132="Lisbonne","B2C (Initiale)","B2C+B2B (Initiale)"))</f>
        <v/>
      </c>
      <c r="E530" s="0" t="str">
        <f aca="false">IF($A530="","",'Formation Initiale'!$B132)</f>
        <v/>
      </c>
      <c r="F530" s="116" t="str">
        <f aca="false">IF($A530="","",'Formation Initiale'!$G132)</f>
        <v/>
      </c>
      <c r="G530" s="116" t="str">
        <f aca="false">IF($A530="","",'Formation Initiale'!$H132)</f>
        <v/>
      </c>
      <c r="H530" s="0" t="str">
        <f aca="false">IF($A530="","",'Formation Initiale'!$L132)</f>
        <v/>
      </c>
      <c r="I530" s="0" t="str">
        <f aca="false">IF($A530="","",'Formation Initiale'!$R132)</f>
        <v/>
      </c>
      <c r="K530" s="104" t="n">
        <f aca="false">IF(A530="",0,IF(IFERROR(VLOOKUP(A530,Skills!$A:$M,13,FALSE()),"")="COS",0,IF(OR(I530="En cours",I530="À venir",I530="À planifier"),IF(AND(OR($C$3="Tous",$C$3="",C530=$C$3),OR($E$3="Tous",$E$3="",I530=$E$3)),1,0),0)))</f>
        <v>0</v>
      </c>
      <c r="L530" s="104" t="n">
        <f aca="false">L529+K530</f>
        <v>0</v>
      </c>
    </row>
    <row r="531" customFormat="false" ht="15" hidden="true" customHeight="true" outlineLevel="0" collapsed="false">
      <c r="A531" s="0" t="str">
        <f aca="false">IF('Formation Initiale'!$A133="","",'Formation Initiale'!$A133)</f>
        <v/>
      </c>
      <c r="B531" s="0" t="str">
        <f aca="false">IF($A531="","",'Formation Initiale'!$E133)</f>
        <v/>
      </c>
      <c r="C531" s="0" t="str">
        <f aca="false">IF($A531="","",'Formation Initiale'!$F133)</f>
        <v/>
      </c>
      <c r="D531" s="0" t="str">
        <f aca="false">IF($A531="","",IF('Formation Initiale'!$F133="Lisbonne","B2C (Initiale)","B2C+B2B (Initiale)"))</f>
        <v/>
      </c>
      <c r="E531" s="0" t="str">
        <f aca="false">IF($A531="","",'Formation Initiale'!$B133)</f>
        <v/>
      </c>
      <c r="F531" s="116" t="str">
        <f aca="false">IF($A531="","",'Formation Initiale'!$G133)</f>
        <v/>
      </c>
      <c r="G531" s="116" t="str">
        <f aca="false">IF($A531="","",'Formation Initiale'!$H133)</f>
        <v/>
      </c>
      <c r="H531" s="0" t="str">
        <f aca="false">IF($A531="","",'Formation Initiale'!$L133)</f>
        <v/>
      </c>
      <c r="I531" s="0" t="str">
        <f aca="false">IF($A531="","",'Formation Initiale'!$R133)</f>
        <v/>
      </c>
      <c r="K531" s="104" t="n">
        <f aca="false">IF(A531="",0,IF(IFERROR(VLOOKUP(A531,Skills!$A:$M,13,FALSE()),"")="COS",0,IF(OR(I531="En cours",I531="À venir",I531="À planifier"),IF(AND(OR($C$3="Tous",$C$3="",C531=$C$3),OR($E$3="Tous",$E$3="",I531=$E$3)),1,0),0)))</f>
        <v>0</v>
      </c>
      <c r="L531" s="104" t="n">
        <f aca="false">L530+K531</f>
        <v>0</v>
      </c>
    </row>
    <row r="532" customFormat="false" ht="15" hidden="true" customHeight="true" outlineLevel="0" collapsed="false">
      <c r="A532" s="0" t="str">
        <f aca="false">IF('Formation Initiale'!$A134="","",'Formation Initiale'!$A134)</f>
        <v/>
      </c>
      <c r="B532" s="0" t="str">
        <f aca="false">IF($A532="","",'Formation Initiale'!$E134)</f>
        <v/>
      </c>
      <c r="C532" s="0" t="str">
        <f aca="false">IF($A532="","",'Formation Initiale'!$F134)</f>
        <v/>
      </c>
      <c r="D532" s="0" t="str">
        <f aca="false">IF($A532="","",IF('Formation Initiale'!$F134="Lisbonne","B2C (Initiale)","B2C+B2B (Initiale)"))</f>
        <v/>
      </c>
      <c r="E532" s="0" t="str">
        <f aca="false">IF($A532="","",'Formation Initiale'!$B134)</f>
        <v/>
      </c>
      <c r="F532" s="116" t="str">
        <f aca="false">IF($A532="","",'Formation Initiale'!$G134)</f>
        <v/>
      </c>
      <c r="G532" s="116" t="str">
        <f aca="false">IF($A532="","",'Formation Initiale'!$H134)</f>
        <v/>
      </c>
      <c r="H532" s="0" t="str">
        <f aca="false">IF($A532="","",'Formation Initiale'!$L134)</f>
        <v/>
      </c>
      <c r="I532" s="0" t="str">
        <f aca="false">IF($A532="","",'Formation Initiale'!$R134)</f>
        <v/>
      </c>
      <c r="K532" s="104" t="n">
        <f aca="false">IF(A532="",0,IF(IFERROR(VLOOKUP(A532,Skills!$A:$M,13,FALSE()),"")="COS",0,IF(OR(I532="En cours",I532="À venir",I532="À planifier"),IF(AND(OR($C$3="Tous",$C$3="",C532=$C$3),OR($E$3="Tous",$E$3="",I532=$E$3)),1,0),0)))</f>
        <v>0</v>
      </c>
      <c r="L532" s="104" t="n">
        <f aca="false">L531+K532</f>
        <v>0</v>
      </c>
    </row>
    <row r="533" customFormat="false" ht="15" hidden="true" customHeight="true" outlineLevel="0" collapsed="false">
      <c r="A533" s="0" t="str">
        <f aca="false">IF('Formation Initiale'!$A135="","",'Formation Initiale'!$A135)</f>
        <v>TR163</v>
      </c>
      <c r="B533" s="0" t="str">
        <f aca="false">IF($A533="","",'Formation Initiale'!$E135)</f>
        <v>Rhoea Thornshaw</v>
      </c>
      <c r="C533" s="0" t="str">
        <f aca="false">IF($A533="","",'Formation Initiale'!$F135)</f>
        <v>Montréal</v>
      </c>
      <c r="D533" s="0" t="str">
        <f aca="false">IF($A533="","",IF('Formation Initiale'!$F135="Lisbonne","B2C (Initiale)","B2C+B2B (Initiale)"))</f>
        <v>B2C+B2B (Initiale)</v>
      </c>
      <c r="E533" s="0" t="str">
        <f aca="false">IF($A533="","",'Formation Initiale'!$B135)</f>
        <v>RET</v>
      </c>
      <c r="F533" s="116" t="n">
        <f aca="false">IF($A533="","",'Formation Initiale'!$G135)</f>
        <v>46177</v>
      </c>
      <c r="G533" s="116" t="n">
        <f aca="false">IF($A533="","",'Formation Initiale'!$H135)</f>
        <v>46191</v>
      </c>
      <c r="H533" s="104" t="n">
        <f aca="false">IF($A533="","",'Formation Initiale'!$L135)</f>
        <v>0</v>
      </c>
      <c r="I533" s="0" t="str">
        <f aca="false">IF($A533="","",'Formation Initiale'!$R135)</f>
        <v>En cours</v>
      </c>
      <c r="K533" s="104" t="n">
        <f aca="false">IF(A533="",0,IF(IFERROR(VLOOKUP(A533,Skills!$A:$M,13,FALSE()),"")="COS",0,IF(OR(I533="En cours",I533="À venir",I533="À planifier"),IF(AND(OR($C$3="Tous",$C$3="",C533=$C$3),OR($E$3="Tous",$E$3="",I533=$E$3)),1,0),0)))</f>
        <v>1</v>
      </c>
      <c r="L533" s="104" t="n">
        <f aca="false">L532+K533</f>
        <v>1</v>
      </c>
    </row>
    <row r="534" customFormat="false" ht="15" hidden="true" customHeight="true" outlineLevel="0" collapsed="false">
      <c r="A534" s="0" t="str">
        <f aca="false">IF('Formation Initiale'!$A136="","",'Formation Initiale'!$A136)</f>
        <v>TR164</v>
      </c>
      <c r="B534" s="0" t="str">
        <f aca="false">IF($A534="","",'Formation Initiale'!$E136)</f>
        <v>Weson Pykefield</v>
      </c>
      <c r="C534" s="0" t="str">
        <f aca="false">IF($A534="","",'Formation Initiale'!$F136)</f>
        <v>Montréal</v>
      </c>
      <c r="D534" s="0" t="str">
        <f aca="false">IF($A534="","",IF('Formation Initiale'!$F136="Lisbonne","B2C (Initiale)","B2C+B2B (Initiale)"))</f>
        <v>B2C+B2B (Initiale)</v>
      </c>
      <c r="E534" s="0" t="str">
        <f aca="false">IF($A534="","",'Formation Initiale'!$B136)</f>
        <v>RET</v>
      </c>
      <c r="F534" s="116" t="n">
        <f aca="false">IF($A534="","",'Formation Initiale'!$G136)</f>
        <v>46188</v>
      </c>
      <c r="G534" s="116" t="n">
        <f aca="false">IF($A534="","",'Formation Initiale'!$H136)</f>
        <v>46202</v>
      </c>
      <c r="H534" s="104" t="n">
        <f aca="false">IF($A534="","",'Formation Initiale'!$L136)</f>
        <v>6</v>
      </c>
      <c r="I534" s="0" t="str">
        <f aca="false">IF($A534="","",'Formation Initiale'!$R136)</f>
        <v>En cours</v>
      </c>
      <c r="K534" s="104" t="n">
        <f aca="false">IF(A534="",0,IF(IFERROR(VLOOKUP(A534,Skills!$A:$M,13,FALSE()),"")="COS",0,IF(OR(I534="En cours",I534="À venir",I534="À planifier"),IF(AND(OR($C$3="Tous",$C$3="",C534=$C$3),OR($E$3="Tous",$E$3="",I534=$E$3)),1,0),0)))</f>
        <v>1</v>
      </c>
      <c r="L534" s="104" t="n">
        <f aca="false">L533+K534</f>
        <v>2</v>
      </c>
    </row>
    <row r="535" customFormat="false" ht="15" hidden="true" customHeight="true" outlineLevel="0" collapsed="false">
      <c r="A535" s="0" t="str">
        <f aca="false">IF('Formation Initiale'!$A137="","",'Formation Initiale'!$A137)</f>
        <v>TR165</v>
      </c>
      <c r="B535" s="0" t="str">
        <f aca="false">IF($A535="","",'Formation Initiale'!$E137)</f>
        <v>Holtmont Rhous Dorum</v>
      </c>
      <c r="C535" s="0" t="str">
        <f aca="false">IF($A535="","",'Formation Initiale'!$F137)</f>
        <v>Montréal</v>
      </c>
      <c r="D535" s="0" t="str">
        <f aca="false">IF($A535="","",IF('Formation Initiale'!$F137="Lisbonne","B2C (Initiale)","B2C+B2B (Initiale)"))</f>
        <v>B2C+B2B (Initiale)</v>
      </c>
      <c r="E535" s="0" t="n">
        <f aca="false">IF($A535="","",'Formation Initiale'!$B137)</f>
        <v>178</v>
      </c>
      <c r="F535" s="116" t="n">
        <f aca="false">IF($A535="","",'Formation Initiale'!$G137)</f>
        <v>46189</v>
      </c>
      <c r="G535" s="116" t="n">
        <f aca="false">IF($A535="","",'Formation Initiale'!$H137)</f>
        <v>46203</v>
      </c>
      <c r="H535" s="104" t="n">
        <f aca="false">IF($A535="","",'Formation Initiale'!$L137)</f>
        <v>7</v>
      </c>
      <c r="I535" s="0" t="str">
        <f aca="false">IF($A535="","",'Formation Initiale'!$R137)</f>
        <v>En cours</v>
      </c>
      <c r="K535" s="104" t="n">
        <f aca="false">IF(A535="",0,IF(IFERROR(VLOOKUP(A535,Skills!$A:$M,13,FALSE()),"")="COS",0,IF(OR(I535="En cours",I535="À venir",I535="À planifier"),IF(AND(OR($C$3="Tous",$C$3="",C535=$C$3),OR($E$3="Tous",$E$3="",I535=$E$3)),1,0),0)))</f>
        <v>1</v>
      </c>
      <c r="L535" s="104" t="n">
        <f aca="false">L534+K535</f>
        <v>3</v>
      </c>
    </row>
    <row r="536" customFormat="false" ht="15" hidden="true" customHeight="true" outlineLevel="0" collapsed="false">
      <c r="A536" s="0" t="str">
        <f aca="false">IF('Formation Initiale'!$A138="","",'Formation Initiale'!$A138)</f>
        <v>TR166</v>
      </c>
      <c r="B536" s="0" t="str">
        <f aca="false">IF($A536="","",'Formation Initiale'!$E138)</f>
        <v>Norwood Torol Holtridge Ivermont</v>
      </c>
      <c r="C536" s="0" t="str">
        <f aca="false">IF($A536="","",'Formation Initiale'!$F138)</f>
        <v>Montréal</v>
      </c>
      <c r="D536" s="0" t="str">
        <f aca="false">IF($A536="","",IF('Formation Initiale'!$F138="Lisbonne","B2C (Initiale)","B2C+B2B (Initiale)"))</f>
        <v>B2C+B2B (Initiale)</v>
      </c>
      <c r="E536" s="0" t="n">
        <f aca="false">IF($A536="","",'Formation Initiale'!$B138)</f>
        <v>178</v>
      </c>
      <c r="F536" s="116" t="n">
        <f aca="false">IF($A536="","",'Formation Initiale'!$G138)</f>
        <v>46189</v>
      </c>
      <c r="G536" s="116" t="n">
        <f aca="false">IF($A536="","",'Formation Initiale'!$H138)</f>
        <v>46203</v>
      </c>
      <c r="H536" s="104" t="n">
        <f aca="false">IF($A536="","",'Formation Initiale'!$L138)</f>
        <v>7</v>
      </c>
      <c r="I536" s="0" t="str">
        <f aca="false">IF($A536="","",'Formation Initiale'!$R138)</f>
        <v>En cours</v>
      </c>
      <c r="K536" s="104" t="n">
        <f aca="false">IF(A536="",0,IF(IFERROR(VLOOKUP(A536,Skills!$A:$M,13,FALSE()),"")="COS",0,IF(OR(I536="En cours",I536="À venir",I536="À planifier"),IF(AND(OR($C$3="Tous",$C$3="",C536=$C$3),OR($E$3="Tous",$E$3="",I536=$E$3)),1,0),0)))</f>
        <v>1</v>
      </c>
      <c r="L536" s="104" t="n">
        <f aca="false">L535+K536</f>
        <v>4</v>
      </c>
    </row>
    <row r="537" customFormat="false" ht="15" hidden="true" customHeight="true" outlineLevel="0" collapsed="false">
      <c r="A537" s="0" t="str">
        <f aca="false">IF('Formation Initiale'!$A139="","",'Formation Initiale'!$A139)</f>
        <v>TR167</v>
      </c>
      <c r="B537" s="0" t="str">
        <f aca="false">IF($A537="","",'Formation Initiale'!$E139)</f>
        <v>Wesil Orinen</v>
      </c>
      <c r="C537" s="0" t="str">
        <f aca="false">IF($A537="","",'Formation Initiale'!$F139)</f>
        <v>Montréal</v>
      </c>
      <c r="D537" s="0" t="str">
        <f aca="false">IF($A537="","",IF('Formation Initiale'!$F139="Lisbonne","B2C (Initiale)","B2C+B2B (Initiale)"))</f>
        <v>B2C+B2B (Initiale)</v>
      </c>
      <c r="E537" s="0" t="n">
        <f aca="false">IF($A537="","",'Formation Initiale'!$B139)</f>
        <v>178</v>
      </c>
      <c r="F537" s="116" t="n">
        <f aca="false">IF($A537="","",'Formation Initiale'!$G139)</f>
        <v>46189</v>
      </c>
      <c r="G537" s="116" t="n">
        <f aca="false">IF($A537="","",'Formation Initiale'!$H139)</f>
        <v>46203</v>
      </c>
      <c r="H537" s="104" t="n">
        <f aca="false">IF($A537="","",'Formation Initiale'!$L139)</f>
        <v>7</v>
      </c>
      <c r="I537" s="0" t="str">
        <f aca="false">IF($A537="","",'Formation Initiale'!$R139)</f>
        <v>En cours</v>
      </c>
      <c r="K537" s="104" t="n">
        <f aca="false">IF(A537="",0,IF(IFERROR(VLOOKUP(A537,Skills!$A:$M,13,FALSE()),"")="COS",0,IF(OR(I537="En cours",I537="À venir",I537="À planifier"),IF(AND(OR($C$3="Tous",$C$3="",C537=$C$3),OR($E$3="Tous",$E$3="",I537=$E$3)),1,0),0)))</f>
        <v>1</v>
      </c>
      <c r="L537" s="104" t="n">
        <f aca="false">L536+K537</f>
        <v>5</v>
      </c>
    </row>
    <row r="538" customFormat="false" ht="15" hidden="true" customHeight="true" outlineLevel="0" collapsed="false">
      <c r="A538" s="0" t="str">
        <f aca="false">IF('Formation Initiale'!$A140="","",'Formation Initiale'!$A140)</f>
        <v>TR168</v>
      </c>
      <c r="B538" s="0" t="str">
        <f aca="false">IF($A538="","",'Formation Initiale'!$E140)</f>
        <v>Ashwood Zanay</v>
      </c>
      <c r="C538" s="0" t="str">
        <f aca="false">IF($A538="","",'Formation Initiale'!$F140)</f>
        <v>Montréal</v>
      </c>
      <c r="D538" s="0" t="str">
        <f aca="false">IF($A538="","",IF('Formation Initiale'!$F140="Lisbonne","B2C (Initiale)","B2C+B2B (Initiale)"))</f>
        <v>B2C+B2B (Initiale)</v>
      </c>
      <c r="E538" s="0" t="n">
        <f aca="false">IF($A538="","",'Formation Initiale'!$B140)</f>
        <v>178</v>
      </c>
      <c r="F538" s="116" t="n">
        <f aca="false">IF($A538="","",'Formation Initiale'!$G140)</f>
        <v>46189</v>
      </c>
      <c r="G538" s="116" t="n">
        <f aca="false">IF($A538="","",'Formation Initiale'!$H140)</f>
        <v>46203</v>
      </c>
      <c r="H538" s="104" t="n">
        <f aca="false">IF($A538="","",'Formation Initiale'!$L140)</f>
        <v>7</v>
      </c>
      <c r="I538" s="0" t="str">
        <f aca="false">IF($A538="","",'Formation Initiale'!$R140)</f>
        <v>En cours</v>
      </c>
      <c r="K538" s="104" t="n">
        <f aca="false">IF(A538="",0,IF(IFERROR(VLOOKUP(A538,Skills!$A:$M,13,FALSE()),"")="COS",0,IF(OR(I538="En cours",I538="À venir",I538="À planifier"),IF(AND(OR($C$3="Tous",$C$3="",C538=$C$3),OR($E$3="Tous",$E$3="",I538=$E$3)),1,0),0)))</f>
        <v>1</v>
      </c>
      <c r="L538" s="104" t="n">
        <f aca="false">L537+K538</f>
        <v>6</v>
      </c>
    </row>
    <row r="539" customFormat="false" ht="15" hidden="true" customHeight="true" outlineLevel="0" collapsed="false">
      <c r="A539" s="0" t="str">
        <f aca="false">IF('Formation Initiale'!$A141="","",'Formation Initiale'!$A141)</f>
        <v>TR169</v>
      </c>
      <c r="B539" s="0" t="str">
        <f aca="false">IF($A539="","",'Formation Initiale'!$E141)</f>
        <v>Dorel Wrenhaven</v>
      </c>
      <c r="C539" s="0" t="str">
        <f aca="false">IF($A539="","",'Formation Initiale'!$F141)</f>
        <v>Montréal</v>
      </c>
      <c r="D539" s="0" t="str">
        <f aca="false">IF($A539="","",IF('Formation Initiale'!$F141="Lisbonne","B2C (Initiale)","B2C+B2B (Initiale)"))</f>
        <v>B2C+B2B (Initiale)</v>
      </c>
      <c r="E539" s="0" t="n">
        <f aca="false">IF($A539="","",'Formation Initiale'!$B141)</f>
        <v>178</v>
      </c>
      <c r="F539" s="116" t="n">
        <f aca="false">IF($A539="","",'Formation Initiale'!$G141)</f>
        <v>46189</v>
      </c>
      <c r="G539" s="116" t="n">
        <f aca="false">IF($A539="","",'Formation Initiale'!$H141)</f>
        <v>46203</v>
      </c>
      <c r="H539" s="104" t="n">
        <f aca="false">IF($A539="","",'Formation Initiale'!$L141)</f>
        <v>7</v>
      </c>
      <c r="I539" s="0" t="str">
        <f aca="false">IF($A539="","",'Formation Initiale'!$R141)</f>
        <v>En cours</v>
      </c>
      <c r="K539" s="104" t="n">
        <f aca="false">IF(A539="",0,IF(IFERROR(VLOOKUP(A539,Skills!$A:$M,13,FALSE()),"")="COS",0,IF(OR(I539="En cours",I539="À venir",I539="À planifier"),IF(AND(OR($C$3="Tous",$C$3="",C539=$C$3),OR($E$3="Tous",$E$3="",I539=$E$3)),1,0),0)))</f>
        <v>1</v>
      </c>
      <c r="L539" s="104" t="n">
        <f aca="false">L538+K539</f>
        <v>7</v>
      </c>
    </row>
    <row r="540" customFormat="false" ht="15" hidden="true" customHeight="true" outlineLevel="0" collapsed="false">
      <c r="A540" s="0" t="str">
        <f aca="false">IF('Formation Initiale'!$A142="","",'Formation Initiale'!$A142)</f>
        <v>TR170</v>
      </c>
      <c r="B540" s="0" t="str">
        <f aca="false">IF($A540="","",'Formation Initiale'!$E142)</f>
        <v>Moril Wesus Wrenfield</v>
      </c>
      <c r="C540" s="0" t="str">
        <f aca="false">IF($A540="","",'Formation Initiale'!$F142)</f>
        <v>Montréal</v>
      </c>
      <c r="D540" s="0" t="str">
        <f aca="false">IF($A540="","",IF('Formation Initiale'!$F142="Lisbonne","B2C (Initiale)","B2C+B2B (Initiale)"))</f>
        <v>B2C+B2B (Initiale)</v>
      </c>
      <c r="E540" s="0" t="n">
        <f aca="false">IF($A540="","",'Formation Initiale'!$B142)</f>
        <v>178</v>
      </c>
      <c r="F540" s="116" t="n">
        <f aca="false">IF($A540="","",'Formation Initiale'!$G142)</f>
        <v>46189</v>
      </c>
      <c r="G540" s="116" t="n">
        <f aca="false">IF($A540="","",'Formation Initiale'!$H142)</f>
        <v>46203</v>
      </c>
      <c r="H540" s="104" t="n">
        <f aca="false">IF($A540="","",'Formation Initiale'!$L142)</f>
        <v>7</v>
      </c>
      <c r="I540" s="0" t="str">
        <f aca="false">IF($A540="","",'Formation Initiale'!$R142)</f>
        <v>En cours</v>
      </c>
      <c r="K540" s="104" t="n">
        <f aca="false">IF(A540="",0,IF(IFERROR(VLOOKUP(A540,Skills!$A:$M,13,FALSE()),"")="COS",0,IF(OR(I540="En cours",I540="À venir",I540="À planifier"),IF(AND(OR($C$3="Tous",$C$3="",C540=$C$3),OR($E$3="Tous",$E$3="",I540=$E$3)),1,0),0)))</f>
        <v>1</v>
      </c>
      <c r="L540" s="104" t="n">
        <f aca="false">L539+K540</f>
        <v>8</v>
      </c>
    </row>
    <row r="541" customFormat="false" ht="15" hidden="true" customHeight="true" outlineLevel="0" collapsed="false">
      <c r="A541" s="0" t="str">
        <f aca="false">IF('Formation Initiale'!$A143="","",'Formation Initiale'!$A143)</f>
        <v>TR171</v>
      </c>
      <c r="B541" s="0" t="str">
        <f aca="false">IF($A541="","",'Formation Initiale'!$E143)</f>
        <v>Zanan Pelol</v>
      </c>
      <c r="C541" s="0" t="str">
        <f aca="false">IF($A541="","",'Formation Initiale'!$F143)</f>
        <v>Montréal</v>
      </c>
      <c r="D541" s="0" t="str">
        <f aca="false">IF($A541="","",IF('Formation Initiale'!$F143="Lisbonne","B2C (Initiale)","B2C+B2B (Initiale)"))</f>
        <v>B2C+B2B (Initiale)</v>
      </c>
      <c r="E541" s="0" t="n">
        <f aca="false">IF($A541="","",'Formation Initiale'!$B143)</f>
        <v>178</v>
      </c>
      <c r="F541" s="116" t="n">
        <f aca="false">IF($A541="","",'Formation Initiale'!$G143)</f>
        <v>46189</v>
      </c>
      <c r="G541" s="116" t="n">
        <f aca="false">IF($A541="","",'Formation Initiale'!$H143)</f>
        <v>46203</v>
      </c>
      <c r="H541" s="104" t="n">
        <f aca="false">IF($A541="","",'Formation Initiale'!$L143)</f>
        <v>7</v>
      </c>
      <c r="I541" s="0" t="str">
        <f aca="false">IF($A541="","",'Formation Initiale'!$R143)</f>
        <v>En cours</v>
      </c>
      <c r="K541" s="104" t="n">
        <f aca="false">IF(A541="",0,IF(IFERROR(VLOOKUP(A541,Skills!$A:$M,13,FALSE()),"")="COS",0,IF(OR(I541="En cours",I541="À venir",I541="À planifier"),IF(AND(OR($C$3="Tous",$C$3="",C541=$C$3),OR($E$3="Tous",$E$3="",I541=$E$3)),1,0),0)))</f>
        <v>1</v>
      </c>
      <c r="L541" s="104" t="n">
        <f aca="false">L540+K541</f>
        <v>9</v>
      </c>
    </row>
    <row r="542" customFormat="false" ht="15" hidden="true" customHeight="true" outlineLevel="0" collapsed="false">
      <c r="A542" s="0" t="str">
        <f aca="false">IF('Formation Initiale'!$A144="","",'Formation Initiale'!$A144)</f>
        <v>TR172</v>
      </c>
      <c r="B542" s="0" t="str">
        <f aca="false">IF($A542="","",'Formation Initiale'!$E144)</f>
        <v>Ashmont Kendwood</v>
      </c>
      <c r="C542" s="0" t="str">
        <f aca="false">IF($A542="","",'Formation Initiale'!$F144)</f>
        <v>Montréal</v>
      </c>
      <c r="D542" s="0" t="str">
        <f aca="false">IF($A542="","",IF('Formation Initiale'!$F144="Lisbonne","B2C (Initiale)","B2C+B2B (Initiale)"))</f>
        <v>B2C+B2B (Initiale)</v>
      </c>
      <c r="E542" s="0" t="n">
        <f aca="false">IF($A542="","",'Formation Initiale'!$B144)</f>
        <v>178</v>
      </c>
      <c r="F542" s="116" t="n">
        <f aca="false">IF($A542="","",'Formation Initiale'!$G144)</f>
        <v>46189</v>
      </c>
      <c r="G542" s="116" t="n">
        <f aca="false">IF($A542="","",'Formation Initiale'!$H144)</f>
        <v>46203</v>
      </c>
      <c r="H542" s="104" t="n">
        <f aca="false">IF($A542="","",'Formation Initiale'!$L144)</f>
        <v>7</v>
      </c>
      <c r="I542" s="0" t="str">
        <f aca="false">IF($A542="","",'Formation Initiale'!$R144)</f>
        <v>En cours</v>
      </c>
      <c r="K542" s="104" t="n">
        <f aca="false">IF(A542="",0,IF(IFERROR(VLOOKUP(A542,Skills!$A:$M,13,FALSE()),"")="COS",0,IF(OR(I542="En cours",I542="À venir",I542="À planifier"),IF(AND(OR($C$3="Tous",$C$3="",C542=$C$3),OR($E$3="Tous",$E$3="",I542=$E$3)),1,0),0)))</f>
        <v>1</v>
      </c>
      <c r="L542" s="104" t="n">
        <f aca="false">L541+K542</f>
        <v>10</v>
      </c>
    </row>
    <row r="543" customFormat="false" ht="15" hidden="true" customHeight="true" outlineLevel="0" collapsed="false">
      <c r="A543" s="0" t="str">
        <f aca="false">IF('Formation Initiale'!$A145="","",'Formation Initiale'!$A145)</f>
        <v>TR173</v>
      </c>
      <c r="B543" s="0" t="str">
        <f aca="false">IF($A543="","",'Formation Initiale'!$E145)</f>
        <v>Marsmont Wesan</v>
      </c>
      <c r="C543" s="0" t="str">
        <f aca="false">IF($A543="","",'Formation Initiale'!$F145)</f>
        <v>Montréal</v>
      </c>
      <c r="D543" s="0" t="str">
        <f aca="false">IF($A543="","",IF('Formation Initiale'!$F145="Lisbonne","B2C (Initiale)","B2C+B2B (Initiale)"))</f>
        <v>B2C+B2B (Initiale)</v>
      </c>
      <c r="E543" s="0" t="n">
        <f aca="false">IF($A543="","",'Formation Initiale'!$B145)</f>
        <v>178</v>
      </c>
      <c r="F543" s="116" t="n">
        <f aca="false">IF($A543="","",'Formation Initiale'!$G145)</f>
        <v>46189</v>
      </c>
      <c r="G543" s="116" t="n">
        <f aca="false">IF($A543="","",'Formation Initiale'!$H145)</f>
        <v>46203</v>
      </c>
      <c r="H543" s="104" t="n">
        <f aca="false">IF($A543="","",'Formation Initiale'!$L145)</f>
        <v>7</v>
      </c>
      <c r="I543" s="0" t="str">
        <f aca="false">IF($A543="","",'Formation Initiale'!$R145)</f>
        <v>En cours</v>
      </c>
      <c r="K543" s="104" t="n">
        <f aca="false">IF(A543="",0,IF(IFERROR(VLOOKUP(A543,Skills!$A:$M,13,FALSE()),"")="COS",0,IF(OR(I543="En cours",I543="À venir",I543="À planifier"),IF(AND(OR($C$3="Tous",$C$3="",C543=$C$3),OR($E$3="Tous",$E$3="",I543=$E$3)),1,0),0)))</f>
        <v>1</v>
      </c>
      <c r="L543" s="104" t="n">
        <f aca="false">L542+K543</f>
        <v>11</v>
      </c>
    </row>
    <row r="544" customFormat="false" ht="15" hidden="true" customHeight="true" outlineLevel="0" collapsed="false">
      <c r="A544" s="0" t="str">
        <f aca="false">IF('Formation Initiale'!$A146="","",'Formation Initiale'!$A146)</f>
        <v>TR174</v>
      </c>
      <c r="B544" s="0" t="str">
        <f aca="false">IF($A544="","",'Formation Initiale'!$E146)</f>
        <v>Lumon Quillcroft Stelridge Gilus</v>
      </c>
      <c r="C544" s="0" t="str">
        <f aca="false">IF($A544="","",'Formation Initiale'!$F146)</f>
        <v>Montréal</v>
      </c>
      <c r="D544" s="0" t="str">
        <f aca="false">IF($A544="","",IF('Formation Initiale'!$F146="Lisbonne","B2C (Initiale)","B2C+B2B (Initiale)"))</f>
        <v>B2C+B2B (Initiale)</v>
      </c>
      <c r="E544" s="0" t="n">
        <f aca="false">IF($A544="","",'Formation Initiale'!$B146)</f>
        <v>178</v>
      </c>
      <c r="F544" s="116" t="n">
        <f aca="false">IF($A544="","",'Formation Initiale'!$G146)</f>
        <v>46189</v>
      </c>
      <c r="G544" s="116" t="n">
        <f aca="false">IF($A544="","",'Formation Initiale'!$H146)</f>
        <v>46203</v>
      </c>
      <c r="H544" s="104" t="n">
        <f aca="false">IF($A544="","",'Formation Initiale'!$L146)</f>
        <v>7</v>
      </c>
      <c r="I544" s="0" t="str">
        <f aca="false">IF($A544="","",'Formation Initiale'!$R146)</f>
        <v>En cours</v>
      </c>
      <c r="K544" s="104" t="n">
        <f aca="false">IF(A544="",0,IF(IFERROR(VLOOKUP(A544,Skills!$A:$M,13,FALSE()),"")="COS",0,IF(OR(I544="En cours",I544="À venir",I544="À planifier"),IF(AND(OR($C$3="Tous",$C$3="",C544=$C$3),OR($E$3="Tous",$E$3="",I544=$E$3)),1,0),0)))</f>
        <v>1</v>
      </c>
      <c r="L544" s="104" t="n">
        <f aca="false">L543+K544</f>
        <v>12</v>
      </c>
    </row>
    <row r="545" customFormat="false" ht="15" hidden="true" customHeight="true" outlineLevel="0" collapsed="false">
      <c r="A545" s="0" t="str">
        <f aca="false">IF('Formation Initiale'!$A147="","",'Formation Initiale'!$A147)</f>
        <v>TR175</v>
      </c>
      <c r="B545" s="0" t="str">
        <f aca="false">IF($A545="","",'Formation Initiale'!$E147)</f>
        <v>Gilor Stelbrook</v>
      </c>
      <c r="C545" s="0" t="str">
        <f aca="false">IF($A545="","",'Formation Initiale'!$F147)</f>
        <v>Montréal</v>
      </c>
      <c r="D545" s="0" t="str">
        <f aca="false">IF($A545="","",IF('Formation Initiale'!$F147="Lisbonne","B2C (Initiale)","B2C+B2B (Initiale)"))</f>
        <v>B2C+B2B (Initiale)</v>
      </c>
      <c r="E545" s="0" t="n">
        <f aca="false">IF($A545="","",'Formation Initiale'!$B147)</f>
        <v>178</v>
      </c>
      <c r="F545" s="116" t="n">
        <f aca="false">IF($A545="","",'Formation Initiale'!$G147)</f>
        <v>46189</v>
      </c>
      <c r="G545" s="116" t="n">
        <f aca="false">IF($A545="","",'Formation Initiale'!$H147)</f>
        <v>46203</v>
      </c>
      <c r="H545" s="104" t="n">
        <f aca="false">IF($A545="","",'Formation Initiale'!$L147)</f>
        <v>7</v>
      </c>
      <c r="I545" s="0" t="str">
        <f aca="false">IF($A545="","",'Formation Initiale'!$R147)</f>
        <v>En cours</v>
      </c>
      <c r="K545" s="104" t="n">
        <f aca="false">IF(A545="",0,IF(IFERROR(VLOOKUP(A545,Skills!$A:$M,13,FALSE()),"")="COS",0,IF(OR(I545="En cours",I545="À venir",I545="À planifier"),IF(AND(OR($C$3="Tous",$C$3="",C545=$C$3),OR($E$3="Tous",$E$3="",I545=$E$3)),1,0),0)))</f>
        <v>1</v>
      </c>
      <c r="L545" s="104" t="n">
        <f aca="false">L544+K545</f>
        <v>13</v>
      </c>
    </row>
    <row r="546" customFormat="false" ht="15" hidden="true" customHeight="true" outlineLevel="0" collapsed="false">
      <c r="A546" s="0" t="str">
        <f aca="false">IF('Formation Initiale'!$A148="","",'Formation Initiale'!$A148)</f>
        <v>TR176</v>
      </c>
      <c r="B546" s="0" t="str">
        <f aca="false">IF($A546="","",'Formation Initiale'!$E148)</f>
        <v>Rhoic Iverstone</v>
      </c>
      <c r="C546" s="0" t="str">
        <f aca="false">IF($A546="","",'Formation Initiale'!$F148)</f>
        <v>Montréal</v>
      </c>
      <c r="D546" s="0" t="str">
        <f aca="false">IF($A546="","",IF('Formation Initiale'!$F148="Lisbonne","B2C (Initiale)","B2C+B2B (Initiale)"))</f>
        <v>B2C+B2B (Initiale)</v>
      </c>
      <c r="E546" s="0" t="n">
        <f aca="false">IF($A546="","",'Formation Initiale'!$B148)</f>
        <v>178</v>
      </c>
      <c r="F546" s="116" t="n">
        <f aca="false">IF($A546="","",'Formation Initiale'!$G148)</f>
        <v>46189</v>
      </c>
      <c r="G546" s="116" t="n">
        <f aca="false">IF($A546="","",'Formation Initiale'!$H148)</f>
        <v>46203</v>
      </c>
      <c r="H546" s="104" t="n">
        <f aca="false">IF($A546="","",'Formation Initiale'!$L148)</f>
        <v>7</v>
      </c>
      <c r="I546" s="0" t="str">
        <f aca="false">IF($A546="","",'Formation Initiale'!$R148)</f>
        <v>En cours</v>
      </c>
      <c r="K546" s="104" t="n">
        <f aca="false">IF(A546="",0,IF(IFERROR(VLOOKUP(A546,Skills!$A:$M,13,FALSE()),"")="COS",0,IF(OR(I546="En cours",I546="À venir",I546="À planifier"),IF(AND(OR($C$3="Tous",$C$3="",C546=$C$3),OR($E$3="Tous",$E$3="",I546=$E$3)),1,0),0)))</f>
        <v>1</v>
      </c>
      <c r="L546" s="104" t="n">
        <f aca="false">L545+K546</f>
        <v>14</v>
      </c>
    </row>
    <row r="547" customFormat="false" ht="15" hidden="true" customHeight="true" outlineLevel="0" collapsed="false">
      <c r="A547" s="0" t="str">
        <f aca="false">IF('Formation Initiale'!$A149="","",'Formation Initiale'!$A149)</f>
        <v>TR177</v>
      </c>
      <c r="B547" s="0" t="str">
        <f aca="false">IF($A547="","",'Formation Initiale'!$E149)</f>
        <v>Corrfield Haxay Quenen</v>
      </c>
      <c r="C547" s="0" t="str">
        <f aca="false">IF($A547="","",'Formation Initiale'!$F149)</f>
        <v>Montréal</v>
      </c>
      <c r="D547" s="0" t="str">
        <f aca="false">IF($A547="","",IF('Formation Initiale'!$F149="Lisbonne","B2C (Initiale)","B2C+B2B (Initiale)"))</f>
        <v>B2C+B2B (Initiale)</v>
      </c>
      <c r="E547" s="0" t="n">
        <f aca="false">IF($A547="","",'Formation Initiale'!$B149)</f>
        <v>178</v>
      </c>
      <c r="F547" s="116" t="n">
        <f aca="false">IF($A547="","",'Formation Initiale'!$G149)</f>
        <v>46189</v>
      </c>
      <c r="G547" s="116" t="n">
        <f aca="false">IF($A547="","",'Formation Initiale'!$H149)</f>
        <v>46203</v>
      </c>
      <c r="H547" s="104" t="n">
        <f aca="false">IF($A547="","",'Formation Initiale'!$L149)</f>
        <v>7</v>
      </c>
      <c r="I547" s="0" t="str">
        <f aca="false">IF($A547="","",'Formation Initiale'!$R149)</f>
        <v>En cours</v>
      </c>
      <c r="K547" s="104" t="n">
        <f aca="false">IF(A547="",0,IF(IFERROR(VLOOKUP(A547,Skills!$A:$M,13,FALSE()),"")="COS",0,IF(OR(I547="En cours",I547="À venir",I547="À planifier"),IF(AND(OR($C$3="Tous",$C$3="",C547=$C$3),OR($E$3="Tous",$E$3="",I547=$E$3)),1,0),0)))</f>
        <v>1</v>
      </c>
      <c r="L547" s="104" t="n">
        <f aca="false">L546+K547</f>
        <v>15</v>
      </c>
    </row>
    <row r="548" customFormat="false" ht="15" hidden="true" customHeight="true" outlineLevel="0" collapsed="false">
      <c r="A548" s="0" t="str">
        <f aca="false">IF('Formation Initiale'!$A150="","",'Formation Initiale'!$A150)</f>
        <v/>
      </c>
      <c r="B548" s="0" t="str">
        <f aca="false">IF($A548="","",'Formation Initiale'!$E150)</f>
        <v/>
      </c>
      <c r="C548" s="0" t="str">
        <f aca="false">IF($A548="","",'Formation Initiale'!$F150)</f>
        <v/>
      </c>
      <c r="D548" s="0" t="str">
        <f aca="false">IF($A548="","",IF('Formation Initiale'!$F150="Lisbonne","B2C (Initiale)","B2C+B2B (Initiale)"))</f>
        <v/>
      </c>
      <c r="E548" s="0" t="str">
        <f aca="false">IF($A548="","",'Formation Initiale'!$B150)</f>
        <v/>
      </c>
      <c r="F548" s="116" t="str">
        <f aca="false">IF($A548="","",'Formation Initiale'!$G150)</f>
        <v/>
      </c>
      <c r="G548" s="116" t="str">
        <f aca="false">IF($A548="","",'Formation Initiale'!$H150)</f>
        <v/>
      </c>
      <c r="H548" s="0" t="str">
        <f aca="false">IF($A548="","",'Formation Initiale'!$L150)</f>
        <v/>
      </c>
      <c r="I548" s="0" t="str">
        <f aca="false">IF($A548="","",'Formation Initiale'!$R150)</f>
        <v/>
      </c>
      <c r="K548" s="104" t="n">
        <f aca="false">IF(A548="",0,IF(IFERROR(VLOOKUP(A548,Skills!$A:$M,13,FALSE()),"")="COS",0,IF(OR(I548="En cours",I548="À venir",I548="À planifier"),IF(AND(OR($C$3="Tous",$C$3="",C548=$C$3),OR($E$3="Tous",$E$3="",I548=$E$3)),1,0),0)))</f>
        <v>0</v>
      </c>
      <c r="L548" s="104" t="n">
        <f aca="false">L547+K548</f>
        <v>15</v>
      </c>
    </row>
    <row r="549" customFormat="false" ht="15" hidden="true" customHeight="true" outlineLevel="0" collapsed="false">
      <c r="A549" s="0" t="str">
        <f aca="false">IF('Formation Initiale'!$A151="","",'Formation Initiale'!$A151)</f>
        <v/>
      </c>
      <c r="B549" s="0" t="str">
        <f aca="false">IF($A549="","",'Formation Initiale'!$E151)</f>
        <v/>
      </c>
      <c r="C549" s="0" t="str">
        <f aca="false">IF($A549="","",'Formation Initiale'!$F151)</f>
        <v/>
      </c>
      <c r="D549" s="0" t="str">
        <f aca="false">IF($A549="","",IF('Formation Initiale'!$F151="Lisbonne","B2C (Initiale)","B2C+B2B (Initiale)"))</f>
        <v/>
      </c>
      <c r="E549" s="0" t="str">
        <f aca="false">IF($A549="","",'Formation Initiale'!$B151)</f>
        <v/>
      </c>
      <c r="F549" s="116" t="str">
        <f aca="false">IF($A549="","",'Formation Initiale'!$G151)</f>
        <v/>
      </c>
      <c r="G549" s="116" t="str">
        <f aca="false">IF($A549="","",'Formation Initiale'!$H151)</f>
        <v/>
      </c>
      <c r="H549" s="0" t="str">
        <f aca="false">IF($A549="","",'Formation Initiale'!$L151)</f>
        <v/>
      </c>
      <c r="I549" s="0" t="str">
        <f aca="false">IF($A549="","",'Formation Initiale'!$R151)</f>
        <v/>
      </c>
      <c r="K549" s="104" t="n">
        <f aca="false">IF(A549="",0,IF(IFERROR(VLOOKUP(A549,Skills!$A:$M,13,FALSE()),"")="COS",0,IF(OR(I549="En cours",I549="À venir",I549="À planifier"),IF(AND(OR($C$3="Tous",$C$3="",C549=$C$3),OR($E$3="Tous",$E$3="",I549=$E$3)),1,0),0)))</f>
        <v>0</v>
      </c>
      <c r="L549" s="104" t="n">
        <f aca="false">L548+K549</f>
        <v>15</v>
      </c>
    </row>
    <row r="550" customFormat="false" ht="15" hidden="true" customHeight="true" outlineLevel="0" collapsed="false">
      <c r="A550" s="0" t="str">
        <f aca="false">IF('Formation Initiale'!$A152="","",'Formation Initiale'!$A152)</f>
        <v/>
      </c>
      <c r="B550" s="0" t="str">
        <f aca="false">IF($A550="","",'Formation Initiale'!$E152)</f>
        <v/>
      </c>
      <c r="C550" s="0" t="str">
        <f aca="false">IF($A550="","",'Formation Initiale'!$F152)</f>
        <v/>
      </c>
      <c r="D550" s="0" t="str">
        <f aca="false">IF($A550="","",IF('Formation Initiale'!$F152="Lisbonne","B2C (Initiale)","B2C+B2B (Initiale)"))</f>
        <v/>
      </c>
      <c r="E550" s="0" t="str">
        <f aca="false">IF($A550="","",'Formation Initiale'!$B152)</f>
        <v/>
      </c>
      <c r="F550" s="116" t="str">
        <f aca="false">IF($A550="","",'Formation Initiale'!$G152)</f>
        <v/>
      </c>
      <c r="G550" s="116" t="str">
        <f aca="false">IF($A550="","",'Formation Initiale'!$H152)</f>
        <v/>
      </c>
      <c r="H550" s="0" t="str">
        <f aca="false">IF($A550="","",'Formation Initiale'!$L152)</f>
        <v/>
      </c>
      <c r="I550" s="0" t="str">
        <f aca="false">IF($A550="","",'Formation Initiale'!$R152)</f>
        <v/>
      </c>
      <c r="K550" s="104" t="n">
        <f aca="false">IF(A550="",0,IF(IFERROR(VLOOKUP(A550,Skills!$A:$M,13,FALSE()),"")="COS",0,IF(OR(I550="En cours",I550="À venir",I550="À planifier"),IF(AND(OR($C$3="Tous",$C$3="",C550=$C$3),OR($E$3="Tous",$E$3="",I550=$E$3)),1,0),0)))</f>
        <v>0</v>
      </c>
      <c r="L550" s="104" t="n">
        <f aca="false">L549+K550</f>
        <v>15</v>
      </c>
    </row>
    <row r="551" customFormat="false" ht="15" hidden="true" customHeight="true" outlineLevel="0" collapsed="false">
      <c r="A551" s="0" t="str">
        <f aca="false">IF('Formation Initiale'!$A153="","",'Formation Initiale'!$A153)</f>
        <v/>
      </c>
      <c r="B551" s="0" t="str">
        <f aca="false">IF($A551="","",'Formation Initiale'!$E153)</f>
        <v/>
      </c>
      <c r="C551" s="0" t="str">
        <f aca="false">IF($A551="","",'Formation Initiale'!$F153)</f>
        <v/>
      </c>
      <c r="D551" s="0" t="str">
        <f aca="false">IF($A551="","",IF('Formation Initiale'!$F153="Lisbonne","B2C (Initiale)","B2C+B2B (Initiale)"))</f>
        <v/>
      </c>
      <c r="E551" s="0" t="str">
        <f aca="false">IF($A551="","",'Formation Initiale'!$B153)</f>
        <v/>
      </c>
      <c r="F551" s="116" t="str">
        <f aca="false">IF($A551="","",'Formation Initiale'!$G153)</f>
        <v/>
      </c>
      <c r="G551" s="116" t="str">
        <f aca="false">IF($A551="","",'Formation Initiale'!$H153)</f>
        <v/>
      </c>
      <c r="H551" s="0" t="str">
        <f aca="false">IF($A551="","",'Formation Initiale'!$L153)</f>
        <v/>
      </c>
      <c r="I551" s="0" t="str">
        <f aca="false">IF($A551="","",'Formation Initiale'!$R153)</f>
        <v/>
      </c>
      <c r="K551" s="104" t="n">
        <f aca="false">IF(A551="",0,IF(IFERROR(VLOOKUP(A551,Skills!$A:$M,13,FALSE()),"")="COS",0,IF(OR(I551="En cours",I551="À venir",I551="À planifier"),IF(AND(OR($C$3="Tous",$C$3="",C551=$C$3),OR($E$3="Tous",$E$3="",I551=$E$3)),1,0),0)))</f>
        <v>0</v>
      </c>
      <c r="L551" s="104" t="n">
        <f aca="false">L550+K551</f>
        <v>15</v>
      </c>
    </row>
    <row r="552" customFormat="false" ht="15" hidden="true" customHeight="true" outlineLevel="0" collapsed="false">
      <c r="A552" s="0" t="str">
        <f aca="false">IF('Formation Initiale'!$A154="","",'Formation Initiale'!$A154)</f>
        <v/>
      </c>
      <c r="B552" s="0" t="str">
        <f aca="false">IF($A552="","",'Formation Initiale'!$E154)</f>
        <v/>
      </c>
      <c r="C552" s="0" t="str">
        <f aca="false">IF($A552="","",'Formation Initiale'!$F154)</f>
        <v/>
      </c>
      <c r="D552" s="0" t="str">
        <f aca="false">IF($A552="","",IF('Formation Initiale'!$F154="Lisbonne","B2C (Initiale)","B2C+B2B (Initiale)"))</f>
        <v/>
      </c>
      <c r="E552" s="0" t="str">
        <f aca="false">IF($A552="","",'Formation Initiale'!$B154)</f>
        <v/>
      </c>
      <c r="F552" s="116" t="str">
        <f aca="false">IF($A552="","",'Formation Initiale'!$G154)</f>
        <v/>
      </c>
      <c r="G552" s="116" t="str">
        <f aca="false">IF($A552="","",'Formation Initiale'!$H154)</f>
        <v/>
      </c>
      <c r="H552" s="0" t="str">
        <f aca="false">IF($A552="","",'Formation Initiale'!$L154)</f>
        <v/>
      </c>
      <c r="I552" s="0" t="str">
        <f aca="false">IF($A552="","",'Formation Initiale'!$R154)</f>
        <v/>
      </c>
      <c r="K552" s="104" t="n">
        <f aca="false">IF(A552="",0,IF(IFERROR(VLOOKUP(A552,Skills!$A:$M,13,FALSE()),"")="COS",0,IF(OR(I552="En cours",I552="À venir",I552="À planifier"),IF(AND(OR($C$3="Tous",$C$3="",C552=$C$3),OR($E$3="Tous",$E$3="",I552=$E$3)),1,0),0)))</f>
        <v>0</v>
      </c>
      <c r="L552" s="104" t="n">
        <f aca="false">L551+K552</f>
        <v>15</v>
      </c>
    </row>
    <row r="553" customFormat="false" ht="15" hidden="true" customHeight="true" outlineLevel="0" collapsed="false">
      <c r="A553" s="0" t="str">
        <f aca="false">IF('Formation Initiale'!$A155="","",'Formation Initiale'!$A155)</f>
        <v/>
      </c>
      <c r="B553" s="0" t="str">
        <f aca="false">IF($A553="","",'Formation Initiale'!$E155)</f>
        <v/>
      </c>
      <c r="C553" s="0" t="str">
        <f aca="false">IF($A553="","",'Formation Initiale'!$F155)</f>
        <v/>
      </c>
      <c r="D553" s="0" t="str">
        <f aca="false">IF($A553="","",IF('Formation Initiale'!$F155="Lisbonne","B2C (Initiale)","B2C+B2B (Initiale)"))</f>
        <v/>
      </c>
      <c r="E553" s="0" t="str">
        <f aca="false">IF($A553="","",'Formation Initiale'!$B155)</f>
        <v/>
      </c>
      <c r="F553" s="116" t="str">
        <f aca="false">IF($A553="","",'Formation Initiale'!$G155)</f>
        <v/>
      </c>
      <c r="G553" s="116" t="str">
        <f aca="false">IF($A553="","",'Formation Initiale'!$H155)</f>
        <v/>
      </c>
      <c r="H553" s="0" t="str">
        <f aca="false">IF($A553="","",'Formation Initiale'!$L155)</f>
        <v/>
      </c>
      <c r="I553" s="0" t="str">
        <f aca="false">IF($A553="","",'Formation Initiale'!$R155)</f>
        <v/>
      </c>
      <c r="K553" s="104" t="n">
        <f aca="false">IF(A553="",0,IF(IFERROR(VLOOKUP(A553,Skills!$A:$M,13,FALSE()),"")="COS",0,IF(OR(I553="En cours",I553="À venir",I553="À planifier"),IF(AND(OR($C$3="Tous",$C$3="",C553=$C$3),OR($E$3="Tous",$E$3="",I553=$E$3)),1,0),0)))</f>
        <v>0</v>
      </c>
      <c r="L553" s="104" t="n">
        <f aca="false">L552+K553</f>
        <v>15</v>
      </c>
    </row>
    <row r="554" customFormat="false" ht="15" hidden="true" customHeight="true" outlineLevel="0" collapsed="false">
      <c r="A554" s="0" t="str">
        <f aca="false">IF('Formation Initiale'!$A156="","",'Formation Initiale'!$A156)</f>
        <v/>
      </c>
      <c r="B554" s="0" t="str">
        <f aca="false">IF($A554="","",'Formation Initiale'!$E156)</f>
        <v/>
      </c>
      <c r="C554" s="0" t="str">
        <f aca="false">IF($A554="","",'Formation Initiale'!$F156)</f>
        <v/>
      </c>
      <c r="D554" s="0" t="str">
        <f aca="false">IF($A554="","",IF('Formation Initiale'!$F156="Lisbonne","B2C (Initiale)","B2C+B2B (Initiale)"))</f>
        <v/>
      </c>
      <c r="E554" s="0" t="str">
        <f aca="false">IF($A554="","",'Formation Initiale'!$B156)</f>
        <v/>
      </c>
      <c r="F554" s="116" t="str">
        <f aca="false">IF($A554="","",'Formation Initiale'!$G156)</f>
        <v/>
      </c>
      <c r="G554" s="116" t="str">
        <f aca="false">IF($A554="","",'Formation Initiale'!$H156)</f>
        <v/>
      </c>
      <c r="H554" s="0" t="str">
        <f aca="false">IF($A554="","",'Formation Initiale'!$L156)</f>
        <v/>
      </c>
      <c r="I554" s="0" t="str">
        <f aca="false">IF($A554="","",'Formation Initiale'!$R156)</f>
        <v/>
      </c>
      <c r="K554" s="104" t="n">
        <f aca="false">IF(A554="",0,IF(IFERROR(VLOOKUP(A554,Skills!$A:$M,13,FALSE()),"")="COS",0,IF(OR(I554="En cours",I554="À venir",I554="À planifier"),IF(AND(OR($C$3="Tous",$C$3="",C554=$C$3),OR($E$3="Tous",$E$3="",I554=$E$3)),1,0),0)))</f>
        <v>0</v>
      </c>
      <c r="L554" s="104" t="n">
        <f aca="false">L553+K554</f>
        <v>15</v>
      </c>
    </row>
    <row r="555" customFormat="false" ht="15" hidden="true" customHeight="true" outlineLevel="0" collapsed="false">
      <c r="A555" s="0" t="str">
        <f aca="false">IF('Formation Initiale'!$A157="","",'Formation Initiale'!$A157)</f>
        <v/>
      </c>
      <c r="B555" s="0" t="str">
        <f aca="false">IF($A555="","",'Formation Initiale'!$E157)</f>
        <v/>
      </c>
      <c r="C555" s="0" t="str">
        <f aca="false">IF($A555="","",'Formation Initiale'!$F157)</f>
        <v/>
      </c>
      <c r="D555" s="0" t="str">
        <f aca="false">IF($A555="","",IF('Formation Initiale'!$F157="Lisbonne","B2C (Initiale)","B2C+B2B (Initiale)"))</f>
        <v/>
      </c>
      <c r="E555" s="0" t="str">
        <f aca="false">IF($A555="","",'Formation Initiale'!$B157)</f>
        <v/>
      </c>
      <c r="F555" s="116" t="str">
        <f aca="false">IF($A555="","",'Formation Initiale'!$G157)</f>
        <v/>
      </c>
      <c r="G555" s="116" t="str">
        <f aca="false">IF($A555="","",'Formation Initiale'!$H157)</f>
        <v/>
      </c>
      <c r="H555" s="0" t="str">
        <f aca="false">IF($A555="","",'Formation Initiale'!$L157)</f>
        <v/>
      </c>
      <c r="I555" s="0" t="str">
        <f aca="false">IF($A555="","",'Formation Initiale'!$R157)</f>
        <v/>
      </c>
      <c r="K555" s="104" t="n">
        <f aca="false">IF(A555="",0,IF(IFERROR(VLOOKUP(A555,Skills!$A:$M,13,FALSE()),"")="COS",0,IF(OR(I555="En cours",I555="À venir",I555="À planifier"),IF(AND(OR($C$3="Tous",$C$3="",C555=$C$3),OR($E$3="Tous",$E$3="",I555=$E$3)),1,0),0)))</f>
        <v>0</v>
      </c>
      <c r="L555" s="104" t="n">
        <f aca="false">L554+K555</f>
        <v>15</v>
      </c>
    </row>
    <row r="556" customFormat="false" ht="15" hidden="true" customHeight="true" outlineLevel="0" collapsed="false">
      <c r="A556" s="0" t="str">
        <f aca="false">IF('Formation Initiale'!$A158="","",'Formation Initiale'!$A158)</f>
        <v/>
      </c>
      <c r="B556" s="0" t="str">
        <f aca="false">IF($A556="","",'Formation Initiale'!$E158)</f>
        <v/>
      </c>
      <c r="C556" s="0" t="str">
        <f aca="false">IF($A556="","",'Formation Initiale'!$F158)</f>
        <v/>
      </c>
      <c r="D556" s="0" t="str">
        <f aca="false">IF($A556="","",IF('Formation Initiale'!$F158="Lisbonne","B2C (Initiale)","B2C+B2B (Initiale)"))</f>
        <v/>
      </c>
      <c r="E556" s="0" t="str">
        <f aca="false">IF($A556="","",'Formation Initiale'!$B158)</f>
        <v/>
      </c>
      <c r="F556" s="116" t="str">
        <f aca="false">IF($A556="","",'Formation Initiale'!$G158)</f>
        <v/>
      </c>
      <c r="G556" s="116" t="str">
        <f aca="false">IF($A556="","",'Formation Initiale'!$H158)</f>
        <v/>
      </c>
      <c r="H556" s="0" t="str">
        <f aca="false">IF($A556="","",'Formation Initiale'!$L158)</f>
        <v/>
      </c>
      <c r="I556" s="0" t="str">
        <f aca="false">IF($A556="","",'Formation Initiale'!$R158)</f>
        <v/>
      </c>
      <c r="K556" s="104" t="n">
        <f aca="false">IF(A556="",0,IF(IFERROR(VLOOKUP(A556,Skills!$A:$M,13,FALSE()),"")="COS",0,IF(OR(I556="En cours",I556="À venir",I556="À planifier"),IF(AND(OR($C$3="Tous",$C$3="",C556=$C$3),OR($E$3="Tous",$E$3="",I556=$E$3)),1,0),0)))</f>
        <v>0</v>
      </c>
      <c r="L556" s="104" t="n">
        <f aca="false">L555+K556</f>
        <v>15</v>
      </c>
    </row>
    <row r="557" customFormat="false" ht="15" hidden="true" customHeight="true" outlineLevel="0" collapsed="false">
      <c r="A557" s="0" t="str">
        <f aca="false">IF('Formation Initiale'!$A159="","",'Formation Initiale'!$A159)</f>
        <v/>
      </c>
      <c r="B557" s="0" t="str">
        <f aca="false">IF($A557="","",'Formation Initiale'!$E159)</f>
        <v/>
      </c>
      <c r="C557" s="0" t="str">
        <f aca="false">IF($A557="","",'Formation Initiale'!$F159)</f>
        <v/>
      </c>
      <c r="D557" s="0" t="str">
        <f aca="false">IF($A557="","",IF('Formation Initiale'!$F159="Lisbonne","B2C (Initiale)","B2C+B2B (Initiale)"))</f>
        <v/>
      </c>
      <c r="E557" s="0" t="str">
        <f aca="false">IF($A557="","",'Formation Initiale'!$B159)</f>
        <v/>
      </c>
      <c r="F557" s="116" t="str">
        <f aca="false">IF($A557="","",'Formation Initiale'!$G159)</f>
        <v/>
      </c>
      <c r="G557" s="116" t="str">
        <f aca="false">IF($A557="","",'Formation Initiale'!$H159)</f>
        <v/>
      </c>
      <c r="H557" s="0" t="str">
        <f aca="false">IF($A557="","",'Formation Initiale'!$L159)</f>
        <v/>
      </c>
      <c r="I557" s="0" t="str">
        <f aca="false">IF($A557="","",'Formation Initiale'!$R159)</f>
        <v/>
      </c>
      <c r="K557" s="104" t="n">
        <f aca="false">IF(A557="",0,IF(IFERROR(VLOOKUP(A557,Skills!$A:$M,13,FALSE()),"")="COS",0,IF(OR(I557="En cours",I557="À venir",I557="À planifier"),IF(AND(OR($C$3="Tous",$C$3="",C557=$C$3),OR($E$3="Tous",$E$3="",I557=$E$3)),1,0),0)))</f>
        <v>0</v>
      </c>
      <c r="L557" s="104" t="n">
        <f aca="false">L556+K557</f>
        <v>15</v>
      </c>
    </row>
    <row r="558" customFormat="false" ht="15" hidden="true" customHeight="true" outlineLevel="0" collapsed="false">
      <c r="A558" s="0" t="str">
        <f aca="false">IF('Formation Initiale'!$A160="","",'Formation Initiale'!$A160)</f>
        <v/>
      </c>
      <c r="B558" s="0" t="str">
        <f aca="false">IF($A558="","",'Formation Initiale'!$E160)</f>
        <v/>
      </c>
      <c r="C558" s="0" t="str">
        <f aca="false">IF($A558="","",'Formation Initiale'!$F160)</f>
        <v/>
      </c>
      <c r="D558" s="0" t="str">
        <f aca="false">IF($A558="","",IF('Formation Initiale'!$F160="Lisbonne","B2C (Initiale)","B2C+B2B (Initiale)"))</f>
        <v/>
      </c>
      <c r="E558" s="0" t="str">
        <f aca="false">IF($A558="","",'Formation Initiale'!$B160)</f>
        <v/>
      </c>
      <c r="F558" s="116" t="str">
        <f aca="false">IF($A558="","",'Formation Initiale'!$G160)</f>
        <v/>
      </c>
      <c r="G558" s="116" t="str">
        <f aca="false">IF($A558="","",'Formation Initiale'!$H160)</f>
        <v/>
      </c>
      <c r="H558" s="0" t="str">
        <f aca="false">IF($A558="","",'Formation Initiale'!$L160)</f>
        <v/>
      </c>
      <c r="I558" s="0" t="str">
        <f aca="false">IF($A558="","",'Formation Initiale'!$R160)</f>
        <v/>
      </c>
      <c r="K558" s="104" t="n">
        <f aca="false">IF(A558="",0,IF(IFERROR(VLOOKUP(A558,Skills!$A:$M,13,FALSE()),"")="COS",0,IF(OR(I558="En cours",I558="À venir",I558="À planifier"),IF(AND(OR($C$3="Tous",$C$3="",C558=$C$3),OR($E$3="Tous",$E$3="",I558=$E$3)),1,0),0)))</f>
        <v>0</v>
      </c>
      <c r="L558" s="104" t="n">
        <f aca="false">L557+K558</f>
        <v>15</v>
      </c>
    </row>
    <row r="559" customFormat="false" ht="15" hidden="true" customHeight="true" outlineLevel="0" collapsed="false">
      <c r="A559" s="0" t="str">
        <f aca="false">IF('Formation Initiale'!$A161="","",'Formation Initiale'!$A161)</f>
        <v/>
      </c>
      <c r="B559" s="0" t="str">
        <f aca="false">IF($A559="","",'Formation Initiale'!$E161)</f>
        <v/>
      </c>
      <c r="C559" s="0" t="str">
        <f aca="false">IF($A559="","",'Formation Initiale'!$F161)</f>
        <v/>
      </c>
      <c r="D559" s="0" t="str">
        <f aca="false">IF($A559="","",IF('Formation Initiale'!$F161="Lisbonne","B2C (Initiale)","B2C+B2B (Initiale)"))</f>
        <v/>
      </c>
      <c r="E559" s="0" t="str">
        <f aca="false">IF($A559="","",'Formation Initiale'!$B161)</f>
        <v/>
      </c>
      <c r="F559" s="116" t="str">
        <f aca="false">IF($A559="","",'Formation Initiale'!$G161)</f>
        <v/>
      </c>
      <c r="G559" s="116" t="str">
        <f aca="false">IF($A559="","",'Formation Initiale'!$H161)</f>
        <v/>
      </c>
      <c r="H559" s="0" t="str">
        <f aca="false">IF($A559="","",'Formation Initiale'!$L161)</f>
        <v/>
      </c>
      <c r="I559" s="0" t="str">
        <f aca="false">IF($A559="","",'Formation Initiale'!$R161)</f>
        <v/>
      </c>
      <c r="K559" s="104" t="n">
        <f aca="false">IF(A559="",0,IF(IFERROR(VLOOKUP(A559,Skills!$A:$M,13,FALSE()),"")="COS",0,IF(OR(I559="En cours",I559="À venir",I559="À planifier"),IF(AND(OR($C$3="Tous",$C$3="",C559=$C$3),OR($E$3="Tous",$E$3="",I559=$E$3)),1,0),0)))</f>
        <v>0</v>
      </c>
      <c r="L559" s="104" t="n">
        <f aca="false">L558+K559</f>
        <v>15</v>
      </c>
    </row>
    <row r="560" customFormat="false" ht="15" hidden="true" customHeight="true" outlineLevel="0" collapsed="false">
      <c r="A560" s="0" t="str">
        <f aca="false">IF('Formation Initiale'!$A162="","",'Formation Initiale'!$A162)</f>
        <v/>
      </c>
      <c r="B560" s="0" t="str">
        <f aca="false">IF($A560="","",'Formation Initiale'!$E162)</f>
        <v/>
      </c>
      <c r="C560" s="0" t="str">
        <f aca="false">IF($A560="","",'Formation Initiale'!$F162)</f>
        <v/>
      </c>
      <c r="D560" s="0" t="str">
        <f aca="false">IF($A560="","",IF('Formation Initiale'!$F162="Lisbonne","B2C (Initiale)","B2C+B2B (Initiale)"))</f>
        <v/>
      </c>
      <c r="E560" s="0" t="str">
        <f aca="false">IF($A560="","",'Formation Initiale'!$B162)</f>
        <v/>
      </c>
      <c r="F560" s="116" t="str">
        <f aca="false">IF($A560="","",'Formation Initiale'!$G162)</f>
        <v/>
      </c>
      <c r="G560" s="116" t="str">
        <f aca="false">IF($A560="","",'Formation Initiale'!$H162)</f>
        <v/>
      </c>
      <c r="H560" s="0" t="str">
        <f aca="false">IF($A560="","",'Formation Initiale'!$L162)</f>
        <v/>
      </c>
      <c r="I560" s="0" t="str">
        <f aca="false">IF($A560="","",'Formation Initiale'!$R162)</f>
        <v/>
      </c>
      <c r="K560" s="104" t="n">
        <f aca="false">IF(A560="",0,IF(IFERROR(VLOOKUP(A560,Skills!$A:$M,13,FALSE()),"")="COS",0,IF(OR(I560="En cours",I560="À venir",I560="À planifier"),IF(AND(OR($C$3="Tous",$C$3="",C560=$C$3),OR($E$3="Tous",$E$3="",I560=$E$3)),1,0),0)))</f>
        <v>0</v>
      </c>
      <c r="L560" s="104" t="n">
        <f aca="false">L559+K560</f>
        <v>15</v>
      </c>
    </row>
    <row r="561" customFormat="false" ht="15" hidden="true" customHeight="true" outlineLevel="0" collapsed="false">
      <c r="A561" s="0" t="str">
        <f aca="false">IF('Formation Initiale'!$A163="","",'Formation Initiale'!$A163)</f>
        <v/>
      </c>
      <c r="B561" s="0" t="str">
        <f aca="false">IF($A561="","",'Formation Initiale'!$E163)</f>
        <v/>
      </c>
      <c r="C561" s="0" t="str">
        <f aca="false">IF($A561="","",'Formation Initiale'!$F163)</f>
        <v/>
      </c>
      <c r="D561" s="0" t="str">
        <f aca="false">IF($A561="","",IF('Formation Initiale'!$F163="Lisbonne","B2C (Initiale)","B2C+B2B (Initiale)"))</f>
        <v/>
      </c>
      <c r="E561" s="0" t="str">
        <f aca="false">IF($A561="","",'Formation Initiale'!$B163)</f>
        <v/>
      </c>
      <c r="F561" s="116" t="str">
        <f aca="false">IF($A561="","",'Formation Initiale'!$G163)</f>
        <v/>
      </c>
      <c r="G561" s="116" t="str">
        <f aca="false">IF($A561="","",'Formation Initiale'!$H163)</f>
        <v/>
      </c>
      <c r="H561" s="0" t="str">
        <f aca="false">IF($A561="","",'Formation Initiale'!$L163)</f>
        <v/>
      </c>
      <c r="I561" s="0" t="str">
        <f aca="false">IF($A561="","",'Formation Initiale'!$R163)</f>
        <v/>
      </c>
      <c r="K561" s="104" t="n">
        <f aca="false">IF(A561="",0,IF(IFERROR(VLOOKUP(A561,Skills!$A:$M,13,FALSE()),"")="COS",0,IF(OR(I561="En cours",I561="À venir",I561="À planifier"),IF(AND(OR($C$3="Tous",$C$3="",C561=$C$3),OR($E$3="Tous",$E$3="",I561=$E$3)),1,0),0)))</f>
        <v>0</v>
      </c>
      <c r="L561" s="104" t="n">
        <f aca="false">L560+K561</f>
        <v>15</v>
      </c>
    </row>
    <row r="562" customFormat="false" ht="15" hidden="true" customHeight="true" outlineLevel="0" collapsed="false">
      <c r="A562" s="0" t="str">
        <f aca="false">IF('Formation Initiale'!$A164="","",'Formation Initiale'!$A164)</f>
        <v/>
      </c>
      <c r="B562" s="0" t="str">
        <f aca="false">IF($A562="","",'Formation Initiale'!$E164)</f>
        <v/>
      </c>
      <c r="C562" s="0" t="str">
        <f aca="false">IF($A562="","",'Formation Initiale'!$F164)</f>
        <v/>
      </c>
      <c r="D562" s="0" t="str">
        <f aca="false">IF($A562="","",IF('Formation Initiale'!$F164="Lisbonne","B2C (Initiale)","B2C+B2B (Initiale)"))</f>
        <v/>
      </c>
      <c r="E562" s="0" t="str">
        <f aca="false">IF($A562="","",'Formation Initiale'!$B164)</f>
        <v/>
      </c>
      <c r="F562" s="116" t="str">
        <f aca="false">IF($A562="","",'Formation Initiale'!$G164)</f>
        <v/>
      </c>
      <c r="G562" s="116" t="str">
        <f aca="false">IF($A562="","",'Formation Initiale'!$H164)</f>
        <v/>
      </c>
      <c r="H562" s="0" t="str">
        <f aca="false">IF($A562="","",'Formation Initiale'!$L164)</f>
        <v/>
      </c>
      <c r="I562" s="0" t="str">
        <f aca="false">IF($A562="","",'Formation Initiale'!$R164)</f>
        <v/>
      </c>
      <c r="K562" s="104" t="n">
        <f aca="false">IF(A562="",0,IF(IFERROR(VLOOKUP(A562,Skills!$A:$M,13,FALSE()),"")="COS",0,IF(OR(I562="En cours",I562="À venir",I562="À planifier"),IF(AND(OR($C$3="Tous",$C$3="",C562=$C$3),OR($E$3="Tous",$E$3="",I562=$E$3)),1,0),0)))</f>
        <v>0</v>
      </c>
      <c r="L562" s="104" t="n">
        <f aca="false">L561+K562</f>
        <v>15</v>
      </c>
    </row>
    <row r="563" customFormat="false" ht="15" hidden="true" customHeight="true" outlineLevel="0" collapsed="false">
      <c r="A563" s="0" t="str">
        <f aca="false">IF('Formation Initiale'!$A165="","",'Formation Initiale'!$A165)</f>
        <v/>
      </c>
      <c r="B563" s="0" t="str">
        <f aca="false">IF($A563="","",'Formation Initiale'!$E165)</f>
        <v/>
      </c>
      <c r="C563" s="0" t="str">
        <f aca="false">IF($A563="","",'Formation Initiale'!$F165)</f>
        <v/>
      </c>
      <c r="D563" s="0" t="str">
        <f aca="false">IF($A563="","",IF('Formation Initiale'!$F165="Lisbonne","B2C (Initiale)","B2C+B2B (Initiale)"))</f>
        <v/>
      </c>
      <c r="E563" s="0" t="str">
        <f aca="false">IF($A563="","",'Formation Initiale'!$B165)</f>
        <v/>
      </c>
      <c r="F563" s="116" t="str">
        <f aca="false">IF($A563="","",'Formation Initiale'!$G165)</f>
        <v/>
      </c>
      <c r="G563" s="116" t="str">
        <f aca="false">IF($A563="","",'Formation Initiale'!$H165)</f>
        <v/>
      </c>
      <c r="H563" s="0" t="str">
        <f aca="false">IF($A563="","",'Formation Initiale'!$L165)</f>
        <v/>
      </c>
      <c r="I563" s="0" t="str">
        <f aca="false">IF($A563="","",'Formation Initiale'!$R165)</f>
        <v/>
      </c>
      <c r="K563" s="104" t="n">
        <f aca="false">IF(A563="",0,IF(IFERROR(VLOOKUP(A563,Skills!$A:$M,13,FALSE()),"")="COS",0,IF(OR(I563="En cours",I563="À venir",I563="À planifier"),IF(AND(OR($C$3="Tous",$C$3="",C563=$C$3),OR($E$3="Tous",$E$3="",I563=$E$3)),1,0),0)))</f>
        <v>0</v>
      </c>
      <c r="L563" s="104" t="n">
        <f aca="false">L562+K563</f>
        <v>15</v>
      </c>
    </row>
    <row r="564" customFormat="false" ht="15" hidden="true" customHeight="true" outlineLevel="0" collapsed="false">
      <c r="A564" s="0" t="str">
        <f aca="false">IF('Formation Initiale'!$A166="","",'Formation Initiale'!$A166)</f>
        <v/>
      </c>
      <c r="B564" s="0" t="str">
        <f aca="false">IF($A564="","",'Formation Initiale'!$E166)</f>
        <v/>
      </c>
      <c r="C564" s="0" t="str">
        <f aca="false">IF($A564="","",'Formation Initiale'!$F166)</f>
        <v/>
      </c>
      <c r="D564" s="0" t="str">
        <f aca="false">IF($A564="","",IF('Formation Initiale'!$F166="Lisbonne","B2C (Initiale)","B2C+B2B (Initiale)"))</f>
        <v/>
      </c>
      <c r="E564" s="0" t="str">
        <f aca="false">IF($A564="","",'Formation Initiale'!$B166)</f>
        <v/>
      </c>
      <c r="F564" s="116" t="str">
        <f aca="false">IF($A564="","",'Formation Initiale'!$G166)</f>
        <v/>
      </c>
      <c r="G564" s="116" t="str">
        <f aca="false">IF($A564="","",'Formation Initiale'!$H166)</f>
        <v/>
      </c>
      <c r="H564" s="0" t="str">
        <f aca="false">IF($A564="","",'Formation Initiale'!$L166)</f>
        <v/>
      </c>
      <c r="I564" s="0" t="str">
        <f aca="false">IF($A564="","",'Formation Initiale'!$R166)</f>
        <v/>
      </c>
      <c r="K564" s="104" t="n">
        <f aca="false">IF(A564="",0,IF(IFERROR(VLOOKUP(A564,Skills!$A:$M,13,FALSE()),"")="COS",0,IF(OR(I564="En cours",I564="À venir",I564="À planifier"),IF(AND(OR($C$3="Tous",$C$3="",C564=$C$3),OR($E$3="Tous",$E$3="",I564=$E$3)),1,0),0)))</f>
        <v>0</v>
      </c>
      <c r="L564" s="104" t="n">
        <f aca="false">L563+K564</f>
        <v>15</v>
      </c>
    </row>
    <row r="565" customFormat="false" ht="15" hidden="true" customHeight="true" outlineLevel="0" collapsed="false">
      <c r="A565" s="0" t="str">
        <f aca="false">IF('Formation Initiale'!$A167="","",'Formation Initiale'!$A167)</f>
        <v/>
      </c>
      <c r="B565" s="0" t="str">
        <f aca="false">IF($A565="","",'Formation Initiale'!$E167)</f>
        <v/>
      </c>
      <c r="C565" s="0" t="str">
        <f aca="false">IF($A565="","",'Formation Initiale'!$F167)</f>
        <v/>
      </c>
      <c r="D565" s="0" t="str">
        <f aca="false">IF($A565="","",IF('Formation Initiale'!$F167="Lisbonne","B2C (Initiale)","B2C+B2B (Initiale)"))</f>
        <v/>
      </c>
      <c r="E565" s="0" t="str">
        <f aca="false">IF($A565="","",'Formation Initiale'!$B167)</f>
        <v/>
      </c>
      <c r="F565" s="116" t="str">
        <f aca="false">IF($A565="","",'Formation Initiale'!$G167)</f>
        <v/>
      </c>
      <c r="G565" s="116" t="str">
        <f aca="false">IF($A565="","",'Formation Initiale'!$H167)</f>
        <v/>
      </c>
      <c r="H565" s="0" t="str">
        <f aca="false">IF($A565="","",'Formation Initiale'!$L167)</f>
        <v/>
      </c>
      <c r="I565" s="0" t="str">
        <f aca="false">IF($A565="","",'Formation Initiale'!$R167)</f>
        <v/>
      </c>
      <c r="K565" s="104" t="n">
        <f aca="false">IF(A565="",0,IF(IFERROR(VLOOKUP(A565,Skills!$A:$M,13,FALSE()),"")="COS",0,IF(OR(I565="En cours",I565="À venir",I565="À planifier"),IF(AND(OR($C$3="Tous",$C$3="",C565=$C$3),OR($E$3="Tous",$E$3="",I565=$E$3)),1,0),0)))</f>
        <v>0</v>
      </c>
      <c r="L565" s="104" t="n">
        <f aca="false">L564+K565</f>
        <v>15</v>
      </c>
    </row>
    <row r="566" customFormat="false" ht="15" hidden="true" customHeight="true" outlineLevel="0" collapsed="false">
      <c r="A566" s="0" t="str">
        <f aca="false">IF('Formation Initiale'!$A168="","",'Formation Initiale'!$A168)</f>
        <v/>
      </c>
      <c r="B566" s="0" t="str">
        <f aca="false">IF($A566="","",'Formation Initiale'!$E168)</f>
        <v/>
      </c>
      <c r="C566" s="0" t="str">
        <f aca="false">IF($A566="","",'Formation Initiale'!$F168)</f>
        <v/>
      </c>
      <c r="D566" s="0" t="str">
        <f aca="false">IF($A566="","",IF('Formation Initiale'!$F168="Lisbonne","B2C (Initiale)","B2C+B2B (Initiale)"))</f>
        <v/>
      </c>
      <c r="E566" s="0" t="str">
        <f aca="false">IF($A566="","",'Formation Initiale'!$B168)</f>
        <v/>
      </c>
      <c r="F566" s="116" t="str">
        <f aca="false">IF($A566="","",'Formation Initiale'!$G168)</f>
        <v/>
      </c>
      <c r="G566" s="116" t="str">
        <f aca="false">IF($A566="","",'Formation Initiale'!$H168)</f>
        <v/>
      </c>
      <c r="H566" s="0" t="str">
        <f aca="false">IF($A566="","",'Formation Initiale'!$L168)</f>
        <v/>
      </c>
      <c r="I566" s="0" t="str">
        <f aca="false">IF($A566="","",'Formation Initiale'!$R168)</f>
        <v/>
      </c>
      <c r="K566" s="104" t="n">
        <f aca="false">IF(A566="",0,IF(IFERROR(VLOOKUP(A566,Skills!$A:$M,13,FALSE()),"")="COS",0,IF(OR(I566="En cours",I566="À venir",I566="À planifier"),IF(AND(OR($C$3="Tous",$C$3="",C566=$C$3),OR($E$3="Tous",$E$3="",I566=$E$3)),1,0),0)))</f>
        <v>0</v>
      </c>
      <c r="L566" s="104" t="n">
        <f aca="false">L565+K566</f>
        <v>15</v>
      </c>
    </row>
    <row r="567" customFormat="false" ht="15" hidden="true" customHeight="true" outlineLevel="0" collapsed="false">
      <c r="A567" s="0" t="str">
        <f aca="false">IF('Formation Initiale'!$A169="","",'Formation Initiale'!$A169)</f>
        <v/>
      </c>
      <c r="B567" s="0" t="str">
        <f aca="false">IF($A567="","",'Formation Initiale'!$E169)</f>
        <v/>
      </c>
      <c r="C567" s="0" t="str">
        <f aca="false">IF($A567="","",'Formation Initiale'!$F169)</f>
        <v/>
      </c>
      <c r="D567" s="0" t="str">
        <f aca="false">IF($A567="","",IF('Formation Initiale'!$F169="Lisbonne","B2C (Initiale)","B2C+B2B (Initiale)"))</f>
        <v/>
      </c>
      <c r="E567" s="0" t="str">
        <f aca="false">IF($A567="","",'Formation Initiale'!$B169)</f>
        <v/>
      </c>
      <c r="F567" s="116" t="str">
        <f aca="false">IF($A567="","",'Formation Initiale'!$G169)</f>
        <v/>
      </c>
      <c r="G567" s="116" t="str">
        <f aca="false">IF($A567="","",'Formation Initiale'!$H169)</f>
        <v/>
      </c>
      <c r="H567" s="0" t="str">
        <f aca="false">IF($A567="","",'Formation Initiale'!$L169)</f>
        <v/>
      </c>
      <c r="I567" s="0" t="str">
        <f aca="false">IF($A567="","",'Formation Initiale'!$R169)</f>
        <v/>
      </c>
      <c r="K567" s="104" t="n">
        <f aca="false">IF(A567="",0,IF(IFERROR(VLOOKUP(A567,Skills!$A:$M,13,FALSE()),"")="COS",0,IF(OR(I567="En cours",I567="À venir",I567="À planifier"),IF(AND(OR($C$3="Tous",$C$3="",C567=$C$3),OR($E$3="Tous",$E$3="",I567=$E$3)),1,0),0)))</f>
        <v>0</v>
      </c>
      <c r="L567" s="104" t="n">
        <f aca="false">L566+K567</f>
        <v>15</v>
      </c>
    </row>
    <row r="568" customFormat="false" ht="15" hidden="true" customHeight="true" outlineLevel="0" collapsed="false">
      <c r="A568" s="0" t="str">
        <f aca="false">IF('Formation Initiale'!$A170="","",'Formation Initiale'!$A170)</f>
        <v/>
      </c>
      <c r="B568" s="0" t="str">
        <f aca="false">IF($A568="","",'Formation Initiale'!$E170)</f>
        <v/>
      </c>
      <c r="C568" s="0" t="str">
        <f aca="false">IF($A568="","",'Formation Initiale'!$F170)</f>
        <v/>
      </c>
      <c r="D568" s="0" t="str">
        <f aca="false">IF($A568="","",IF('Formation Initiale'!$F170="Lisbonne","B2C (Initiale)","B2C+B2B (Initiale)"))</f>
        <v/>
      </c>
      <c r="E568" s="0" t="str">
        <f aca="false">IF($A568="","",'Formation Initiale'!$B170)</f>
        <v/>
      </c>
      <c r="F568" s="116" t="str">
        <f aca="false">IF($A568="","",'Formation Initiale'!$G170)</f>
        <v/>
      </c>
      <c r="G568" s="116" t="str">
        <f aca="false">IF($A568="","",'Formation Initiale'!$H170)</f>
        <v/>
      </c>
      <c r="H568" s="0" t="str">
        <f aca="false">IF($A568="","",'Formation Initiale'!$L170)</f>
        <v/>
      </c>
      <c r="I568" s="0" t="str">
        <f aca="false">IF($A568="","",'Formation Initiale'!$R170)</f>
        <v/>
      </c>
      <c r="K568" s="104" t="n">
        <f aca="false">IF(A568="",0,IF(IFERROR(VLOOKUP(A568,Skills!$A:$M,13,FALSE()),"")="COS",0,IF(OR(I568="En cours",I568="À venir",I568="À planifier"),IF(AND(OR($C$3="Tous",$C$3="",C568=$C$3),OR($E$3="Tous",$E$3="",I568=$E$3)),1,0),0)))</f>
        <v>0</v>
      </c>
      <c r="L568" s="104" t="n">
        <f aca="false">L567+K568</f>
        <v>15</v>
      </c>
    </row>
    <row r="569" customFormat="false" ht="15" hidden="true" customHeight="true" outlineLevel="0" collapsed="false">
      <c r="A569" s="0" t="str">
        <f aca="false">IF('Formation Initiale'!$A171="","",'Formation Initiale'!$A171)</f>
        <v/>
      </c>
      <c r="B569" s="0" t="str">
        <f aca="false">IF($A569="","",'Formation Initiale'!$E171)</f>
        <v/>
      </c>
      <c r="C569" s="0" t="str">
        <f aca="false">IF($A569="","",'Formation Initiale'!$F171)</f>
        <v/>
      </c>
      <c r="D569" s="0" t="str">
        <f aca="false">IF($A569="","",IF('Formation Initiale'!$F171="Lisbonne","B2C (Initiale)","B2C+B2B (Initiale)"))</f>
        <v/>
      </c>
      <c r="E569" s="0" t="str">
        <f aca="false">IF($A569="","",'Formation Initiale'!$B171)</f>
        <v/>
      </c>
      <c r="F569" s="116" t="str">
        <f aca="false">IF($A569="","",'Formation Initiale'!$G171)</f>
        <v/>
      </c>
      <c r="G569" s="116" t="str">
        <f aca="false">IF($A569="","",'Formation Initiale'!$H171)</f>
        <v/>
      </c>
      <c r="H569" s="0" t="str">
        <f aca="false">IF($A569="","",'Formation Initiale'!$L171)</f>
        <v/>
      </c>
      <c r="I569" s="0" t="str">
        <f aca="false">IF($A569="","",'Formation Initiale'!$R171)</f>
        <v/>
      </c>
      <c r="K569" s="104" t="n">
        <f aca="false">IF(A569="",0,IF(IFERROR(VLOOKUP(A569,Skills!$A:$M,13,FALSE()),"")="COS",0,IF(OR(I569="En cours",I569="À venir",I569="À planifier"),IF(AND(OR($C$3="Tous",$C$3="",C569=$C$3),OR($E$3="Tous",$E$3="",I569=$E$3)),1,0),0)))</f>
        <v>0</v>
      </c>
      <c r="L569" s="104" t="n">
        <f aca="false">L568+K569</f>
        <v>15</v>
      </c>
    </row>
    <row r="570" customFormat="false" ht="15" hidden="true" customHeight="true" outlineLevel="0" collapsed="false">
      <c r="A570" s="0" t="str">
        <f aca="false">IF('Formation Initiale'!$A172="","",'Formation Initiale'!$A172)</f>
        <v/>
      </c>
      <c r="B570" s="0" t="str">
        <f aca="false">IF($A570="","",'Formation Initiale'!$E172)</f>
        <v/>
      </c>
      <c r="C570" s="0" t="str">
        <f aca="false">IF($A570="","",'Formation Initiale'!$F172)</f>
        <v/>
      </c>
      <c r="D570" s="0" t="str">
        <f aca="false">IF($A570="","",IF('Formation Initiale'!$F172="Lisbonne","B2C (Initiale)","B2C+B2B (Initiale)"))</f>
        <v/>
      </c>
      <c r="E570" s="0" t="str">
        <f aca="false">IF($A570="","",'Formation Initiale'!$B172)</f>
        <v/>
      </c>
      <c r="F570" s="116" t="str">
        <f aca="false">IF($A570="","",'Formation Initiale'!$G172)</f>
        <v/>
      </c>
      <c r="G570" s="116" t="str">
        <f aca="false">IF($A570="","",'Formation Initiale'!$H172)</f>
        <v/>
      </c>
      <c r="H570" s="0" t="str">
        <f aca="false">IF($A570="","",'Formation Initiale'!$L172)</f>
        <v/>
      </c>
      <c r="I570" s="0" t="str">
        <f aca="false">IF($A570="","",'Formation Initiale'!$R172)</f>
        <v/>
      </c>
      <c r="K570" s="104" t="n">
        <f aca="false">IF(A570="",0,IF(IFERROR(VLOOKUP(A570,Skills!$A:$M,13,FALSE()),"")="COS",0,IF(OR(I570="En cours",I570="À venir",I570="À planifier"),IF(AND(OR($C$3="Tous",$C$3="",C570=$C$3),OR($E$3="Tous",$E$3="",I570=$E$3)),1,0),0)))</f>
        <v>0</v>
      </c>
      <c r="L570" s="104" t="n">
        <f aca="false">L569+K570</f>
        <v>15</v>
      </c>
    </row>
    <row r="571" customFormat="false" ht="15" hidden="true" customHeight="true" outlineLevel="0" collapsed="false">
      <c r="A571" s="0" t="str">
        <f aca="false">IF('Formation Initiale'!$A173="","",'Formation Initiale'!$A173)</f>
        <v/>
      </c>
      <c r="B571" s="0" t="str">
        <f aca="false">IF($A571="","",'Formation Initiale'!$E173)</f>
        <v/>
      </c>
      <c r="C571" s="0" t="str">
        <f aca="false">IF($A571="","",'Formation Initiale'!$F173)</f>
        <v/>
      </c>
      <c r="D571" s="0" t="str">
        <f aca="false">IF($A571="","",IF('Formation Initiale'!$F173="Lisbonne","B2C (Initiale)","B2C+B2B (Initiale)"))</f>
        <v/>
      </c>
      <c r="E571" s="0" t="str">
        <f aca="false">IF($A571="","",'Formation Initiale'!$B173)</f>
        <v/>
      </c>
      <c r="F571" s="116" t="str">
        <f aca="false">IF($A571="","",'Formation Initiale'!$G173)</f>
        <v/>
      </c>
      <c r="G571" s="116" t="str">
        <f aca="false">IF($A571="","",'Formation Initiale'!$H173)</f>
        <v/>
      </c>
      <c r="H571" s="0" t="str">
        <f aca="false">IF($A571="","",'Formation Initiale'!$L173)</f>
        <v/>
      </c>
      <c r="I571" s="0" t="str">
        <f aca="false">IF($A571="","",'Formation Initiale'!$R173)</f>
        <v/>
      </c>
      <c r="K571" s="104" t="n">
        <f aca="false">IF(A571="",0,IF(IFERROR(VLOOKUP(A571,Skills!$A:$M,13,FALSE()),"")="COS",0,IF(OR(I571="En cours",I571="À venir",I571="À planifier"),IF(AND(OR($C$3="Tous",$C$3="",C571=$C$3),OR($E$3="Tous",$E$3="",I571=$E$3)),1,0),0)))</f>
        <v>0</v>
      </c>
      <c r="L571" s="104" t="n">
        <f aca="false">L570+K571</f>
        <v>15</v>
      </c>
    </row>
    <row r="572" customFormat="false" ht="15" hidden="true" customHeight="true" outlineLevel="0" collapsed="false">
      <c r="A572" s="0" t="str">
        <f aca="false">IF('Formation Initiale'!$A174="","",'Formation Initiale'!$A174)</f>
        <v/>
      </c>
      <c r="B572" s="0" t="str">
        <f aca="false">IF($A572="","",'Formation Initiale'!$E174)</f>
        <v/>
      </c>
      <c r="C572" s="0" t="str">
        <f aca="false">IF($A572="","",'Formation Initiale'!$F174)</f>
        <v/>
      </c>
      <c r="D572" s="0" t="str">
        <f aca="false">IF($A572="","",IF('Formation Initiale'!$F174="Lisbonne","B2C (Initiale)","B2C+B2B (Initiale)"))</f>
        <v/>
      </c>
      <c r="E572" s="0" t="str">
        <f aca="false">IF($A572="","",'Formation Initiale'!$B174)</f>
        <v/>
      </c>
      <c r="F572" s="116" t="str">
        <f aca="false">IF($A572="","",'Formation Initiale'!$G174)</f>
        <v/>
      </c>
      <c r="G572" s="116" t="str">
        <f aca="false">IF($A572="","",'Formation Initiale'!$H174)</f>
        <v/>
      </c>
      <c r="H572" s="0" t="str">
        <f aca="false">IF($A572="","",'Formation Initiale'!$L174)</f>
        <v/>
      </c>
      <c r="I572" s="0" t="str">
        <f aca="false">IF($A572="","",'Formation Initiale'!$R174)</f>
        <v/>
      </c>
      <c r="K572" s="104" t="n">
        <f aca="false">IF(A572="",0,IF(IFERROR(VLOOKUP(A572,Skills!$A:$M,13,FALSE()),"")="COS",0,IF(OR(I572="En cours",I572="À venir",I572="À planifier"),IF(AND(OR($C$3="Tous",$C$3="",C572=$C$3),OR($E$3="Tous",$E$3="",I572=$E$3)),1,0),0)))</f>
        <v>0</v>
      </c>
      <c r="L572" s="104" t="n">
        <f aca="false">L571+K572</f>
        <v>15</v>
      </c>
    </row>
    <row r="573" customFormat="false" ht="15" hidden="true" customHeight="true" outlineLevel="0" collapsed="false">
      <c r="A573" s="0" t="str">
        <f aca="false">IF('Formation Initiale'!$A175="","",'Formation Initiale'!$A175)</f>
        <v/>
      </c>
      <c r="B573" s="0" t="str">
        <f aca="false">IF($A573="","",'Formation Initiale'!$E175)</f>
        <v/>
      </c>
      <c r="C573" s="0" t="str">
        <f aca="false">IF($A573="","",'Formation Initiale'!$F175)</f>
        <v/>
      </c>
      <c r="D573" s="0" t="str">
        <f aca="false">IF($A573="","",IF('Formation Initiale'!$F175="Lisbonne","B2C (Initiale)","B2C+B2B (Initiale)"))</f>
        <v/>
      </c>
      <c r="E573" s="0" t="str">
        <f aca="false">IF($A573="","",'Formation Initiale'!$B175)</f>
        <v/>
      </c>
      <c r="F573" s="116" t="str">
        <f aca="false">IF($A573="","",'Formation Initiale'!$G175)</f>
        <v/>
      </c>
      <c r="G573" s="116" t="str">
        <f aca="false">IF($A573="","",'Formation Initiale'!$H175)</f>
        <v/>
      </c>
      <c r="H573" s="0" t="str">
        <f aca="false">IF($A573="","",'Formation Initiale'!$L175)</f>
        <v/>
      </c>
      <c r="I573" s="0" t="str">
        <f aca="false">IF($A573="","",'Formation Initiale'!$R175)</f>
        <v/>
      </c>
      <c r="K573" s="104" t="n">
        <f aca="false">IF(A573="",0,IF(IFERROR(VLOOKUP(A573,Skills!$A:$M,13,FALSE()),"")="COS",0,IF(OR(I573="En cours",I573="À venir",I573="À planifier"),IF(AND(OR($C$3="Tous",$C$3="",C573=$C$3),OR($E$3="Tous",$E$3="",I573=$E$3)),1,0),0)))</f>
        <v>0</v>
      </c>
      <c r="L573" s="104" t="n">
        <f aca="false">L572+K573</f>
        <v>15</v>
      </c>
    </row>
    <row r="574" customFormat="false" ht="15" hidden="true" customHeight="true" outlineLevel="0" collapsed="false">
      <c r="A574" s="0" t="str">
        <f aca="false">IF('Formation Initiale'!$A176="","",'Formation Initiale'!$A176)</f>
        <v/>
      </c>
      <c r="B574" s="0" t="str">
        <f aca="false">IF($A574="","",'Formation Initiale'!$E176)</f>
        <v/>
      </c>
      <c r="C574" s="0" t="str">
        <f aca="false">IF($A574="","",'Formation Initiale'!$F176)</f>
        <v/>
      </c>
      <c r="D574" s="0" t="str">
        <f aca="false">IF($A574="","",IF('Formation Initiale'!$F176="Lisbonne","B2C (Initiale)","B2C+B2B (Initiale)"))</f>
        <v/>
      </c>
      <c r="E574" s="0" t="str">
        <f aca="false">IF($A574="","",'Formation Initiale'!$B176)</f>
        <v/>
      </c>
      <c r="F574" s="116" t="str">
        <f aca="false">IF($A574="","",'Formation Initiale'!$G176)</f>
        <v/>
      </c>
      <c r="G574" s="116" t="str">
        <f aca="false">IF($A574="","",'Formation Initiale'!$H176)</f>
        <v/>
      </c>
      <c r="H574" s="0" t="str">
        <f aca="false">IF($A574="","",'Formation Initiale'!$L176)</f>
        <v/>
      </c>
      <c r="I574" s="0" t="str">
        <f aca="false">IF($A574="","",'Formation Initiale'!$R176)</f>
        <v/>
      </c>
      <c r="K574" s="104" t="n">
        <f aca="false">IF(A574="",0,IF(IFERROR(VLOOKUP(A574,Skills!$A:$M,13,FALSE()),"")="COS",0,IF(OR(I574="En cours",I574="À venir",I574="À planifier"),IF(AND(OR($C$3="Tous",$C$3="",C574=$C$3),OR($E$3="Tous",$E$3="",I574=$E$3)),1,0),0)))</f>
        <v>0</v>
      </c>
      <c r="L574" s="104" t="n">
        <f aca="false">L573+K574</f>
        <v>15</v>
      </c>
    </row>
    <row r="575" customFormat="false" ht="15" hidden="true" customHeight="true" outlineLevel="0" collapsed="false">
      <c r="A575" s="0" t="str">
        <f aca="false">IF('Formation Initiale'!$A177="","",'Formation Initiale'!$A177)</f>
        <v/>
      </c>
      <c r="B575" s="0" t="str">
        <f aca="false">IF($A575="","",'Formation Initiale'!$E177)</f>
        <v/>
      </c>
      <c r="C575" s="0" t="str">
        <f aca="false">IF($A575="","",'Formation Initiale'!$F177)</f>
        <v/>
      </c>
      <c r="D575" s="0" t="str">
        <f aca="false">IF($A575="","",IF('Formation Initiale'!$F177="Lisbonne","B2C (Initiale)","B2C+B2B (Initiale)"))</f>
        <v/>
      </c>
      <c r="E575" s="0" t="str">
        <f aca="false">IF($A575="","",'Formation Initiale'!$B177)</f>
        <v/>
      </c>
      <c r="F575" s="116" t="str">
        <f aca="false">IF($A575="","",'Formation Initiale'!$G177)</f>
        <v/>
      </c>
      <c r="G575" s="116" t="str">
        <f aca="false">IF($A575="","",'Formation Initiale'!$H177)</f>
        <v/>
      </c>
      <c r="H575" s="0" t="str">
        <f aca="false">IF($A575="","",'Formation Initiale'!$L177)</f>
        <v/>
      </c>
      <c r="I575" s="0" t="str">
        <f aca="false">IF($A575="","",'Formation Initiale'!$R177)</f>
        <v/>
      </c>
      <c r="K575" s="104" t="n">
        <f aca="false">IF(A575="",0,IF(IFERROR(VLOOKUP(A575,Skills!$A:$M,13,FALSE()),"")="COS",0,IF(OR(I575="En cours",I575="À venir",I575="À planifier"),IF(AND(OR($C$3="Tous",$C$3="",C575=$C$3),OR($E$3="Tous",$E$3="",I575=$E$3)),1,0),0)))</f>
        <v>0</v>
      </c>
      <c r="L575" s="104" t="n">
        <f aca="false">L574+K575</f>
        <v>15</v>
      </c>
    </row>
    <row r="576" customFormat="false" ht="15" hidden="true" customHeight="true" outlineLevel="0" collapsed="false">
      <c r="A576" s="0" t="str">
        <f aca="false">IF('Formation Initiale'!$A178="","",'Formation Initiale'!$A178)</f>
        <v/>
      </c>
      <c r="B576" s="0" t="str">
        <f aca="false">IF($A576="","",'Formation Initiale'!$E178)</f>
        <v/>
      </c>
      <c r="C576" s="0" t="str">
        <f aca="false">IF($A576="","",'Formation Initiale'!$F178)</f>
        <v/>
      </c>
      <c r="D576" s="0" t="str">
        <f aca="false">IF($A576="","",IF('Formation Initiale'!$F178="Lisbonne","B2C (Initiale)","B2C+B2B (Initiale)"))</f>
        <v/>
      </c>
      <c r="E576" s="0" t="str">
        <f aca="false">IF($A576="","",'Formation Initiale'!$B178)</f>
        <v/>
      </c>
      <c r="F576" s="116" t="str">
        <f aca="false">IF($A576="","",'Formation Initiale'!$G178)</f>
        <v/>
      </c>
      <c r="G576" s="116" t="str">
        <f aca="false">IF($A576="","",'Formation Initiale'!$H178)</f>
        <v/>
      </c>
      <c r="H576" s="0" t="str">
        <f aca="false">IF($A576="","",'Formation Initiale'!$L178)</f>
        <v/>
      </c>
      <c r="I576" s="0" t="str">
        <f aca="false">IF($A576="","",'Formation Initiale'!$R178)</f>
        <v/>
      </c>
      <c r="K576" s="104" t="n">
        <f aca="false">IF(A576="",0,IF(IFERROR(VLOOKUP(A576,Skills!$A:$M,13,FALSE()),"")="COS",0,IF(OR(I576="En cours",I576="À venir",I576="À planifier"),IF(AND(OR($C$3="Tous",$C$3="",C576=$C$3),OR($E$3="Tous",$E$3="",I576=$E$3)),1,0),0)))</f>
        <v>0</v>
      </c>
      <c r="L576" s="104" t="n">
        <f aca="false">L575+K576</f>
        <v>15</v>
      </c>
    </row>
    <row r="577" customFormat="false" ht="15" hidden="true" customHeight="true" outlineLevel="0" collapsed="false">
      <c r="A577" s="0" t="str">
        <f aca="false">IF('Formation Initiale'!$A179="","",'Formation Initiale'!$A179)</f>
        <v/>
      </c>
      <c r="B577" s="0" t="str">
        <f aca="false">IF($A577="","",'Formation Initiale'!$E179)</f>
        <v/>
      </c>
      <c r="C577" s="0" t="str">
        <f aca="false">IF($A577="","",'Formation Initiale'!$F179)</f>
        <v/>
      </c>
      <c r="D577" s="0" t="str">
        <f aca="false">IF($A577="","",IF('Formation Initiale'!$F179="Lisbonne","B2C (Initiale)","B2C+B2B (Initiale)"))</f>
        <v/>
      </c>
      <c r="E577" s="0" t="str">
        <f aca="false">IF($A577="","",'Formation Initiale'!$B179)</f>
        <v/>
      </c>
      <c r="F577" s="116" t="str">
        <f aca="false">IF($A577="","",'Formation Initiale'!$G179)</f>
        <v/>
      </c>
      <c r="G577" s="116" t="str">
        <f aca="false">IF($A577="","",'Formation Initiale'!$H179)</f>
        <v/>
      </c>
      <c r="H577" s="0" t="str">
        <f aca="false">IF($A577="","",'Formation Initiale'!$L179)</f>
        <v/>
      </c>
      <c r="I577" s="0" t="str">
        <f aca="false">IF($A577="","",'Formation Initiale'!$R179)</f>
        <v/>
      </c>
      <c r="K577" s="104" t="n">
        <f aca="false">IF(A577="",0,IF(IFERROR(VLOOKUP(A577,Skills!$A:$M,13,FALSE()),"")="COS",0,IF(OR(I577="En cours",I577="À venir",I577="À planifier"),IF(AND(OR($C$3="Tous",$C$3="",C577=$C$3),OR($E$3="Tous",$E$3="",I577=$E$3)),1,0),0)))</f>
        <v>0</v>
      </c>
      <c r="L577" s="104" t="n">
        <f aca="false">L576+K577</f>
        <v>15</v>
      </c>
    </row>
    <row r="578" customFormat="false" ht="15" hidden="true" customHeight="true" outlineLevel="0" collapsed="false">
      <c r="A578" s="0" t="str">
        <f aca="false">IF('Formation Initiale'!$A180="","",'Formation Initiale'!$A180)</f>
        <v/>
      </c>
      <c r="B578" s="0" t="str">
        <f aca="false">IF($A578="","",'Formation Initiale'!$E180)</f>
        <v/>
      </c>
      <c r="C578" s="0" t="str">
        <f aca="false">IF($A578="","",'Formation Initiale'!$F180)</f>
        <v/>
      </c>
      <c r="D578" s="0" t="str">
        <f aca="false">IF($A578="","",IF('Formation Initiale'!$F180="Lisbonne","B2C (Initiale)","B2C+B2B (Initiale)"))</f>
        <v/>
      </c>
      <c r="E578" s="0" t="str">
        <f aca="false">IF($A578="","",'Formation Initiale'!$B180)</f>
        <v/>
      </c>
      <c r="F578" s="116" t="str">
        <f aca="false">IF($A578="","",'Formation Initiale'!$G180)</f>
        <v/>
      </c>
      <c r="G578" s="116" t="str">
        <f aca="false">IF($A578="","",'Formation Initiale'!$H180)</f>
        <v/>
      </c>
      <c r="H578" s="0" t="str">
        <f aca="false">IF($A578="","",'Formation Initiale'!$L180)</f>
        <v/>
      </c>
      <c r="I578" s="0" t="str">
        <f aca="false">IF($A578="","",'Formation Initiale'!$R180)</f>
        <v/>
      </c>
      <c r="K578" s="104" t="n">
        <f aca="false">IF(A578="",0,IF(IFERROR(VLOOKUP(A578,Skills!$A:$M,13,FALSE()),"")="COS",0,IF(OR(I578="En cours",I578="À venir",I578="À planifier"),IF(AND(OR($C$3="Tous",$C$3="",C578=$C$3),OR($E$3="Tous",$E$3="",I578=$E$3)),1,0),0)))</f>
        <v>0</v>
      </c>
      <c r="L578" s="104" t="n">
        <f aca="false">L577+K578</f>
        <v>15</v>
      </c>
    </row>
    <row r="579" customFormat="false" ht="15" hidden="true" customHeight="true" outlineLevel="0" collapsed="false">
      <c r="A579" s="0" t="str">
        <f aca="false">IF('Formation Initiale'!$A181="","",'Formation Initiale'!$A181)</f>
        <v/>
      </c>
      <c r="B579" s="0" t="str">
        <f aca="false">IF($A579="","",'Formation Initiale'!$E181)</f>
        <v/>
      </c>
      <c r="C579" s="0" t="str">
        <f aca="false">IF($A579="","",'Formation Initiale'!$F181)</f>
        <v/>
      </c>
      <c r="D579" s="0" t="str">
        <f aca="false">IF($A579="","",IF('Formation Initiale'!$F181="Lisbonne","B2C (Initiale)","B2C+B2B (Initiale)"))</f>
        <v/>
      </c>
      <c r="E579" s="0" t="str">
        <f aca="false">IF($A579="","",'Formation Initiale'!$B181)</f>
        <v/>
      </c>
      <c r="F579" s="116" t="str">
        <f aca="false">IF($A579="","",'Formation Initiale'!$G181)</f>
        <v/>
      </c>
      <c r="G579" s="116" t="str">
        <f aca="false">IF($A579="","",'Formation Initiale'!$H181)</f>
        <v/>
      </c>
      <c r="H579" s="0" t="str">
        <f aca="false">IF($A579="","",'Formation Initiale'!$L181)</f>
        <v/>
      </c>
      <c r="I579" s="0" t="str">
        <f aca="false">IF($A579="","",'Formation Initiale'!$R181)</f>
        <v/>
      </c>
      <c r="K579" s="104" t="n">
        <f aca="false">IF(A579="",0,IF(IFERROR(VLOOKUP(A579,Skills!$A:$M,13,FALSE()),"")="COS",0,IF(OR(I579="En cours",I579="À venir",I579="À planifier"),IF(AND(OR($C$3="Tous",$C$3="",C579=$C$3),OR($E$3="Tous",$E$3="",I579=$E$3)),1,0),0)))</f>
        <v>0</v>
      </c>
      <c r="L579" s="104" t="n">
        <f aca="false">L578+K579</f>
        <v>15</v>
      </c>
    </row>
    <row r="580" customFormat="false" ht="15" hidden="true" customHeight="true" outlineLevel="0" collapsed="false">
      <c r="A580" s="0" t="str">
        <f aca="false">IF('Formation Initiale'!$A182="","",'Formation Initiale'!$A182)</f>
        <v/>
      </c>
      <c r="B580" s="0" t="str">
        <f aca="false">IF($A580="","",'Formation Initiale'!$E182)</f>
        <v/>
      </c>
      <c r="C580" s="0" t="str">
        <f aca="false">IF($A580="","",'Formation Initiale'!$F182)</f>
        <v/>
      </c>
      <c r="D580" s="0" t="str">
        <f aca="false">IF($A580="","",IF('Formation Initiale'!$F182="Lisbonne","B2C (Initiale)","B2C+B2B (Initiale)"))</f>
        <v/>
      </c>
      <c r="E580" s="0" t="str">
        <f aca="false">IF($A580="","",'Formation Initiale'!$B182)</f>
        <v/>
      </c>
      <c r="F580" s="116" t="str">
        <f aca="false">IF($A580="","",'Formation Initiale'!$G182)</f>
        <v/>
      </c>
      <c r="G580" s="116" t="str">
        <f aca="false">IF($A580="","",'Formation Initiale'!$H182)</f>
        <v/>
      </c>
      <c r="H580" s="0" t="str">
        <f aca="false">IF($A580="","",'Formation Initiale'!$L182)</f>
        <v/>
      </c>
      <c r="I580" s="0" t="str">
        <f aca="false">IF($A580="","",'Formation Initiale'!$R182)</f>
        <v/>
      </c>
      <c r="K580" s="104" t="n">
        <f aca="false">IF(A580="",0,IF(IFERROR(VLOOKUP(A580,Skills!$A:$M,13,FALSE()),"")="COS",0,IF(OR(I580="En cours",I580="À venir",I580="À planifier"),IF(AND(OR($C$3="Tous",$C$3="",C580=$C$3),OR($E$3="Tous",$E$3="",I580=$E$3)),1,0),0)))</f>
        <v>0</v>
      </c>
      <c r="L580" s="104" t="n">
        <f aca="false">L579+K580</f>
        <v>15</v>
      </c>
    </row>
    <row r="581" customFormat="false" ht="15" hidden="true" customHeight="true" outlineLevel="0" collapsed="false">
      <c r="A581" s="0" t="str">
        <f aca="false">IF('Formation Initiale'!$A183="","",'Formation Initiale'!$A183)</f>
        <v/>
      </c>
      <c r="B581" s="0" t="str">
        <f aca="false">IF($A581="","",'Formation Initiale'!$E183)</f>
        <v/>
      </c>
      <c r="C581" s="0" t="str">
        <f aca="false">IF($A581="","",'Formation Initiale'!$F183)</f>
        <v/>
      </c>
      <c r="D581" s="0" t="str">
        <f aca="false">IF($A581="","",IF('Formation Initiale'!$F183="Lisbonne","B2C (Initiale)","B2C+B2B (Initiale)"))</f>
        <v/>
      </c>
      <c r="E581" s="0" t="str">
        <f aca="false">IF($A581="","",'Formation Initiale'!$B183)</f>
        <v/>
      </c>
      <c r="F581" s="116" t="str">
        <f aca="false">IF($A581="","",'Formation Initiale'!$G183)</f>
        <v/>
      </c>
      <c r="G581" s="116" t="str">
        <f aca="false">IF($A581="","",'Formation Initiale'!$H183)</f>
        <v/>
      </c>
      <c r="H581" s="0" t="str">
        <f aca="false">IF($A581="","",'Formation Initiale'!$L183)</f>
        <v/>
      </c>
      <c r="I581" s="0" t="str">
        <f aca="false">IF($A581="","",'Formation Initiale'!$R183)</f>
        <v/>
      </c>
      <c r="K581" s="104" t="n">
        <f aca="false">IF(A581="",0,IF(IFERROR(VLOOKUP(A581,Skills!$A:$M,13,FALSE()),"")="COS",0,IF(OR(I581="En cours",I581="À venir",I581="À planifier"),IF(AND(OR($C$3="Tous",$C$3="",C581=$C$3),OR($E$3="Tous",$E$3="",I581=$E$3)),1,0),0)))</f>
        <v>0</v>
      </c>
      <c r="L581" s="104" t="n">
        <f aca="false">L580+K581</f>
        <v>15</v>
      </c>
    </row>
    <row r="582" customFormat="false" ht="15" hidden="true" customHeight="true" outlineLevel="0" collapsed="false">
      <c r="A582" s="0" t="str">
        <f aca="false">IF('Formation Initiale'!$A184="","",'Formation Initiale'!$A184)</f>
        <v/>
      </c>
      <c r="B582" s="0" t="str">
        <f aca="false">IF($A582="","",'Formation Initiale'!$E184)</f>
        <v/>
      </c>
      <c r="C582" s="0" t="str">
        <f aca="false">IF($A582="","",'Formation Initiale'!$F184)</f>
        <v/>
      </c>
      <c r="D582" s="0" t="str">
        <f aca="false">IF($A582="","",IF('Formation Initiale'!$F184="Lisbonne","B2C (Initiale)","B2C+B2B (Initiale)"))</f>
        <v/>
      </c>
      <c r="E582" s="0" t="str">
        <f aca="false">IF($A582="","",'Formation Initiale'!$B184)</f>
        <v/>
      </c>
      <c r="F582" s="116" t="str">
        <f aca="false">IF($A582="","",'Formation Initiale'!$G184)</f>
        <v/>
      </c>
      <c r="G582" s="116" t="str">
        <f aca="false">IF($A582="","",'Formation Initiale'!$H184)</f>
        <v/>
      </c>
      <c r="H582" s="0" t="str">
        <f aca="false">IF($A582="","",'Formation Initiale'!$L184)</f>
        <v/>
      </c>
      <c r="I582" s="0" t="str">
        <f aca="false">IF($A582="","",'Formation Initiale'!$R184)</f>
        <v/>
      </c>
      <c r="K582" s="104" t="n">
        <f aca="false">IF(A582="",0,IF(IFERROR(VLOOKUP(A582,Skills!$A:$M,13,FALSE()),"")="COS",0,IF(OR(I582="En cours",I582="À venir",I582="À planifier"),IF(AND(OR($C$3="Tous",$C$3="",C582=$C$3),OR($E$3="Tous",$E$3="",I582=$E$3)),1,0),0)))</f>
        <v>0</v>
      </c>
      <c r="L582" s="104" t="n">
        <f aca="false">L581+K582</f>
        <v>15</v>
      </c>
    </row>
    <row r="583" customFormat="false" ht="15" hidden="true" customHeight="true" outlineLevel="0" collapsed="false">
      <c r="A583" s="0" t="str">
        <f aca="false">IF('Formation Initiale'!$A185="","",'Formation Initiale'!$A185)</f>
        <v/>
      </c>
      <c r="B583" s="0" t="str">
        <f aca="false">IF($A583="","",'Formation Initiale'!$E185)</f>
        <v/>
      </c>
      <c r="C583" s="0" t="str">
        <f aca="false">IF($A583="","",'Formation Initiale'!$F185)</f>
        <v/>
      </c>
      <c r="D583" s="0" t="str">
        <f aca="false">IF($A583="","",IF('Formation Initiale'!$F185="Lisbonne","B2C (Initiale)","B2C+B2B (Initiale)"))</f>
        <v/>
      </c>
      <c r="E583" s="0" t="str">
        <f aca="false">IF($A583="","",'Formation Initiale'!$B185)</f>
        <v/>
      </c>
      <c r="F583" s="116" t="str">
        <f aca="false">IF($A583="","",'Formation Initiale'!$G185)</f>
        <v/>
      </c>
      <c r="G583" s="116" t="str">
        <f aca="false">IF($A583="","",'Formation Initiale'!$H185)</f>
        <v/>
      </c>
      <c r="H583" s="0" t="str">
        <f aca="false">IF($A583="","",'Formation Initiale'!$L185)</f>
        <v/>
      </c>
      <c r="I583" s="0" t="str">
        <f aca="false">IF($A583="","",'Formation Initiale'!$R185)</f>
        <v/>
      </c>
      <c r="K583" s="104" t="n">
        <f aca="false">IF(A583="",0,IF(IFERROR(VLOOKUP(A583,Skills!$A:$M,13,FALSE()),"")="COS",0,IF(OR(I583="En cours",I583="À venir",I583="À planifier"),IF(AND(OR($C$3="Tous",$C$3="",C583=$C$3),OR($E$3="Tous",$E$3="",I583=$E$3)),1,0),0)))</f>
        <v>0</v>
      </c>
      <c r="L583" s="104" t="n">
        <f aca="false">L582+K583</f>
        <v>15</v>
      </c>
    </row>
    <row r="584" customFormat="false" ht="15" hidden="true" customHeight="true" outlineLevel="0" collapsed="false">
      <c r="A584" s="0" t="str">
        <f aca="false">IF('Formation Initiale'!$A186="","",'Formation Initiale'!$A186)</f>
        <v/>
      </c>
      <c r="B584" s="0" t="str">
        <f aca="false">IF($A584="","",'Formation Initiale'!$E186)</f>
        <v/>
      </c>
      <c r="C584" s="0" t="str">
        <f aca="false">IF($A584="","",'Formation Initiale'!$F186)</f>
        <v/>
      </c>
      <c r="D584" s="0" t="str">
        <f aca="false">IF($A584="","",IF('Formation Initiale'!$F186="Lisbonne","B2C (Initiale)","B2C+B2B (Initiale)"))</f>
        <v/>
      </c>
      <c r="E584" s="0" t="str">
        <f aca="false">IF($A584="","",'Formation Initiale'!$B186)</f>
        <v/>
      </c>
      <c r="F584" s="116" t="str">
        <f aca="false">IF($A584="","",'Formation Initiale'!$G186)</f>
        <v/>
      </c>
      <c r="G584" s="116" t="str">
        <f aca="false">IF($A584="","",'Formation Initiale'!$H186)</f>
        <v/>
      </c>
      <c r="H584" s="0" t="str">
        <f aca="false">IF($A584="","",'Formation Initiale'!$L186)</f>
        <v/>
      </c>
      <c r="I584" s="0" t="str">
        <f aca="false">IF($A584="","",'Formation Initiale'!$R186)</f>
        <v/>
      </c>
      <c r="K584" s="104" t="n">
        <f aca="false">IF(A584="",0,IF(IFERROR(VLOOKUP(A584,Skills!$A:$M,13,FALSE()),"")="COS",0,IF(OR(I584="En cours",I584="À venir",I584="À planifier"),IF(AND(OR($C$3="Tous",$C$3="",C584=$C$3),OR($E$3="Tous",$E$3="",I584=$E$3)),1,0),0)))</f>
        <v>0</v>
      </c>
      <c r="L584" s="104" t="n">
        <f aca="false">L583+K584</f>
        <v>15</v>
      </c>
    </row>
    <row r="585" customFormat="false" ht="15" hidden="true" customHeight="true" outlineLevel="0" collapsed="false">
      <c r="A585" s="0" t="str">
        <f aca="false">IF('Formation Initiale'!$A187="","",'Formation Initiale'!$A187)</f>
        <v/>
      </c>
      <c r="B585" s="0" t="str">
        <f aca="false">IF($A585="","",'Formation Initiale'!$E187)</f>
        <v/>
      </c>
      <c r="C585" s="0" t="str">
        <f aca="false">IF($A585="","",'Formation Initiale'!$F187)</f>
        <v/>
      </c>
      <c r="D585" s="0" t="str">
        <f aca="false">IF($A585="","",IF('Formation Initiale'!$F187="Lisbonne","B2C (Initiale)","B2C+B2B (Initiale)"))</f>
        <v/>
      </c>
      <c r="E585" s="0" t="str">
        <f aca="false">IF($A585="","",'Formation Initiale'!$B187)</f>
        <v/>
      </c>
      <c r="F585" s="116" t="str">
        <f aca="false">IF($A585="","",'Formation Initiale'!$G187)</f>
        <v/>
      </c>
      <c r="G585" s="116" t="str">
        <f aca="false">IF($A585="","",'Formation Initiale'!$H187)</f>
        <v/>
      </c>
      <c r="H585" s="0" t="str">
        <f aca="false">IF($A585="","",'Formation Initiale'!$L187)</f>
        <v/>
      </c>
      <c r="I585" s="0" t="str">
        <f aca="false">IF($A585="","",'Formation Initiale'!$R187)</f>
        <v/>
      </c>
      <c r="K585" s="104" t="n">
        <f aca="false">IF(A585="",0,IF(IFERROR(VLOOKUP(A585,Skills!$A:$M,13,FALSE()),"")="COS",0,IF(OR(I585="En cours",I585="À venir",I585="À planifier"),IF(AND(OR($C$3="Tous",$C$3="",C585=$C$3),OR($E$3="Tous",$E$3="",I585=$E$3)),1,0),0)))</f>
        <v>0</v>
      </c>
      <c r="L585" s="104" t="n">
        <f aca="false">L584+K585</f>
        <v>15</v>
      </c>
    </row>
    <row r="586" customFormat="false" ht="15" hidden="true" customHeight="true" outlineLevel="0" collapsed="false">
      <c r="A586" s="0" t="str">
        <f aca="false">IF('Formation Initiale'!$A188="","",'Formation Initiale'!$A188)</f>
        <v/>
      </c>
      <c r="B586" s="0" t="str">
        <f aca="false">IF($A586="","",'Formation Initiale'!$E188)</f>
        <v/>
      </c>
      <c r="C586" s="0" t="str">
        <f aca="false">IF($A586="","",'Formation Initiale'!$F188)</f>
        <v/>
      </c>
      <c r="D586" s="0" t="str">
        <f aca="false">IF($A586="","",IF('Formation Initiale'!$F188="Lisbonne","B2C (Initiale)","B2C+B2B (Initiale)"))</f>
        <v/>
      </c>
      <c r="E586" s="0" t="str">
        <f aca="false">IF($A586="","",'Formation Initiale'!$B188)</f>
        <v/>
      </c>
      <c r="F586" s="116" t="str">
        <f aca="false">IF($A586="","",'Formation Initiale'!$G188)</f>
        <v/>
      </c>
      <c r="G586" s="116" t="str">
        <f aca="false">IF($A586="","",'Formation Initiale'!$H188)</f>
        <v/>
      </c>
      <c r="H586" s="0" t="str">
        <f aca="false">IF($A586="","",'Formation Initiale'!$L188)</f>
        <v/>
      </c>
      <c r="I586" s="0" t="str">
        <f aca="false">IF($A586="","",'Formation Initiale'!$R188)</f>
        <v/>
      </c>
      <c r="K586" s="104" t="n">
        <f aca="false">IF(A586="",0,IF(IFERROR(VLOOKUP(A586,Skills!$A:$M,13,FALSE()),"")="COS",0,IF(OR(I586="En cours",I586="À venir",I586="À planifier"),IF(AND(OR($C$3="Tous",$C$3="",C586=$C$3),OR($E$3="Tous",$E$3="",I586=$E$3)),1,0),0)))</f>
        <v>0</v>
      </c>
      <c r="L586" s="104" t="n">
        <f aca="false">L585+K586</f>
        <v>15</v>
      </c>
    </row>
    <row r="587" customFormat="false" ht="15" hidden="true" customHeight="true" outlineLevel="0" collapsed="false">
      <c r="A587" s="0" t="str">
        <f aca="false">IF('Formation Initiale'!$A189="","",'Formation Initiale'!$A189)</f>
        <v/>
      </c>
      <c r="B587" s="0" t="str">
        <f aca="false">IF($A587="","",'Formation Initiale'!$E189)</f>
        <v/>
      </c>
      <c r="C587" s="0" t="str">
        <f aca="false">IF($A587="","",'Formation Initiale'!$F189)</f>
        <v/>
      </c>
      <c r="D587" s="0" t="str">
        <f aca="false">IF($A587="","",IF('Formation Initiale'!$F189="Lisbonne","B2C (Initiale)","B2C+B2B (Initiale)"))</f>
        <v/>
      </c>
      <c r="E587" s="0" t="str">
        <f aca="false">IF($A587="","",'Formation Initiale'!$B189)</f>
        <v/>
      </c>
      <c r="F587" s="116" t="str">
        <f aca="false">IF($A587="","",'Formation Initiale'!$G189)</f>
        <v/>
      </c>
      <c r="G587" s="116" t="str">
        <f aca="false">IF($A587="","",'Formation Initiale'!$H189)</f>
        <v/>
      </c>
      <c r="H587" s="0" t="str">
        <f aca="false">IF($A587="","",'Formation Initiale'!$L189)</f>
        <v/>
      </c>
      <c r="I587" s="0" t="str">
        <f aca="false">IF($A587="","",'Formation Initiale'!$R189)</f>
        <v/>
      </c>
      <c r="K587" s="104" t="n">
        <f aca="false">IF(A587="",0,IF(IFERROR(VLOOKUP(A587,Skills!$A:$M,13,FALSE()),"")="COS",0,IF(OR(I587="En cours",I587="À venir",I587="À planifier"),IF(AND(OR($C$3="Tous",$C$3="",C587=$C$3),OR($E$3="Tous",$E$3="",I587=$E$3)),1,0),0)))</f>
        <v>0</v>
      </c>
      <c r="L587" s="104" t="n">
        <f aca="false">L586+K587</f>
        <v>15</v>
      </c>
    </row>
    <row r="588" customFormat="false" ht="15" hidden="true" customHeight="true" outlineLevel="0" collapsed="false">
      <c r="A588" s="0" t="str">
        <f aca="false">IF('Formation Initiale'!$A190="","",'Formation Initiale'!$A190)</f>
        <v/>
      </c>
      <c r="B588" s="0" t="str">
        <f aca="false">IF($A588="","",'Formation Initiale'!$E190)</f>
        <v/>
      </c>
      <c r="C588" s="0" t="str">
        <f aca="false">IF($A588="","",'Formation Initiale'!$F190)</f>
        <v/>
      </c>
      <c r="D588" s="0" t="str">
        <f aca="false">IF($A588="","",IF('Formation Initiale'!$F190="Lisbonne","B2C (Initiale)","B2C+B2B (Initiale)"))</f>
        <v/>
      </c>
      <c r="E588" s="0" t="str">
        <f aca="false">IF($A588="","",'Formation Initiale'!$B190)</f>
        <v/>
      </c>
      <c r="F588" s="116" t="str">
        <f aca="false">IF($A588="","",'Formation Initiale'!$G190)</f>
        <v/>
      </c>
      <c r="G588" s="116" t="str">
        <f aca="false">IF($A588="","",'Formation Initiale'!$H190)</f>
        <v/>
      </c>
      <c r="H588" s="0" t="str">
        <f aca="false">IF($A588="","",'Formation Initiale'!$L190)</f>
        <v/>
      </c>
      <c r="I588" s="0" t="str">
        <f aca="false">IF($A588="","",'Formation Initiale'!$R190)</f>
        <v/>
      </c>
      <c r="K588" s="104" t="n">
        <f aca="false">IF(A588="",0,IF(IFERROR(VLOOKUP(A588,Skills!$A:$M,13,FALSE()),"")="COS",0,IF(OR(I588="En cours",I588="À venir",I588="À planifier"),IF(AND(OR($C$3="Tous",$C$3="",C588=$C$3),OR($E$3="Tous",$E$3="",I588=$E$3)),1,0),0)))</f>
        <v>0</v>
      </c>
      <c r="L588" s="104" t="n">
        <f aca="false">L587+K588</f>
        <v>15</v>
      </c>
    </row>
    <row r="589" customFormat="false" ht="15" hidden="true" customHeight="true" outlineLevel="0" collapsed="false">
      <c r="A589" s="0" t="str">
        <f aca="false">IF('Formation Initiale'!$A191="","",'Formation Initiale'!$A191)</f>
        <v/>
      </c>
      <c r="B589" s="0" t="str">
        <f aca="false">IF($A589="","",'Formation Initiale'!$E191)</f>
        <v/>
      </c>
      <c r="C589" s="0" t="str">
        <f aca="false">IF($A589="","",'Formation Initiale'!$F191)</f>
        <v/>
      </c>
      <c r="D589" s="0" t="str">
        <f aca="false">IF($A589="","",IF('Formation Initiale'!$F191="Lisbonne","B2C (Initiale)","B2C+B2B (Initiale)"))</f>
        <v/>
      </c>
      <c r="E589" s="0" t="str">
        <f aca="false">IF($A589="","",'Formation Initiale'!$B191)</f>
        <v/>
      </c>
      <c r="F589" s="116" t="str">
        <f aca="false">IF($A589="","",'Formation Initiale'!$G191)</f>
        <v/>
      </c>
      <c r="G589" s="116" t="str">
        <f aca="false">IF($A589="","",'Formation Initiale'!$H191)</f>
        <v/>
      </c>
      <c r="H589" s="0" t="str">
        <f aca="false">IF($A589="","",'Formation Initiale'!$L191)</f>
        <v/>
      </c>
      <c r="I589" s="0" t="str">
        <f aca="false">IF($A589="","",'Formation Initiale'!$R191)</f>
        <v/>
      </c>
      <c r="K589" s="104" t="n">
        <f aca="false">IF(A589="",0,IF(IFERROR(VLOOKUP(A589,Skills!$A:$M,13,FALSE()),"")="COS",0,IF(OR(I589="En cours",I589="À venir",I589="À planifier"),IF(AND(OR($C$3="Tous",$C$3="",C589=$C$3),OR($E$3="Tous",$E$3="",I589=$E$3)),1,0),0)))</f>
        <v>0</v>
      </c>
      <c r="L589" s="104" t="n">
        <f aca="false">L588+K589</f>
        <v>15</v>
      </c>
    </row>
    <row r="590" customFormat="false" ht="15" hidden="true" customHeight="true" outlineLevel="0" collapsed="false">
      <c r="A590" s="0" t="str">
        <f aca="false">IF('Formation Initiale'!$A192="","",'Formation Initiale'!$A192)</f>
        <v/>
      </c>
      <c r="B590" s="0" t="str">
        <f aca="false">IF($A590="","",'Formation Initiale'!$E192)</f>
        <v/>
      </c>
      <c r="C590" s="0" t="str">
        <f aca="false">IF($A590="","",'Formation Initiale'!$F192)</f>
        <v/>
      </c>
      <c r="D590" s="0" t="str">
        <f aca="false">IF($A590="","",IF('Formation Initiale'!$F192="Lisbonne","B2C (Initiale)","B2C+B2B (Initiale)"))</f>
        <v/>
      </c>
      <c r="E590" s="0" t="str">
        <f aca="false">IF($A590="","",'Formation Initiale'!$B192)</f>
        <v/>
      </c>
      <c r="F590" s="116" t="str">
        <f aca="false">IF($A590="","",'Formation Initiale'!$G192)</f>
        <v/>
      </c>
      <c r="G590" s="116" t="str">
        <f aca="false">IF($A590="","",'Formation Initiale'!$H192)</f>
        <v/>
      </c>
      <c r="H590" s="0" t="str">
        <f aca="false">IF($A590="","",'Formation Initiale'!$L192)</f>
        <v/>
      </c>
      <c r="I590" s="0" t="str">
        <f aca="false">IF($A590="","",'Formation Initiale'!$R192)</f>
        <v/>
      </c>
      <c r="K590" s="104" t="n">
        <f aca="false">IF(A590="",0,IF(IFERROR(VLOOKUP(A590,Skills!$A:$M,13,FALSE()),"")="COS",0,IF(OR(I590="En cours",I590="À venir",I590="À planifier"),IF(AND(OR($C$3="Tous",$C$3="",C590=$C$3),OR($E$3="Tous",$E$3="",I590=$E$3)),1,0),0)))</f>
        <v>0</v>
      </c>
      <c r="L590" s="104" t="n">
        <f aca="false">L589+K590</f>
        <v>15</v>
      </c>
    </row>
    <row r="591" customFormat="false" ht="15" hidden="true" customHeight="true" outlineLevel="0" collapsed="false">
      <c r="A591" s="0" t="str">
        <f aca="false">IF('Formation Initiale'!$A193="","",'Formation Initiale'!$A193)</f>
        <v/>
      </c>
      <c r="B591" s="0" t="str">
        <f aca="false">IF($A591="","",'Formation Initiale'!$E193)</f>
        <v/>
      </c>
      <c r="C591" s="0" t="str">
        <f aca="false">IF($A591="","",'Formation Initiale'!$F193)</f>
        <v/>
      </c>
      <c r="D591" s="0" t="str">
        <f aca="false">IF($A591="","",IF('Formation Initiale'!$F193="Lisbonne","B2C (Initiale)","B2C+B2B (Initiale)"))</f>
        <v/>
      </c>
      <c r="E591" s="0" t="str">
        <f aca="false">IF($A591="","",'Formation Initiale'!$B193)</f>
        <v/>
      </c>
      <c r="F591" s="116" t="str">
        <f aca="false">IF($A591="","",'Formation Initiale'!$G193)</f>
        <v/>
      </c>
      <c r="G591" s="116" t="str">
        <f aca="false">IF($A591="","",'Formation Initiale'!$H193)</f>
        <v/>
      </c>
      <c r="H591" s="0" t="str">
        <f aca="false">IF($A591="","",'Formation Initiale'!$L193)</f>
        <v/>
      </c>
      <c r="I591" s="0" t="str">
        <f aca="false">IF($A591="","",'Formation Initiale'!$R193)</f>
        <v/>
      </c>
      <c r="K591" s="104" t="n">
        <f aca="false">IF(A591="",0,IF(IFERROR(VLOOKUP(A591,Skills!$A:$M,13,FALSE()),"")="COS",0,IF(OR(I591="En cours",I591="À venir",I591="À planifier"),IF(AND(OR($C$3="Tous",$C$3="",C591=$C$3),OR($E$3="Tous",$E$3="",I591=$E$3)),1,0),0)))</f>
        <v>0</v>
      </c>
      <c r="L591" s="104" t="n">
        <f aca="false">L590+K591</f>
        <v>15</v>
      </c>
    </row>
    <row r="592" customFormat="false" ht="15" hidden="true" customHeight="true" outlineLevel="0" collapsed="false">
      <c r="A592" s="0" t="str">
        <f aca="false">IF('Formation Initiale'!$A194="","",'Formation Initiale'!$A194)</f>
        <v/>
      </c>
      <c r="B592" s="0" t="str">
        <f aca="false">IF($A592="","",'Formation Initiale'!$E194)</f>
        <v/>
      </c>
      <c r="C592" s="0" t="str">
        <f aca="false">IF($A592="","",'Formation Initiale'!$F194)</f>
        <v/>
      </c>
      <c r="D592" s="0" t="str">
        <f aca="false">IF($A592="","",IF('Formation Initiale'!$F194="Lisbonne","B2C (Initiale)","B2C+B2B (Initiale)"))</f>
        <v/>
      </c>
      <c r="E592" s="0" t="str">
        <f aca="false">IF($A592="","",'Formation Initiale'!$B194)</f>
        <v/>
      </c>
      <c r="F592" s="116" t="str">
        <f aca="false">IF($A592="","",'Formation Initiale'!$G194)</f>
        <v/>
      </c>
      <c r="G592" s="116" t="str">
        <f aca="false">IF($A592="","",'Formation Initiale'!$H194)</f>
        <v/>
      </c>
      <c r="H592" s="0" t="str">
        <f aca="false">IF($A592="","",'Formation Initiale'!$L194)</f>
        <v/>
      </c>
      <c r="I592" s="0" t="str">
        <f aca="false">IF($A592="","",'Formation Initiale'!$R194)</f>
        <v/>
      </c>
      <c r="K592" s="104" t="n">
        <f aca="false">IF(A592="",0,IF(IFERROR(VLOOKUP(A592,Skills!$A:$M,13,FALSE()),"")="COS",0,IF(OR(I592="En cours",I592="À venir",I592="À planifier"),IF(AND(OR($C$3="Tous",$C$3="",C592=$C$3),OR($E$3="Tous",$E$3="",I592=$E$3)),1,0),0)))</f>
        <v>0</v>
      </c>
      <c r="L592" s="104" t="n">
        <f aca="false">L591+K592</f>
        <v>15</v>
      </c>
    </row>
    <row r="593" customFormat="false" ht="15" hidden="true" customHeight="true" outlineLevel="0" collapsed="false">
      <c r="A593" s="0" t="str">
        <f aca="false">IF('Formation Initiale'!$A195="","",'Formation Initiale'!$A195)</f>
        <v/>
      </c>
      <c r="B593" s="0" t="str">
        <f aca="false">IF($A593="","",'Formation Initiale'!$E195)</f>
        <v/>
      </c>
      <c r="C593" s="0" t="str">
        <f aca="false">IF($A593="","",'Formation Initiale'!$F195)</f>
        <v/>
      </c>
      <c r="D593" s="0" t="str">
        <f aca="false">IF($A593="","",IF('Formation Initiale'!$F195="Lisbonne","B2C (Initiale)","B2C+B2B (Initiale)"))</f>
        <v/>
      </c>
      <c r="E593" s="0" t="str">
        <f aca="false">IF($A593="","",'Formation Initiale'!$B195)</f>
        <v/>
      </c>
      <c r="F593" s="116" t="str">
        <f aca="false">IF($A593="","",'Formation Initiale'!$G195)</f>
        <v/>
      </c>
      <c r="G593" s="116" t="str">
        <f aca="false">IF($A593="","",'Formation Initiale'!$H195)</f>
        <v/>
      </c>
      <c r="H593" s="0" t="str">
        <f aca="false">IF($A593="","",'Formation Initiale'!$L195)</f>
        <v/>
      </c>
      <c r="I593" s="0" t="str">
        <f aca="false">IF($A593="","",'Formation Initiale'!$R195)</f>
        <v/>
      </c>
      <c r="K593" s="104" t="n">
        <f aca="false">IF(A593="",0,IF(IFERROR(VLOOKUP(A593,Skills!$A:$M,13,FALSE()),"")="COS",0,IF(OR(I593="En cours",I593="À venir",I593="À planifier"),IF(AND(OR($C$3="Tous",$C$3="",C593=$C$3),OR($E$3="Tous",$E$3="",I593=$E$3)),1,0),0)))</f>
        <v>0</v>
      </c>
      <c r="L593" s="104" t="n">
        <f aca="false">L592+K593</f>
        <v>15</v>
      </c>
    </row>
    <row r="594" customFormat="false" ht="15" hidden="true" customHeight="true" outlineLevel="0" collapsed="false">
      <c r="A594" s="0" t="str">
        <f aca="false">IF('Formation Initiale'!$A196="","",'Formation Initiale'!$A196)</f>
        <v/>
      </c>
      <c r="B594" s="0" t="str">
        <f aca="false">IF($A594="","",'Formation Initiale'!$E196)</f>
        <v/>
      </c>
      <c r="C594" s="0" t="str">
        <f aca="false">IF($A594="","",'Formation Initiale'!$F196)</f>
        <v/>
      </c>
      <c r="D594" s="0" t="str">
        <f aca="false">IF($A594="","",IF('Formation Initiale'!$F196="Lisbonne","B2C (Initiale)","B2C+B2B (Initiale)"))</f>
        <v/>
      </c>
      <c r="E594" s="0" t="str">
        <f aca="false">IF($A594="","",'Formation Initiale'!$B196)</f>
        <v/>
      </c>
      <c r="F594" s="116" t="str">
        <f aca="false">IF($A594="","",'Formation Initiale'!$G196)</f>
        <v/>
      </c>
      <c r="G594" s="116" t="str">
        <f aca="false">IF($A594="","",'Formation Initiale'!$H196)</f>
        <v/>
      </c>
      <c r="H594" s="0" t="str">
        <f aca="false">IF($A594="","",'Formation Initiale'!$L196)</f>
        <v/>
      </c>
      <c r="I594" s="0" t="str">
        <f aca="false">IF($A594="","",'Formation Initiale'!$R196)</f>
        <v/>
      </c>
      <c r="K594" s="104" t="n">
        <f aca="false">IF(A594="",0,IF(IFERROR(VLOOKUP(A594,Skills!$A:$M,13,FALSE()),"")="COS",0,IF(OR(I594="En cours",I594="À venir",I594="À planifier"),IF(AND(OR($C$3="Tous",$C$3="",C594=$C$3),OR($E$3="Tous",$E$3="",I594=$E$3)),1,0),0)))</f>
        <v>0</v>
      </c>
      <c r="L594" s="104" t="n">
        <f aca="false">L593+K594</f>
        <v>15</v>
      </c>
    </row>
    <row r="595" customFormat="false" ht="15" hidden="true" customHeight="true" outlineLevel="0" collapsed="false">
      <c r="A595" s="0" t="str">
        <f aca="false">IF('Formation Initiale'!$A197="","",'Formation Initiale'!$A197)</f>
        <v/>
      </c>
      <c r="B595" s="0" t="str">
        <f aca="false">IF($A595="","",'Formation Initiale'!$E197)</f>
        <v/>
      </c>
      <c r="C595" s="0" t="str">
        <f aca="false">IF($A595="","",'Formation Initiale'!$F197)</f>
        <v/>
      </c>
      <c r="D595" s="0" t="str">
        <f aca="false">IF($A595="","",IF('Formation Initiale'!$F197="Lisbonne","B2C (Initiale)","B2C+B2B (Initiale)"))</f>
        <v/>
      </c>
      <c r="E595" s="0" t="str">
        <f aca="false">IF($A595="","",'Formation Initiale'!$B197)</f>
        <v/>
      </c>
      <c r="F595" s="116" t="str">
        <f aca="false">IF($A595="","",'Formation Initiale'!$G197)</f>
        <v/>
      </c>
      <c r="G595" s="116" t="str">
        <f aca="false">IF($A595="","",'Formation Initiale'!$H197)</f>
        <v/>
      </c>
      <c r="H595" s="0" t="str">
        <f aca="false">IF($A595="","",'Formation Initiale'!$L197)</f>
        <v/>
      </c>
      <c r="I595" s="0" t="str">
        <f aca="false">IF($A595="","",'Formation Initiale'!$R197)</f>
        <v/>
      </c>
      <c r="K595" s="104" t="n">
        <f aca="false">IF(A595="",0,IF(IFERROR(VLOOKUP(A595,Skills!$A:$M,13,FALSE()),"")="COS",0,IF(OR(I595="En cours",I595="À venir",I595="À planifier"),IF(AND(OR($C$3="Tous",$C$3="",C595=$C$3),OR($E$3="Tous",$E$3="",I595=$E$3)),1,0),0)))</f>
        <v>0</v>
      </c>
      <c r="L595" s="104" t="n">
        <f aca="false">L594+K595</f>
        <v>15</v>
      </c>
    </row>
    <row r="596" customFormat="false" ht="15" hidden="true" customHeight="true" outlineLevel="0" collapsed="false">
      <c r="A596" s="0" t="str">
        <f aca="false">IF('Formation Initiale'!$A198="","",'Formation Initiale'!$A198)</f>
        <v/>
      </c>
      <c r="B596" s="0" t="str">
        <f aca="false">IF($A596="","",'Formation Initiale'!$E198)</f>
        <v/>
      </c>
      <c r="C596" s="0" t="str">
        <f aca="false">IF($A596="","",'Formation Initiale'!$F198)</f>
        <v/>
      </c>
      <c r="D596" s="0" t="str">
        <f aca="false">IF($A596="","",IF('Formation Initiale'!$F198="Lisbonne","B2C (Initiale)","B2C+B2B (Initiale)"))</f>
        <v/>
      </c>
      <c r="E596" s="0" t="str">
        <f aca="false">IF($A596="","",'Formation Initiale'!$B198)</f>
        <v/>
      </c>
      <c r="F596" s="116" t="str">
        <f aca="false">IF($A596="","",'Formation Initiale'!$G198)</f>
        <v/>
      </c>
      <c r="G596" s="116" t="str">
        <f aca="false">IF($A596="","",'Formation Initiale'!$H198)</f>
        <v/>
      </c>
      <c r="H596" s="0" t="str">
        <f aca="false">IF($A596="","",'Formation Initiale'!$L198)</f>
        <v/>
      </c>
      <c r="I596" s="0" t="str">
        <f aca="false">IF($A596="","",'Formation Initiale'!$R198)</f>
        <v/>
      </c>
      <c r="K596" s="104" t="n">
        <f aca="false">IF(A596="",0,IF(IFERROR(VLOOKUP(A596,Skills!$A:$M,13,FALSE()),"")="COS",0,IF(OR(I596="En cours",I596="À venir",I596="À planifier"),IF(AND(OR($C$3="Tous",$C$3="",C596=$C$3),OR($E$3="Tous",$E$3="",I596=$E$3)),1,0),0)))</f>
        <v>0</v>
      </c>
      <c r="L596" s="104" t="n">
        <f aca="false">L595+K596</f>
        <v>15</v>
      </c>
    </row>
    <row r="597" customFormat="false" ht="15" hidden="true" customHeight="true" outlineLevel="0" collapsed="false">
      <c r="A597" s="0" t="str">
        <f aca="false">IF('Formation Initiale'!$A199="","",'Formation Initiale'!$A199)</f>
        <v/>
      </c>
      <c r="B597" s="0" t="str">
        <f aca="false">IF($A597="","",'Formation Initiale'!$E199)</f>
        <v/>
      </c>
      <c r="C597" s="0" t="str">
        <f aca="false">IF($A597="","",'Formation Initiale'!$F199)</f>
        <v/>
      </c>
      <c r="D597" s="0" t="str">
        <f aca="false">IF($A597="","",IF('Formation Initiale'!$F199="Lisbonne","B2C (Initiale)","B2C+B2B (Initiale)"))</f>
        <v/>
      </c>
      <c r="E597" s="0" t="str">
        <f aca="false">IF($A597="","",'Formation Initiale'!$B199)</f>
        <v/>
      </c>
      <c r="F597" s="116" t="str">
        <f aca="false">IF($A597="","",'Formation Initiale'!$G199)</f>
        <v/>
      </c>
      <c r="G597" s="116" t="str">
        <f aca="false">IF($A597="","",'Formation Initiale'!$H199)</f>
        <v/>
      </c>
      <c r="H597" s="0" t="str">
        <f aca="false">IF($A597="","",'Formation Initiale'!$L199)</f>
        <v/>
      </c>
      <c r="I597" s="0" t="str">
        <f aca="false">IF($A597="","",'Formation Initiale'!$R199)</f>
        <v/>
      </c>
      <c r="K597" s="104" t="n">
        <f aca="false">IF(A597="",0,IF(IFERROR(VLOOKUP(A597,Skills!$A:$M,13,FALSE()),"")="COS",0,IF(OR(I597="En cours",I597="À venir",I597="À planifier"),IF(AND(OR($C$3="Tous",$C$3="",C597=$C$3),OR($E$3="Tous",$E$3="",I597=$E$3)),1,0),0)))</f>
        <v>0</v>
      </c>
      <c r="L597" s="104" t="n">
        <f aca="false">L596+K597</f>
        <v>15</v>
      </c>
    </row>
    <row r="598" customFormat="false" ht="15" hidden="true" customHeight="true" outlineLevel="0" collapsed="false">
      <c r="A598" s="0" t="str">
        <f aca="false">IF('Formation Initiale'!$A200="","",'Formation Initiale'!$A200)</f>
        <v/>
      </c>
      <c r="B598" s="0" t="str">
        <f aca="false">IF($A598="","",'Formation Initiale'!$E200)</f>
        <v/>
      </c>
      <c r="C598" s="0" t="str">
        <f aca="false">IF($A598="","",'Formation Initiale'!$F200)</f>
        <v/>
      </c>
      <c r="D598" s="0" t="str">
        <f aca="false">IF($A598="","",IF('Formation Initiale'!$F200="Lisbonne","B2C (Initiale)","B2C+B2B (Initiale)"))</f>
        <v/>
      </c>
      <c r="E598" s="0" t="str">
        <f aca="false">IF($A598="","",'Formation Initiale'!$B200)</f>
        <v/>
      </c>
      <c r="F598" s="116" t="str">
        <f aca="false">IF($A598="","",'Formation Initiale'!$G200)</f>
        <v/>
      </c>
      <c r="G598" s="116" t="str">
        <f aca="false">IF($A598="","",'Formation Initiale'!$H200)</f>
        <v/>
      </c>
      <c r="H598" s="0" t="str">
        <f aca="false">IF($A598="","",'Formation Initiale'!$L200)</f>
        <v/>
      </c>
      <c r="I598" s="0" t="str">
        <f aca="false">IF($A598="","",'Formation Initiale'!$R200)</f>
        <v/>
      </c>
      <c r="K598" s="104" t="n">
        <f aca="false">IF(A598="",0,IF(IFERROR(VLOOKUP(A598,Skills!$A:$M,13,FALSE()),"")="COS",0,IF(OR(I598="En cours",I598="À venir",I598="À planifier"),IF(AND(OR($C$3="Tous",$C$3="",C598=$C$3),OR($E$3="Tous",$E$3="",I598=$E$3)),1,0),0)))</f>
        <v>0</v>
      </c>
      <c r="L598" s="104" t="n">
        <f aca="false">L597+K598</f>
        <v>15</v>
      </c>
    </row>
    <row r="599" customFormat="false" ht="15" hidden="true" customHeight="true" outlineLevel="0" collapsed="false">
      <c r="A599" s="0" t="str">
        <f aca="false">IF('Formation Initiale'!$A201="","",'Formation Initiale'!$A201)</f>
        <v/>
      </c>
      <c r="B599" s="0" t="str">
        <f aca="false">IF($A599="","",'Formation Initiale'!$E201)</f>
        <v/>
      </c>
      <c r="C599" s="0" t="str">
        <f aca="false">IF($A599="","",'Formation Initiale'!$F201)</f>
        <v/>
      </c>
      <c r="D599" s="0" t="str">
        <f aca="false">IF($A599="","",IF('Formation Initiale'!$F201="Lisbonne","B2C (Initiale)","B2C+B2B (Initiale)"))</f>
        <v/>
      </c>
      <c r="E599" s="0" t="str">
        <f aca="false">IF($A599="","",'Formation Initiale'!$B201)</f>
        <v/>
      </c>
      <c r="F599" s="116" t="str">
        <f aca="false">IF($A599="","",'Formation Initiale'!$G201)</f>
        <v/>
      </c>
      <c r="G599" s="116" t="str">
        <f aca="false">IF($A599="","",'Formation Initiale'!$H201)</f>
        <v/>
      </c>
      <c r="H599" s="0" t="str">
        <f aca="false">IF($A599="","",'Formation Initiale'!$L201)</f>
        <v/>
      </c>
      <c r="I599" s="0" t="str">
        <f aca="false">IF($A599="","",'Formation Initiale'!$R201)</f>
        <v/>
      </c>
      <c r="K599" s="104" t="n">
        <f aca="false">IF(A599="",0,IF(IFERROR(VLOOKUP(A599,Skills!$A:$M,13,FALSE()),"")="COS",0,IF(OR(I599="En cours",I599="À venir",I599="À planifier"),IF(AND(OR($C$3="Tous",$C$3="",C599=$C$3),OR($E$3="Tous",$E$3="",I599=$E$3)),1,0),0)))</f>
        <v>0</v>
      </c>
      <c r="L599" s="104" t="n">
        <f aca="false">L598+K599</f>
        <v>15</v>
      </c>
    </row>
    <row r="600" customFormat="false" ht="15" hidden="true" customHeight="true" outlineLevel="0" collapsed="false">
      <c r="A600" s="0" t="str">
        <f aca="false">IF('Formation Initiale'!$A202="","",'Formation Initiale'!$A202)</f>
        <v/>
      </c>
      <c r="B600" s="0" t="str">
        <f aca="false">IF($A600="","",'Formation Initiale'!$E202)</f>
        <v/>
      </c>
      <c r="C600" s="0" t="str">
        <f aca="false">IF($A600="","",'Formation Initiale'!$F202)</f>
        <v/>
      </c>
      <c r="D600" s="0" t="str">
        <f aca="false">IF($A600="","",IF('Formation Initiale'!$F202="Lisbonne","B2C (Initiale)","B2C+B2B (Initiale)"))</f>
        <v/>
      </c>
      <c r="E600" s="0" t="str">
        <f aca="false">IF($A600="","",'Formation Initiale'!$B202)</f>
        <v/>
      </c>
      <c r="F600" s="116" t="str">
        <f aca="false">IF($A600="","",'Formation Initiale'!$G202)</f>
        <v/>
      </c>
      <c r="G600" s="116" t="str">
        <f aca="false">IF($A600="","",'Formation Initiale'!$H202)</f>
        <v/>
      </c>
      <c r="H600" s="0" t="str">
        <f aca="false">IF($A600="","",'Formation Initiale'!$L202)</f>
        <v/>
      </c>
      <c r="I600" s="0" t="str">
        <f aca="false">IF($A600="","",'Formation Initiale'!$R202)</f>
        <v/>
      </c>
      <c r="K600" s="104" t="n">
        <f aca="false">IF(A600="",0,IF(IFERROR(VLOOKUP(A600,Skills!$A:$M,13,FALSE()),"")="COS",0,IF(OR(I600="En cours",I600="À venir",I600="À planifier"),IF(AND(OR($C$3="Tous",$C$3="",C600=$C$3),OR($E$3="Tous",$E$3="",I600=$E$3)),1,0),0)))</f>
        <v>0</v>
      </c>
      <c r="L600" s="104" t="n">
        <f aca="false">L599+K600</f>
        <v>15</v>
      </c>
    </row>
    <row r="601" customFormat="false" ht="15" hidden="true" customHeight="true" outlineLevel="0" collapsed="false">
      <c r="A601" s="0" t="str">
        <f aca="false">IF('Formation Initiale'!$A203="","",'Formation Initiale'!$A203)</f>
        <v/>
      </c>
      <c r="B601" s="0" t="str">
        <f aca="false">IF($A601="","",'Formation Initiale'!$E203)</f>
        <v/>
      </c>
      <c r="C601" s="0" t="str">
        <f aca="false">IF($A601="","",'Formation Initiale'!$F203)</f>
        <v/>
      </c>
      <c r="D601" s="0" t="str">
        <f aca="false">IF($A601="","",IF('Formation Initiale'!$F203="Lisbonne","B2C (Initiale)","B2C+B2B (Initiale)"))</f>
        <v/>
      </c>
      <c r="E601" s="0" t="str">
        <f aca="false">IF($A601="","",'Formation Initiale'!$B203)</f>
        <v/>
      </c>
      <c r="F601" s="116" t="str">
        <f aca="false">IF($A601="","",'Formation Initiale'!$G203)</f>
        <v/>
      </c>
      <c r="G601" s="116" t="str">
        <f aca="false">IF($A601="","",'Formation Initiale'!$H203)</f>
        <v/>
      </c>
      <c r="H601" s="0" t="str">
        <f aca="false">IF($A601="","",'Formation Initiale'!$L203)</f>
        <v/>
      </c>
      <c r="I601" s="0" t="str">
        <f aca="false">IF($A601="","",'Formation Initiale'!$R203)</f>
        <v/>
      </c>
      <c r="K601" s="104" t="n">
        <f aca="false">IF(A601="",0,IF(IFERROR(VLOOKUP(A601,Skills!$A:$M,13,FALSE()),"")="COS",0,IF(OR(I601="En cours",I601="À venir",I601="À planifier"),IF(AND(OR($C$3="Tous",$C$3="",C601=$C$3),OR($E$3="Tous",$E$3="",I601=$E$3)),1,0),0)))</f>
        <v>0</v>
      </c>
      <c r="L601" s="104" t="n">
        <f aca="false">L600+K601</f>
        <v>15</v>
      </c>
    </row>
    <row r="602" customFormat="false" ht="15" hidden="true" customHeight="true" outlineLevel="0" collapsed="false">
      <c r="A602" s="0" t="str">
        <f aca="false">IF('Formation Initiale'!$A204="","",'Formation Initiale'!$A204)</f>
        <v/>
      </c>
      <c r="B602" s="0" t="str">
        <f aca="false">IF($A602="","",'Formation Initiale'!$E204)</f>
        <v/>
      </c>
      <c r="C602" s="0" t="str">
        <f aca="false">IF($A602="","",'Formation Initiale'!$F204)</f>
        <v/>
      </c>
      <c r="D602" s="0" t="str">
        <f aca="false">IF($A602="","",IF('Formation Initiale'!$F204="Lisbonne","B2C (Initiale)","B2C+B2B (Initiale)"))</f>
        <v/>
      </c>
      <c r="E602" s="0" t="str">
        <f aca="false">IF($A602="","",'Formation Initiale'!$B204)</f>
        <v/>
      </c>
      <c r="F602" s="116" t="str">
        <f aca="false">IF($A602="","",'Formation Initiale'!$G204)</f>
        <v/>
      </c>
      <c r="G602" s="116" t="str">
        <f aca="false">IF($A602="","",'Formation Initiale'!$H204)</f>
        <v/>
      </c>
      <c r="H602" s="0" t="str">
        <f aca="false">IF($A602="","",'Formation Initiale'!$L204)</f>
        <v/>
      </c>
      <c r="I602" s="0" t="str">
        <f aca="false">IF($A602="","",'Formation Initiale'!$R204)</f>
        <v/>
      </c>
      <c r="K602" s="104" t="n">
        <f aca="false">IF(A602="",0,IF(IFERROR(VLOOKUP(A602,Skills!$A:$M,13,FALSE()),"")="COS",0,IF(OR(I602="En cours",I602="À venir",I602="À planifier"),IF(AND(OR($C$3="Tous",$C$3="",C602=$C$3),OR($E$3="Tous",$E$3="",I602=$E$3)),1,0),0)))</f>
        <v>0</v>
      </c>
      <c r="L602" s="104" t="n">
        <f aca="false">L601+K602</f>
        <v>15</v>
      </c>
    </row>
    <row r="603" customFormat="false" ht="15" hidden="true" customHeight="true" outlineLevel="0" collapsed="false">
      <c r="A603" s="0" t="str">
        <f aca="false">IF('Formation Initiale'!$A205="","",'Formation Initiale'!$A205)</f>
        <v/>
      </c>
      <c r="B603" s="0" t="str">
        <f aca="false">IF($A603="","",'Formation Initiale'!$E205)</f>
        <v/>
      </c>
      <c r="C603" s="0" t="str">
        <f aca="false">IF($A603="","",'Formation Initiale'!$F205)</f>
        <v/>
      </c>
      <c r="D603" s="0" t="str">
        <f aca="false">IF($A603="","",IF('Formation Initiale'!$F205="Lisbonne","B2C (Initiale)","B2C+B2B (Initiale)"))</f>
        <v/>
      </c>
      <c r="E603" s="0" t="str">
        <f aca="false">IF($A603="","",'Formation Initiale'!$B205)</f>
        <v/>
      </c>
      <c r="F603" s="116" t="str">
        <f aca="false">IF($A603="","",'Formation Initiale'!$G205)</f>
        <v/>
      </c>
      <c r="G603" s="116" t="str">
        <f aca="false">IF($A603="","",'Formation Initiale'!$H205)</f>
        <v/>
      </c>
      <c r="H603" s="0" t="str">
        <f aca="false">IF($A603="","",'Formation Initiale'!$L205)</f>
        <v/>
      </c>
      <c r="I603" s="0" t="str">
        <f aca="false">IF($A603="","",'Formation Initiale'!$R205)</f>
        <v/>
      </c>
      <c r="K603" s="104" t="n">
        <f aca="false">IF(A603="",0,IF(IFERROR(VLOOKUP(A603,Skills!$A:$M,13,FALSE()),"")="COS",0,IF(OR(I603="En cours",I603="À venir",I603="À planifier"),IF(AND(OR($C$3="Tous",$C$3="",C603=$C$3),OR($E$3="Tous",$E$3="",I603=$E$3)),1,0),0)))</f>
        <v>0</v>
      </c>
      <c r="L603" s="104" t="n">
        <f aca="false">L602+K603</f>
        <v>15</v>
      </c>
    </row>
    <row r="604" customFormat="false" ht="15" hidden="true" customHeight="true" outlineLevel="0" collapsed="false">
      <c r="A604" s="0" t="str">
        <f aca="false">IF('Formation Initiale'!$A206="","",'Formation Initiale'!$A206)</f>
        <v/>
      </c>
      <c r="B604" s="0" t="str">
        <f aca="false">IF($A604="","",'Formation Initiale'!$E206)</f>
        <v/>
      </c>
      <c r="C604" s="0" t="str">
        <f aca="false">IF($A604="","",'Formation Initiale'!$F206)</f>
        <v/>
      </c>
      <c r="D604" s="0" t="str">
        <f aca="false">IF($A604="","",IF('Formation Initiale'!$F206="Lisbonne","B2C (Initiale)","B2C+B2B (Initiale)"))</f>
        <v/>
      </c>
      <c r="E604" s="0" t="str">
        <f aca="false">IF($A604="","",'Formation Initiale'!$B206)</f>
        <v/>
      </c>
      <c r="F604" s="116" t="str">
        <f aca="false">IF($A604="","",'Formation Initiale'!$G206)</f>
        <v/>
      </c>
      <c r="G604" s="116" t="str">
        <f aca="false">IF($A604="","",'Formation Initiale'!$H206)</f>
        <v/>
      </c>
      <c r="H604" s="0" t="str">
        <f aca="false">IF($A604="","",'Formation Initiale'!$L206)</f>
        <v/>
      </c>
      <c r="I604" s="0" t="str">
        <f aca="false">IF($A604="","",'Formation Initiale'!$R206)</f>
        <v/>
      </c>
      <c r="K604" s="104" t="n">
        <f aca="false">IF(A604="",0,IF(IFERROR(VLOOKUP(A604,Skills!$A:$M,13,FALSE()),"")="COS",0,IF(OR(I604="En cours",I604="À venir",I604="À planifier"),IF(AND(OR($C$3="Tous",$C$3="",C604=$C$3),OR($E$3="Tous",$E$3="",I604=$E$3)),1,0),0)))</f>
        <v>0</v>
      </c>
      <c r="L604" s="104" t="n">
        <f aca="false">L603+K604</f>
        <v>15</v>
      </c>
    </row>
    <row r="605" customFormat="false" ht="15" hidden="true" customHeight="true" outlineLevel="0" collapsed="false">
      <c r="A605" s="0" t="str">
        <f aca="false">IF('Formation Initiale'!$A207="","",'Formation Initiale'!$A207)</f>
        <v/>
      </c>
      <c r="B605" s="0" t="str">
        <f aca="false">IF($A605="","",'Formation Initiale'!$E207)</f>
        <v/>
      </c>
      <c r="C605" s="0" t="str">
        <f aca="false">IF($A605="","",'Formation Initiale'!$F207)</f>
        <v/>
      </c>
      <c r="D605" s="0" t="str">
        <f aca="false">IF($A605="","",IF('Formation Initiale'!$F207="Lisbonne","B2C (Initiale)","B2C+B2B (Initiale)"))</f>
        <v/>
      </c>
      <c r="E605" s="0" t="str">
        <f aca="false">IF($A605="","",'Formation Initiale'!$B207)</f>
        <v/>
      </c>
      <c r="F605" s="116" t="str">
        <f aca="false">IF($A605="","",'Formation Initiale'!$G207)</f>
        <v/>
      </c>
      <c r="G605" s="116" t="str">
        <f aca="false">IF($A605="","",'Formation Initiale'!$H207)</f>
        <v/>
      </c>
      <c r="H605" s="0" t="str">
        <f aca="false">IF($A605="","",'Formation Initiale'!$L207)</f>
        <v/>
      </c>
      <c r="I605" s="0" t="str">
        <f aca="false">IF($A605="","",'Formation Initiale'!$R207)</f>
        <v/>
      </c>
      <c r="K605" s="104" t="n">
        <f aca="false">IF(A605="",0,IF(IFERROR(VLOOKUP(A605,Skills!$A:$M,13,FALSE()),"")="COS",0,IF(OR(I605="En cours",I605="À venir",I605="À planifier"),IF(AND(OR($C$3="Tous",$C$3="",C605=$C$3),OR($E$3="Tous",$E$3="",I605=$E$3)),1,0),0)))</f>
        <v>0</v>
      </c>
      <c r="L605" s="104" t="n">
        <f aca="false">L604+K605</f>
        <v>15</v>
      </c>
    </row>
    <row r="606" customFormat="false" ht="15" hidden="true" customHeight="true" outlineLevel="0" collapsed="false">
      <c r="A606" s="0" t="str">
        <f aca="false">IF('Formation Initiale'!$A208="","",'Formation Initiale'!$A208)</f>
        <v/>
      </c>
      <c r="B606" s="0" t="str">
        <f aca="false">IF($A606="","",'Formation Initiale'!$E208)</f>
        <v/>
      </c>
      <c r="C606" s="0" t="str">
        <f aca="false">IF($A606="","",'Formation Initiale'!$F208)</f>
        <v/>
      </c>
      <c r="D606" s="0" t="str">
        <f aca="false">IF($A606="","",IF('Formation Initiale'!$F208="Lisbonne","B2C (Initiale)","B2C+B2B (Initiale)"))</f>
        <v/>
      </c>
      <c r="E606" s="0" t="str">
        <f aca="false">IF($A606="","",'Formation Initiale'!$B208)</f>
        <v/>
      </c>
      <c r="F606" s="116" t="str">
        <f aca="false">IF($A606="","",'Formation Initiale'!$G208)</f>
        <v/>
      </c>
      <c r="G606" s="116" t="str">
        <f aca="false">IF($A606="","",'Formation Initiale'!$H208)</f>
        <v/>
      </c>
      <c r="H606" s="0" t="str">
        <f aca="false">IF($A606="","",'Formation Initiale'!$L208)</f>
        <v/>
      </c>
      <c r="I606" s="0" t="str">
        <f aca="false">IF($A606="","",'Formation Initiale'!$R208)</f>
        <v/>
      </c>
      <c r="K606" s="104" t="n">
        <f aca="false">IF(A606="",0,IF(IFERROR(VLOOKUP(A606,Skills!$A:$M,13,FALSE()),"")="COS",0,IF(OR(I606="En cours",I606="À venir",I606="À planifier"),IF(AND(OR($C$3="Tous",$C$3="",C606=$C$3),OR($E$3="Tous",$E$3="",I606=$E$3)),1,0),0)))</f>
        <v>0</v>
      </c>
      <c r="L606" s="104" t="n">
        <f aca="false">L605+K606</f>
        <v>15</v>
      </c>
    </row>
    <row r="607" customFormat="false" ht="15" hidden="true" customHeight="true" outlineLevel="0" collapsed="false">
      <c r="A607" s="0" t="str">
        <f aca="false">IF('Formation Initiale'!$A209="","",'Formation Initiale'!$A209)</f>
        <v/>
      </c>
      <c r="B607" s="0" t="str">
        <f aca="false">IF($A607="","",'Formation Initiale'!$E209)</f>
        <v/>
      </c>
      <c r="C607" s="0" t="str">
        <f aca="false">IF($A607="","",'Formation Initiale'!$F209)</f>
        <v/>
      </c>
      <c r="D607" s="0" t="str">
        <f aca="false">IF($A607="","",IF('Formation Initiale'!$F209="Lisbonne","B2C (Initiale)","B2C+B2B (Initiale)"))</f>
        <v/>
      </c>
      <c r="E607" s="0" t="str">
        <f aca="false">IF($A607="","",'Formation Initiale'!$B209)</f>
        <v/>
      </c>
      <c r="F607" s="116" t="str">
        <f aca="false">IF($A607="","",'Formation Initiale'!$G209)</f>
        <v/>
      </c>
      <c r="G607" s="116" t="str">
        <f aca="false">IF($A607="","",'Formation Initiale'!$H209)</f>
        <v/>
      </c>
      <c r="H607" s="0" t="str">
        <f aca="false">IF($A607="","",'Formation Initiale'!$L209)</f>
        <v/>
      </c>
      <c r="I607" s="0" t="str">
        <f aca="false">IF($A607="","",'Formation Initiale'!$R209)</f>
        <v/>
      </c>
      <c r="K607" s="104" t="n">
        <f aca="false">IF(A607="",0,IF(IFERROR(VLOOKUP(A607,Skills!$A:$M,13,FALSE()),"")="COS",0,IF(OR(I607="En cours",I607="À venir",I607="À planifier"),IF(AND(OR($C$3="Tous",$C$3="",C607=$C$3),OR($E$3="Tous",$E$3="",I607=$E$3)),1,0),0)))</f>
        <v>0</v>
      </c>
      <c r="L607" s="104" t="n">
        <f aca="false">L606+K607</f>
        <v>15</v>
      </c>
    </row>
    <row r="608" customFormat="false" ht="15" hidden="true" customHeight="true" outlineLevel="0" collapsed="false">
      <c r="A608" s="0" t="str">
        <f aca="false">IF('Formation Initiale'!$A210="","",'Formation Initiale'!$A210)</f>
        <v/>
      </c>
      <c r="B608" s="0" t="str">
        <f aca="false">IF($A608="","",'Formation Initiale'!$E210)</f>
        <v/>
      </c>
      <c r="C608" s="0" t="str">
        <f aca="false">IF($A608="","",'Formation Initiale'!$F210)</f>
        <v/>
      </c>
      <c r="D608" s="0" t="str">
        <f aca="false">IF($A608="","",IF('Formation Initiale'!$F210="Lisbonne","B2C (Initiale)","B2C+B2B (Initiale)"))</f>
        <v/>
      </c>
      <c r="E608" s="0" t="str">
        <f aca="false">IF($A608="","",'Formation Initiale'!$B210)</f>
        <v/>
      </c>
      <c r="F608" s="116" t="str">
        <f aca="false">IF($A608="","",'Formation Initiale'!$G210)</f>
        <v/>
      </c>
      <c r="G608" s="116" t="str">
        <f aca="false">IF($A608="","",'Formation Initiale'!$H210)</f>
        <v/>
      </c>
      <c r="H608" s="0" t="str">
        <f aca="false">IF($A608="","",'Formation Initiale'!$L210)</f>
        <v/>
      </c>
      <c r="I608" s="0" t="str">
        <f aca="false">IF($A608="","",'Formation Initiale'!$R210)</f>
        <v/>
      </c>
      <c r="K608" s="104" t="n">
        <f aca="false">IF(A608="",0,IF(IFERROR(VLOOKUP(A608,Skills!$A:$M,13,FALSE()),"")="COS",0,IF(OR(I608="En cours",I608="À venir",I608="À planifier"),IF(AND(OR($C$3="Tous",$C$3="",C608=$C$3),OR($E$3="Tous",$E$3="",I608=$E$3)),1,0),0)))</f>
        <v>0</v>
      </c>
      <c r="L608" s="104" t="n">
        <f aca="false">L607+K608</f>
        <v>15</v>
      </c>
    </row>
    <row r="609" customFormat="false" ht="15" hidden="true" customHeight="true" outlineLevel="0" collapsed="false">
      <c r="A609" s="0" t="str">
        <f aca="false">IF('Formation Initiale'!$A211="","",'Formation Initiale'!$A211)</f>
        <v/>
      </c>
      <c r="B609" s="0" t="str">
        <f aca="false">IF($A609="","",'Formation Initiale'!$E211)</f>
        <v/>
      </c>
      <c r="C609" s="0" t="str">
        <f aca="false">IF($A609="","",'Formation Initiale'!$F211)</f>
        <v/>
      </c>
      <c r="D609" s="0" t="str">
        <f aca="false">IF($A609="","",IF('Formation Initiale'!$F211="Lisbonne","B2C (Initiale)","B2C+B2B (Initiale)"))</f>
        <v/>
      </c>
      <c r="E609" s="0" t="str">
        <f aca="false">IF($A609="","",'Formation Initiale'!$B211)</f>
        <v/>
      </c>
      <c r="F609" s="116" t="str">
        <f aca="false">IF($A609="","",'Formation Initiale'!$G211)</f>
        <v/>
      </c>
      <c r="G609" s="116" t="str">
        <f aca="false">IF($A609="","",'Formation Initiale'!$H211)</f>
        <v/>
      </c>
      <c r="H609" s="0" t="str">
        <f aca="false">IF($A609="","",'Formation Initiale'!$L211)</f>
        <v/>
      </c>
      <c r="I609" s="0" t="str">
        <f aca="false">IF($A609="","",'Formation Initiale'!$R211)</f>
        <v/>
      </c>
      <c r="K609" s="104" t="n">
        <f aca="false">IF(A609="",0,IF(IFERROR(VLOOKUP(A609,Skills!$A:$M,13,FALSE()),"")="COS",0,IF(OR(I609="En cours",I609="À venir",I609="À planifier"),IF(AND(OR($C$3="Tous",$C$3="",C609=$C$3),OR($E$3="Tous",$E$3="",I609=$E$3)),1,0),0)))</f>
        <v>0</v>
      </c>
      <c r="L609" s="104" t="n">
        <f aca="false">L608+K609</f>
        <v>15</v>
      </c>
    </row>
    <row r="610" customFormat="false" ht="15" hidden="true" customHeight="true" outlineLevel="0" collapsed="false">
      <c r="A610" s="0" t="str">
        <f aca="false">IF('Formation Initiale'!$A212="","",'Formation Initiale'!$A212)</f>
        <v/>
      </c>
      <c r="B610" s="0" t="str">
        <f aca="false">IF($A610="","",'Formation Initiale'!$E212)</f>
        <v/>
      </c>
      <c r="C610" s="0" t="str">
        <f aca="false">IF($A610="","",'Formation Initiale'!$F212)</f>
        <v/>
      </c>
      <c r="D610" s="0" t="str">
        <f aca="false">IF($A610="","",IF('Formation Initiale'!$F212="Lisbonne","B2C (Initiale)","B2C+B2B (Initiale)"))</f>
        <v/>
      </c>
      <c r="E610" s="0" t="str">
        <f aca="false">IF($A610="","",'Formation Initiale'!$B212)</f>
        <v/>
      </c>
      <c r="F610" s="116" t="str">
        <f aca="false">IF($A610="","",'Formation Initiale'!$G212)</f>
        <v/>
      </c>
      <c r="G610" s="116" t="str">
        <f aca="false">IF($A610="","",'Formation Initiale'!$H212)</f>
        <v/>
      </c>
      <c r="H610" s="0" t="str">
        <f aca="false">IF($A610="","",'Formation Initiale'!$L212)</f>
        <v/>
      </c>
      <c r="I610" s="0" t="str">
        <f aca="false">IF($A610="","",'Formation Initiale'!$R212)</f>
        <v/>
      </c>
      <c r="K610" s="104" t="n">
        <f aca="false">IF(A610="",0,IF(IFERROR(VLOOKUP(A610,Skills!$A:$M,13,FALSE()),"")="COS",0,IF(OR(I610="En cours",I610="À venir",I610="À planifier"),IF(AND(OR($C$3="Tous",$C$3="",C610=$C$3),OR($E$3="Tous",$E$3="",I610=$E$3)),1,0),0)))</f>
        <v>0</v>
      </c>
      <c r="L610" s="104" t="n">
        <f aca="false">L609+K610</f>
        <v>15</v>
      </c>
    </row>
    <row r="611" customFormat="false" ht="15" hidden="true" customHeight="true" outlineLevel="0" collapsed="false">
      <c r="A611" s="0" t="str">
        <f aca="false">IF('Formation Initiale'!$A213="","",'Formation Initiale'!$A213)</f>
        <v/>
      </c>
      <c r="B611" s="0" t="str">
        <f aca="false">IF($A611="","",'Formation Initiale'!$E213)</f>
        <v/>
      </c>
      <c r="C611" s="0" t="str">
        <f aca="false">IF($A611="","",'Formation Initiale'!$F213)</f>
        <v/>
      </c>
      <c r="D611" s="0" t="str">
        <f aca="false">IF($A611="","",IF('Formation Initiale'!$F213="Lisbonne","B2C (Initiale)","B2C+B2B (Initiale)"))</f>
        <v/>
      </c>
      <c r="E611" s="0" t="str">
        <f aca="false">IF($A611="","",'Formation Initiale'!$B213)</f>
        <v/>
      </c>
      <c r="F611" s="116" t="str">
        <f aca="false">IF($A611="","",'Formation Initiale'!$G213)</f>
        <v/>
      </c>
      <c r="G611" s="116" t="str">
        <f aca="false">IF($A611="","",'Formation Initiale'!$H213)</f>
        <v/>
      </c>
      <c r="H611" s="0" t="str">
        <f aca="false">IF($A611="","",'Formation Initiale'!$L213)</f>
        <v/>
      </c>
      <c r="I611" s="0" t="str">
        <f aca="false">IF($A611="","",'Formation Initiale'!$R213)</f>
        <v/>
      </c>
      <c r="K611" s="104" t="n">
        <f aca="false">IF(A611="",0,IF(IFERROR(VLOOKUP(A611,Skills!$A:$M,13,FALSE()),"")="COS",0,IF(OR(I611="En cours",I611="À venir",I611="À planifier"),IF(AND(OR($C$3="Tous",$C$3="",C611=$C$3),OR($E$3="Tous",$E$3="",I611=$E$3)),1,0),0)))</f>
        <v>0</v>
      </c>
      <c r="L611" s="104" t="n">
        <f aca="false">L610+K611</f>
        <v>15</v>
      </c>
    </row>
    <row r="612" customFormat="false" ht="15" hidden="true" customHeight="true" outlineLevel="0" collapsed="false">
      <c r="A612" s="0" t="str">
        <f aca="false">IF('Formation Initiale'!$A214="","",'Formation Initiale'!$A214)</f>
        <v/>
      </c>
      <c r="B612" s="0" t="str">
        <f aca="false">IF($A612="","",'Formation Initiale'!$E214)</f>
        <v/>
      </c>
      <c r="C612" s="0" t="str">
        <f aca="false">IF($A612="","",'Formation Initiale'!$F214)</f>
        <v/>
      </c>
      <c r="D612" s="0" t="str">
        <f aca="false">IF($A612="","",IF('Formation Initiale'!$F214="Lisbonne","B2C (Initiale)","B2C+B2B (Initiale)"))</f>
        <v/>
      </c>
      <c r="E612" s="0" t="str">
        <f aca="false">IF($A612="","",'Formation Initiale'!$B214)</f>
        <v/>
      </c>
      <c r="F612" s="116" t="str">
        <f aca="false">IF($A612="","",'Formation Initiale'!$G214)</f>
        <v/>
      </c>
      <c r="G612" s="116" t="str">
        <f aca="false">IF($A612="","",'Formation Initiale'!$H214)</f>
        <v/>
      </c>
      <c r="H612" s="0" t="str">
        <f aca="false">IF($A612="","",'Formation Initiale'!$L214)</f>
        <v/>
      </c>
      <c r="I612" s="0" t="str">
        <f aca="false">IF($A612="","",'Formation Initiale'!$R214)</f>
        <v/>
      </c>
      <c r="K612" s="104" t="n">
        <f aca="false">IF(A612="",0,IF(IFERROR(VLOOKUP(A612,Skills!$A:$M,13,FALSE()),"")="COS",0,IF(OR(I612="En cours",I612="À venir",I612="À planifier"),IF(AND(OR($C$3="Tous",$C$3="",C612=$C$3),OR($E$3="Tous",$E$3="",I612=$E$3)),1,0),0)))</f>
        <v>0</v>
      </c>
      <c r="L612" s="104" t="n">
        <f aca="false">L611+K612</f>
        <v>15</v>
      </c>
    </row>
    <row r="613" customFormat="false" ht="15" hidden="true" customHeight="true" outlineLevel="0" collapsed="false">
      <c r="A613" s="0" t="str">
        <f aca="false">IF('Formation Initiale'!$A215="","",'Formation Initiale'!$A215)</f>
        <v/>
      </c>
      <c r="B613" s="0" t="str">
        <f aca="false">IF($A613="","",'Formation Initiale'!$E215)</f>
        <v/>
      </c>
      <c r="C613" s="0" t="str">
        <f aca="false">IF($A613="","",'Formation Initiale'!$F215)</f>
        <v/>
      </c>
      <c r="D613" s="0" t="str">
        <f aca="false">IF($A613="","",IF('Formation Initiale'!$F215="Lisbonne","B2C (Initiale)","B2C+B2B (Initiale)"))</f>
        <v/>
      </c>
      <c r="E613" s="0" t="str">
        <f aca="false">IF($A613="","",'Formation Initiale'!$B215)</f>
        <v/>
      </c>
      <c r="F613" s="116" t="str">
        <f aca="false">IF($A613="","",'Formation Initiale'!$G215)</f>
        <v/>
      </c>
      <c r="G613" s="116" t="str">
        <f aca="false">IF($A613="","",'Formation Initiale'!$H215)</f>
        <v/>
      </c>
      <c r="H613" s="0" t="str">
        <f aca="false">IF($A613="","",'Formation Initiale'!$L215)</f>
        <v/>
      </c>
      <c r="I613" s="0" t="str">
        <f aca="false">IF($A613="","",'Formation Initiale'!$R215)</f>
        <v/>
      </c>
      <c r="K613" s="104" t="n">
        <f aca="false">IF(A613="",0,IF(IFERROR(VLOOKUP(A613,Skills!$A:$M,13,FALSE()),"")="COS",0,IF(OR(I613="En cours",I613="À venir",I613="À planifier"),IF(AND(OR($C$3="Tous",$C$3="",C613=$C$3),OR($E$3="Tous",$E$3="",I613=$E$3)),1,0),0)))</f>
        <v>0</v>
      </c>
      <c r="L613" s="104" t="n">
        <f aca="false">L612+K613</f>
        <v>15</v>
      </c>
    </row>
    <row r="614" customFormat="false" ht="15" hidden="true" customHeight="true" outlineLevel="0" collapsed="false">
      <c r="A614" s="0" t="str">
        <f aca="false">IF('Formation Initiale'!$A216="","",'Formation Initiale'!$A216)</f>
        <v/>
      </c>
      <c r="B614" s="0" t="str">
        <f aca="false">IF($A614="","",'Formation Initiale'!$E216)</f>
        <v/>
      </c>
      <c r="C614" s="0" t="str">
        <f aca="false">IF($A614="","",'Formation Initiale'!$F216)</f>
        <v/>
      </c>
      <c r="D614" s="0" t="str">
        <f aca="false">IF($A614="","",IF('Formation Initiale'!$F216="Lisbonne","B2C (Initiale)","B2C+B2B (Initiale)"))</f>
        <v/>
      </c>
      <c r="E614" s="0" t="str">
        <f aca="false">IF($A614="","",'Formation Initiale'!$B216)</f>
        <v/>
      </c>
      <c r="F614" s="116" t="str">
        <f aca="false">IF($A614="","",'Formation Initiale'!$G216)</f>
        <v/>
      </c>
      <c r="G614" s="116" t="str">
        <f aca="false">IF($A614="","",'Formation Initiale'!$H216)</f>
        <v/>
      </c>
      <c r="H614" s="0" t="str">
        <f aca="false">IF($A614="","",'Formation Initiale'!$L216)</f>
        <v/>
      </c>
      <c r="I614" s="0" t="str">
        <f aca="false">IF($A614="","",'Formation Initiale'!$R216)</f>
        <v/>
      </c>
      <c r="K614" s="104" t="n">
        <f aca="false">IF(A614="",0,IF(IFERROR(VLOOKUP(A614,Skills!$A:$M,13,FALSE()),"")="COS",0,IF(OR(I614="En cours",I614="À venir",I614="À planifier"),IF(AND(OR($C$3="Tous",$C$3="",C614=$C$3),OR($E$3="Tous",$E$3="",I614=$E$3)),1,0),0)))</f>
        <v>0</v>
      </c>
      <c r="L614" s="104" t="n">
        <f aca="false">L613+K614</f>
        <v>15</v>
      </c>
    </row>
    <row r="615" customFormat="false" ht="15" hidden="true" customHeight="true" outlineLevel="0" collapsed="false">
      <c r="A615" s="0" t="str">
        <f aca="false">IF('Formation Initiale'!$A217="","",'Formation Initiale'!$A217)</f>
        <v/>
      </c>
      <c r="B615" s="0" t="str">
        <f aca="false">IF($A615="","",'Formation Initiale'!$E217)</f>
        <v/>
      </c>
      <c r="C615" s="0" t="str">
        <f aca="false">IF($A615="","",'Formation Initiale'!$F217)</f>
        <v/>
      </c>
      <c r="D615" s="0" t="str">
        <f aca="false">IF($A615="","",IF('Formation Initiale'!$F217="Lisbonne","B2C (Initiale)","B2C+B2B (Initiale)"))</f>
        <v/>
      </c>
      <c r="E615" s="0" t="str">
        <f aca="false">IF($A615="","",'Formation Initiale'!$B217)</f>
        <v/>
      </c>
      <c r="F615" s="116" t="str">
        <f aca="false">IF($A615="","",'Formation Initiale'!$G217)</f>
        <v/>
      </c>
      <c r="G615" s="116" t="str">
        <f aca="false">IF($A615="","",'Formation Initiale'!$H217)</f>
        <v/>
      </c>
      <c r="H615" s="0" t="str">
        <f aca="false">IF($A615="","",'Formation Initiale'!$L217)</f>
        <v/>
      </c>
      <c r="I615" s="0" t="str">
        <f aca="false">IF($A615="","",'Formation Initiale'!$R217)</f>
        <v/>
      </c>
      <c r="K615" s="104" t="n">
        <f aca="false">IF(A615="",0,IF(IFERROR(VLOOKUP(A615,Skills!$A:$M,13,FALSE()),"")="COS",0,IF(OR(I615="En cours",I615="À venir",I615="À planifier"),IF(AND(OR($C$3="Tous",$C$3="",C615=$C$3),OR($E$3="Tous",$E$3="",I615=$E$3)),1,0),0)))</f>
        <v>0</v>
      </c>
      <c r="L615" s="104" t="n">
        <f aca="false">L614+K615</f>
        <v>15</v>
      </c>
    </row>
    <row r="616" customFormat="false" ht="15" hidden="true" customHeight="true" outlineLevel="0" collapsed="false">
      <c r="A616" s="0" t="str">
        <f aca="false">IF('Formation Initiale'!$A218="","",'Formation Initiale'!$A218)</f>
        <v/>
      </c>
      <c r="B616" s="0" t="str">
        <f aca="false">IF($A616="","",'Formation Initiale'!$E218)</f>
        <v/>
      </c>
      <c r="C616" s="0" t="str">
        <f aca="false">IF($A616="","",'Formation Initiale'!$F218)</f>
        <v/>
      </c>
      <c r="D616" s="0" t="str">
        <f aca="false">IF($A616="","",IF('Formation Initiale'!$F218="Lisbonne","B2C (Initiale)","B2C+B2B (Initiale)"))</f>
        <v/>
      </c>
      <c r="E616" s="0" t="str">
        <f aca="false">IF($A616="","",'Formation Initiale'!$B218)</f>
        <v/>
      </c>
      <c r="F616" s="116" t="str">
        <f aca="false">IF($A616="","",'Formation Initiale'!$G218)</f>
        <v/>
      </c>
      <c r="G616" s="116" t="str">
        <f aca="false">IF($A616="","",'Formation Initiale'!$H218)</f>
        <v/>
      </c>
      <c r="H616" s="0" t="str">
        <f aca="false">IF($A616="","",'Formation Initiale'!$L218)</f>
        <v/>
      </c>
      <c r="I616" s="0" t="str">
        <f aca="false">IF($A616="","",'Formation Initiale'!$R218)</f>
        <v/>
      </c>
      <c r="K616" s="104" t="n">
        <f aca="false">IF(A616="",0,IF(IFERROR(VLOOKUP(A616,Skills!$A:$M,13,FALSE()),"")="COS",0,IF(OR(I616="En cours",I616="À venir",I616="À planifier"),IF(AND(OR($C$3="Tous",$C$3="",C616=$C$3),OR($E$3="Tous",$E$3="",I616=$E$3)),1,0),0)))</f>
        <v>0</v>
      </c>
      <c r="L616" s="104" t="n">
        <f aca="false">L615+K616</f>
        <v>15</v>
      </c>
    </row>
    <row r="617" customFormat="false" ht="15" hidden="true" customHeight="true" outlineLevel="0" collapsed="false">
      <c r="A617" s="0" t="str">
        <f aca="false">IF('Formation Initiale'!$A219="","",'Formation Initiale'!$A219)</f>
        <v/>
      </c>
      <c r="B617" s="0" t="str">
        <f aca="false">IF($A617="","",'Formation Initiale'!$E219)</f>
        <v/>
      </c>
      <c r="C617" s="0" t="str">
        <f aca="false">IF($A617="","",'Formation Initiale'!$F219)</f>
        <v/>
      </c>
      <c r="D617" s="0" t="str">
        <f aca="false">IF($A617="","",IF('Formation Initiale'!$F219="Lisbonne","B2C (Initiale)","B2C+B2B (Initiale)"))</f>
        <v/>
      </c>
      <c r="E617" s="0" t="str">
        <f aca="false">IF($A617="","",'Formation Initiale'!$B219)</f>
        <v/>
      </c>
      <c r="F617" s="116" t="str">
        <f aca="false">IF($A617="","",'Formation Initiale'!$G219)</f>
        <v/>
      </c>
      <c r="G617" s="116" t="str">
        <f aca="false">IF($A617="","",'Formation Initiale'!$H219)</f>
        <v/>
      </c>
      <c r="H617" s="0" t="str">
        <f aca="false">IF($A617="","",'Formation Initiale'!$L219)</f>
        <v/>
      </c>
      <c r="I617" s="0" t="str">
        <f aca="false">IF($A617="","",'Formation Initiale'!$R219)</f>
        <v/>
      </c>
      <c r="K617" s="104" t="n">
        <f aca="false">IF(A617="",0,IF(IFERROR(VLOOKUP(A617,Skills!$A:$M,13,FALSE()),"")="COS",0,IF(OR(I617="En cours",I617="À venir",I617="À planifier"),IF(AND(OR($C$3="Tous",$C$3="",C617=$C$3),OR($E$3="Tous",$E$3="",I617=$E$3)),1,0),0)))</f>
        <v>0</v>
      </c>
      <c r="L617" s="104" t="n">
        <f aca="false">L616+K617</f>
        <v>15</v>
      </c>
    </row>
    <row r="618" customFormat="false" ht="15" hidden="true" customHeight="true" outlineLevel="0" collapsed="false">
      <c r="A618" s="0" t="str">
        <f aca="false">IF('Formation Initiale'!$A220="","",'Formation Initiale'!$A220)</f>
        <v/>
      </c>
      <c r="B618" s="0" t="str">
        <f aca="false">IF($A618="","",'Formation Initiale'!$E220)</f>
        <v/>
      </c>
      <c r="C618" s="0" t="str">
        <f aca="false">IF($A618="","",'Formation Initiale'!$F220)</f>
        <v/>
      </c>
      <c r="D618" s="0" t="str">
        <f aca="false">IF($A618="","",IF('Formation Initiale'!$F220="Lisbonne","B2C (Initiale)","B2C+B2B (Initiale)"))</f>
        <v/>
      </c>
      <c r="E618" s="0" t="str">
        <f aca="false">IF($A618="","",'Formation Initiale'!$B220)</f>
        <v/>
      </c>
      <c r="F618" s="116" t="str">
        <f aca="false">IF($A618="","",'Formation Initiale'!$G220)</f>
        <v/>
      </c>
      <c r="G618" s="116" t="str">
        <f aca="false">IF($A618="","",'Formation Initiale'!$H220)</f>
        <v/>
      </c>
      <c r="H618" s="0" t="str">
        <f aca="false">IF($A618="","",'Formation Initiale'!$L220)</f>
        <v/>
      </c>
      <c r="I618" s="0" t="str">
        <f aca="false">IF($A618="","",'Formation Initiale'!$R220)</f>
        <v/>
      </c>
      <c r="K618" s="104" t="n">
        <f aca="false">IF(A618="",0,IF(IFERROR(VLOOKUP(A618,Skills!$A:$M,13,FALSE()),"")="COS",0,IF(OR(I618="En cours",I618="À venir",I618="À planifier"),IF(AND(OR($C$3="Tous",$C$3="",C618=$C$3),OR($E$3="Tous",$E$3="",I618=$E$3)),1,0),0)))</f>
        <v>0</v>
      </c>
      <c r="L618" s="104" t="n">
        <f aca="false">L617+K618</f>
        <v>15</v>
      </c>
    </row>
    <row r="619" customFormat="false" ht="15" hidden="true" customHeight="true" outlineLevel="0" collapsed="false">
      <c r="A619" s="0" t="str">
        <f aca="false">IF('Formation Initiale'!$A221="","",'Formation Initiale'!$A221)</f>
        <v/>
      </c>
      <c r="B619" s="0" t="str">
        <f aca="false">IF($A619="","",'Formation Initiale'!$E221)</f>
        <v/>
      </c>
      <c r="C619" s="0" t="str">
        <f aca="false">IF($A619="","",'Formation Initiale'!$F221)</f>
        <v/>
      </c>
      <c r="D619" s="0" t="str">
        <f aca="false">IF($A619="","",IF('Formation Initiale'!$F221="Lisbonne","B2C (Initiale)","B2C+B2B (Initiale)"))</f>
        <v/>
      </c>
      <c r="E619" s="0" t="str">
        <f aca="false">IF($A619="","",'Formation Initiale'!$B221)</f>
        <v/>
      </c>
      <c r="F619" s="116" t="str">
        <f aca="false">IF($A619="","",'Formation Initiale'!$G221)</f>
        <v/>
      </c>
      <c r="G619" s="116" t="str">
        <f aca="false">IF($A619="","",'Formation Initiale'!$H221)</f>
        <v/>
      </c>
      <c r="H619" s="0" t="str">
        <f aca="false">IF($A619="","",'Formation Initiale'!$L221)</f>
        <v/>
      </c>
      <c r="I619" s="0" t="str">
        <f aca="false">IF($A619="","",'Formation Initiale'!$R221)</f>
        <v/>
      </c>
      <c r="K619" s="104" t="n">
        <f aca="false">IF(A619="",0,IF(IFERROR(VLOOKUP(A619,Skills!$A:$M,13,FALSE()),"")="COS",0,IF(OR(I619="En cours",I619="À venir",I619="À planifier"),IF(AND(OR($C$3="Tous",$C$3="",C619=$C$3),OR($E$3="Tous",$E$3="",I619=$E$3)),1,0),0)))</f>
        <v>0</v>
      </c>
      <c r="L619" s="104" t="n">
        <f aca="false">L618+K619</f>
        <v>15</v>
      </c>
    </row>
    <row r="620" customFormat="false" ht="15" hidden="true" customHeight="true" outlineLevel="0" collapsed="false">
      <c r="A620" s="0" t="str">
        <f aca="false">IF('Formation Initiale'!$A222="","",'Formation Initiale'!$A222)</f>
        <v/>
      </c>
      <c r="B620" s="0" t="str">
        <f aca="false">IF($A620="","",'Formation Initiale'!$E222)</f>
        <v/>
      </c>
      <c r="C620" s="0" t="str">
        <f aca="false">IF($A620="","",'Formation Initiale'!$F222)</f>
        <v/>
      </c>
      <c r="D620" s="0" t="str">
        <f aca="false">IF($A620="","",IF('Formation Initiale'!$F222="Lisbonne","B2C (Initiale)","B2C+B2B (Initiale)"))</f>
        <v/>
      </c>
      <c r="E620" s="0" t="str">
        <f aca="false">IF($A620="","",'Formation Initiale'!$B222)</f>
        <v/>
      </c>
      <c r="F620" s="116" t="str">
        <f aca="false">IF($A620="","",'Formation Initiale'!$G222)</f>
        <v/>
      </c>
      <c r="G620" s="116" t="str">
        <f aca="false">IF($A620="","",'Formation Initiale'!$H222)</f>
        <v/>
      </c>
      <c r="H620" s="0" t="str">
        <f aca="false">IF($A620="","",'Formation Initiale'!$L222)</f>
        <v/>
      </c>
      <c r="I620" s="0" t="str">
        <f aca="false">IF($A620="","",'Formation Initiale'!$R222)</f>
        <v/>
      </c>
      <c r="K620" s="104" t="n">
        <f aca="false">IF(A620="",0,IF(IFERROR(VLOOKUP(A620,Skills!$A:$M,13,FALSE()),"")="COS",0,IF(OR(I620="En cours",I620="À venir",I620="À planifier"),IF(AND(OR($C$3="Tous",$C$3="",C620=$C$3),OR($E$3="Tous",$E$3="",I620=$E$3)),1,0),0)))</f>
        <v>0</v>
      </c>
      <c r="L620" s="104" t="n">
        <f aca="false">L619+K620</f>
        <v>15</v>
      </c>
    </row>
    <row r="621" customFormat="false" ht="15" hidden="true" customHeight="true" outlineLevel="0" collapsed="false">
      <c r="A621" s="0" t="str">
        <f aca="false">IF('Formation Initiale'!$A223="","",'Formation Initiale'!$A223)</f>
        <v/>
      </c>
      <c r="B621" s="0" t="str">
        <f aca="false">IF($A621="","",'Formation Initiale'!$E223)</f>
        <v/>
      </c>
      <c r="C621" s="0" t="str">
        <f aca="false">IF($A621="","",'Formation Initiale'!$F223)</f>
        <v/>
      </c>
      <c r="D621" s="0" t="str">
        <f aca="false">IF($A621="","",IF('Formation Initiale'!$F223="Lisbonne","B2C (Initiale)","B2C+B2B (Initiale)"))</f>
        <v/>
      </c>
      <c r="E621" s="0" t="str">
        <f aca="false">IF($A621="","",'Formation Initiale'!$B223)</f>
        <v/>
      </c>
      <c r="F621" s="116" t="str">
        <f aca="false">IF($A621="","",'Formation Initiale'!$G223)</f>
        <v/>
      </c>
      <c r="G621" s="116" t="str">
        <f aca="false">IF($A621="","",'Formation Initiale'!$H223)</f>
        <v/>
      </c>
      <c r="H621" s="0" t="str">
        <f aca="false">IF($A621="","",'Formation Initiale'!$L223)</f>
        <v/>
      </c>
      <c r="I621" s="0" t="str">
        <f aca="false">IF($A621="","",'Formation Initiale'!$R223)</f>
        <v/>
      </c>
      <c r="K621" s="104" t="n">
        <f aca="false">IF(A621="",0,IF(IFERROR(VLOOKUP(A621,Skills!$A:$M,13,FALSE()),"")="COS",0,IF(OR(I621="En cours",I621="À venir",I621="À planifier"),IF(AND(OR($C$3="Tous",$C$3="",C621=$C$3),OR($E$3="Tous",$E$3="",I621=$E$3)),1,0),0)))</f>
        <v>0</v>
      </c>
      <c r="L621" s="104" t="n">
        <f aca="false">L620+K621</f>
        <v>15</v>
      </c>
    </row>
    <row r="622" customFormat="false" ht="15" hidden="true" customHeight="true" outlineLevel="0" collapsed="false">
      <c r="A622" s="0" t="str">
        <f aca="false">IF('Formation Initiale'!$A224="","",'Formation Initiale'!$A224)</f>
        <v/>
      </c>
      <c r="B622" s="0" t="str">
        <f aca="false">IF($A622="","",'Formation Initiale'!$E224)</f>
        <v/>
      </c>
      <c r="C622" s="0" t="str">
        <f aca="false">IF($A622="","",'Formation Initiale'!$F224)</f>
        <v/>
      </c>
      <c r="D622" s="0" t="str">
        <f aca="false">IF($A622="","",IF('Formation Initiale'!$F224="Lisbonne","B2C (Initiale)","B2C+B2B (Initiale)"))</f>
        <v/>
      </c>
      <c r="E622" s="0" t="str">
        <f aca="false">IF($A622="","",'Formation Initiale'!$B224)</f>
        <v/>
      </c>
      <c r="F622" s="116" t="str">
        <f aca="false">IF($A622="","",'Formation Initiale'!$G224)</f>
        <v/>
      </c>
      <c r="G622" s="116" t="str">
        <f aca="false">IF($A622="","",'Formation Initiale'!$H224)</f>
        <v/>
      </c>
      <c r="H622" s="0" t="str">
        <f aca="false">IF($A622="","",'Formation Initiale'!$L224)</f>
        <v/>
      </c>
      <c r="I622" s="0" t="str">
        <f aca="false">IF($A622="","",'Formation Initiale'!$R224)</f>
        <v/>
      </c>
      <c r="K622" s="104" t="n">
        <f aca="false">IF(A622="",0,IF(IFERROR(VLOOKUP(A622,Skills!$A:$M,13,FALSE()),"")="COS",0,IF(OR(I622="En cours",I622="À venir",I622="À planifier"),IF(AND(OR($C$3="Tous",$C$3="",C622=$C$3),OR($E$3="Tous",$E$3="",I622=$E$3)),1,0),0)))</f>
        <v>0</v>
      </c>
      <c r="L622" s="104" t="n">
        <f aca="false">L621+K622</f>
        <v>15</v>
      </c>
    </row>
    <row r="623" customFormat="false" ht="15" hidden="true" customHeight="true" outlineLevel="0" collapsed="false">
      <c r="A623" s="0" t="str">
        <f aca="false">IF('Formation Initiale'!$A225="","",'Formation Initiale'!$A225)</f>
        <v/>
      </c>
      <c r="B623" s="0" t="str">
        <f aca="false">IF($A623="","",'Formation Initiale'!$E225)</f>
        <v/>
      </c>
      <c r="C623" s="0" t="str">
        <f aca="false">IF($A623="","",'Formation Initiale'!$F225)</f>
        <v/>
      </c>
      <c r="D623" s="0" t="str">
        <f aca="false">IF($A623="","",IF('Formation Initiale'!$F225="Lisbonne","B2C (Initiale)","B2C+B2B (Initiale)"))</f>
        <v/>
      </c>
      <c r="E623" s="0" t="str">
        <f aca="false">IF($A623="","",'Formation Initiale'!$B225)</f>
        <v/>
      </c>
      <c r="F623" s="116" t="str">
        <f aca="false">IF($A623="","",'Formation Initiale'!$G225)</f>
        <v/>
      </c>
      <c r="G623" s="116" t="str">
        <f aca="false">IF($A623="","",'Formation Initiale'!$H225)</f>
        <v/>
      </c>
      <c r="H623" s="0" t="str">
        <f aca="false">IF($A623="","",'Formation Initiale'!$L225)</f>
        <v/>
      </c>
      <c r="I623" s="0" t="str">
        <f aca="false">IF($A623="","",'Formation Initiale'!$R225)</f>
        <v/>
      </c>
      <c r="K623" s="104" t="n">
        <f aca="false">IF(A623="",0,IF(IFERROR(VLOOKUP(A623,Skills!$A:$M,13,FALSE()),"")="COS",0,IF(OR(I623="En cours",I623="À venir",I623="À planifier"),IF(AND(OR($C$3="Tous",$C$3="",C623=$C$3),OR($E$3="Tous",$E$3="",I623=$E$3)),1,0),0)))</f>
        <v>0</v>
      </c>
      <c r="L623" s="104" t="n">
        <f aca="false">L622+K623</f>
        <v>15</v>
      </c>
    </row>
    <row r="624" customFormat="false" ht="15" hidden="true" customHeight="true" outlineLevel="0" collapsed="false">
      <c r="A624" s="0" t="str">
        <f aca="false">IF('Formation Initiale'!$A226="","",'Formation Initiale'!$A226)</f>
        <v/>
      </c>
      <c r="B624" s="0" t="str">
        <f aca="false">IF($A624="","",'Formation Initiale'!$E226)</f>
        <v/>
      </c>
      <c r="C624" s="0" t="str">
        <f aca="false">IF($A624="","",'Formation Initiale'!$F226)</f>
        <v/>
      </c>
      <c r="D624" s="0" t="str">
        <f aca="false">IF($A624="","",IF('Formation Initiale'!$F226="Lisbonne","B2C (Initiale)","B2C+B2B (Initiale)"))</f>
        <v/>
      </c>
      <c r="E624" s="0" t="str">
        <f aca="false">IF($A624="","",'Formation Initiale'!$B226)</f>
        <v/>
      </c>
      <c r="F624" s="116" t="str">
        <f aca="false">IF($A624="","",'Formation Initiale'!$G226)</f>
        <v/>
      </c>
      <c r="G624" s="116" t="str">
        <f aca="false">IF($A624="","",'Formation Initiale'!$H226)</f>
        <v/>
      </c>
      <c r="H624" s="0" t="str">
        <f aca="false">IF($A624="","",'Formation Initiale'!$L226)</f>
        <v/>
      </c>
      <c r="I624" s="0" t="str">
        <f aca="false">IF($A624="","",'Formation Initiale'!$R226)</f>
        <v/>
      </c>
      <c r="K624" s="104" t="n">
        <f aca="false">IF(A624="",0,IF(IFERROR(VLOOKUP(A624,Skills!$A:$M,13,FALSE()),"")="COS",0,IF(OR(I624="En cours",I624="À venir",I624="À planifier"),IF(AND(OR($C$3="Tous",$C$3="",C624=$C$3),OR($E$3="Tous",$E$3="",I624=$E$3)),1,0),0)))</f>
        <v>0</v>
      </c>
      <c r="L624" s="104" t="n">
        <f aca="false">L623+K624</f>
        <v>15</v>
      </c>
    </row>
    <row r="625" customFormat="false" ht="15" hidden="true" customHeight="true" outlineLevel="0" collapsed="false">
      <c r="A625" s="0" t="str">
        <f aca="false">IF('Formation Initiale'!$A227="","",'Formation Initiale'!$A227)</f>
        <v/>
      </c>
      <c r="B625" s="0" t="str">
        <f aca="false">IF($A625="","",'Formation Initiale'!$E227)</f>
        <v/>
      </c>
      <c r="C625" s="0" t="str">
        <f aca="false">IF($A625="","",'Formation Initiale'!$F227)</f>
        <v/>
      </c>
      <c r="D625" s="0" t="str">
        <f aca="false">IF($A625="","",IF('Formation Initiale'!$F227="Lisbonne","B2C (Initiale)","B2C+B2B (Initiale)"))</f>
        <v/>
      </c>
      <c r="E625" s="0" t="str">
        <f aca="false">IF($A625="","",'Formation Initiale'!$B227)</f>
        <v/>
      </c>
      <c r="F625" s="116" t="str">
        <f aca="false">IF($A625="","",'Formation Initiale'!$G227)</f>
        <v/>
      </c>
      <c r="G625" s="116" t="str">
        <f aca="false">IF($A625="","",'Formation Initiale'!$H227)</f>
        <v/>
      </c>
      <c r="H625" s="0" t="str">
        <f aca="false">IF($A625="","",'Formation Initiale'!$L227)</f>
        <v/>
      </c>
      <c r="I625" s="0" t="str">
        <f aca="false">IF($A625="","",'Formation Initiale'!$R227)</f>
        <v/>
      </c>
      <c r="K625" s="104" t="n">
        <f aca="false">IF(A625="",0,IF(IFERROR(VLOOKUP(A625,Skills!$A:$M,13,FALSE()),"")="COS",0,IF(OR(I625="En cours",I625="À venir",I625="À planifier"),IF(AND(OR($C$3="Tous",$C$3="",C625=$C$3),OR($E$3="Tous",$E$3="",I625=$E$3)),1,0),0)))</f>
        <v>0</v>
      </c>
      <c r="L625" s="104" t="n">
        <f aca="false">L624+K625</f>
        <v>15</v>
      </c>
    </row>
    <row r="626" customFormat="false" ht="15" hidden="true" customHeight="true" outlineLevel="0" collapsed="false">
      <c r="A626" s="0" t="str">
        <f aca="false">IF('Formation Initiale'!$A228="","",'Formation Initiale'!$A228)</f>
        <v/>
      </c>
      <c r="B626" s="0" t="str">
        <f aca="false">IF($A626="","",'Formation Initiale'!$E228)</f>
        <v/>
      </c>
      <c r="C626" s="0" t="str">
        <f aca="false">IF($A626="","",'Formation Initiale'!$F228)</f>
        <v/>
      </c>
      <c r="D626" s="0" t="str">
        <f aca="false">IF($A626="","",IF('Formation Initiale'!$F228="Lisbonne","B2C (Initiale)","B2C+B2B (Initiale)"))</f>
        <v/>
      </c>
      <c r="E626" s="0" t="str">
        <f aca="false">IF($A626="","",'Formation Initiale'!$B228)</f>
        <v/>
      </c>
      <c r="F626" s="116" t="str">
        <f aca="false">IF($A626="","",'Formation Initiale'!$G228)</f>
        <v/>
      </c>
      <c r="G626" s="116" t="str">
        <f aca="false">IF($A626="","",'Formation Initiale'!$H228)</f>
        <v/>
      </c>
      <c r="H626" s="0" t="str">
        <f aca="false">IF($A626="","",'Formation Initiale'!$L228)</f>
        <v/>
      </c>
      <c r="I626" s="0" t="str">
        <f aca="false">IF($A626="","",'Formation Initiale'!$R228)</f>
        <v/>
      </c>
      <c r="K626" s="104" t="n">
        <f aca="false">IF(A626="",0,IF(IFERROR(VLOOKUP(A626,Skills!$A:$M,13,FALSE()),"")="COS",0,IF(OR(I626="En cours",I626="À venir",I626="À planifier"),IF(AND(OR($C$3="Tous",$C$3="",C626=$C$3),OR($E$3="Tous",$E$3="",I626=$E$3)),1,0),0)))</f>
        <v>0</v>
      </c>
      <c r="L626" s="104" t="n">
        <f aca="false">L625+K626</f>
        <v>15</v>
      </c>
    </row>
    <row r="627" customFormat="false" ht="15" hidden="true" customHeight="true" outlineLevel="0" collapsed="false">
      <c r="A627" s="0" t="str">
        <f aca="false">IF('Formation Initiale'!$A229="","",'Formation Initiale'!$A229)</f>
        <v/>
      </c>
      <c r="B627" s="0" t="str">
        <f aca="false">IF($A627="","",'Formation Initiale'!$E229)</f>
        <v/>
      </c>
      <c r="C627" s="0" t="str">
        <f aca="false">IF($A627="","",'Formation Initiale'!$F229)</f>
        <v/>
      </c>
      <c r="D627" s="0" t="str">
        <f aca="false">IF($A627="","",IF('Formation Initiale'!$F229="Lisbonne","B2C (Initiale)","B2C+B2B (Initiale)"))</f>
        <v/>
      </c>
      <c r="E627" s="0" t="str">
        <f aca="false">IF($A627="","",'Formation Initiale'!$B229)</f>
        <v/>
      </c>
      <c r="F627" s="116" t="str">
        <f aca="false">IF($A627="","",'Formation Initiale'!$G229)</f>
        <v/>
      </c>
      <c r="G627" s="116" t="str">
        <f aca="false">IF($A627="","",'Formation Initiale'!$H229)</f>
        <v/>
      </c>
      <c r="H627" s="0" t="str">
        <f aca="false">IF($A627="","",'Formation Initiale'!$L229)</f>
        <v/>
      </c>
      <c r="I627" s="0" t="str">
        <f aca="false">IF($A627="","",'Formation Initiale'!$R229)</f>
        <v/>
      </c>
      <c r="K627" s="104" t="n">
        <f aca="false">IF(A627="",0,IF(IFERROR(VLOOKUP(A627,Skills!$A:$M,13,FALSE()),"")="COS",0,IF(OR(I627="En cours",I627="À venir",I627="À planifier"),IF(AND(OR($C$3="Tous",$C$3="",C627=$C$3),OR($E$3="Tous",$E$3="",I627=$E$3)),1,0),0)))</f>
        <v>0</v>
      </c>
      <c r="L627" s="104" t="n">
        <f aca="false">L626+K627</f>
        <v>15</v>
      </c>
    </row>
    <row r="628" customFormat="false" ht="15" hidden="true" customHeight="true" outlineLevel="0" collapsed="false">
      <c r="A628" s="0" t="str">
        <f aca="false">IF('Formation Initiale'!$A230="","",'Formation Initiale'!$A230)</f>
        <v/>
      </c>
      <c r="B628" s="0" t="str">
        <f aca="false">IF($A628="","",'Formation Initiale'!$E230)</f>
        <v/>
      </c>
      <c r="C628" s="0" t="str">
        <f aca="false">IF($A628="","",'Formation Initiale'!$F230)</f>
        <v/>
      </c>
      <c r="D628" s="0" t="str">
        <f aca="false">IF($A628="","",IF('Formation Initiale'!$F230="Lisbonne","B2C (Initiale)","B2C+B2B (Initiale)"))</f>
        <v/>
      </c>
      <c r="E628" s="0" t="str">
        <f aca="false">IF($A628="","",'Formation Initiale'!$B230)</f>
        <v/>
      </c>
      <c r="F628" s="116" t="str">
        <f aca="false">IF($A628="","",'Formation Initiale'!$G230)</f>
        <v/>
      </c>
      <c r="G628" s="116" t="str">
        <f aca="false">IF($A628="","",'Formation Initiale'!$H230)</f>
        <v/>
      </c>
      <c r="H628" s="0" t="str">
        <f aca="false">IF($A628="","",'Formation Initiale'!$L230)</f>
        <v/>
      </c>
      <c r="I628" s="0" t="str">
        <f aca="false">IF($A628="","",'Formation Initiale'!$R230)</f>
        <v/>
      </c>
      <c r="K628" s="104" t="n">
        <f aca="false">IF(A628="",0,IF(IFERROR(VLOOKUP(A628,Skills!$A:$M,13,FALSE()),"")="COS",0,IF(OR(I628="En cours",I628="À venir",I628="À planifier"),IF(AND(OR($C$3="Tous",$C$3="",C628=$C$3),OR($E$3="Tous",$E$3="",I628=$E$3)),1,0),0)))</f>
        <v>0</v>
      </c>
      <c r="L628" s="104" t="n">
        <f aca="false">L627+K628</f>
        <v>15</v>
      </c>
    </row>
    <row r="629" customFormat="false" ht="15" hidden="true" customHeight="true" outlineLevel="0" collapsed="false">
      <c r="A629" s="0" t="str">
        <f aca="false">IF('Formation Initiale'!$A231="","",'Formation Initiale'!$A231)</f>
        <v/>
      </c>
      <c r="B629" s="0" t="str">
        <f aca="false">IF($A629="","",'Formation Initiale'!$E231)</f>
        <v/>
      </c>
      <c r="C629" s="0" t="str">
        <f aca="false">IF($A629="","",'Formation Initiale'!$F231)</f>
        <v/>
      </c>
      <c r="D629" s="0" t="str">
        <f aca="false">IF($A629="","",IF('Formation Initiale'!$F231="Lisbonne","B2C (Initiale)","B2C+B2B (Initiale)"))</f>
        <v/>
      </c>
      <c r="E629" s="0" t="str">
        <f aca="false">IF($A629="","",'Formation Initiale'!$B231)</f>
        <v/>
      </c>
      <c r="F629" s="116" t="str">
        <f aca="false">IF($A629="","",'Formation Initiale'!$G231)</f>
        <v/>
      </c>
      <c r="G629" s="116" t="str">
        <f aca="false">IF($A629="","",'Formation Initiale'!$H231)</f>
        <v/>
      </c>
      <c r="H629" s="0" t="str">
        <f aca="false">IF($A629="","",'Formation Initiale'!$L231)</f>
        <v/>
      </c>
      <c r="I629" s="0" t="str">
        <f aca="false">IF($A629="","",'Formation Initiale'!$R231)</f>
        <v/>
      </c>
      <c r="K629" s="104" t="n">
        <f aca="false">IF(A629="",0,IF(IFERROR(VLOOKUP(A629,Skills!$A:$M,13,FALSE()),"")="COS",0,IF(OR(I629="En cours",I629="À venir",I629="À planifier"),IF(AND(OR($C$3="Tous",$C$3="",C629=$C$3),OR($E$3="Tous",$E$3="",I629=$E$3)),1,0),0)))</f>
        <v>0</v>
      </c>
      <c r="L629" s="104" t="n">
        <f aca="false">L628+K629</f>
        <v>15</v>
      </c>
    </row>
    <row r="630" customFormat="false" ht="15" hidden="true" customHeight="true" outlineLevel="0" collapsed="false">
      <c r="A630" s="0" t="str">
        <f aca="false">IF('Formation Initiale'!$A232="","",'Formation Initiale'!$A232)</f>
        <v/>
      </c>
      <c r="B630" s="0" t="str">
        <f aca="false">IF($A630="","",'Formation Initiale'!$E232)</f>
        <v/>
      </c>
      <c r="C630" s="0" t="str">
        <f aca="false">IF($A630="","",'Formation Initiale'!$F232)</f>
        <v/>
      </c>
      <c r="D630" s="0" t="str">
        <f aca="false">IF($A630="","",IF('Formation Initiale'!$F232="Lisbonne","B2C (Initiale)","B2C+B2B (Initiale)"))</f>
        <v/>
      </c>
      <c r="E630" s="0" t="str">
        <f aca="false">IF($A630="","",'Formation Initiale'!$B232)</f>
        <v/>
      </c>
      <c r="F630" s="116" t="str">
        <f aca="false">IF($A630="","",'Formation Initiale'!$G232)</f>
        <v/>
      </c>
      <c r="G630" s="116" t="str">
        <f aca="false">IF($A630="","",'Formation Initiale'!$H232)</f>
        <v/>
      </c>
      <c r="H630" s="0" t="str">
        <f aca="false">IF($A630="","",'Formation Initiale'!$L232)</f>
        <v/>
      </c>
      <c r="I630" s="0" t="str">
        <f aca="false">IF($A630="","",'Formation Initiale'!$R232)</f>
        <v/>
      </c>
      <c r="K630" s="104" t="n">
        <f aca="false">IF(A630="",0,IF(IFERROR(VLOOKUP(A630,Skills!$A:$M,13,FALSE()),"")="COS",0,IF(OR(I630="En cours",I630="À venir",I630="À planifier"),IF(AND(OR($C$3="Tous",$C$3="",C630=$C$3),OR($E$3="Tous",$E$3="",I630=$E$3)),1,0),0)))</f>
        <v>0</v>
      </c>
      <c r="L630" s="104" t="n">
        <f aca="false">L629+K630</f>
        <v>15</v>
      </c>
    </row>
    <row r="631" customFormat="false" ht="15" hidden="true" customHeight="true" outlineLevel="0" collapsed="false">
      <c r="A631" s="0" t="str">
        <f aca="false">IF('Formation Initiale'!$A233="","",'Formation Initiale'!$A233)</f>
        <v/>
      </c>
      <c r="B631" s="0" t="str">
        <f aca="false">IF($A631="","",'Formation Initiale'!$E233)</f>
        <v/>
      </c>
      <c r="C631" s="0" t="str">
        <f aca="false">IF($A631="","",'Formation Initiale'!$F233)</f>
        <v/>
      </c>
      <c r="D631" s="0" t="str">
        <f aca="false">IF($A631="","",IF('Formation Initiale'!$F233="Lisbonne","B2C (Initiale)","B2C+B2B (Initiale)"))</f>
        <v/>
      </c>
      <c r="E631" s="0" t="str">
        <f aca="false">IF($A631="","",'Formation Initiale'!$B233)</f>
        <v/>
      </c>
      <c r="F631" s="116" t="str">
        <f aca="false">IF($A631="","",'Formation Initiale'!$G233)</f>
        <v/>
      </c>
      <c r="G631" s="116" t="str">
        <f aca="false">IF($A631="","",'Formation Initiale'!$H233)</f>
        <v/>
      </c>
      <c r="H631" s="0" t="str">
        <f aca="false">IF($A631="","",'Formation Initiale'!$L233)</f>
        <v/>
      </c>
      <c r="I631" s="0" t="str">
        <f aca="false">IF($A631="","",'Formation Initiale'!$R233)</f>
        <v/>
      </c>
      <c r="K631" s="104" t="n">
        <f aca="false">IF(A631="",0,IF(IFERROR(VLOOKUP(A631,Skills!$A:$M,13,FALSE()),"")="COS",0,IF(OR(I631="En cours",I631="À venir",I631="À planifier"),IF(AND(OR($C$3="Tous",$C$3="",C631=$C$3),OR($E$3="Tous",$E$3="",I631=$E$3)),1,0),0)))</f>
        <v>0</v>
      </c>
      <c r="L631" s="104" t="n">
        <f aca="false">L630+K631</f>
        <v>15</v>
      </c>
    </row>
    <row r="632" customFormat="false" ht="15" hidden="true" customHeight="true" outlineLevel="0" collapsed="false">
      <c r="A632" s="0" t="str">
        <f aca="false">IF('Formation Initiale'!$A234="","",'Formation Initiale'!$A234)</f>
        <v/>
      </c>
      <c r="B632" s="0" t="str">
        <f aca="false">IF($A632="","",'Formation Initiale'!$E234)</f>
        <v/>
      </c>
      <c r="C632" s="0" t="str">
        <f aca="false">IF($A632="","",'Formation Initiale'!$F234)</f>
        <v/>
      </c>
      <c r="D632" s="0" t="str">
        <f aca="false">IF($A632="","",IF('Formation Initiale'!$F234="Lisbonne","B2C (Initiale)","B2C+B2B (Initiale)"))</f>
        <v/>
      </c>
      <c r="E632" s="0" t="str">
        <f aca="false">IF($A632="","",'Formation Initiale'!$B234)</f>
        <v/>
      </c>
      <c r="F632" s="116" t="str">
        <f aca="false">IF($A632="","",'Formation Initiale'!$G234)</f>
        <v/>
      </c>
      <c r="G632" s="116" t="str">
        <f aca="false">IF($A632="","",'Formation Initiale'!$H234)</f>
        <v/>
      </c>
      <c r="H632" s="0" t="str">
        <f aca="false">IF($A632="","",'Formation Initiale'!$L234)</f>
        <v/>
      </c>
      <c r="I632" s="0" t="str">
        <f aca="false">IF($A632="","",'Formation Initiale'!$R234)</f>
        <v/>
      </c>
      <c r="K632" s="104" t="n">
        <f aca="false">IF(A632="",0,IF(IFERROR(VLOOKUP(A632,Skills!$A:$M,13,FALSE()),"")="COS",0,IF(OR(I632="En cours",I632="À venir",I632="À planifier"),IF(AND(OR($C$3="Tous",$C$3="",C632=$C$3),OR($E$3="Tous",$E$3="",I632=$E$3)),1,0),0)))</f>
        <v>0</v>
      </c>
      <c r="L632" s="104" t="n">
        <f aca="false">L631+K632</f>
        <v>15</v>
      </c>
    </row>
    <row r="633" customFormat="false" ht="15" hidden="true" customHeight="true" outlineLevel="0" collapsed="false">
      <c r="A633" s="0" t="str">
        <f aca="false">IF('Formation Initiale'!$A235="","",'Formation Initiale'!$A235)</f>
        <v/>
      </c>
      <c r="B633" s="0" t="str">
        <f aca="false">IF($A633="","",'Formation Initiale'!$E235)</f>
        <v/>
      </c>
      <c r="C633" s="0" t="str">
        <f aca="false">IF($A633="","",'Formation Initiale'!$F235)</f>
        <v/>
      </c>
      <c r="D633" s="0" t="str">
        <f aca="false">IF($A633="","",IF('Formation Initiale'!$F235="Lisbonne","B2C (Initiale)","B2C+B2B (Initiale)"))</f>
        <v/>
      </c>
      <c r="E633" s="0" t="str">
        <f aca="false">IF($A633="","",'Formation Initiale'!$B235)</f>
        <v/>
      </c>
      <c r="F633" s="116" t="str">
        <f aca="false">IF($A633="","",'Formation Initiale'!$G235)</f>
        <v/>
      </c>
      <c r="G633" s="116" t="str">
        <f aca="false">IF($A633="","",'Formation Initiale'!$H235)</f>
        <v/>
      </c>
      <c r="H633" s="0" t="str">
        <f aca="false">IF($A633="","",'Formation Initiale'!$L235)</f>
        <v/>
      </c>
      <c r="I633" s="0" t="str">
        <f aca="false">IF($A633="","",'Formation Initiale'!$R235)</f>
        <v/>
      </c>
      <c r="K633" s="104" t="n">
        <f aca="false">IF(A633="",0,IF(IFERROR(VLOOKUP(A633,Skills!$A:$M,13,FALSE()),"")="COS",0,IF(OR(I633="En cours",I633="À venir",I633="À planifier"),IF(AND(OR($C$3="Tous",$C$3="",C633=$C$3),OR($E$3="Tous",$E$3="",I633=$E$3)),1,0),0)))</f>
        <v>0</v>
      </c>
      <c r="L633" s="104" t="n">
        <f aca="false">L632+K633</f>
        <v>15</v>
      </c>
    </row>
    <row r="634" customFormat="false" ht="15" hidden="true" customHeight="true" outlineLevel="0" collapsed="false">
      <c r="A634" s="0" t="str">
        <f aca="false">IF('Formation Initiale'!$A236="","",'Formation Initiale'!$A236)</f>
        <v/>
      </c>
      <c r="B634" s="0" t="str">
        <f aca="false">IF($A634="","",'Formation Initiale'!$E236)</f>
        <v/>
      </c>
      <c r="C634" s="0" t="str">
        <f aca="false">IF($A634="","",'Formation Initiale'!$F236)</f>
        <v/>
      </c>
      <c r="D634" s="0" t="str">
        <f aca="false">IF($A634="","",IF('Formation Initiale'!$F236="Lisbonne","B2C (Initiale)","B2C+B2B (Initiale)"))</f>
        <v/>
      </c>
      <c r="E634" s="0" t="str">
        <f aca="false">IF($A634="","",'Formation Initiale'!$B236)</f>
        <v/>
      </c>
      <c r="F634" s="116" t="str">
        <f aca="false">IF($A634="","",'Formation Initiale'!$G236)</f>
        <v/>
      </c>
      <c r="G634" s="116" t="str">
        <f aca="false">IF($A634="","",'Formation Initiale'!$H236)</f>
        <v/>
      </c>
      <c r="H634" s="0" t="str">
        <f aca="false">IF($A634="","",'Formation Initiale'!$L236)</f>
        <v/>
      </c>
      <c r="I634" s="0" t="str">
        <f aca="false">IF($A634="","",'Formation Initiale'!$R236)</f>
        <v/>
      </c>
      <c r="K634" s="104" t="n">
        <f aca="false">IF(A634="",0,IF(IFERROR(VLOOKUP(A634,Skills!$A:$M,13,FALSE()),"")="COS",0,IF(OR(I634="En cours",I634="À venir",I634="À planifier"),IF(AND(OR($C$3="Tous",$C$3="",C634=$C$3),OR($E$3="Tous",$E$3="",I634=$E$3)),1,0),0)))</f>
        <v>0</v>
      </c>
      <c r="L634" s="104" t="n">
        <f aca="false">L633+K634</f>
        <v>15</v>
      </c>
    </row>
    <row r="635" customFormat="false" ht="15" hidden="true" customHeight="true" outlineLevel="0" collapsed="false">
      <c r="A635" s="0" t="str">
        <f aca="false">IF('Formation Initiale'!$A237="","",'Formation Initiale'!$A237)</f>
        <v/>
      </c>
      <c r="B635" s="0" t="str">
        <f aca="false">IF($A635="","",'Formation Initiale'!$E237)</f>
        <v/>
      </c>
      <c r="C635" s="0" t="str">
        <f aca="false">IF($A635="","",'Formation Initiale'!$F237)</f>
        <v/>
      </c>
      <c r="D635" s="0" t="str">
        <f aca="false">IF($A635="","",IF('Formation Initiale'!$F237="Lisbonne","B2C (Initiale)","B2C+B2B (Initiale)"))</f>
        <v/>
      </c>
      <c r="E635" s="0" t="str">
        <f aca="false">IF($A635="","",'Formation Initiale'!$B237)</f>
        <v/>
      </c>
      <c r="F635" s="116" t="str">
        <f aca="false">IF($A635="","",'Formation Initiale'!$G237)</f>
        <v/>
      </c>
      <c r="G635" s="116" t="str">
        <f aca="false">IF($A635="","",'Formation Initiale'!$H237)</f>
        <v/>
      </c>
      <c r="H635" s="0" t="str">
        <f aca="false">IF($A635="","",'Formation Initiale'!$L237)</f>
        <v/>
      </c>
      <c r="I635" s="0" t="str">
        <f aca="false">IF($A635="","",'Formation Initiale'!$R237)</f>
        <v/>
      </c>
      <c r="K635" s="104" t="n">
        <f aca="false">IF(A635="",0,IF(IFERROR(VLOOKUP(A635,Skills!$A:$M,13,FALSE()),"")="COS",0,IF(OR(I635="En cours",I635="À venir",I635="À planifier"),IF(AND(OR($C$3="Tous",$C$3="",C635=$C$3),OR($E$3="Tous",$E$3="",I635=$E$3)),1,0),0)))</f>
        <v>0</v>
      </c>
      <c r="L635" s="104" t="n">
        <f aca="false">L634+K635</f>
        <v>15</v>
      </c>
    </row>
    <row r="636" customFormat="false" ht="15" hidden="true" customHeight="true" outlineLevel="0" collapsed="false">
      <c r="A636" s="0" t="str">
        <f aca="false">IF('Formation Initiale'!$A238="","",'Formation Initiale'!$A238)</f>
        <v/>
      </c>
      <c r="B636" s="0" t="str">
        <f aca="false">IF($A636="","",'Formation Initiale'!$E238)</f>
        <v/>
      </c>
      <c r="C636" s="0" t="str">
        <f aca="false">IF($A636="","",'Formation Initiale'!$F238)</f>
        <v/>
      </c>
      <c r="D636" s="0" t="str">
        <f aca="false">IF($A636="","",IF('Formation Initiale'!$F238="Lisbonne","B2C (Initiale)","B2C+B2B (Initiale)"))</f>
        <v/>
      </c>
      <c r="E636" s="0" t="str">
        <f aca="false">IF($A636="","",'Formation Initiale'!$B238)</f>
        <v/>
      </c>
      <c r="F636" s="116" t="str">
        <f aca="false">IF($A636="","",'Formation Initiale'!$G238)</f>
        <v/>
      </c>
      <c r="G636" s="116" t="str">
        <f aca="false">IF($A636="","",'Formation Initiale'!$H238)</f>
        <v/>
      </c>
      <c r="H636" s="0" t="str">
        <f aca="false">IF($A636="","",'Formation Initiale'!$L238)</f>
        <v/>
      </c>
      <c r="I636" s="0" t="str">
        <f aca="false">IF($A636="","",'Formation Initiale'!$R238)</f>
        <v/>
      </c>
      <c r="K636" s="104" t="n">
        <f aca="false">IF(A636="",0,IF(IFERROR(VLOOKUP(A636,Skills!$A:$M,13,FALSE()),"")="COS",0,IF(OR(I636="En cours",I636="À venir",I636="À planifier"),IF(AND(OR($C$3="Tous",$C$3="",C636=$C$3),OR($E$3="Tous",$E$3="",I636=$E$3)),1,0),0)))</f>
        <v>0</v>
      </c>
      <c r="L636" s="104" t="n">
        <f aca="false">L635+K636</f>
        <v>15</v>
      </c>
    </row>
    <row r="637" customFormat="false" ht="15" hidden="true" customHeight="true" outlineLevel="0" collapsed="false">
      <c r="A637" s="0" t="str">
        <f aca="false">IF('Formation Initiale'!$A239="","",'Formation Initiale'!$A239)</f>
        <v/>
      </c>
      <c r="B637" s="0" t="str">
        <f aca="false">IF($A637="","",'Formation Initiale'!$E239)</f>
        <v/>
      </c>
      <c r="C637" s="0" t="str">
        <f aca="false">IF($A637="","",'Formation Initiale'!$F239)</f>
        <v/>
      </c>
      <c r="D637" s="0" t="str">
        <f aca="false">IF($A637="","",IF('Formation Initiale'!$F239="Lisbonne","B2C (Initiale)","B2C+B2B (Initiale)"))</f>
        <v/>
      </c>
      <c r="E637" s="0" t="str">
        <f aca="false">IF($A637="","",'Formation Initiale'!$B239)</f>
        <v/>
      </c>
      <c r="F637" s="116" t="str">
        <f aca="false">IF($A637="","",'Formation Initiale'!$G239)</f>
        <v/>
      </c>
      <c r="G637" s="116" t="str">
        <f aca="false">IF($A637="","",'Formation Initiale'!$H239)</f>
        <v/>
      </c>
      <c r="H637" s="0" t="str">
        <f aca="false">IF($A637="","",'Formation Initiale'!$L239)</f>
        <v/>
      </c>
      <c r="I637" s="0" t="str">
        <f aca="false">IF($A637="","",'Formation Initiale'!$R239)</f>
        <v/>
      </c>
      <c r="K637" s="104" t="n">
        <f aca="false">IF(A637="",0,IF(IFERROR(VLOOKUP(A637,Skills!$A:$M,13,FALSE()),"")="COS",0,IF(OR(I637="En cours",I637="À venir",I637="À planifier"),IF(AND(OR($C$3="Tous",$C$3="",C637=$C$3),OR($E$3="Tous",$E$3="",I637=$E$3)),1,0),0)))</f>
        <v>0</v>
      </c>
      <c r="L637" s="104" t="n">
        <f aca="false">L636+K637</f>
        <v>15</v>
      </c>
    </row>
    <row r="638" customFormat="false" ht="15" hidden="true" customHeight="true" outlineLevel="0" collapsed="false">
      <c r="A638" s="0" t="str">
        <f aca="false">IF('Formation Initiale'!$A240="","",'Formation Initiale'!$A240)</f>
        <v/>
      </c>
      <c r="B638" s="0" t="str">
        <f aca="false">IF($A638="","",'Formation Initiale'!$E240)</f>
        <v/>
      </c>
      <c r="C638" s="0" t="str">
        <f aca="false">IF($A638="","",'Formation Initiale'!$F240)</f>
        <v/>
      </c>
      <c r="D638" s="0" t="str">
        <f aca="false">IF($A638="","",IF('Formation Initiale'!$F240="Lisbonne","B2C (Initiale)","B2C+B2B (Initiale)"))</f>
        <v/>
      </c>
      <c r="E638" s="0" t="str">
        <f aca="false">IF($A638="","",'Formation Initiale'!$B240)</f>
        <v/>
      </c>
      <c r="F638" s="116" t="str">
        <f aca="false">IF($A638="","",'Formation Initiale'!$G240)</f>
        <v/>
      </c>
      <c r="G638" s="116" t="str">
        <f aca="false">IF($A638="","",'Formation Initiale'!$H240)</f>
        <v/>
      </c>
      <c r="H638" s="0" t="str">
        <f aca="false">IF($A638="","",'Formation Initiale'!$L240)</f>
        <v/>
      </c>
      <c r="I638" s="0" t="str">
        <f aca="false">IF($A638="","",'Formation Initiale'!$R240)</f>
        <v/>
      </c>
      <c r="K638" s="104" t="n">
        <f aca="false">IF(A638="",0,IF(IFERROR(VLOOKUP(A638,Skills!$A:$M,13,FALSE()),"")="COS",0,IF(OR(I638="En cours",I638="À venir",I638="À planifier"),IF(AND(OR($C$3="Tous",$C$3="",C638=$C$3),OR($E$3="Tous",$E$3="",I638=$E$3)),1,0),0)))</f>
        <v>0</v>
      </c>
      <c r="L638" s="104" t="n">
        <f aca="false">L637+K638</f>
        <v>15</v>
      </c>
    </row>
    <row r="639" customFormat="false" ht="15" hidden="true" customHeight="true" outlineLevel="0" collapsed="false">
      <c r="A639" s="0" t="str">
        <f aca="false">IF('Formation Initiale'!$A241="","",'Formation Initiale'!$A241)</f>
        <v/>
      </c>
      <c r="B639" s="0" t="str">
        <f aca="false">IF($A639="","",'Formation Initiale'!$E241)</f>
        <v/>
      </c>
      <c r="C639" s="0" t="str">
        <f aca="false">IF($A639="","",'Formation Initiale'!$F241)</f>
        <v/>
      </c>
      <c r="D639" s="0" t="str">
        <f aca="false">IF($A639="","",IF('Formation Initiale'!$F241="Lisbonne","B2C (Initiale)","B2C+B2B (Initiale)"))</f>
        <v/>
      </c>
      <c r="E639" s="0" t="str">
        <f aca="false">IF($A639="","",'Formation Initiale'!$B241)</f>
        <v/>
      </c>
      <c r="F639" s="116" t="str">
        <f aca="false">IF($A639="","",'Formation Initiale'!$G241)</f>
        <v/>
      </c>
      <c r="G639" s="116" t="str">
        <f aca="false">IF($A639="","",'Formation Initiale'!$H241)</f>
        <v/>
      </c>
      <c r="H639" s="0" t="str">
        <f aca="false">IF($A639="","",'Formation Initiale'!$L241)</f>
        <v/>
      </c>
      <c r="I639" s="0" t="str">
        <f aca="false">IF($A639="","",'Formation Initiale'!$R241)</f>
        <v/>
      </c>
      <c r="K639" s="104" t="n">
        <f aca="false">IF(A639="",0,IF(IFERROR(VLOOKUP(A639,Skills!$A:$M,13,FALSE()),"")="COS",0,IF(OR(I639="En cours",I639="À venir",I639="À planifier"),IF(AND(OR($C$3="Tous",$C$3="",C639=$C$3),OR($E$3="Tous",$E$3="",I639=$E$3)),1,0),0)))</f>
        <v>0</v>
      </c>
      <c r="L639" s="104" t="n">
        <f aca="false">L638+K639</f>
        <v>15</v>
      </c>
    </row>
    <row r="640" customFormat="false" ht="15" hidden="true" customHeight="true" outlineLevel="0" collapsed="false">
      <c r="A640" s="0" t="str">
        <f aca="false">IF('Formation Initiale'!$A242="","",'Formation Initiale'!$A242)</f>
        <v/>
      </c>
      <c r="B640" s="0" t="str">
        <f aca="false">IF($A640="","",'Formation Initiale'!$E242)</f>
        <v/>
      </c>
      <c r="C640" s="0" t="str">
        <f aca="false">IF($A640="","",'Formation Initiale'!$F242)</f>
        <v/>
      </c>
      <c r="D640" s="0" t="str">
        <f aca="false">IF($A640="","",IF('Formation Initiale'!$F242="Lisbonne","B2C (Initiale)","B2C+B2B (Initiale)"))</f>
        <v/>
      </c>
      <c r="E640" s="0" t="str">
        <f aca="false">IF($A640="","",'Formation Initiale'!$B242)</f>
        <v/>
      </c>
      <c r="F640" s="116" t="str">
        <f aca="false">IF($A640="","",'Formation Initiale'!$G242)</f>
        <v/>
      </c>
      <c r="G640" s="116" t="str">
        <f aca="false">IF($A640="","",'Formation Initiale'!$H242)</f>
        <v/>
      </c>
      <c r="H640" s="0" t="str">
        <f aca="false">IF($A640="","",'Formation Initiale'!$L242)</f>
        <v/>
      </c>
      <c r="I640" s="0" t="str">
        <f aca="false">IF($A640="","",'Formation Initiale'!$R242)</f>
        <v/>
      </c>
      <c r="K640" s="104" t="n">
        <f aca="false">IF(A640="",0,IF(IFERROR(VLOOKUP(A640,Skills!$A:$M,13,FALSE()),"")="COS",0,IF(OR(I640="En cours",I640="À venir",I640="À planifier"),IF(AND(OR($C$3="Tous",$C$3="",C640=$C$3),OR($E$3="Tous",$E$3="",I640=$E$3)),1,0),0)))</f>
        <v>0</v>
      </c>
      <c r="L640" s="104" t="n">
        <f aca="false">L639+K640</f>
        <v>15</v>
      </c>
    </row>
    <row r="641" customFormat="false" ht="15" hidden="true" customHeight="true" outlineLevel="0" collapsed="false">
      <c r="A641" s="0" t="str">
        <f aca="false">IF('Formation Initiale'!$A243="","",'Formation Initiale'!$A243)</f>
        <v/>
      </c>
      <c r="B641" s="0" t="str">
        <f aca="false">IF($A641="","",'Formation Initiale'!$E243)</f>
        <v/>
      </c>
      <c r="C641" s="0" t="str">
        <f aca="false">IF($A641="","",'Formation Initiale'!$F243)</f>
        <v/>
      </c>
      <c r="D641" s="0" t="str">
        <f aca="false">IF($A641="","",IF('Formation Initiale'!$F243="Lisbonne","B2C (Initiale)","B2C+B2B (Initiale)"))</f>
        <v/>
      </c>
      <c r="E641" s="0" t="str">
        <f aca="false">IF($A641="","",'Formation Initiale'!$B243)</f>
        <v/>
      </c>
      <c r="F641" s="116" t="str">
        <f aca="false">IF($A641="","",'Formation Initiale'!$G243)</f>
        <v/>
      </c>
      <c r="G641" s="116" t="str">
        <f aca="false">IF($A641="","",'Formation Initiale'!$H243)</f>
        <v/>
      </c>
      <c r="H641" s="0" t="str">
        <f aca="false">IF($A641="","",'Formation Initiale'!$L243)</f>
        <v/>
      </c>
      <c r="I641" s="0" t="str">
        <f aca="false">IF($A641="","",'Formation Initiale'!$R243)</f>
        <v/>
      </c>
      <c r="K641" s="104" t="n">
        <f aca="false">IF(A641="",0,IF(IFERROR(VLOOKUP(A641,Skills!$A:$M,13,FALSE()),"")="COS",0,IF(OR(I641="En cours",I641="À venir",I641="À planifier"),IF(AND(OR($C$3="Tous",$C$3="",C641=$C$3),OR($E$3="Tous",$E$3="",I641=$E$3)),1,0),0)))</f>
        <v>0</v>
      </c>
      <c r="L641" s="104" t="n">
        <f aca="false">L640+K641</f>
        <v>15</v>
      </c>
    </row>
    <row r="642" customFormat="false" ht="15" hidden="true" customHeight="true" outlineLevel="0" collapsed="false">
      <c r="A642" s="0" t="str">
        <f aca="false">IF('Formation Initiale'!$A244="","",'Formation Initiale'!$A244)</f>
        <v/>
      </c>
      <c r="B642" s="0" t="str">
        <f aca="false">IF($A642="","",'Formation Initiale'!$E244)</f>
        <v/>
      </c>
      <c r="C642" s="0" t="str">
        <f aca="false">IF($A642="","",'Formation Initiale'!$F244)</f>
        <v/>
      </c>
      <c r="D642" s="0" t="str">
        <f aca="false">IF($A642="","",IF('Formation Initiale'!$F244="Lisbonne","B2C (Initiale)","B2C+B2B (Initiale)"))</f>
        <v/>
      </c>
      <c r="E642" s="0" t="str">
        <f aca="false">IF($A642="","",'Formation Initiale'!$B244)</f>
        <v/>
      </c>
      <c r="F642" s="116" t="str">
        <f aca="false">IF($A642="","",'Formation Initiale'!$G244)</f>
        <v/>
      </c>
      <c r="G642" s="116" t="str">
        <f aca="false">IF($A642="","",'Formation Initiale'!$H244)</f>
        <v/>
      </c>
      <c r="H642" s="0" t="str">
        <f aca="false">IF($A642="","",'Formation Initiale'!$L244)</f>
        <v/>
      </c>
      <c r="I642" s="0" t="str">
        <f aca="false">IF($A642="","",'Formation Initiale'!$R244)</f>
        <v/>
      </c>
      <c r="K642" s="104" t="n">
        <f aca="false">IF(A642="",0,IF(IFERROR(VLOOKUP(A642,Skills!$A:$M,13,FALSE()),"")="COS",0,IF(OR(I642="En cours",I642="À venir",I642="À planifier"),IF(AND(OR($C$3="Tous",$C$3="",C642=$C$3),OR($E$3="Tous",$E$3="",I642=$E$3)),1,0),0)))</f>
        <v>0</v>
      </c>
      <c r="L642" s="104" t="n">
        <f aca="false">L641+K642</f>
        <v>15</v>
      </c>
    </row>
    <row r="643" customFormat="false" ht="15" hidden="true" customHeight="true" outlineLevel="0" collapsed="false">
      <c r="A643" s="0" t="str">
        <f aca="false">IF('Formation Initiale'!$A245="","",'Formation Initiale'!$A245)</f>
        <v/>
      </c>
      <c r="B643" s="0" t="str">
        <f aca="false">IF($A643="","",'Formation Initiale'!$E245)</f>
        <v/>
      </c>
      <c r="C643" s="0" t="str">
        <f aca="false">IF($A643="","",'Formation Initiale'!$F245)</f>
        <v/>
      </c>
      <c r="D643" s="0" t="str">
        <f aca="false">IF($A643="","",IF('Formation Initiale'!$F245="Lisbonne","B2C (Initiale)","B2C+B2B (Initiale)"))</f>
        <v/>
      </c>
      <c r="E643" s="0" t="str">
        <f aca="false">IF($A643="","",'Formation Initiale'!$B245)</f>
        <v/>
      </c>
      <c r="F643" s="116" t="str">
        <f aca="false">IF($A643="","",'Formation Initiale'!$G245)</f>
        <v/>
      </c>
      <c r="G643" s="116" t="str">
        <f aca="false">IF($A643="","",'Formation Initiale'!$H245)</f>
        <v/>
      </c>
      <c r="H643" s="0" t="str">
        <f aca="false">IF($A643="","",'Formation Initiale'!$L245)</f>
        <v/>
      </c>
      <c r="I643" s="0" t="str">
        <f aca="false">IF($A643="","",'Formation Initiale'!$R245)</f>
        <v/>
      </c>
      <c r="K643" s="104" t="n">
        <f aca="false">IF(A643="",0,IF(IFERROR(VLOOKUP(A643,Skills!$A:$M,13,FALSE()),"")="COS",0,IF(OR(I643="En cours",I643="À venir",I643="À planifier"),IF(AND(OR($C$3="Tous",$C$3="",C643=$C$3),OR($E$3="Tous",$E$3="",I643=$E$3)),1,0),0)))</f>
        <v>0</v>
      </c>
      <c r="L643" s="104" t="n">
        <f aca="false">L642+K643</f>
        <v>15</v>
      </c>
    </row>
    <row r="644" customFormat="false" ht="15" hidden="true" customHeight="true" outlineLevel="0" collapsed="false">
      <c r="A644" s="0" t="str">
        <f aca="false">IF('Formation Initiale'!$A246="","",'Formation Initiale'!$A246)</f>
        <v/>
      </c>
      <c r="B644" s="0" t="str">
        <f aca="false">IF($A644="","",'Formation Initiale'!$E246)</f>
        <v/>
      </c>
      <c r="C644" s="0" t="str">
        <f aca="false">IF($A644="","",'Formation Initiale'!$F246)</f>
        <v/>
      </c>
      <c r="D644" s="0" t="str">
        <f aca="false">IF($A644="","",IF('Formation Initiale'!$F246="Lisbonne","B2C (Initiale)","B2C+B2B (Initiale)"))</f>
        <v/>
      </c>
      <c r="E644" s="0" t="str">
        <f aca="false">IF($A644="","",'Formation Initiale'!$B246)</f>
        <v/>
      </c>
      <c r="F644" s="116" t="str">
        <f aca="false">IF($A644="","",'Formation Initiale'!$G246)</f>
        <v/>
      </c>
      <c r="G644" s="116" t="str">
        <f aca="false">IF($A644="","",'Formation Initiale'!$H246)</f>
        <v/>
      </c>
      <c r="H644" s="0" t="str">
        <f aca="false">IF($A644="","",'Formation Initiale'!$L246)</f>
        <v/>
      </c>
      <c r="I644" s="0" t="str">
        <f aca="false">IF($A644="","",'Formation Initiale'!$R246)</f>
        <v/>
      </c>
      <c r="K644" s="104" t="n">
        <f aca="false">IF(A644="",0,IF(IFERROR(VLOOKUP(A644,Skills!$A:$M,13,FALSE()),"")="COS",0,IF(OR(I644="En cours",I644="À venir",I644="À planifier"),IF(AND(OR($C$3="Tous",$C$3="",C644=$C$3),OR($E$3="Tous",$E$3="",I644=$E$3)),1,0),0)))</f>
        <v>0</v>
      </c>
      <c r="L644" s="104" t="n">
        <f aca="false">L643+K644</f>
        <v>15</v>
      </c>
    </row>
    <row r="645" customFormat="false" ht="15" hidden="true" customHeight="true" outlineLevel="0" collapsed="false">
      <c r="A645" s="0" t="str">
        <f aca="false">IF('Formation Initiale'!$A247="","",'Formation Initiale'!$A247)</f>
        <v/>
      </c>
      <c r="B645" s="0" t="str">
        <f aca="false">IF($A645="","",'Formation Initiale'!$E247)</f>
        <v/>
      </c>
      <c r="C645" s="0" t="str">
        <f aca="false">IF($A645="","",'Formation Initiale'!$F247)</f>
        <v/>
      </c>
      <c r="D645" s="0" t="str">
        <f aca="false">IF($A645="","",IF('Formation Initiale'!$F247="Lisbonne","B2C (Initiale)","B2C+B2B (Initiale)"))</f>
        <v/>
      </c>
      <c r="E645" s="0" t="str">
        <f aca="false">IF($A645="","",'Formation Initiale'!$B247)</f>
        <v/>
      </c>
      <c r="F645" s="116" t="str">
        <f aca="false">IF($A645="","",'Formation Initiale'!$G247)</f>
        <v/>
      </c>
      <c r="G645" s="116" t="str">
        <f aca="false">IF($A645="","",'Formation Initiale'!$H247)</f>
        <v/>
      </c>
      <c r="H645" s="0" t="str">
        <f aca="false">IF($A645="","",'Formation Initiale'!$L247)</f>
        <v/>
      </c>
      <c r="I645" s="0" t="str">
        <f aca="false">IF($A645="","",'Formation Initiale'!$R247)</f>
        <v/>
      </c>
      <c r="K645" s="104" t="n">
        <f aca="false">IF(A645="",0,IF(IFERROR(VLOOKUP(A645,Skills!$A:$M,13,FALSE()),"")="COS",0,IF(OR(I645="En cours",I645="À venir",I645="À planifier"),IF(AND(OR($C$3="Tous",$C$3="",C645=$C$3),OR($E$3="Tous",$E$3="",I645=$E$3)),1,0),0)))</f>
        <v>0</v>
      </c>
      <c r="L645" s="104" t="n">
        <f aca="false">L644+K645</f>
        <v>15</v>
      </c>
    </row>
    <row r="646" customFormat="false" ht="15" hidden="true" customHeight="true" outlineLevel="0" collapsed="false">
      <c r="A646" s="0" t="str">
        <f aca="false">IF('Formation Initiale'!$A248="","",'Formation Initiale'!$A248)</f>
        <v/>
      </c>
      <c r="B646" s="0" t="str">
        <f aca="false">IF($A646="","",'Formation Initiale'!$E248)</f>
        <v/>
      </c>
      <c r="C646" s="0" t="str">
        <f aca="false">IF($A646="","",'Formation Initiale'!$F248)</f>
        <v/>
      </c>
      <c r="D646" s="0" t="str">
        <f aca="false">IF($A646="","",IF('Formation Initiale'!$F248="Lisbonne","B2C (Initiale)","B2C+B2B (Initiale)"))</f>
        <v/>
      </c>
      <c r="E646" s="0" t="str">
        <f aca="false">IF($A646="","",'Formation Initiale'!$B248)</f>
        <v/>
      </c>
      <c r="F646" s="116" t="str">
        <f aca="false">IF($A646="","",'Formation Initiale'!$G248)</f>
        <v/>
      </c>
      <c r="G646" s="116" t="str">
        <f aca="false">IF($A646="","",'Formation Initiale'!$H248)</f>
        <v/>
      </c>
      <c r="H646" s="0" t="str">
        <f aca="false">IF($A646="","",'Formation Initiale'!$L248)</f>
        <v/>
      </c>
      <c r="I646" s="0" t="str">
        <f aca="false">IF($A646="","",'Formation Initiale'!$R248)</f>
        <v/>
      </c>
      <c r="K646" s="104" t="n">
        <f aca="false">IF(A646="",0,IF(IFERROR(VLOOKUP(A646,Skills!$A:$M,13,FALSE()),"")="COS",0,IF(OR(I646="En cours",I646="À venir",I646="À planifier"),IF(AND(OR($C$3="Tous",$C$3="",C646=$C$3),OR($E$3="Tous",$E$3="",I646=$E$3)),1,0),0)))</f>
        <v>0</v>
      </c>
      <c r="L646" s="104" t="n">
        <f aca="false">L645+K646</f>
        <v>15</v>
      </c>
    </row>
    <row r="647" customFormat="false" ht="15" hidden="true" customHeight="true" outlineLevel="0" collapsed="false">
      <c r="A647" s="0" t="str">
        <f aca="false">IF('Formation Initiale'!$A249="","",'Formation Initiale'!$A249)</f>
        <v/>
      </c>
      <c r="B647" s="0" t="str">
        <f aca="false">IF($A647="","",'Formation Initiale'!$E249)</f>
        <v/>
      </c>
      <c r="C647" s="0" t="str">
        <f aca="false">IF($A647="","",'Formation Initiale'!$F249)</f>
        <v/>
      </c>
      <c r="D647" s="0" t="str">
        <f aca="false">IF($A647="","",IF('Formation Initiale'!$F249="Lisbonne","B2C (Initiale)","B2C+B2B (Initiale)"))</f>
        <v/>
      </c>
      <c r="E647" s="0" t="str">
        <f aca="false">IF($A647="","",'Formation Initiale'!$B249)</f>
        <v/>
      </c>
      <c r="F647" s="116" t="str">
        <f aca="false">IF($A647="","",'Formation Initiale'!$G249)</f>
        <v/>
      </c>
      <c r="G647" s="116" t="str">
        <f aca="false">IF($A647="","",'Formation Initiale'!$H249)</f>
        <v/>
      </c>
      <c r="H647" s="0" t="str">
        <f aca="false">IF($A647="","",'Formation Initiale'!$L249)</f>
        <v/>
      </c>
      <c r="I647" s="0" t="str">
        <f aca="false">IF($A647="","",'Formation Initiale'!$R249)</f>
        <v/>
      </c>
      <c r="K647" s="104" t="n">
        <f aca="false">IF(A647="",0,IF(IFERROR(VLOOKUP(A647,Skills!$A:$M,13,FALSE()),"")="COS",0,IF(OR(I647="En cours",I647="À venir",I647="À planifier"),IF(AND(OR($C$3="Tous",$C$3="",C647=$C$3),OR($E$3="Tous",$E$3="",I647=$E$3)),1,0),0)))</f>
        <v>0</v>
      </c>
      <c r="L647" s="104" t="n">
        <f aca="false">L646+K647</f>
        <v>15</v>
      </c>
    </row>
    <row r="648" customFormat="false" ht="15" hidden="true" customHeight="true" outlineLevel="0" collapsed="false">
      <c r="A648" s="0" t="str">
        <f aca="false">IF('Formation Initiale'!$A250="","",'Formation Initiale'!$A250)</f>
        <v/>
      </c>
      <c r="B648" s="0" t="str">
        <f aca="false">IF($A648="","",'Formation Initiale'!$E250)</f>
        <v/>
      </c>
      <c r="C648" s="0" t="str">
        <f aca="false">IF($A648="","",'Formation Initiale'!$F250)</f>
        <v/>
      </c>
      <c r="D648" s="0" t="str">
        <f aca="false">IF($A648="","",IF('Formation Initiale'!$F250="Lisbonne","B2C (Initiale)","B2C+B2B (Initiale)"))</f>
        <v/>
      </c>
      <c r="E648" s="0" t="str">
        <f aca="false">IF($A648="","",'Formation Initiale'!$B250)</f>
        <v/>
      </c>
      <c r="F648" s="116" t="str">
        <f aca="false">IF($A648="","",'Formation Initiale'!$G250)</f>
        <v/>
      </c>
      <c r="G648" s="116" t="str">
        <f aca="false">IF($A648="","",'Formation Initiale'!$H250)</f>
        <v/>
      </c>
      <c r="H648" s="0" t="str">
        <f aca="false">IF($A648="","",'Formation Initiale'!$L250)</f>
        <v/>
      </c>
      <c r="I648" s="0" t="str">
        <f aca="false">IF($A648="","",'Formation Initiale'!$R250)</f>
        <v/>
      </c>
      <c r="K648" s="104" t="n">
        <f aca="false">IF(A648="",0,IF(IFERROR(VLOOKUP(A648,Skills!$A:$M,13,FALSE()),"")="COS",0,IF(OR(I648="En cours",I648="À venir",I648="À planifier"),IF(AND(OR($C$3="Tous",$C$3="",C648=$C$3),OR($E$3="Tous",$E$3="",I648=$E$3)),1,0),0)))</f>
        <v>0</v>
      </c>
      <c r="L648" s="104" t="n">
        <f aca="false">L647+K648</f>
        <v>15</v>
      </c>
    </row>
    <row r="649" customFormat="false" ht="15" hidden="true" customHeight="true" outlineLevel="0" collapsed="false">
      <c r="A649" s="0" t="str">
        <f aca="false">IF('Formation Initiale'!$A251="","",'Formation Initiale'!$A251)</f>
        <v/>
      </c>
      <c r="B649" s="0" t="str">
        <f aca="false">IF($A649="","",'Formation Initiale'!$E251)</f>
        <v/>
      </c>
      <c r="C649" s="0" t="str">
        <f aca="false">IF($A649="","",'Formation Initiale'!$F251)</f>
        <v/>
      </c>
      <c r="D649" s="0" t="str">
        <f aca="false">IF($A649="","",IF('Formation Initiale'!$F251="Lisbonne","B2C (Initiale)","B2C+B2B (Initiale)"))</f>
        <v/>
      </c>
      <c r="E649" s="0" t="str">
        <f aca="false">IF($A649="","",'Formation Initiale'!$B251)</f>
        <v/>
      </c>
      <c r="F649" s="116" t="str">
        <f aca="false">IF($A649="","",'Formation Initiale'!$G251)</f>
        <v/>
      </c>
      <c r="G649" s="116" t="str">
        <f aca="false">IF($A649="","",'Formation Initiale'!$H251)</f>
        <v/>
      </c>
      <c r="H649" s="0" t="str">
        <f aca="false">IF($A649="","",'Formation Initiale'!$L251)</f>
        <v/>
      </c>
      <c r="I649" s="0" t="str">
        <f aca="false">IF($A649="","",'Formation Initiale'!$R251)</f>
        <v/>
      </c>
      <c r="K649" s="104" t="n">
        <f aca="false">IF(A649="",0,IF(IFERROR(VLOOKUP(A649,Skills!$A:$M,13,FALSE()),"")="COS",0,IF(OR(I649="En cours",I649="À venir",I649="À planifier"),IF(AND(OR($C$3="Tous",$C$3="",C649=$C$3),OR($E$3="Tous",$E$3="",I649=$E$3)),1,0),0)))</f>
        <v>0</v>
      </c>
      <c r="L649" s="104" t="n">
        <f aca="false">L648+K649</f>
        <v>15</v>
      </c>
    </row>
    <row r="650" customFormat="false" ht="15" hidden="true" customHeight="true" outlineLevel="0" collapsed="false">
      <c r="A650" s="0" t="str">
        <f aca="false">IF('Formation Initiale'!$A252="","",'Formation Initiale'!$A252)</f>
        <v/>
      </c>
      <c r="B650" s="0" t="str">
        <f aca="false">IF($A650="","",'Formation Initiale'!$E252)</f>
        <v/>
      </c>
      <c r="C650" s="0" t="str">
        <f aca="false">IF($A650="","",'Formation Initiale'!$F252)</f>
        <v/>
      </c>
      <c r="D650" s="0" t="str">
        <f aca="false">IF($A650="","",IF('Formation Initiale'!$F252="Lisbonne","B2C (Initiale)","B2C+B2B (Initiale)"))</f>
        <v/>
      </c>
      <c r="E650" s="0" t="str">
        <f aca="false">IF($A650="","",'Formation Initiale'!$B252)</f>
        <v/>
      </c>
      <c r="F650" s="116" t="str">
        <f aca="false">IF($A650="","",'Formation Initiale'!$G252)</f>
        <v/>
      </c>
      <c r="G650" s="116" t="str">
        <f aca="false">IF($A650="","",'Formation Initiale'!$H252)</f>
        <v/>
      </c>
      <c r="H650" s="0" t="str">
        <f aca="false">IF($A650="","",'Formation Initiale'!$L252)</f>
        <v/>
      </c>
      <c r="I650" s="0" t="str">
        <f aca="false">IF($A650="","",'Formation Initiale'!$R252)</f>
        <v/>
      </c>
      <c r="K650" s="104" t="n">
        <f aca="false">IF(A650="",0,IF(IFERROR(VLOOKUP(A650,Skills!$A:$M,13,FALSE()),"")="COS",0,IF(OR(I650="En cours",I650="À venir",I650="À planifier"),IF(AND(OR($C$3="Tous",$C$3="",C650=$C$3),OR($E$3="Tous",$E$3="",I650=$E$3)),1,0),0)))</f>
        <v>0</v>
      </c>
      <c r="L650" s="104" t="n">
        <f aca="false">L649+K650</f>
        <v>15</v>
      </c>
    </row>
    <row r="651" customFormat="false" ht="15" hidden="true" customHeight="true" outlineLevel="0" collapsed="false">
      <c r="A651" s="0" t="str">
        <f aca="false">IF('Formation Initiale'!$A253="","",'Formation Initiale'!$A253)</f>
        <v/>
      </c>
      <c r="B651" s="0" t="str">
        <f aca="false">IF($A651="","",'Formation Initiale'!$E253)</f>
        <v/>
      </c>
      <c r="C651" s="0" t="str">
        <f aca="false">IF($A651="","",'Formation Initiale'!$F253)</f>
        <v/>
      </c>
      <c r="D651" s="0" t="str">
        <f aca="false">IF($A651="","",IF('Formation Initiale'!$F253="Lisbonne","B2C (Initiale)","B2C+B2B (Initiale)"))</f>
        <v/>
      </c>
      <c r="E651" s="0" t="str">
        <f aca="false">IF($A651="","",'Formation Initiale'!$B253)</f>
        <v/>
      </c>
      <c r="F651" s="116" t="str">
        <f aca="false">IF($A651="","",'Formation Initiale'!$G253)</f>
        <v/>
      </c>
      <c r="G651" s="116" t="str">
        <f aca="false">IF($A651="","",'Formation Initiale'!$H253)</f>
        <v/>
      </c>
      <c r="H651" s="0" t="str">
        <f aca="false">IF($A651="","",'Formation Initiale'!$L253)</f>
        <v/>
      </c>
      <c r="I651" s="0" t="str">
        <f aca="false">IF($A651="","",'Formation Initiale'!$R253)</f>
        <v/>
      </c>
      <c r="K651" s="104" t="n">
        <f aca="false">IF(A651="",0,IF(IFERROR(VLOOKUP(A651,Skills!$A:$M,13,FALSE()),"")="COS",0,IF(OR(I651="En cours",I651="À venir",I651="À planifier"),IF(AND(OR($C$3="Tous",$C$3="",C651=$C$3),OR($E$3="Tous",$E$3="",I651=$E$3)),1,0),0)))</f>
        <v>0</v>
      </c>
      <c r="L651" s="104" t="n">
        <f aca="false">L650+K651</f>
        <v>15</v>
      </c>
    </row>
    <row r="652" customFormat="false" ht="15" hidden="true" customHeight="true" outlineLevel="0" collapsed="false">
      <c r="A652" s="0" t="str">
        <f aca="false">IF('Formation Initiale'!$A254="","",'Formation Initiale'!$A254)</f>
        <v/>
      </c>
      <c r="B652" s="0" t="str">
        <f aca="false">IF($A652="","",'Formation Initiale'!$E254)</f>
        <v/>
      </c>
      <c r="C652" s="0" t="str">
        <f aca="false">IF($A652="","",'Formation Initiale'!$F254)</f>
        <v/>
      </c>
      <c r="D652" s="0" t="str">
        <f aca="false">IF($A652="","",IF('Formation Initiale'!$F254="Lisbonne","B2C (Initiale)","B2C+B2B (Initiale)"))</f>
        <v/>
      </c>
      <c r="E652" s="0" t="str">
        <f aca="false">IF($A652="","",'Formation Initiale'!$B254)</f>
        <v/>
      </c>
      <c r="F652" s="116" t="str">
        <f aca="false">IF($A652="","",'Formation Initiale'!$G254)</f>
        <v/>
      </c>
      <c r="G652" s="116" t="str">
        <f aca="false">IF($A652="","",'Formation Initiale'!$H254)</f>
        <v/>
      </c>
      <c r="H652" s="0" t="str">
        <f aca="false">IF($A652="","",'Formation Initiale'!$L254)</f>
        <v/>
      </c>
      <c r="I652" s="0" t="str">
        <f aca="false">IF($A652="","",'Formation Initiale'!$R254)</f>
        <v/>
      </c>
      <c r="K652" s="104" t="n">
        <f aca="false">IF(A652="",0,IF(IFERROR(VLOOKUP(A652,Skills!$A:$M,13,FALSE()),"")="COS",0,IF(OR(I652="En cours",I652="À venir",I652="À planifier"),IF(AND(OR($C$3="Tous",$C$3="",C652=$C$3),OR($E$3="Tous",$E$3="",I652=$E$3)),1,0),0)))</f>
        <v>0</v>
      </c>
      <c r="L652" s="104" t="n">
        <f aca="false">L651+K652</f>
        <v>15</v>
      </c>
    </row>
    <row r="653" customFormat="false" ht="15" hidden="true" customHeight="true" outlineLevel="0" collapsed="false">
      <c r="A653" s="0" t="str">
        <f aca="false">IF('Formation Initiale'!$A255="","",'Formation Initiale'!$A255)</f>
        <v/>
      </c>
      <c r="B653" s="0" t="str">
        <f aca="false">IF($A653="","",'Formation Initiale'!$E255)</f>
        <v/>
      </c>
      <c r="C653" s="0" t="str">
        <f aca="false">IF($A653="","",'Formation Initiale'!$F255)</f>
        <v/>
      </c>
      <c r="D653" s="0" t="str">
        <f aca="false">IF($A653="","",IF('Formation Initiale'!$F255="Lisbonne","B2C (Initiale)","B2C+B2B (Initiale)"))</f>
        <v/>
      </c>
      <c r="E653" s="0" t="str">
        <f aca="false">IF($A653="","",'Formation Initiale'!$B255)</f>
        <v/>
      </c>
      <c r="F653" s="116" t="str">
        <f aca="false">IF($A653="","",'Formation Initiale'!$G255)</f>
        <v/>
      </c>
      <c r="G653" s="116" t="str">
        <f aca="false">IF($A653="","",'Formation Initiale'!$H255)</f>
        <v/>
      </c>
      <c r="H653" s="0" t="str">
        <f aca="false">IF($A653="","",'Formation Initiale'!$L255)</f>
        <v/>
      </c>
      <c r="I653" s="0" t="str">
        <f aca="false">IF($A653="","",'Formation Initiale'!$R255)</f>
        <v/>
      </c>
      <c r="K653" s="104" t="n">
        <f aca="false">IF(A653="",0,IF(IFERROR(VLOOKUP(A653,Skills!$A:$M,13,FALSE()),"")="COS",0,IF(OR(I653="En cours",I653="À venir",I653="À planifier"),IF(AND(OR($C$3="Tous",$C$3="",C653=$C$3),OR($E$3="Tous",$E$3="",I653=$E$3)),1,0),0)))</f>
        <v>0</v>
      </c>
      <c r="L653" s="104" t="n">
        <f aca="false">L652+K653</f>
        <v>15</v>
      </c>
    </row>
    <row r="654" customFormat="false" ht="15" hidden="true" customHeight="true" outlineLevel="0" collapsed="false">
      <c r="A654" s="0" t="str">
        <f aca="false">IF('Formation Initiale'!$A256="","",'Formation Initiale'!$A256)</f>
        <v/>
      </c>
      <c r="B654" s="0" t="str">
        <f aca="false">IF($A654="","",'Formation Initiale'!$E256)</f>
        <v/>
      </c>
      <c r="C654" s="0" t="str">
        <f aca="false">IF($A654="","",'Formation Initiale'!$F256)</f>
        <v/>
      </c>
      <c r="D654" s="0" t="str">
        <f aca="false">IF($A654="","",IF('Formation Initiale'!$F256="Lisbonne","B2C (Initiale)","B2C+B2B (Initiale)"))</f>
        <v/>
      </c>
      <c r="E654" s="0" t="str">
        <f aca="false">IF($A654="","",'Formation Initiale'!$B256)</f>
        <v/>
      </c>
      <c r="F654" s="116" t="str">
        <f aca="false">IF($A654="","",'Formation Initiale'!$G256)</f>
        <v/>
      </c>
      <c r="G654" s="116" t="str">
        <f aca="false">IF($A654="","",'Formation Initiale'!$H256)</f>
        <v/>
      </c>
      <c r="H654" s="0" t="str">
        <f aca="false">IF($A654="","",'Formation Initiale'!$L256)</f>
        <v/>
      </c>
      <c r="I654" s="0" t="str">
        <f aca="false">IF($A654="","",'Formation Initiale'!$R256)</f>
        <v/>
      </c>
      <c r="K654" s="104" t="n">
        <f aca="false">IF(A654="",0,IF(IFERROR(VLOOKUP(A654,Skills!$A:$M,13,FALSE()),"")="COS",0,IF(OR(I654="En cours",I654="À venir",I654="À planifier"),IF(AND(OR($C$3="Tous",$C$3="",C654=$C$3),OR($E$3="Tous",$E$3="",I654=$E$3)),1,0),0)))</f>
        <v>0</v>
      </c>
      <c r="L654" s="104" t="n">
        <f aca="false">L653+K654</f>
        <v>15</v>
      </c>
    </row>
    <row r="655" customFormat="false" ht="15" hidden="true" customHeight="true" outlineLevel="0" collapsed="false">
      <c r="A655" s="0" t="str">
        <f aca="false">IF('Formation Initiale'!$A257="","",'Formation Initiale'!$A257)</f>
        <v/>
      </c>
      <c r="B655" s="0" t="str">
        <f aca="false">IF($A655="","",'Formation Initiale'!$E257)</f>
        <v/>
      </c>
      <c r="C655" s="0" t="str">
        <f aca="false">IF($A655="","",'Formation Initiale'!$F257)</f>
        <v/>
      </c>
      <c r="D655" s="0" t="str">
        <f aca="false">IF($A655="","",IF('Formation Initiale'!$F257="Lisbonne","B2C (Initiale)","B2C+B2B (Initiale)"))</f>
        <v/>
      </c>
      <c r="E655" s="0" t="str">
        <f aca="false">IF($A655="","",'Formation Initiale'!$B257)</f>
        <v/>
      </c>
      <c r="F655" s="116" t="str">
        <f aca="false">IF($A655="","",'Formation Initiale'!$G257)</f>
        <v/>
      </c>
      <c r="G655" s="116" t="str">
        <f aca="false">IF($A655="","",'Formation Initiale'!$H257)</f>
        <v/>
      </c>
      <c r="H655" s="0" t="str">
        <f aca="false">IF($A655="","",'Formation Initiale'!$L257)</f>
        <v/>
      </c>
      <c r="I655" s="0" t="str">
        <f aca="false">IF($A655="","",'Formation Initiale'!$R257)</f>
        <v/>
      </c>
      <c r="K655" s="104" t="n">
        <f aca="false">IF(A655="",0,IF(IFERROR(VLOOKUP(A655,Skills!$A:$M,13,FALSE()),"")="COS",0,IF(OR(I655="En cours",I655="À venir",I655="À planifier"),IF(AND(OR($C$3="Tous",$C$3="",C655=$C$3),OR($E$3="Tous",$E$3="",I655=$E$3)),1,0),0)))</f>
        <v>0</v>
      </c>
      <c r="L655" s="104" t="n">
        <f aca="false">L654+K655</f>
        <v>15</v>
      </c>
    </row>
    <row r="656" customFormat="false" ht="15" hidden="true" customHeight="true" outlineLevel="0" collapsed="false">
      <c r="A656" s="0" t="str">
        <f aca="false">IF('Formation Initiale'!$A258="","",'Formation Initiale'!$A258)</f>
        <v/>
      </c>
      <c r="B656" s="0" t="str">
        <f aca="false">IF($A656="","",'Formation Initiale'!$E258)</f>
        <v/>
      </c>
      <c r="C656" s="0" t="str">
        <f aca="false">IF($A656="","",'Formation Initiale'!$F258)</f>
        <v/>
      </c>
      <c r="D656" s="0" t="str">
        <f aca="false">IF($A656="","",IF('Formation Initiale'!$F258="Lisbonne","B2C (Initiale)","B2C+B2B (Initiale)"))</f>
        <v/>
      </c>
      <c r="E656" s="0" t="str">
        <f aca="false">IF($A656="","",'Formation Initiale'!$B258)</f>
        <v/>
      </c>
      <c r="F656" s="116" t="str">
        <f aca="false">IF($A656="","",'Formation Initiale'!$G258)</f>
        <v/>
      </c>
      <c r="G656" s="116" t="str">
        <f aca="false">IF($A656="","",'Formation Initiale'!$H258)</f>
        <v/>
      </c>
      <c r="H656" s="0" t="str">
        <f aca="false">IF($A656="","",'Formation Initiale'!$L258)</f>
        <v/>
      </c>
      <c r="I656" s="0" t="str">
        <f aca="false">IF($A656="","",'Formation Initiale'!$R258)</f>
        <v/>
      </c>
      <c r="K656" s="104" t="n">
        <f aca="false">IF(A656="",0,IF(IFERROR(VLOOKUP(A656,Skills!$A:$M,13,FALSE()),"")="COS",0,IF(OR(I656="En cours",I656="À venir",I656="À planifier"),IF(AND(OR($C$3="Tous",$C$3="",C656=$C$3),OR($E$3="Tous",$E$3="",I656=$E$3)),1,0),0)))</f>
        <v>0</v>
      </c>
      <c r="L656" s="104" t="n">
        <f aca="false">L655+K656</f>
        <v>15</v>
      </c>
    </row>
    <row r="657" customFormat="false" ht="15" hidden="true" customHeight="true" outlineLevel="0" collapsed="false">
      <c r="A657" s="0" t="str">
        <f aca="false">IF('Formation Initiale'!$A259="","",'Formation Initiale'!$A259)</f>
        <v/>
      </c>
      <c r="B657" s="0" t="str">
        <f aca="false">IF($A657="","",'Formation Initiale'!$E259)</f>
        <v/>
      </c>
      <c r="C657" s="0" t="str">
        <f aca="false">IF($A657="","",'Formation Initiale'!$F259)</f>
        <v/>
      </c>
      <c r="D657" s="0" t="str">
        <f aca="false">IF($A657="","",IF('Formation Initiale'!$F259="Lisbonne","B2C (Initiale)","B2C+B2B (Initiale)"))</f>
        <v/>
      </c>
      <c r="E657" s="0" t="str">
        <f aca="false">IF($A657="","",'Formation Initiale'!$B259)</f>
        <v/>
      </c>
      <c r="F657" s="116" t="str">
        <f aca="false">IF($A657="","",'Formation Initiale'!$G259)</f>
        <v/>
      </c>
      <c r="G657" s="116" t="str">
        <f aca="false">IF($A657="","",'Formation Initiale'!$H259)</f>
        <v/>
      </c>
      <c r="H657" s="0" t="str">
        <f aca="false">IF($A657="","",'Formation Initiale'!$L259)</f>
        <v/>
      </c>
      <c r="I657" s="0" t="str">
        <f aca="false">IF($A657="","",'Formation Initiale'!$R259)</f>
        <v/>
      </c>
      <c r="K657" s="104" t="n">
        <f aca="false">IF(A657="",0,IF(IFERROR(VLOOKUP(A657,Skills!$A:$M,13,FALSE()),"")="COS",0,IF(OR(I657="En cours",I657="À venir",I657="À planifier"),IF(AND(OR($C$3="Tous",$C$3="",C657=$C$3),OR($E$3="Tous",$E$3="",I657=$E$3)),1,0),0)))</f>
        <v>0</v>
      </c>
      <c r="L657" s="104" t="n">
        <f aca="false">L656+K657</f>
        <v>15</v>
      </c>
    </row>
    <row r="658" customFormat="false" ht="15" hidden="true" customHeight="true" outlineLevel="0" collapsed="false">
      <c r="A658" s="0" t="str">
        <f aca="false">IF('Formation Initiale'!$A260="","",'Formation Initiale'!$A260)</f>
        <v/>
      </c>
      <c r="B658" s="0" t="str">
        <f aca="false">IF($A658="","",'Formation Initiale'!$E260)</f>
        <v/>
      </c>
      <c r="C658" s="0" t="str">
        <f aca="false">IF($A658="","",'Formation Initiale'!$F260)</f>
        <v/>
      </c>
      <c r="D658" s="0" t="str">
        <f aca="false">IF($A658="","",IF('Formation Initiale'!$F260="Lisbonne","B2C (Initiale)","B2C+B2B (Initiale)"))</f>
        <v/>
      </c>
      <c r="E658" s="0" t="str">
        <f aca="false">IF($A658="","",'Formation Initiale'!$B260)</f>
        <v/>
      </c>
      <c r="F658" s="116" t="str">
        <f aca="false">IF($A658="","",'Formation Initiale'!$G260)</f>
        <v/>
      </c>
      <c r="G658" s="116" t="str">
        <f aca="false">IF($A658="","",'Formation Initiale'!$H260)</f>
        <v/>
      </c>
      <c r="H658" s="0" t="str">
        <f aca="false">IF($A658="","",'Formation Initiale'!$L260)</f>
        <v/>
      </c>
      <c r="I658" s="0" t="str">
        <f aca="false">IF($A658="","",'Formation Initiale'!$R260)</f>
        <v/>
      </c>
      <c r="K658" s="104" t="n">
        <f aca="false">IF(A658="",0,IF(IFERROR(VLOOKUP(A658,Skills!$A:$M,13,FALSE()),"")="COS",0,IF(OR(I658="En cours",I658="À venir",I658="À planifier"),IF(AND(OR($C$3="Tous",$C$3="",C658=$C$3),OR($E$3="Tous",$E$3="",I658=$E$3)),1,0),0)))</f>
        <v>0</v>
      </c>
      <c r="L658" s="104" t="n">
        <f aca="false">L657+K658</f>
        <v>15</v>
      </c>
    </row>
    <row r="659" customFormat="false" ht="15" hidden="true" customHeight="true" outlineLevel="0" collapsed="false">
      <c r="A659" s="0" t="str">
        <f aca="false">IF('Formation Initiale'!$A261="","",'Formation Initiale'!$A261)</f>
        <v/>
      </c>
      <c r="B659" s="0" t="str">
        <f aca="false">IF($A659="","",'Formation Initiale'!$E261)</f>
        <v/>
      </c>
      <c r="C659" s="0" t="str">
        <f aca="false">IF($A659="","",'Formation Initiale'!$F261)</f>
        <v/>
      </c>
      <c r="D659" s="0" t="str">
        <f aca="false">IF($A659="","",IF('Formation Initiale'!$F261="Lisbonne","B2C (Initiale)","B2C+B2B (Initiale)"))</f>
        <v/>
      </c>
      <c r="E659" s="0" t="str">
        <f aca="false">IF($A659="","",'Formation Initiale'!$B261)</f>
        <v/>
      </c>
      <c r="F659" s="116" t="str">
        <f aca="false">IF($A659="","",'Formation Initiale'!$G261)</f>
        <v/>
      </c>
      <c r="G659" s="116" t="str">
        <f aca="false">IF($A659="","",'Formation Initiale'!$H261)</f>
        <v/>
      </c>
      <c r="H659" s="0" t="str">
        <f aca="false">IF($A659="","",'Formation Initiale'!$L261)</f>
        <v/>
      </c>
      <c r="I659" s="0" t="str">
        <f aca="false">IF($A659="","",'Formation Initiale'!$R261)</f>
        <v/>
      </c>
      <c r="K659" s="104" t="n">
        <f aca="false">IF(A659="",0,IF(IFERROR(VLOOKUP(A659,Skills!$A:$M,13,FALSE()),"")="COS",0,IF(OR(I659="En cours",I659="À venir",I659="À planifier"),IF(AND(OR($C$3="Tous",$C$3="",C659=$C$3),OR($E$3="Tous",$E$3="",I659=$E$3)),1,0),0)))</f>
        <v>0</v>
      </c>
      <c r="L659" s="104" t="n">
        <f aca="false">L658+K659</f>
        <v>15</v>
      </c>
    </row>
    <row r="660" customFormat="false" ht="15" hidden="true" customHeight="true" outlineLevel="0" collapsed="false">
      <c r="A660" s="0" t="str">
        <f aca="false">IF('Formation Initiale'!$A262="","",'Formation Initiale'!$A262)</f>
        <v/>
      </c>
      <c r="B660" s="0" t="str">
        <f aca="false">IF($A660="","",'Formation Initiale'!$E262)</f>
        <v/>
      </c>
      <c r="C660" s="0" t="str">
        <f aca="false">IF($A660="","",'Formation Initiale'!$F262)</f>
        <v/>
      </c>
      <c r="D660" s="0" t="str">
        <f aca="false">IF($A660="","",IF('Formation Initiale'!$F262="Lisbonne","B2C (Initiale)","B2C+B2B (Initiale)"))</f>
        <v/>
      </c>
      <c r="E660" s="0" t="str">
        <f aca="false">IF($A660="","",'Formation Initiale'!$B262)</f>
        <v/>
      </c>
      <c r="F660" s="116" t="str">
        <f aca="false">IF($A660="","",'Formation Initiale'!$G262)</f>
        <v/>
      </c>
      <c r="G660" s="116" t="str">
        <f aca="false">IF($A660="","",'Formation Initiale'!$H262)</f>
        <v/>
      </c>
      <c r="H660" s="0" t="str">
        <f aca="false">IF($A660="","",'Formation Initiale'!$L262)</f>
        <v/>
      </c>
      <c r="I660" s="0" t="str">
        <f aca="false">IF($A660="","",'Formation Initiale'!$R262)</f>
        <v/>
      </c>
      <c r="K660" s="104" t="n">
        <f aca="false">IF(A660="",0,IF(IFERROR(VLOOKUP(A660,Skills!$A:$M,13,FALSE()),"")="COS",0,IF(OR(I660="En cours",I660="À venir",I660="À planifier"),IF(AND(OR($C$3="Tous",$C$3="",C660=$C$3),OR($E$3="Tous",$E$3="",I660=$E$3)),1,0),0)))</f>
        <v>0</v>
      </c>
      <c r="L660" s="104" t="n">
        <f aca="false">L659+K660</f>
        <v>15</v>
      </c>
    </row>
    <row r="661" customFormat="false" ht="15" hidden="true" customHeight="true" outlineLevel="0" collapsed="false">
      <c r="A661" s="0" t="str">
        <f aca="false">IF('Formation Initiale'!$A263="","",'Formation Initiale'!$A263)</f>
        <v/>
      </c>
      <c r="B661" s="0" t="str">
        <f aca="false">IF($A661="","",'Formation Initiale'!$E263)</f>
        <v/>
      </c>
      <c r="C661" s="0" t="str">
        <f aca="false">IF($A661="","",'Formation Initiale'!$F263)</f>
        <v/>
      </c>
      <c r="D661" s="0" t="str">
        <f aca="false">IF($A661="","",IF('Formation Initiale'!$F263="Lisbonne","B2C (Initiale)","B2C+B2B (Initiale)"))</f>
        <v/>
      </c>
      <c r="E661" s="0" t="str">
        <f aca="false">IF($A661="","",'Formation Initiale'!$B263)</f>
        <v/>
      </c>
      <c r="F661" s="116" t="str">
        <f aca="false">IF($A661="","",'Formation Initiale'!$G263)</f>
        <v/>
      </c>
      <c r="G661" s="116" t="str">
        <f aca="false">IF($A661="","",'Formation Initiale'!$H263)</f>
        <v/>
      </c>
      <c r="H661" s="0" t="str">
        <f aca="false">IF($A661="","",'Formation Initiale'!$L263)</f>
        <v/>
      </c>
      <c r="I661" s="0" t="str">
        <f aca="false">IF($A661="","",'Formation Initiale'!$R263)</f>
        <v/>
      </c>
      <c r="K661" s="104" t="n">
        <f aca="false">IF(A661="",0,IF(IFERROR(VLOOKUP(A661,Skills!$A:$M,13,FALSE()),"")="COS",0,IF(OR(I661="En cours",I661="À venir",I661="À planifier"),IF(AND(OR($C$3="Tous",$C$3="",C661=$C$3),OR($E$3="Tous",$E$3="",I661=$E$3)),1,0),0)))</f>
        <v>0</v>
      </c>
      <c r="L661" s="104" t="n">
        <f aca="false">L660+K661</f>
        <v>15</v>
      </c>
    </row>
    <row r="662" customFormat="false" ht="15" hidden="true" customHeight="true" outlineLevel="0" collapsed="false">
      <c r="A662" s="0" t="str">
        <f aca="false">IF('Formation Initiale'!$A264="","",'Formation Initiale'!$A264)</f>
        <v/>
      </c>
      <c r="B662" s="0" t="str">
        <f aca="false">IF($A662="","",'Formation Initiale'!$E264)</f>
        <v/>
      </c>
      <c r="C662" s="0" t="str">
        <f aca="false">IF($A662="","",'Formation Initiale'!$F264)</f>
        <v/>
      </c>
      <c r="D662" s="0" t="str">
        <f aca="false">IF($A662="","",IF('Formation Initiale'!$F264="Lisbonne","B2C (Initiale)","B2C+B2B (Initiale)"))</f>
        <v/>
      </c>
      <c r="E662" s="0" t="str">
        <f aca="false">IF($A662="","",'Formation Initiale'!$B264)</f>
        <v/>
      </c>
      <c r="F662" s="116" t="str">
        <f aca="false">IF($A662="","",'Formation Initiale'!$G264)</f>
        <v/>
      </c>
      <c r="G662" s="116" t="str">
        <f aca="false">IF($A662="","",'Formation Initiale'!$H264)</f>
        <v/>
      </c>
      <c r="H662" s="0" t="str">
        <f aca="false">IF($A662="","",'Formation Initiale'!$L264)</f>
        <v/>
      </c>
      <c r="I662" s="0" t="str">
        <f aca="false">IF($A662="","",'Formation Initiale'!$R264)</f>
        <v/>
      </c>
      <c r="K662" s="104" t="n">
        <f aca="false">IF(A662="",0,IF(IFERROR(VLOOKUP(A662,Skills!$A:$M,13,FALSE()),"")="COS",0,IF(OR(I662="En cours",I662="À venir",I662="À planifier"),IF(AND(OR($C$3="Tous",$C$3="",C662=$C$3),OR($E$3="Tous",$E$3="",I662=$E$3)),1,0),0)))</f>
        <v>0</v>
      </c>
      <c r="L662" s="104" t="n">
        <f aca="false">L661+K662</f>
        <v>15</v>
      </c>
    </row>
    <row r="663" customFormat="false" ht="15" hidden="true" customHeight="true" outlineLevel="0" collapsed="false">
      <c r="A663" s="0" t="str">
        <f aca="false">IF('Formation Initiale'!$A265="","",'Formation Initiale'!$A265)</f>
        <v/>
      </c>
      <c r="B663" s="0" t="str">
        <f aca="false">IF($A663="","",'Formation Initiale'!$E265)</f>
        <v/>
      </c>
      <c r="C663" s="0" t="str">
        <f aca="false">IF($A663="","",'Formation Initiale'!$F265)</f>
        <v/>
      </c>
      <c r="D663" s="0" t="str">
        <f aca="false">IF($A663="","",IF('Formation Initiale'!$F265="Lisbonne","B2C (Initiale)","B2C+B2B (Initiale)"))</f>
        <v/>
      </c>
      <c r="E663" s="0" t="str">
        <f aca="false">IF($A663="","",'Formation Initiale'!$B265)</f>
        <v/>
      </c>
      <c r="F663" s="116" t="str">
        <f aca="false">IF($A663="","",'Formation Initiale'!$G265)</f>
        <v/>
      </c>
      <c r="G663" s="116" t="str">
        <f aca="false">IF($A663="","",'Formation Initiale'!$H265)</f>
        <v/>
      </c>
      <c r="H663" s="0" t="str">
        <f aca="false">IF($A663="","",'Formation Initiale'!$L265)</f>
        <v/>
      </c>
      <c r="I663" s="0" t="str">
        <f aca="false">IF($A663="","",'Formation Initiale'!$R265)</f>
        <v/>
      </c>
      <c r="K663" s="104" t="n">
        <f aca="false">IF(A663="",0,IF(IFERROR(VLOOKUP(A663,Skills!$A:$M,13,FALSE()),"")="COS",0,IF(OR(I663="En cours",I663="À venir",I663="À planifier"),IF(AND(OR($C$3="Tous",$C$3="",C663=$C$3),OR($E$3="Tous",$E$3="",I663=$E$3)),1,0),0)))</f>
        <v>0</v>
      </c>
      <c r="L663" s="104" t="n">
        <f aca="false">L662+K663</f>
        <v>15</v>
      </c>
    </row>
    <row r="664" customFormat="false" ht="15" hidden="true" customHeight="true" outlineLevel="0" collapsed="false">
      <c r="A664" s="0" t="str">
        <f aca="false">IF('Formation Initiale'!$A266="","",'Formation Initiale'!$A266)</f>
        <v/>
      </c>
      <c r="B664" s="0" t="str">
        <f aca="false">IF($A664="","",'Formation Initiale'!$E266)</f>
        <v/>
      </c>
      <c r="C664" s="0" t="str">
        <f aca="false">IF($A664="","",'Formation Initiale'!$F266)</f>
        <v/>
      </c>
      <c r="D664" s="0" t="str">
        <f aca="false">IF($A664="","",IF('Formation Initiale'!$F266="Lisbonne","B2C (Initiale)","B2C+B2B (Initiale)"))</f>
        <v/>
      </c>
      <c r="E664" s="0" t="str">
        <f aca="false">IF($A664="","",'Formation Initiale'!$B266)</f>
        <v/>
      </c>
      <c r="F664" s="116" t="str">
        <f aca="false">IF($A664="","",'Formation Initiale'!$G266)</f>
        <v/>
      </c>
      <c r="G664" s="116" t="str">
        <f aca="false">IF($A664="","",'Formation Initiale'!$H266)</f>
        <v/>
      </c>
      <c r="H664" s="0" t="str">
        <f aca="false">IF($A664="","",'Formation Initiale'!$L266)</f>
        <v/>
      </c>
      <c r="I664" s="0" t="str">
        <f aca="false">IF($A664="","",'Formation Initiale'!$R266)</f>
        <v/>
      </c>
      <c r="K664" s="104" t="n">
        <f aca="false">IF(A664="",0,IF(IFERROR(VLOOKUP(A664,Skills!$A:$M,13,FALSE()),"")="COS",0,IF(OR(I664="En cours",I664="À venir",I664="À planifier"),IF(AND(OR($C$3="Tous",$C$3="",C664=$C$3),OR($E$3="Tous",$E$3="",I664=$E$3)),1,0),0)))</f>
        <v>0</v>
      </c>
      <c r="L664" s="104" t="n">
        <f aca="false">L663+K664</f>
        <v>15</v>
      </c>
    </row>
    <row r="665" customFormat="false" ht="15" hidden="true" customHeight="true" outlineLevel="0" collapsed="false">
      <c r="A665" s="0" t="str">
        <f aca="false">IF('Formation Initiale'!$A267="","",'Formation Initiale'!$A267)</f>
        <v/>
      </c>
      <c r="B665" s="0" t="str">
        <f aca="false">IF($A665="","",'Formation Initiale'!$E267)</f>
        <v/>
      </c>
      <c r="C665" s="0" t="str">
        <f aca="false">IF($A665="","",'Formation Initiale'!$F267)</f>
        <v/>
      </c>
      <c r="D665" s="0" t="str">
        <f aca="false">IF($A665="","",IF('Formation Initiale'!$F267="Lisbonne","B2C (Initiale)","B2C+B2B (Initiale)"))</f>
        <v/>
      </c>
      <c r="E665" s="0" t="str">
        <f aca="false">IF($A665="","",'Formation Initiale'!$B267)</f>
        <v/>
      </c>
      <c r="F665" s="116" t="str">
        <f aca="false">IF($A665="","",'Formation Initiale'!$G267)</f>
        <v/>
      </c>
      <c r="G665" s="116" t="str">
        <f aca="false">IF($A665="","",'Formation Initiale'!$H267)</f>
        <v/>
      </c>
      <c r="H665" s="0" t="str">
        <f aca="false">IF($A665="","",'Formation Initiale'!$L267)</f>
        <v/>
      </c>
      <c r="I665" s="0" t="str">
        <f aca="false">IF($A665="","",'Formation Initiale'!$R267)</f>
        <v/>
      </c>
      <c r="K665" s="104" t="n">
        <f aca="false">IF(A665="",0,IF(IFERROR(VLOOKUP(A665,Skills!$A:$M,13,FALSE()),"")="COS",0,IF(OR(I665="En cours",I665="À venir",I665="À planifier"),IF(AND(OR($C$3="Tous",$C$3="",C665=$C$3),OR($E$3="Tous",$E$3="",I665=$E$3)),1,0),0)))</f>
        <v>0</v>
      </c>
      <c r="L665" s="104" t="n">
        <f aca="false">L664+K665</f>
        <v>15</v>
      </c>
    </row>
    <row r="666" customFormat="false" ht="15" hidden="true" customHeight="true" outlineLevel="0" collapsed="false">
      <c r="A666" s="0" t="str">
        <f aca="false">IF('Formation Initiale'!$A268="","",'Formation Initiale'!$A268)</f>
        <v/>
      </c>
      <c r="B666" s="0" t="str">
        <f aca="false">IF($A666="","",'Formation Initiale'!$E268)</f>
        <v/>
      </c>
      <c r="C666" s="0" t="str">
        <f aca="false">IF($A666="","",'Formation Initiale'!$F268)</f>
        <v/>
      </c>
      <c r="D666" s="0" t="str">
        <f aca="false">IF($A666="","",IF('Formation Initiale'!$F268="Lisbonne","B2C (Initiale)","B2C+B2B (Initiale)"))</f>
        <v/>
      </c>
      <c r="E666" s="0" t="str">
        <f aca="false">IF($A666="","",'Formation Initiale'!$B268)</f>
        <v/>
      </c>
      <c r="F666" s="116" t="str">
        <f aca="false">IF($A666="","",'Formation Initiale'!$G268)</f>
        <v/>
      </c>
      <c r="G666" s="116" t="str">
        <f aca="false">IF($A666="","",'Formation Initiale'!$H268)</f>
        <v/>
      </c>
      <c r="H666" s="0" t="str">
        <f aca="false">IF($A666="","",'Formation Initiale'!$L268)</f>
        <v/>
      </c>
      <c r="I666" s="0" t="str">
        <f aca="false">IF($A666="","",'Formation Initiale'!$R268)</f>
        <v/>
      </c>
      <c r="K666" s="104" t="n">
        <f aca="false">IF(A666="",0,IF(IFERROR(VLOOKUP(A666,Skills!$A:$M,13,FALSE()),"")="COS",0,IF(OR(I666="En cours",I666="À venir",I666="À planifier"),IF(AND(OR($C$3="Tous",$C$3="",C666=$C$3),OR($E$3="Tous",$E$3="",I666=$E$3)),1,0),0)))</f>
        <v>0</v>
      </c>
      <c r="L666" s="104" t="n">
        <f aca="false">L665+K666</f>
        <v>15</v>
      </c>
    </row>
    <row r="667" customFormat="false" ht="15" hidden="true" customHeight="true" outlineLevel="0" collapsed="false">
      <c r="A667" s="0" t="str">
        <f aca="false">IF('Formation Initiale'!$A269="","",'Formation Initiale'!$A269)</f>
        <v/>
      </c>
      <c r="B667" s="0" t="str">
        <f aca="false">IF($A667="","",'Formation Initiale'!$E269)</f>
        <v/>
      </c>
      <c r="C667" s="0" t="str">
        <f aca="false">IF($A667="","",'Formation Initiale'!$F269)</f>
        <v/>
      </c>
      <c r="D667" s="0" t="str">
        <f aca="false">IF($A667="","",IF('Formation Initiale'!$F269="Lisbonne","B2C (Initiale)","B2C+B2B (Initiale)"))</f>
        <v/>
      </c>
      <c r="E667" s="0" t="str">
        <f aca="false">IF($A667="","",'Formation Initiale'!$B269)</f>
        <v/>
      </c>
      <c r="F667" s="116" t="str">
        <f aca="false">IF($A667="","",'Formation Initiale'!$G269)</f>
        <v/>
      </c>
      <c r="G667" s="116" t="str">
        <f aca="false">IF($A667="","",'Formation Initiale'!$H269)</f>
        <v/>
      </c>
      <c r="H667" s="0" t="str">
        <f aca="false">IF($A667="","",'Formation Initiale'!$L269)</f>
        <v/>
      </c>
      <c r="I667" s="0" t="str">
        <f aca="false">IF($A667="","",'Formation Initiale'!$R269)</f>
        <v/>
      </c>
      <c r="K667" s="104" t="n">
        <f aca="false">IF(A667="",0,IF(IFERROR(VLOOKUP(A667,Skills!$A:$M,13,FALSE()),"")="COS",0,IF(OR(I667="En cours",I667="À venir",I667="À planifier"),IF(AND(OR($C$3="Tous",$C$3="",C667=$C$3),OR($E$3="Tous",$E$3="",I667=$E$3)),1,0),0)))</f>
        <v>0</v>
      </c>
      <c r="L667" s="104" t="n">
        <f aca="false">L666+K667</f>
        <v>15</v>
      </c>
    </row>
    <row r="668" customFormat="false" ht="15" hidden="true" customHeight="true" outlineLevel="0" collapsed="false">
      <c r="A668" s="0" t="str">
        <f aca="false">IF('Formation Initiale'!$A270="","",'Formation Initiale'!$A270)</f>
        <v/>
      </c>
      <c r="B668" s="0" t="str">
        <f aca="false">IF($A668="","",'Formation Initiale'!$E270)</f>
        <v/>
      </c>
      <c r="C668" s="0" t="str">
        <f aca="false">IF($A668="","",'Formation Initiale'!$F270)</f>
        <v/>
      </c>
      <c r="D668" s="0" t="str">
        <f aca="false">IF($A668="","",IF('Formation Initiale'!$F270="Lisbonne","B2C (Initiale)","B2C+B2B (Initiale)"))</f>
        <v/>
      </c>
      <c r="E668" s="0" t="str">
        <f aca="false">IF($A668="","",'Formation Initiale'!$B270)</f>
        <v/>
      </c>
      <c r="F668" s="116" t="str">
        <f aca="false">IF($A668="","",'Formation Initiale'!$G270)</f>
        <v/>
      </c>
      <c r="G668" s="116" t="str">
        <f aca="false">IF($A668="","",'Formation Initiale'!$H270)</f>
        <v/>
      </c>
      <c r="H668" s="0" t="str">
        <f aca="false">IF($A668="","",'Formation Initiale'!$L270)</f>
        <v/>
      </c>
      <c r="I668" s="0" t="str">
        <f aca="false">IF($A668="","",'Formation Initiale'!$R270)</f>
        <v/>
      </c>
      <c r="K668" s="104" t="n">
        <f aca="false">IF(A668="",0,IF(IFERROR(VLOOKUP(A668,Skills!$A:$M,13,FALSE()),"")="COS",0,IF(OR(I668="En cours",I668="À venir",I668="À planifier"),IF(AND(OR($C$3="Tous",$C$3="",C668=$C$3),OR($E$3="Tous",$E$3="",I668=$E$3)),1,0),0)))</f>
        <v>0</v>
      </c>
      <c r="L668" s="104" t="n">
        <f aca="false">L667+K668</f>
        <v>15</v>
      </c>
    </row>
    <row r="669" customFormat="false" ht="15" hidden="true" customHeight="true" outlineLevel="0" collapsed="false">
      <c r="A669" s="0" t="str">
        <f aca="false">IF('Formation Initiale'!$A271="","",'Formation Initiale'!$A271)</f>
        <v/>
      </c>
      <c r="B669" s="0" t="str">
        <f aca="false">IF($A669="","",'Formation Initiale'!$E271)</f>
        <v/>
      </c>
      <c r="C669" s="0" t="str">
        <f aca="false">IF($A669="","",'Formation Initiale'!$F271)</f>
        <v/>
      </c>
      <c r="D669" s="0" t="str">
        <f aca="false">IF($A669="","",IF('Formation Initiale'!$F271="Lisbonne","B2C (Initiale)","B2C+B2B (Initiale)"))</f>
        <v/>
      </c>
      <c r="E669" s="0" t="str">
        <f aca="false">IF($A669="","",'Formation Initiale'!$B271)</f>
        <v/>
      </c>
      <c r="F669" s="116" t="str">
        <f aca="false">IF($A669="","",'Formation Initiale'!$G271)</f>
        <v/>
      </c>
      <c r="G669" s="116" t="str">
        <f aca="false">IF($A669="","",'Formation Initiale'!$H271)</f>
        <v/>
      </c>
      <c r="H669" s="0" t="str">
        <f aca="false">IF($A669="","",'Formation Initiale'!$L271)</f>
        <v/>
      </c>
      <c r="I669" s="0" t="str">
        <f aca="false">IF($A669="","",'Formation Initiale'!$R271)</f>
        <v/>
      </c>
      <c r="K669" s="104" t="n">
        <f aca="false">IF(A669="",0,IF(IFERROR(VLOOKUP(A669,Skills!$A:$M,13,FALSE()),"")="COS",0,IF(OR(I669="En cours",I669="À venir",I669="À planifier"),IF(AND(OR($C$3="Tous",$C$3="",C669=$C$3),OR($E$3="Tous",$E$3="",I669=$E$3)),1,0),0)))</f>
        <v>0</v>
      </c>
      <c r="L669" s="104" t="n">
        <f aca="false">L668+K669</f>
        <v>15</v>
      </c>
    </row>
    <row r="670" customFormat="false" ht="15" hidden="true" customHeight="true" outlineLevel="0" collapsed="false">
      <c r="A670" s="0" t="str">
        <f aca="false">IF('Formation Initiale'!$A272="","",'Formation Initiale'!$A272)</f>
        <v/>
      </c>
      <c r="B670" s="0" t="str">
        <f aca="false">IF($A670="","",'Formation Initiale'!$E272)</f>
        <v/>
      </c>
      <c r="C670" s="0" t="str">
        <f aca="false">IF($A670="","",'Formation Initiale'!$F272)</f>
        <v/>
      </c>
      <c r="D670" s="0" t="str">
        <f aca="false">IF($A670="","",IF('Formation Initiale'!$F272="Lisbonne","B2C (Initiale)","B2C+B2B (Initiale)"))</f>
        <v/>
      </c>
      <c r="E670" s="0" t="str">
        <f aca="false">IF($A670="","",'Formation Initiale'!$B272)</f>
        <v/>
      </c>
      <c r="F670" s="116" t="str">
        <f aca="false">IF($A670="","",'Formation Initiale'!$G272)</f>
        <v/>
      </c>
      <c r="G670" s="116" t="str">
        <f aca="false">IF($A670="","",'Formation Initiale'!$H272)</f>
        <v/>
      </c>
      <c r="H670" s="0" t="str">
        <f aca="false">IF($A670="","",'Formation Initiale'!$L272)</f>
        <v/>
      </c>
      <c r="I670" s="0" t="str">
        <f aca="false">IF($A670="","",'Formation Initiale'!$R272)</f>
        <v/>
      </c>
      <c r="K670" s="104" t="n">
        <f aca="false">IF(A670="",0,IF(IFERROR(VLOOKUP(A670,Skills!$A:$M,13,FALSE()),"")="COS",0,IF(OR(I670="En cours",I670="À venir",I670="À planifier"),IF(AND(OR($C$3="Tous",$C$3="",C670=$C$3),OR($E$3="Tous",$E$3="",I670=$E$3)),1,0),0)))</f>
        <v>0</v>
      </c>
      <c r="L670" s="104" t="n">
        <f aca="false">L669+K670</f>
        <v>15</v>
      </c>
    </row>
    <row r="671" customFormat="false" ht="15" hidden="true" customHeight="true" outlineLevel="0" collapsed="false">
      <c r="A671" s="0" t="str">
        <f aca="false">IF('Formation Initiale'!$A273="","",'Formation Initiale'!$A273)</f>
        <v/>
      </c>
      <c r="B671" s="0" t="str">
        <f aca="false">IF($A671="","",'Formation Initiale'!$E273)</f>
        <v/>
      </c>
      <c r="C671" s="0" t="str">
        <f aca="false">IF($A671="","",'Formation Initiale'!$F273)</f>
        <v/>
      </c>
      <c r="D671" s="0" t="str">
        <f aca="false">IF($A671="","",IF('Formation Initiale'!$F273="Lisbonne","B2C (Initiale)","B2C+B2B (Initiale)"))</f>
        <v/>
      </c>
      <c r="E671" s="0" t="str">
        <f aca="false">IF($A671="","",'Formation Initiale'!$B273)</f>
        <v/>
      </c>
      <c r="F671" s="116" t="str">
        <f aca="false">IF($A671="","",'Formation Initiale'!$G273)</f>
        <v/>
      </c>
      <c r="G671" s="116" t="str">
        <f aca="false">IF($A671="","",'Formation Initiale'!$H273)</f>
        <v/>
      </c>
      <c r="H671" s="0" t="str">
        <f aca="false">IF($A671="","",'Formation Initiale'!$L273)</f>
        <v/>
      </c>
      <c r="I671" s="0" t="str">
        <f aca="false">IF($A671="","",'Formation Initiale'!$R273)</f>
        <v/>
      </c>
      <c r="K671" s="104" t="n">
        <f aca="false">IF(A671="",0,IF(IFERROR(VLOOKUP(A671,Skills!$A:$M,13,FALSE()),"")="COS",0,IF(OR(I671="En cours",I671="À venir",I671="À planifier"),IF(AND(OR($C$3="Tous",$C$3="",C671=$C$3),OR($E$3="Tous",$E$3="",I671=$E$3)),1,0),0)))</f>
        <v>0</v>
      </c>
      <c r="L671" s="104" t="n">
        <f aca="false">L670+K671</f>
        <v>15</v>
      </c>
    </row>
    <row r="672" customFormat="false" ht="15" hidden="true" customHeight="true" outlineLevel="0" collapsed="false">
      <c r="A672" s="0" t="str">
        <f aca="false">IF('Formation Initiale'!$A274="","",'Formation Initiale'!$A274)</f>
        <v/>
      </c>
      <c r="B672" s="0" t="str">
        <f aca="false">IF($A672="","",'Formation Initiale'!$E274)</f>
        <v/>
      </c>
      <c r="C672" s="0" t="str">
        <f aca="false">IF($A672="","",'Formation Initiale'!$F274)</f>
        <v/>
      </c>
      <c r="D672" s="0" t="str">
        <f aca="false">IF($A672="","",IF('Formation Initiale'!$F274="Lisbonne","B2C (Initiale)","B2C+B2B (Initiale)"))</f>
        <v/>
      </c>
      <c r="E672" s="0" t="str">
        <f aca="false">IF($A672="","",'Formation Initiale'!$B274)</f>
        <v/>
      </c>
      <c r="F672" s="116" t="str">
        <f aca="false">IF($A672="","",'Formation Initiale'!$G274)</f>
        <v/>
      </c>
      <c r="G672" s="116" t="str">
        <f aca="false">IF($A672="","",'Formation Initiale'!$H274)</f>
        <v/>
      </c>
      <c r="H672" s="0" t="str">
        <f aca="false">IF($A672="","",'Formation Initiale'!$L274)</f>
        <v/>
      </c>
      <c r="I672" s="0" t="str">
        <f aca="false">IF($A672="","",'Formation Initiale'!$R274)</f>
        <v/>
      </c>
      <c r="K672" s="104" t="n">
        <f aca="false">IF(A672="",0,IF(IFERROR(VLOOKUP(A672,Skills!$A:$M,13,FALSE()),"")="COS",0,IF(OR(I672="En cours",I672="À venir",I672="À planifier"),IF(AND(OR($C$3="Tous",$C$3="",C672=$C$3),OR($E$3="Tous",$E$3="",I672=$E$3)),1,0),0)))</f>
        <v>0</v>
      </c>
      <c r="L672" s="104" t="n">
        <f aca="false">L671+K672</f>
        <v>15</v>
      </c>
    </row>
    <row r="673" customFormat="false" ht="15" hidden="true" customHeight="true" outlineLevel="0" collapsed="false">
      <c r="A673" s="0" t="str">
        <f aca="false">IF('Formation Initiale'!$A275="","",'Formation Initiale'!$A275)</f>
        <v/>
      </c>
      <c r="B673" s="0" t="str">
        <f aca="false">IF($A673="","",'Formation Initiale'!$E275)</f>
        <v/>
      </c>
      <c r="C673" s="0" t="str">
        <f aca="false">IF($A673="","",'Formation Initiale'!$F275)</f>
        <v/>
      </c>
      <c r="D673" s="0" t="str">
        <f aca="false">IF($A673="","",IF('Formation Initiale'!$F275="Lisbonne","B2C (Initiale)","B2C+B2B (Initiale)"))</f>
        <v/>
      </c>
      <c r="E673" s="0" t="str">
        <f aca="false">IF($A673="","",'Formation Initiale'!$B275)</f>
        <v/>
      </c>
      <c r="F673" s="116" t="str">
        <f aca="false">IF($A673="","",'Formation Initiale'!$G275)</f>
        <v/>
      </c>
      <c r="G673" s="116" t="str">
        <f aca="false">IF($A673="","",'Formation Initiale'!$H275)</f>
        <v/>
      </c>
      <c r="H673" s="0" t="str">
        <f aca="false">IF($A673="","",'Formation Initiale'!$L275)</f>
        <v/>
      </c>
      <c r="I673" s="0" t="str">
        <f aca="false">IF($A673="","",'Formation Initiale'!$R275)</f>
        <v/>
      </c>
      <c r="K673" s="104" t="n">
        <f aca="false">IF(A673="",0,IF(IFERROR(VLOOKUP(A673,Skills!$A:$M,13,FALSE()),"")="COS",0,IF(OR(I673="En cours",I673="À venir",I673="À planifier"),IF(AND(OR($C$3="Tous",$C$3="",C673=$C$3),OR($E$3="Tous",$E$3="",I673=$E$3)),1,0),0)))</f>
        <v>0</v>
      </c>
      <c r="L673" s="104" t="n">
        <f aca="false">L672+K673</f>
        <v>15</v>
      </c>
    </row>
    <row r="674" customFormat="false" ht="15" hidden="true" customHeight="true" outlineLevel="0" collapsed="false">
      <c r="A674" s="0" t="str">
        <f aca="false">IF('Formation Initiale'!$A276="","",'Formation Initiale'!$A276)</f>
        <v/>
      </c>
      <c r="B674" s="0" t="str">
        <f aca="false">IF($A674="","",'Formation Initiale'!$E276)</f>
        <v/>
      </c>
      <c r="C674" s="0" t="str">
        <f aca="false">IF($A674="","",'Formation Initiale'!$F276)</f>
        <v/>
      </c>
      <c r="D674" s="0" t="str">
        <f aca="false">IF($A674="","",IF('Formation Initiale'!$F276="Lisbonne","B2C (Initiale)","B2C+B2B (Initiale)"))</f>
        <v/>
      </c>
      <c r="E674" s="0" t="str">
        <f aca="false">IF($A674="","",'Formation Initiale'!$B276)</f>
        <v/>
      </c>
      <c r="F674" s="116" t="str">
        <f aca="false">IF($A674="","",'Formation Initiale'!$G276)</f>
        <v/>
      </c>
      <c r="G674" s="116" t="str">
        <f aca="false">IF($A674="","",'Formation Initiale'!$H276)</f>
        <v/>
      </c>
      <c r="H674" s="0" t="str">
        <f aca="false">IF($A674="","",'Formation Initiale'!$L276)</f>
        <v/>
      </c>
      <c r="I674" s="0" t="str">
        <f aca="false">IF($A674="","",'Formation Initiale'!$R276)</f>
        <v/>
      </c>
      <c r="K674" s="104" t="n">
        <f aca="false">IF(A674="",0,IF(IFERROR(VLOOKUP(A674,Skills!$A:$M,13,FALSE()),"")="COS",0,IF(OR(I674="En cours",I674="À venir",I674="À planifier"),IF(AND(OR($C$3="Tous",$C$3="",C674=$C$3),OR($E$3="Tous",$E$3="",I674=$E$3)),1,0),0)))</f>
        <v>0</v>
      </c>
      <c r="L674" s="104" t="n">
        <f aca="false">L673+K674</f>
        <v>15</v>
      </c>
    </row>
    <row r="675" customFormat="false" ht="15" hidden="true" customHeight="true" outlineLevel="0" collapsed="false">
      <c r="A675" s="0" t="str">
        <f aca="false">IF('Formation Initiale'!$A277="","",'Formation Initiale'!$A277)</f>
        <v/>
      </c>
      <c r="B675" s="0" t="str">
        <f aca="false">IF($A675="","",'Formation Initiale'!$E277)</f>
        <v/>
      </c>
      <c r="C675" s="0" t="str">
        <f aca="false">IF($A675="","",'Formation Initiale'!$F277)</f>
        <v/>
      </c>
      <c r="D675" s="0" t="str">
        <f aca="false">IF($A675="","",IF('Formation Initiale'!$F277="Lisbonne","B2C (Initiale)","B2C+B2B (Initiale)"))</f>
        <v/>
      </c>
      <c r="E675" s="0" t="str">
        <f aca="false">IF($A675="","",'Formation Initiale'!$B277)</f>
        <v/>
      </c>
      <c r="F675" s="116" t="str">
        <f aca="false">IF($A675="","",'Formation Initiale'!$G277)</f>
        <v/>
      </c>
      <c r="G675" s="116" t="str">
        <f aca="false">IF($A675="","",'Formation Initiale'!$H277)</f>
        <v/>
      </c>
      <c r="H675" s="0" t="str">
        <f aca="false">IF($A675="","",'Formation Initiale'!$L277)</f>
        <v/>
      </c>
      <c r="I675" s="0" t="str">
        <f aca="false">IF($A675="","",'Formation Initiale'!$R277)</f>
        <v/>
      </c>
      <c r="K675" s="104" t="n">
        <f aca="false">IF(A675="",0,IF(IFERROR(VLOOKUP(A675,Skills!$A:$M,13,FALSE()),"")="COS",0,IF(OR(I675="En cours",I675="À venir",I675="À planifier"),IF(AND(OR($C$3="Tous",$C$3="",C675=$C$3),OR($E$3="Tous",$E$3="",I675=$E$3)),1,0),0)))</f>
        <v>0</v>
      </c>
      <c r="L675" s="104" t="n">
        <f aca="false">L674+K675</f>
        <v>15</v>
      </c>
    </row>
    <row r="676" customFormat="false" ht="15" hidden="true" customHeight="true" outlineLevel="0" collapsed="false">
      <c r="A676" s="0" t="str">
        <f aca="false">IF('Formation Initiale'!$A278="","",'Formation Initiale'!$A278)</f>
        <v/>
      </c>
      <c r="B676" s="0" t="str">
        <f aca="false">IF($A676="","",'Formation Initiale'!$E278)</f>
        <v/>
      </c>
      <c r="C676" s="0" t="str">
        <f aca="false">IF($A676="","",'Formation Initiale'!$F278)</f>
        <v/>
      </c>
      <c r="D676" s="0" t="str">
        <f aca="false">IF($A676="","",IF('Formation Initiale'!$F278="Lisbonne","B2C (Initiale)","B2C+B2B (Initiale)"))</f>
        <v/>
      </c>
      <c r="E676" s="0" t="str">
        <f aca="false">IF($A676="","",'Formation Initiale'!$B278)</f>
        <v/>
      </c>
      <c r="F676" s="116" t="str">
        <f aca="false">IF($A676="","",'Formation Initiale'!$G278)</f>
        <v/>
      </c>
      <c r="G676" s="116" t="str">
        <f aca="false">IF($A676="","",'Formation Initiale'!$H278)</f>
        <v/>
      </c>
      <c r="H676" s="0" t="str">
        <f aca="false">IF($A676="","",'Formation Initiale'!$L278)</f>
        <v/>
      </c>
      <c r="I676" s="0" t="str">
        <f aca="false">IF($A676="","",'Formation Initiale'!$R278)</f>
        <v/>
      </c>
      <c r="K676" s="104" t="n">
        <f aca="false">IF(A676="",0,IF(IFERROR(VLOOKUP(A676,Skills!$A:$M,13,FALSE()),"")="COS",0,IF(OR(I676="En cours",I676="À venir",I676="À planifier"),IF(AND(OR($C$3="Tous",$C$3="",C676=$C$3),OR($E$3="Tous",$E$3="",I676=$E$3)),1,0),0)))</f>
        <v>0</v>
      </c>
      <c r="L676" s="104" t="n">
        <f aca="false">L675+K676</f>
        <v>15</v>
      </c>
    </row>
    <row r="677" customFormat="false" ht="15" hidden="true" customHeight="true" outlineLevel="0" collapsed="false">
      <c r="A677" s="0" t="str">
        <f aca="false">IF('Formation Initiale'!$A279="","",'Formation Initiale'!$A279)</f>
        <v/>
      </c>
      <c r="B677" s="0" t="str">
        <f aca="false">IF($A677="","",'Formation Initiale'!$E279)</f>
        <v/>
      </c>
      <c r="C677" s="0" t="str">
        <f aca="false">IF($A677="","",'Formation Initiale'!$F279)</f>
        <v/>
      </c>
      <c r="D677" s="0" t="str">
        <f aca="false">IF($A677="","",IF('Formation Initiale'!$F279="Lisbonne","B2C (Initiale)","B2C+B2B (Initiale)"))</f>
        <v/>
      </c>
      <c r="E677" s="0" t="str">
        <f aca="false">IF($A677="","",'Formation Initiale'!$B279)</f>
        <v/>
      </c>
      <c r="F677" s="116" t="str">
        <f aca="false">IF($A677="","",'Formation Initiale'!$G279)</f>
        <v/>
      </c>
      <c r="G677" s="116" t="str">
        <f aca="false">IF($A677="","",'Formation Initiale'!$H279)</f>
        <v/>
      </c>
      <c r="H677" s="0" t="str">
        <f aca="false">IF($A677="","",'Formation Initiale'!$L279)</f>
        <v/>
      </c>
      <c r="I677" s="0" t="str">
        <f aca="false">IF($A677="","",'Formation Initiale'!$R279)</f>
        <v/>
      </c>
      <c r="K677" s="104" t="n">
        <f aca="false">IF(A677="",0,IF(IFERROR(VLOOKUP(A677,Skills!$A:$M,13,FALSE()),"")="COS",0,IF(OR(I677="En cours",I677="À venir",I677="À planifier"),IF(AND(OR($C$3="Tous",$C$3="",C677=$C$3),OR($E$3="Tous",$E$3="",I677=$E$3)),1,0),0)))</f>
        <v>0</v>
      </c>
      <c r="L677" s="104" t="n">
        <f aca="false">L676+K677</f>
        <v>15</v>
      </c>
    </row>
    <row r="678" customFormat="false" ht="15" hidden="true" customHeight="true" outlineLevel="0" collapsed="false">
      <c r="A678" s="0" t="str">
        <f aca="false">IF('Formation Initiale'!$A280="","",'Formation Initiale'!$A280)</f>
        <v/>
      </c>
      <c r="B678" s="0" t="str">
        <f aca="false">IF($A678="","",'Formation Initiale'!$E280)</f>
        <v/>
      </c>
      <c r="C678" s="0" t="str">
        <f aca="false">IF($A678="","",'Formation Initiale'!$F280)</f>
        <v/>
      </c>
      <c r="D678" s="0" t="str">
        <f aca="false">IF($A678="","",IF('Formation Initiale'!$F280="Lisbonne","B2C (Initiale)","B2C+B2B (Initiale)"))</f>
        <v/>
      </c>
      <c r="E678" s="0" t="str">
        <f aca="false">IF($A678="","",'Formation Initiale'!$B280)</f>
        <v/>
      </c>
      <c r="F678" s="116" t="str">
        <f aca="false">IF($A678="","",'Formation Initiale'!$G280)</f>
        <v/>
      </c>
      <c r="G678" s="116" t="str">
        <f aca="false">IF($A678="","",'Formation Initiale'!$H280)</f>
        <v/>
      </c>
      <c r="H678" s="0" t="str">
        <f aca="false">IF($A678="","",'Formation Initiale'!$L280)</f>
        <v/>
      </c>
      <c r="I678" s="0" t="str">
        <f aca="false">IF($A678="","",'Formation Initiale'!$R280)</f>
        <v/>
      </c>
      <c r="K678" s="104" t="n">
        <f aca="false">IF(A678="",0,IF(IFERROR(VLOOKUP(A678,Skills!$A:$M,13,FALSE()),"")="COS",0,IF(OR(I678="En cours",I678="À venir",I678="À planifier"),IF(AND(OR($C$3="Tous",$C$3="",C678=$C$3),OR($E$3="Tous",$E$3="",I678=$E$3)),1,0),0)))</f>
        <v>0</v>
      </c>
      <c r="L678" s="104" t="n">
        <f aca="false">L677+K678</f>
        <v>15</v>
      </c>
    </row>
    <row r="679" customFormat="false" ht="15" hidden="true" customHeight="true" outlineLevel="0" collapsed="false">
      <c r="A679" s="0" t="str">
        <f aca="false">IF('Formation Initiale'!$A281="","",'Formation Initiale'!$A281)</f>
        <v/>
      </c>
      <c r="B679" s="0" t="str">
        <f aca="false">IF($A679="","",'Formation Initiale'!$E281)</f>
        <v/>
      </c>
      <c r="C679" s="0" t="str">
        <f aca="false">IF($A679="","",'Formation Initiale'!$F281)</f>
        <v/>
      </c>
      <c r="D679" s="0" t="str">
        <f aca="false">IF($A679="","",IF('Formation Initiale'!$F281="Lisbonne","B2C (Initiale)","B2C+B2B (Initiale)"))</f>
        <v/>
      </c>
      <c r="E679" s="0" t="str">
        <f aca="false">IF($A679="","",'Formation Initiale'!$B281)</f>
        <v/>
      </c>
      <c r="F679" s="116" t="str">
        <f aca="false">IF($A679="","",'Formation Initiale'!$G281)</f>
        <v/>
      </c>
      <c r="G679" s="116" t="str">
        <f aca="false">IF($A679="","",'Formation Initiale'!$H281)</f>
        <v/>
      </c>
      <c r="H679" s="0" t="str">
        <f aca="false">IF($A679="","",'Formation Initiale'!$L281)</f>
        <v/>
      </c>
      <c r="I679" s="0" t="str">
        <f aca="false">IF($A679="","",'Formation Initiale'!$R281)</f>
        <v/>
      </c>
      <c r="K679" s="104" t="n">
        <f aca="false">IF(A679="",0,IF(IFERROR(VLOOKUP(A679,Skills!$A:$M,13,FALSE()),"")="COS",0,IF(OR(I679="En cours",I679="À venir",I679="À planifier"),IF(AND(OR($C$3="Tous",$C$3="",C679=$C$3),OR($E$3="Tous",$E$3="",I679=$E$3)),1,0),0)))</f>
        <v>0</v>
      </c>
      <c r="L679" s="104" t="n">
        <f aca="false">L678+K679</f>
        <v>15</v>
      </c>
    </row>
    <row r="680" customFormat="false" ht="15" hidden="true" customHeight="true" outlineLevel="0" collapsed="false">
      <c r="A680" s="0" t="str">
        <f aca="false">IF('Formation Initiale'!$A282="","",'Formation Initiale'!$A282)</f>
        <v/>
      </c>
      <c r="B680" s="0" t="str">
        <f aca="false">IF($A680="","",'Formation Initiale'!$E282)</f>
        <v/>
      </c>
      <c r="C680" s="0" t="str">
        <f aca="false">IF($A680="","",'Formation Initiale'!$F282)</f>
        <v/>
      </c>
      <c r="D680" s="0" t="str">
        <f aca="false">IF($A680="","",IF('Formation Initiale'!$F282="Lisbonne","B2C (Initiale)","B2C+B2B (Initiale)"))</f>
        <v/>
      </c>
      <c r="E680" s="0" t="str">
        <f aca="false">IF($A680="","",'Formation Initiale'!$B282)</f>
        <v/>
      </c>
      <c r="F680" s="116" t="str">
        <f aca="false">IF($A680="","",'Formation Initiale'!$G282)</f>
        <v/>
      </c>
      <c r="G680" s="116" t="str">
        <f aca="false">IF($A680="","",'Formation Initiale'!$H282)</f>
        <v/>
      </c>
      <c r="H680" s="0" t="str">
        <f aca="false">IF($A680="","",'Formation Initiale'!$L282)</f>
        <v/>
      </c>
      <c r="I680" s="0" t="str">
        <f aca="false">IF($A680="","",'Formation Initiale'!$R282)</f>
        <v/>
      </c>
      <c r="K680" s="104" t="n">
        <f aca="false">IF(A680="",0,IF(IFERROR(VLOOKUP(A680,Skills!$A:$M,13,FALSE()),"")="COS",0,IF(OR(I680="En cours",I680="À venir",I680="À planifier"),IF(AND(OR($C$3="Tous",$C$3="",C680=$C$3),OR($E$3="Tous",$E$3="",I680=$E$3)),1,0),0)))</f>
        <v>0</v>
      </c>
      <c r="L680" s="104" t="n">
        <f aca="false">L679+K680</f>
        <v>15</v>
      </c>
    </row>
    <row r="681" customFormat="false" ht="15" hidden="true" customHeight="true" outlineLevel="0" collapsed="false">
      <c r="A681" s="0" t="str">
        <f aca="false">IF('Formation Initiale'!$A283="","",'Formation Initiale'!$A283)</f>
        <v/>
      </c>
      <c r="B681" s="0" t="str">
        <f aca="false">IF($A681="","",'Formation Initiale'!$E283)</f>
        <v/>
      </c>
      <c r="C681" s="0" t="str">
        <f aca="false">IF($A681="","",'Formation Initiale'!$F283)</f>
        <v/>
      </c>
      <c r="D681" s="0" t="str">
        <f aca="false">IF($A681="","",IF('Formation Initiale'!$F283="Lisbonne","B2C (Initiale)","B2C+B2B (Initiale)"))</f>
        <v/>
      </c>
      <c r="E681" s="0" t="str">
        <f aca="false">IF($A681="","",'Formation Initiale'!$B283)</f>
        <v/>
      </c>
      <c r="F681" s="116" t="str">
        <f aca="false">IF($A681="","",'Formation Initiale'!$G283)</f>
        <v/>
      </c>
      <c r="G681" s="116" t="str">
        <f aca="false">IF($A681="","",'Formation Initiale'!$H283)</f>
        <v/>
      </c>
      <c r="H681" s="0" t="str">
        <f aca="false">IF($A681="","",'Formation Initiale'!$L283)</f>
        <v/>
      </c>
      <c r="I681" s="0" t="str">
        <f aca="false">IF($A681="","",'Formation Initiale'!$R283)</f>
        <v/>
      </c>
      <c r="K681" s="104" t="n">
        <f aca="false">IF(A681="",0,IF(IFERROR(VLOOKUP(A681,Skills!$A:$M,13,FALSE()),"")="COS",0,IF(OR(I681="En cours",I681="À venir",I681="À planifier"),IF(AND(OR($C$3="Tous",$C$3="",C681=$C$3),OR($E$3="Tous",$E$3="",I681=$E$3)),1,0),0)))</f>
        <v>0</v>
      </c>
      <c r="L681" s="104" t="n">
        <f aca="false">L680+K681</f>
        <v>15</v>
      </c>
    </row>
    <row r="682" customFormat="false" ht="15" hidden="true" customHeight="true" outlineLevel="0" collapsed="false">
      <c r="A682" s="0" t="str">
        <f aca="false">IF('Formation Initiale'!$A284="","",'Formation Initiale'!$A284)</f>
        <v/>
      </c>
      <c r="B682" s="0" t="str">
        <f aca="false">IF($A682="","",'Formation Initiale'!$E284)</f>
        <v/>
      </c>
      <c r="C682" s="0" t="str">
        <f aca="false">IF($A682="","",'Formation Initiale'!$F284)</f>
        <v/>
      </c>
      <c r="D682" s="0" t="str">
        <f aca="false">IF($A682="","",IF('Formation Initiale'!$F284="Lisbonne","B2C (Initiale)","B2C+B2B (Initiale)"))</f>
        <v/>
      </c>
      <c r="E682" s="0" t="str">
        <f aca="false">IF($A682="","",'Formation Initiale'!$B284)</f>
        <v/>
      </c>
      <c r="F682" s="116" t="str">
        <f aca="false">IF($A682="","",'Formation Initiale'!$G284)</f>
        <v/>
      </c>
      <c r="G682" s="116" t="str">
        <f aca="false">IF($A682="","",'Formation Initiale'!$H284)</f>
        <v/>
      </c>
      <c r="H682" s="0" t="str">
        <f aca="false">IF($A682="","",'Formation Initiale'!$L284)</f>
        <v/>
      </c>
      <c r="I682" s="0" t="str">
        <f aca="false">IF($A682="","",'Formation Initiale'!$R284)</f>
        <v/>
      </c>
      <c r="K682" s="104" t="n">
        <f aca="false">IF(A682="",0,IF(IFERROR(VLOOKUP(A682,Skills!$A:$M,13,FALSE()),"")="COS",0,IF(OR(I682="En cours",I682="À venir",I682="À planifier"),IF(AND(OR($C$3="Tous",$C$3="",C682=$C$3),OR($E$3="Tous",$E$3="",I682=$E$3)),1,0),0)))</f>
        <v>0</v>
      </c>
      <c r="L682" s="104" t="n">
        <f aca="false">L681+K682</f>
        <v>15</v>
      </c>
    </row>
    <row r="683" customFormat="false" ht="15" hidden="true" customHeight="true" outlineLevel="0" collapsed="false">
      <c r="A683" s="0" t="str">
        <f aca="false">IF('Formation Initiale'!$A285="","",'Formation Initiale'!$A285)</f>
        <v/>
      </c>
      <c r="B683" s="0" t="str">
        <f aca="false">IF($A683="","",'Formation Initiale'!$E285)</f>
        <v/>
      </c>
      <c r="C683" s="0" t="str">
        <f aca="false">IF($A683="","",'Formation Initiale'!$F285)</f>
        <v/>
      </c>
      <c r="D683" s="0" t="str">
        <f aca="false">IF($A683="","",IF('Formation Initiale'!$F285="Lisbonne","B2C (Initiale)","B2C+B2B (Initiale)"))</f>
        <v/>
      </c>
      <c r="E683" s="0" t="str">
        <f aca="false">IF($A683="","",'Formation Initiale'!$B285)</f>
        <v/>
      </c>
      <c r="F683" s="116" t="str">
        <f aca="false">IF($A683="","",'Formation Initiale'!$G285)</f>
        <v/>
      </c>
      <c r="G683" s="116" t="str">
        <f aca="false">IF($A683="","",'Formation Initiale'!$H285)</f>
        <v/>
      </c>
      <c r="H683" s="0" t="str">
        <f aca="false">IF($A683="","",'Formation Initiale'!$L285)</f>
        <v/>
      </c>
      <c r="I683" s="0" t="str">
        <f aca="false">IF($A683="","",'Formation Initiale'!$R285)</f>
        <v/>
      </c>
      <c r="K683" s="104" t="n">
        <f aca="false">IF(A683="",0,IF(IFERROR(VLOOKUP(A683,Skills!$A:$M,13,FALSE()),"")="COS",0,IF(OR(I683="En cours",I683="À venir",I683="À planifier"),IF(AND(OR($C$3="Tous",$C$3="",C683=$C$3),OR($E$3="Tous",$E$3="",I683=$E$3)),1,0),0)))</f>
        <v>0</v>
      </c>
      <c r="L683" s="104" t="n">
        <f aca="false">L682+K683</f>
        <v>15</v>
      </c>
    </row>
    <row r="684" customFormat="false" ht="15" hidden="true" customHeight="true" outlineLevel="0" collapsed="false">
      <c r="A684" s="0" t="str">
        <f aca="false">IF('Formation Initiale'!$A286="","",'Formation Initiale'!$A286)</f>
        <v/>
      </c>
      <c r="B684" s="0" t="str">
        <f aca="false">IF($A684="","",'Formation Initiale'!$E286)</f>
        <v/>
      </c>
      <c r="C684" s="0" t="str">
        <f aca="false">IF($A684="","",'Formation Initiale'!$F286)</f>
        <v/>
      </c>
      <c r="D684" s="0" t="str">
        <f aca="false">IF($A684="","",IF('Formation Initiale'!$F286="Lisbonne","B2C (Initiale)","B2C+B2B (Initiale)"))</f>
        <v/>
      </c>
      <c r="E684" s="0" t="str">
        <f aca="false">IF($A684="","",'Formation Initiale'!$B286)</f>
        <v/>
      </c>
      <c r="F684" s="116" t="str">
        <f aca="false">IF($A684="","",'Formation Initiale'!$G286)</f>
        <v/>
      </c>
      <c r="G684" s="116" t="str">
        <f aca="false">IF($A684="","",'Formation Initiale'!$H286)</f>
        <v/>
      </c>
      <c r="H684" s="0" t="str">
        <f aca="false">IF($A684="","",'Formation Initiale'!$L286)</f>
        <v/>
      </c>
      <c r="I684" s="0" t="str">
        <f aca="false">IF($A684="","",'Formation Initiale'!$R286)</f>
        <v/>
      </c>
      <c r="K684" s="104" t="n">
        <f aca="false">IF(A684="",0,IF(IFERROR(VLOOKUP(A684,Skills!$A:$M,13,FALSE()),"")="COS",0,IF(OR(I684="En cours",I684="À venir",I684="À planifier"),IF(AND(OR($C$3="Tous",$C$3="",C684=$C$3),OR($E$3="Tous",$E$3="",I684=$E$3)),1,0),0)))</f>
        <v>0</v>
      </c>
      <c r="L684" s="104" t="n">
        <f aca="false">L683+K684</f>
        <v>15</v>
      </c>
    </row>
    <row r="685" customFormat="false" ht="15" hidden="true" customHeight="true" outlineLevel="0" collapsed="false">
      <c r="A685" s="0" t="str">
        <f aca="false">IF('Formation Initiale'!$A287="","",'Formation Initiale'!$A287)</f>
        <v/>
      </c>
      <c r="B685" s="0" t="str">
        <f aca="false">IF($A685="","",'Formation Initiale'!$E287)</f>
        <v/>
      </c>
      <c r="C685" s="0" t="str">
        <f aca="false">IF($A685="","",'Formation Initiale'!$F287)</f>
        <v/>
      </c>
      <c r="D685" s="0" t="str">
        <f aca="false">IF($A685="","",IF('Formation Initiale'!$F287="Lisbonne","B2C (Initiale)","B2C+B2B (Initiale)"))</f>
        <v/>
      </c>
      <c r="E685" s="0" t="str">
        <f aca="false">IF($A685="","",'Formation Initiale'!$B287)</f>
        <v/>
      </c>
      <c r="F685" s="116" t="str">
        <f aca="false">IF($A685="","",'Formation Initiale'!$G287)</f>
        <v/>
      </c>
      <c r="G685" s="116" t="str">
        <f aca="false">IF($A685="","",'Formation Initiale'!$H287)</f>
        <v/>
      </c>
      <c r="H685" s="0" t="str">
        <f aca="false">IF($A685="","",'Formation Initiale'!$L287)</f>
        <v/>
      </c>
      <c r="I685" s="0" t="str">
        <f aca="false">IF($A685="","",'Formation Initiale'!$R287)</f>
        <v/>
      </c>
      <c r="K685" s="104" t="n">
        <f aca="false">IF(A685="",0,IF(IFERROR(VLOOKUP(A685,Skills!$A:$M,13,FALSE()),"")="COS",0,IF(OR(I685="En cours",I685="À venir",I685="À planifier"),IF(AND(OR($C$3="Tous",$C$3="",C685=$C$3),OR($E$3="Tous",$E$3="",I685=$E$3)),1,0),0)))</f>
        <v>0</v>
      </c>
      <c r="L685" s="104" t="n">
        <f aca="false">L684+K685</f>
        <v>15</v>
      </c>
    </row>
    <row r="686" customFormat="false" ht="15" hidden="true" customHeight="true" outlineLevel="0" collapsed="false">
      <c r="A686" s="0" t="str">
        <f aca="false">IF('Formation Initiale'!$A288="","",'Formation Initiale'!$A288)</f>
        <v/>
      </c>
      <c r="B686" s="0" t="str">
        <f aca="false">IF($A686="","",'Formation Initiale'!$E288)</f>
        <v/>
      </c>
      <c r="C686" s="0" t="str">
        <f aca="false">IF($A686="","",'Formation Initiale'!$F288)</f>
        <v/>
      </c>
      <c r="D686" s="0" t="str">
        <f aca="false">IF($A686="","",IF('Formation Initiale'!$F288="Lisbonne","B2C (Initiale)","B2C+B2B (Initiale)"))</f>
        <v/>
      </c>
      <c r="E686" s="0" t="str">
        <f aca="false">IF($A686="","",'Formation Initiale'!$B288)</f>
        <v/>
      </c>
      <c r="F686" s="116" t="str">
        <f aca="false">IF($A686="","",'Formation Initiale'!$G288)</f>
        <v/>
      </c>
      <c r="G686" s="116" t="str">
        <f aca="false">IF($A686="","",'Formation Initiale'!$H288)</f>
        <v/>
      </c>
      <c r="H686" s="0" t="str">
        <f aca="false">IF($A686="","",'Formation Initiale'!$L288)</f>
        <v/>
      </c>
      <c r="I686" s="0" t="str">
        <f aca="false">IF($A686="","",'Formation Initiale'!$R288)</f>
        <v/>
      </c>
      <c r="K686" s="104" t="n">
        <f aca="false">IF(A686="",0,IF(IFERROR(VLOOKUP(A686,Skills!$A:$M,13,FALSE()),"")="COS",0,IF(OR(I686="En cours",I686="À venir",I686="À planifier"),IF(AND(OR($C$3="Tous",$C$3="",C686=$C$3),OR($E$3="Tous",$E$3="",I686=$E$3)),1,0),0)))</f>
        <v>0</v>
      </c>
      <c r="L686" s="104" t="n">
        <f aca="false">L685+K686</f>
        <v>15</v>
      </c>
    </row>
    <row r="687" customFormat="false" ht="15" hidden="true" customHeight="true" outlineLevel="0" collapsed="false">
      <c r="A687" s="0" t="str">
        <f aca="false">IF('Formation Initiale'!$A289="","",'Formation Initiale'!$A289)</f>
        <v/>
      </c>
      <c r="B687" s="0" t="str">
        <f aca="false">IF($A687="","",'Formation Initiale'!$E289)</f>
        <v/>
      </c>
      <c r="C687" s="0" t="str">
        <f aca="false">IF($A687="","",'Formation Initiale'!$F289)</f>
        <v/>
      </c>
      <c r="D687" s="0" t="str">
        <f aca="false">IF($A687="","",IF('Formation Initiale'!$F289="Lisbonne","B2C (Initiale)","B2C+B2B (Initiale)"))</f>
        <v/>
      </c>
      <c r="E687" s="0" t="str">
        <f aca="false">IF($A687="","",'Formation Initiale'!$B289)</f>
        <v/>
      </c>
      <c r="F687" s="116" t="str">
        <f aca="false">IF($A687="","",'Formation Initiale'!$G289)</f>
        <v/>
      </c>
      <c r="G687" s="116" t="str">
        <f aca="false">IF($A687="","",'Formation Initiale'!$H289)</f>
        <v/>
      </c>
      <c r="H687" s="0" t="str">
        <f aca="false">IF($A687="","",'Formation Initiale'!$L289)</f>
        <v/>
      </c>
      <c r="I687" s="0" t="str">
        <f aca="false">IF($A687="","",'Formation Initiale'!$R289)</f>
        <v/>
      </c>
      <c r="K687" s="104" t="n">
        <f aca="false">IF(A687="",0,IF(IFERROR(VLOOKUP(A687,Skills!$A:$M,13,FALSE()),"")="COS",0,IF(OR(I687="En cours",I687="À venir",I687="À planifier"),IF(AND(OR($C$3="Tous",$C$3="",C687=$C$3),OR($E$3="Tous",$E$3="",I687=$E$3)),1,0),0)))</f>
        <v>0</v>
      </c>
      <c r="L687" s="104" t="n">
        <f aca="false">L686+K687</f>
        <v>15</v>
      </c>
    </row>
    <row r="688" customFormat="false" ht="15" hidden="true" customHeight="true" outlineLevel="0" collapsed="false">
      <c r="A688" s="0" t="str">
        <f aca="false">IF('Formation Initiale'!$A290="","",'Formation Initiale'!$A290)</f>
        <v/>
      </c>
      <c r="B688" s="0" t="str">
        <f aca="false">IF($A688="","",'Formation Initiale'!$E290)</f>
        <v/>
      </c>
      <c r="C688" s="0" t="str">
        <f aca="false">IF($A688="","",'Formation Initiale'!$F290)</f>
        <v/>
      </c>
      <c r="D688" s="0" t="str">
        <f aca="false">IF($A688="","",IF('Formation Initiale'!$F290="Lisbonne","B2C (Initiale)","B2C+B2B (Initiale)"))</f>
        <v/>
      </c>
      <c r="E688" s="0" t="str">
        <f aca="false">IF($A688="","",'Formation Initiale'!$B290)</f>
        <v/>
      </c>
      <c r="F688" s="116" t="str">
        <f aca="false">IF($A688="","",'Formation Initiale'!$G290)</f>
        <v/>
      </c>
      <c r="G688" s="116" t="str">
        <f aca="false">IF($A688="","",'Formation Initiale'!$H290)</f>
        <v/>
      </c>
      <c r="H688" s="0" t="str">
        <f aca="false">IF($A688="","",'Formation Initiale'!$L290)</f>
        <v/>
      </c>
      <c r="I688" s="0" t="str">
        <f aca="false">IF($A688="","",'Formation Initiale'!$R290)</f>
        <v/>
      </c>
      <c r="K688" s="104" t="n">
        <f aca="false">IF(A688="",0,IF(IFERROR(VLOOKUP(A688,Skills!$A:$M,13,FALSE()),"")="COS",0,IF(OR(I688="En cours",I688="À venir",I688="À planifier"),IF(AND(OR($C$3="Tous",$C$3="",C688=$C$3),OR($E$3="Tous",$E$3="",I688=$E$3)),1,0),0)))</f>
        <v>0</v>
      </c>
      <c r="L688" s="104" t="n">
        <f aca="false">L687+K688</f>
        <v>15</v>
      </c>
    </row>
    <row r="689" customFormat="false" ht="15" hidden="true" customHeight="true" outlineLevel="0" collapsed="false">
      <c r="A689" s="0" t="str">
        <f aca="false">IF('Formation Initiale'!$A291="","",'Formation Initiale'!$A291)</f>
        <v/>
      </c>
      <c r="B689" s="0" t="str">
        <f aca="false">IF($A689="","",'Formation Initiale'!$E291)</f>
        <v/>
      </c>
      <c r="C689" s="0" t="str">
        <f aca="false">IF($A689="","",'Formation Initiale'!$F291)</f>
        <v/>
      </c>
      <c r="D689" s="0" t="str">
        <f aca="false">IF($A689="","",IF('Formation Initiale'!$F291="Lisbonne","B2C (Initiale)","B2C+B2B (Initiale)"))</f>
        <v/>
      </c>
      <c r="E689" s="0" t="str">
        <f aca="false">IF($A689="","",'Formation Initiale'!$B291)</f>
        <v/>
      </c>
      <c r="F689" s="116" t="str">
        <f aca="false">IF($A689="","",'Formation Initiale'!$G291)</f>
        <v/>
      </c>
      <c r="G689" s="116" t="str">
        <f aca="false">IF($A689="","",'Formation Initiale'!$H291)</f>
        <v/>
      </c>
      <c r="H689" s="0" t="str">
        <f aca="false">IF($A689="","",'Formation Initiale'!$L291)</f>
        <v/>
      </c>
      <c r="I689" s="0" t="str">
        <f aca="false">IF($A689="","",'Formation Initiale'!$R291)</f>
        <v/>
      </c>
      <c r="K689" s="104" t="n">
        <f aca="false">IF(A689="",0,IF(IFERROR(VLOOKUP(A689,Skills!$A:$M,13,FALSE()),"")="COS",0,IF(OR(I689="En cours",I689="À venir",I689="À planifier"),IF(AND(OR($C$3="Tous",$C$3="",C689=$C$3),OR($E$3="Tous",$E$3="",I689=$E$3)),1,0),0)))</f>
        <v>0</v>
      </c>
      <c r="L689" s="104" t="n">
        <f aca="false">L688+K689</f>
        <v>15</v>
      </c>
    </row>
    <row r="690" customFormat="false" ht="15" hidden="true" customHeight="true" outlineLevel="0" collapsed="false">
      <c r="A690" s="0" t="str">
        <f aca="false">IF('Formation Initiale'!$A292="","",'Formation Initiale'!$A292)</f>
        <v/>
      </c>
      <c r="B690" s="0" t="str">
        <f aca="false">IF($A690="","",'Formation Initiale'!$E292)</f>
        <v/>
      </c>
      <c r="C690" s="0" t="str">
        <f aca="false">IF($A690="","",'Formation Initiale'!$F292)</f>
        <v/>
      </c>
      <c r="D690" s="0" t="str">
        <f aca="false">IF($A690="","",IF('Formation Initiale'!$F292="Lisbonne","B2C (Initiale)","B2C+B2B (Initiale)"))</f>
        <v/>
      </c>
      <c r="E690" s="0" t="str">
        <f aca="false">IF($A690="","",'Formation Initiale'!$B292)</f>
        <v/>
      </c>
      <c r="F690" s="116" t="str">
        <f aca="false">IF($A690="","",'Formation Initiale'!$G292)</f>
        <v/>
      </c>
      <c r="G690" s="116" t="str">
        <f aca="false">IF($A690="","",'Formation Initiale'!$H292)</f>
        <v/>
      </c>
      <c r="H690" s="0" t="str">
        <f aca="false">IF($A690="","",'Formation Initiale'!$L292)</f>
        <v/>
      </c>
      <c r="I690" s="0" t="str">
        <f aca="false">IF($A690="","",'Formation Initiale'!$R292)</f>
        <v/>
      </c>
      <c r="K690" s="104" t="n">
        <f aca="false">IF(A690="",0,IF(IFERROR(VLOOKUP(A690,Skills!$A:$M,13,FALSE()),"")="COS",0,IF(OR(I690="En cours",I690="À venir",I690="À planifier"),IF(AND(OR($C$3="Tous",$C$3="",C690=$C$3),OR($E$3="Tous",$E$3="",I690=$E$3)),1,0),0)))</f>
        <v>0</v>
      </c>
      <c r="L690" s="104" t="n">
        <f aca="false">L689+K690</f>
        <v>15</v>
      </c>
    </row>
    <row r="691" customFormat="false" ht="15" hidden="true" customHeight="true" outlineLevel="0" collapsed="false">
      <c r="A691" s="0" t="str">
        <f aca="false">IF('Formation Initiale'!$A293="","",'Formation Initiale'!$A293)</f>
        <v/>
      </c>
      <c r="B691" s="0" t="str">
        <f aca="false">IF($A691="","",'Formation Initiale'!$E293)</f>
        <v/>
      </c>
      <c r="C691" s="0" t="str">
        <f aca="false">IF($A691="","",'Formation Initiale'!$F293)</f>
        <v/>
      </c>
      <c r="D691" s="0" t="str">
        <f aca="false">IF($A691="","",IF('Formation Initiale'!$F293="Lisbonne","B2C (Initiale)","B2C+B2B (Initiale)"))</f>
        <v/>
      </c>
      <c r="E691" s="0" t="str">
        <f aca="false">IF($A691="","",'Formation Initiale'!$B293)</f>
        <v/>
      </c>
      <c r="F691" s="116" t="str">
        <f aca="false">IF($A691="","",'Formation Initiale'!$G293)</f>
        <v/>
      </c>
      <c r="G691" s="116" t="str">
        <f aca="false">IF($A691="","",'Formation Initiale'!$H293)</f>
        <v/>
      </c>
      <c r="H691" s="0" t="str">
        <f aca="false">IF($A691="","",'Formation Initiale'!$L293)</f>
        <v/>
      </c>
      <c r="I691" s="0" t="str">
        <f aca="false">IF($A691="","",'Formation Initiale'!$R293)</f>
        <v/>
      </c>
      <c r="K691" s="104" t="n">
        <f aca="false">IF(A691="",0,IF(IFERROR(VLOOKUP(A691,Skills!$A:$M,13,FALSE()),"")="COS",0,IF(OR(I691="En cours",I691="À venir",I691="À planifier"),IF(AND(OR($C$3="Tous",$C$3="",C691=$C$3),OR($E$3="Tous",$E$3="",I691=$E$3)),1,0),0)))</f>
        <v>0</v>
      </c>
      <c r="L691" s="104" t="n">
        <f aca="false">L690+K691</f>
        <v>15</v>
      </c>
    </row>
    <row r="692" customFormat="false" ht="15" hidden="true" customHeight="true" outlineLevel="0" collapsed="false">
      <c r="A692" s="0" t="str">
        <f aca="false">IF('Formation Initiale'!$A294="","",'Formation Initiale'!$A294)</f>
        <v/>
      </c>
      <c r="B692" s="0" t="str">
        <f aca="false">IF($A692="","",'Formation Initiale'!$E294)</f>
        <v/>
      </c>
      <c r="C692" s="0" t="str">
        <f aca="false">IF($A692="","",'Formation Initiale'!$F294)</f>
        <v/>
      </c>
      <c r="D692" s="0" t="str">
        <f aca="false">IF($A692="","",IF('Formation Initiale'!$F294="Lisbonne","B2C (Initiale)","B2C+B2B (Initiale)"))</f>
        <v/>
      </c>
      <c r="E692" s="0" t="str">
        <f aca="false">IF($A692="","",'Formation Initiale'!$B294)</f>
        <v/>
      </c>
      <c r="F692" s="116" t="str">
        <f aca="false">IF($A692="","",'Formation Initiale'!$G294)</f>
        <v/>
      </c>
      <c r="G692" s="116" t="str">
        <f aca="false">IF($A692="","",'Formation Initiale'!$H294)</f>
        <v/>
      </c>
      <c r="H692" s="0" t="str">
        <f aca="false">IF($A692="","",'Formation Initiale'!$L294)</f>
        <v/>
      </c>
      <c r="I692" s="0" t="str">
        <f aca="false">IF($A692="","",'Formation Initiale'!$R294)</f>
        <v/>
      </c>
      <c r="K692" s="104" t="n">
        <f aca="false">IF(A692="",0,IF(IFERROR(VLOOKUP(A692,Skills!$A:$M,13,FALSE()),"")="COS",0,IF(OR(I692="En cours",I692="À venir",I692="À planifier"),IF(AND(OR($C$3="Tous",$C$3="",C692=$C$3),OR($E$3="Tous",$E$3="",I692=$E$3)),1,0),0)))</f>
        <v>0</v>
      </c>
      <c r="L692" s="104" t="n">
        <f aca="false">L691+K692</f>
        <v>15</v>
      </c>
    </row>
    <row r="693" customFormat="false" ht="15" hidden="true" customHeight="true" outlineLevel="0" collapsed="false">
      <c r="A693" s="0" t="str">
        <f aca="false">IF('Formation Initiale'!$A295="","",'Formation Initiale'!$A295)</f>
        <v/>
      </c>
      <c r="B693" s="0" t="str">
        <f aca="false">IF($A693="","",'Formation Initiale'!$E295)</f>
        <v/>
      </c>
      <c r="C693" s="0" t="str">
        <f aca="false">IF($A693="","",'Formation Initiale'!$F295)</f>
        <v/>
      </c>
      <c r="D693" s="0" t="str">
        <f aca="false">IF($A693="","",IF('Formation Initiale'!$F295="Lisbonne","B2C (Initiale)","B2C+B2B (Initiale)"))</f>
        <v/>
      </c>
      <c r="E693" s="0" t="str">
        <f aca="false">IF($A693="","",'Formation Initiale'!$B295)</f>
        <v/>
      </c>
      <c r="F693" s="116" t="str">
        <f aca="false">IF($A693="","",'Formation Initiale'!$G295)</f>
        <v/>
      </c>
      <c r="G693" s="116" t="str">
        <f aca="false">IF($A693="","",'Formation Initiale'!$H295)</f>
        <v/>
      </c>
      <c r="H693" s="0" t="str">
        <f aca="false">IF($A693="","",'Formation Initiale'!$L295)</f>
        <v/>
      </c>
      <c r="I693" s="0" t="str">
        <f aca="false">IF($A693="","",'Formation Initiale'!$R295)</f>
        <v/>
      </c>
      <c r="K693" s="104" t="n">
        <f aca="false">IF(A693="",0,IF(IFERROR(VLOOKUP(A693,Skills!$A:$M,13,FALSE()),"")="COS",0,IF(OR(I693="En cours",I693="À venir",I693="À planifier"),IF(AND(OR($C$3="Tous",$C$3="",C693=$C$3),OR($E$3="Tous",$E$3="",I693=$E$3)),1,0),0)))</f>
        <v>0</v>
      </c>
      <c r="L693" s="104" t="n">
        <f aca="false">L692+K693</f>
        <v>15</v>
      </c>
    </row>
    <row r="694" customFormat="false" ht="15" hidden="true" customHeight="true" outlineLevel="0" collapsed="false">
      <c r="A694" s="0" t="str">
        <f aca="false">IF('Formation Initiale'!$A296="","",'Formation Initiale'!$A296)</f>
        <v/>
      </c>
      <c r="B694" s="0" t="str">
        <f aca="false">IF($A694="","",'Formation Initiale'!$E296)</f>
        <v/>
      </c>
      <c r="C694" s="0" t="str">
        <f aca="false">IF($A694="","",'Formation Initiale'!$F296)</f>
        <v/>
      </c>
      <c r="D694" s="0" t="str">
        <f aca="false">IF($A694="","",IF('Formation Initiale'!$F296="Lisbonne","B2C (Initiale)","B2C+B2B (Initiale)"))</f>
        <v/>
      </c>
      <c r="E694" s="0" t="str">
        <f aca="false">IF($A694="","",'Formation Initiale'!$B296)</f>
        <v/>
      </c>
      <c r="F694" s="116" t="str">
        <f aca="false">IF($A694="","",'Formation Initiale'!$G296)</f>
        <v/>
      </c>
      <c r="G694" s="116" t="str">
        <f aca="false">IF($A694="","",'Formation Initiale'!$H296)</f>
        <v/>
      </c>
      <c r="H694" s="0" t="str">
        <f aca="false">IF($A694="","",'Formation Initiale'!$L296)</f>
        <v/>
      </c>
      <c r="I694" s="0" t="str">
        <f aca="false">IF($A694="","",'Formation Initiale'!$R296)</f>
        <v/>
      </c>
      <c r="K694" s="104" t="n">
        <f aca="false">IF(A694="",0,IF(IFERROR(VLOOKUP(A694,Skills!$A:$M,13,FALSE()),"")="COS",0,IF(OR(I694="En cours",I694="À venir",I694="À planifier"),IF(AND(OR($C$3="Tous",$C$3="",C694=$C$3),OR($E$3="Tous",$E$3="",I694=$E$3)),1,0),0)))</f>
        <v>0</v>
      </c>
      <c r="L694" s="104" t="n">
        <f aca="false">L693+K694</f>
        <v>15</v>
      </c>
    </row>
    <row r="695" customFormat="false" ht="15" hidden="true" customHeight="true" outlineLevel="0" collapsed="false">
      <c r="A695" s="0" t="str">
        <f aca="false">IF('Formation Initiale'!$A297="","",'Formation Initiale'!$A297)</f>
        <v/>
      </c>
      <c r="B695" s="0" t="str">
        <f aca="false">IF($A695="","",'Formation Initiale'!$E297)</f>
        <v/>
      </c>
      <c r="C695" s="0" t="str">
        <f aca="false">IF($A695="","",'Formation Initiale'!$F297)</f>
        <v/>
      </c>
      <c r="D695" s="0" t="str">
        <f aca="false">IF($A695="","",IF('Formation Initiale'!$F297="Lisbonne","B2C (Initiale)","B2C+B2B (Initiale)"))</f>
        <v/>
      </c>
      <c r="E695" s="0" t="str">
        <f aca="false">IF($A695="","",'Formation Initiale'!$B297)</f>
        <v/>
      </c>
      <c r="F695" s="116" t="str">
        <f aca="false">IF($A695="","",'Formation Initiale'!$G297)</f>
        <v/>
      </c>
      <c r="G695" s="116" t="str">
        <f aca="false">IF($A695="","",'Formation Initiale'!$H297)</f>
        <v/>
      </c>
      <c r="H695" s="0" t="str">
        <f aca="false">IF($A695="","",'Formation Initiale'!$L297)</f>
        <v/>
      </c>
      <c r="I695" s="0" t="str">
        <f aca="false">IF($A695="","",'Formation Initiale'!$R297)</f>
        <v/>
      </c>
      <c r="K695" s="104" t="n">
        <f aca="false">IF(A695="",0,IF(IFERROR(VLOOKUP(A695,Skills!$A:$M,13,FALSE()),"")="COS",0,IF(OR(I695="En cours",I695="À venir",I695="À planifier"),IF(AND(OR($C$3="Tous",$C$3="",C695=$C$3),OR($E$3="Tous",$E$3="",I695=$E$3)),1,0),0)))</f>
        <v>0</v>
      </c>
      <c r="L695" s="104" t="n">
        <f aca="false">L694+K695</f>
        <v>15</v>
      </c>
    </row>
    <row r="696" customFormat="false" ht="15" hidden="true" customHeight="true" outlineLevel="0" collapsed="false">
      <c r="A696" s="0" t="str">
        <f aca="false">IF('Formation Initiale'!$A298="","",'Formation Initiale'!$A298)</f>
        <v/>
      </c>
      <c r="B696" s="0" t="str">
        <f aca="false">IF($A696="","",'Formation Initiale'!$E298)</f>
        <v/>
      </c>
      <c r="C696" s="0" t="str">
        <f aca="false">IF($A696="","",'Formation Initiale'!$F298)</f>
        <v/>
      </c>
      <c r="D696" s="0" t="str">
        <f aca="false">IF($A696="","",IF('Formation Initiale'!$F298="Lisbonne","B2C (Initiale)","B2C+B2B (Initiale)"))</f>
        <v/>
      </c>
      <c r="E696" s="0" t="str">
        <f aca="false">IF($A696="","",'Formation Initiale'!$B298)</f>
        <v/>
      </c>
      <c r="F696" s="116" t="str">
        <f aca="false">IF($A696="","",'Formation Initiale'!$G298)</f>
        <v/>
      </c>
      <c r="G696" s="116" t="str">
        <f aca="false">IF($A696="","",'Formation Initiale'!$H298)</f>
        <v/>
      </c>
      <c r="H696" s="0" t="str">
        <f aca="false">IF($A696="","",'Formation Initiale'!$L298)</f>
        <v/>
      </c>
      <c r="I696" s="0" t="str">
        <f aca="false">IF($A696="","",'Formation Initiale'!$R298)</f>
        <v/>
      </c>
      <c r="K696" s="104" t="n">
        <f aca="false">IF(A696="",0,IF(IFERROR(VLOOKUP(A696,Skills!$A:$M,13,FALSE()),"")="COS",0,IF(OR(I696="En cours",I696="À venir",I696="À planifier"),IF(AND(OR($C$3="Tous",$C$3="",C696=$C$3),OR($E$3="Tous",$E$3="",I696=$E$3)),1,0),0)))</f>
        <v>0</v>
      </c>
      <c r="L696" s="104" t="n">
        <f aca="false">L695+K696</f>
        <v>15</v>
      </c>
    </row>
    <row r="697" customFormat="false" ht="15" hidden="true" customHeight="true" outlineLevel="0" collapsed="false">
      <c r="A697" s="0" t="str">
        <f aca="false">IF('Formation Initiale'!$A299="","",'Formation Initiale'!$A299)</f>
        <v/>
      </c>
      <c r="B697" s="0" t="str">
        <f aca="false">IF($A697="","",'Formation Initiale'!$E299)</f>
        <v/>
      </c>
      <c r="C697" s="0" t="str">
        <f aca="false">IF($A697="","",'Formation Initiale'!$F299)</f>
        <v/>
      </c>
      <c r="D697" s="0" t="str">
        <f aca="false">IF($A697="","",IF('Formation Initiale'!$F299="Lisbonne","B2C (Initiale)","B2C+B2B (Initiale)"))</f>
        <v/>
      </c>
      <c r="E697" s="0" t="str">
        <f aca="false">IF($A697="","",'Formation Initiale'!$B299)</f>
        <v/>
      </c>
      <c r="F697" s="116" t="str">
        <f aca="false">IF($A697="","",'Formation Initiale'!$G299)</f>
        <v/>
      </c>
      <c r="G697" s="116" t="str">
        <f aca="false">IF($A697="","",'Formation Initiale'!$H299)</f>
        <v/>
      </c>
      <c r="H697" s="0" t="str">
        <f aca="false">IF($A697="","",'Formation Initiale'!$L299)</f>
        <v/>
      </c>
      <c r="I697" s="0" t="str">
        <f aca="false">IF($A697="","",'Formation Initiale'!$R299)</f>
        <v/>
      </c>
      <c r="K697" s="104" t="n">
        <f aca="false">IF(A697="",0,IF(IFERROR(VLOOKUP(A697,Skills!$A:$M,13,FALSE()),"")="COS",0,IF(OR(I697="En cours",I697="À venir",I697="À planifier"),IF(AND(OR($C$3="Tous",$C$3="",C697=$C$3),OR($E$3="Tous",$E$3="",I697=$E$3)),1,0),0)))</f>
        <v>0</v>
      </c>
      <c r="L697" s="104" t="n">
        <f aca="false">L696+K697</f>
        <v>15</v>
      </c>
    </row>
    <row r="698" customFormat="false" ht="15" hidden="true" customHeight="true" outlineLevel="0" collapsed="false">
      <c r="A698" s="0" t="str">
        <f aca="false">IF('Formation Initiale'!$A300="","",'Formation Initiale'!$A300)</f>
        <v/>
      </c>
      <c r="B698" s="0" t="str">
        <f aca="false">IF($A698="","",'Formation Initiale'!$E300)</f>
        <v/>
      </c>
      <c r="C698" s="0" t="str">
        <f aca="false">IF($A698="","",'Formation Initiale'!$F300)</f>
        <v/>
      </c>
      <c r="D698" s="0" t="str">
        <f aca="false">IF($A698="","",IF('Formation Initiale'!$F300="Lisbonne","B2C (Initiale)","B2C+B2B (Initiale)"))</f>
        <v/>
      </c>
      <c r="E698" s="0" t="str">
        <f aca="false">IF($A698="","",'Formation Initiale'!$B300)</f>
        <v/>
      </c>
      <c r="F698" s="116" t="str">
        <f aca="false">IF($A698="","",'Formation Initiale'!$G300)</f>
        <v/>
      </c>
      <c r="G698" s="116" t="str">
        <f aca="false">IF($A698="","",'Formation Initiale'!$H300)</f>
        <v/>
      </c>
      <c r="H698" s="0" t="str">
        <f aca="false">IF($A698="","",'Formation Initiale'!$L300)</f>
        <v/>
      </c>
      <c r="I698" s="0" t="str">
        <f aca="false">IF($A698="","",'Formation Initiale'!$R300)</f>
        <v/>
      </c>
      <c r="K698" s="104" t="n">
        <f aca="false">IF(A698="",0,IF(IFERROR(VLOOKUP(A698,Skills!$A:$M,13,FALSE()),"")="COS",0,IF(OR(I698="En cours",I698="À venir",I698="À planifier"),IF(AND(OR($C$3="Tous",$C$3="",C698=$C$3),OR($E$3="Tous",$E$3="",I698=$E$3)),1,0),0)))</f>
        <v>0</v>
      </c>
      <c r="L698" s="104" t="n">
        <f aca="false">L697+K698</f>
        <v>15</v>
      </c>
    </row>
    <row r="699" customFormat="false" ht="15" hidden="true" customHeight="true" outlineLevel="0" collapsed="false">
      <c r="A699" s="0" t="str">
        <f aca="false">IF('Formation Initiale'!$A301="","",'Formation Initiale'!$A301)</f>
        <v/>
      </c>
      <c r="B699" s="0" t="str">
        <f aca="false">IF($A699="","",'Formation Initiale'!$E301)</f>
        <v/>
      </c>
      <c r="C699" s="0" t="str">
        <f aca="false">IF($A699="","",'Formation Initiale'!$F301)</f>
        <v/>
      </c>
      <c r="D699" s="0" t="str">
        <f aca="false">IF($A699="","",IF('Formation Initiale'!$F301="Lisbonne","B2C (Initiale)","B2C+B2B (Initiale)"))</f>
        <v/>
      </c>
      <c r="E699" s="0" t="str">
        <f aca="false">IF($A699="","",'Formation Initiale'!$B301)</f>
        <v/>
      </c>
      <c r="F699" s="116" t="str">
        <f aca="false">IF($A699="","",'Formation Initiale'!$G301)</f>
        <v/>
      </c>
      <c r="G699" s="116" t="str">
        <f aca="false">IF($A699="","",'Formation Initiale'!$H301)</f>
        <v/>
      </c>
      <c r="H699" s="0" t="str">
        <f aca="false">IF($A699="","",'Formation Initiale'!$L301)</f>
        <v/>
      </c>
      <c r="I699" s="0" t="str">
        <f aca="false">IF($A699="","",'Formation Initiale'!$R301)</f>
        <v/>
      </c>
      <c r="K699" s="104" t="n">
        <f aca="false">IF(A699="",0,IF(IFERROR(VLOOKUP(A699,Skills!$A:$M,13,FALSE()),"")="COS",0,IF(OR(I699="En cours",I699="À venir",I699="À planifier"),IF(AND(OR($C$3="Tous",$C$3="",C699=$C$3),OR($E$3="Tous",$E$3="",I699=$E$3)),1,0),0)))</f>
        <v>0</v>
      </c>
      <c r="L699" s="104" t="n">
        <f aca="false">L698+K699</f>
        <v>15</v>
      </c>
    </row>
    <row r="700" customFormat="false" ht="15" hidden="true" customHeight="true" outlineLevel="0" collapsed="false">
      <c r="A700" s="0" t="str">
        <f aca="false">IF('Formation Initiale'!$A302="","",'Formation Initiale'!$A302)</f>
        <v/>
      </c>
      <c r="B700" s="0" t="str">
        <f aca="false">IF($A700="","",'Formation Initiale'!$E302)</f>
        <v/>
      </c>
      <c r="C700" s="0" t="str">
        <f aca="false">IF($A700="","",'Formation Initiale'!$F302)</f>
        <v/>
      </c>
      <c r="D700" s="0" t="str">
        <f aca="false">IF($A700="","",IF('Formation Initiale'!$F302="Lisbonne","B2C (Initiale)","B2C+B2B (Initiale)"))</f>
        <v/>
      </c>
      <c r="E700" s="0" t="str">
        <f aca="false">IF($A700="","",'Formation Initiale'!$B302)</f>
        <v/>
      </c>
      <c r="F700" s="116" t="str">
        <f aca="false">IF($A700="","",'Formation Initiale'!$G302)</f>
        <v/>
      </c>
      <c r="G700" s="116" t="str">
        <f aca="false">IF($A700="","",'Formation Initiale'!$H302)</f>
        <v/>
      </c>
      <c r="H700" s="0" t="str">
        <f aca="false">IF($A700="","",'Formation Initiale'!$L302)</f>
        <v/>
      </c>
      <c r="I700" s="0" t="str">
        <f aca="false">IF($A700="","",'Formation Initiale'!$R302)</f>
        <v/>
      </c>
      <c r="K700" s="104" t="n">
        <f aca="false">IF(A700="",0,IF(IFERROR(VLOOKUP(A700,Skills!$A:$M,13,FALSE()),"")="COS",0,IF(OR(I700="En cours",I700="À venir",I700="À planifier"),IF(AND(OR($C$3="Tous",$C$3="",C700=$C$3),OR($E$3="Tous",$E$3="",I700=$E$3)),1,0),0)))</f>
        <v>0</v>
      </c>
      <c r="L700" s="104" t="n">
        <f aca="false">L699+K700</f>
        <v>15</v>
      </c>
    </row>
    <row r="701" customFormat="false" ht="15" hidden="true" customHeight="true" outlineLevel="0" collapsed="false">
      <c r="A701" s="0" t="str">
        <f aca="false">IF('Formation Initiale'!$A303="","",'Formation Initiale'!$A303)</f>
        <v/>
      </c>
      <c r="B701" s="0" t="str">
        <f aca="false">IF($A701="","",'Formation Initiale'!$E303)</f>
        <v/>
      </c>
      <c r="C701" s="0" t="str">
        <f aca="false">IF($A701="","",'Formation Initiale'!$F303)</f>
        <v/>
      </c>
      <c r="D701" s="0" t="str">
        <f aca="false">IF($A701="","",IF('Formation Initiale'!$F303="Lisbonne","B2C (Initiale)","B2C+B2B (Initiale)"))</f>
        <v/>
      </c>
      <c r="E701" s="0" t="str">
        <f aca="false">IF($A701="","",'Formation Initiale'!$B303)</f>
        <v/>
      </c>
      <c r="F701" s="116" t="str">
        <f aca="false">IF($A701="","",'Formation Initiale'!$G303)</f>
        <v/>
      </c>
      <c r="G701" s="116" t="str">
        <f aca="false">IF($A701="","",'Formation Initiale'!$H303)</f>
        <v/>
      </c>
      <c r="H701" s="0" t="str">
        <f aca="false">IF($A701="","",'Formation Initiale'!$L303)</f>
        <v/>
      </c>
      <c r="I701" s="0" t="str">
        <f aca="false">IF($A701="","",'Formation Initiale'!$R303)</f>
        <v/>
      </c>
      <c r="K701" s="104" t="n">
        <f aca="false">IF(A701="",0,IF(IFERROR(VLOOKUP(A701,Skills!$A:$M,13,FALSE()),"")="COS",0,IF(OR(I701="En cours",I701="À venir",I701="À planifier"),IF(AND(OR($C$3="Tous",$C$3="",C701=$C$3),OR($E$3="Tous",$E$3="",I701=$E$3)),1,0),0)))</f>
        <v>0</v>
      </c>
      <c r="L701" s="104" t="n">
        <f aca="false">L700+K701</f>
        <v>15</v>
      </c>
    </row>
    <row r="702" customFormat="false" ht="15" hidden="true" customHeight="true" outlineLevel="0" collapsed="false">
      <c r="A702" s="0" t="str">
        <f aca="false">IF('Formation Initiale'!$A304="","",'Formation Initiale'!$A304)</f>
        <v/>
      </c>
      <c r="B702" s="0" t="str">
        <f aca="false">IF($A702="","",'Formation Initiale'!$E304)</f>
        <v/>
      </c>
      <c r="C702" s="0" t="str">
        <f aca="false">IF($A702="","",'Formation Initiale'!$F304)</f>
        <v/>
      </c>
      <c r="D702" s="0" t="str">
        <f aca="false">IF($A702="","",IF('Formation Initiale'!$F304="Lisbonne","B2C (Initiale)","B2C+B2B (Initiale)"))</f>
        <v/>
      </c>
      <c r="E702" s="0" t="str">
        <f aca="false">IF($A702="","",'Formation Initiale'!$B304)</f>
        <v/>
      </c>
      <c r="F702" s="116" t="str">
        <f aca="false">IF($A702="","",'Formation Initiale'!$G304)</f>
        <v/>
      </c>
      <c r="G702" s="116" t="str">
        <f aca="false">IF($A702="","",'Formation Initiale'!$H304)</f>
        <v/>
      </c>
      <c r="H702" s="0" t="str">
        <f aca="false">IF($A702="","",'Formation Initiale'!$L304)</f>
        <v/>
      </c>
      <c r="I702" s="0" t="str">
        <f aca="false">IF($A702="","",'Formation Initiale'!$R304)</f>
        <v/>
      </c>
      <c r="K702" s="104" t="n">
        <f aca="false">IF(A702="",0,IF(IFERROR(VLOOKUP(A702,Skills!$A:$M,13,FALSE()),"")="COS",0,IF(OR(I702="En cours",I702="À venir",I702="À planifier"),IF(AND(OR($C$3="Tous",$C$3="",C702=$C$3),OR($E$3="Tous",$E$3="",I702=$E$3)),1,0),0)))</f>
        <v>0</v>
      </c>
      <c r="L702" s="104" t="n">
        <f aca="false">L701+K702</f>
        <v>15</v>
      </c>
    </row>
    <row r="703" customFormat="false" ht="15" hidden="true" customHeight="true" outlineLevel="0" collapsed="false">
      <c r="A703" s="0" t="str">
        <f aca="false">IF('Formation Initiale'!$A305="","",'Formation Initiale'!$A305)</f>
        <v/>
      </c>
      <c r="B703" s="0" t="str">
        <f aca="false">IF($A703="","",'Formation Initiale'!$E305)</f>
        <v/>
      </c>
      <c r="C703" s="0" t="str">
        <f aca="false">IF($A703="","",'Formation Initiale'!$F305)</f>
        <v/>
      </c>
      <c r="D703" s="0" t="str">
        <f aca="false">IF($A703="","",IF('Formation Initiale'!$F305="Lisbonne","B2C (Initiale)","B2C+B2B (Initiale)"))</f>
        <v/>
      </c>
      <c r="E703" s="0" t="str">
        <f aca="false">IF($A703="","",'Formation Initiale'!$B305)</f>
        <v/>
      </c>
      <c r="F703" s="116" t="str">
        <f aca="false">IF($A703="","",'Formation Initiale'!$G305)</f>
        <v/>
      </c>
      <c r="G703" s="116" t="str">
        <f aca="false">IF($A703="","",'Formation Initiale'!$H305)</f>
        <v/>
      </c>
      <c r="H703" s="0" t="str">
        <f aca="false">IF($A703="","",'Formation Initiale'!$L305)</f>
        <v/>
      </c>
      <c r="I703" s="0" t="str">
        <f aca="false">IF($A703="","",'Formation Initiale'!$R305)</f>
        <v/>
      </c>
      <c r="K703" s="104" t="n">
        <f aca="false">IF(A703="",0,IF(IFERROR(VLOOKUP(A703,Skills!$A:$M,13,FALSE()),"")="COS",0,IF(OR(I703="En cours",I703="À venir",I703="À planifier"),IF(AND(OR($C$3="Tous",$C$3="",C703=$C$3),OR($E$3="Tous",$E$3="",I703=$E$3)),1,0),0)))</f>
        <v>0</v>
      </c>
      <c r="L703" s="104" t="n">
        <f aca="false">L702+K703</f>
        <v>15</v>
      </c>
    </row>
    <row r="704" customFormat="false" ht="15" hidden="true" customHeight="true" outlineLevel="0" collapsed="false">
      <c r="A704" s="0" t="str">
        <f aca="false">IF('Formation Initiale'!$A306="","",'Formation Initiale'!$A306)</f>
        <v/>
      </c>
      <c r="B704" s="0" t="str">
        <f aca="false">IF($A704="","",'Formation Initiale'!$E306)</f>
        <v/>
      </c>
      <c r="C704" s="0" t="str">
        <f aca="false">IF($A704="","",'Formation Initiale'!$F306)</f>
        <v/>
      </c>
      <c r="D704" s="0" t="str">
        <f aca="false">IF($A704="","",IF('Formation Initiale'!$F306="Lisbonne","B2C (Initiale)","B2C+B2B (Initiale)"))</f>
        <v/>
      </c>
      <c r="E704" s="0" t="str">
        <f aca="false">IF($A704="","",'Formation Initiale'!$B306)</f>
        <v/>
      </c>
      <c r="F704" s="116" t="str">
        <f aca="false">IF($A704="","",'Formation Initiale'!$G306)</f>
        <v/>
      </c>
      <c r="G704" s="116" t="str">
        <f aca="false">IF($A704="","",'Formation Initiale'!$H306)</f>
        <v/>
      </c>
      <c r="H704" s="0" t="str">
        <f aca="false">IF($A704="","",'Formation Initiale'!$L306)</f>
        <v/>
      </c>
      <c r="I704" s="0" t="str">
        <f aca="false">IF($A704="","",'Formation Initiale'!$R306)</f>
        <v/>
      </c>
      <c r="K704" s="104" t="n">
        <f aca="false">IF(A704="",0,IF(IFERROR(VLOOKUP(A704,Skills!$A:$M,13,FALSE()),"")="COS",0,IF(OR(I704="En cours",I704="À venir",I704="À planifier"),IF(AND(OR($C$3="Tous",$C$3="",C704=$C$3),OR($E$3="Tous",$E$3="",I704=$E$3)),1,0),0)))</f>
        <v>0</v>
      </c>
      <c r="L704" s="104" t="n">
        <f aca="false">L703+K704</f>
        <v>15</v>
      </c>
    </row>
    <row r="705" customFormat="false" ht="15" hidden="true" customHeight="true" outlineLevel="0" collapsed="false">
      <c r="A705" s="0" t="str">
        <f aca="false">IF('Formation Initiale'!$A307="","",'Formation Initiale'!$A307)</f>
        <v/>
      </c>
      <c r="B705" s="0" t="str">
        <f aca="false">IF($A705="","",'Formation Initiale'!$E307)</f>
        <v/>
      </c>
      <c r="C705" s="0" t="str">
        <f aca="false">IF($A705="","",'Formation Initiale'!$F307)</f>
        <v/>
      </c>
      <c r="D705" s="0" t="str">
        <f aca="false">IF($A705="","",IF('Formation Initiale'!$F307="Lisbonne","B2C (Initiale)","B2C+B2B (Initiale)"))</f>
        <v/>
      </c>
      <c r="E705" s="0" t="str">
        <f aca="false">IF($A705="","",'Formation Initiale'!$B307)</f>
        <v/>
      </c>
      <c r="F705" s="116" t="str">
        <f aca="false">IF($A705="","",'Formation Initiale'!$G307)</f>
        <v/>
      </c>
      <c r="G705" s="116" t="str">
        <f aca="false">IF($A705="","",'Formation Initiale'!$H307)</f>
        <v/>
      </c>
      <c r="H705" s="0" t="str">
        <f aca="false">IF($A705="","",'Formation Initiale'!$L307)</f>
        <v/>
      </c>
      <c r="I705" s="0" t="str">
        <f aca="false">IF($A705="","",'Formation Initiale'!$R307)</f>
        <v/>
      </c>
      <c r="K705" s="104" t="n">
        <f aca="false">IF(A705="",0,IF(IFERROR(VLOOKUP(A705,Skills!$A:$M,13,FALSE()),"")="COS",0,IF(OR(I705="En cours",I705="À venir",I705="À planifier"),IF(AND(OR($C$3="Tous",$C$3="",C705=$C$3),OR($E$3="Tous",$E$3="",I705=$E$3)),1,0),0)))</f>
        <v>0</v>
      </c>
      <c r="L705" s="104" t="n">
        <f aca="false">L704+K705</f>
        <v>15</v>
      </c>
    </row>
    <row r="706" customFormat="false" ht="15" hidden="true" customHeight="true" outlineLevel="0" collapsed="false">
      <c r="A706" s="0" t="str">
        <f aca="false">IF('Formation Initiale'!$A308="","",'Formation Initiale'!$A308)</f>
        <v/>
      </c>
      <c r="B706" s="0" t="str">
        <f aca="false">IF($A706="","",'Formation Initiale'!$E308)</f>
        <v/>
      </c>
      <c r="C706" s="0" t="str">
        <f aca="false">IF($A706="","",'Formation Initiale'!$F308)</f>
        <v/>
      </c>
      <c r="D706" s="0" t="str">
        <f aca="false">IF($A706="","",IF('Formation Initiale'!$F308="Lisbonne","B2C (Initiale)","B2C+B2B (Initiale)"))</f>
        <v/>
      </c>
      <c r="E706" s="0" t="str">
        <f aca="false">IF($A706="","",'Formation Initiale'!$B308)</f>
        <v/>
      </c>
      <c r="F706" s="116" t="str">
        <f aca="false">IF($A706="","",'Formation Initiale'!$G308)</f>
        <v/>
      </c>
      <c r="G706" s="116" t="str">
        <f aca="false">IF($A706="","",'Formation Initiale'!$H308)</f>
        <v/>
      </c>
      <c r="H706" s="0" t="str">
        <f aca="false">IF($A706="","",'Formation Initiale'!$L308)</f>
        <v/>
      </c>
      <c r="I706" s="0" t="str">
        <f aca="false">IF($A706="","",'Formation Initiale'!$R308)</f>
        <v/>
      </c>
      <c r="K706" s="104" t="n">
        <f aca="false">IF(A706="",0,IF(IFERROR(VLOOKUP(A706,Skills!$A:$M,13,FALSE()),"")="COS",0,IF(OR(I706="En cours",I706="À venir",I706="À planifier"),IF(AND(OR($C$3="Tous",$C$3="",C706=$C$3),OR($E$3="Tous",$E$3="",I706=$E$3)),1,0),0)))</f>
        <v>0</v>
      </c>
      <c r="L706" s="104" t="n">
        <f aca="false">L705+K706</f>
        <v>15</v>
      </c>
    </row>
    <row r="707" customFormat="false" ht="15" hidden="true" customHeight="true" outlineLevel="0" collapsed="false">
      <c r="A707" s="0" t="str">
        <f aca="false">IF('Formation Initiale'!$A309="","",'Formation Initiale'!$A309)</f>
        <v/>
      </c>
      <c r="B707" s="0" t="str">
        <f aca="false">IF($A707="","",'Formation Initiale'!$E309)</f>
        <v/>
      </c>
      <c r="C707" s="0" t="str">
        <f aca="false">IF($A707="","",'Formation Initiale'!$F309)</f>
        <v/>
      </c>
      <c r="D707" s="0" t="str">
        <f aca="false">IF($A707="","",IF('Formation Initiale'!$F309="Lisbonne","B2C (Initiale)","B2C+B2B (Initiale)"))</f>
        <v/>
      </c>
      <c r="E707" s="0" t="str">
        <f aca="false">IF($A707="","",'Formation Initiale'!$B309)</f>
        <v/>
      </c>
      <c r="F707" s="116" t="str">
        <f aca="false">IF($A707="","",'Formation Initiale'!$G309)</f>
        <v/>
      </c>
      <c r="G707" s="116" t="str">
        <f aca="false">IF($A707="","",'Formation Initiale'!$H309)</f>
        <v/>
      </c>
      <c r="H707" s="0" t="str">
        <f aca="false">IF($A707="","",'Formation Initiale'!$L309)</f>
        <v/>
      </c>
      <c r="I707" s="0" t="str">
        <f aca="false">IF($A707="","",'Formation Initiale'!$R309)</f>
        <v/>
      </c>
      <c r="K707" s="104" t="n">
        <f aca="false">IF(A707="",0,IF(IFERROR(VLOOKUP(A707,Skills!$A:$M,13,FALSE()),"")="COS",0,IF(OR(I707="En cours",I707="À venir",I707="À planifier"),IF(AND(OR($C$3="Tous",$C$3="",C707=$C$3),OR($E$3="Tous",$E$3="",I707=$E$3)),1,0),0)))</f>
        <v>0</v>
      </c>
      <c r="L707" s="104" t="n">
        <f aca="false">L706+K707</f>
        <v>15</v>
      </c>
    </row>
    <row r="708" customFormat="false" ht="15" hidden="true" customHeight="true" outlineLevel="0" collapsed="false">
      <c r="A708" s="0" t="str">
        <f aca="false">IF('Formation Initiale'!$A310="","",'Formation Initiale'!$A310)</f>
        <v/>
      </c>
      <c r="B708" s="0" t="str">
        <f aca="false">IF($A708="","",'Formation Initiale'!$E310)</f>
        <v/>
      </c>
      <c r="C708" s="0" t="str">
        <f aca="false">IF($A708="","",'Formation Initiale'!$F310)</f>
        <v/>
      </c>
      <c r="D708" s="0" t="str">
        <f aca="false">IF($A708="","",IF('Formation Initiale'!$F310="Lisbonne","B2C (Initiale)","B2C+B2B (Initiale)"))</f>
        <v/>
      </c>
      <c r="E708" s="0" t="str">
        <f aca="false">IF($A708="","",'Formation Initiale'!$B310)</f>
        <v/>
      </c>
      <c r="F708" s="116" t="str">
        <f aca="false">IF($A708="","",'Formation Initiale'!$G310)</f>
        <v/>
      </c>
      <c r="G708" s="116" t="str">
        <f aca="false">IF($A708="","",'Formation Initiale'!$H310)</f>
        <v/>
      </c>
      <c r="H708" s="0" t="str">
        <f aca="false">IF($A708="","",'Formation Initiale'!$L310)</f>
        <v/>
      </c>
      <c r="I708" s="0" t="str">
        <f aca="false">IF($A708="","",'Formation Initiale'!$R310)</f>
        <v/>
      </c>
      <c r="K708" s="104" t="n">
        <f aca="false">IF(A708="",0,IF(IFERROR(VLOOKUP(A708,Skills!$A:$M,13,FALSE()),"")="COS",0,IF(OR(I708="En cours",I708="À venir",I708="À planifier"),IF(AND(OR($C$3="Tous",$C$3="",C708=$C$3),OR($E$3="Tous",$E$3="",I708=$E$3)),1,0),0)))</f>
        <v>0</v>
      </c>
      <c r="L708" s="104" t="n">
        <f aca="false">L707+K708</f>
        <v>15</v>
      </c>
    </row>
    <row r="709" customFormat="false" ht="15" hidden="true" customHeight="true" outlineLevel="0" collapsed="false">
      <c r="A709" s="0" t="str">
        <f aca="false">IF('Formation Initiale'!$A311="","",'Formation Initiale'!$A311)</f>
        <v/>
      </c>
      <c r="B709" s="0" t="str">
        <f aca="false">IF($A709="","",'Formation Initiale'!$E311)</f>
        <v/>
      </c>
      <c r="C709" s="0" t="str">
        <f aca="false">IF($A709="","",'Formation Initiale'!$F311)</f>
        <v/>
      </c>
      <c r="D709" s="0" t="str">
        <f aca="false">IF($A709="","",IF('Formation Initiale'!$F311="Lisbonne","B2C (Initiale)","B2C+B2B (Initiale)"))</f>
        <v/>
      </c>
      <c r="E709" s="0" t="str">
        <f aca="false">IF($A709="","",'Formation Initiale'!$B311)</f>
        <v/>
      </c>
      <c r="F709" s="116" t="str">
        <f aca="false">IF($A709="","",'Formation Initiale'!$G311)</f>
        <v/>
      </c>
      <c r="G709" s="116" t="str">
        <f aca="false">IF($A709="","",'Formation Initiale'!$H311)</f>
        <v/>
      </c>
      <c r="H709" s="0" t="str">
        <f aca="false">IF($A709="","",'Formation Initiale'!$L311)</f>
        <v/>
      </c>
      <c r="I709" s="0" t="str">
        <f aca="false">IF($A709="","",'Formation Initiale'!$R311)</f>
        <v/>
      </c>
      <c r="K709" s="104" t="n">
        <f aca="false">IF(A709="",0,IF(IFERROR(VLOOKUP(A709,Skills!$A:$M,13,FALSE()),"")="COS",0,IF(OR(I709="En cours",I709="À venir",I709="À planifier"),IF(AND(OR($C$3="Tous",$C$3="",C709=$C$3),OR($E$3="Tous",$E$3="",I709=$E$3)),1,0),0)))</f>
        <v>0</v>
      </c>
      <c r="L709" s="104" t="n">
        <f aca="false">L708+K709</f>
        <v>15</v>
      </c>
    </row>
    <row r="710" customFormat="false" ht="15" hidden="true" customHeight="true" outlineLevel="0" collapsed="false">
      <c r="A710" s="0" t="str">
        <f aca="false">IF('Formation Initiale'!$A312="","",'Formation Initiale'!$A312)</f>
        <v/>
      </c>
      <c r="B710" s="0" t="str">
        <f aca="false">IF($A710="","",'Formation Initiale'!$E312)</f>
        <v/>
      </c>
      <c r="C710" s="0" t="str">
        <f aca="false">IF($A710="","",'Formation Initiale'!$F312)</f>
        <v/>
      </c>
      <c r="D710" s="0" t="str">
        <f aca="false">IF($A710="","",IF('Formation Initiale'!$F312="Lisbonne","B2C (Initiale)","B2C+B2B (Initiale)"))</f>
        <v/>
      </c>
      <c r="E710" s="0" t="str">
        <f aca="false">IF($A710="","",'Formation Initiale'!$B312)</f>
        <v/>
      </c>
      <c r="F710" s="116" t="str">
        <f aca="false">IF($A710="","",'Formation Initiale'!$G312)</f>
        <v/>
      </c>
      <c r="G710" s="116" t="str">
        <f aca="false">IF($A710="","",'Formation Initiale'!$H312)</f>
        <v/>
      </c>
      <c r="H710" s="0" t="str">
        <f aca="false">IF($A710="","",'Formation Initiale'!$L312)</f>
        <v/>
      </c>
      <c r="I710" s="0" t="str">
        <f aca="false">IF($A710="","",'Formation Initiale'!$R312)</f>
        <v/>
      </c>
      <c r="K710" s="104" t="n">
        <f aca="false">IF(A710="",0,IF(IFERROR(VLOOKUP(A710,Skills!$A:$M,13,FALSE()),"")="COS",0,IF(OR(I710="En cours",I710="À venir",I710="À planifier"),IF(AND(OR($C$3="Tous",$C$3="",C710=$C$3),OR($E$3="Tous",$E$3="",I710=$E$3)),1,0),0)))</f>
        <v>0</v>
      </c>
      <c r="L710" s="104" t="n">
        <f aca="false">L709+K710</f>
        <v>15</v>
      </c>
    </row>
    <row r="711" customFormat="false" ht="15" hidden="true" customHeight="true" outlineLevel="0" collapsed="false">
      <c r="A711" s="0" t="str">
        <f aca="false">IF('Formation Initiale'!$A313="","",'Formation Initiale'!$A313)</f>
        <v/>
      </c>
      <c r="B711" s="0" t="str">
        <f aca="false">IF($A711="","",'Formation Initiale'!$E313)</f>
        <v/>
      </c>
      <c r="C711" s="0" t="str">
        <f aca="false">IF($A711="","",'Formation Initiale'!$F313)</f>
        <v/>
      </c>
      <c r="D711" s="0" t="str">
        <f aca="false">IF($A711="","",IF('Formation Initiale'!$F313="Lisbonne","B2C (Initiale)","B2C+B2B (Initiale)"))</f>
        <v/>
      </c>
      <c r="E711" s="0" t="str">
        <f aca="false">IF($A711="","",'Formation Initiale'!$B313)</f>
        <v/>
      </c>
      <c r="F711" s="116" t="str">
        <f aca="false">IF($A711="","",'Formation Initiale'!$G313)</f>
        <v/>
      </c>
      <c r="G711" s="116" t="str">
        <f aca="false">IF($A711="","",'Formation Initiale'!$H313)</f>
        <v/>
      </c>
      <c r="H711" s="0" t="str">
        <f aca="false">IF($A711="","",'Formation Initiale'!$L313)</f>
        <v/>
      </c>
      <c r="I711" s="0" t="str">
        <f aca="false">IF($A711="","",'Formation Initiale'!$R313)</f>
        <v/>
      </c>
      <c r="K711" s="104" t="n">
        <f aca="false">IF(A711="",0,IF(IFERROR(VLOOKUP(A711,Skills!$A:$M,13,FALSE()),"")="COS",0,IF(OR(I711="En cours",I711="À venir",I711="À planifier"),IF(AND(OR($C$3="Tous",$C$3="",C711=$C$3),OR($E$3="Tous",$E$3="",I711=$E$3)),1,0),0)))</f>
        <v>0</v>
      </c>
      <c r="L711" s="104" t="n">
        <f aca="false">L710+K711</f>
        <v>15</v>
      </c>
    </row>
    <row r="712" customFormat="false" ht="15" hidden="true" customHeight="true" outlineLevel="0" collapsed="false">
      <c r="A712" s="0" t="str">
        <f aca="false">IF('Formation Initiale'!$A314="","",'Formation Initiale'!$A314)</f>
        <v/>
      </c>
      <c r="B712" s="0" t="str">
        <f aca="false">IF($A712="","",'Formation Initiale'!$E314)</f>
        <v/>
      </c>
      <c r="C712" s="0" t="str">
        <f aca="false">IF($A712="","",'Formation Initiale'!$F314)</f>
        <v/>
      </c>
      <c r="D712" s="0" t="str">
        <f aca="false">IF($A712="","",IF('Formation Initiale'!$F314="Lisbonne","B2C (Initiale)","B2C+B2B (Initiale)"))</f>
        <v/>
      </c>
      <c r="E712" s="0" t="str">
        <f aca="false">IF($A712="","",'Formation Initiale'!$B314)</f>
        <v/>
      </c>
      <c r="F712" s="116" t="str">
        <f aca="false">IF($A712="","",'Formation Initiale'!$G314)</f>
        <v/>
      </c>
      <c r="G712" s="116" t="str">
        <f aca="false">IF($A712="","",'Formation Initiale'!$H314)</f>
        <v/>
      </c>
      <c r="H712" s="0" t="str">
        <f aca="false">IF($A712="","",'Formation Initiale'!$L314)</f>
        <v/>
      </c>
      <c r="I712" s="0" t="str">
        <f aca="false">IF($A712="","",'Formation Initiale'!$R314)</f>
        <v/>
      </c>
      <c r="K712" s="104" t="n">
        <f aca="false">IF(A712="",0,IF(IFERROR(VLOOKUP(A712,Skills!$A:$M,13,FALSE()),"")="COS",0,IF(OR(I712="En cours",I712="À venir",I712="À planifier"),IF(AND(OR($C$3="Tous",$C$3="",C712=$C$3),OR($E$3="Tous",$E$3="",I712=$E$3)),1,0),0)))</f>
        <v>0</v>
      </c>
      <c r="L712" s="104" t="n">
        <f aca="false">L711+K712</f>
        <v>15</v>
      </c>
    </row>
    <row r="713" customFormat="false" ht="15" hidden="true" customHeight="true" outlineLevel="0" collapsed="false">
      <c r="A713" s="0" t="str">
        <f aca="false">IF('Formation Initiale'!$A315="","",'Formation Initiale'!$A315)</f>
        <v/>
      </c>
      <c r="B713" s="0" t="str">
        <f aca="false">IF($A713="","",'Formation Initiale'!$E315)</f>
        <v/>
      </c>
      <c r="C713" s="0" t="str">
        <f aca="false">IF($A713="","",'Formation Initiale'!$F315)</f>
        <v/>
      </c>
      <c r="D713" s="0" t="str">
        <f aca="false">IF($A713="","",IF('Formation Initiale'!$F315="Lisbonne","B2C (Initiale)","B2C+B2B (Initiale)"))</f>
        <v/>
      </c>
      <c r="E713" s="0" t="str">
        <f aca="false">IF($A713="","",'Formation Initiale'!$B315)</f>
        <v/>
      </c>
      <c r="F713" s="116" t="str">
        <f aca="false">IF($A713="","",'Formation Initiale'!$G315)</f>
        <v/>
      </c>
      <c r="G713" s="116" t="str">
        <f aca="false">IF($A713="","",'Formation Initiale'!$H315)</f>
        <v/>
      </c>
      <c r="H713" s="0" t="str">
        <f aca="false">IF($A713="","",'Formation Initiale'!$L315)</f>
        <v/>
      </c>
      <c r="I713" s="0" t="str">
        <f aca="false">IF($A713="","",'Formation Initiale'!$R315)</f>
        <v/>
      </c>
      <c r="K713" s="104" t="n">
        <f aca="false">IF(A713="",0,IF(IFERROR(VLOOKUP(A713,Skills!$A:$M,13,FALSE()),"")="COS",0,IF(OR(I713="En cours",I713="À venir",I713="À planifier"),IF(AND(OR($C$3="Tous",$C$3="",C713=$C$3),OR($E$3="Tous",$E$3="",I713=$E$3)),1,0),0)))</f>
        <v>0</v>
      </c>
      <c r="L713" s="104" t="n">
        <f aca="false">L712+K713</f>
        <v>15</v>
      </c>
    </row>
    <row r="714" customFormat="false" ht="15" hidden="true" customHeight="true" outlineLevel="0" collapsed="false">
      <c r="A714" s="0" t="str">
        <f aca="false">IF('Formation Initiale'!$A316="","",'Formation Initiale'!$A316)</f>
        <v/>
      </c>
      <c r="B714" s="0" t="str">
        <f aca="false">IF($A714="","",'Formation Initiale'!$E316)</f>
        <v/>
      </c>
      <c r="C714" s="0" t="str">
        <f aca="false">IF($A714="","",'Formation Initiale'!$F316)</f>
        <v/>
      </c>
      <c r="D714" s="0" t="str">
        <f aca="false">IF($A714="","",IF('Formation Initiale'!$F316="Lisbonne","B2C (Initiale)","B2C+B2B (Initiale)"))</f>
        <v/>
      </c>
      <c r="E714" s="0" t="str">
        <f aca="false">IF($A714="","",'Formation Initiale'!$B316)</f>
        <v/>
      </c>
      <c r="F714" s="116" t="str">
        <f aca="false">IF($A714="","",'Formation Initiale'!$G316)</f>
        <v/>
      </c>
      <c r="G714" s="116" t="str">
        <f aca="false">IF($A714="","",'Formation Initiale'!$H316)</f>
        <v/>
      </c>
      <c r="H714" s="0" t="str">
        <f aca="false">IF($A714="","",'Formation Initiale'!$L316)</f>
        <v/>
      </c>
      <c r="I714" s="0" t="str">
        <f aca="false">IF($A714="","",'Formation Initiale'!$R316)</f>
        <v/>
      </c>
      <c r="K714" s="104" t="n">
        <f aca="false">IF(A714="",0,IF(IFERROR(VLOOKUP(A714,Skills!$A:$M,13,FALSE()),"")="COS",0,IF(OR(I714="En cours",I714="À venir",I714="À planifier"),IF(AND(OR($C$3="Tous",$C$3="",C714=$C$3),OR($E$3="Tous",$E$3="",I714=$E$3)),1,0),0)))</f>
        <v>0</v>
      </c>
      <c r="L714" s="104" t="n">
        <f aca="false">L713+K714</f>
        <v>15</v>
      </c>
    </row>
    <row r="715" customFormat="false" ht="15" hidden="true" customHeight="true" outlineLevel="0" collapsed="false">
      <c r="A715" s="0" t="str">
        <f aca="false">IF('Formation Initiale'!$A317="","",'Formation Initiale'!$A317)</f>
        <v/>
      </c>
      <c r="B715" s="0" t="str">
        <f aca="false">IF($A715="","",'Formation Initiale'!$E317)</f>
        <v/>
      </c>
      <c r="C715" s="0" t="str">
        <f aca="false">IF($A715="","",'Formation Initiale'!$F317)</f>
        <v/>
      </c>
      <c r="D715" s="0" t="str">
        <f aca="false">IF($A715="","",IF('Formation Initiale'!$F317="Lisbonne","B2C (Initiale)","B2C+B2B (Initiale)"))</f>
        <v/>
      </c>
      <c r="E715" s="0" t="str">
        <f aca="false">IF($A715="","",'Formation Initiale'!$B317)</f>
        <v/>
      </c>
      <c r="F715" s="116" t="str">
        <f aca="false">IF($A715="","",'Formation Initiale'!$G317)</f>
        <v/>
      </c>
      <c r="G715" s="116" t="str">
        <f aca="false">IF($A715="","",'Formation Initiale'!$H317)</f>
        <v/>
      </c>
      <c r="H715" s="0" t="str">
        <f aca="false">IF($A715="","",'Formation Initiale'!$L317)</f>
        <v/>
      </c>
      <c r="I715" s="0" t="str">
        <f aca="false">IF($A715="","",'Formation Initiale'!$R317)</f>
        <v/>
      </c>
      <c r="K715" s="104" t="n">
        <f aca="false">IF(A715="",0,IF(IFERROR(VLOOKUP(A715,Skills!$A:$M,13,FALSE()),"")="COS",0,IF(OR(I715="En cours",I715="À venir",I715="À planifier"),IF(AND(OR($C$3="Tous",$C$3="",C715=$C$3),OR($E$3="Tous",$E$3="",I715=$E$3)),1,0),0)))</f>
        <v>0</v>
      </c>
      <c r="L715" s="104" t="n">
        <f aca="false">L714+K715</f>
        <v>15</v>
      </c>
    </row>
    <row r="716" customFormat="false" ht="15" hidden="true" customHeight="true" outlineLevel="0" collapsed="false">
      <c r="A716" s="0" t="str">
        <f aca="false">IF('Formation Initiale'!$A318="","",'Formation Initiale'!$A318)</f>
        <v/>
      </c>
      <c r="B716" s="0" t="str">
        <f aca="false">IF($A716="","",'Formation Initiale'!$E318)</f>
        <v/>
      </c>
      <c r="C716" s="0" t="str">
        <f aca="false">IF($A716="","",'Formation Initiale'!$F318)</f>
        <v/>
      </c>
      <c r="D716" s="0" t="str">
        <f aca="false">IF($A716="","",IF('Formation Initiale'!$F318="Lisbonne","B2C (Initiale)","B2C+B2B (Initiale)"))</f>
        <v/>
      </c>
      <c r="E716" s="0" t="str">
        <f aca="false">IF($A716="","",'Formation Initiale'!$B318)</f>
        <v/>
      </c>
      <c r="F716" s="116" t="str">
        <f aca="false">IF($A716="","",'Formation Initiale'!$G318)</f>
        <v/>
      </c>
      <c r="G716" s="116" t="str">
        <f aca="false">IF($A716="","",'Formation Initiale'!$H318)</f>
        <v/>
      </c>
      <c r="H716" s="0" t="str">
        <f aca="false">IF($A716="","",'Formation Initiale'!$L318)</f>
        <v/>
      </c>
      <c r="I716" s="0" t="str">
        <f aca="false">IF($A716="","",'Formation Initiale'!$R318)</f>
        <v/>
      </c>
      <c r="K716" s="104" t="n">
        <f aca="false">IF(A716="",0,IF(IFERROR(VLOOKUP(A716,Skills!$A:$M,13,FALSE()),"")="COS",0,IF(OR(I716="En cours",I716="À venir",I716="À planifier"),IF(AND(OR($C$3="Tous",$C$3="",C716=$C$3),OR($E$3="Tous",$E$3="",I716=$E$3)),1,0),0)))</f>
        <v>0</v>
      </c>
      <c r="L716" s="104" t="n">
        <f aca="false">L715+K716</f>
        <v>15</v>
      </c>
    </row>
    <row r="717" customFormat="false" ht="15" hidden="true" customHeight="true" outlineLevel="0" collapsed="false">
      <c r="A717" s="0" t="str">
        <f aca="false">IF('Formation Initiale'!$A319="","",'Formation Initiale'!$A319)</f>
        <v/>
      </c>
      <c r="B717" s="0" t="str">
        <f aca="false">IF($A717="","",'Formation Initiale'!$E319)</f>
        <v/>
      </c>
      <c r="C717" s="0" t="str">
        <f aca="false">IF($A717="","",'Formation Initiale'!$F319)</f>
        <v/>
      </c>
      <c r="D717" s="0" t="str">
        <f aca="false">IF($A717="","",IF('Formation Initiale'!$F319="Lisbonne","B2C (Initiale)","B2C+B2B (Initiale)"))</f>
        <v/>
      </c>
      <c r="E717" s="0" t="str">
        <f aca="false">IF($A717="","",'Formation Initiale'!$B319)</f>
        <v/>
      </c>
      <c r="F717" s="116" t="str">
        <f aca="false">IF($A717="","",'Formation Initiale'!$G319)</f>
        <v/>
      </c>
      <c r="G717" s="116" t="str">
        <f aca="false">IF($A717="","",'Formation Initiale'!$H319)</f>
        <v/>
      </c>
      <c r="H717" s="0" t="str">
        <f aca="false">IF($A717="","",'Formation Initiale'!$L319)</f>
        <v/>
      </c>
      <c r="I717" s="0" t="str">
        <f aca="false">IF($A717="","",'Formation Initiale'!$R319)</f>
        <v/>
      </c>
      <c r="K717" s="104" t="n">
        <f aca="false">IF(A717="",0,IF(IFERROR(VLOOKUP(A717,Skills!$A:$M,13,FALSE()),"")="COS",0,IF(OR(I717="En cours",I717="À venir",I717="À planifier"),IF(AND(OR($C$3="Tous",$C$3="",C717=$C$3),OR($E$3="Tous",$E$3="",I717=$E$3)),1,0),0)))</f>
        <v>0</v>
      </c>
      <c r="L717" s="104" t="n">
        <f aca="false">L716+K717</f>
        <v>15</v>
      </c>
    </row>
    <row r="718" customFormat="false" ht="15" hidden="true" customHeight="true" outlineLevel="0" collapsed="false">
      <c r="A718" s="0" t="str">
        <f aca="false">IF('Formation Initiale'!$A320="","",'Formation Initiale'!$A320)</f>
        <v/>
      </c>
      <c r="B718" s="0" t="str">
        <f aca="false">IF($A718="","",'Formation Initiale'!$E320)</f>
        <v/>
      </c>
      <c r="C718" s="0" t="str">
        <f aca="false">IF($A718="","",'Formation Initiale'!$F320)</f>
        <v/>
      </c>
      <c r="D718" s="0" t="str">
        <f aca="false">IF($A718="","",IF('Formation Initiale'!$F320="Lisbonne","B2C (Initiale)","B2C+B2B (Initiale)"))</f>
        <v/>
      </c>
      <c r="E718" s="0" t="str">
        <f aca="false">IF($A718="","",'Formation Initiale'!$B320)</f>
        <v/>
      </c>
      <c r="F718" s="116" t="str">
        <f aca="false">IF($A718="","",'Formation Initiale'!$G320)</f>
        <v/>
      </c>
      <c r="G718" s="116" t="str">
        <f aca="false">IF($A718="","",'Formation Initiale'!$H320)</f>
        <v/>
      </c>
      <c r="H718" s="0" t="str">
        <f aca="false">IF($A718="","",'Formation Initiale'!$L320)</f>
        <v/>
      </c>
      <c r="I718" s="0" t="str">
        <f aca="false">IF($A718="","",'Formation Initiale'!$R320)</f>
        <v/>
      </c>
      <c r="K718" s="104" t="n">
        <f aca="false">IF(A718="",0,IF(IFERROR(VLOOKUP(A718,Skills!$A:$M,13,FALSE()),"")="COS",0,IF(OR(I718="En cours",I718="À venir",I718="À planifier"),IF(AND(OR($C$3="Tous",$C$3="",C718=$C$3),OR($E$3="Tous",$E$3="",I718=$E$3)),1,0),0)))</f>
        <v>0</v>
      </c>
      <c r="L718" s="104" t="n">
        <f aca="false">L717+K718</f>
        <v>15</v>
      </c>
    </row>
    <row r="719" customFormat="false" ht="15" hidden="true" customHeight="true" outlineLevel="0" collapsed="false">
      <c r="A719" s="0" t="str">
        <f aca="false">IF('Formation Initiale'!$A321="","",'Formation Initiale'!$A321)</f>
        <v/>
      </c>
      <c r="B719" s="0" t="str">
        <f aca="false">IF($A719="","",'Formation Initiale'!$E321)</f>
        <v/>
      </c>
      <c r="C719" s="0" t="str">
        <f aca="false">IF($A719="","",'Formation Initiale'!$F321)</f>
        <v/>
      </c>
      <c r="D719" s="0" t="str">
        <f aca="false">IF($A719="","",IF('Formation Initiale'!$F321="Lisbonne","B2C (Initiale)","B2C+B2B (Initiale)"))</f>
        <v/>
      </c>
      <c r="E719" s="0" t="str">
        <f aca="false">IF($A719="","",'Formation Initiale'!$B321)</f>
        <v/>
      </c>
      <c r="F719" s="116" t="str">
        <f aca="false">IF($A719="","",'Formation Initiale'!$G321)</f>
        <v/>
      </c>
      <c r="G719" s="116" t="str">
        <f aca="false">IF($A719="","",'Formation Initiale'!$H321)</f>
        <v/>
      </c>
      <c r="H719" s="0" t="str">
        <f aca="false">IF($A719="","",'Formation Initiale'!$L321)</f>
        <v/>
      </c>
      <c r="I719" s="0" t="str">
        <f aca="false">IF($A719="","",'Formation Initiale'!$R321)</f>
        <v/>
      </c>
      <c r="K719" s="104" t="n">
        <f aca="false">IF(A719="",0,IF(IFERROR(VLOOKUP(A719,Skills!$A:$M,13,FALSE()),"")="COS",0,IF(OR(I719="En cours",I719="À venir",I719="À planifier"),IF(AND(OR($C$3="Tous",$C$3="",C719=$C$3),OR($E$3="Tous",$E$3="",I719=$E$3)),1,0),0)))</f>
        <v>0</v>
      </c>
      <c r="L719" s="104" t="n">
        <f aca="false">L718+K719</f>
        <v>15</v>
      </c>
    </row>
    <row r="720" customFormat="false" ht="15" hidden="true" customHeight="true" outlineLevel="0" collapsed="false">
      <c r="A720" s="0" t="str">
        <f aca="false">IF('Formation Initiale'!$A322="","",'Formation Initiale'!$A322)</f>
        <v/>
      </c>
      <c r="B720" s="0" t="str">
        <f aca="false">IF($A720="","",'Formation Initiale'!$E322)</f>
        <v/>
      </c>
      <c r="C720" s="0" t="str">
        <f aca="false">IF($A720="","",'Formation Initiale'!$F322)</f>
        <v/>
      </c>
      <c r="D720" s="0" t="str">
        <f aca="false">IF($A720="","",IF('Formation Initiale'!$F322="Lisbonne","B2C (Initiale)","B2C+B2B (Initiale)"))</f>
        <v/>
      </c>
      <c r="E720" s="0" t="str">
        <f aca="false">IF($A720="","",'Formation Initiale'!$B322)</f>
        <v/>
      </c>
      <c r="F720" s="116" t="str">
        <f aca="false">IF($A720="","",'Formation Initiale'!$G322)</f>
        <v/>
      </c>
      <c r="G720" s="116" t="str">
        <f aca="false">IF($A720="","",'Formation Initiale'!$H322)</f>
        <v/>
      </c>
      <c r="H720" s="0" t="str">
        <f aca="false">IF($A720="","",'Formation Initiale'!$L322)</f>
        <v/>
      </c>
      <c r="I720" s="0" t="str">
        <f aca="false">IF($A720="","",'Formation Initiale'!$R322)</f>
        <v/>
      </c>
      <c r="K720" s="104" t="n">
        <f aca="false">IF(A720="",0,IF(IFERROR(VLOOKUP(A720,Skills!$A:$M,13,FALSE()),"")="COS",0,IF(OR(I720="En cours",I720="À venir",I720="À planifier"),IF(AND(OR($C$3="Tous",$C$3="",C720=$C$3),OR($E$3="Tous",$E$3="",I720=$E$3)),1,0),0)))</f>
        <v>0</v>
      </c>
      <c r="L720" s="104" t="n">
        <f aca="false">L719+K720</f>
        <v>15</v>
      </c>
    </row>
    <row r="721" customFormat="false" ht="15" hidden="true" customHeight="true" outlineLevel="0" collapsed="false">
      <c r="A721" s="0" t="str">
        <f aca="false">IF('Formation Initiale'!$A323="","",'Formation Initiale'!$A323)</f>
        <v/>
      </c>
      <c r="B721" s="0" t="str">
        <f aca="false">IF($A721="","",'Formation Initiale'!$E323)</f>
        <v/>
      </c>
      <c r="C721" s="0" t="str">
        <f aca="false">IF($A721="","",'Formation Initiale'!$F323)</f>
        <v/>
      </c>
      <c r="D721" s="0" t="str">
        <f aca="false">IF($A721="","",IF('Formation Initiale'!$F323="Lisbonne","B2C (Initiale)","B2C+B2B (Initiale)"))</f>
        <v/>
      </c>
      <c r="E721" s="0" t="str">
        <f aca="false">IF($A721="","",'Formation Initiale'!$B323)</f>
        <v/>
      </c>
      <c r="F721" s="116" t="str">
        <f aca="false">IF($A721="","",'Formation Initiale'!$G323)</f>
        <v/>
      </c>
      <c r="G721" s="116" t="str">
        <f aca="false">IF($A721="","",'Formation Initiale'!$H323)</f>
        <v/>
      </c>
      <c r="H721" s="0" t="str">
        <f aca="false">IF($A721="","",'Formation Initiale'!$L323)</f>
        <v/>
      </c>
      <c r="I721" s="0" t="str">
        <f aca="false">IF($A721="","",'Formation Initiale'!$R323)</f>
        <v/>
      </c>
      <c r="K721" s="104" t="n">
        <f aca="false">IF(A721="",0,IF(IFERROR(VLOOKUP(A721,Skills!$A:$M,13,FALSE()),"")="COS",0,IF(OR(I721="En cours",I721="À venir",I721="À planifier"),IF(AND(OR($C$3="Tous",$C$3="",C721=$C$3),OR($E$3="Tous",$E$3="",I721=$E$3)),1,0),0)))</f>
        <v>0</v>
      </c>
      <c r="L721" s="104" t="n">
        <f aca="false">L720+K721</f>
        <v>15</v>
      </c>
    </row>
    <row r="722" customFormat="false" ht="15" hidden="true" customHeight="true" outlineLevel="0" collapsed="false">
      <c r="A722" s="0" t="str">
        <f aca="false">IF('Formation Initiale'!$A324="","",'Formation Initiale'!$A324)</f>
        <v/>
      </c>
      <c r="B722" s="0" t="str">
        <f aca="false">IF($A722="","",'Formation Initiale'!$E324)</f>
        <v/>
      </c>
      <c r="C722" s="0" t="str">
        <f aca="false">IF($A722="","",'Formation Initiale'!$F324)</f>
        <v/>
      </c>
      <c r="D722" s="0" t="str">
        <f aca="false">IF($A722="","",IF('Formation Initiale'!$F324="Lisbonne","B2C (Initiale)","B2C+B2B (Initiale)"))</f>
        <v/>
      </c>
      <c r="E722" s="0" t="str">
        <f aca="false">IF($A722="","",'Formation Initiale'!$B324)</f>
        <v/>
      </c>
      <c r="F722" s="116" t="str">
        <f aca="false">IF($A722="","",'Formation Initiale'!$G324)</f>
        <v/>
      </c>
      <c r="G722" s="116" t="str">
        <f aca="false">IF($A722="","",'Formation Initiale'!$H324)</f>
        <v/>
      </c>
      <c r="H722" s="0" t="str">
        <f aca="false">IF($A722="","",'Formation Initiale'!$L324)</f>
        <v/>
      </c>
      <c r="I722" s="0" t="str">
        <f aca="false">IF($A722="","",'Formation Initiale'!$R324)</f>
        <v/>
      </c>
      <c r="K722" s="104" t="n">
        <f aca="false">IF(A722="",0,IF(IFERROR(VLOOKUP(A722,Skills!$A:$M,13,FALSE()),"")="COS",0,IF(OR(I722="En cours",I722="À venir",I722="À planifier"),IF(AND(OR($C$3="Tous",$C$3="",C722=$C$3),OR($E$3="Tous",$E$3="",I722=$E$3)),1,0),0)))</f>
        <v>0</v>
      </c>
      <c r="L722" s="104" t="n">
        <f aca="false">L721+K722</f>
        <v>15</v>
      </c>
    </row>
    <row r="723" customFormat="false" ht="15" hidden="true" customHeight="true" outlineLevel="0" collapsed="false">
      <c r="A723" s="0" t="str">
        <f aca="false">IF('Formation Initiale'!$A325="","",'Formation Initiale'!$A325)</f>
        <v/>
      </c>
      <c r="B723" s="0" t="str">
        <f aca="false">IF($A723="","",'Formation Initiale'!$E325)</f>
        <v/>
      </c>
      <c r="C723" s="0" t="str">
        <f aca="false">IF($A723="","",'Formation Initiale'!$F325)</f>
        <v/>
      </c>
      <c r="D723" s="0" t="str">
        <f aca="false">IF($A723="","",IF('Formation Initiale'!$F325="Lisbonne","B2C (Initiale)","B2C+B2B (Initiale)"))</f>
        <v/>
      </c>
      <c r="E723" s="0" t="str">
        <f aca="false">IF($A723="","",'Formation Initiale'!$B325)</f>
        <v/>
      </c>
      <c r="F723" s="116" t="str">
        <f aca="false">IF($A723="","",'Formation Initiale'!$G325)</f>
        <v/>
      </c>
      <c r="G723" s="116" t="str">
        <f aca="false">IF($A723="","",'Formation Initiale'!$H325)</f>
        <v/>
      </c>
      <c r="H723" s="0" t="str">
        <f aca="false">IF($A723="","",'Formation Initiale'!$L325)</f>
        <v/>
      </c>
      <c r="I723" s="0" t="str">
        <f aca="false">IF($A723="","",'Formation Initiale'!$R325)</f>
        <v/>
      </c>
      <c r="K723" s="104" t="n">
        <f aca="false">IF(A723="",0,IF(IFERROR(VLOOKUP(A723,Skills!$A:$M,13,FALSE()),"")="COS",0,IF(OR(I723="En cours",I723="À venir",I723="À planifier"),IF(AND(OR($C$3="Tous",$C$3="",C723=$C$3),OR($E$3="Tous",$E$3="",I723=$E$3)),1,0),0)))</f>
        <v>0</v>
      </c>
      <c r="L723" s="104" t="n">
        <f aca="false">L722+K723</f>
        <v>15</v>
      </c>
    </row>
    <row r="724" customFormat="false" ht="15" hidden="true" customHeight="true" outlineLevel="0" collapsed="false">
      <c r="A724" s="0" t="str">
        <f aca="false">IF('Formation Initiale'!$A326="","",'Formation Initiale'!$A326)</f>
        <v/>
      </c>
      <c r="B724" s="0" t="str">
        <f aca="false">IF($A724="","",'Formation Initiale'!$E326)</f>
        <v/>
      </c>
      <c r="C724" s="0" t="str">
        <f aca="false">IF($A724="","",'Formation Initiale'!$F326)</f>
        <v/>
      </c>
      <c r="D724" s="0" t="str">
        <f aca="false">IF($A724="","",IF('Formation Initiale'!$F326="Lisbonne","B2C (Initiale)","B2C+B2B (Initiale)"))</f>
        <v/>
      </c>
      <c r="E724" s="0" t="str">
        <f aca="false">IF($A724="","",'Formation Initiale'!$B326)</f>
        <v/>
      </c>
      <c r="F724" s="116" t="str">
        <f aca="false">IF($A724="","",'Formation Initiale'!$G326)</f>
        <v/>
      </c>
      <c r="G724" s="116" t="str">
        <f aca="false">IF($A724="","",'Formation Initiale'!$H326)</f>
        <v/>
      </c>
      <c r="H724" s="0" t="str">
        <f aca="false">IF($A724="","",'Formation Initiale'!$L326)</f>
        <v/>
      </c>
      <c r="I724" s="0" t="str">
        <f aca="false">IF($A724="","",'Formation Initiale'!$R326)</f>
        <v/>
      </c>
      <c r="K724" s="104" t="n">
        <f aca="false">IF(A724="",0,IF(IFERROR(VLOOKUP(A724,Skills!$A:$M,13,FALSE()),"")="COS",0,IF(OR(I724="En cours",I724="À venir",I724="À planifier"),IF(AND(OR($C$3="Tous",$C$3="",C724=$C$3),OR($E$3="Tous",$E$3="",I724=$E$3)),1,0),0)))</f>
        <v>0</v>
      </c>
      <c r="L724" s="104" t="n">
        <f aca="false">L723+K724</f>
        <v>15</v>
      </c>
    </row>
    <row r="725" customFormat="false" ht="15" hidden="true" customHeight="true" outlineLevel="0" collapsed="false">
      <c r="A725" s="0" t="str">
        <f aca="false">IF('Formation Initiale'!$A327="","",'Formation Initiale'!$A327)</f>
        <v/>
      </c>
      <c r="B725" s="0" t="str">
        <f aca="false">IF($A725="","",'Formation Initiale'!$E327)</f>
        <v/>
      </c>
      <c r="C725" s="0" t="str">
        <f aca="false">IF($A725="","",'Formation Initiale'!$F327)</f>
        <v/>
      </c>
      <c r="D725" s="0" t="str">
        <f aca="false">IF($A725="","",IF('Formation Initiale'!$F327="Lisbonne","B2C (Initiale)","B2C+B2B (Initiale)"))</f>
        <v/>
      </c>
      <c r="E725" s="0" t="str">
        <f aca="false">IF($A725="","",'Formation Initiale'!$B327)</f>
        <v/>
      </c>
      <c r="F725" s="116" t="str">
        <f aca="false">IF($A725="","",'Formation Initiale'!$G327)</f>
        <v/>
      </c>
      <c r="G725" s="116" t="str">
        <f aca="false">IF($A725="","",'Formation Initiale'!$H327)</f>
        <v/>
      </c>
      <c r="H725" s="0" t="str">
        <f aca="false">IF($A725="","",'Formation Initiale'!$L327)</f>
        <v/>
      </c>
      <c r="I725" s="0" t="str">
        <f aca="false">IF($A725="","",'Formation Initiale'!$R327)</f>
        <v/>
      </c>
      <c r="K725" s="104" t="n">
        <f aca="false">IF(A725="",0,IF(IFERROR(VLOOKUP(A725,Skills!$A:$M,13,FALSE()),"")="COS",0,IF(OR(I725="En cours",I725="À venir",I725="À planifier"),IF(AND(OR($C$3="Tous",$C$3="",C725=$C$3),OR($E$3="Tous",$E$3="",I725=$E$3)),1,0),0)))</f>
        <v>0</v>
      </c>
      <c r="L725" s="104" t="n">
        <f aca="false">L724+K725</f>
        <v>15</v>
      </c>
    </row>
    <row r="726" customFormat="false" ht="15" hidden="true" customHeight="true" outlineLevel="0" collapsed="false">
      <c r="A726" s="0" t="str">
        <f aca="false">IF('Formation Initiale'!$A328="","",'Formation Initiale'!$A328)</f>
        <v/>
      </c>
      <c r="B726" s="0" t="str">
        <f aca="false">IF($A726="","",'Formation Initiale'!$E328)</f>
        <v/>
      </c>
      <c r="C726" s="0" t="str">
        <f aca="false">IF($A726="","",'Formation Initiale'!$F328)</f>
        <v/>
      </c>
      <c r="D726" s="0" t="str">
        <f aca="false">IF($A726="","",IF('Formation Initiale'!$F328="Lisbonne","B2C (Initiale)","B2C+B2B (Initiale)"))</f>
        <v/>
      </c>
      <c r="E726" s="0" t="str">
        <f aca="false">IF($A726="","",'Formation Initiale'!$B328)</f>
        <v/>
      </c>
      <c r="F726" s="116" t="str">
        <f aca="false">IF($A726="","",'Formation Initiale'!$G328)</f>
        <v/>
      </c>
      <c r="G726" s="116" t="str">
        <f aca="false">IF($A726="","",'Formation Initiale'!$H328)</f>
        <v/>
      </c>
      <c r="H726" s="0" t="str">
        <f aca="false">IF($A726="","",'Formation Initiale'!$L328)</f>
        <v/>
      </c>
      <c r="I726" s="0" t="str">
        <f aca="false">IF($A726="","",'Formation Initiale'!$R328)</f>
        <v/>
      </c>
      <c r="K726" s="104" t="n">
        <f aca="false">IF(A726="",0,IF(IFERROR(VLOOKUP(A726,Skills!$A:$M,13,FALSE()),"")="COS",0,IF(OR(I726="En cours",I726="À venir",I726="À planifier"),IF(AND(OR($C$3="Tous",$C$3="",C726=$C$3),OR($E$3="Tous",$E$3="",I726=$E$3)),1,0),0)))</f>
        <v>0</v>
      </c>
      <c r="L726" s="104" t="n">
        <f aca="false">L725+K726</f>
        <v>15</v>
      </c>
    </row>
    <row r="727" customFormat="false" ht="15" hidden="true" customHeight="true" outlineLevel="0" collapsed="false">
      <c r="A727" s="0" t="str">
        <f aca="false">IF('Formation Initiale'!$A329="","",'Formation Initiale'!$A329)</f>
        <v/>
      </c>
      <c r="B727" s="0" t="str">
        <f aca="false">IF($A727="","",'Formation Initiale'!$E329)</f>
        <v/>
      </c>
      <c r="C727" s="0" t="str">
        <f aca="false">IF($A727="","",'Formation Initiale'!$F329)</f>
        <v/>
      </c>
      <c r="D727" s="0" t="str">
        <f aca="false">IF($A727="","",IF('Formation Initiale'!$F329="Lisbonne","B2C (Initiale)","B2C+B2B (Initiale)"))</f>
        <v/>
      </c>
      <c r="E727" s="0" t="str">
        <f aca="false">IF($A727="","",'Formation Initiale'!$B329)</f>
        <v/>
      </c>
      <c r="F727" s="116" t="str">
        <f aca="false">IF($A727="","",'Formation Initiale'!$G329)</f>
        <v/>
      </c>
      <c r="G727" s="116" t="str">
        <f aca="false">IF($A727="","",'Formation Initiale'!$H329)</f>
        <v/>
      </c>
      <c r="H727" s="0" t="str">
        <f aca="false">IF($A727="","",'Formation Initiale'!$L329)</f>
        <v/>
      </c>
      <c r="I727" s="0" t="str">
        <f aca="false">IF($A727="","",'Formation Initiale'!$R329)</f>
        <v/>
      </c>
      <c r="K727" s="104" t="n">
        <f aca="false">IF(A727="",0,IF(IFERROR(VLOOKUP(A727,Skills!$A:$M,13,FALSE()),"")="COS",0,IF(OR(I727="En cours",I727="À venir",I727="À planifier"),IF(AND(OR($C$3="Tous",$C$3="",C727=$C$3),OR($E$3="Tous",$E$3="",I727=$E$3)),1,0),0)))</f>
        <v>0</v>
      </c>
      <c r="L727" s="104" t="n">
        <f aca="false">L726+K727</f>
        <v>15</v>
      </c>
    </row>
    <row r="728" customFormat="false" ht="15" hidden="true" customHeight="true" outlineLevel="0" collapsed="false">
      <c r="A728" s="0" t="str">
        <f aca="false">IF('Formation Initiale'!$A330="","",'Formation Initiale'!$A330)</f>
        <v/>
      </c>
      <c r="B728" s="0" t="str">
        <f aca="false">IF($A728="","",'Formation Initiale'!$E330)</f>
        <v/>
      </c>
      <c r="C728" s="0" t="str">
        <f aca="false">IF($A728="","",'Formation Initiale'!$F330)</f>
        <v/>
      </c>
      <c r="D728" s="0" t="str">
        <f aca="false">IF($A728="","",IF('Formation Initiale'!$F330="Lisbonne","B2C (Initiale)","B2C+B2B (Initiale)"))</f>
        <v/>
      </c>
      <c r="E728" s="0" t="str">
        <f aca="false">IF($A728="","",'Formation Initiale'!$B330)</f>
        <v/>
      </c>
      <c r="F728" s="116" t="str">
        <f aca="false">IF($A728="","",'Formation Initiale'!$G330)</f>
        <v/>
      </c>
      <c r="G728" s="116" t="str">
        <f aca="false">IF($A728="","",'Formation Initiale'!$H330)</f>
        <v/>
      </c>
      <c r="H728" s="0" t="str">
        <f aca="false">IF($A728="","",'Formation Initiale'!$L330)</f>
        <v/>
      </c>
      <c r="I728" s="0" t="str">
        <f aca="false">IF($A728="","",'Formation Initiale'!$R330)</f>
        <v/>
      </c>
      <c r="K728" s="104" t="n">
        <f aca="false">IF(A728="",0,IF(IFERROR(VLOOKUP(A728,Skills!$A:$M,13,FALSE()),"")="COS",0,IF(OR(I728="En cours",I728="À venir",I728="À planifier"),IF(AND(OR($C$3="Tous",$C$3="",C728=$C$3),OR($E$3="Tous",$E$3="",I728=$E$3)),1,0),0)))</f>
        <v>0</v>
      </c>
      <c r="L728" s="104" t="n">
        <f aca="false">L727+K728</f>
        <v>15</v>
      </c>
    </row>
    <row r="729" customFormat="false" ht="15" hidden="true" customHeight="true" outlineLevel="0" collapsed="false">
      <c r="A729" s="0" t="str">
        <f aca="false">IF('Formation Initiale'!$A331="","",'Formation Initiale'!$A331)</f>
        <v/>
      </c>
      <c r="B729" s="0" t="str">
        <f aca="false">IF($A729="","",'Formation Initiale'!$E331)</f>
        <v/>
      </c>
      <c r="C729" s="0" t="str">
        <f aca="false">IF($A729="","",'Formation Initiale'!$F331)</f>
        <v/>
      </c>
      <c r="D729" s="0" t="str">
        <f aca="false">IF($A729="","",IF('Formation Initiale'!$F331="Lisbonne","B2C (Initiale)","B2C+B2B (Initiale)"))</f>
        <v/>
      </c>
      <c r="E729" s="0" t="str">
        <f aca="false">IF($A729="","",'Formation Initiale'!$B331)</f>
        <v/>
      </c>
      <c r="F729" s="116" t="str">
        <f aca="false">IF($A729="","",'Formation Initiale'!$G331)</f>
        <v/>
      </c>
      <c r="G729" s="116" t="str">
        <f aca="false">IF($A729="","",'Formation Initiale'!$H331)</f>
        <v/>
      </c>
      <c r="H729" s="0" t="str">
        <f aca="false">IF($A729="","",'Formation Initiale'!$L331)</f>
        <v/>
      </c>
      <c r="I729" s="0" t="str">
        <f aca="false">IF($A729="","",'Formation Initiale'!$R331)</f>
        <v/>
      </c>
      <c r="K729" s="104" t="n">
        <f aca="false">IF(A729="",0,IF(IFERROR(VLOOKUP(A729,Skills!$A:$M,13,FALSE()),"")="COS",0,IF(OR(I729="En cours",I729="À venir",I729="À planifier"),IF(AND(OR($C$3="Tous",$C$3="",C729=$C$3),OR($E$3="Tous",$E$3="",I729=$E$3)),1,0),0)))</f>
        <v>0</v>
      </c>
      <c r="L729" s="104" t="n">
        <f aca="false">L728+K729</f>
        <v>15</v>
      </c>
    </row>
    <row r="730" customFormat="false" ht="15" hidden="true" customHeight="true" outlineLevel="0" collapsed="false">
      <c r="A730" s="0" t="str">
        <f aca="false">IF('Formation Initiale'!$A332="","",'Formation Initiale'!$A332)</f>
        <v/>
      </c>
      <c r="B730" s="0" t="str">
        <f aca="false">IF($A730="","",'Formation Initiale'!$E332)</f>
        <v/>
      </c>
      <c r="C730" s="0" t="str">
        <f aca="false">IF($A730="","",'Formation Initiale'!$F332)</f>
        <v/>
      </c>
      <c r="D730" s="0" t="str">
        <f aca="false">IF($A730="","",IF('Formation Initiale'!$F332="Lisbonne","B2C (Initiale)","B2C+B2B (Initiale)"))</f>
        <v/>
      </c>
      <c r="E730" s="0" t="str">
        <f aca="false">IF($A730="","",'Formation Initiale'!$B332)</f>
        <v/>
      </c>
      <c r="F730" s="116" t="str">
        <f aca="false">IF($A730="","",'Formation Initiale'!$G332)</f>
        <v/>
      </c>
      <c r="G730" s="116" t="str">
        <f aca="false">IF($A730="","",'Formation Initiale'!$H332)</f>
        <v/>
      </c>
      <c r="H730" s="0" t="str">
        <f aca="false">IF($A730="","",'Formation Initiale'!$L332)</f>
        <v/>
      </c>
      <c r="I730" s="0" t="str">
        <f aca="false">IF($A730="","",'Formation Initiale'!$R332)</f>
        <v/>
      </c>
      <c r="K730" s="104" t="n">
        <f aca="false">IF(A730="",0,IF(IFERROR(VLOOKUP(A730,Skills!$A:$M,13,FALSE()),"")="COS",0,IF(OR(I730="En cours",I730="À venir",I730="À planifier"),IF(AND(OR($C$3="Tous",$C$3="",C730=$C$3),OR($E$3="Tous",$E$3="",I730=$E$3)),1,0),0)))</f>
        <v>0</v>
      </c>
      <c r="L730" s="104" t="n">
        <f aca="false">L729+K730</f>
        <v>15</v>
      </c>
    </row>
    <row r="731" customFormat="false" ht="15" hidden="true" customHeight="true" outlineLevel="0" collapsed="false">
      <c r="A731" s="0" t="str">
        <f aca="false">IF('Formation Initiale'!$A333="","",'Formation Initiale'!$A333)</f>
        <v/>
      </c>
      <c r="B731" s="0" t="str">
        <f aca="false">IF($A731="","",'Formation Initiale'!$E333)</f>
        <v/>
      </c>
      <c r="C731" s="0" t="str">
        <f aca="false">IF($A731="","",'Formation Initiale'!$F333)</f>
        <v/>
      </c>
      <c r="D731" s="0" t="str">
        <f aca="false">IF($A731="","",IF('Formation Initiale'!$F333="Lisbonne","B2C (Initiale)","B2C+B2B (Initiale)"))</f>
        <v/>
      </c>
      <c r="E731" s="0" t="str">
        <f aca="false">IF($A731="","",'Formation Initiale'!$B333)</f>
        <v/>
      </c>
      <c r="F731" s="116" t="str">
        <f aca="false">IF($A731="","",'Formation Initiale'!$G333)</f>
        <v/>
      </c>
      <c r="G731" s="116" t="str">
        <f aca="false">IF($A731="","",'Formation Initiale'!$H333)</f>
        <v/>
      </c>
      <c r="H731" s="0" t="str">
        <f aca="false">IF($A731="","",'Formation Initiale'!$L333)</f>
        <v/>
      </c>
      <c r="I731" s="0" t="str">
        <f aca="false">IF($A731="","",'Formation Initiale'!$R333)</f>
        <v/>
      </c>
      <c r="K731" s="104" t="n">
        <f aca="false">IF(A731="",0,IF(IFERROR(VLOOKUP(A731,Skills!$A:$M,13,FALSE()),"")="COS",0,IF(OR(I731="En cours",I731="À venir",I731="À planifier"),IF(AND(OR($C$3="Tous",$C$3="",C731=$C$3),OR($E$3="Tous",$E$3="",I731=$E$3)),1,0),0)))</f>
        <v>0</v>
      </c>
      <c r="L731" s="104" t="n">
        <f aca="false">L730+K731</f>
        <v>15</v>
      </c>
    </row>
    <row r="732" customFormat="false" ht="15" hidden="true" customHeight="true" outlineLevel="0" collapsed="false">
      <c r="A732" s="0" t="str">
        <f aca="false">IF('Formation Initiale'!$A334="","",'Formation Initiale'!$A334)</f>
        <v/>
      </c>
      <c r="B732" s="0" t="str">
        <f aca="false">IF($A732="","",'Formation Initiale'!$E334)</f>
        <v/>
      </c>
      <c r="C732" s="0" t="str">
        <f aca="false">IF($A732="","",'Formation Initiale'!$F334)</f>
        <v/>
      </c>
      <c r="D732" s="0" t="str">
        <f aca="false">IF($A732="","",IF('Formation Initiale'!$F334="Lisbonne","B2C (Initiale)","B2C+B2B (Initiale)"))</f>
        <v/>
      </c>
      <c r="E732" s="0" t="str">
        <f aca="false">IF($A732="","",'Formation Initiale'!$B334)</f>
        <v/>
      </c>
      <c r="F732" s="116" t="str">
        <f aca="false">IF($A732="","",'Formation Initiale'!$G334)</f>
        <v/>
      </c>
      <c r="G732" s="116" t="str">
        <f aca="false">IF($A732="","",'Formation Initiale'!$H334)</f>
        <v/>
      </c>
      <c r="H732" s="0" t="str">
        <f aca="false">IF($A732="","",'Formation Initiale'!$L334)</f>
        <v/>
      </c>
      <c r="I732" s="0" t="str">
        <f aca="false">IF($A732="","",'Formation Initiale'!$R334)</f>
        <v/>
      </c>
      <c r="K732" s="104" t="n">
        <f aca="false">IF(A732="",0,IF(IFERROR(VLOOKUP(A732,Skills!$A:$M,13,FALSE()),"")="COS",0,IF(OR(I732="En cours",I732="À venir",I732="À planifier"),IF(AND(OR($C$3="Tous",$C$3="",C732=$C$3),OR($E$3="Tous",$E$3="",I732=$E$3)),1,0),0)))</f>
        <v>0</v>
      </c>
      <c r="L732" s="104" t="n">
        <f aca="false">L731+K732</f>
        <v>15</v>
      </c>
    </row>
    <row r="733" customFormat="false" ht="15" hidden="true" customHeight="true" outlineLevel="0" collapsed="false">
      <c r="A733" s="0" t="str">
        <f aca="false">IF('Formation Initiale'!$A335="","",'Formation Initiale'!$A335)</f>
        <v/>
      </c>
      <c r="B733" s="0" t="str">
        <f aca="false">IF($A733="","",'Formation Initiale'!$E335)</f>
        <v/>
      </c>
      <c r="C733" s="0" t="str">
        <f aca="false">IF($A733="","",'Formation Initiale'!$F335)</f>
        <v/>
      </c>
      <c r="D733" s="0" t="str">
        <f aca="false">IF($A733="","",IF('Formation Initiale'!$F335="Lisbonne","B2C (Initiale)","B2C+B2B (Initiale)"))</f>
        <v/>
      </c>
      <c r="E733" s="0" t="str">
        <f aca="false">IF($A733="","",'Formation Initiale'!$B335)</f>
        <v/>
      </c>
      <c r="F733" s="116" t="str">
        <f aca="false">IF($A733="","",'Formation Initiale'!$G335)</f>
        <v/>
      </c>
      <c r="G733" s="116" t="str">
        <f aca="false">IF($A733="","",'Formation Initiale'!$H335)</f>
        <v/>
      </c>
      <c r="H733" s="0" t="str">
        <f aca="false">IF($A733="","",'Formation Initiale'!$L335)</f>
        <v/>
      </c>
      <c r="I733" s="0" t="str">
        <f aca="false">IF($A733="","",'Formation Initiale'!$R335)</f>
        <v/>
      </c>
      <c r="K733" s="104" t="n">
        <f aca="false">IF(A733="",0,IF(IFERROR(VLOOKUP(A733,Skills!$A:$M,13,FALSE()),"")="COS",0,IF(OR(I733="En cours",I733="À venir",I733="À planifier"),IF(AND(OR($C$3="Tous",$C$3="",C733=$C$3),OR($E$3="Tous",$E$3="",I733=$E$3)),1,0),0)))</f>
        <v>0</v>
      </c>
      <c r="L733" s="104" t="n">
        <f aca="false">L732+K733</f>
        <v>15</v>
      </c>
    </row>
    <row r="734" customFormat="false" ht="15" hidden="true" customHeight="true" outlineLevel="0" collapsed="false">
      <c r="A734" s="0" t="str">
        <f aca="false">IF('Formation Initiale'!$A336="","",'Formation Initiale'!$A336)</f>
        <v/>
      </c>
      <c r="B734" s="0" t="str">
        <f aca="false">IF($A734="","",'Formation Initiale'!$E336)</f>
        <v/>
      </c>
      <c r="C734" s="0" t="str">
        <f aca="false">IF($A734="","",'Formation Initiale'!$F336)</f>
        <v/>
      </c>
      <c r="D734" s="0" t="str">
        <f aca="false">IF($A734="","",IF('Formation Initiale'!$F336="Lisbonne","B2C (Initiale)","B2C+B2B (Initiale)"))</f>
        <v/>
      </c>
      <c r="E734" s="0" t="str">
        <f aca="false">IF($A734="","",'Formation Initiale'!$B336)</f>
        <v/>
      </c>
      <c r="F734" s="116" t="str">
        <f aca="false">IF($A734="","",'Formation Initiale'!$G336)</f>
        <v/>
      </c>
      <c r="G734" s="116" t="str">
        <f aca="false">IF($A734="","",'Formation Initiale'!$H336)</f>
        <v/>
      </c>
      <c r="H734" s="0" t="str">
        <f aca="false">IF($A734="","",'Formation Initiale'!$L336)</f>
        <v/>
      </c>
      <c r="I734" s="0" t="str">
        <f aca="false">IF($A734="","",'Formation Initiale'!$R336)</f>
        <v/>
      </c>
      <c r="K734" s="104" t="n">
        <f aca="false">IF(A734="",0,IF(IFERROR(VLOOKUP(A734,Skills!$A:$M,13,FALSE()),"")="COS",0,IF(OR(I734="En cours",I734="À venir",I734="À planifier"),IF(AND(OR($C$3="Tous",$C$3="",C734=$C$3),OR($E$3="Tous",$E$3="",I734=$E$3)),1,0),0)))</f>
        <v>0</v>
      </c>
      <c r="L734" s="104" t="n">
        <f aca="false">L733+K734</f>
        <v>15</v>
      </c>
    </row>
    <row r="735" customFormat="false" ht="15" hidden="true" customHeight="true" outlineLevel="0" collapsed="false">
      <c r="A735" s="0" t="str">
        <f aca="false">IF('Formation Initiale'!$A337="","",'Formation Initiale'!$A337)</f>
        <v/>
      </c>
      <c r="B735" s="0" t="str">
        <f aca="false">IF($A735="","",'Formation Initiale'!$E337)</f>
        <v/>
      </c>
      <c r="C735" s="0" t="str">
        <f aca="false">IF($A735="","",'Formation Initiale'!$F337)</f>
        <v/>
      </c>
      <c r="D735" s="0" t="str">
        <f aca="false">IF($A735="","",IF('Formation Initiale'!$F337="Lisbonne","B2C (Initiale)","B2C+B2B (Initiale)"))</f>
        <v/>
      </c>
      <c r="E735" s="0" t="str">
        <f aca="false">IF($A735="","",'Formation Initiale'!$B337)</f>
        <v/>
      </c>
      <c r="F735" s="116" t="str">
        <f aca="false">IF($A735="","",'Formation Initiale'!$G337)</f>
        <v/>
      </c>
      <c r="G735" s="116" t="str">
        <f aca="false">IF($A735="","",'Formation Initiale'!$H337)</f>
        <v/>
      </c>
      <c r="H735" s="0" t="str">
        <f aca="false">IF($A735="","",'Formation Initiale'!$L337)</f>
        <v/>
      </c>
      <c r="I735" s="0" t="str">
        <f aca="false">IF($A735="","",'Formation Initiale'!$R337)</f>
        <v/>
      </c>
      <c r="K735" s="104" t="n">
        <f aca="false">IF(A735="",0,IF(IFERROR(VLOOKUP(A735,Skills!$A:$M,13,FALSE()),"")="COS",0,IF(OR(I735="En cours",I735="À venir",I735="À planifier"),IF(AND(OR($C$3="Tous",$C$3="",C735=$C$3),OR($E$3="Tous",$E$3="",I735=$E$3)),1,0),0)))</f>
        <v>0</v>
      </c>
      <c r="L735" s="104" t="n">
        <f aca="false">L734+K735</f>
        <v>15</v>
      </c>
    </row>
    <row r="736" customFormat="false" ht="15" hidden="true" customHeight="true" outlineLevel="0" collapsed="false">
      <c r="A736" s="0" t="str">
        <f aca="false">IF('Formation Initiale'!$A338="","",'Formation Initiale'!$A338)</f>
        <v/>
      </c>
      <c r="B736" s="0" t="str">
        <f aca="false">IF($A736="","",'Formation Initiale'!$E338)</f>
        <v/>
      </c>
      <c r="C736" s="0" t="str">
        <f aca="false">IF($A736="","",'Formation Initiale'!$F338)</f>
        <v/>
      </c>
      <c r="D736" s="0" t="str">
        <f aca="false">IF($A736="","",IF('Formation Initiale'!$F338="Lisbonne","B2C (Initiale)","B2C+B2B (Initiale)"))</f>
        <v/>
      </c>
      <c r="E736" s="0" t="str">
        <f aca="false">IF($A736="","",'Formation Initiale'!$B338)</f>
        <v/>
      </c>
      <c r="F736" s="116" t="str">
        <f aca="false">IF($A736="","",'Formation Initiale'!$G338)</f>
        <v/>
      </c>
      <c r="G736" s="116" t="str">
        <f aca="false">IF($A736="","",'Formation Initiale'!$H338)</f>
        <v/>
      </c>
      <c r="H736" s="0" t="str">
        <f aca="false">IF($A736="","",'Formation Initiale'!$L338)</f>
        <v/>
      </c>
      <c r="I736" s="0" t="str">
        <f aca="false">IF($A736="","",'Formation Initiale'!$R338)</f>
        <v/>
      </c>
      <c r="K736" s="104" t="n">
        <f aca="false">IF(A736="",0,IF(IFERROR(VLOOKUP(A736,Skills!$A:$M,13,FALSE()),"")="COS",0,IF(OR(I736="En cours",I736="À venir",I736="À planifier"),IF(AND(OR($C$3="Tous",$C$3="",C736=$C$3),OR($E$3="Tous",$E$3="",I736=$E$3)),1,0),0)))</f>
        <v>0</v>
      </c>
      <c r="L736" s="104" t="n">
        <f aca="false">L735+K736</f>
        <v>15</v>
      </c>
    </row>
    <row r="737" customFormat="false" ht="15" hidden="true" customHeight="true" outlineLevel="0" collapsed="false">
      <c r="A737" s="0" t="str">
        <f aca="false">IF('Formation Initiale'!$A339="","",'Formation Initiale'!$A339)</f>
        <v/>
      </c>
      <c r="B737" s="0" t="str">
        <f aca="false">IF($A737="","",'Formation Initiale'!$E339)</f>
        <v/>
      </c>
      <c r="C737" s="0" t="str">
        <f aca="false">IF($A737="","",'Formation Initiale'!$F339)</f>
        <v/>
      </c>
      <c r="D737" s="0" t="str">
        <f aca="false">IF($A737="","",IF('Formation Initiale'!$F339="Lisbonne","B2C (Initiale)","B2C+B2B (Initiale)"))</f>
        <v/>
      </c>
      <c r="E737" s="0" t="str">
        <f aca="false">IF($A737="","",'Formation Initiale'!$B339)</f>
        <v/>
      </c>
      <c r="F737" s="116" t="str">
        <f aca="false">IF($A737="","",'Formation Initiale'!$G339)</f>
        <v/>
      </c>
      <c r="G737" s="116" t="str">
        <f aca="false">IF($A737="","",'Formation Initiale'!$H339)</f>
        <v/>
      </c>
      <c r="H737" s="0" t="str">
        <f aca="false">IF($A737="","",'Formation Initiale'!$L339)</f>
        <v/>
      </c>
      <c r="I737" s="0" t="str">
        <f aca="false">IF($A737="","",'Formation Initiale'!$R339)</f>
        <v/>
      </c>
      <c r="K737" s="104" t="n">
        <f aca="false">IF(A737="",0,IF(IFERROR(VLOOKUP(A737,Skills!$A:$M,13,FALSE()),"")="COS",0,IF(OR(I737="En cours",I737="À venir",I737="À planifier"),IF(AND(OR($C$3="Tous",$C$3="",C737=$C$3),OR($E$3="Tous",$E$3="",I737=$E$3)),1,0),0)))</f>
        <v>0</v>
      </c>
      <c r="L737" s="104" t="n">
        <f aca="false">L736+K737</f>
        <v>15</v>
      </c>
    </row>
    <row r="738" customFormat="false" ht="15" hidden="true" customHeight="true" outlineLevel="0" collapsed="false">
      <c r="A738" s="0" t="str">
        <f aca="false">IF('Formation Initiale'!$A340="","",'Formation Initiale'!$A340)</f>
        <v/>
      </c>
      <c r="B738" s="0" t="str">
        <f aca="false">IF($A738="","",'Formation Initiale'!$E340)</f>
        <v/>
      </c>
      <c r="C738" s="0" t="str">
        <f aca="false">IF($A738="","",'Formation Initiale'!$F340)</f>
        <v/>
      </c>
      <c r="D738" s="0" t="str">
        <f aca="false">IF($A738="","",IF('Formation Initiale'!$F340="Lisbonne","B2C (Initiale)","B2C+B2B (Initiale)"))</f>
        <v/>
      </c>
      <c r="E738" s="0" t="str">
        <f aca="false">IF($A738="","",'Formation Initiale'!$B340)</f>
        <v/>
      </c>
      <c r="F738" s="116" t="str">
        <f aca="false">IF($A738="","",'Formation Initiale'!$G340)</f>
        <v/>
      </c>
      <c r="G738" s="116" t="str">
        <f aca="false">IF($A738="","",'Formation Initiale'!$H340)</f>
        <v/>
      </c>
      <c r="H738" s="0" t="str">
        <f aca="false">IF($A738="","",'Formation Initiale'!$L340)</f>
        <v/>
      </c>
      <c r="I738" s="0" t="str">
        <f aca="false">IF($A738="","",'Formation Initiale'!$R340)</f>
        <v/>
      </c>
      <c r="K738" s="104" t="n">
        <f aca="false">IF(A738="",0,IF(IFERROR(VLOOKUP(A738,Skills!$A:$M,13,FALSE()),"")="COS",0,IF(OR(I738="En cours",I738="À venir",I738="À planifier"),IF(AND(OR($C$3="Tous",$C$3="",C738=$C$3),OR($E$3="Tous",$E$3="",I738=$E$3)),1,0),0)))</f>
        <v>0</v>
      </c>
      <c r="L738" s="104" t="n">
        <f aca="false">L737+K738</f>
        <v>15</v>
      </c>
    </row>
    <row r="739" customFormat="false" ht="15" hidden="true" customHeight="true" outlineLevel="0" collapsed="false">
      <c r="A739" s="0" t="str">
        <f aca="false">IF('Formation Initiale'!$A341="","",'Formation Initiale'!$A341)</f>
        <v/>
      </c>
      <c r="B739" s="0" t="str">
        <f aca="false">IF($A739="","",'Formation Initiale'!$E341)</f>
        <v/>
      </c>
      <c r="C739" s="0" t="str">
        <f aca="false">IF($A739="","",'Formation Initiale'!$F341)</f>
        <v/>
      </c>
      <c r="D739" s="0" t="str">
        <f aca="false">IF($A739="","",IF('Formation Initiale'!$F341="Lisbonne","B2C (Initiale)","B2C+B2B (Initiale)"))</f>
        <v/>
      </c>
      <c r="E739" s="0" t="str">
        <f aca="false">IF($A739="","",'Formation Initiale'!$B341)</f>
        <v/>
      </c>
      <c r="F739" s="116" t="str">
        <f aca="false">IF($A739="","",'Formation Initiale'!$G341)</f>
        <v/>
      </c>
      <c r="G739" s="116" t="str">
        <f aca="false">IF($A739="","",'Formation Initiale'!$H341)</f>
        <v/>
      </c>
      <c r="H739" s="0" t="str">
        <f aca="false">IF($A739="","",'Formation Initiale'!$L341)</f>
        <v/>
      </c>
      <c r="I739" s="0" t="str">
        <f aca="false">IF($A739="","",'Formation Initiale'!$R341)</f>
        <v/>
      </c>
      <c r="K739" s="104" t="n">
        <f aca="false">IF(A739="",0,IF(IFERROR(VLOOKUP(A739,Skills!$A:$M,13,FALSE()),"")="COS",0,IF(OR(I739="En cours",I739="À venir",I739="À planifier"),IF(AND(OR($C$3="Tous",$C$3="",C739=$C$3),OR($E$3="Tous",$E$3="",I739=$E$3)),1,0),0)))</f>
        <v>0</v>
      </c>
      <c r="L739" s="104" t="n">
        <f aca="false">L738+K739</f>
        <v>15</v>
      </c>
    </row>
    <row r="740" customFormat="false" ht="15" hidden="true" customHeight="true" outlineLevel="0" collapsed="false">
      <c r="A740" s="0" t="str">
        <f aca="false">IF('Formation Initiale'!$A342="","",'Formation Initiale'!$A342)</f>
        <v/>
      </c>
      <c r="B740" s="0" t="str">
        <f aca="false">IF($A740="","",'Formation Initiale'!$E342)</f>
        <v/>
      </c>
      <c r="C740" s="0" t="str">
        <f aca="false">IF($A740="","",'Formation Initiale'!$F342)</f>
        <v/>
      </c>
      <c r="D740" s="0" t="str">
        <f aca="false">IF($A740="","",IF('Formation Initiale'!$F342="Lisbonne","B2C (Initiale)","B2C+B2B (Initiale)"))</f>
        <v/>
      </c>
      <c r="E740" s="0" t="str">
        <f aca="false">IF($A740="","",'Formation Initiale'!$B342)</f>
        <v/>
      </c>
      <c r="F740" s="116" t="str">
        <f aca="false">IF($A740="","",'Formation Initiale'!$G342)</f>
        <v/>
      </c>
      <c r="G740" s="116" t="str">
        <f aca="false">IF($A740="","",'Formation Initiale'!$H342)</f>
        <v/>
      </c>
      <c r="H740" s="0" t="str">
        <f aca="false">IF($A740="","",'Formation Initiale'!$L342)</f>
        <v/>
      </c>
      <c r="I740" s="0" t="str">
        <f aca="false">IF($A740="","",'Formation Initiale'!$R342)</f>
        <v/>
      </c>
      <c r="K740" s="104" t="n">
        <f aca="false">IF(A740="",0,IF(IFERROR(VLOOKUP(A740,Skills!$A:$M,13,FALSE()),"")="COS",0,IF(OR(I740="En cours",I740="À venir",I740="À planifier"),IF(AND(OR($C$3="Tous",$C$3="",C740=$C$3),OR($E$3="Tous",$E$3="",I740=$E$3)),1,0),0)))</f>
        <v>0</v>
      </c>
      <c r="L740" s="104" t="n">
        <f aca="false">L739+K740</f>
        <v>15</v>
      </c>
    </row>
    <row r="741" customFormat="false" ht="15" hidden="true" customHeight="true" outlineLevel="0" collapsed="false">
      <c r="A741" s="0" t="str">
        <f aca="false">IF('Formation Initiale'!$A343="","",'Formation Initiale'!$A343)</f>
        <v/>
      </c>
      <c r="B741" s="0" t="str">
        <f aca="false">IF($A741="","",'Formation Initiale'!$E343)</f>
        <v/>
      </c>
      <c r="C741" s="0" t="str">
        <f aca="false">IF($A741="","",'Formation Initiale'!$F343)</f>
        <v/>
      </c>
      <c r="D741" s="0" t="str">
        <f aca="false">IF($A741="","",IF('Formation Initiale'!$F343="Lisbonne","B2C (Initiale)","B2C+B2B (Initiale)"))</f>
        <v/>
      </c>
      <c r="E741" s="0" t="str">
        <f aca="false">IF($A741="","",'Formation Initiale'!$B343)</f>
        <v/>
      </c>
      <c r="F741" s="116" t="str">
        <f aca="false">IF($A741="","",'Formation Initiale'!$G343)</f>
        <v/>
      </c>
      <c r="G741" s="116" t="str">
        <f aca="false">IF($A741="","",'Formation Initiale'!$H343)</f>
        <v/>
      </c>
      <c r="H741" s="0" t="str">
        <f aca="false">IF($A741="","",'Formation Initiale'!$L343)</f>
        <v/>
      </c>
      <c r="I741" s="0" t="str">
        <f aca="false">IF($A741="","",'Formation Initiale'!$R343)</f>
        <v/>
      </c>
      <c r="K741" s="104" t="n">
        <f aca="false">IF(A741="",0,IF(IFERROR(VLOOKUP(A741,Skills!$A:$M,13,FALSE()),"")="COS",0,IF(OR(I741="En cours",I741="À venir",I741="À planifier"),IF(AND(OR($C$3="Tous",$C$3="",C741=$C$3),OR($E$3="Tous",$E$3="",I741=$E$3)),1,0),0)))</f>
        <v>0</v>
      </c>
      <c r="L741" s="104" t="n">
        <f aca="false">L740+K741</f>
        <v>15</v>
      </c>
    </row>
    <row r="742" customFormat="false" ht="15" hidden="true" customHeight="true" outlineLevel="0" collapsed="false">
      <c r="A742" s="0" t="str">
        <f aca="false">IF('Formation Initiale'!$A344="","",'Formation Initiale'!$A344)</f>
        <v/>
      </c>
      <c r="B742" s="0" t="str">
        <f aca="false">IF($A742="","",'Formation Initiale'!$E344)</f>
        <v/>
      </c>
      <c r="C742" s="0" t="str">
        <f aca="false">IF($A742="","",'Formation Initiale'!$F344)</f>
        <v/>
      </c>
      <c r="D742" s="0" t="str">
        <f aca="false">IF($A742="","",IF('Formation Initiale'!$F344="Lisbonne","B2C (Initiale)","B2C+B2B (Initiale)"))</f>
        <v/>
      </c>
      <c r="E742" s="0" t="str">
        <f aca="false">IF($A742="","",'Formation Initiale'!$B344)</f>
        <v/>
      </c>
      <c r="F742" s="116" t="str">
        <f aca="false">IF($A742="","",'Formation Initiale'!$G344)</f>
        <v/>
      </c>
      <c r="G742" s="116" t="str">
        <f aca="false">IF($A742="","",'Formation Initiale'!$H344)</f>
        <v/>
      </c>
      <c r="H742" s="0" t="str">
        <f aca="false">IF($A742="","",'Formation Initiale'!$L344)</f>
        <v/>
      </c>
      <c r="I742" s="0" t="str">
        <f aca="false">IF($A742="","",'Formation Initiale'!$R344)</f>
        <v/>
      </c>
      <c r="K742" s="104" t="n">
        <f aca="false">IF(A742="",0,IF(IFERROR(VLOOKUP(A742,Skills!$A:$M,13,FALSE()),"")="COS",0,IF(OR(I742="En cours",I742="À venir",I742="À planifier"),IF(AND(OR($C$3="Tous",$C$3="",C742=$C$3),OR($E$3="Tous",$E$3="",I742=$E$3)),1,0),0)))</f>
        <v>0</v>
      </c>
      <c r="L742" s="104" t="n">
        <f aca="false">L741+K742</f>
        <v>15</v>
      </c>
    </row>
    <row r="743" customFormat="false" ht="15" hidden="true" customHeight="true" outlineLevel="0" collapsed="false">
      <c r="A743" s="0" t="str">
        <f aca="false">IF('Formation Initiale'!$A345="","",'Formation Initiale'!$A345)</f>
        <v/>
      </c>
      <c r="B743" s="0" t="str">
        <f aca="false">IF($A743="","",'Formation Initiale'!$E345)</f>
        <v/>
      </c>
      <c r="C743" s="0" t="str">
        <f aca="false">IF($A743="","",'Formation Initiale'!$F345)</f>
        <v/>
      </c>
      <c r="D743" s="0" t="str">
        <f aca="false">IF($A743="","",IF('Formation Initiale'!$F345="Lisbonne","B2C (Initiale)","B2C+B2B (Initiale)"))</f>
        <v/>
      </c>
      <c r="E743" s="0" t="str">
        <f aca="false">IF($A743="","",'Formation Initiale'!$B345)</f>
        <v/>
      </c>
      <c r="F743" s="116" t="str">
        <f aca="false">IF($A743="","",'Formation Initiale'!$G345)</f>
        <v/>
      </c>
      <c r="G743" s="116" t="str">
        <f aca="false">IF($A743="","",'Formation Initiale'!$H345)</f>
        <v/>
      </c>
      <c r="H743" s="0" t="str">
        <f aca="false">IF($A743="","",'Formation Initiale'!$L345)</f>
        <v/>
      </c>
      <c r="I743" s="0" t="str">
        <f aca="false">IF($A743="","",'Formation Initiale'!$R345)</f>
        <v/>
      </c>
      <c r="K743" s="104" t="n">
        <f aca="false">IF(A743="",0,IF(IFERROR(VLOOKUP(A743,Skills!$A:$M,13,FALSE()),"")="COS",0,IF(OR(I743="En cours",I743="À venir",I743="À planifier"),IF(AND(OR($C$3="Tous",$C$3="",C743=$C$3),OR($E$3="Tous",$E$3="",I743=$E$3)),1,0),0)))</f>
        <v>0</v>
      </c>
      <c r="L743" s="104" t="n">
        <f aca="false">L742+K743</f>
        <v>15</v>
      </c>
    </row>
    <row r="744" customFormat="false" ht="15" hidden="true" customHeight="true" outlineLevel="0" collapsed="false">
      <c r="A744" s="0" t="str">
        <f aca="false">IF('Formation Initiale'!$A346="","",'Formation Initiale'!$A346)</f>
        <v/>
      </c>
      <c r="B744" s="0" t="str">
        <f aca="false">IF($A744="","",'Formation Initiale'!$E346)</f>
        <v/>
      </c>
      <c r="C744" s="0" t="str">
        <f aca="false">IF($A744="","",'Formation Initiale'!$F346)</f>
        <v/>
      </c>
      <c r="D744" s="0" t="str">
        <f aca="false">IF($A744="","",IF('Formation Initiale'!$F346="Lisbonne","B2C (Initiale)","B2C+B2B (Initiale)"))</f>
        <v/>
      </c>
      <c r="E744" s="0" t="str">
        <f aca="false">IF($A744="","",'Formation Initiale'!$B346)</f>
        <v/>
      </c>
      <c r="F744" s="116" t="str">
        <f aca="false">IF($A744="","",'Formation Initiale'!$G346)</f>
        <v/>
      </c>
      <c r="G744" s="116" t="str">
        <f aca="false">IF($A744="","",'Formation Initiale'!$H346)</f>
        <v/>
      </c>
      <c r="H744" s="0" t="str">
        <f aca="false">IF($A744="","",'Formation Initiale'!$L346)</f>
        <v/>
      </c>
      <c r="I744" s="0" t="str">
        <f aca="false">IF($A744="","",'Formation Initiale'!$R346)</f>
        <v/>
      </c>
      <c r="K744" s="104" t="n">
        <f aca="false">IF(A744="",0,IF(IFERROR(VLOOKUP(A744,Skills!$A:$M,13,FALSE()),"")="COS",0,IF(OR(I744="En cours",I744="À venir",I744="À planifier"),IF(AND(OR($C$3="Tous",$C$3="",C744=$C$3),OR($E$3="Tous",$E$3="",I744=$E$3)),1,0),0)))</f>
        <v>0</v>
      </c>
      <c r="L744" s="104" t="n">
        <f aca="false">L743+K744</f>
        <v>15</v>
      </c>
    </row>
    <row r="745" customFormat="false" ht="15" hidden="true" customHeight="true" outlineLevel="0" collapsed="false">
      <c r="A745" s="0" t="str">
        <f aca="false">IF('Formation Initiale'!$A347="","",'Formation Initiale'!$A347)</f>
        <v/>
      </c>
      <c r="B745" s="0" t="str">
        <f aca="false">IF($A745="","",'Formation Initiale'!$E347)</f>
        <v/>
      </c>
      <c r="C745" s="0" t="str">
        <f aca="false">IF($A745="","",'Formation Initiale'!$F347)</f>
        <v/>
      </c>
      <c r="D745" s="0" t="str">
        <f aca="false">IF($A745="","",IF('Formation Initiale'!$F347="Lisbonne","B2C (Initiale)","B2C+B2B (Initiale)"))</f>
        <v/>
      </c>
      <c r="E745" s="0" t="str">
        <f aca="false">IF($A745="","",'Formation Initiale'!$B347)</f>
        <v/>
      </c>
      <c r="F745" s="116" t="str">
        <f aca="false">IF($A745="","",'Formation Initiale'!$G347)</f>
        <v/>
      </c>
      <c r="G745" s="116" t="str">
        <f aca="false">IF($A745="","",'Formation Initiale'!$H347)</f>
        <v/>
      </c>
      <c r="H745" s="0" t="str">
        <f aca="false">IF($A745="","",'Formation Initiale'!$L347)</f>
        <v/>
      </c>
      <c r="I745" s="0" t="str">
        <f aca="false">IF($A745="","",'Formation Initiale'!$R347)</f>
        <v/>
      </c>
      <c r="K745" s="104" t="n">
        <f aca="false">IF(A745="",0,IF(IFERROR(VLOOKUP(A745,Skills!$A:$M,13,FALSE()),"")="COS",0,IF(OR(I745="En cours",I745="À venir",I745="À planifier"),IF(AND(OR($C$3="Tous",$C$3="",C745=$C$3),OR($E$3="Tous",$E$3="",I745=$E$3)),1,0),0)))</f>
        <v>0</v>
      </c>
      <c r="L745" s="104" t="n">
        <f aca="false">L744+K745</f>
        <v>15</v>
      </c>
    </row>
    <row r="746" customFormat="false" ht="15" hidden="true" customHeight="true" outlineLevel="0" collapsed="false">
      <c r="A746" s="0" t="str">
        <f aca="false">IF('Formation Initiale'!$A348="","",'Formation Initiale'!$A348)</f>
        <v/>
      </c>
      <c r="B746" s="0" t="str">
        <f aca="false">IF($A746="","",'Formation Initiale'!$E348)</f>
        <v/>
      </c>
      <c r="C746" s="0" t="str">
        <f aca="false">IF($A746="","",'Formation Initiale'!$F348)</f>
        <v/>
      </c>
      <c r="D746" s="0" t="str">
        <f aca="false">IF($A746="","",IF('Formation Initiale'!$F348="Lisbonne","B2C (Initiale)","B2C+B2B (Initiale)"))</f>
        <v/>
      </c>
      <c r="E746" s="0" t="str">
        <f aca="false">IF($A746="","",'Formation Initiale'!$B348)</f>
        <v/>
      </c>
      <c r="F746" s="116" t="str">
        <f aca="false">IF($A746="","",'Formation Initiale'!$G348)</f>
        <v/>
      </c>
      <c r="G746" s="116" t="str">
        <f aca="false">IF($A746="","",'Formation Initiale'!$H348)</f>
        <v/>
      </c>
      <c r="H746" s="0" t="str">
        <f aca="false">IF($A746="","",'Formation Initiale'!$L348)</f>
        <v/>
      </c>
      <c r="I746" s="0" t="str">
        <f aca="false">IF($A746="","",'Formation Initiale'!$R348)</f>
        <v/>
      </c>
      <c r="K746" s="104" t="n">
        <f aca="false">IF(A746="",0,IF(IFERROR(VLOOKUP(A746,Skills!$A:$M,13,FALSE()),"")="COS",0,IF(OR(I746="En cours",I746="À venir",I746="À planifier"),IF(AND(OR($C$3="Tous",$C$3="",C746=$C$3),OR($E$3="Tous",$E$3="",I746=$E$3)),1,0),0)))</f>
        <v>0</v>
      </c>
      <c r="L746" s="104" t="n">
        <f aca="false">L745+K746</f>
        <v>15</v>
      </c>
    </row>
    <row r="747" customFormat="false" ht="15" hidden="true" customHeight="true" outlineLevel="0" collapsed="false">
      <c r="A747" s="0" t="str">
        <f aca="false">IF('Formation Initiale'!$A349="","",'Formation Initiale'!$A349)</f>
        <v/>
      </c>
      <c r="B747" s="0" t="str">
        <f aca="false">IF($A747="","",'Formation Initiale'!$E349)</f>
        <v/>
      </c>
      <c r="C747" s="0" t="str">
        <f aca="false">IF($A747="","",'Formation Initiale'!$F349)</f>
        <v/>
      </c>
      <c r="D747" s="0" t="str">
        <f aca="false">IF($A747="","",IF('Formation Initiale'!$F349="Lisbonne","B2C (Initiale)","B2C+B2B (Initiale)"))</f>
        <v/>
      </c>
      <c r="E747" s="0" t="str">
        <f aca="false">IF($A747="","",'Formation Initiale'!$B349)</f>
        <v/>
      </c>
      <c r="F747" s="116" t="str">
        <f aca="false">IF($A747="","",'Formation Initiale'!$G349)</f>
        <v/>
      </c>
      <c r="G747" s="116" t="str">
        <f aca="false">IF($A747="","",'Formation Initiale'!$H349)</f>
        <v/>
      </c>
      <c r="H747" s="0" t="str">
        <f aca="false">IF($A747="","",'Formation Initiale'!$L349)</f>
        <v/>
      </c>
      <c r="I747" s="0" t="str">
        <f aca="false">IF($A747="","",'Formation Initiale'!$R349)</f>
        <v/>
      </c>
      <c r="K747" s="104" t="n">
        <f aca="false">IF(A747="",0,IF(IFERROR(VLOOKUP(A747,Skills!$A:$M,13,FALSE()),"")="COS",0,IF(OR(I747="En cours",I747="À venir",I747="À planifier"),IF(AND(OR($C$3="Tous",$C$3="",C747=$C$3),OR($E$3="Tous",$E$3="",I747=$E$3)),1,0),0)))</f>
        <v>0</v>
      </c>
      <c r="L747" s="104" t="n">
        <f aca="false">L746+K747</f>
        <v>15</v>
      </c>
    </row>
    <row r="748" customFormat="false" ht="15" hidden="true" customHeight="true" outlineLevel="0" collapsed="false">
      <c r="A748" s="0" t="str">
        <f aca="false">IF('Formation Initiale'!$A350="","",'Formation Initiale'!$A350)</f>
        <v/>
      </c>
      <c r="B748" s="0" t="str">
        <f aca="false">IF($A748="","",'Formation Initiale'!$E350)</f>
        <v/>
      </c>
      <c r="C748" s="0" t="str">
        <f aca="false">IF($A748="","",'Formation Initiale'!$F350)</f>
        <v/>
      </c>
      <c r="D748" s="0" t="str">
        <f aca="false">IF($A748="","",IF('Formation Initiale'!$F350="Lisbonne","B2C (Initiale)","B2C+B2B (Initiale)"))</f>
        <v/>
      </c>
      <c r="E748" s="0" t="str">
        <f aca="false">IF($A748="","",'Formation Initiale'!$B350)</f>
        <v/>
      </c>
      <c r="F748" s="116" t="str">
        <f aca="false">IF($A748="","",'Formation Initiale'!$G350)</f>
        <v/>
      </c>
      <c r="G748" s="116" t="str">
        <f aca="false">IF($A748="","",'Formation Initiale'!$H350)</f>
        <v/>
      </c>
      <c r="H748" s="0" t="str">
        <f aca="false">IF($A748="","",'Formation Initiale'!$L350)</f>
        <v/>
      </c>
      <c r="I748" s="0" t="str">
        <f aca="false">IF($A748="","",'Formation Initiale'!$R350)</f>
        <v/>
      </c>
      <c r="K748" s="104" t="n">
        <f aca="false">IF(A748="",0,IF(IFERROR(VLOOKUP(A748,Skills!$A:$M,13,FALSE()),"")="COS",0,IF(OR(I748="En cours",I748="À venir",I748="À planifier"),IF(AND(OR($C$3="Tous",$C$3="",C748=$C$3),OR($E$3="Tous",$E$3="",I748=$E$3)),1,0),0)))</f>
        <v>0</v>
      </c>
      <c r="L748" s="104" t="n">
        <f aca="false">L747+K748</f>
        <v>15</v>
      </c>
    </row>
    <row r="749" customFormat="false" ht="15" hidden="true" customHeight="true" outlineLevel="0" collapsed="false">
      <c r="A749" s="0" t="str">
        <f aca="false">IF('Formation Initiale'!$A351="","",'Formation Initiale'!$A351)</f>
        <v/>
      </c>
      <c r="B749" s="0" t="str">
        <f aca="false">IF($A749="","",'Formation Initiale'!$E351)</f>
        <v/>
      </c>
      <c r="C749" s="0" t="str">
        <f aca="false">IF($A749="","",'Formation Initiale'!$F351)</f>
        <v/>
      </c>
      <c r="D749" s="0" t="str">
        <f aca="false">IF($A749="","",IF('Formation Initiale'!$F351="Lisbonne","B2C (Initiale)","B2C+B2B (Initiale)"))</f>
        <v/>
      </c>
      <c r="E749" s="0" t="str">
        <f aca="false">IF($A749="","",'Formation Initiale'!$B351)</f>
        <v/>
      </c>
      <c r="F749" s="116" t="str">
        <f aca="false">IF($A749="","",'Formation Initiale'!$G351)</f>
        <v/>
      </c>
      <c r="G749" s="116" t="str">
        <f aca="false">IF($A749="","",'Formation Initiale'!$H351)</f>
        <v/>
      </c>
      <c r="H749" s="0" t="str">
        <f aca="false">IF($A749="","",'Formation Initiale'!$L351)</f>
        <v/>
      </c>
      <c r="I749" s="0" t="str">
        <f aca="false">IF($A749="","",'Formation Initiale'!$R351)</f>
        <v/>
      </c>
      <c r="K749" s="104" t="n">
        <f aca="false">IF(A749="",0,IF(IFERROR(VLOOKUP(A749,Skills!$A:$M,13,FALSE()),"")="COS",0,IF(OR(I749="En cours",I749="À venir",I749="À planifier"),IF(AND(OR($C$3="Tous",$C$3="",C749=$C$3),OR($E$3="Tous",$E$3="",I749=$E$3)),1,0),0)))</f>
        <v>0</v>
      </c>
      <c r="L749" s="104" t="n">
        <f aca="false">L748+K749</f>
        <v>15</v>
      </c>
    </row>
    <row r="750" customFormat="false" ht="15" hidden="true" customHeight="true" outlineLevel="0" collapsed="false">
      <c r="A750" s="0" t="str">
        <f aca="false">IF('Formation Initiale'!$A352="","",'Formation Initiale'!$A352)</f>
        <v/>
      </c>
      <c r="B750" s="0" t="str">
        <f aca="false">IF($A750="","",'Formation Initiale'!$E352)</f>
        <v/>
      </c>
      <c r="C750" s="0" t="str">
        <f aca="false">IF($A750="","",'Formation Initiale'!$F352)</f>
        <v/>
      </c>
      <c r="D750" s="0" t="str">
        <f aca="false">IF($A750="","",IF('Formation Initiale'!$F352="Lisbonne","B2C (Initiale)","B2C+B2B (Initiale)"))</f>
        <v/>
      </c>
      <c r="E750" s="0" t="str">
        <f aca="false">IF($A750="","",'Formation Initiale'!$B352)</f>
        <v/>
      </c>
      <c r="F750" s="116" t="str">
        <f aca="false">IF($A750="","",'Formation Initiale'!$G352)</f>
        <v/>
      </c>
      <c r="G750" s="116" t="str">
        <f aca="false">IF($A750="","",'Formation Initiale'!$H352)</f>
        <v/>
      </c>
      <c r="H750" s="0" t="str">
        <f aca="false">IF($A750="","",'Formation Initiale'!$L352)</f>
        <v/>
      </c>
      <c r="I750" s="0" t="str">
        <f aca="false">IF($A750="","",'Formation Initiale'!$R352)</f>
        <v/>
      </c>
      <c r="K750" s="104" t="n">
        <f aca="false">IF(A750="",0,IF(IFERROR(VLOOKUP(A750,Skills!$A:$M,13,FALSE()),"")="COS",0,IF(OR(I750="En cours",I750="À venir",I750="À planifier"),IF(AND(OR($C$3="Tous",$C$3="",C750=$C$3),OR($E$3="Tous",$E$3="",I750=$E$3)),1,0),0)))</f>
        <v>0</v>
      </c>
      <c r="L750" s="104" t="n">
        <f aca="false">L749+K750</f>
        <v>15</v>
      </c>
    </row>
    <row r="751" customFormat="false" ht="15" hidden="true" customHeight="true" outlineLevel="0" collapsed="false">
      <c r="A751" s="0" t="str">
        <f aca="false">IF('Formation Initiale'!$A353="","",'Formation Initiale'!$A353)</f>
        <v/>
      </c>
      <c r="B751" s="0" t="str">
        <f aca="false">IF($A751="","",'Formation Initiale'!$E353)</f>
        <v/>
      </c>
      <c r="C751" s="0" t="str">
        <f aca="false">IF($A751="","",'Formation Initiale'!$F353)</f>
        <v/>
      </c>
      <c r="D751" s="0" t="str">
        <f aca="false">IF($A751="","",IF('Formation Initiale'!$F353="Lisbonne","B2C (Initiale)","B2C+B2B (Initiale)"))</f>
        <v/>
      </c>
      <c r="E751" s="0" t="str">
        <f aca="false">IF($A751="","",'Formation Initiale'!$B353)</f>
        <v/>
      </c>
      <c r="F751" s="116" t="str">
        <f aca="false">IF($A751="","",'Formation Initiale'!$G353)</f>
        <v/>
      </c>
      <c r="G751" s="116" t="str">
        <f aca="false">IF($A751="","",'Formation Initiale'!$H353)</f>
        <v/>
      </c>
      <c r="H751" s="0" t="str">
        <f aca="false">IF($A751="","",'Formation Initiale'!$L353)</f>
        <v/>
      </c>
      <c r="I751" s="0" t="str">
        <f aca="false">IF($A751="","",'Formation Initiale'!$R353)</f>
        <v/>
      </c>
      <c r="K751" s="104" t="n">
        <f aca="false">IF(A751="",0,IF(IFERROR(VLOOKUP(A751,Skills!$A:$M,13,FALSE()),"")="COS",0,IF(OR(I751="En cours",I751="À venir",I751="À planifier"),IF(AND(OR($C$3="Tous",$C$3="",C751=$C$3),OR($E$3="Tous",$E$3="",I751=$E$3)),1,0),0)))</f>
        <v>0</v>
      </c>
      <c r="L751" s="104" t="n">
        <f aca="false">L750+K751</f>
        <v>15</v>
      </c>
    </row>
    <row r="752" customFormat="false" ht="15" hidden="true" customHeight="true" outlineLevel="0" collapsed="false">
      <c r="A752" s="0" t="str">
        <f aca="false">IF('Formation Initiale'!$A354="","",'Formation Initiale'!$A354)</f>
        <v/>
      </c>
      <c r="B752" s="0" t="str">
        <f aca="false">IF($A752="","",'Formation Initiale'!$E354)</f>
        <v/>
      </c>
      <c r="C752" s="0" t="str">
        <f aca="false">IF($A752="","",'Formation Initiale'!$F354)</f>
        <v/>
      </c>
      <c r="D752" s="0" t="str">
        <f aca="false">IF($A752="","",IF('Formation Initiale'!$F354="Lisbonne","B2C (Initiale)","B2C+B2B (Initiale)"))</f>
        <v/>
      </c>
      <c r="E752" s="0" t="str">
        <f aca="false">IF($A752="","",'Formation Initiale'!$B354)</f>
        <v/>
      </c>
      <c r="F752" s="116" t="str">
        <f aca="false">IF($A752="","",'Formation Initiale'!$G354)</f>
        <v/>
      </c>
      <c r="G752" s="116" t="str">
        <f aca="false">IF($A752="","",'Formation Initiale'!$H354)</f>
        <v/>
      </c>
      <c r="H752" s="0" t="str">
        <f aca="false">IF($A752="","",'Formation Initiale'!$L354)</f>
        <v/>
      </c>
      <c r="I752" s="0" t="str">
        <f aca="false">IF($A752="","",'Formation Initiale'!$R354)</f>
        <v/>
      </c>
      <c r="K752" s="104" t="n">
        <f aca="false">IF(A752="",0,IF(IFERROR(VLOOKUP(A752,Skills!$A:$M,13,FALSE()),"")="COS",0,IF(OR(I752="En cours",I752="À venir",I752="À planifier"),IF(AND(OR($C$3="Tous",$C$3="",C752=$C$3),OR($E$3="Tous",$E$3="",I752=$E$3)),1,0),0)))</f>
        <v>0</v>
      </c>
      <c r="L752" s="104" t="n">
        <f aca="false">L751+K752</f>
        <v>15</v>
      </c>
    </row>
    <row r="753" customFormat="false" ht="15" hidden="true" customHeight="true" outlineLevel="0" collapsed="false">
      <c r="A753" s="0" t="str">
        <f aca="false">IF('Formation Initiale'!$A355="","",'Formation Initiale'!$A355)</f>
        <v/>
      </c>
      <c r="B753" s="0" t="str">
        <f aca="false">IF($A753="","",'Formation Initiale'!$E355)</f>
        <v/>
      </c>
      <c r="C753" s="0" t="str">
        <f aca="false">IF($A753="","",'Formation Initiale'!$F355)</f>
        <v/>
      </c>
      <c r="D753" s="0" t="str">
        <f aca="false">IF($A753="","",IF('Formation Initiale'!$F355="Lisbonne","B2C (Initiale)","B2C+B2B (Initiale)"))</f>
        <v/>
      </c>
      <c r="E753" s="0" t="str">
        <f aca="false">IF($A753="","",'Formation Initiale'!$B355)</f>
        <v/>
      </c>
      <c r="F753" s="116" t="str">
        <f aca="false">IF($A753="","",'Formation Initiale'!$G355)</f>
        <v/>
      </c>
      <c r="G753" s="116" t="str">
        <f aca="false">IF($A753="","",'Formation Initiale'!$H355)</f>
        <v/>
      </c>
      <c r="H753" s="0" t="str">
        <f aca="false">IF($A753="","",'Formation Initiale'!$L355)</f>
        <v/>
      </c>
      <c r="I753" s="0" t="str">
        <f aca="false">IF($A753="","",'Formation Initiale'!$R355)</f>
        <v/>
      </c>
      <c r="K753" s="104" t="n">
        <f aca="false">IF(A753="",0,IF(IFERROR(VLOOKUP(A753,Skills!$A:$M,13,FALSE()),"")="COS",0,IF(OR(I753="En cours",I753="À venir",I753="À planifier"),IF(AND(OR($C$3="Tous",$C$3="",C753=$C$3),OR($E$3="Tous",$E$3="",I753=$E$3)),1,0),0)))</f>
        <v>0</v>
      </c>
      <c r="L753" s="104" t="n">
        <f aca="false">L752+K753</f>
        <v>15</v>
      </c>
    </row>
    <row r="754" customFormat="false" ht="15" hidden="true" customHeight="true" outlineLevel="0" collapsed="false">
      <c r="A754" s="0" t="str">
        <f aca="false">IF('Formation Initiale'!$A356="","",'Formation Initiale'!$A356)</f>
        <v/>
      </c>
      <c r="B754" s="0" t="str">
        <f aca="false">IF($A754="","",'Formation Initiale'!$E356)</f>
        <v/>
      </c>
      <c r="C754" s="0" t="str">
        <f aca="false">IF($A754="","",'Formation Initiale'!$F356)</f>
        <v/>
      </c>
      <c r="D754" s="0" t="str">
        <f aca="false">IF($A754="","",IF('Formation Initiale'!$F356="Lisbonne","B2C (Initiale)","B2C+B2B (Initiale)"))</f>
        <v/>
      </c>
      <c r="E754" s="0" t="str">
        <f aca="false">IF($A754="","",'Formation Initiale'!$B356)</f>
        <v/>
      </c>
      <c r="F754" s="116" t="str">
        <f aca="false">IF($A754="","",'Formation Initiale'!$G356)</f>
        <v/>
      </c>
      <c r="G754" s="116" t="str">
        <f aca="false">IF($A754="","",'Formation Initiale'!$H356)</f>
        <v/>
      </c>
      <c r="H754" s="0" t="str">
        <f aca="false">IF($A754="","",'Formation Initiale'!$L356)</f>
        <v/>
      </c>
      <c r="I754" s="0" t="str">
        <f aca="false">IF($A754="","",'Formation Initiale'!$R356)</f>
        <v/>
      </c>
      <c r="K754" s="104" t="n">
        <f aca="false">IF(A754="",0,IF(IFERROR(VLOOKUP(A754,Skills!$A:$M,13,FALSE()),"")="COS",0,IF(OR(I754="En cours",I754="À venir",I754="À planifier"),IF(AND(OR($C$3="Tous",$C$3="",C754=$C$3),OR($E$3="Tous",$E$3="",I754=$E$3)),1,0),0)))</f>
        <v>0</v>
      </c>
      <c r="L754" s="104" t="n">
        <f aca="false">L753+K754</f>
        <v>15</v>
      </c>
    </row>
    <row r="755" customFormat="false" ht="15" hidden="true" customHeight="true" outlineLevel="0" collapsed="false">
      <c r="A755" s="0" t="str">
        <f aca="false">IF('Formation Initiale'!$A357="","",'Formation Initiale'!$A357)</f>
        <v/>
      </c>
      <c r="B755" s="0" t="str">
        <f aca="false">IF($A755="","",'Formation Initiale'!$E357)</f>
        <v/>
      </c>
      <c r="C755" s="0" t="str">
        <f aca="false">IF($A755="","",'Formation Initiale'!$F357)</f>
        <v/>
      </c>
      <c r="D755" s="0" t="str">
        <f aca="false">IF($A755="","",IF('Formation Initiale'!$F357="Lisbonne","B2C (Initiale)","B2C+B2B (Initiale)"))</f>
        <v/>
      </c>
      <c r="E755" s="0" t="str">
        <f aca="false">IF($A755="","",'Formation Initiale'!$B357)</f>
        <v/>
      </c>
      <c r="F755" s="116" t="str">
        <f aca="false">IF($A755="","",'Formation Initiale'!$G357)</f>
        <v/>
      </c>
      <c r="G755" s="116" t="str">
        <f aca="false">IF($A755="","",'Formation Initiale'!$H357)</f>
        <v/>
      </c>
      <c r="H755" s="0" t="str">
        <f aca="false">IF($A755="","",'Formation Initiale'!$L357)</f>
        <v/>
      </c>
      <c r="I755" s="0" t="str">
        <f aca="false">IF($A755="","",'Formation Initiale'!$R357)</f>
        <v/>
      </c>
      <c r="K755" s="104" t="n">
        <f aca="false">IF(A755="",0,IF(IFERROR(VLOOKUP(A755,Skills!$A:$M,13,FALSE()),"")="COS",0,IF(OR(I755="En cours",I755="À venir",I755="À planifier"),IF(AND(OR($C$3="Tous",$C$3="",C755=$C$3),OR($E$3="Tous",$E$3="",I755=$E$3)),1,0),0)))</f>
        <v>0</v>
      </c>
      <c r="L755" s="104" t="n">
        <f aca="false">L754+K755</f>
        <v>15</v>
      </c>
    </row>
    <row r="756" customFormat="false" ht="15" hidden="true" customHeight="true" outlineLevel="0" collapsed="false">
      <c r="A756" s="0" t="str">
        <f aca="false">IF('Formation Initiale'!$A358="","",'Formation Initiale'!$A358)</f>
        <v/>
      </c>
      <c r="B756" s="0" t="str">
        <f aca="false">IF($A756="","",'Formation Initiale'!$E358)</f>
        <v/>
      </c>
      <c r="C756" s="0" t="str">
        <f aca="false">IF($A756="","",'Formation Initiale'!$F358)</f>
        <v/>
      </c>
      <c r="D756" s="0" t="str">
        <f aca="false">IF($A756="","",IF('Formation Initiale'!$F358="Lisbonne","B2C (Initiale)","B2C+B2B (Initiale)"))</f>
        <v/>
      </c>
      <c r="E756" s="0" t="str">
        <f aca="false">IF($A756="","",'Formation Initiale'!$B358)</f>
        <v/>
      </c>
      <c r="F756" s="116" t="str">
        <f aca="false">IF($A756="","",'Formation Initiale'!$G358)</f>
        <v/>
      </c>
      <c r="G756" s="116" t="str">
        <f aca="false">IF($A756="","",'Formation Initiale'!$H358)</f>
        <v/>
      </c>
      <c r="H756" s="0" t="str">
        <f aca="false">IF($A756="","",'Formation Initiale'!$L358)</f>
        <v/>
      </c>
      <c r="I756" s="0" t="str">
        <f aca="false">IF($A756="","",'Formation Initiale'!$R358)</f>
        <v/>
      </c>
      <c r="K756" s="104" t="n">
        <f aca="false">IF(A756="",0,IF(IFERROR(VLOOKUP(A756,Skills!$A:$M,13,FALSE()),"")="COS",0,IF(OR(I756="En cours",I756="À venir",I756="À planifier"),IF(AND(OR($C$3="Tous",$C$3="",C756=$C$3),OR($E$3="Tous",$E$3="",I756=$E$3)),1,0),0)))</f>
        <v>0</v>
      </c>
      <c r="L756" s="104" t="n">
        <f aca="false">L755+K756</f>
        <v>15</v>
      </c>
    </row>
    <row r="757" customFormat="false" ht="15" hidden="true" customHeight="true" outlineLevel="0" collapsed="false">
      <c r="A757" s="0" t="str">
        <f aca="false">IF('Formation Initiale'!$A359="","",'Formation Initiale'!$A359)</f>
        <v/>
      </c>
      <c r="B757" s="0" t="str">
        <f aca="false">IF($A757="","",'Formation Initiale'!$E359)</f>
        <v/>
      </c>
      <c r="C757" s="0" t="str">
        <f aca="false">IF($A757="","",'Formation Initiale'!$F359)</f>
        <v/>
      </c>
      <c r="D757" s="0" t="str">
        <f aca="false">IF($A757="","",IF('Formation Initiale'!$F359="Lisbonne","B2C (Initiale)","B2C+B2B (Initiale)"))</f>
        <v/>
      </c>
      <c r="E757" s="0" t="str">
        <f aca="false">IF($A757="","",'Formation Initiale'!$B359)</f>
        <v/>
      </c>
      <c r="F757" s="116" t="str">
        <f aca="false">IF($A757="","",'Formation Initiale'!$G359)</f>
        <v/>
      </c>
      <c r="G757" s="116" t="str">
        <f aca="false">IF($A757="","",'Formation Initiale'!$H359)</f>
        <v/>
      </c>
      <c r="H757" s="0" t="str">
        <f aca="false">IF($A757="","",'Formation Initiale'!$L359)</f>
        <v/>
      </c>
      <c r="I757" s="0" t="str">
        <f aca="false">IF($A757="","",'Formation Initiale'!$R359)</f>
        <v/>
      </c>
      <c r="K757" s="104" t="n">
        <f aca="false">IF(A757="",0,IF(IFERROR(VLOOKUP(A757,Skills!$A:$M,13,FALSE()),"")="COS",0,IF(OR(I757="En cours",I757="À venir",I757="À planifier"),IF(AND(OR($C$3="Tous",$C$3="",C757=$C$3),OR($E$3="Tous",$E$3="",I757=$E$3)),1,0),0)))</f>
        <v>0</v>
      </c>
      <c r="L757" s="104" t="n">
        <f aca="false">L756+K757</f>
        <v>15</v>
      </c>
    </row>
    <row r="758" customFormat="false" ht="15" hidden="true" customHeight="true" outlineLevel="0" collapsed="false">
      <c r="A758" s="0" t="str">
        <f aca="false">IF('Formation Initiale'!$A360="","",'Formation Initiale'!$A360)</f>
        <v/>
      </c>
      <c r="B758" s="0" t="str">
        <f aca="false">IF($A758="","",'Formation Initiale'!$E360)</f>
        <v/>
      </c>
      <c r="C758" s="0" t="str">
        <f aca="false">IF($A758="","",'Formation Initiale'!$F360)</f>
        <v/>
      </c>
      <c r="D758" s="0" t="str">
        <f aca="false">IF($A758="","",IF('Formation Initiale'!$F360="Lisbonne","B2C (Initiale)","B2C+B2B (Initiale)"))</f>
        <v/>
      </c>
      <c r="E758" s="0" t="str">
        <f aca="false">IF($A758="","",'Formation Initiale'!$B360)</f>
        <v/>
      </c>
      <c r="F758" s="116" t="str">
        <f aca="false">IF($A758="","",'Formation Initiale'!$G360)</f>
        <v/>
      </c>
      <c r="G758" s="116" t="str">
        <f aca="false">IF($A758="","",'Formation Initiale'!$H360)</f>
        <v/>
      </c>
      <c r="H758" s="0" t="str">
        <f aca="false">IF($A758="","",'Formation Initiale'!$L360)</f>
        <v/>
      </c>
      <c r="I758" s="0" t="str">
        <f aca="false">IF($A758="","",'Formation Initiale'!$R360)</f>
        <v/>
      </c>
      <c r="K758" s="104" t="n">
        <f aca="false">IF(A758="",0,IF(IFERROR(VLOOKUP(A758,Skills!$A:$M,13,FALSE()),"")="COS",0,IF(OR(I758="En cours",I758="À venir",I758="À planifier"),IF(AND(OR($C$3="Tous",$C$3="",C758=$C$3),OR($E$3="Tous",$E$3="",I758=$E$3)),1,0),0)))</f>
        <v>0</v>
      </c>
      <c r="L758" s="104" t="n">
        <f aca="false">L757+K758</f>
        <v>15</v>
      </c>
    </row>
    <row r="759" customFormat="false" ht="15" hidden="true" customHeight="true" outlineLevel="0" collapsed="false">
      <c r="A759" s="0" t="str">
        <f aca="false">IF('Formation Initiale'!$A361="","",'Formation Initiale'!$A361)</f>
        <v/>
      </c>
      <c r="B759" s="0" t="str">
        <f aca="false">IF($A759="","",'Formation Initiale'!$E361)</f>
        <v/>
      </c>
      <c r="C759" s="0" t="str">
        <f aca="false">IF($A759="","",'Formation Initiale'!$F361)</f>
        <v/>
      </c>
      <c r="D759" s="0" t="str">
        <f aca="false">IF($A759="","",IF('Formation Initiale'!$F361="Lisbonne","B2C (Initiale)","B2C+B2B (Initiale)"))</f>
        <v/>
      </c>
      <c r="E759" s="0" t="str">
        <f aca="false">IF($A759="","",'Formation Initiale'!$B361)</f>
        <v/>
      </c>
      <c r="F759" s="116" t="str">
        <f aca="false">IF($A759="","",'Formation Initiale'!$G361)</f>
        <v/>
      </c>
      <c r="G759" s="116" t="str">
        <f aca="false">IF($A759="","",'Formation Initiale'!$H361)</f>
        <v/>
      </c>
      <c r="H759" s="0" t="str">
        <f aca="false">IF($A759="","",'Formation Initiale'!$L361)</f>
        <v/>
      </c>
      <c r="I759" s="0" t="str">
        <f aca="false">IF($A759="","",'Formation Initiale'!$R361)</f>
        <v/>
      </c>
      <c r="K759" s="104" t="n">
        <f aca="false">IF(A759="",0,IF(IFERROR(VLOOKUP(A759,Skills!$A:$M,13,FALSE()),"")="COS",0,IF(OR(I759="En cours",I759="À venir",I759="À planifier"),IF(AND(OR($C$3="Tous",$C$3="",C759=$C$3),OR($E$3="Tous",$E$3="",I759=$E$3)),1,0),0)))</f>
        <v>0</v>
      </c>
      <c r="L759" s="104" t="n">
        <f aca="false">L758+K759</f>
        <v>15</v>
      </c>
    </row>
    <row r="760" customFormat="false" ht="15" hidden="true" customHeight="true" outlineLevel="0" collapsed="false">
      <c r="A760" s="0" t="str">
        <f aca="false">IF('Formation Initiale'!$A362="","",'Formation Initiale'!$A362)</f>
        <v/>
      </c>
      <c r="B760" s="0" t="str">
        <f aca="false">IF($A760="","",'Formation Initiale'!$E362)</f>
        <v/>
      </c>
      <c r="C760" s="0" t="str">
        <f aca="false">IF($A760="","",'Formation Initiale'!$F362)</f>
        <v/>
      </c>
      <c r="D760" s="0" t="str">
        <f aca="false">IF($A760="","",IF('Formation Initiale'!$F362="Lisbonne","B2C (Initiale)","B2C+B2B (Initiale)"))</f>
        <v/>
      </c>
      <c r="E760" s="0" t="str">
        <f aca="false">IF($A760="","",'Formation Initiale'!$B362)</f>
        <v/>
      </c>
      <c r="F760" s="116" t="str">
        <f aca="false">IF($A760="","",'Formation Initiale'!$G362)</f>
        <v/>
      </c>
      <c r="G760" s="116" t="str">
        <f aca="false">IF($A760="","",'Formation Initiale'!$H362)</f>
        <v/>
      </c>
      <c r="H760" s="0" t="str">
        <f aca="false">IF($A760="","",'Formation Initiale'!$L362)</f>
        <v/>
      </c>
      <c r="I760" s="0" t="str">
        <f aca="false">IF($A760="","",'Formation Initiale'!$R362)</f>
        <v/>
      </c>
      <c r="K760" s="104" t="n">
        <f aca="false">IF(A760="",0,IF(IFERROR(VLOOKUP(A760,Skills!$A:$M,13,FALSE()),"")="COS",0,IF(OR(I760="En cours",I760="À venir",I760="À planifier"),IF(AND(OR($C$3="Tous",$C$3="",C760=$C$3),OR($E$3="Tous",$E$3="",I760=$E$3)),1,0),0)))</f>
        <v>0</v>
      </c>
      <c r="L760" s="104" t="n">
        <f aca="false">L759+K760</f>
        <v>15</v>
      </c>
    </row>
    <row r="761" customFormat="false" ht="15" hidden="true" customHeight="true" outlineLevel="0" collapsed="false">
      <c r="A761" s="0" t="str">
        <f aca="false">IF('Formation Initiale'!$A363="","",'Formation Initiale'!$A363)</f>
        <v/>
      </c>
      <c r="B761" s="0" t="str">
        <f aca="false">IF($A761="","",'Formation Initiale'!$E363)</f>
        <v/>
      </c>
      <c r="C761" s="0" t="str">
        <f aca="false">IF($A761="","",'Formation Initiale'!$F363)</f>
        <v/>
      </c>
      <c r="D761" s="0" t="str">
        <f aca="false">IF($A761="","",IF('Formation Initiale'!$F363="Lisbonne","B2C (Initiale)","B2C+B2B (Initiale)"))</f>
        <v/>
      </c>
      <c r="E761" s="0" t="str">
        <f aca="false">IF($A761="","",'Formation Initiale'!$B363)</f>
        <v/>
      </c>
      <c r="F761" s="116" t="str">
        <f aca="false">IF($A761="","",'Formation Initiale'!$G363)</f>
        <v/>
      </c>
      <c r="G761" s="116" t="str">
        <f aca="false">IF($A761="","",'Formation Initiale'!$H363)</f>
        <v/>
      </c>
      <c r="H761" s="0" t="str">
        <f aca="false">IF($A761="","",'Formation Initiale'!$L363)</f>
        <v/>
      </c>
      <c r="I761" s="0" t="str">
        <f aca="false">IF($A761="","",'Formation Initiale'!$R363)</f>
        <v/>
      </c>
      <c r="K761" s="104" t="n">
        <f aca="false">IF(A761="",0,IF(IFERROR(VLOOKUP(A761,Skills!$A:$M,13,FALSE()),"")="COS",0,IF(OR(I761="En cours",I761="À venir",I761="À planifier"),IF(AND(OR($C$3="Tous",$C$3="",C761=$C$3),OR($E$3="Tous",$E$3="",I761=$E$3)),1,0),0)))</f>
        <v>0</v>
      </c>
      <c r="L761" s="104" t="n">
        <f aca="false">L760+K761</f>
        <v>15</v>
      </c>
    </row>
    <row r="762" customFormat="false" ht="15" hidden="true" customHeight="true" outlineLevel="0" collapsed="false">
      <c r="A762" s="0" t="str">
        <f aca="false">IF('Formation Initiale'!$A364="","",'Formation Initiale'!$A364)</f>
        <v/>
      </c>
      <c r="B762" s="0" t="str">
        <f aca="false">IF($A762="","",'Formation Initiale'!$E364)</f>
        <v/>
      </c>
      <c r="C762" s="0" t="str">
        <f aca="false">IF($A762="","",'Formation Initiale'!$F364)</f>
        <v/>
      </c>
      <c r="D762" s="0" t="str">
        <f aca="false">IF($A762="","",IF('Formation Initiale'!$F364="Lisbonne","B2C (Initiale)","B2C+B2B (Initiale)"))</f>
        <v/>
      </c>
      <c r="E762" s="0" t="str">
        <f aca="false">IF($A762="","",'Formation Initiale'!$B364)</f>
        <v/>
      </c>
      <c r="F762" s="116" t="str">
        <f aca="false">IF($A762="","",'Formation Initiale'!$G364)</f>
        <v/>
      </c>
      <c r="G762" s="116" t="str">
        <f aca="false">IF($A762="","",'Formation Initiale'!$H364)</f>
        <v/>
      </c>
      <c r="H762" s="0" t="str">
        <f aca="false">IF($A762="","",'Formation Initiale'!$L364)</f>
        <v/>
      </c>
      <c r="I762" s="0" t="str">
        <f aca="false">IF($A762="","",'Formation Initiale'!$R364)</f>
        <v/>
      </c>
      <c r="K762" s="104" t="n">
        <f aca="false">IF(A762="",0,IF(IFERROR(VLOOKUP(A762,Skills!$A:$M,13,FALSE()),"")="COS",0,IF(OR(I762="En cours",I762="À venir",I762="À planifier"),IF(AND(OR($C$3="Tous",$C$3="",C762=$C$3),OR($E$3="Tous",$E$3="",I762=$E$3)),1,0),0)))</f>
        <v>0</v>
      </c>
      <c r="L762" s="104" t="n">
        <f aca="false">L761+K762</f>
        <v>15</v>
      </c>
    </row>
    <row r="763" customFormat="false" ht="15" hidden="true" customHeight="true" outlineLevel="0" collapsed="false">
      <c r="A763" s="0" t="str">
        <f aca="false">IF('Formation Initiale'!$A365="","",'Formation Initiale'!$A365)</f>
        <v/>
      </c>
      <c r="B763" s="0" t="str">
        <f aca="false">IF($A763="","",'Formation Initiale'!$E365)</f>
        <v/>
      </c>
      <c r="C763" s="0" t="str">
        <f aca="false">IF($A763="","",'Formation Initiale'!$F365)</f>
        <v/>
      </c>
      <c r="D763" s="0" t="str">
        <f aca="false">IF($A763="","",IF('Formation Initiale'!$F365="Lisbonne","B2C (Initiale)","B2C+B2B (Initiale)"))</f>
        <v/>
      </c>
      <c r="E763" s="0" t="str">
        <f aca="false">IF($A763="","",'Formation Initiale'!$B365)</f>
        <v/>
      </c>
      <c r="F763" s="116" t="str">
        <f aca="false">IF($A763="","",'Formation Initiale'!$G365)</f>
        <v/>
      </c>
      <c r="G763" s="116" t="str">
        <f aca="false">IF($A763="","",'Formation Initiale'!$H365)</f>
        <v/>
      </c>
      <c r="H763" s="0" t="str">
        <f aca="false">IF($A763="","",'Formation Initiale'!$L365)</f>
        <v/>
      </c>
      <c r="I763" s="0" t="str">
        <f aca="false">IF($A763="","",'Formation Initiale'!$R365)</f>
        <v/>
      </c>
      <c r="K763" s="104" t="n">
        <f aca="false">IF(A763="",0,IF(IFERROR(VLOOKUP(A763,Skills!$A:$M,13,FALSE()),"")="COS",0,IF(OR(I763="En cours",I763="À venir",I763="À planifier"),IF(AND(OR($C$3="Tous",$C$3="",C763=$C$3),OR($E$3="Tous",$E$3="",I763=$E$3)),1,0),0)))</f>
        <v>0</v>
      </c>
      <c r="L763" s="104" t="n">
        <f aca="false">L762+K763</f>
        <v>15</v>
      </c>
    </row>
    <row r="764" customFormat="false" ht="15" hidden="true" customHeight="true" outlineLevel="0" collapsed="false">
      <c r="A764" s="0" t="str">
        <f aca="false">IF('Formation Initiale'!$A366="","",'Formation Initiale'!$A366)</f>
        <v/>
      </c>
      <c r="B764" s="0" t="str">
        <f aca="false">IF($A764="","",'Formation Initiale'!$E366)</f>
        <v/>
      </c>
      <c r="C764" s="0" t="str">
        <f aca="false">IF($A764="","",'Formation Initiale'!$F366)</f>
        <v/>
      </c>
      <c r="D764" s="0" t="str">
        <f aca="false">IF($A764="","",IF('Formation Initiale'!$F366="Lisbonne","B2C (Initiale)","B2C+B2B (Initiale)"))</f>
        <v/>
      </c>
      <c r="E764" s="0" t="str">
        <f aca="false">IF($A764="","",'Formation Initiale'!$B366)</f>
        <v/>
      </c>
      <c r="F764" s="116" t="str">
        <f aca="false">IF($A764="","",'Formation Initiale'!$G366)</f>
        <v/>
      </c>
      <c r="G764" s="116" t="str">
        <f aca="false">IF($A764="","",'Formation Initiale'!$H366)</f>
        <v/>
      </c>
      <c r="H764" s="0" t="str">
        <f aca="false">IF($A764="","",'Formation Initiale'!$L366)</f>
        <v/>
      </c>
      <c r="I764" s="0" t="str">
        <f aca="false">IF($A764="","",'Formation Initiale'!$R366)</f>
        <v/>
      </c>
      <c r="K764" s="104" t="n">
        <f aca="false">IF(A764="",0,IF(IFERROR(VLOOKUP(A764,Skills!$A:$M,13,FALSE()),"")="COS",0,IF(OR(I764="En cours",I764="À venir",I764="À planifier"),IF(AND(OR($C$3="Tous",$C$3="",C764=$C$3),OR($E$3="Tous",$E$3="",I764=$E$3)),1,0),0)))</f>
        <v>0</v>
      </c>
      <c r="L764" s="104" t="n">
        <f aca="false">L763+K764</f>
        <v>15</v>
      </c>
    </row>
    <row r="765" customFormat="false" ht="15" hidden="true" customHeight="true" outlineLevel="0" collapsed="false">
      <c r="A765" s="0" t="str">
        <f aca="false">IF('Formation Initiale'!$A367="","",'Formation Initiale'!$A367)</f>
        <v/>
      </c>
      <c r="B765" s="0" t="str">
        <f aca="false">IF($A765="","",'Formation Initiale'!$E367)</f>
        <v/>
      </c>
      <c r="C765" s="0" t="str">
        <f aca="false">IF($A765="","",'Formation Initiale'!$F367)</f>
        <v/>
      </c>
      <c r="D765" s="0" t="str">
        <f aca="false">IF($A765="","",IF('Formation Initiale'!$F367="Lisbonne","B2C (Initiale)","B2C+B2B (Initiale)"))</f>
        <v/>
      </c>
      <c r="E765" s="0" t="str">
        <f aca="false">IF($A765="","",'Formation Initiale'!$B367)</f>
        <v/>
      </c>
      <c r="F765" s="116" t="str">
        <f aca="false">IF($A765="","",'Formation Initiale'!$G367)</f>
        <v/>
      </c>
      <c r="G765" s="116" t="str">
        <f aca="false">IF($A765="","",'Formation Initiale'!$H367)</f>
        <v/>
      </c>
      <c r="H765" s="0" t="str">
        <f aca="false">IF($A765="","",'Formation Initiale'!$L367)</f>
        <v/>
      </c>
      <c r="I765" s="0" t="str">
        <f aca="false">IF($A765="","",'Formation Initiale'!$R367)</f>
        <v/>
      </c>
      <c r="K765" s="104" t="n">
        <f aca="false">IF(A765="",0,IF(IFERROR(VLOOKUP(A765,Skills!$A:$M,13,FALSE()),"")="COS",0,IF(OR(I765="En cours",I765="À venir",I765="À planifier"),IF(AND(OR($C$3="Tous",$C$3="",C765=$C$3),OR($E$3="Tous",$E$3="",I765=$E$3)),1,0),0)))</f>
        <v>0</v>
      </c>
      <c r="L765" s="104" t="n">
        <f aca="false">L764+K765</f>
        <v>15</v>
      </c>
    </row>
    <row r="766" customFormat="false" ht="15" hidden="true" customHeight="true" outlineLevel="0" collapsed="false">
      <c r="A766" s="0" t="str">
        <f aca="false">IF('Formation Initiale'!$A368="","",'Formation Initiale'!$A368)</f>
        <v/>
      </c>
      <c r="B766" s="0" t="str">
        <f aca="false">IF($A766="","",'Formation Initiale'!$E368)</f>
        <v/>
      </c>
      <c r="C766" s="0" t="str">
        <f aca="false">IF($A766="","",'Formation Initiale'!$F368)</f>
        <v/>
      </c>
      <c r="D766" s="0" t="str">
        <f aca="false">IF($A766="","",IF('Formation Initiale'!$F368="Lisbonne","B2C (Initiale)","B2C+B2B (Initiale)"))</f>
        <v/>
      </c>
      <c r="E766" s="0" t="str">
        <f aca="false">IF($A766="","",'Formation Initiale'!$B368)</f>
        <v/>
      </c>
      <c r="F766" s="116" t="str">
        <f aca="false">IF($A766="","",'Formation Initiale'!$G368)</f>
        <v/>
      </c>
      <c r="G766" s="116" t="str">
        <f aca="false">IF($A766="","",'Formation Initiale'!$H368)</f>
        <v/>
      </c>
      <c r="H766" s="0" t="str">
        <f aca="false">IF($A766="","",'Formation Initiale'!$L368)</f>
        <v/>
      </c>
      <c r="I766" s="0" t="str">
        <f aca="false">IF($A766="","",'Formation Initiale'!$R368)</f>
        <v/>
      </c>
      <c r="K766" s="104" t="n">
        <f aca="false">IF(A766="",0,IF(IFERROR(VLOOKUP(A766,Skills!$A:$M,13,FALSE()),"")="COS",0,IF(OR(I766="En cours",I766="À venir",I766="À planifier"),IF(AND(OR($C$3="Tous",$C$3="",C766=$C$3),OR($E$3="Tous",$E$3="",I766=$E$3)),1,0),0)))</f>
        <v>0</v>
      </c>
      <c r="L766" s="104" t="n">
        <f aca="false">L765+K766</f>
        <v>15</v>
      </c>
    </row>
    <row r="767" customFormat="false" ht="15" hidden="true" customHeight="true" outlineLevel="0" collapsed="false">
      <c r="A767" s="0" t="str">
        <f aca="false">IF('Formation Initiale'!$A369="","",'Formation Initiale'!$A369)</f>
        <v/>
      </c>
      <c r="B767" s="0" t="str">
        <f aca="false">IF($A767="","",'Formation Initiale'!$E369)</f>
        <v/>
      </c>
      <c r="C767" s="0" t="str">
        <f aca="false">IF($A767="","",'Formation Initiale'!$F369)</f>
        <v/>
      </c>
      <c r="D767" s="0" t="str">
        <f aca="false">IF($A767="","",IF('Formation Initiale'!$F369="Lisbonne","B2C (Initiale)","B2C+B2B (Initiale)"))</f>
        <v/>
      </c>
      <c r="E767" s="0" t="str">
        <f aca="false">IF($A767="","",'Formation Initiale'!$B369)</f>
        <v/>
      </c>
      <c r="F767" s="116" t="str">
        <f aca="false">IF($A767="","",'Formation Initiale'!$G369)</f>
        <v/>
      </c>
      <c r="G767" s="116" t="str">
        <f aca="false">IF($A767="","",'Formation Initiale'!$H369)</f>
        <v/>
      </c>
      <c r="H767" s="0" t="str">
        <f aca="false">IF($A767="","",'Formation Initiale'!$L369)</f>
        <v/>
      </c>
      <c r="I767" s="0" t="str">
        <f aca="false">IF($A767="","",'Formation Initiale'!$R369)</f>
        <v/>
      </c>
      <c r="K767" s="104" t="n">
        <f aca="false">IF(A767="",0,IF(IFERROR(VLOOKUP(A767,Skills!$A:$M,13,FALSE()),"")="COS",0,IF(OR(I767="En cours",I767="À venir",I767="À planifier"),IF(AND(OR($C$3="Tous",$C$3="",C767=$C$3),OR($E$3="Tous",$E$3="",I767=$E$3)),1,0),0)))</f>
        <v>0</v>
      </c>
      <c r="L767" s="104" t="n">
        <f aca="false">L766+K767</f>
        <v>15</v>
      </c>
    </row>
    <row r="768" customFormat="false" ht="15" hidden="true" customHeight="true" outlineLevel="0" collapsed="false">
      <c r="A768" s="0" t="str">
        <f aca="false">IF('Formation Initiale'!$A370="","",'Formation Initiale'!$A370)</f>
        <v/>
      </c>
      <c r="B768" s="0" t="str">
        <f aca="false">IF($A768="","",'Formation Initiale'!$E370)</f>
        <v/>
      </c>
      <c r="C768" s="0" t="str">
        <f aca="false">IF($A768="","",'Formation Initiale'!$F370)</f>
        <v/>
      </c>
      <c r="D768" s="0" t="str">
        <f aca="false">IF($A768="","",IF('Formation Initiale'!$F370="Lisbonne","B2C (Initiale)","B2C+B2B (Initiale)"))</f>
        <v/>
      </c>
      <c r="E768" s="0" t="str">
        <f aca="false">IF($A768="","",'Formation Initiale'!$B370)</f>
        <v/>
      </c>
      <c r="F768" s="116" t="str">
        <f aca="false">IF($A768="","",'Formation Initiale'!$G370)</f>
        <v/>
      </c>
      <c r="G768" s="116" t="str">
        <f aca="false">IF($A768="","",'Formation Initiale'!$H370)</f>
        <v/>
      </c>
      <c r="H768" s="0" t="str">
        <f aca="false">IF($A768="","",'Formation Initiale'!$L370)</f>
        <v/>
      </c>
      <c r="I768" s="0" t="str">
        <f aca="false">IF($A768="","",'Formation Initiale'!$R370)</f>
        <v/>
      </c>
      <c r="K768" s="104" t="n">
        <f aca="false">IF(A768="",0,IF(IFERROR(VLOOKUP(A768,Skills!$A:$M,13,FALSE()),"")="COS",0,IF(OR(I768="En cours",I768="À venir",I768="À planifier"),IF(AND(OR($C$3="Tous",$C$3="",C768=$C$3),OR($E$3="Tous",$E$3="",I768=$E$3)),1,0),0)))</f>
        <v>0</v>
      </c>
      <c r="L768" s="104" t="n">
        <f aca="false">L767+K768</f>
        <v>15</v>
      </c>
    </row>
    <row r="769" customFormat="false" ht="15" hidden="true" customHeight="true" outlineLevel="0" collapsed="false">
      <c r="A769" s="0" t="str">
        <f aca="false">IF('Formation Initiale'!$A371="","",'Formation Initiale'!$A371)</f>
        <v/>
      </c>
      <c r="B769" s="0" t="str">
        <f aca="false">IF($A769="","",'Formation Initiale'!$E371)</f>
        <v/>
      </c>
      <c r="C769" s="0" t="str">
        <f aca="false">IF($A769="","",'Formation Initiale'!$F371)</f>
        <v/>
      </c>
      <c r="D769" s="0" t="str">
        <f aca="false">IF($A769="","",IF('Formation Initiale'!$F371="Lisbonne","B2C (Initiale)","B2C+B2B (Initiale)"))</f>
        <v/>
      </c>
      <c r="E769" s="0" t="str">
        <f aca="false">IF($A769="","",'Formation Initiale'!$B371)</f>
        <v/>
      </c>
      <c r="F769" s="116" t="str">
        <f aca="false">IF($A769="","",'Formation Initiale'!$G371)</f>
        <v/>
      </c>
      <c r="G769" s="116" t="str">
        <f aca="false">IF($A769="","",'Formation Initiale'!$H371)</f>
        <v/>
      </c>
      <c r="H769" s="0" t="str">
        <f aca="false">IF($A769="","",'Formation Initiale'!$L371)</f>
        <v/>
      </c>
      <c r="I769" s="0" t="str">
        <f aca="false">IF($A769="","",'Formation Initiale'!$R371)</f>
        <v/>
      </c>
      <c r="K769" s="104" t="n">
        <f aca="false">IF(A769="",0,IF(IFERROR(VLOOKUP(A769,Skills!$A:$M,13,FALSE()),"")="COS",0,IF(OR(I769="En cours",I769="À venir",I769="À planifier"),IF(AND(OR($C$3="Tous",$C$3="",C769=$C$3),OR($E$3="Tous",$E$3="",I769=$E$3)),1,0),0)))</f>
        <v>0</v>
      </c>
      <c r="L769" s="104" t="n">
        <f aca="false">L768+K769</f>
        <v>15</v>
      </c>
    </row>
    <row r="770" customFormat="false" ht="15" hidden="true" customHeight="true" outlineLevel="0" collapsed="false">
      <c r="A770" s="0" t="str">
        <f aca="false">IF('Formation Initiale'!$A372="","",'Formation Initiale'!$A372)</f>
        <v/>
      </c>
      <c r="B770" s="0" t="str">
        <f aca="false">IF($A770="","",'Formation Initiale'!$E372)</f>
        <v/>
      </c>
      <c r="C770" s="0" t="str">
        <f aca="false">IF($A770="","",'Formation Initiale'!$F372)</f>
        <v/>
      </c>
      <c r="D770" s="0" t="str">
        <f aca="false">IF($A770="","",IF('Formation Initiale'!$F372="Lisbonne","B2C (Initiale)","B2C+B2B (Initiale)"))</f>
        <v/>
      </c>
      <c r="E770" s="0" t="str">
        <f aca="false">IF($A770="","",'Formation Initiale'!$B372)</f>
        <v/>
      </c>
      <c r="F770" s="116" t="str">
        <f aca="false">IF($A770="","",'Formation Initiale'!$G372)</f>
        <v/>
      </c>
      <c r="G770" s="116" t="str">
        <f aca="false">IF($A770="","",'Formation Initiale'!$H372)</f>
        <v/>
      </c>
      <c r="H770" s="0" t="str">
        <f aca="false">IF($A770="","",'Formation Initiale'!$L372)</f>
        <v/>
      </c>
      <c r="I770" s="0" t="str">
        <f aca="false">IF($A770="","",'Formation Initiale'!$R372)</f>
        <v/>
      </c>
      <c r="K770" s="104" t="n">
        <f aca="false">IF(A770="",0,IF(IFERROR(VLOOKUP(A770,Skills!$A:$M,13,FALSE()),"")="COS",0,IF(OR(I770="En cours",I770="À venir",I770="À planifier"),IF(AND(OR($C$3="Tous",$C$3="",C770=$C$3),OR($E$3="Tous",$E$3="",I770=$E$3)),1,0),0)))</f>
        <v>0</v>
      </c>
      <c r="L770" s="104" t="n">
        <f aca="false">L769+K770</f>
        <v>15</v>
      </c>
    </row>
    <row r="771" customFormat="false" ht="15" hidden="true" customHeight="true" outlineLevel="0" collapsed="false">
      <c r="A771" s="0" t="str">
        <f aca="false">IF('Formation Initiale'!$A373="","",'Formation Initiale'!$A373)</f>
        <v/>
      </c>
      <c r="B771" s="0" t="str">
        <f aca="false">IF($A771="","",'Formation Initiale'!$E373)</f>
        <v/>
      </c>
      <c r="C771" s="0" t="str">
        <f aca="false">IF($A771="","",'Formation Initiale'!$F373)</f>
        <v/>
      </c>
      <c r="D771" s="0" t="str">
        <f aca="false">IF($A771="","",IF('Formation Initiale'!$F373="Lisbonne","B2C (Initiale)","B2C+B2B (Initiale)"))</f>
        <v/>
      </c>
      <c r="E771" s="0" t="str">
        <f aca="false">IF($A771="","",'Formation Initiale'!$B373)</f>
        <v/>
      </c>
      <c r="F771" s="116" t="str">
        <f aca="false">IF($A771="","",'Formation Initiale'!$G373)</f>
        <v/>
      </c>
      <c r="G771" s="116" t="str">
        <f aca="false">IF($A771="","",'Formation Initiale'!$H373)</f>
        <v/>
      </c>
      <c r="H771" s="0" t="str">
        <f aca="false">IF($A771="","",'Formation Initiale'!$L373)</f>
        <v/>
      </c>
      <c r="I771" s="0" t="str">
        <f aca="false">IF($A771="","",'Formation Initiale'!$R373)</f>
        <v/>
      </c>
      <c r="K771" s="104" t="n">
        <f aca="false">IF(A771="",0,IF(IFERROR(VLOOKUP(A771,Skills!$A:$M,13,FALSE()),"")="COS",0,IF(OR(I771="En cours",I771="À venir",I771="À planifier"),IF(AND(OR($C$3="Tous",$C$3="",C771=$C$3),OR($E$3="Tous",$E$3="",I771=$E$3)),1,0),0)))</f>
        <v>0</v>
      </c>
      <c r="L771" s="104" t="n">
        <f aca="false">L770+K771</f>
        <v>15</v>
      </c>
    </row>
    <row r="772" customFormat="false" ht="15" hidden="true" customHeight="true" outlineLevel="0" collapsed="false">
      <c r="A772" s="0" t="str">
        <f aca="false">IF('Formation Initiale'!$A374="","",'Formation Initiale'!$A374)</f>
        <v/>
      </c>
      <c r="B772" s="0" t="str">
        <f aca="false">IF($A772="","",'Formation Initiale'!$E374)</f>
        <v/>
      </c>
      <c r="C772" s="0" t="str">
        <f aca="false">IF($A772="","",'Formation Initiale'!$F374)</f>
        <v/>
      </c>
      <c r="D772" s="0" t="str">
        <f aca="false">IF($A772="","",IF('Formation Initiale'!$F374="Lisbonne","B2C (Initiale)","B2C+B2B (Initiale)"))</f>
        <v/>
      </c>
      <c r="E772" s="0" t="str">
        <f aca="false">IF($A772="","",'Formation Initiale'!$B374)</f>
        <v/>
      </c>
      <c r="F772" s="116" t="str">
        <f aca="false">IF($A772="","",'Formation Initiale'!$G374)</f>
        <v/>
      </c>
      <c r="G772" s="116" t="str">
        <f aca="false">IF($A772="","",'Formation Initiale'!$H374)</f>
        <v/>
      </c>
      <c r="H772" s="0" t="str">
        <f aca="false">IF($A772="","",'Formation Initiale'!$L374)</f>
        <v/>
      </c>
      <c r="I772" s="0" t="str">
        <f aca="false">IF($A772="","",'Formation Initiale'!$R374)</f>
        <v/>
      </c>
      <c r="K772" s="104" t="n">
        <f aca="false">IF(A772="",0,IF(IFERROR(VLOOKUP(A772,Skills!$A:$M,13,FALSE()),"")="COS",0,IF(OR(I772="En cours",I772="À venir",I772="À planifier"),IF(AND(OR($C$3="Tous",$C$3="",C772=$C$3),OR($E$3="Tous",$E$3="",I772=$E$3)),1,0),0)))</f>
        <v>0</v>
      </c>
      <c r="L772" s="104" t="n">
        <f aca="false">L771+K772</f>
        <v>15</v>
      </c>
    </row>
    <row r="773" customFormat="false" ht="15" hidden="true" customHeight="true" outlineLevel="0" collapsed="false">
      <c r="A773" s="0" t="str">
        <f aca="false">IF('Formation Initiale'!$A375="","",'Formation Initiale'!$A375)</f>
        <v/>
      </c>
      <c r="B773" s="0" t="str">
        <f aca="false">IF($A773="","",'Formation Initiale'!$E375)</f>
        <v/>
      </c>
      <c r="C773" s="0" t="str">
        <f aca="false">IF($A773="","",'Formation Initiale'!$F375)</f>
        <v/>
      </c>
      <c r="D773" s="0" t="str">
        <f aca="false">IF($A773="","",IF('Formation Initiale'!$F375="Lisbonne","B2C (Initiale)","B2C+B2B (Initiale)"))</f>
        <v/>
      </c>
      <c r="E773" s="0" t="str">
        <f aca="false">IF($A773="","",'Formation Initiale'!$B375)</f>
        <v/>
      </c>
      <c r="F773" s="116" t="str">
        <f aca="false">IF($A773="","",'Formation Initiale'!$G375)</f>
        <v/>
      </c>
      <c r="G773" s="116" t="str">
        <f aca="false">IF($A773="","",'Formation Initiale'!$H375)</f>
        <v/>
      </c>
      <c r="H773" s="0" t="str">
        <f aca="false">IF($A773="","",'Formation Initiale'!$L375)</f>
        <v/>
      </c>
      <c r="I773" s="0" t="str">
        <f aca="false">IF($A773="","",'Formation Initiale'!$R375)</f>
        <v/>
      </c>
      <c r="K773" s="104" t="n">
        <f aca="false">IF(A773="",0,IF(IFERROR(VLOOKUP(A773,Skills!$A:$M,13,FALSE()),"")="COS",0,IF(OR(I773="En cours",I773="À venir",I773="À planifier"),IF(AND(OR($C$3="Tous",$C$3="",C773=$C$3),OR($E$3="Tous",$E$3="",I773=$E$3)),1,0),0)))</f>
        <v>0</v>
      </c>
      <c r="L773" s="104" t="n">
        <f aca="false">L772+K773</f>
        <v>15</v>
      </c>
    </row>
    <row r="774" customFormat="false" ht="15" hidden="true" customHeight="true" outlineLevel="0" collapsed="false">
      <c r="A774" s="0" t="str">
        <f aca="false">IF('Formation Initiale'!$A376="","",'Formation Initiale'!$A376)</f>
        <v/>
      </c>
      <c r="B774" s="0" t="str">
        <f aca="false">IF($A774="","",'Formation Initiale'!$E376)</f>
        <v/>
      </c>
      <c r="C774" s="0" t="str">
        <f aca="false">IF($A774="","",'Formation Initiale'!$F376)</f>
        <v/>
      </c>
      <c r="D774" s="0" t="str">
        <f aca="false">IF($A774="","",IF('Formation Initiale'!$F376="Lisbonne","B2C (Initiale)","B2C+B2B (Initiale)"))</f>
        <v/>
      </c>
      <c r="E774" s="0" t="str">
        <f aca="false">IF($A774="","",'Formation Initiale'!$B376)</f>
        <v/>
      </c>
      <c r="F774" s="116" t="str">
        <f aca="false">IF($A774="","",'Formation Initiale'!$G376)</f>
        <v/>
      </c>
      <c r="G774" s="116" t="str">
        <f aca="false">IF($A774="","",'Formation Initiale'!$H376)</f>
        <v/>
      </c>
      <c r="H774" s="0" t="str">
        <f aca="false">IF($A774="","",'Formation Initiale'!$L376)</f>
        <v/>
      </c>
      <c r="I774" s="0" t="str">
        <f aca="false">IF($A774="","",'Formation Initiale'!$R376)</f>
        <v/>
      </c>
      <c r="K774" s="104" t="n">
        <f aca="false">IF(A774="",0,IF(IFERROR(VLOOKUP(A774,Skills!$A:$M,13,FALSE()),"")="COS",0,IF(OR(I774="En cours",I774="À venir",I774="À planifier"),IF(AND(OR($C$3="Tous",$C$3="",C774=$C$3),OR($E$3="Tous",$E$3="",I774=$E$3)),1,0),0)))</f>
        <v>0</v>
      </c>
      <c r="L774" s="104" t="n">
        <f aca="false">L773+K774</f>
        <v>15</v>
      </c>
    </row>
    <row r="775" customFormat="false" ht="15" hidden="true" customHeight="true" outlineLevel="0" collapsed="false">
      <c r="A775" s="0" t="str">
        <f aca="false">IF('Formation Initiale'!$A377="","",'Formation Initiale'!$A377)</f>
        <v/>
      </c>
      <c r="B775" s="0" t="str">
        <f aca="false">IF($A775="","",'Formation Initiale'!$E377)</f>
        <v/>
      </c>
      <c r="C775" s="0" t="str">
        <f aca="false">IF($A775="","",'Formation Initiale'!$F377)</f>
        <v/>
      </c>
      <c r="D775" s="0" t="str">
        <f aca="false">IF($A775="","",IF('Formation Initiale'!$F377="Lisbonne","B2C (Initiale)","B2C+B2B (Initiale)"))</f>
        <v/>
      </c>
      <c r="E775" s="0" t="str">
        <f aca="false">IF($A775="","",'Formation Initiale'!$B377)</f>
        <v/>
      </c>
      <c r="F775" s="116" t="str">
        <f aca="false">IF($A775="","",'Formation Initiale'!$G377)</f>
        <v/>
      </c>
      <c r="G775" s="116" t="str">
        <f aca="false">IF($A775="","",'Formation Initiale'!$H377)</f>
        <v/>
      </c>
      <c r="H775" s="0" t="str">
        <f aca="false">IF($A775="","",'Formation Initiale'!$L377)</f>
        <v/>
      </c>
      <c r="I775" s="0" t="str">
        <f aca="false">IF($A775="","",'Formation Initiale'!$R377)</f>
        <v/>
      </c>
      <c r="K775" s="104" t="n">
        <f aca="false">IF(A775="",0,IF(IFERROR(VLOOKUP(A775,Skills!$A:$M,13,FALSE()),"")="COS",0,IF(OR(I775="En cours",I775="À venir",I775="À planifier"),IF(AND(OR($C$3="Tous",$C$3="",C775=$C$3),OR($E$3="Tous",$E$3="",I775=$E$3)),1,0),0)))</f>
        <v>0</v>
      </c>
      <c r="L775" s="104" t="n">
        <f aca="false">L774+K775</f>
        <v>15</v>
      </c>
    </row>
    <row r="776" customFormat="false" ht="15" hidden="true" customHeight="true" outlineLevel="0" collapsed="false">
      <c r="A776" s="0" t="str">
        <f aca="false">IF('Formation Initiale'!$A378="","",'Formation Initiale'!$A378)</f>
        <v/>
      </c>
      <c r="B776" s="0" t="str">
        <f aca="false">IF($A776="","",'Formation Initiale'!$E378)</f>
        <v/>
      </c>
      <c r="C776" s="0" t="str">
        <f aca="false">IF($A776="","",'Formation Initiale'!$F378)</f>
        <v/>
      </c>
      <c r="D776" s="0" t="str">
        <f aca="false">IF($A776="","",IF('Formation Initiale'!$F378="Lisbonne","B2C (Initiale)","B2C+B2B (Initiale)"))</f>
        <v/>
      </c>
      <c r="E776" s="0" t="str">
        <f aca="false">IF($A776="","",'Formation Initiale'!$B378)</f>
        <v/>
      </c>
      <c r="F776" s="116" t="str">
        <f aca="false">IF($A776="","",'Formation Initiale'!$G378)</f>
        <v/>
      </c>
      <c r="G776" s="116" t="str">
        <f aca="false">IF($A776="","",'Formation Initiale'!$H378)</f>
        <v/>
      </c>
      <c r="H776" s="0" t="str">
        <f aca="false">IF($A776="","",'Formation Initiale'!$L378)</f>
        <v/>
      </c>
      <c r="I776" s="0" t="str">
        <f aca="false">IF($A776="","",'Formation Initiale'!$R378)</f>
        <v/>
      </c>
      <c r="K776" s="104" t="n">
        <f aca="false">IF(A776="",0,IF(IFERROR(VLOOKUP(A776,Skills!$A:$M,13,FALSE()),"")="COS",0,IF(OR(I776="En cours",I776="À venir",I776="À planifier"),IF(AND(OR($C$3="Tous",$C$3="",C776=$C$3),OR($E$3="Tous",$E$3="",I776=$E$3)),1,0),0)))</f>
        <v>0</v>
      </c>
      <c r="L776" s="104" t="n">
        <f aca="false">L775+K776</f>
        <v>15</v>
      </c>
    </row>
    <row r="777" customFormat="false" ht="15" hidden="true" customHeight="true" outlineLevel="0" collapsed="false">
      <c r="A777" s="0" t="str">
        <f aca="false">IF('Formation Initiale'!$A379="","",'Formation Initiale'!$A379)</f>
        <v/>
      </c>
      <c r="B777" s="0" t="str">
        <f aca="false">IF($A777="","",'Formation Initiale'!$E379)</f>
        <v/>
      </c>
      <c r="C777" s="0" t="str">
        <f aca="false">IF($A777="","",'Formation Initiale'!$F379)</f>
        <v/>
      </c>
      <c r="D777" s="0" t="str">
        <f aca="false">IF($A777="","",IF('Formation Initiale'!$F379="Lisbonne","B2C (Initiale)","B2C+B2B (Initiale)"))</f>
        <v/>
      </c>
      <c r="E777" s="0" t="str">
        <f aca="false">IF($A777="","",'Formation Initiale'!$B379)</f>
        <v/>
      </c>
      <c r="F777" s="116" t="str">
        <f aca="false">IF($A777="","",'Formation Initiale'!$G379)</f>
        <v/>
      </c>
      <c r="G777" s="116" t="str">
        <f aca="false">IF($A777="","",'Formation Initiale'!$H379)</f>
        <v/>
      </c>
      <c r="H777" s="0" t="str">
        <f aca="false">IF($A777="","",'Formation Initiale'!$L379)</f>
        <v/>
      </c>
      <c r="I777" s="0" t="str">
        <f aca="false">IF($A777="","",'Formation Initiale'!$R379)</f>
        <v/>
      </c>
      <c r="K777" s="104" t="n">
        <f aca="false">IF(A777="",0,IF(IFERROR(VLOOKUP(A777,Skills!$A:$M,13,FALSE()),"")="COS",0,IF(OR(I777="En cours",I777="À venir",I777="À planifier"),IF(AND(OR($C$3="Tous",$C$3="",C777=$C$3),OR($E$3="Tous",$E$3="",I777=$E$3)),1,0),0)))</f>
        <v>0</v>
      </c>
      <c r="L777" s="104" t="n">
        <f aca="false">L776+K777</f>
        <v>15</v>
      </c>
    </row>
    <row r="778" customFormat="false" ht="15" hidden="true" customHeight="true" outlineLevel="0" collapsed="false">
      <c r="A778" s="0" t="str">
        <f aca="false">IF('Formation Initiale'!$A380="","",'Formation Initiale'!$A380)</f>
        <v/>
      </c>
      <c r="B778" s="0" t="str">
        <f aca="false">IF($A778="","",'Formation Initiale'!$E380)</f>
        <v/>
      </c>
      <c r="C778" s="0" t="str">
        <f aca="false">IF($A778="","",'Formation Initiale'!$F380)</f>
        <v/>
      </c>
      <c r="D778" s="0" t="str">
        <f aca="false">IF($A778="","",IF('Formation Initiale'!$F380="Lisbonne","B2C (Initiale)","B2C+B2B (Initiale)"))</f>
        <v/>
      </c>
      <c r="E778" s="0" t="str">
        <f aca="false">IF($A778="","",'Formation Initiale'!$B380)</f>
        <v/>
      </c>
      <c r="F778" s="116" t="str">
        <f aca="false">IF($A778="","",'Formation Initiale'!$G380)</f>
        <v/>
      </c>
      <c r="G778" s="116" t="str">
        <f aca="false">IF($A778="","",'Formation Initiale'!$H380)</f>
        <v/>
      </c>
      <c r="H778" s="0" t="str">
        <f aca="false">IF($A778="","",'Formation Initiale'!$L380)</f>
        <v/>
      </c>
      <c r="I778" s="0" t="str">
        <f aca="false">IF($A778="","",'Formation Initiale'!$R380)</f>
        <v/>
      </c>
      <c r="K778" s="104" t="n">
        <f aca="false">IF(A778="",0,IF(IFERROR(VLOOKUP(A778,Skills!$A:$M,13,FALSE()),"")="COS",0,IF(OR(I778="En cours",I778="À venir",I778="À planifier"),IF(AND(OR($C$3="Tous",$C$3="",C778=$C$3),OR($E$3="Tous",$E$3="",I778=$E$3)),1,0),0)))</f>
        <v>0</v>
      </c>
      <c r="L778" s="104" t="n">
        <f aca="false">L777+K778</f>
        <v>15</v>
      </c>
    </row>
    <row r="779" customFormat="false" ht="15" hidden="true" customHeight="true" outlineLevel="0" collapsed="false">
      <c r="A779" s="0" t="str">
        <f aca="false">IF('Formation Initiale'!$A381="","",'Formation Initiale'!$A381)</f>
        <v/>
      </c>
      <c r="B779" s="0" t="str">
        <f aca="false">IF($A779="","",'Formation Initiale'!$E381)</f>
        <v/>
      </c>
      <c r="C779" s="0" t="str">
        <f aca="false">IF($A779="","",'Formation Initiale'!$F381)</f>
        <v/>
      </c>
      <c r="D779" s="0" t="str">
        <f aca="false">IF($A779="","",IF('Formation Initiale'!$F381="Lisbonne","B2C (Initiale)","B2C+B2B (Initiale)"))</f>
        <v/>
      </c>
      <c r="E779" s="0" t="str">
        <f aca="false">IF($A779="","",'Formation Initiale'!$B381)</f>
        <v/>
      </c>
      <c r="F779" s="116" t="str">
        <f aca="false">IF($A779="","",'Formation Initiale'!$G381)</f>
        <v/>
      </c>
      <c r="G779" s="116" t="str">
        <f aca="false">IF($A779="","",'Formation Initiale'!$H381)</f>
        <v/>
      </c>
      <c r="H779" s="0" t="str">
        <f aca="false">IF($A779="","",'Formation Initiale'!$L381)</f>
        <v/>
      </c>
      <c r="I779" s="0" t="str">
        <f aca="false">IF($A779="","",'Formation Initiale'!$R381)</f>
        <v/>
      </c>
      <c r="K779" s="104" t="n">
        <f aca="false">IF(A779="",0,IF(IFERROR(VLOOKUP(A779,Skills!$A:$M,13,FALSE()),"")="COS",0,IF(OR(I779="En cours",I779="À venir",I779="À planifier"),IF(AND(OR($C$3="Tous",$C$3="",C779=$C$3),OR($E$3="Tous",$E$3="",I779=$E$3)),1,0),0)))</f>
        <v>0</v>
      </c>
      <c r="L779" s="104" t="n">
        <f aca="false">L778+K779</f>
        <v>15</v>
      </c>
    </row>
    <row r="780" customFormat="false" ht="15" hidden="true" customHeight="true" outlineLevel="0" collapsed="false">
      <c r="A780" s="0" t="str">
        <f aca="false">IF('Formation Initiale'!$A382="","",'Formation Initiale'!$A382)</f>
        <v/>
      </c>
      <c r="B780" s="0" t="str">
        <f aca="false">IF($A780="","",'Formation Initiale'!$E382)</f>
        <v/>
      </c>
      <c r="C780" s="0" t="str">
        <f aca="false">IF($A780="","",'Formation Initiale'!$F382)</f>
        <v/>
      </c>
      <c r="D780" s="0" t="str">
        <f aca="false">IF($A780="","",IF('Formation Initiale'!$F382="Lisbonne","B2C (Initiale)","B2C+B2B (Initiale)"))</f>
        <v/>
      </c>
      <c r="E780" s="0" t="str">
        <f aca="false">IF($A780="","",'Formation Initiale'!$B382)</f>
        <v/>
      </c>
      <c r="F780" s="116" t="str">
        <f aca="false">IF($A780="","",'Formation Initiale'!$G382)</f>
        <v/>
      </c>
      <c r="G780" s="116" t="str">
        <f aca="false">IF($A780="","",'Formation Initiale'!$H382)</f>
        <v/>
      </c>
      <c r="H780" s="0" t="str">
        <f aca="false">IF($A780="","",'Formation Initiale'!$L382)</f>
        <v/>
      </c>
      <c r="I780" s="0" t="str">
        <f aca="false">IF($A780="","",'Formation Initiale'!$R382)</f>
        <v/>
      </c>
      <c r="K780" s="104" t="n">
        <f aca="false">IF(A780="",0,IF(IFERROR(VLOOKUP(A780,Skills!$A:$M,13,FALSE()),"")="COS",0,IF(OR(I780="En cours",I780="À venir",I780="À planifier"),IF(AND(OR($C$3="Tous",$C$3="",C780=$C$3),OR($E$3="Tous",$E$3="",I780=$E$3)),1,0),0)))</f>
        <v>0</v>
      </c>
      <c r="L780" s="104" t="n">
        <f aca="false">L779+K780</f>
        <v>15</v>
      </c>
    </row>
    <row r="781" customFormat="false" ht="15" hidden="true" customHeight="true" outlineLevel="0" collapsed="false">
      <c r="A781" s="0" t="str">
        <f aca="false">IF('Formation Initiale'!$A383="","",'Formation Initiale'!$A383)</f>
        <v/>
      </c>
      <c r="B781" s="0" t="str">
        <f aca="false">IF($A781="","",'Formation Initiale'!$E383)</f>
        <v/>
      </c>
      <c r="C781" s="0" t="str">
        <f aca="false">IF($A781="","",'Formation Initiale'!$F383)</f>
        <v/>
      </c>
      <c r="D781" s="0" t="str">
        <f aca="false">IF($A781="","",IF('Formation Initiale'!$F383="Lisbonne","B2C (Initiale)","B2C+B2B (Initiale)"))</f>
        <v/>
      </c>
      <c r="E781" s="0" t="str">
        <f aca="false">IF($A781="","",'Formation Initiale'!$B383)</f>
        <v/>
      </c>
      <c r="F781" s="116" t="str">
        <f aca="false">IF($A781="","",'Formation Initiale'!$G383)</f>
        <v/>
      </c>
      <c r="G781" s="116" t="str">
        <f aca="false">IF($A781="","",'Formation Initiale'!$H383)</f>
        <v/>
      </c>
      <c r="H781" s="0" t="str">
        <f aca="false">IF($A781="","",'Formation Initiale'!$L383)</f>
        <v/>
      </c>
      <c r="I781" s="0" t="str">
        <f aca="false">IF($A781="","",'Formation Initiale'!$R383)</f>
        <v/>
      </c>
      <c r="K781" s="104" t="n">
        <f aca="false">IF(A781="",0,IF(IFERROR(VLOOKUP(A781,Skills!$A:$M,13,FALSE()),"")="COS",0,IF(OR(I781="En cours",I781="À venir",I781="À planifier"),IF(AND(OR($C$3="Tous",$C$3="",C781=$C$3),OR($E$3="Tous",$E$3="",I781=$E$3)),1,0),0)))</f>
        <v>0</v>
      </c>
      <c r="L781" s="104" t="n">
        <f aca="false">L780+K781</f>
        <v>15</v>
      </c>
    </row>
    <row r="782" customFormat="false" ht="15" hidden="true" customHeight="true" outlineLevel="0" collapsed="false">
      <c r="A782" s="0" t="str">
        <f aca="false">IF('Formation Initiale'!$A384="","",'Formation Initiale'!$A384)</f>
        <v/>
      </c>
      <c r="B782" s="0" t="str">
        <f aca="false">IF($A782="","",'Formation Initiale'!$E384)</f>
        <v/>
      </c>
      <c r="C782" s="0" t="str">
        <f aca="false">IF($A782="","",'Formation Initiale'!$F384)</f>
        <v/>
      </c>
      <c r="D782" s="0" t="str">
        <f aca="false">IF($A782="","",IF('Formation Initiale'!$F384="Lisbonne","B2C (Initiale)","B2C+B2B (Initiale)"))</f>
        <v/>
      </c>
      <c r="E782" s="0" t="str">
        <f aca="false">IF($A782="","",'Formation Initiale'!$B384)</f>
        <v/>
      </c>
      <c r="F782" s="116" t="str">
        <f aca="false">IF($A782="","",'Formation Initiale'!$G384)</f>
        <v/>
      </c>
      <c r="G782" s="116" t="str">
        <f aca="false">IF($A782="","",'Formation Initiale'!$H384)</f>
        <v/>
      </c>
      <c r="H782" s="0" t="str">
        <f aca="false">IF($A782="","",'Formation Initiale'!$L384)</f>
        <v/>
      </c>
      <c r="I782" s="0" t="str">
        <f aca="false">IF($A782="","",'Formation Initiale'!$R384)</f>
        <v/>
      </c>
      <c r="K782" s="104" t="n">
        <f aca="false">IF(A782="",0,IF(IFERROR(VLOOKUP(A782,Skills!$A:$M,13,FALSE()),"")="COS",0,IF(OR(I782="En cours",I782="À venir",I782="À planifier"),IF(AND(OR($C$3="Tous",$C$3="",C782=$C$3),OR($E$3="Tous",$E$3="",I782=$E$3)),1,0),0)))</f>
        <v>0</v>
      </c>
      <c r="L782" s="104" t="n">
        <f aca="false">L781+K782</f>
        <v>15</v>
      </c>
    </row>
    <row r="783" customFormat="false" ht="15" hidden="true" customHeight="true" outlineLevel="0" collapsed="false">
      <c r="A783" s="0" t="str">
        <f aca="false">IF('Formation Initiale'!$A385="","",'Formation Initiale'!$A385)</f>
        <v/>
      </c>
      <c r="B783" s="0" t="str">
        <f aca="false">IF($A783="","",'Formation Initiale'!$E385)</f>
        <v/>
      </c>
      <c r="C783" s="0" t="str">
        <f aca="false">IF($A783="","",'Formation Initiale'!$F385)</f>
        <v/>
      </c>
      <c r="D783" s="0" t="str">
        <f aca="false">IF($A783="","",IF('Formation Initiale'!$F385="Lisbonne","B2C (Initiale)","B2C+B2B (Initiale)"))</f>
        <v/>
      </c>
      <c r="E783" s="0" t="str">
        <f aca="false">IF($A783="","",'Formation Initiale'!$B385)</f>
        <v/>
      </c>
      <c r="F783" s="116" t="str">
        <f aca="false">IF($A783="","",'Formation Initiale'!$G385)</f>
        <v/>
      </c>
      <c r="G783" s="116" t="str">
        <f aca="false">IF($A783="","",'Formation Initiale'!$H385)</f>
        <v/>
      </c>
      <c r="H783" s="0" t="str">
        <f aca="false">IF($A783="","",'Formation Initiale'!$L385)</f>
        <v/>
      </c>
      <c r="I783" s="0" t="str">
        <f aca="false">IF($A783="","",'Formation Initiale'!$R385)</f>
        <v/>
      </c>
      <c r="K783" s="104" t="n">
        <f aca="false">IF(A783="",0,IF(IFERROR(VLOOKUP(A783,Skills!$A:$M,13,FALSE()),"")="COS",0,IF(OR(I783="En cours",I783="À venir",I783="À planifier"),IF(AND(OR($C$3="Tous",$C$3="",C783=$C$3),OR($E$3="Tous",$E$3="",I783=$E$3)),1,0),0)))</f>
        <v>0</v>
      </c>
      <c r="L783" s="104" t="n">
        <f aca="false">L782+K783</f>
        <v>15</v>
      </c>
    </row>
    <row r="784" customFormat="false" ht="15" hidden="true" customHeight="true" outlineLevel="0" collapsed="false">
      <c r="A784" s="0" t="str">
        <f aca="false">IF('Formation Initiale'!$A386="","",'Formation Initiale'!$A386)</f>
        <v/>
      </c>
      <c r="B784" s="0" t="str">
        <f aca="false">IF($A784="","",'Formation Initiale'!$E386)</f>
        <v/>
      </c>
      <c r="C784" s="0" t="str">
        <f aca="false">IF($A784="","",'Formation Initiale'!$F386)</f>
        <v/>
      </c>
      <c r="D784" s="0" t="str">
        <f aca="false">IF($A784="","",IF('Formation Initiale'!$F386="Lisbonne","B2C (Initiale)","B2C+B2B (Initiale)"))</f>
        <v/>
      </c>
      <c r="E784" s="0" t="str">
        <f aca="false">IF($A784="","",'Formation Initiale'!$B386)</f>
        <v/>
      </c>
      <c r="F784" s="116" t="str">
        <f aca="false">IF($A784="","",'Formation Initiale'!$G386)</f>
        <v/>
      </c>
      <c r="G784" s="116" t="str">
        <f aca="false">IF($A784="","",'Formation Initiale'!$H386)</f>
        <v/>
      </c>
      <c r="H784" s="0" t="str">
        <f aca="false">IF($A784="","",'Formation Initiale'!$L386)</f>
        <v/>
      </c>
      <c r="I784" s="0" t="str">
        <f aca="false">IF($A784="","",'Formation Initiale'!$R386)</f>
        <v/>
      </c>
      <c r="K784" s="104" t="n">
        <f aca="false">IF(A784="",0,IF(IFERROR(VLOOKUP(A784,Skills!$A:$M,13,FALSE()),"")="COS",0,IF(OR(I784="En cours",I784="À venir",I784="À planifier"),IF(AND(OR($C$3="Tous",$C$3="",C784=$C$3),OR($E$3="Tous",$E$3="",I784=$E$3)),1,0),0)))</f>
        <v>0</v>
      </c>
      <c r="L784" s="104" t="n">
        <f aca="false">L783+K784</f>
        <v>15</v>
      </c>
    </row>
    <row r="785" customFormat="false" ht="15" hidden="true" customHeight="true" outlineLevel="0" collapsed="false">
      <c r="A785" s="0" t="str">
        <f aca="false">IF('Formation Initiale'!$A387="","",'Formation Initiale'!$A387)</f>
        <v/>
      </c>
      <c r="B785" s="0" t="str">
        <f aca="false">IF($A785="","",'Formation Initiale'!$E387)</f>
        <v/>
      </c>
      <c r="C785" s="0" t="str">
        <f aca="false">IF($A785="","",'Formation Initiale'!$F387)</f>
        <v/>
      </c>
      <c r="D785" s="0" t="str">
        <f aca="false">IF($A785="","",IF('Formation Initiale'!$F387="Lisbonne","B2C (Initiale)","B2C+B2B (Initiale)"))</f>
        <v/>
      </c>
      <c r="E785" s="0" t="str">
        <f aca="false">IF($A785="","",'Formation Initiale'!$B387)</f>
        <v/>
      </c>
      <c r="F785" s="116" t="str">
        <f aca="false">IF($A785="","",'Formation Initiale'!$G387)</f>
        <v/>
      </c>
      <c r="G785" s="116" t="str">
        <f aca="false">IF($A785="","",'Formation Initiale'!$H387)</f>
        <v/>
      </c>
      <c r="H785" s="0" t="str">
        <f aca="false">IF($A785="","",'Formation Initiale'!$L387)</f>
        <v/>
      </c>
      <c r="I785" s="0" t="str">
        <f aca="false">IF($A785="","",'Formation Initiale'!$R387)</f>
        <v/>
      </c>
      <c r="K785" s="104" t="n">
        <f aca="false">IF(A785="",0,IF(IFERROR(VLOOKUP(A785,Skills!$A:$M,13,FALSE()),"")="COS",0,IF(OR(I785="En cours",I785="À venir",I785="À planifier"),IF(AND(OR($C$3="Tous",$C$3="",C785=$C$3),OR($E$3="Tous",$E$3="",I785=$E$3)),1,0),0)))</f>
        <v>0</v>
      </c>
      <c r="L785" s="104" t="n">
        <f aca="false">L784+K785</f>
        <v>15</v>
      </c>
    </row>
    <row r="786" customFormat="false" ht="15" hidden="true" customHeight="true" outlineLevel="0" collapsed="false">
      <c r="A786" s="0" t="str">
        <f aca="false">IF('Formation Initiale'!$A388="","",'Formation Initiale'!$A388)</f>
        <v/>
      </c>
      <c r="B786" s="0" t="str">
        <f aca="false">IF($A786="","",'Formation Initiale'!$E388)</f>
        <v/>
      </c>
      <c r="C786" s="0" t="str">
        <f aca="false">IF($A786="","",'Formation Initiale'!$F388)</f>
        <v/>
      </c>
      <c r="D786" s="0" t="str">
        <f aca="false">IF($A786="","",IF('Formation Initiale'!$F388="Lisbonne","B2C (Initiale)","B2C+B2B (Initiale)"))</f>
        <v/>
      </c>
      <c r="E786" s="0" t="str">
        <f aca="false">IF($A786="","",'Formation Initiale'!$B388)</f>
        <v/>
      </c>
      <c r="F786" s="116" t="str">
        <f aca="false">IF($A786="","",'Formation Initiale'!$G388)</f>
        <v/>
      </c>
      <c r="G786" s="116" t="str">
        <f aca="false">IF($A786="","",'Formation Initiale'!$H388)</f>
        <v/>
      </c>
      <c r="H786" s="0" t="str">
        <f aca="false">IF($A786="","",'Formation Initiale'!$L388)</f>
        <v/>
      </c>
      <c r="I786" s="0" t="str">
        <f aca="false">IF($A786="","",'Formation Initiale'!$R388)</f>
        <v/>
      </c>
      <c r="K786" s="104" t="n">
        <f aca="false">IF(A786="",0,IF(IFERROR(VLOOKUP(A786,Skills!$A:$M,13,FALSE()),"")="COS",0,IF(OR(I786="En cours",I786="À venir",I786="À planifier"),IF(AND(OR($C$3="Tous",$C$3="",C786=$C$3),OR($E$3="Tous",$E$3="",I786=$E$3)),1,0),0)))</f>
        <v>0</v>
      </c>
      <c r="L786" s="104" t="n">
        <f aca="false">L785+K786</f>
        <v>15</v>
      </c>
    </row>
    <row r="787" customFormat="false" ht="15" hidden="true" customHeight="true" outlineLevel="0" collapsed="false">
      <c r="A787" s="0" t="str">
        <f aca="false">IF('Formation Initiale'!$A389="","",'Formation Initiale'!$A389)</f>
        <v/>
      </c>
      <c r="B787" s="0" t="str">
        <f aca="false">IF($A787="","",'Formation Initiale'!$E389)</f>
        <v/>
      </c>
      <c r="C787" s="0" t="str">
        <f aca="false">IF($A787="","",'Formation Initiale'!$F389)</f>
        <v/>
      </c>
      <c r="D787" s="0" t="str">
        <f aca="false">IF($A787="","",IF('Formation Initiale'!$F389="Lisbonne","B2C (Initiale)","B2C+B2B (Initiale)"))</f>
        <v/>
      </c>
      <c r="E787" s="0" t="str">
        <f aca="false">IF($A787="","",'Formation Initiale'!$B389)</f>
        <v/>
      </c>
      <c r="F787" s="116" t="str">
        <f aca="false">IF($A787="","",'Formation Initiale'!$G389)</f>
        <v/>
      </c>
      <c r="G787" s="116" t="str">
        <f aca="false">IF($A787="","",'Formation Initiale'!$H389)</f>
        <v/>
      </c>
      <c r="H787" s="0" t="str">
        <f aca="false">IF($A787="","",'Formation Initiale'!$L389)</f>
        <v/>
      </c>
      <c r="I787" s="0" t="str">
        <f aca="false">IF($A787="","",'Formation Initiale'!$R389)</f>
        <v/>
      </c>
      <c r="K787" s="104" t="n">
        <f aca="false">IF(A787="",0,IF(IFERROR(VLOOKUP(A787,Skills!$A:$M,13,FALSE()),"")="COS",0,IF(OR(I787="En cours",I787="À venir",I787="À planifier"),IF(AND(OR($C$3="Tous",$C$3="",C787=$C$3),OR($E$3="Tous",$E$3="",I787=$E$3)),1,0),0)))</f>
        <v>0</v>
      </c>
      <c r="L787" s="104" t="n">
        <f aca="false">L786+K787</f>
        <v>15</v>
      </c>
    </row>
    <row r="788" customFormat="false" ht="15" hidden="true" customHeight="true" outlineLevel="0" collapsed="false">
      <c r="A788" s="0" t="str">
        <f aca="false">IF('Formation Initiale'!$A390="","",'Formation Initiale'!$A390)</f>
        <v/>
      </c>
      <c r="B788" s="0" t="str">
        <f aca="false">IF($A788="","",'Formation Initiale'!$E390)</f>
        <v/>
      </c>
      <c r="C788" s="0" t="str">
        <f aca="false">IF($A788="","",'Formation Initiale'!$F390)</f>
        <v/>
      </c>
      <c r="D788" s="0" t="str">
        <f aca="false">IF($A788="","",IF('Formation Initiale'!$F390="Lisbonne","B2C (Initiale)","B2C+B2B (Initiale)"))</f>
        <v/>
      </c>
      <c r="E788" s="0" t="str">
        <f aca="false">IF($A788="","",'Formation Initiale'!$B390)</f>
        <v/>
      </c>
      <c r="F788" s="116" t="str">
        <f aca="false">IF($A788="","",'Formation Initiale'!$G390)</f>
        <v/>
      </c>
      <c r="G788" s="116" t="str">
        <f aca="false">IF($A788="","",'Formation Initiale'!$H390)</f>
        <v/>
      </c>
      <c r="H788" s="0" t="str">
        <f aca="false">IF($A788="","",'Formation Initiale'!$L390)</f>
        <v/>
      </c>
      <c r="I788" s="0" t="str">
        <f aca="false">IF($A788="","",'Formation Initiale'!$R390)</f>
        <v/>
      </c>
      <c r="K788" s="104" t="n">
        <f aca="false">IF(A788="",0,IF(IFERROR(VLOOKUP(A788,Skills!$A:$M,13,FALSE()),"")="COS",0,IF(OR(I788="En cours",I788="À venir",I788="À planifier"),IF(AND(OR($C$3="Tous",$C$3="",C788=$C$3),OR($E$3="Tous",$E$3="",I788=$E$3)),1,0),0)))</f>
        <v>0</v>
      </c>
      <c r="L788" s="104" t="n">
        <f aca="false">L787+K788</f>
        <v>15</v>
      </c>
    </row>
    <row r="789" customFormat="false" ht="15" hidden="true" customHeight="true" outlineLevel="0" collapsed="false">
      <c r="A789" s="0" t="str">
        <f aca="false">IF('Formation Initiale'!$A391="","",'Formation Initiale'!$A391)</f>
        <v/>
      </c>
      <c r="B789" s="0" t="str">
        <f aca="false">IF($A789="","",'Formation Initiale'!$E391)</f>
        <v/>
      </c>
      <c r="C789" s="0" t="str">
        <f aca="false">IF($A789="","",'Formation Initiale'!$F391)</f>
        <v/>
      </c>
      <c r="D789" s="0" t="str">
        <f aca="false">IF($A789="","",IF('Formation Initiale'!$F391="Lisbonne","B2C (Initiale)","B2C+B2B (Initiale)"))</f>
        <v/>
      </c>
      <c r="E789" s="0" t="str">
        <f aca="false">IF($A789="","",'Formation Initiale'!$B391)</f>
        <v/>
      </c>
      <c r="F789" s="116" t="str">
        <f aca="false">IF($A789="","",'Formation Initiale'!$G391)</f>
        <v/>
      </c>
      <c r="G789" s="116" t="str">
        <f aca="false">IF($A789="","",'Formation Initiale'!$H391)</f>
        <v/>
      </c>
      <c r="H789" s="0" t="str">
        <f aca="false">IF($A789="","",'Formation Initiale'!$L391)</f>
        <v/>
      </c>
      <c r="I789" s="0" t="str">
        <f aca="false">IF($A789="","",'Formation Initiale'!$R391)</f>
        <v/>
      </c>
      <c r="K789" s="104" t="n">
        <f aca="false">IF(A789="",0,IF(IFERROR(VLOOKUP(A789,Skills!$A:$M,13,FALSE()),"")="COS",0,IF(OR(I789="En cours",I789="À venir",I789="À planifier"),IF(AND(OR($C$3="Tous",$C$3="",C789=$C$3),OR($E$3="Tous",$E$3="",I789=$E$3)),1,0),0)))</f>
        <v>0</v>
      </c>
      <c r="L789" s="104" t="n">
        <f aca="false">L788+K789</f>
        <v>15</v>
      </c>
    </row>
    <row r="790" customFormat="false" ht="15" hidden="true" customHeight="true" outlineLevel="0" collapsed="false">
      <c r="A790" s="0" t="str">
        <f aca="false">IF('Formation Initiale'!$A392="","",'Formation Initiale'!$A392)</f>
        <v/>
      </c>
      <c r="B790" s="0" t="str">
        <f aca="false">IF($A790="","",'Formation Initiale'!$E392)</f>
        <v/>
      </c>
      <c r="C790" s="0" t="str">
        <f aca="false">IF($A790="","",'Formation Initiale'!$F392)</f>
        <v/>
      </c>
      <c r="D790" s="0" t="str">
        <f aca="false">IF($A790="","",IF('Formation Initiale'!$F392="Lisbonne","B2C (Initiale)","B2C+B2B (Initiale)"))</f>
        <v/>
      </c>
      <c r="E790" s="0" t="str">
        <f aca="false">IF($A790="","",'Formation Initiale'!$B392)</f>
        <v/>
      </c>
      <c r="F790" s="116" t="str">
        <f aca="false">IF($A790="","",'Formation Initiale'!$G392)</f>
        <v/>
      </c>
      <c r="G790" s="116" t="str">
        <f aca="false">IF($A790="","",'Formation Initiale'!$H392)</f>
        <v/>
      </c>
      <c r="H790" s="0" t="str">
        <f aca="false">IF($A790="","",'Formation Initiale'!$L392)</f>
        <v/>
      </c>
      <c r="I790" s="0" t="str">
        <f aca="false">IF($A790="","",'Formation Initiale'!$R392)</f>
        <v/>
      </c>
      <c r="K790" s="104" t="n">
        <f aca="false">IF(A790="",0,IF(IFERROR(VLOOKUP(A790,Skills!$A:$M,13,FALSE()),"")="COS",0,IF(OR(I790="En cours",I790="À venir",I790="À planifier"),IF(AND(OR($C$3="Tous",$C$3="",C790=$C$3),OR($E$3="Tous",$E$3="",I790=$E$3)),1,0),0)))</f>
        <v>0</v>
      </c>
      <c r="L790" s="104" t="n">
        <f aca="false">L789+K790</f>
        <v>15</v>
      </c>
    </row>
    <row r="791" customFormat="false" ht="15" hidden="true" customHeight="true" outlineLevel="0" collapsed="false">
      <c r="A791" s="0" t="str">
        <f aca="false">IF('Formation Initiale'!$A393="","",'Formation Initiale'!$A393)</f>
        <v/>
      </c>
      <c r="B791" s="0" t="str">
        <f aca="false">IF($A791="","",'Formation Initiale'!$E393)</f>
        <v/>
      </c>
      <c r="C791" s="0" t="str">
        <f aca="false">IF($A791="","",'Formation Initiale'!$F393)</f>
        <v/>
      </c>
      <c r="D791" s="0" t="str">
        <f aca="false">IF($A791="","",IF('Formation Initiale'!$F393="Lisbonne","B2C (Initiale)","B2C+B2B (Initiale)"))</f>
        <v/>
      </c>
      <c r="E791" s="0" t="str">
        <f aca="false">IF($A791="","",'Formation Initiale'!$B393)</f>
        <v/>
      </c>
      <c r="F791" s="116" t="str">
        <f aca="false">IF($A791="","",'Formation Initiale'!$G393)</f>
        <v/>
      </c>
      <c r="G791" s="116" t="str">
        <f aca="false">IF($A791="","",'Formation Initiale'!$H393)</f>
        <v/>
      </c>
      <c r="H791" s="0" t="str">
        <f aca="false">IF($A791="","",'Formation Initiale'!$L393)</f>
        <v/>
      </c>
      <c r="I791" s="0" t="str">
        <f aca="false">IF($A791="","",'Formation Initiale'!$R393)</f>
        <v/>
      </c>
      <c r="K791" s="104" t="n">
        <f aca="false">IF(A791="",0,IF(IFERROR(VLOOKUP(A791,Skills!$A:$M,13,FALSE()),"")="COS",0,IF(OR(I791="En cours",I791="À venir",I791="À planifier"),IF(AND(OR($C$3="Tous",$C$3="",C791=$C$3),OR($E$3="Tous",$E$3="",I791=$E$3)),1,0),0)))</f>
        <v>0</v>
      </c>
      <c r="L791" s="104" t="n">
        <f aca="false">L790+K791</f>
        <v>15</v>
      </c>
    </row>
    <row r="792" customFormat="false" ht="15" hidden="true" customHeight="true" outlineLevel="0" collapsed="false">
      <c r="A792" s="0" t="str">
        <f aca="false">IF('Formation Initiale'!$A394="","",'Formation Initiale'!$A394)</f>
        <v/>
      </c>
      <c r="B792" s="0" t="str">
        <f aca="false">IF($A792="","",'Formation Initiale'!$E394)</f>
        <v/>
      </c>
      <c r="C792" s="0" t="str">
        <f aca="false">IF($A792="","",'Formation Initiale'!$F394)</f>
        <v/>
      </c>
      <c r="D792" s="0" t="str">
        <f aca="false">IF($A792="","",IF('Formation Initiale'!$F394="Lisbonne","B2C (Initiale)","B2C+B2B (Initiale)"))</f>
        <v/>
      </c>
      <c r="E792" s="0" t="str">
        <f aca="false">IF($A792="","",'Formation Initiale'!$B394)</f>
        <v/>
      </c>
      <c r="F792" s="116" t="str">
        <f aca="false">IF($A792="","",'Formation Initiale'!$G394)</f>
        <v/>
      </c>
      <c r="G792" s="116" t="str">
        <f aca="false">IF($A792="","",'Formation Initiale'!$H394)</f>
        <v/>
      </c>
      <c r="H792" s="0" t="str">
        <f aca="false">IF($A792="","",'Formation Initiale'!$L394)</f>
        <v/>
      </c>
      <c r="I792" s="0" t="str">
        <f aca="false">IF($A792="","",'Formation Initiale'!$R394)</f>
        <v/>
      </c>
      <c r="K792" s="104" t="n">
        <f aca="false">IF(A792="",0,IF(IFERROR(VLOOKUP(A792,Skills!$A:$M,13,FALSE()),"")="COS",0,IF(OR(I792="En cours",I792="À venir",I792="À planifier"),IF(AND(OR($C$3="Tous",$C$3="",C792=$C$3),OR($E$3="Tous",$E$3="",I792=$E$3)),1,0),0)))</f>
        <v>0</v>
      </c>
      <c r="L792" s="104" t="n">
        <f aca="false">L791+K792</f>
        <v>15</v>
      </c>
    </row>
    <row r="793" customFormat="false" ht="15" hidden="true" customHeight="true" outlineLevel="0" collapsed="false">
      <c r="A793" s="0" t="str">
        <f aca="false">IF('Formation Initiale'!$A395="","",'Formation Initiale'!$A395)</f>
        <v/>
      </c>
      <c r="B793" s="0" t="str">
        <f aca="false">IF($A793="","",'Formation Initiale'!$E395)</f>
        <v/>
      </c>
      <c r="C793" s="0" t="str">
        <f aca="false">IF($A793="","",'Formation Initiale'!$F395)</f>
        <v/>
      </c>
      <c r="D793" s="0" t="str">
        <f aca="false">IF($A793="","",IF('Formation Initiale'!$F395="Lisbonne","B2C (Initiale)","B2C+B2B (Initiale)"))</f>
        <v/>
      </c>
      <c r="E793" s="0" t="str">
        <f aca="false">IF($A793="","",'Formation Initiale'!$B395)</f>
        <v/>
      </c>
      <c r="F793" s="116" t="str">
        <f aca="false">IF($A793="","",'Formation Initiale'!$G395)</f>
        <v/>
      </c>
      <c r="G793" s="116" t="str">
        <f aca="false">IF($A793="","",'Formation Initiale'!$H395)</f>
        <v/>
      </c>
      <c r="H793" s="0" t="str">
        <f aca="false">IF($A793="","",'Formation Initiale'!$L395)</f>
        <v/>
      </c>
      <c r="I793" s="0" t="str">
        <f aca="false">IF($A793="","",'Formation Initiale'!$R395)</f>
        <v/>
      </c>
      <c r="K793" s="104" t="n">
        <f aca="false">IF(A793="",0,IF(IFERROR(VLOOKUP(A793,Skills!$A:$M,13,FALSE()),"")="COS",0,IF(OR(I793="En cours",I793="À venir",I793="À planifier"),IF(AND(OR($C$3="Tous",$C$3="",C793=$C$3),OR($E$3="Tous",$E$3="",I793=$E$3)),1,0),0)))</f>
        <v>0</v>
      </c>
      <c r="L793" s="104" t="n">
        <f aca="false">L792+K793</f>
        <v>15</v>
      </c>
    </row>
    <row r="794" customFormat="false" ht="15" hidden="true" customHeight="true" outlineLevel="0" collapsed="false">
      <c r="A794" s="0" t="str">
        <f aca="false">IF('Formation Initiale'!$A396="","",'Formation Initiale'!$A396)</f>
        <v/>
      </c>
      <c r="B794" s="0" t="str">
        <f aca="false">IF($A794="","",'Formation Initiale'!$E396)</f>
        <v/>
      </c>
      <c r="C794" s="0" t="str">
        <f aca="false">IF($A794="","",'Formation Initiale'!$F396)</f>
        <v/>
      </c>
      <c r="D794" s="0" t="str">
        <f aca="false">IF($A794="","",IF('Formation Initiale'!$F396="Lisbonne","B2C (Initiale)","B2C+B2B (Initiale)"))</f>
        <v/>
      </c>
      <c r="E794" s="0" t="str">
        <f aca="false">IF($A794="","",'Formation Initiale'!$B396)</f>
        <v/>
      </c>
      <c r="F794" s="116" t="str">
        <f aca="false">IF($A794="","",'Formation Initiale'!$G396)</f>
        <v/>
      </c>
      <c r="G794" s="116" t="str">
        <f aca="false">IF($A794="","",'Formation Initiale'!$H396)</f>
        <v/>
      </c>
      <c r="H794" s="0" t="str">
        <f aca="false">IF($A794="","",'Formation Initiale'!$L396)</f>
        <v/>
      </c>
      <c r="I794" s="0" t="str">
        <f aca="false">IF($A794="","",'Formation Initiale'!$R396)</f>
        <v/>
      </c>
      <c r="K794" s="104" t="n">
        <f aca="false">IF(A794="",0,IF(IFERROR(VLOOKUP(A794,Skills!$A:$M,13,FALSE()),"")="COS",0,IF(OR(I794="En cours",I794="À venir",I794="À planifier"),IF(AND(OR($C$3="Tous",$C$3="",C794=$C$3),OR($E$3="Tous",$E$3="",I794=$E$3)),1,0),0)))</f>
        <v>0</v>
      </c>
      <c r="L794" s="104" t="n">
        <f aca="false">L793+K794</f>
        <v>15</v>
      </c>
    </row>
    <row r="795" customFormat="false" ht="15" hidden="true" customHeight="true" outlineLevel="0" collapsed="false">
      <c r="A795" s="0" t="str">
        <f aca="false">IF('Formation Initiale'!$A397="","",'Formation Initiale'!$A397)</f>
        <v/>
      </c>
      <c r="B795" s="0" t="str">
        <f aca="false">IF($A795="","",'Formation Initiale'!$E397)</f>
        <v/>
      </c>
      <c r="C795" s="0" t="str">
        <f aca="false">IF($A795="","",'Formation Initiale'!$F397)</f>
        <v/>
      </c>
      <c r="D795" s="0" t="str">
        <f aca="false">IF($A795="","",IF('Formation Initiale'!$F397="Lisbonne","B2C (Initiale)","B2C+B2B (Initiale)"))</f>
        <v/>
      </c>
      <c r="E795" s="0" t="str">
        <f aca="false">IF($A795="","",'Formation Initiale'!$B397)</f>
        <v/>
      </c>
      <c r="F795" s="116" t="str">
        <f aca="false">IF($A795="","",'Formation Initiale'!$G397)</f>
        <v/>
      </c>
      <c r="G795" s="116" t="str">
        <f aca="false">IF($A795="","",'Formation Initiale'!$H397)</f>
        <v/>
      </c>
      <c r="H795" s="0" t="str">
        <f aca="false">IF($A795="","",'Formation Initiale'!$L397)</f>
        <v/>
      </c>
      <c r="I795" s="0" t="str">
        <f aca="false">IF($A795="","",'Formation Initiale'!$R397)</f>
        <v/>
      </c>
      <c r="K795" s="104" t="n">
        <f aca="false">IF(A795="",0,IF(IFERROR(VLOOKUP(A795,Skills!$A:$M,13,FALSE()),"")="COS",0,IF(OR(I795="En cours",I795="À venir",I795="À planifier"),IF(AND(OR($C$3="Tous",$C$3="",C795=$C$3),OR($E$3="Tous",$E$3="",I795=$E$3)),1,0),0)))</f>
        <v>0</v>
      </c>
      <c r="L795" s="104" t="n">
        <f aca="false">L794+K795</f>
        <v>15</v>
      </c>
    </row>
    <row r="796" customFormat="false" ht="15" hidden="true" customHeight="true" outlineLevel="0" collapsed="false">
      <c r="A796" s="0" t="str">
        <f aca="false">IF('Formation Initiale'!$A398="","",'Formation Initiale'!$A398)</f>
        <v/>
      </c>
      <c r="B796" s="0" t="str">
        <f aca="false">IF($A796="","",'Formation Initiale'!$E398)</f>
        <v/>
      </c>
      <c r="C796" s="0" t="str">
        <f aca="false">IF($A796="","",'Formation Initiale'!$F398)</f>
        <v/>
      </c>
      <c r="D796" s="0" t="str">
        <f aca="false">IF($A796="","",IF('Formation Initiale'!$F398="Lisbonne","B2C (Initiale)","B2C+B2B (Initiale)"))</f>
        <v/>
      </c>
      <c r="E796" s="0" t="str">
        <f aca="false">IF($A796="","",'Formation Initiale'!$B398)</f>
        <v/>
      </c>
      <c r="F796" s="116" t="str">
        <f aca="false">IF($A796="","",'Formation Initiale'!$G398)</f>
        <v/>
      </c>
      <c r="G796" s="116" t="str">
        <f aca="false">IF($A796="","",'Formation Initiale'!$H398)</f>
        <v/>
      </c>
      <c r="H796" s="0" t="str">
        <f aca="false">IF($A796="","",'Formation Initiale'!$L398)</f>
        <v/>
      </c>
      <c r="I796" s="0" t="str">
        <f aca="false">IF($A796="","",'Formation Initiale'!$R398)</f>
        <v/>
      </c>
      <c r="K796" s="104" t="n">
        <f aca="false">IF(A796="",0,IF(IFERROR(VLOOKUP(A796,Skills!$A:$M,13,FALSE()),"")="COS",0,IF(OR(I796="En cours",I796="À venir",I796="À planifier"),IF(AND(OR($C$3="Tous",$C$3="",C796=$C$3),OR($E$3="Tous",$E$3="",I796=$E$3)),1,0),0)))</f>
        <v>0</v>
      </c>
      <c r="L796" s="104" t="n">
        <f aca="false">L795+K796</f>
        <v>15</v>
      </c>
    </row>
    <row r="797" customFormat="false" ht="15" hidden="true" customHeight="true" outlineLevel="0" collapsed="false">
      <c r="A797" s="0" t="str">
        <f aca="false">IF('Formation Initiale'!$A399="","",'Formation Initiale'!$A399)</f>
        <v/>
      </c>
      <c r="B797" s="0" t="str">
        <f aca="false">IF($A797="","",'Formation Initiale'!$E399)</f>
        <v/>
      </c>
      <c r="C797" s="0" t="str">
        <f aca="false">IF($A797="","",'Formation Initiale'!$F399)</f>
        <v/>
      </c>
      <c r="D797" s="0" t="str">
        <f aca="false">IF($A797="","",IF('Formation Initiale'!$F399="Lisbonne","B2C (Initiale)","B2C+B2B (Initiale)"))</f>
        <v/>
      </c>
      <c r="E797" s="0" t="str">
        <f aca="false">IF($A797="","",'Formation Initiale'!$B399)</f>
        <v/>
      </c>
      <c r="F797" s="116" t="str">
        <f aca="false">IF($A797="","",'Formation Initiale'!$G399)</f>
        <v/>
      </c>
      <c r="G797" s="116" t="str">
        <f aca="false">IF($A797="","",'Formation Initiale'!$H399)</f>
        <v/>
      </c>
      <c r="H797" s="0" t="str">
        <f aca="false">IF($A797="","",'Formation Initiale'!$L399)</f>
        <v/>
      </c>
      <c r="I797" s="0" t="str">
        <f aca="false">IF($A797="","",'Formation Initiale'!$R399)</f>
        <v/>
      </c>
      <c r="K797" s="104" t="n">
        <f aca="false">IF(A797="",0,IF(IFERROR(VLOOKUP(A797,Skills!$A:$M,13,FALSE()),"")="COS",0,IF(OR(I797="En cours",I797="À venir",I797="À planifier"),IF(AND(OR($C$3="Tous",$C$3="",C797=$C$3),OR($E$3="Tous",$E$3="",I797=$E$3)),1,0),0)))</f>
        <v>0</v>
      </c>
      <c r="L797" s="104" t="n">
        <f aca="false">L796+K797</f>
        <v>15</v>
      </c>
    </row>
    <row r="798" customFormat="false" ht="15" hidden="true" customHeight="true" outlineLevel="0" collapsed="false">
      <c r="A798" s="0" t="str">
        <f aca="false">IF('Formation Initiale'!$A400="","",'Formation Initiale'!$A400)</f>
        <v/>
      </c>
      <c r="B798" s="0" t="str">
        <f aca="false">IF($A798="","",'Formation Initiale'!$E400)</f>
        <v/>
      </c>
      <c r="C798" s="0" t="str">
        <f aca="false">IF($A798="","",'Formation Initiale'!$F400)</f>
        <v/>
      </c>
      <c r="D798" s="0" t="str">
        <f aca="false">IF($A798="","",IF('Formation Initiale'!$F400="Lisbonne","B2C (Initiale)","B2C+B2B (Initiale)"))</f>
        <v/>
      </c>
      <c r="E798" s="0" t="str">
        <f aca="false">IF($A798="","",'Formation Initiale'!$B400)</f>
        <v/>
      </c>
      <c r="F798" s="116" t="str">
        <f aca="false">IF($A798="","",'Formation Initiale'!$G400)</f>
        <v/>
      </c>
      <c r="G798" s="116" t="str">
        <f aca="false">IF($A798="","",'Formation Initiale'!$H400)</f>
        <v/>
      </c>
      <c r="H798" s="0" t="str">
        <f aca="false">IF($A798="","",'Formation Initiale'!$L400)</f>
        <v/>
      </c>
      <c r="I798" s="0" t="str">
        <f aca="false">IF($A798="","",'Formation Initiale'!$R400)</f>
        <v/>
      </c>
      <c r="K798" s="104" t="n">
        <f aca="false">IF(A798="",0,IF(IFERROR(VLOOKUP(A798,Skills!$A:$M,13,FALSE()),"")="COS",0,IF(OR(I798="En cours",I798="À venir",I798="À planifier"),IF(AND(OR($C$3="Tous",$C$3="",C798=$C$3),OR($E$3="Tous",$E$3="",I798=$E$3)),1,0),0)))</f>
        <v>0</v>
      </c>
      <c r="L798" s="104" t="n">
        <f aca="false">L797+K798</f>
        <v>15</v>
      </c>
    </row>
    <row r="799" customFormat="false" ht="15" hidden="true" customHeight="true" outlineLevel="0" collapsed="false">
      <c r="A799" s="0" t="str">
        <f aca="false">IF('Formation Initiale'!$A401="","",'Formation Initiale'!$A401)</f>
        <v/>
      </c>
      <c r="B799" s="0" t="str">
        <f aca="false">IF($A799="","",'Formation Initiale'!$E401)</f>
        <v/>
      </c>
      <c r="C799" s="0" t="str">
        <f aca="false">IF($A799="","",'Formation Initiale'!$F401)</f>
        <v/>
      </c>
      <c r="D799" s="0" t="str">
        <f aca="false">IF($A799="","",IF('Formation Initiale'!$F401="Lisbonne","B2C (Initiale)","B2C+B2B (Initiale)"))</f>
        <v/>
      </c>
      <c r="E799" s="0" t="str">
        <f aca="false">IF($A799="","",'Formation Initiale'!$B401)</f>
        <v/>
      </c>
      <c r="F799" s="116" t="str">
        <f aca="false">IF($A799="","",'Formation Initiale'!$G401)</f>
        <v/>
      </c>
      <c r="G799" s="116" t="str">
        <f aca="false">IF($A799="","",'Formation Initiale'!$H401)</f>
        <v/>
      </c>
      <c r="H799" s="0" t="str">
        <f aca="false">IF($A799="","",'Formation Initiale'!$L401)</f>
        <v/>
      </c>
      <c r="I799" s="0" t="str">
        <f aca="false">IF($A799="","",'Formation Initiale'!$R401)</f>
        <v/>
      </c>
      <c r="K799" s="104" t="n">
        <f aca="false">IF(A799="",0,IF(IFERROR(VLOOKUP(A799,Skills!$A:$M,13,FALSE()),"")="COS",0,IF(OR(I799="En cours",I799="À venir",I799="À planifier"),IF(AND(OR($C$3="Tous",$C$3="",C799=$C$3),OR($E$3="Tous",$E$3="",I799=$E$3)),1,0),0)))</f>
        <v>0</v>
      </c>
      <c r="L799" s="104" t="n">
        <f aca="false">L798+K799</f>
        <v>15</v>
      </c>
    </row>
    <row r="800" customFormat="false" ht="15" hidden="true" customHeight="true" outlineLevel="0" collapsed="false">
      <c r="A800" s="0" t="str">
        <f aca="false">IF('Agences &amp; Après-vente'!$A2="","",'Agences &amp; Après-vente'!$A2)</f>
        <v>TR060</v>
      </c>
      <c r="B800" s="0" t="str">
        <f aca="false">IF($A800="","",'Agences &amp; Après-vente'!$B2)</f>
        <v>Stelvale Valebrook</v>
      </c>
      <c r="C800" s="0" t="str">
        <f aca="false">IF($A800="","",'Agences &amp; Après-vente'!$C2)</f>
        <v>Montréal</v>
      </c>
      <c r="D800" s="0" t="str">
        <f aca="false">IF($A800="","","Nouvelle compétence")</f>
        <v>Nouvelle compétence</v>
      </c>
      <c r="E800" s="0" t="str">
        <f aca="false">IF($A800="","",'Agences &amp; Après-vente'!$D2)</f>
        <v>Agences et Après-vente</v>
      </c>
      <c r="F800" s="116" t="n">
        <f aca="false">IF($A800="","",'Agences &amp; Après-vente'!$E2)</f>
        <v>46148</v>
      </c>
      <c r="G800" s="116" t="n">
        <f aca="false">IF($A800="","",'Agences &amp; Après-vente'!$F2)</f>
        <v>46150</v>
      </c>
      <c r="H800" s="104" t="n">
        <f aca="true">IF($A800="","",IFERROR(MAX(0,NETWORKDAYS(TODAY(),'Agences &amp; Après-vente'!$F2)),""))</f>
        <v>0</v>
      </c>
      <c r="I800" s="0" t="str">
        <f aca="false">IF($A800="","",'Agences &amp; Après-vente'!$I2)</f>
        <v>DONE</v>
      </c>
      <c r="K800" s="104" t="n">
        <f aca="false">IF(A800="",0,IF(IFERROR(VLOOKUP(A800,Skills!$A:$M,13,FALSE()),"")="COS",0,IF(OR(I800="En cours",I800="À venir",I800="À planifier"),IF(AND(OR($C$3="Tous",$C$3="",C800=$C$3),OR($E$3="Tous",$E$3="",I800=$E$3)),1,0),0)))</f>
        <v>0</v>
      </c>
      <c r="L800" s="104" t="n">
        <f aca="false">L799+K800</f>
        <v>15</v>
      </c>
    </row>
    <row r="801" customFormat="false" ht="15" hidden="true" customHeight="true" outlineLevel="0" collapsed="false">
      <c r="A801" s="0" t="str">
        <f aca="false">IF('Agences &amp; Après-vente'!$A3="","",'Agences &amp; Après-vente'!$A3)</f>
        <v>TR094</v>
      </c>
      <c r="B801" s="0" t="str">
        <f aca="false">IF($A801="","",'Agences &amp; Après-vente'!$B3)</f>
        <v>Braith Calith</v>
      </c>
      <c r="C801" s="0" t="str">
        <f aca="false">IF($A801="","",'Agences &amp; Après-vente'!$C3)</f>
        <v>Montréal</v>
      </c>
      <c r="D801" s="0" t="str">
        <f aca="false">IF($A801="","","Nouvelle compétence")</f>
        <v>Nouvelle compétence</v>
      </c>
      <c r="E801" s="0" t="str">
        <f aca="false">IF($A801="","",'Agences &amp; Après-vente'!$D3)</f>
        <v>Agences et Après-vente</v>
      </c>
      <c r="F801" s="116" t="n">
        <f aca="false">IF($A801="","",'Agences &amp; Après-vente'!$E3)</f>
        <v>46148</v>
      </c>
      <c r="G801" s="116" t="n">
        <f aca="false">IF($A801="","",'Agences &amp; Après-vente'!$F3)</f>
        <v>46149</v>
      </c>
      <c r="H801" s="104" t="n">
        <f aca="true">IF($A801="","",IFERROR(MAX(0,NETWORKDAYS(TODAY(),'Agences &amp; Après-vente'!$F3)),""))</f>
        <v>0</v>
      </c>
      <c r="I801" s="0" t="str">
        <f aca="false">IF($A801="","",'Agences &amp; Après-vente'!$I3)</f>
        <v>DONE</v>
      </c>
      <c r="K801" s="104" t="n">
        <f aca="false">IF(A801="",0,IF(IFERROR(VLOOKUP(A801,Skills!$A:$M,13,FALSE()),"")="COS",0,IF(OR(I801="En cours",I801="À venir",I801="À planifier"),IF(AND(OR($C$3="Tous",$C$3="",C801=$C$3),OR($E$3="Tous",$E$3="",I801=$E$3)),1,0),0)))</f>
        <v>0</v>
      </c>
      <c r="L801" s="104" t="n">
        <f aca="false">L800+K801</f>
        <v>15</v>
      </c>
    </row>
    <row r="802" customFormat="false" ht="15" hidden="true" customHeight="true" outlineLevel="0" collapsed="false">
      <c r="A802" s="0" t="str">
        <f aca="false">IF('Agences &amp; Après-vente'!$A4="","",'Agences &amp; Après-vente'!$A4)</f>
        <v>TR030</v>
      </c>
      <c r="B802" s="0" t="str">
        <f aca="false">IF($A802="","",'Agences &amp; Après-vente'!$B4)</f>
        <v>Fenus Yoror</v>
      </c>
      <c r="C802" s="0" t="str">
        <f aca="false">IF($A802="","",'Agences &amp; Après-vente'!$C4)</f>
        <v>Montréal</v>
      </c>
      <c r="D802" s="0" t="str">
        <f aca="false">IF($A802="","","Nouvelle compétence")</f>
        <v>Nouvelle compétence</v>
      </c>
      <c r="E802" s="0" t="str">
        <f aca="false">IF($A802="","",'Agences &amp; Après-vente'!$D4)</f>
        <v>Agences et Après-vente</v>
      </c>
      <c r="F802" s="116" t="n">
        <f aca="false">IF($A802="","",'Agences &amp; Après-vente'!$E4)</f>
        <v>46148</v>
      </c>
      <c r="G802" s="116" t="n">
        <f aca="false">IF($A802="","",'Agences &amp; Après-vente'!$F4)</f>
        <v>46150</v>
      </c>
      <c r="H802" s="104" t="n">
        <f aca="true">IF($A802="","",IFERROR(MAX(0,NETWORKDAYS(TODAY(),'Agences &amp; Après-vente'!$F4)),""))</f>
        <v>0</v>
      </c>
      <c r="I802" s="0" t="str">
        <f aca="false">IF($A802="","",'Agences &amp; Après-vente'!$I4)</f>
        <v>DONE</v>
      </c>
      <c r="K802" s="104" t="n">
        <f aca="false">IF(A802="",0,IF(IFERROR(VLOOKUP(A802,Skills!$A:$M,13,FALSE()),"")="COS",0,IF(OR(I802="En cours",I802="À venir",I802="À planifier"),IF(AND(OR($C$3="Tous",$C$3="",C802=$C$3),OR($E$3="Tous",$E$3="",I802=$E$3)),1,0),0)))</f>
        <v>0</v>
      </c>
      <c r="L802" s="104" t="n">
        <f aca="false">L801+K802</f>
        <v>15</v>
      </c>
    </row>
    <row r="803" customFormat="false" ht="15" hidden="true" customHeight="true" outlineLevel="0" collapsed="false">
      <c r="A803" s="0" t="str">
        <f aca="false">IF('Agences &amp; Après-vente'!$A5="","",'Agences &amp; Après-vente'!$A5)</f>
        <v>TR003</v>
      </c>
      <c r="B803" s="0" t="str">
        <f aca="false">IF($A803="","",'Agences &amp; Après-vente'!$B5)</f>
        <v>Kendfield Moran Lumith</v>
      </c>
      <c r="C803" s="0" t="str">
        <f aca="false">IF($A803="","",'Agences &amp; Après-vente'!$C5)</f>
        <v>Montréal</v>
      </c>
      <c r="D803" s="0" t="str">
        <f aca="false">IF($A803="","","Nouvelle compétence")</f>
        <v>Nouvelle compétence</v>
      </c>
      <c r="E803" s="0" t="str">
        <f aca="false">IF($A803="","",'Agences &amp; Après-vente'!$D5)</f>
        <v>Agences et Après-vente</v>
      </c>
      <c r="F803" s="116" t="n">
        <f aca="false">IF($A803="","",'Agences &amp; Après-vente'!$E5)</f>
        <v>46148</v>
      </c>
      <c r="G803" s="116" t="n">
        <f aca="false">IF($A803="","",'Agences &amp; Après-vente'!$F5)</f>
        <v>46150</v>
      </c>
      <c r="H803" s="104" t="n">
        <f aca="true">IF($A803="","",IFERROR(MAX(0,NETWORKDAYS(TODAY(),'Agences &amp; Après-vente'!$F5)),""))</f>
        <v>0</v>
      </c>
      <c r="I803" s="0" t="str">
        <f aca="false">IF($A803="","",'Agences &amp; Après-vente'!$I5)</f>
        <v>DONE</v>
      </c>
      <c r="K803" s="104" t="n">
        <f aca="false">IF(A803="",0,IF(IFERROR(VLOOKUP(A803,Skills!$A:$M,13,FALSE()),"")="COS",0,IF(OR(I803="En cours",I803="À venir",I803="À planifier"),IF(AND(OR($C$3="Tous",$C$3="",C803=$C$3),OR($E$3="Tous",$E$3="",I803=$E$3)),1,0),0)))</f>
        <v>0</v>
      </c>
      <c r="L803" s="104" t="n">
        <f aca="false">L802+K803</f>
        <v>15</v>
      </c>
    </row>
    <row r="804" customFormat="false" ht="15" hidden="true" customHeight="true" outlineLevel="0" collapsed="false">
      <c r="A804" s="0" t="str">
        <f aca="false">IF('Agences &amp; Après-vente'!$A6="","",'Agences &amp; Après-vente'!$A6)</f>
        <v>TR016</v>
      </c>
      <c r="B804" s="0" t="str">
        <f aca="false">IF($A804="","",'Agences &amp; Après-vente'!$B6)</f>
        <v>Gilum Larkfield</v>
      </c>
      <c r="C804" s="0" t="str">
        <f aca="false">IF($A804="","",'Agences &amp; Après-vente'!$C6)</f>
        <v>Montréal</v>
      </c>
      <c r="D804" s="0" t="str">
        <f aca="false">IF($A804="","","Nouvelle compétence")</f>
        <v>Nouvelle compétence</v>
      </c>
      <c r="E804" s="0" t="str">
        <f aca="false">IF($A804="","",'Agences &amp; Après-vente'!$D6)</f>
        <v>Agences et Après-vente</v>
      </c>
      <c r="F804" s="116" t="n">
        <f aca="false">IF($A804="","",'Agences &amp; Après-vente'!$E6)</f>
        <v>46149</v>
      </c>
      <c r="G804" s="116" t="n">
        <f aca="false">IF($A804="","",'Agences &amp; Après-vente'!$F6)</f>
        <v>46153</v>
      </c>
      <c r="H804" s="104" t="n">
        <f aca="true">IF($A804="","",IFERROR(MAX(0,NETWORKDAYS(TODAY(),'Agences &amp; Après-vente'!$F6)),""))</f>
        <v>0</v>
      </c>
      <c r="I804" s="0" t="str">
        <f aca="false">IF($A804="","",'Agences &amp; Après-vente'!$I6)</f>
        <v>DONE</v>
      </c>
      <c r="K804" s="104" t="n">
        <f aca="false">IF(A804="",0,IF(IFERROR(VLOOKUP(A804,Skills!$A:$M,13,FALSE()),"")="COS",0,IF(OR(I804="En cours",I804="À venir",I804="À planifier"),IF(AND(OR($C$3="Tous",$C$3="",C804=$C$3),OR($E$3="Tous",$E$3="",I804=$E$3)),1,0),0)))</f>
        <v>0</v>
      </c>
      <c r="L804" s="104" t="n">
        <f aca="false">L803+K804</f>
        <v>15</v>
      </c>
    </row>
    <row r="805" customFormat="false" ht="15" hidden="true" customHeight="true" outlineLevel="0" collapsed="false">
      <c r="A805" s="0" t="str">
        <f aca="false">IF('Agences &amp; Après-vente'!$A7="","",'Agences &amp; Après-vente'!$A7)</f>
        <v>TR140</v>
      </c>
      <c r="B805" s="0" t="str">
        <f aca="false">IF($A805="","",'Agences &amp; Après-vente'!$B7)</f>
        <v>Kelen Toric</v>
      </c>
      <c r="C805" s="0" t="str">
        <f aca="false">IF($A805="","",'Agences &amp; Après-vente'!$C7)</f>
        <v>Montréal</v>
      </c>
      <c r="D805" s="0" t="str">
        <f aca="false">IF($A805="","","Nouvelle compétence")</f>
        <v>Nouvelle compétence</v>
      </c>
      <c r="E805" s="0" t="str">
        <f aca="false">IF($A805="","",'Agences &amp; Après-vente'!$D7)</f>
        <v>Agences et Après-vente</v>
      </c>
      <c r="F805" s="116" t="n">
        <f aca="false">IF($A805="","",'Agences &amp; Après-vente'!$E7)</f>
        <v>46149</v>
      </c>
      <c r="G805" s="116" t="n">
        <f aca="false">IF($A805="","",'Agences &amp; Après-vente'!$F7)</f>
        <v>46153</v>
      </c>
      <c r="H805" s="104" t="n">
        <f aca="true">IF($A805="","",IFERROR(MAX(0,NETWORKDAYS(TODAY(),'Agences &amp; Après-vente'!$F7)),""))</f>
        <v>0</v>
      </c>
      <c r="I805" s="0" t="str">
        <f aca="false">IF($A805="","",'Agences &amp; Après-vente'!$I7)</f>
        <v>DONE</v>
      </c>
      <c r="K805" s="104" t="n">
        <f aca="false">IF(A805="",0,IF(IFERROR(VLOOKUP(A805,Skills!$A:$M,13,FALSE()),"")="COS",0,IF(OR(I805="En cours",I805="À venir",I805="À planifier"),IF(AND(OR($C$3="Tous",$C$3="",C805=$C$3),OR($E$3="Tous",$E$3="",I805=$E$3)),1,0),0)))</f>
        <v>0</v>
      </c>
      <c r="L805" s="104" t="n">
        <f aca="false">L804+K805</f>
        <v>15</v>
      </c>
    </row>
    <row r="806" customFormat="false" ht="15" hidden="true" customHeight="true" outlineLevel="0" collapsed="false">
      <c r="A806" s="0" t="str">
        <f aca="false">IF('Agences &amp; Après-vente'!$A8="","",'Agences &amp; Après-vente'!$A8)</f>
        <v>TR104</v>
      </c>
      <c r="B806" s="0" t="str">
        <f aca="false">IF($A806="","",'Agences &amp; Après-vente'!$B8)</f>
        <v>Haxus Corrridge</v>
      </c>
      <c r="C806" s="0" t="str">
        <f aca="false">IF($A806="","",'Agences &amp; Après-vente'!$C8)</f>
        <v>Montréal</v>
      </c>
      <c r="D806" s="0" t="str">
        <f aca="false">IF($A806="","","Nouvelle compétence")</f>
        <v>Nouvelle compétence</v>
      </c>
      <c r="E806" s="0" t="str">
        <f aca="false">IF($A806="","",'Agences &amp; Après-vente'!$D8)</f>
        <v>Agences et Après-vente</v>
      </c>
      <c r="F806" s="116" t="n">
        <f aca="false">IF($A806="","",'Agences &amp; Après-vente'!$E8)</f>
        <v>46150</v>
      </c>
      <c r="G806" s="116" t="n">
        <f aca="false">IF($A806="","",'Agences &amp; Après-vente'!$F8)</f>
        <v>46154</v>
      </c>
      <c r="H806" s="104" t="n">
        <f aca="true">IF($A806="","",IFERROR(MAX(0,NETWORKDAYS(TODAY(),'Agences &amp; Après-vente'!$F8)),""))</f>
        <v>0</v>
      </c>
      <c r="I806" s="0" t="str">
        <f aca="false">IF($A806="","",'Agences &amp; Après-vente'!$I8)</f>
        <v>DONE</v>
      </c>
      <c r="K806" s="104" t="n">
        <f aca="false">IF(A806="",0,IF(IFERROR(VLOOKUP(A806,Skills!$A:$M,13,FALSE()),"")="COS",0,IF(OR(I806="En cours",I806="À venir",I806="À planifier"),IF(AND(OR($C$3="Tous",$C$3="",C806=$C$3),OR($E$3="Tous",$E$3="",I806=$E$3)),1,0),0)))</f>
        <v>0</v>
      </c>
      <c r="L806" s="104" t="n">
        <f aca="false">L805+K806</f>
        <v>15</v>
      </c>
    </row>
    <row r="807" customFormat="false" ht="15" hidden="true" customHeight="true" outlineLevel="0" collapsed="false">
      <c r="A807" s="0" t="str">
        <f aca="false">IF('Agences &amp; Après-vente'!$A9="","",'Agences &amp; Après-vente'!$A9)</f>
        <v>TR019</v>
      </c>
      <c r="B807" s="0" t="str">
        <f aca="false">IF($A807="","",'Agences &amp; Après-vente'!$B9)</f>
        <v>Kelar Dellbrook</v>
      </c>
      <c r="C807" s="0" t="str">
        <f aca="false">IF($A807="","",'Agences &amp; Après-vente'!$C9)</f>
        <v>Montréal</v>
      </c>
      <c r="D807" s="0" t="str">
        <f aca="false">IF($A807="","","Nouvelle compétence")</f>
        <v>Nouvelle compétence</v>
      </c>
      <c r="E807" s="0" t="str">
        <f aca="false">IF($A807="","",'Agences &amp; Après-vente'!$D9)</f>
        <v>Agences et Après-vente</v>
      </c>
      <c r="F807" s="116" t="n">
        <f aca="false">IF($A807="","",'Agences &amp; Après-vente'!$E9)</f>
        <v>46150</v>
      </c>
      <c r="G807" s="116" t="n">
        <f aca="false">IF($A807="","",'Agences &amp; Après-vente'!$F9)</f>
        <v>46154</v>
      </c>
      <c r="H807" s="104" t="n">
        <f aca="true">IF($A807="","",IFERROR(MAX(0,NETWORKDAYS(TODAY(),'Agences &amp; Après-vente'!$F9)),""))</f>
        <v>0</v>
      </c>
      <c r="I807" s="0" t="str">
        <f aca="false">IF($A807="","",'Agences &amp; Après-vente'!$I9)</f>
        <v>DONE</v>
      </c>
      <c r="K807" s="104" t="n">
        <f aca="false">IF(A807="",0,IF(IFERROR(VLOOKUP(A807,Skills!$A:$M,13,FALSE()),"")="COS",0,IF(OR(I807="En cours",I807="À venir",I807="À planifier"),IF(AND(OR($C$3="Tous",$C$3="",C807=$C$3),OR($E$3="Tous",$E$3="",I807=$E$3)),1,0),0)))</f>
        <v>0</v>
      </c>
      <c r="L807" s="104" t="n">
        <f aca="false">L806+K807</f>
        <v>15</v>
      </c>
    </row>
    <row r="808" customFormat="false" ht="15" hidden="true" customHeight="true" outlineLevel="0" collapsed="false">
      <c r="A808" s="0" t="str">
        <f aca="false">IF('Agences &amp; Après-vente'!$A10="","",'Agences &amp; Après-vente'!$A10)</f>
        <v>TR083</v>
      </c>
      <c r="B808" s="0" t="str">
        <f aca="false">IF($A808="","",'Agences &amp; Après-vente'!$B10)</f>
        <v>Kendmere Selor</v>
      </c>
      <c r="C808" s="0" t="str">
        <f aca="false">IF($A808="","",'Agences &amp; Après-vente'!$C10)</f>
        <v>Montréal</v>
      </c>
      <c r="D808" s="0" t="str">
        <f aca="false">IF($A808="","","Nouvelle compétence")</f>
        <v>Nouvelle compétence</v>
      </c>
      <c r="E808" s="0" t="str">
        <f aca="false">IF($A808="","",'Agences &amp; Après-vente'!$D10)</f>
        <v>Agences et Après-vente</v>
      </c>
      <c r="F808" s="116" t="n">
        <f aca="false">IF($A808="","",'Agences &amp; Après-vente'!$E10)</f>
        <v>46151</v>
      </c>
      <c r="G808" s="116" t="n">
        <f aca="false">IF($A808="","",'Agences &amp; Après-vente'!$F10)</f>
        <v>46154</v>
      </c>
      <c r="H808" s="104" t="n">
        <f aca="true">IF($A808="","",IFERROR(MAX(0,NETWORKDAYS(TODAY(),'Agences &amp; Après-vente'!$F10)),""))</f>
        <v>0</v>
      </c>
      <c r="I808" s="0" t="str">
        <f aca="false">IF($A808="","",'Agences &amp; Après-vente'!$I10)</f>
        <v>DONE</v>
      </c>
      <c r="K808" s="104" t="n">
        <f aca="false">IF(A808="",0,IF(IFERROR(VLOOKUP(A808,Skills!$A:$M,13,FALSE()),"")="COS",0,IF(OR(I808="En cours",I808="À venir",I808="À planifier"),IF(AND(OR($C$3="Tous",$C$3="",C808=$C$3),OR($E$3="Tous",$E$3="",I808=$E$3)),1,0),0)))</f>
        <v>0</v>
      </c>
      <c r="L808" s="104" t="n">
        <f aca="false">L807+K808</f>
        <v>15</v>
      </c>
    </row>
    <row r="809" customFormat="false" ht="15" hidden="true" customHeight="true" outlineLevel="0" collapsed="false">
      <c r="A809" s="0" t="str">
        <f aca="false">IF('Agences &amp; Après-vente'!$A11="","",'Agences &amp; Après-vente'!$A11)</f>
        <v>TR063</v>
      </c>
      <c r="B809" s="0" t="str">
        <f aca="false">IF($A809="","",'Agences &amp; Après-vente'!$B11)</f>
        <v>Jorus Marsgate</v>
      </c>
      <c r="C809" s="0" t="str">
        <f aca="false">IF($A809="","",'Agences &amp; Après-vente'!$C11)</f>
        <v>Montréal</v>
      </c>
      <c r="D809" s="0" t="str">
        <f aca="false">IF($A809="","","Nouvelle compétence")</f>
        <v>Nouvelle compétence</v>
      </c>
      <c r="E809" s="0" t="str">
        <f aca="false">IF($A809="","",'Agences &amp; Après-vente'!$D11)</f>
        <v>Agences et Après-vente</v>
      </c>
      <c r="F809" s="116" t="n">
        <f aca="false">IF($A809="","",'Agences &amp; Après-vente'!$E11)</f>
        <v>46151</v>
      </c>
      <c r="G809" s="116" t="n">
        <f aca="false">IF($A809="","",'Agences &amp; Après-vente'!$F11)</f>
        <v>46155</v>
      </c>
      <c r="H809" s="104" t="n">
        <f aca="true">IF($A809="","",IFERROR(MAX(0,NETWORKDAYS(TODAY(),'Agences &amp; Après-vente'!$F11)),""))</f>
        <v>0</v>
      </c>
      <c r="I809" s="0" t="str">
        <f aca="false">IF($A809="","",'Agences &amp; Après-vente'!$I11)</f>
        <v>DONE</v>
      </c>
      <c r="K809" s="104" t="n">
        <f aca="false">IF(A809="",0,IF(IFERROR(VLOOKUP(A809,Skills!$A:$M,13,FALSE()),"")="COS",0,IF(OR(I809="En cours",I809="À venir",I809="À planifier"),IF(AND(OR($C$3="Tous",$C$3="",C809=$C$3),OR($E$3="Tous",$E$3="",I809=$E$3)),1,0),0)))</f>
        <v>0</v>
      </c>
      <c r="L809" s="104" t="n">
        <f aca="false">L808+K809</f>
        <v>15</v>
      </c>
    </row>
    <row r="810" customFormat="false" ht="15" hidden="true" customHeight="true" outlineLevel="0" collapsed="false">
      <c r="A810" s="0" t="str">
        <f aca="false">IF('Agences &amp; Après-vente'!$A12="","",'Agences &amp; Après-vente'!$A12)</f>
        <v>TR055</v>
      </c>
      <c r="B810" s="0" t="str">
        <f aca="false">IF($A810="","",'Agences &amp; Après-vente'!$B12)</f>
        <v>Quillhaven Larkworth</v>
      </c>
      <c r="C810" s="0" t="str">
        <f aca="false">IF($A810="","",'Agences &amp; Après-vente'!$C12)</f>
        <v>Montréal</v>
      </c>
      <c r="D810" s="0" t="str">
        <f aca="false">IF($A810="","","Nouvelle compétence")</f>
        <v>Nouvelle compétence</v>
      </c>
      <c r="E810" s="0" t="str">
        <f aca="false">IF($A810="","",'Agences &amp; Après-vente'!$D12)</f>
        <v>Agences et Après-vente</v>
      </c>
      <c r="F810" s="116" t="n">
        <f aca="false">IF($A810="","",'Agences &amp; Après-vente'!$E12)</f>
        <v>46152</v>
      </c>
      <c r="G810" s="116" t="n">
        <f aca="false">IF($A810="","",'Agences &amp; Après-vente'!$F12)</f>
        <v>46155</v>
      </c>
      <c r="H810" s="104" t="n">
        <f aca="true">IF($A810="","",IFERROR(MAX(0,NETWORKDAYS(TODAY(),'Agences &amp; Après-vente'!$F12)),""))</f>
        <v>0</v>
      </c>
      <c r="I810" s="0" t="str">
        <f aca="false">IF($A810="","",'Agences &amp; Après-vente'!$I12)</f>
        <v>DONE</v>
      </c>
      <c r="K810" s="104" t="n">
        <f aca="false">IF(A810="",0,IF(IFERROR(VLOOKUP(A810,Skills!$A:$M,13,FALSE()),"")="COS",0,IF(OR(I810="En cours",I810="À venir",I810="À planifier"),IF(AND(OR($C$3="Tous",$C$3="",C810=$C$3),OR($E$3="Tous",$E$3="",I810=$E$3)),1,0),0)))</f>
        <v>0</v>
      </c>
      <c r="L810" s="104" t="n">
        <f aca="false">L809+K810</f>
        <v>15</v>
      </c>
    </row>
    <row r="811" customFormat="false" ht="15" hidden="true" customHeight="true" outlineLevel="0" collapsed="false">
      <c r="A811" s="0" t="str">
        <f aca="false">IF('Agences &amp; Après-vente'!$A13="","",'Agences &amp; Après-vente'!$A13)</f>
        <v>TR144</v>
      </c>
      <c r="B811" s="0" t="str">
        <f aca="false">IF($A811="","",'Agences &amp; Après-vente'!$B13)</f>
        <v>Yorol Ashbrook</v>
      </c>
      <c r="C811" s="0" t="str">
        <f aca="false">IF($A811="","",'Agences &amp; Après-vente'!$C13)</f>
        <v>Montréal</v>
      </c>
      <c r="D811" s="0" t="str">
        <f aca="false">IF($A811="","","Nouvelle compétence")</f>
        <v>Nouvelle compétence</v>
      </c>
      <c r="E811" s="0" t="str">
        <f aca="false">IF($A811="","",'Agences &amp; Après-vente'!$D13)</f>
        <v>Agences</v>
      </c>
      <c r="F811" s="116" t="n">
        <f aca="false">IF($A811="","",'Agences &amp; Après-vente'!$E13)</f>
        <v>46175</v>
      </c>
      <c r="G811" s="116" t="n">
        <f aca="false">IF($A811="","",'Agences &amp; Après-vente'!$F13)</f>
        <v>46178</v>
      </c>
      <c r="H811" s="104" t="n">
        <f aca="true">IF($A811="","",IFERROR(MAX(0,NETWORKDAYS(TODAY(),'Agences &amp; Après-vente'!$F13)),""))</f>
        <v>0</v>
      </c>
      <c r="I811" s="0" t="str">
        <f aca="false">IF($A811="","",'Agences &amp; Après-vente'!$I13)</f>
        <v>DONE</v>
      </c>
      <c r="K811" s="104" t="n">
        <f aca="false">IF(A811="",0,IF(IFERROR(VLOOKUP(A811,Skills!$A:$M,13,FALSE()),"")="COS",0,IF(OR(I811="En cours",I811="À venir",I811="À planifier"),IF(AND(OR($C$3="Tous",$C$3="",C811=$C$3),OR($E$3="Tous",$E$3="",I811=$E$3)),1,0),0)))</f>
        <v>0</v>
      </c>
      <c r="L811" s="104" t="n">
        <f aca="false">L810+K811</f>
        <v>15</v>
      </c>
    </row>
    <row r="812" customFormat="false" ht="15" hidden="true" customHeight="true" outlineLevel="0" collapsed="false">
      <c r="A812" s="0" t="str">
        <f aca="false">IF('Agences &amp; Après-vente'!$A14="","",'Agences &amp; Après-vente'!$A14)</f>
        <v>TR001</v>
      </c>
      <c r="B812" s="0" t="str">
        <f aca="false">IF($A812="","",'Agences &amp; Après-vente'!$B14)</f>
        <v>Lumus Fenel Valeridge</v>
      </c>
      <c r="C812" s="0" t="str">
        <f aca="false">IF($A812="","",'Agences &amp; Après-vente'!$C14)</f>
        <v>Montréal</v>
      </c>
      <c r="D812" s="0" t="str">
        <f aca="false">IF($A812="","","Nouvelle compétence")</f>
        <v>Nouvelle compétence</v>
      </c>
      <c r="E812" s="0" t="str">
        <f aca="false">IF($A812="","",'Agences &amp; Après-vente'!$D14)</f>
        <v>Agences</v>
      </c>
      <c r="F812" s="116" t="n">
        <f aca="false">IF($A812="","",'Agences &amp; Après-vente'!$E14)</f>
        <v>46167</v>
      </c>
      <c r="G812" s="116" t="n">
        <f aca="false">IF($A812="","",'Agences &amp; Après-vente'!$F14)</f>
        <v>46168</v>
      </c>
      <c r="H812" s="104" t="n">
        <f aca="true">IF($A812="","",IFERROR(MAX(0,NETWORKDAYS(TODAY(),'Agences &amp; Après-vente'!$F14)),""))</f>
        <v>0</v>
      </c>
      <c r="I812" s="0" t="str">
        <f aca="false">IF($A812="","",'Agences &amp; Après-vente'!$I14)</f>
        <v>DONE</v>
      </c>
      <c r="K812" s="104" t="n">
        <f aca="false">IF(A812="",0,IF(IFERROR(VLOOKUP(A812,Skills!$A:$M,13,FALSE()),"")="COS",0,IF(OR(I812="En cours",I812="À venir",I812="À planifier"),IF(AND(OR($C$3="Tous",$C$3="",C812=$C$3),OR($E$3="Tous",$E$3="",I812=$E$3)),1,0),0)))</f>
        <v>0</v>
      </c>
      <c r="L812" s="104" t="n">
        <f aca="false">L811+K812</f>
        <v>15</v>
      </c>
    </row>
    <row r="813" customFormat="false" ht="15" hidden="true" customHeight="true" outlineLevel="0" collapsed="false">
      <c r="A813" s="0" t="str">
        <f aca="false">IF('Agences &amp; Après-vente'!$A15="","",'Agences &amp; Après-vente'!$A15)</f>
        <v>TR002</v>
      </c>
      <c r="B813" s="0" t="str">
        <f aca="false">IF($A813="","",'Agences &amp; Après-vente'!$B15)</f>
        <v>Rownvale Rownmere Fenon Doric</v>
      </c>
      <c r="C813" s="0" t="str">
        <f aca="false">IF($A813="","",'Agences &amp; Après-vente'!$C15)</f>
        <v>Montréal</v>
      </c>
      <c r="D813" s="0" t="str">
        <f aca="false">IF($A813="","","Nouvelle compétence")</f>
        <v>Nouvelle compétence</v>
      </c>
      <c r="E813" s="0" t="str">
        <f aca="false">IF($A813="","",'Agences &amp; Après-vente'!$D15)</f>
        <v>Agences</v>
      </c>
      <c r="F813" s="116" t="n">
        <f aca="false">IF($A813="","",'Agences &amp; Après-vente'!$E15)</f>
        <v>45802</v>
      </c>
      <c r="G813" s="116" t="n">
        <f aca="false">IF($A813="","",'Agences &amp; Après-vente'!$F15)</f>
        <v>45804</v>
      </c>
      <c r="H813" s="104" t="n">
        <f aca="true">IF($A813="","",IFERROR(MAX(0,NETWORKDAYS(TODAY(),'Agences &amp; Après-vente'!$F15)),""))</f>
        <v>0</v>
      </c>
      <c r="I813" s="0" t="str">
        <f aca="false">IF($A813="","",'Agences &amp; Après-vente'!$I15)</f>
        <v>DONE</v>
      </c>
      <c r="K813" s="104" t="n">
        <f aca="false">IF(A813="",0,IF(IFERROR(VLOOKUP(A813,Skills!$A:$M,13,FALSE()),"")="COS",0,IF(OR(I813="En cours",I813="À venir",I813="À planifier"),IF(AND(OR($C$3="Tous",$C$3="",C813=$C$3),OR($E$3="Tous",$E$3="",I813=$E$3)),1,0),0)))</f>
        <v>0</v>
      </c>
      <c r="L813" s="104" t="n">
        <f aca="false">L812+K813</f>
        <v>15</v>
      </c>
    </row>
    <row r="814" customFormat="false" ht="15" hidden="true" customHeight="true" outlineLevel="0" collapsed="false">
      <c r="A814" s="0" t="str">
        <f aca="false">IF('Agences &amp; Après-vente'!$A16="","",'Agences &amp; Après-vente'!$A16)</f>
        <v>TR113</v>
      </c>
      <c r="B814" s="0" t="str">
        <f aca="false">IF($A814="","",'Agences &amp; Après-vente'!$B16)</f>
        <v>Dellworth Joric</v>
      </c>
      <c r="C814" s="0" t="str">
        <f aca="false">IF($A814="","",'Agences &amp; Après-vente'!$C16)</f>
        <v>Montréal</v>
      </c>
      <c r="D814" s="0" t="str">
        <f aca="false">IF($A814="","","Nouvelle compétence")</f>
        <v>Nouvelle compétence</v>
      </c>
      <c r="E814" s="0" t="str">
        <f aca="false">IF($A814="","",'Agences &amp; Après-vente'!$D16)</f>
        <v>Agences</v>
      </c>
      <c r="F814" s="116" t="n">
        <f aca="false">IF($A814="","",'Agences &amp; Après-vente'!$E16)</f>
        <v>46174</v>
      </c>
      <c r="G814" s="116" t="n">
        <f aca="false">IF($A814="","",'Agences &amp; Après-vente'!$F16)</f>
        <v>46176</v>
      </c>
      <c r="H814" s="104" t="n">
        <f aca="true">IF($A814="","",IFERROR(MAX(0,NETWORKDAYS(TODAY(),'Agences &amp; Après-vente'!$F16)),""))</f>
        <v>0</v>
      </c>
      <c r="I814" s="0" t="str">
        <f aca="false">IF($A814="","",'Agences &amp; Après-vente'!$I16)</f>
        <v>DONE</v>
      </c>
      <c r="K814" s="104" t="n">
        <f aca="false">IF(A814="",0,IF(IFERROR(VLOOKUP(A814,Skills!$A:$M,13,FALSE()),"")="COS",0,IF(OR(I814="En cours",I814="À venir",I814="À planifier"),IF(AND(OR($C$3="Tous",$C$3="",C814=$C$3),OR($E$3="Tous",$E$3="",I814=$E$3)),1,0),0)))</f>
        <v>0</v>
      </c>
      <c r="L814" s="104" t="n">
        <f aca="false">L813+K814</f>
        <v>15</v>
      </c>
    </row>
    <row r="815" customFormat="false" ht="15" hidden="true" customHeight="true" outlineLevel="0" collapsed="false">
      <c r="A815" s="0" t="str">
        <f aca="false">IF('Agences &amp; Après-vente'!$A17="","",'Agences &amp; Après-vente'!$A17)</f>
        <v>TR004</v>
      </c>
      <c r="B815" s="0" t="str">
        <f aca="false">IF($A815="","",'Agences &amp; Après-vente'!$B17)</f>
        <v>Brambrook Holtfield Marsfield</v>
      </c>
      <c r="C815" s="0" t="str">
        <f aca="false">IF($A815="","",'Agences &amp; Après-vente'!$C17)</f>
        <v>Montréal</v>
      </c>
      <c r="D815" s="0" t="str">
        <f aca="false">IF($A815="","","Nouvelle compétence")</f>
        <v>Nouvelle compétence</v>
      </c>
      <c r="E815" s="0" t="str">
        <f aca="false">IF($A815="","",'Agences &amp; Après-vente'!$D17)</f>
        <v>Agences</v>
      </c>
      <c r="F815" s="116" t="n">
        <f aca="false">IF($A815="","",'Agences &amp; Après-vente'!$E17)</f>
        <v>45802</v>
      </c>
      <c r="G815" s="116" t="n">
        <f aca="false">IF($A815="","",'Agences &amp; Après-vente'!$F17)</f>
        <v>45804</v>
      </c>
      <c r="H815" s="104" t="n">
        <f aca="true">IF($A815="","",IFERROR(MAX(0,NETWORKDAYS(TODAY(),'Agences &amp; Après-vente'!$F17)),""))</f>
        <v>0</v>
      </c>
      <c r="I815" s="0" t="str">
        <f aca="false">IF($A815="","",'Agences &amp; Après-vente'!$I17)</f>
        <v>DONE</v>
      </c>
      <c r="K815" s="104" t="n">
        <f aca="false">IF(A815="",0,IF(IFERROR(VLOOKUP(A815,Skills!$A:$M,13,FALSE()),"")="COS",0,IF(OR(I815="En cours",I815="À venir",I815="À planifier"),IF(AND(OR($C$3="Tous",$C$3="",C815=$C$3),OR($E$3="Tous",$E$3="",I815=$E$3)),1,0),0)))</f>
        <v>0</v>
      </c>
      <c r="L815" s="104" t="n">
        <f aca="false">L814+K815</f>
        <v>15</v>
      </c>
    </row>
    <row r="816" customFormat="false" ht="15" hidden="true" customHeight="true" outlineLevel="0" collapsed="false">
      <c r="A816" s="0" t="str">
        <f aca="false">IF('Agences &amp; Après-vente'!$A18="","",'Agences &amp; Après-vente'!$A18)</f>
        <v>TR109</v>
      </c>
      <c r="B816" s="0" t="str">
        <f aca="false">IF($A816="","",'Agences &amp; Après-vente'!$B18)</f>
        <v>Lumum Valemont Norbrook</v>
      </c>
      <c r="C816" s="0" t="str">
        <f aca="false">IF($A816="","",'Agences &amp; Après-vente'!$C18)</f>
        <v>Montréal</v>
      </c>
      <c r="D816" s="0" t="str">
        <f aca="false">IF($A816="","","Nouvelle compétence")</f>
        <v>Nouvelle compétence</v>
      </c>
      <c r="E816" s="0" t="str">
        <f aca="false">IF($A816="","",'Agences &amp; Après-vente'!$D18)</f>
        <v>Agences</v>
      </c>
      <c r="F816" s="116" t="n">
        <f aca="false">IF($A816="","",'Agences &amp; Après-vente'!$E18)</f>
        <v>46174</v>
      </c>
      <c r="G816" s="116" t="n">
        <f aca="false">IF($A816="","",'Agences &amp; Après-vente'!$F18)</f>
        <v>46178</v>
      </c>
      <c r="H816" s="104" t="n">
        <f aca="true">IF($A816="","",IFERROR(MAX(0,NETWORKDAYS(TODAY(),'Agences &amp; Après-vente'!$F18)),""))</f>
        <v>0</v>
      </c>
      <c r="I816" s="0" t="str">
        <f aca="false">IF($A816="","",'Agences &amp; Après-vente'!$I18)</f>
        <v>DONE</v>
      </c>
      <c r="K816" s="104" t="n">
        <f aca="false">IF(A816="",0,IF(IFERROR(VLOOKUP(A816,Skills!$A:$M,13,FALSE()),"")="COS",0,IF(OR(I816="En cours",I816="À venir",I816="À planifier"),IF(AND(OR($C$3="Tous",$C$3="",C816=$C$3),OR($E$3="Tous",$E$3="",I816=$E$3)),1,0),0)))</f>
        <v>0</v>
      </c>
      <c r="L816" s="104" t="n">
        <f aca="false">L815+K816</f>
        <v>15</v>
      </c>
    </row>
    <row r="817" customFormat="false" ht="15" hidden="true" customHeight="true" outlineLevel="0" collapsed="false">
      <c r="A817" s="0" t="str">
        <f aca="false">IF('Agences &amp; Après-vente'!$A19="","",'Agences &amp; Après-vente'!$A19)</f>
        <v>TR040</v>
      </c>
      <c r="B817" s="0" t="str">
        <f aca="false">IF($A817="","",'Agences &amp; Après-vente'!$B19)</f>
        <v>Yorol Fenar</v>
      </c>
      <c r="C817" s="0" t="str">
        <f aca="false">IF($A817="","",'Agences &amp; Après-vente'!$C19)</f>
        <v>Montréal</v>
      </c>
      <c r="D817" s="0" t="str">
        <f aca="false">IF($A817="","","Nouvelle compétence")</f>
        <v>Nouvelle compétence</v>
      </c>
      <c r="E817" s="0" t="str">
        <f aca="false">IF($A817="","",'Agences &amp; Après-vente'!$D19)</f>
        <v>Agences</v>
      </c>
      <c r="F817" s="116" t="n">
        <f aca="false">IF($A817="","",'Agences &amp; Après-vente'!$E19)</f>
        <v>46174</v>
      </c>
      <c r="G817" s="116" t="n">
        <f aca="false">IF($A817="","",'Agences &amp; Après-vente'!$F19)</f>
        <v>46176</v>
      </c>
      <c r="H817" s="104" t="n">
        <f aca="true">IF($A817="","",IFERROR(MAX(0,NETWORKDAYS(TODAY(),'Agences &amp; Après-vente'!$F19)),""))</f>
        <v>0</v>
      </c>
      <c r="I817" s="0" t="str">
        <f aca="false">IF($A817="","",'Agences &amp; Après-vente'!$I19)</f>
        <v>DONE</v>
      </c>
      <c r="K817" s="104" t="n">
        <f aca="false">IF(A817="",0,IF(IFERROR(VLOOKUP(A817,Skills!$A:$M,13,FALSE()),"")="COS",0,IF(OR(I817="En cours",I817="À venir",I817="À planifier"),IF(AND(OR($C$3="Tous",$C$3="",C817=$C$3),OR($E$3="Tous",$E$3="",I817=$E$3)),1,0),0)))</f>
        <v>0</v>
      </c>
      <c r="L817" s="104" t="n">
        <f aca="false">L816+K817</f>
        <v>15</v>
      </c>
    </row>
    <row r="818" customFormat="false" ht="15" hidden="true" customHeight="true" outlineLevel="0" collapsed="false">
      <c r="A818" s="0" t="str">
        <f aca="false">IF('Agences &amp; Après-vente'!$A20="","",'Agences &amp; Après-vente'!$A20)</f>
        <v>TR121</v>
      </c>
      <c r="B818" s="0" t="str">
        <f aca="false">IF($A818="","",'Agences &amp; Après-vente'!$B20)</f>
        <v>Haxar Bramcroft</v>
      </c>
      <c r="C818" s="0" t="str">
        <f aca="false">IF($A818="","",'Agences &amp; Après-vente'!$C20)</f>
        <v>Montréal</v>
      </c>
      <c r="D818" s="0" t="str">
        <f aca="false">IF($A818="","","Nouvelle compétence")</f>
        <v>Nouvelle compétence</v>
      </c>
      <c r="E818" s="0" t="str">
        <f aca="false">IF($A818="","",'Agences &amp; Après-vente'!$D20)</f>
        <v>Agences</v>
      </c>
      <c r="F818" s="116" t="n">
        <f aca="false">IF($A818="","",'Agences &amp; Après-vente'!$E20)</f>
        <v>46174</v>
      </c>
      <c r="G818" s="116" t="n">
        <f aca="false">IF($A818="","",'Agences &amp; Après-vente'!$F20)</f>
        <v>46176</v>
      </c>
      <c r="H818" s="104" t="n">
        <f aca="true">IF($A818="","",IFERROR(MAX(0,NETWORKDAYS(TODAY(),'Agences &amp; Après-vente'!$F20)),""))</f>
        <v>0</v>
      </c>
      <c r="I818" s="0" t="str">
        <f aca="false">IF($A818="","",'Agences &amp; Après-vente'!$I20)</f>
        <v>DONE</v>
      </c>
      <c r="K818" s="104" t="n">
        <f aca="false">IF(A818="",0,IF(IFERROR(VLOOKUP(A818,Skills!$A:$M,13,FALSE()),"")="COS",0,IF(OR(I818="En cours",I818="À venir",I818="À planifier"),IF(AND(OR($C$3="Tous",$C$3="",C818=$C$3),OR($E$3="Tous",$E$3="",I818=$E$3)),1,0),0)))</f>
        <v>0</v>
      </c>
      <c r="L818" s="104" t="n">
        <f aca="false">L817+K818</f>
        <v>15</v>
      </c>
    </row>
    <row r="819" customFormat="false" ht="15" hidden="true" customHeight="true" outlineLevel="0" collapsed="false">
      <c r="A819" s="0" t="str">
        <f aca="false">IF('Agences &amp; Après-vente'!$A21="","",'Agences &amp; Après-vente'!$A21)</f>
        <v>TR043</v>
      </c>
      <c r="B819" s="0" t="str">
        <f aca="false">IF($A819="","",'Agences &amp; Après-vente'!$B21)</f>
        <v>Calol Calel</v>
      </c>
      <c r="C819" s="0" t="str">
        <f aca="false">IF($A819="","",'Agences &amp; Après-vente'!$C21)</f>
        <v>Montréal</v>
      </c>
      <c r="D819" s="0" t="str">
        <f aca="false">IF($A819="","","Nouvelle compétence")</f>
        <v>Nouvelle compétence</v>
      </c>
      <c r="E819" s="0" t="str">
        <f aca="false">IF($A819="","",'Agences &amp; Après-vente'!$D21)</f>
        <v>Agences</v>
      </c>
      <c r="F819" s="116" t="n">
        <f aca="false">IF($A819="","",'Agences &amp; Après-vente'!$E21)</f>
        <v>46174</v>
      </c>
      <c r="G819" s="116" t="n">
        <f aca="false">IF($A819="","",'Agences &amp; Après-vente'!$F21)</f>
        <v>46178</v>
      </c>
      <c r="H819" s="104" t="n">
        <f aca="true">IF($A819="","",IFERROR(MAX(0,NETWORKDAYS(TODAY(),'Agences &amp; Après-vente'!$F21)),""))</f>
        <v>0</v>
      </c>
      <c r="I819" s="0" t="str">
        <f aca="false">IF($A819="","",'Agences &amp; Après-vente'!$I21)</f>
        <v>DONE</v>
      </c>
      <c r="K819" s="104" t="n">
        <f aca="false">IF(A819="",0,IF(IFERROR(VLOOKUP(A819,Skills!$A:$M,13,FALSE()),"")="COS",0,IF(OR(I819="En cours",I819="À venir",I819="À planifier"),IF(AND(OR($C$3="Tous",$C$3="",C819=$C$3),OR($E$3="Tous",$E$3="",I819=$E$3)),1,0),0)))</f>
        <v>0</v>
      </c>
      <c r="L819" s="104" t="n">
        <f aca="false">L818+K819</f>
        <v>15</v>
      </c>
    </row>
    <row r="820" customFormat="false" ht="15" hidden="true" customHeight="true" outlineLevel="0" collapsed="false">
      <c r="A820" s="0" t="str">
        <f aca="false">IF('Agences &amp; Après-vente'!$A22="","",'Agences &amp; Après-vente'!$A22)</f>
        <v>TR026</v>
      </c>
      <c r="B820" s="0" t="str">
        <f aca="false">IF($A820="","",'Agences &amp; Après-vente'!$B22)</f>
        <v>Selar Gilen</v>
      </c>
      <c r="C820" s="0" t="str">
        <f aca="false">IF($A820="","",'Agences &amp; Après-vente'!$C22)</f>
        <v>Montréal</v>
      </c>
      <c r="D820" s="0" t="str">
        <f aca="false">IF($A820="","","Nouvelle compétence")</f>
        <v>Nouvelle compétence</v>
      </c>
      <c r="E820" s="0" t="str">
        <f aca="false">IF($A820="","",'Agences &amp; Après-vente'!$D22)</f>
        <v>Agences</v>
      </c>
      <c r="F820" s="116" t="n">
        <f aca="false">IF($A820="","",'Agences &amp; Après-vente'!$E22)</f>
        <v>46174</v>
      </c>
      <c r="G820" s="116" t="n">
        <f aca="false">IF($A820="","",'Agences &amp; Après-vente'!$F22)</f>
        <v>46176</v>
      </c>
      <c r="H820" s="104" t="n">
        <f aca="true">IF($A820="","",IFERROR(MAX(0,NETWORKDAYS(TODAY(),'Agences &amp; Après-vente'!$F22)),""))</f>
        <v>0</v>
      </c>
      <c r="I820" s="0" t="str">
        <f aca="false">IF($A820="","",'Agences &amp; Après-vente'!$I22)</f>
        <v>DONE</v>
      </c>
      <c r="K820" s="104" t="n">
        <f aca="false">IF(A820="",0,IF(IFERROR(VLOOKUP(A820,Skills!$A:$M,13,FALSE()),"")="COS",0,IF(OR(I820="En cours",I820="À venir",I820="À planifier"),IF(AND(OR($C$3="Tous",$C$3="",C820=$C$3),OR($E$3="Tous",$E$3="",I820=$E$3)),1,0),0)))</f>
        <v>0</v>
      </c>
      <c r="L820" s="104" t="n">
        <f aca="false">L819+K820</f>
        <v>15</v>
      </c>
    </row>
    <row r="821" customFormat="false" ht="15" hidden="true" customHeight="true" outlineLevel="0" collapsed="false">
      <c r="A821" s="0" t="str">
        <f aca="false">IF('Agences &amp; Après-vente'!$A23="","",'Agences &amp; Après-vente'!$A23)</f>
        <v>TR017</v>
      </c>
      <c r="B821" s="0" t="str">
        <f aca="false">IF($A821="","",'Agences &amp; Après-vente'!$B23)</f>
        <v>Larkmont Yoran</v>
      </c>
      <c r="C821" s="0" t="str">
        <f aca="false">IF($A821="","",'Agences &amp; Après-vente'!$C23)</f>
        <v>Lisbonne</v>
      </c>
      <c r="D821" s="0" t="str">
        <f aca="false">IF($A821="","","Nouvelle compétence")</f>
        <v>Nouvelle compétence</v>
      </c>
      <c r="E821" s="0" t="str">
        <f aca="false">IF($A821="","",'Agences &amp; Après-vente'!$D23)</f>
        <v>Agences</v>
      </c>
      <c r="F821" s="116" t="n">
        <f aca="false">IF($A821="","",'Agences &amp; Après-vente'!$E23)</f>
        <v>46168</v>
      </c>
      <c r="G821" s="116" t="n">
        <f aca="false">IF($A821="","",'Agences &amp; Après-vente'!$F23)</f>
        <v>46169</v>
      </c>
      <c r="H821" s="104" t="n">
        <f aca="true">IF($A821="","",IFERROR(MAX(0,NETWORKDAYS(TODAY(),'Agences &amp; Après-vente'!$F23)),""))</f>
        <v>0</v>
      </c>
      <c r="I821" s="0" t="str">
        <f aca="false">IF($A821="","",'Agences &amp; Après-vente'!$I23)</f>
        <v>DONE</v>
      </c>
      <c r="K821" s="104" t="n">
        <f aca="false">IF(A821="",0,IF(IFERROR(VLOOKUP(A821,Skills!$A:$M,13,FALSE()),"")="COS",0,IF(OR(I821="En cours",I821="À venir",I821="À planifier"),IF(AND(OR($C$3="Tous",$C$3="",C821=$C$3),OR($E$3="Tous",$E$3="",I821=$E$3)),1,0),0)))</f>
        <v>0</v>
      </c>
      <c r="L821" s="104" t="n">
        <f aca="false">L820+K821</f>
        <v>15</v>
      </c>
    </row>
    <row r="822" customFormat="false" ht="15" hidden="true" customHeight="true" outlineLevel="0" collapsed="false">
      <c r="A822" s="0" t="str">
        <f aca="false">IF('Agences &amp; Après-vente'!$A24="","",'Agences &amp; Après-vente'!$A24)</f>
        <v>TR032</v>
      </c>
      <c r="B822" s="0" t="str">
        <f aca="false">IF($A822="","",'Agences &amp; Après-vente'!$B24)</f>
        <v>Ulmor Grangate</v>
      </c>
      <c r="C822" s="0" t="str">
        <f aca="false">IF($A822="","",'Agences &amp; Après-vente'!$C24)</f>
        <v>Lisbonne</v>
      </c>
      <c r="D822" s="0" t="str">
        <f aca="false">IF($A822="","","Nouvelle compétence")</f>
        <v>Nouvelle compétence</v>
      </c>
      <c r="E822" s="0" t="str">
        <f aca="false">IF($A822="","",'Agences &amp; Après-vente'!$D24)</f>
        <v>Agences</v>
      </c>
      <c r="F822" s="116" t="n">
        <f aca="false">IF($A822="","",'Agences &amp; Après-vente'!$E24)</f>
        <v>46168</v>
      </c>
      <c r="G822" s="116" t="n">
        <f aca="false">IF($A822="","",'Agences &amp; Après-vente'!$F24)</f>
        <v>46168</v>
      </c>
      <c r="H822" s="104" t="n">
        <f aca="true">IF($A822="","",IFERROR(MAX(0,NETWORKDAYS(TODAY(),'Agences &amp; Après-vente'!$F24)),""))</f>
        <v>0</v>
      </c>
      <c r="I822" s="0" t="str">
        <f aca="false">IF($A822="","",'Agences &amp; Après-vente'!$I24)</f>
        <v>DONE</v>
      </c>
      <c r="K822" s="104" t="n">
        <f aca="false">IF(A822="",0,IF(IFERROR(VLOOKUP(A822,Skills!$A:$M,13,FALSE()),"")="COS",0,IF(OR(I822="En cours",I822="À venir",I822="À planifier"),IF(AND(OR($C$3="Tous",$C$3="",C822=$C$3),OR($E$3="Tous",$E$3="",I822=$E$3)),1,0),0)))</f>
        <v>0</v>
      </c>
      <c r="L822" s="104" t="n">
        <f aca="false">L821+K822</f>
        <v>15</v>
      </c>
    </row>
    <row r="823" customFormat="false" ht="15" hidden="true" customHeight="true" outlineLevel="0" collapsed="false">
      <c r="A823" s="0" t="str">
        <f aca="false">IF('Agences &amp; Après-vente'!$A25="","",'Agences &amp; Après-vente'!$A25)</f>
        <v>TR041</v>
      </c>
      <c r="B823" s="0" t="str">
        <f aca="false">IF($A823="","",'Agences &amp; Après-vente'!$B25)</f>
        <v>Thorncroft Zanon Thornfield</v>
      </c>
      <c r="C823" s="0" t="str">
        <f aca="false">IF($A823="","",'Agences &amp; Après-vente'!$C25)</f>
        <v>Montréal</v>
      </c>
      <c r="D823" s="0" t="str">
        <f aca="false">IF($A823="","","Nouvelle compétence")</f>
        <v>Nouvelle compétence</v>
      </c>
      <c r="E823" s="0" t="str">
        <f aca="false">IF($A823="","",'Agences &amp; Après-vente'!$D25)</f>
        <v>Agences</v>
      </c>
      <c r="F823" s="116" t="n">
        <f aca="false">IF($A823="","",'Agences &amp; Après-vente'!$E25)</f>
        <v>46175</v>
      </c>
      <c r="G823" s="116" t="n">
        <f aca="false">IF($A823="","",'Agences &amp; Après-vente'!$F25)</f>
        <v>46181</v>
      </c>
      <c r="H823" s="104" t="n">
        <f aca="true">IF($A823="","",IFERROR(MAX(0,NETWORKDAYS(TODAY(),'Agences &amp; Après-vente'!$F25)),""))</f>
        <v>0</v>
      </c>
      <c r="I823" s="0" t="str">
        <f aca="false">IF($A823="","",'Agences &amp; Après-vente'!$I25)</f>
        <v>DONE</v>
      </c>
      <c r="K823" s="104" t="n">
        <f aca="false">IF(A823="",0,IF(IFERROR(VLOOKUP(A823,Skills!$A:$M,13,FALSE()),"")="COS",0,IF(OR(I823="En cours",I823="À venir",I823="À planifier"),IF(AND(OR($C$3="Tous",$C$3="",C823=$C$3),OR($E$3="Tous",$E$3="",I823=$E$3)),1,0),0)))</f>
        <v>0</v>
      </c>
      <c r="L823" s="104" t="n">
        <f aca="false">L822+K823</f>
        <v>15</v>
      </c>
    </row>
    <row r="824" customFormat="false" ht="15" hidden="true" customHeight="true" outlineLevel="0" collapsed="false">
      <c r="A824" s="0" t="str">
        <f aca="false">IF('Agences &amp; Après-vente'!$A26="","",'Agences &amp; Après-vente'!$A26)</f>
        <v>TR017</v>
      </c>
      <c r="B824" s="0" t="str">
        <f aca="false">IF($A824="","",'Agences &amp; Après-vente'!$B26)</f>
        <v>Larkmont Yoran</v>
      </c>
      <c r="C824" s="0" t="str">
        <f aca="false">IF($A824="","",'Agences &amp; Après-vente'!$C26)</f>
        <v>Lisbonne</v>
      </c>
      <c r="D824" s="0" t="str">
        <f aca="false">IF($A824="","","Nouvelle compétence")</f>
        <v>Nouvelle compétence</v>
      </c>
      <c r="E824" s="0" t="str">
        <f aca="false">IF($A824="","",'Agences &amp; Après-vente'!$D26)</f>
        <v>Après-vente</v>
      </c>
      <c r="F824" s="116" t="n">
        <f aca="false">IF($A824="","",'Agences &amp; Après-vente'!$E26)</f>
        <v>46172</v>
      </c>
      <c r="G824" s="116" t="n">
        <f aca="false">IF($A824="","",'Agences &amp; Après-vente'!$F26)</f>
        <v>46174</v>
      </c>
      <c r="H824" s="104" t="n">
        <f aca="true">IF($A824="","",IFERROR(MAX(0,NETWORKDAYS(TODAY(),'Agences &amp; Après-vente'!$F26)),""))</f>
        <v>0</v>
      </c>
      <c r="I824" s="0" t="str">
        <f aca="false">IF($A824="","",'Agences &amp; Après-vente'!$I26)</f>
        <v>DONE</v>
      </c>
      <c r="K824" s="104" t="n">
        <f aca="false">IF(A824="",0,IF(IFERROR(VLOOKUP(A824,Skills!$A:$M,13,FALSE()),"")="COS",0,IF(OR(I824="En cours",I824="À venir",I824="À planifier"),IF(AND(OR($C$3="Tous",$C$3="",C824=$C$3),OR($E$3="Tous",$E$3="",I824=$E$3)),1,0),0)))</f>
        <v>0</v>
      </c>
      <c r="L824" s="104" t="n">
        <f aca="false">L823+K824</f>
        <v>15</v>
      </c>
    </row>
    <row r="825" customFormat="false" ht="15" hidden="true" customHeight="true" outlineLevel="0" collapsed="false">
      <c r="A825" s="0" t="str">
        <f aca="false">IF('Agences &amp; Après-vente'!$A27="","",'Agences &amp; Après-vente'!$A27)</f>
        <v>TR142</v>
      </c>
      <c r="B825" s="0" t="str">
        <f aca="false">IF($A825="","",'Agences &amp; Après-vente'!$B27)</f>
        <v>Thornmont Nevar</v>
      </c>
      <c r="C825" s="0" t="str">
        <f aca="false">IF($A825="","",'Agences &amp; Après-vente'!$C27)</f>
        <v>Lisbonne</v>
      </c>
      <c r="D825" s="0" t="str">
        <f aca="false">IF($A825="","","Nouvelle compétence")</f>
        <v>Nouvelle compétence</v>
      </c>
      <c r="E825" s="0" t="str">
        <f aca="false">IF($A825="","",'Agences &amp; Après-vente'!$D27)</f>
        <v>Après-vente</v>
      </c>
      <c r="F825" s="116" t="n">
        <f aca="false">IF($A825="","",'Agences &amp; Après-vente'!$E27)</f>
        <v>46171</v>
      </c>
      <c r="G825" s="116" t="n">
        <f aca="false">IF($A825="","",'Agences &amp; Après-vente'!$F27)</f>
        <v>46171</v>
      </c>
      <c r="H825" s="104" t="n">
        <f aca="true">IF($A825="","",IFERROR(MAX(0,NETWORKDAYS(TODAY(),'Agences &amp; Après-vente'!$F27)),""))</f>
        <v>0</v>
      </c>
      <c r="I825" s="0" t="str">
        <f aca="false">IF($A825="","",'Agences &amp; Après-vente'!$I27)</f>
        <v>DONE</v>
      </c>
      <c r="K825" s="104" t="n">
        <f aca="false">IF(A825="",0,IF(IFERROR(VLOOKUP(A825,Skills!$A:$M,13,FALSE()),"")="COS",0,IF(OR(I825="En cours",I825="À venir",I825="À planifier"),IF(AND(OR($C$3="Tous",$C$3="",C825=$C$3),OR($E$3="Tous",$E$3="",I825=$E$3)),1,0),0)))</f>
        <v>0</v>
      </c>
      <c r="L825" s="104" t="n">
        <f aca="false">L824+K825</f>
        <v>15</v>
      </c>
    </row>
    <row r="826" customFormat="false" ht="15" hidden="true" customHeight="true" outlineLevel="0" collapsed="false">
      <c r="A826" s="0" t="str">
        <f aca="false">IF('Agences &amp; Après-vente'!$A28="","",'Agences &amp; Après-vente'!$A28)</f>
        <v>TR129</v>
      </c>
      <c r="B826" s="0" t="str">
        <f aca="false">IF($A826="","",'Agences &amp; Après-vente'!$B28)</f>
        <v>Haxil Dellhaven</v>
      </c>
      <c r="C826" s="0" t="str">
        <f aca="false">IF($A826="","",'Agences &amp; Après-vente'!$C28)</f>
        <v>Lisbonne</v>
      </c>
      <c r="D826" s="0" t="str">
        <f aca="false">IF($A826="","","Nouvelle compétence")</f>
        <v>Nouvelle compétence</v>
      </c>
      <c r="E826" s="0" t="str">
        <f aca="false">IF($A826="","",'Agences &amp; Après-vente'!$D28)</f>
        <v>Agences</v>
      </c>
      <c r="F826" s="116" t="n">
        <f aca="false">IF($A826="","",'Agences &amp; Après-vente'!$E28)</f>
        <v>0</v>
      </c>
      <c r="G826" s="116" t="str">
        <f aca="false">IF($A826="","",'Agences &amp; Après-vente'!$F28)</f>
        <v/>
      </c>
      <c r="H826" s="0" t="str">
        <f aca="true">IF($A826="","",IFERROR(MAX(0,NETWORKDAYS(TODAY(),'Agences &amp; Après-vente'!$F28)),""))</f>
        <v/>
      </c>
      <c r="I826" s="0" t="str">
        <f aca="false">IF($A826="","",'Agences &amp; Après-vente'!$I28)</f>
        <v>DONE</v>
      </c>
      <c r="K826" s="104" t="n">
        <f aca="false">IF(A826="",0,IF(IFERROR(VLOOKUP(A826,Skills!$A:$M,13,FALSE()),"")="COS",0,IF(OR(I826="En cours",I826="À venir",I826="À planifier"),IF(AND(OR($C$3="Tous",$C$3="",C826=$C$3),OR($E$3="Tous",$E$3="",I826=$E$3)),1,0),0)))</f>
        <v>0</v>
      </c>
      <c r="L826" s="104" t="n">
        <f aca="false">L825+K826</f>
        <v>15</v>
      </c>
    </row>
    <row r="827" customFormat="false" ht="15" hidden="true" customHeight="true" outlineLevel="0" collapsed="false">
      <c r="A827" s="0" t="str">
        <f aca="false">IF('Agences &amp; Après-vente'!$A29="","",'Agences &amp; Après-vente'!$A29)</f>
        <v>TR018</v>
      </c>
      <c r="B827" s="0" t="str">
        <f aca="false">IF($A827="","",'Agences &amp; Après-vente'!$B29)</f>
        <v>Granbrook Yoril Corrfield</v>
      </c>
      <c r="C827" s="0" t="str">
        <f aca="false">IF($A827="","",'Agences &amp; Après-vente'!$C29)</f>
        <v>Lisbonne</v>
      </c>
      <c r="D827" s="0" t="str">
        <f aca="false">IF($A827="","","Nouvelle compétence")</f>
        <v>Nouvelle compétence</v>
      </c>
      <c r="E827" s="0" t="str">
        <f aca="false">IF($A827="","",'Agences &amp; Après-vente'!$D29)</f>
        <v>Agences</v>
      </c>
      <c r="F827" s="116" t="n">
        <f aca="false">IF($A827="","",'Agences &amp; Après-vente'!$E29)</f>
        <v>0</v>
      </c>
      <c r="G827" s="116" t="str">
        <f aca="false">IF($A827="","",'Agences &amp; Après-vente'!$F29)</f>
        <v/>
      </c>
      <c r="H827" s="0" t="str">
        <f aca="true">IF($A827="","",IFERROR(MAX(0,NETWORKDAYS(TODAY(),'Agences &amp; Après-vente'!$F29)),""))</f>
        <v/>
      </c>
      <c r="I827" s="0" t="str">
        <f aca="false">IF($A827="","",'Agences &amp; Après-vente'!$I29)</f>
        <v>DONE</v>
      </c>
      <c r="K827" s="104" t="n">
        <f aca="false">IF(A827="",0,IF(IFERROR(VLOOKUP(A827,Skills!$A:$M,13,FALSE()),"")="COS",0,IF(OR(I827="En cours",I827="À venir",I827="À planifier"),IF(AND(OR($C$3="Tous",$C$3="",C827=$C$3),OR($E$3="Tous",$E$3="",I827=$E$3)),1,0),0)))</f>
        <v>0</v>
      </c>
      <c r="L827" s="104" t="n">
        <f aca="false">L826+K827</f>
        <v>15</v>
      </c>
    </row>
    <row r="828" customFormat="false" ht="15" hidden="true" customHeight="true" outlineLevel="0" collapsed="false">
      <c r="A828" s="0" t="str">
        <f aca="false">IF('Agences &amp; Après-vente'!$A30="","",'Agences &amp; Après-vente'!$A30)</f>
        <v>TR095</v>
      </c>
      <c r="B828" s="0" t="str">
        <f aca="false">IF($A828="","",'Agences &amp; Après-vente'!$B30)</f>
        <v>Quenan Quillwood</v>
      </c>
      <c r="C828" s="0" t="str">
        <f aca="false">IF($A828="","",'Agences &amp; Après-vente'!$C30)</f>
        <v>Lisbonne</v>
      </c>
      <c r="D828" s="0" t="str">
        <f aca="false">IF($A828="","","Nouvelle compétence")</f>
        <v>Nouvelle compétence</v>
      </c>
      <c r="E828" s="0" t="str">
        <f aca="false">IF($A828="","",'Agences &amp; Après-vente'!$D30)</f>
        <v>Agences</v>
      </c>
      <c r="F828" s="116" t="n">
        <f aca="false">IF($A828="","",'Agences &amp; Après-vente'!$E30)</f>
        <v>0</v>
      </c>
      <c r="G828" s="116" t="str">
        <f aca="false">IF($A828="","",'Agences &amp; Après-vente'!$F30)</f>
        <v/>
      </c>
      <c r="H828" s="0" t="str">
        <f aca="true">IF($A828="","",IFERROR(MAX(0,NETWORKDAYS(TODAY(),'Agences &amp; Après-vente'!$F30)),""))</f>
        <v/>
      </c>
      <c r="I828" s="0" t="str">
        <f aca="false">IF($A828="","",'Agences &amp; Après-vente'!$I30)</f>
        <v>DONE</v>
      </c>
      <c r="K828" s="104" t="n">
        <f aca="false">IF(A828="",0,IF(IFERROR(VLOOKUP(A828,Skills!$A:$M,13,FALSE()),"")="COS",0,IF(OR(I828="En cours",I828="À venir",I828="À planifier"),IF(AND(OR($C$3="Tous",$C$3="",C828=$C$3),OR($E$3="Tous",$E$3="",I828=$E$3)),1,0),0)))</f>
        <v>0</v>
      </c>
      <c r="L828" s="104" t="n">
        <f aca="false">L827+K828</f>
        <v>15</v>
      </c>
    </row>
    <row r="829" customFormat="false" ht="15" hidden="true" customHeight="true" outlineLevel="0" collapsed="false">
      <c r="A829" s="0" t="str">
        <f aca="false">IF('Agences &amp; Après-vente'!$A31="","",'Agences &amp; Après-vente'!$A31)</f>
        <v>TR093</v>
      </c>
      <c r="B829" s="0" t="str">
        <f aca="false">IF($A829="","",'Agences &amp; Après-vente'!$B31)</f>
        <v>Holtshaw Haxor</v>
      </c>
      <c r="C829" s="0" t="str">
        <f aca="false">IF($A829="","",'Agences &amp; Après-vente'!$C31)</f>
        <v>Lisbonne</v>
      </c>
      <c r="D829" s="0" t="str">
        <f aca="false">IF($A829="","","Nouvelle compétence")</f>
        <v>Nouvelle compétence</v>
      </c>
      <c r="E829" s="0" t="str">
        <f aca="false">IF($A829="","",'Agences &amp; Après-vente'!$D31)</f>
        <v>Agences</v>
      </c>
      <c r="F829" s="116" t="n">
        <f aca="false">IF($A829="","",'Agences &amp; Après-vente'!$E31)</f>
        <v>0</v>
      </c>
      <c r="G829" s="116" t="str">
        <f aca="false">IF($A829="","",'Agences &amp; Après-vente'!$F31)</f>
        <v/>
      </c>
      <c r="H829" s="0" t="str">
        <f aca="true">IF($A829="","",IFERROR(MAX(0,NETWORKDAYS(TODAY(),'Agences &amp; Après-vente'!$F31)),""))</f>
        <v/>
      </c>
      <c r="I829" s="0" t="str">
        <f aca="false">IF($A829="","",'Agences &amp; Après-vente'!$I31)</f>
        <v>DONE</v>
      </c>
      <c r="K829" s="104" t="n">
        <f aca="false">IF(A829="",0,IF(IFERROR(VLOOKUP(A829,Skills!$A:$M,13,FALSE()),"")="COS",0,IF(OR(I829="En cours",I829="À venir",I829="À planifier"),IF(AND(OR($C$3="Tous",$C$3="",C829=$C$3),OR($E$3="Tous",$E$3="",I829=$E$3)),1,0),0)))</f>
        <v>0</v>
      </c>
      <c r="L829" s="104" t="n">
        <f aca="false">L828+K829</f>
        <v>15</v>
      </c>
    </row>
    <row r="830" customFormat="false" ht="15" hidden="true" customHeight="true" outlineLevel="0" collapsed="false">
      <c r="A830" s="0" t="str">
        <f aca="false">IF('Agences &amp; Après-vente'!$A32="","",'Agences &amp; Après-vente'!$A32)</f>
        <v>TR066</v>
      </c>
      <c r="B830" s="0" t="str">
        <f aca="false">IF($A830="","",'Agences &amp; Après-vente'!$B32)</f>
        <v>Larkmont Norshaw</v>
      </c>
      <c r="C830" s="0" t="str">
        <f aca="false">IF($A830="","",'Agences &amp; Après-vente'!$C32)</f>
        <v>Lisbonne</v>
      </c>
      <c r="D830" s="0" t="str">
        <f aca="false">IF($A830="","","Nouvelle compétence")</f>
        <v>Nouvelle compétence</v>
      </c>
      <c r="E830" s="0" t="str">
        <f aca="false">IF($A830="","",'Agences &amp; Après-vente'!$D32)</f>
        <v>Agences</v>
      </c>
      <c r="F830" s="116" t="n">
        <f aca="false">IF($A830="","",'Agences &amp; Après-vente'!$E32)</f>
        <v>0</v>
      </c>
      <c r="G830" s="116" t="str">
        <f aca="false">IF($A830="","",'Agences &amp; Après-vente'!$F32)</f>
        <v/>
      </c>
      <c r="H830" s="0" t="str">
        <f aca="true">IF($A830="","",IFERROR(MAX(0,NETWORKDAYS(TODAY(),'Agences &amp; Après-vente'!$F32)),""))</f>
        <v/>
      </c>
      <c r="I830" s="0" t="str">
        <f aca="false">IF($A830="","",'Agences &amp; Après-vente'!$I32)</f>
        <v>DONE</v>
      </c>
      <c r="K830" s="104" t="n">
        <f aca="false">IF(A830="",0,IF(IFERROR(VLOOKUP(A830,Skills!$A:$M,13,FALSE()),"")="COS",0,IF(OR(I830="En cours",I830="À venir",I830="À planifier"),IF(AND(OR($C$3="Tous",$C$3="",C830=$C$3),OR($E$3="Tous",$E$3="",I830=$E$3)),1,0),0)))</f>
        <v>0</v>
      </c>
      <c r="L830" s="104" t="n">
        <f aca="false">L829+K830</f>
        <v>15</v>
      </c>
    </row>
    <row r="831" customFormat="false" ht="15" hidden="true" customHeight="true" outlineLevel="0" collapsed="false">
      <c r="A831" s="0" t="str">
        <f aca="false">IF('Agences &amp; Après-vente'!$A33="","",'Agences &amp; Après-vente'!$A33)</f>
        <v>TR024</v>
      </c>
      <c r="B831" s="0" t="str">
        <f aca="false">IF($A831="","",'Agences &amp; Après-vente'!$B33)</f>
        <v>Dellfield Stelridge Haxel</v>
      </c>
      <c r="C831" s="0" t="str">
        <f aca="false">IF($A831="","",'Agences &amp; Après-vente'!$C33)</f>
        <v>Lisbonne</v>
      </c>
      <c r="D831" s="0" t="str">
        <f aca="false">IF($A831="","","Nouvelle compétence")</f>
        <v>Nouvelle compétence</v>
      </c>
      <c r="E831" s="0" t="str">
        <f aca="false">IF($A831="","",'Agences &amp; Après-vente'!$D33)</f>
        <v>Agences</v>
      </c>
      <c r="F831" s="116" t="n">
        <f aca="false">IF($A831="","",'Agences &amp; Après-vente'!$E33)</f>
        <v>0</v>
      </c>
      <c r="G831" s="116" t="str">
        <f aca="false">IF($A831="","",'Agences &amp; Après-vente'!$F33)</f>
        <v/>
      </c>
      <c r="H831" s="0" t="str">
        <f aca="true">IF($A831="","",IFERROR(MAX(0,NETWORKDAYS(TODAY(),'Agences &amp; Après-vente'!$F33)),""))</f>
        <v/>
      </c>
      <c r="I831" s="0" t="str">
        <f aca="false">IF($A831="","",'Agences &amp; Après-vente'!$I33)</f>
        <v>DONE</v>
      </c>
      <c r="K831" s="104" t="n">
        <f aca="false">IF(A831="",0,IF(IFERROR(VLOOKUP(A831,Skills!$A:$M,13,FALSE()),"")="COS",0,IF(OR(I831="En cours",I831="À venir",I831="À planifier"),IF(AND(OR($C$3="Tous",$C$3="",C831=$C$3),OR($E$3="Tous",$E$3="",I831=$E$3)),1,0),0)))</f>
        <v>0</v>
      </c>
      <c r="L831" s="104" t="n">
        <f aca="false">L830+K831</f>
        <v>15</v>
      </c>
    </row>
    <row r="832" customFormat="false" ht="15" hidden="true" customHeight="true" outlineLevel="0" collapsed="false">
      <c r="A832" s="0" t="str">
        <f aca="false">IF('Agences &amp; Après-vente'!$A34="","",'Agences &amp; Après-vente'!$A34)</f>
        <v>TR025</v>
      </c>
      <c r="B832" s="0" t="str">
        <f aca="false">IF($A832="","",'Agences &amp; Après-vente'!$B34)</f>
        <v>Stelworth Stelridge Vorar</v>
      </c>
      <c r="C832" s="0" t="str">
        <f aca="false">IF($A832="","",'Agences &amp; Après-vente'!$C34)</f>
        <v>Lisbonne</v>
      </c>
      <c r="D832" s="0" t="str">
        <f aca="false">IF($A832="","","Nouvelle compétence")</f>
        <v>Nouvelle compétence</v>
      </c>
      <c r="E832" s="0" t="str">
        <f aca="false">IF($A832="","",'Agences &amp; Après-vente'!$D34)</f>
        <v>Agences</v>
      </c>
      <c r="F832" s="116" t="n">
        <f aca="false">IF($A832="","",'Agences &amp; Après-vente'!$E34)</f>
        <v>0</v>
      </c>
      <c r="G832" s="116" t="str">
        <f aca="false">IF($A832="","",'Agences &amp; Après-vente'!$F34)</f>
        <v/>
      </c>
      <c r="H832" s="0" t="str">
        <f aca="true">IF($A832="","",IFERROR(MAX(0,NETWORKDAYS(TODAY(),'Agences &amp; Après-vente'!$F34)),""))</f>
        <v/>
      </c>
      <c r="I832" s="0" t="str">
        <f aca="false">IF($A832="","",'Agences &amp; Après-vente'!$I34)</f>
        <v>DONE</v>
      </c>
      <c r="K832" s="104" t="n">
        <f aca="false">IF(A832="",0,IF(IFERROR(VLOOKUP(A832,Skills!$A:$M,13,FALSE()),"")="COS",0,IF(OR(I832="En cours",I832="À venir",I832="À planifier"),IF(AND(OR($C$3="Tous",$C$3="",C832=$C$3),OR($E$3="Tous",$E$3="",I832=$E$3)),1,0),0)))</f>
        <v>0</v>
      </c>
      <c r="L832" s="104" t="n">
        <f aca="false">L831+K832</f>
        <v>15</v>
      </c>
    </row>
    <row r="833" customFormat="false" ht="15" hidden="true" customHeight="true" outlineLevel="0" collapsed="false">
      <c r="A833" s="0" t="str">
        <f aca="false">IF('Agences &amp; Après-vente'!$A35="","",'Agences &amp; Après-vente'!$A35)</f>
        <v>TR112</v>
      </c>
      <c r="B833" s="0" t="str">
        <f aca="false">IF($A833="","",'Agences &amp; Après-vente'!$B35)</f>
        <v>Pelys Calic</v>
      </c>
      <c r="C833" s="0" t="str">
        <f aca="false">IF($A833="","",'Agences &amp; Après-vente'!$C35)</f>
        <v>Lisbonne</v>
      </c>
      <c r="D833" s="0" t="str">
        <f aca="false">IF($A833="","","Nouvelle compétence")</f>
        <v>Nouvelle compétence</v>
      </c>
      <c r="E833" s="0" t="str">
        <f aca="false">IF($A833="","",'Agences &amp; Après-vente'!$D35)</f>
        <v>Agences</v>
      </c>
      <c r="F833" s="116" t="n">
        <f aca="false">IF($A833="","",'Agences &amp; Après-vente'!$E35)</f>
        <v>0</v>
      </c>
      <c r="G833" s="116" t="str">
        <f aca="false">IF($A833="","",'Agences &amp; Après-vente'!$F35)</f>
        <v/>
      </c>
      <c r="H833" s="0" t="str">
        <f aca="true">IF($A833="","",IFERROR(MAX(0,NETWORKDAYS(TODAY(),'Agences &amp; Après-vente'!$F35)),""))</f>
        <v/>
      </c>
      <c r="I833" s="0" t="str">
        <f aca="false">IF($A833="","",'Agences &amp; Après-vente'!$I35)</f>
        <v>DONE</v>
      </c>
      <c r="K833" s="104" t="n">
        <f aca="false">IF(A833="",0,IF(IFERROR(VLOOKUP(A833,Skills!$A:$M,13,FALSE()),"")="COS",0,IF(OR(I833="En cours",I833="À venir",I833="À planifier"),IF(AND(OR($C$3="Tous",$C$3="",C833=$C$3),OR($E$3="Tous",$E$3="",I833=$E$3)),1,0),0)))</f>
        <v>0</v>
      </c>
      <c r="L833" s="104" t="n">
        <f aca="false">L832+K833</f>
        <v>15</v>
      </c>
    </row>
    <row r="834" customFormat="false" ht="15" hidden="true" customHeight="true" outlineLevel="0" collapsed="false">
      <c r="A834" s="0" t="str">
        <f aca="false">IF('Agences &amp; Après-vente'!$A36="","",'Agences &amp; Après-vente'!$A36)</f>
        <v>TR034</v>
      </c>
      <c r="B834" s="0" t="str">
        <f aca="false">IF($A834="","",'Agences &amp; Après-vente'!$B36)</f>
        <v>Toril Rhoys</v>
      </c>
      <c r="C834" s="0" t="str">
        <f aca="false">IF($A834="","",'Agences &amp; Après-vente'!$C36)</f>
        <v>Lisbonne</v>
      </c>
      <c r="D834" s="0" t="str">
        <f aca="false">IF($A834="","","Nouvelle compétence")</f>
        <v>Nouvelle compétence</v>
      </c>
      <c r="E834" s="0" t="str">
        <f aca="false">IF($A834="","",'Agences &amp; Après-vente'!$D36)</f>
        <v>Agences</v>
      </c>
      <c r="F834" s="116" t="n">
        <f aca="false">IF($A834="","",'Agences &amp; Après-vente'!$E36)</f>
        <v>0</v>
      </c>
      <c r="G834" s="116" t="str">
        <f aca="false">IF($A834="","",'Agences &amp; Après-vente'!$F36)</f>
        <v/>
      </c>
      <c r="H834" s="0" t="str">
        <f aca="true">IF($A834="","",IFERROR(MAX(0,NETWORKDAYS(TODAY(),'Agences &amp; Après-vente'!$F36)),""))</f>
        <v/>
      </c>
      <c r="I834" s="0" t="str">
        <f aca="false">IF($A834="","",'Agences &amp; Après-vente'!$I36)</f>
        <v>DONE</v>
      </c>
      <c r="K834" s="104" t="n">
        <f aca="false">IF(A834="",0,IF(IFERROR(VLOOKUP(A834,Skills!$A:$M,13,FALSE()),"")="COS",0,IF(OR(I834="En cours",I834="À venir",I834="À planifier"),IF(AND(OR($C$3="Tous",$C$3="",C834=$C$3),OR($E$3="Tous",$E$3="",I834=$E$3)),1,0),0)))</f>
        <v>0</v>
      </c>
      <c r="L834" s="104" t="n">
        <f aca="false">L833+K834</f>
        <v>15</v>
      </c>
    </row>
    <row r="835" customFormat="false" ht="15" hidden="true" customHeight="true" outlineLevel="0" collapsed="false">
      <c r="A835" s="0" t="str">
        <f aca="false">IF('Agences &amp; Après-vente'!$A37="","",'Agences &amp; Après-vente'!$A37)</f>
        <v>TR085</v>
      </c>
      <c r="B835" s="0" t="str">
        <f aca="false">IF($A835="","",'Agences &amp; Après-vente'!$B37)</f>
        <v>Larkshaw Moric</v>
      </c>
      <c r="C835" s="0" t="str">
        <f aca="false">IF($A835="","",'Agences &amp; Après-vente'!$C37)</f>
        <v>Lisbonne</v>
      </c>
      <c r="D835" s="0" t="str">
        <f aca="false">IF($A835="","","Nouvelle compétence")</f>
        <v>Nouvelle compétence</v>
      </c>
      <c r="E835" s="0" t="str">
        <f aca="false">IF($A835="","",'Agences &amp; Après-vente'!$D37)</f>
        <v>Agences</v>
      </c>
      <c r="F835" s="116" t="n">
        <f aca="false">IF($A835="","",'Agences &amp; Après-vente'!$E37)</f>
        <v>0</v>
      </c>
      <c r="G835" s="116" t="str">
        <f aca="false">IF($A835="","",'Agences &amp; Après-vente'!$F37)</f>
        <v/>
      </c>
      <c r="H835" s="0" t="str">
        <f aca="true">IF($A835="","",IFERROR(MAX(0,NETWORKDAYS(TODAY(),'Agences &amp; Après-vente'!$F37)),""))</f>
        <v/>
      </c>
      <c r="I835" s="0" t="str">
        <f aca="false">IF($A835="","",'Agences &amp; Après-vente'!$I37)</f>
        <v>DONE</v>
      </c>
      <c r="K835" s="104" t="n">
        <f aca="false">IF(A835="",0,IF(IFERROR(VLOOKUP(A835,Skills!$A:$M,13,FALSE()),"")="COS",0,IF(OR(I835="En cours",I835="À venir",I835="À planifier"),IF(AND(OR($C$3="Tous",$C$3="",C835=$C$3),OR($E$3="Tous",$E$3="",I835=$E$3)),1,0),0)))</f>
        <v>0</v>
      </c>
      <c r="L835" s="104" t="n">
        <f aca="false">L834+K835</f>
        <v>15</v>
      </c>
    </row>
    <row r="836" customFormat="false" ht="15" hidden="true" customHeight="true" outlineLevel="0" collapsed="false">
      <c r="A836" s="0" t="str">
        <f aca="false">IF('Agences &amp; Après-vente'!$A38="","",'Agences &amp; Après-vente'!$A38)</f>
        <v>TR054</v>
      </c>
      <c r="B836" s="0" t="str">
        <f aca="false">IF($A836="","",'Agences &amp; Après-vente'!$B38)</f>
        <v>Pykewood Stelshaw Doric</v>
      </c>
      <c r="C836" s="0" t="str">
        <f aca="false">IF($A836="","",'Agences &amp; Après-vente'!$C38)</f>
        <v>Lisbonne</v>
      </c>
      <c r="D836" s="0" t="str">
        <f aca="false">IF($A836="","","Nouvelle compétence")</f>
        <v>Nouvelle compétence</v>
      </c>
      <c r="E836" s="0" t="str">
        <f aca="false">IF($A836="","",'Agences &amp; Après-vente'!$D38)</f>
        <v>Agences</v>
      </c>
      <c r="F836" s="116" t="n">
        <f aca="false">IF($A836="","",'Agences &amp; Après-vente'!$E38)</f>
        <v>0</v>
      </c>
      <c r="G836" s="116" t="str">
        <f aca="false">IF($A836="","",'Agences &amp; Après-vente'!$F38)</f>
        <v/>
      </c>
      <c r="H836" s="0" t="str">
        <f aca="true">IF($A836="","",IFERROR(MAX(0,NETWORKDAYS(TODAY(),'Agences &amp; Après-vente'!$F38)),""))</f>
        <v/>
      </c>
      <c r="I836" s="0" t="str">
        <f aca="false">IF($A836="","",'Agences &amp; Après-vente'!$I38)</f>
        <v>DONE</v>
      </c>
      <c r="K836" s="104" t="n">
        <f aca="false">IF(A836="",0,IF(IFERROR(VLOOKUP(A836,Skills!$A:$M,13,FALSE()),"")="COS",0,IF(OR(I836="En cours",I836="À venir",I836="À planifier"),IF(AND(OR($C$3="Tous",$C$3="",C836=$C$3),OR($E$3="Tous",$E$3="",I836=$E$3)),1,0),0)))</f>
        <v>0</v>
      </c>
      <c r="L836" s="104" t="n">
        <f aca="false">L835+K836</f>
        <v>15</v>
      </c>
    </row>
    <row r="837" customFormat="false" ht="15" hidden="true" customHeight="true" outlineLevel="0" collapsed="false">
      <c r="A837" s="0" t="str">
        <f aca="false">IF('Agences &amp; Après-vente'!$A39="","",'Agences &amp; Après-vente'!$A39)</f>
        <v>TR119</v>
      </c>
      <c r="B837" s="0" t="str">
        <f aca="false">IF($A837="","",'Agences &amp; Après-vente'!$B39)</f>
        <v>Rownvale Dorys</v>
      </c>
      <c r="C837" s="0" t="str">
        <f aca="false">IF($A837="","",'Agences &amp; Après-vente'!$C39)</f>
        <v>Lisbonne</v>
      </c>
      <c r="D837" s="0" t="str">
        <f aca="false">IF($A837="","","Nouvelle compétence")</f>
        <v>Nouvelle compétence</v>
      </c>
      <c r="E837" s="0" t="str">
        <f aca="false">IF($A837="","",'Agences &amp; Après-vente'!$D39)</f>
        <v>Agences</v>
      </c>
      <c r="F837" s="116" t="n">
        <f aca="false">IF($A837="","",'Agences &amp; Après-vente'!$E39)</f>
        <v>0</v>
      </c>
      <c r="G837" s="116" t="str">
        <f aca="false">IF($A837="","",'Agences &amp; Après-vente'!$F39)</f>
        <v/>
      </c>
      <c r="H837" s="0" t="str">
        <f aca="true">IF($A837="","",IFERROR(MAX(0,NETWORKDAYS(TODAY(),'Agences &amp; Après-vente'!$F39)),""))</f>
        <v/>
      </c>
      <c r="I837" s="0" t="str">
        <f aca="false">IF($A837="","",'Agences &amp; Après-vente'!$I39)</f>
        <v>DONE</v>
      </c>
      <c r="K837" s="104" t="n">
        <f aca="false">IF(A837="",0,IF(IFERROR(VLOOKUP(A837,Skills!$A:$M,13,FALSE()),"")="COS",0,IF(OR(I837="En cours",I837="À venir",I837="À planifier"),IF(AND(OR($C$3="Tous",$C$3="",C837=$C$3),OR($E$3="Tous",$E$3="",I837=$E$3)),1,0),0)))</f>
        <v>0</v>
      </c>
      <c r="L837" s="104" t="n">
        <f aca="false">L836+K837</f>
        <v>15</v>
      </c>
    </row>
    <row r="838" customFormat="false" ht="15" hidden="true" customHeight="true" outlineLevel="0" collapsed="false">
      <c r="A838" s="0" t="str">
        <f aca="false">IF('Agences &amp; Après-vente'!$A40="","",'Agences &amp; Après-vente'!$A40)</f>
        <v>TR081</v>
      </c>
      <c r="B838" s="0" t="str">
        <f aca="false">IF($A838="","",'Agences &amp; Après-vente'!$B40)</f>
        <v>Gilel Moron</v>
      </c>
      <c r="C838" s="0" t="str">
        <f aca="false">IF($A838="","",'Agences &amp; Après-vente'!$C40)</f>
        <v>Lisbonne</v>
      </c>
      <c r="D838" s="0" t="str">
        <f aca="false">IF($A838="","","Nouvelle compétence")</f>
        <v>Nouvelle compétence</v>
      </c>
      <c r="E838" s="0" t="str">
        <f aca="false">IF($A838="","",'Agences &amp; Après-vente'!$D40)</f>
        <v>Agences</v>
      </c>
      <c r="F838" s="116" t="n">
        <f aca="false">IF($A838="","",'Agences &amp; Après-vente'!$E40)</f>
        <v>0</v>
      </c>
      <c r="G838" s="116" t="str">
        <f aca="false">IF($A838="","",'Agences &amp; Après-vente'!$F40)</f>
        <v/>
      </c>
      <c r="H838" s="0" t="str">
        <f aca="true">IF($A838="","",IFERROR(MAX(0,NETWORKDAYS(TODAY(),'Agences &amp; Après-vente'!$F40)),""))</f>
        <v/>
      </c>
      <c r="I838" s="0" t="str">
        <f aca="false">IF($A838="","",'Agences &amp; Après-vente'!$I40)</f>
        <v>DONE</v>
      </c>
      <c r="K838" s="104" t="n">
        <f aca="false">IF(A838="",0,IF(IFERROR(VLOOKUP(A838,Skills!$A:$M,13,FALSE()),"")="COS",0,IF(OR(I838="En cours",I838="À venir",I838="À planifier"),IF(AND(OR($C$3="Tous",$C$3="",C838=$C$3),OR($E$3="Tous",$E$3="",I838=$E$3)),1,0),0)))</f>
        <v>0</v>
      </c>
      <c r="L838" s="104" t="n">
        <f aca="false">L837+K838</f>
        <v>15</v>
      </c>
    </row>
    <row r="839" customFormat="false" ht="15" hidden="true" customHeight="true" outlineLevel="0" collapsed="false">
      <c r="A839" s="0" t="str">
        <f aca="false">IF('Agences &amp; Après-vente'!$A41="","",'Agences &amp; Après-vente'!$A41)</f>
        <v>TR098</v>
      </c>
      <c r="B839" s="0" t="str">
        <f aca="false">IF($A839="","",'Agences &amp; Après-vente'!$B41)</f>
        <v>Holtstone Gilir</v>
      </c>
      <c r="C839" s="0" t="str">
        <f aca="false">IF($A839="","",'Agences &amp; Après-vente'!$C41)</f>
        <v>Montréal</v>
      </c>
      <c r="D839" s="0" t="str">
        <f aca="false">IF($A839="","","Nouvelle compétence")</f>
        <v>Nouvelle compétence</v>
      </c>
      <c r="E839" s="0" t="str">
        <f aca="false">IF($A839="","",'Agences &amp; Après-vente'!$D41)</f>
        <v>Agences</v>
      </c>
      <c r="F839" s="116" t="n">
        <f aca="false">IF($A839="","",'Agences &amp; Après-vente'!$E41)</f>
        <v>46062</v>
      </c>
      <c r="G839" s="116" t="str">
        <f aca="false">IF($A839="","",'Agences &amp; Après-vente'!$F41)</f>
        <v/>
      </c>
      <c r="H839" s="0" t="str">
        <f aca="true">IF($A839="","",IFERROR(MAX(0,NETWORKDAYS(TODAY(),'Agences &amp; Après-vente'!$F41)),""))</f>
        <v/>
      </c>
      <c r="I839" s="0" t="str">
        <f aca="false">IF($A839="","",'Agences &amp; Après-vente'!$I41)</f>
        <v>DONE</v>
      </c>
      <c r="K839" s="104" t="n">
        <f aca="false">IF(A839="",0,IF(IFERROR(VLOOKUP(A839,Skills!$A:$M,13,FALSE()),"")="COS",0,IF(OR(I839="En cours",I839="À venir",I839="À planifier"),IF(AND(OR($C$3="Tous",$C$3="",C839=$C$3),OR($E$3="Tous",$E$3="",I839=$E$3)),1,0),0)))</f>
        <v>0</v>
      </c>
      <c r="L839" s="104" t="n">
        <f aca="false">L838+K839</f>
        <v>15</v>
      </c>
    </row>
    <row r="840" customFormat="false" ht="15" hidden="true" customHeight="true" outlineLevel="0" collapsed="false">
      <c r="A840" s="0" t="str">
        <f aca="false">IF('Agences &amp; Après-vente'!$A42="","",'Agences &amp; Après-vente'!$A42)</f>
        <v>TR074</v>
      </c>
      <c r="B840" s="0" t="str">
        <f aca="false">IF($A840="","",'Agences &amp; Après-vente'!$B42)</f>
        <v>Marsridge Holtgate</v>
      </c>
      <c r="C840" s="0" t="str">
        <f aca="false">IF($A840="","",'Agences &amp; Après-vente'!$C42)</f>
        <v>Montréal</v>
      </c>
      <c r="D840" s="0" t="str">
        <f aca="false">IF($A840="","","Nouvelle compétence")</f>
        <v>Nouvelle compétence</v>
      </c>
      <c r="E840" s="0" t="str">
        <f aca="false">IF($A840="","",'Agences &amp; Après-vente'!$D42)</f>
        <v>Agences</v>
      </c>
      <c r="F840" s="116" t="n">
        <f aca="false">IF($A840="","",'Agences &amp; Après-vente'!$E42)</f>
        <v>46062</v>
      </c>
      <c r="G840" s="116" t="str">
        <f aca="false">IF($A840="","",'Agences &amp; Après-vente'!$F42)</f>
        <v/>
      </c>
      <c r="H840" s="0" t="str">
        <f aca="true">IF($A840="","",IFERROR(MAX(0,NETWORKDAYS(TODAY(),'Agences &amp; Après-vente'!$F42)),""))</f>
        <v/>
      </c>
      <c r="I840" s="0" t="str">
        <f aca="false">IF($A840="","",'Agences &amp; Après-vente'!$I42)</f>
        <v>DONE</v>
      </c>
      <c r="K840" s="104" t="n">
        <f aca="false">IF(A840="",0,IF(IFERROR(VLOOKUP(A840,Skills!$A:$M,13,FALSE()),"")="COS",0,IF(OR(I840="En cours",I840="À venir",I840="À planifier"),IF(AND(OR($C$3="Tous",$C$3="",C840=$C$3),OR($E$3="Tous",$E$3="",I840=$E$3)),1,0),0)))</f>
        <v>0</v>
      </c>
      <c r="L840" s="104" t="n">
        <f aca="false">L839+K840</f>
        <v>15</v>
      </c>
    </row>
    <row r="841" customFormat="false" ht="15" hidden="true" customHeight="true" outlineLevel="0" collapsed="false">
      <c r="A841" s="0" t="str">
        <f aca="false">IF('Agences &amp; Après-vente'!$A43="","",'Agences &amp; Après-vente'!$A43)</f>
        <v>TR108</v>
      </c>
      <c r="B841" s="0" t="str">
        <f aca="false">IF($A841="","",'Agences &amp; Après-vente'!$B43)</f>
        <v>Bramdale Pelum</v>
      </c>
      <c r="C841" s="0" t="str">
        <f aca="false">IF($A841="","",'Agences &amp; Après-vente'!$C43)</f>
        <v>Montréal</v>
      </c>
      <c r="D841" s="0" t="str">
        <f aca="false">IF($A841="","","Nouvelle compétence")</f>
        <v>Nouvelle compétence</v>
      </c>
      <c r="E841" s="0" t="str">
        <f aca="false">IF($A841="","",'Agences &amp; Après-vente'!$D43)</f>
        <v>Agences</v>
      </c>
      <c r="F841" s="116" t="n">
        <f aca="false">IF($A841="","",'Agences &amp; Après-vente'!$E43)</f>
        <v>46065</v>
      </c>
      <c r="G841" s="116" t="str">
        <f aca="false">IF($A841="","",'Agences &amp; Après-vente'!$F43)</f>
        <v/>
      </c>
      <c r="H841" s="0" t="str">
        <f aca="true">IF($A841="","",IFERROR(MAX(0,NETWORKDAYS(TODAY(),'Agences &amp; Après-vente'!$F43)),""))</f>
        <v/>
      </c>
      <c r="I841" s="0" t="str">
        <f aca="false">IF($A841="","",'Agences &amp; Après-vente'!$I43)</f>
        <v>DONE</v>
      </c>
      <c r="K841" s="104" t="n">
        <f aca="false">IF(A841="",0,IF(IFERROR(VLOOKUP(A841,Skills!$A:$M,13,FALSE()),"")="COS",0,IF(OR(I841="En cours",I841="À venir",I841="À planifier"),IF(AND(OR($C$3="Tous",$C$3="",C841=$C$3),OR($E$3="Tous",$E$3="",I841=$E$3)),1,0),0)))</f>
        <v>0</v>
      </c>
      <c r="L841" s="104" t="n">
        <f aca="false">L840+K841</f>
        <v>15</v>
      </c>
    </row>
    <row r="842" customFormat="false" ht="15" hidden="true" customHeight="true" outlineLevel="0" collapsed="false">
      <c r="A842" s="0" t="str">
        <f aca="false">IF('Agences &amp; Après-vente'!$A44="","",'Agences &amp; Après-vente'!$A44)</f>
        <v>TR007</v>
      </c>
      <c r="B842" s="0" t="str">
        <f aca="false">IF($A842="","",'Agences &amp; Après-vente'!$B44)</f>
        <v>Stelfield Dellmere Valegate</v>
      </c>
      <c r="C842" s="0" t="str">
        <f aca="false">IF($A842="","",'Agences &amp; Après-vente'!$C44)</f>
        <v>Montréal</v>
      </c>
      <c r="D842" s="0" t="str">
        <f aca="false">IF($A842="","","Nouvelle compétence")</f>
        <v>Nouvelle compétence</v>
      </c>
      <c r="E842" s="0" t="str">
        <f aca="false">IF($A842="","",'Agences &amp; Après-vente'!$D44)</f>
        <v>Agences</v>
      </c>
      <c r="F842" s="116" t="n">
        <f aca="false">IF($A842="","",'Agences &amp; Après-vente'!$E44)</f>
        <v>46065</v>
      </c>
      <c r="G842" s="116" t="str">
        <f aca="false">IF($A842="","",'Agences &amp; Après-vente'!$F44)</f>
        <v/>
      </c>
      <c r="H842" s="0" t="str">
        <f aca="true">IF($A842="","",IFERROR(MAX(0,NETWORKDAYS(TODAY(),'Agences &amp; Après-vente'!$F44)),""))</f>
        <v/>
      </c>
      <c r="I842" s="0" t="str">
        <f aca="false">IF($A842="","",'Agences &amp; Après-vente'!$I44)</f>
        <v>DONE</v>
      </c>
      <c r="K842" s="104" t="n">
        <f aca="false">IF(A842="",0,IF(IFERROR(VLOOKUP(A842,Skills!$A:$M,13,FALSE()),"")="COS",0,IF(OR(I842="En cours",I842="À venir",I842="À planifier"),IF(AND(OR($C$3="Tous",$C$3="",C842=$C$3),OR($E$3="Tous",$E$3="",I842=$E$3)),1,0),0)))</f>
        <v>0</v>
      </c>
      <c r="L842" s="104" t="n">
        <f aca="false">L841+K842</f>
        <v>15</v>
      </c>
    </row>
    <row r="843" customFormat="false" ht="15" hidden="true" customHeight="true" outlineLevel="0" collapsed="false">
      <c r="A843" s="0" t="str">
        <f aca="false">IF('Agences &amp; Après-vente'!$A45="","",'Agences &amp; Après-vente'!$A45)</f>
        <v>TR105</v>
      </c>
      <c r="B843" s="0" t="str">
        <f aca="false">IF($A843="","",'Agences &amp; Après-vente'!$B45)</f>
        <v>Dellridge Larkbrook</v>
      </c>
      <c r="C843" s="0" t="str">
        <f aca="false">IF($A843="","",'Agences &amp; Après-vente'!$C45)</f>
        <v>Montréal</v>
      </c>
      <c r="D843" s="0" t="str">
        <f aca="false">IF($A843="","","Nouvelle compétence")</f>
        <v>Nouvelle compétence</v>
      </c>
      <c r="E843" s="0" t="str">
        <f aca="false">IF($A843="","",'Agences &amp; Après-vente'!$D45)</f>
        <v>Agences</v>
      </c>
      <c r="F843" s="116" t="n">
        <f aca="false">IF($A843="","",'Agences &amp; Après-vente'!$E45)</f>
        <v>46063</v>
      </c>
      <c r="G843" s="116" t="str">
        <f aca="false">IF($A843="","",'Agences &amp; Après-vente'!$F45)</f>
        <v/>
      </c>
      <c r="H843" s="0" t="str">
        <f aca="true">IF($A843="","",IFERROR(MAX(0,NETWORKDAYS(TODAY(),'Agences &amp; Après-vente'!$F45)),""))</f>
        <v/>
      </c>
      <c r="I843" s="0" t="str">
        <f aca="false">IF($A843="","",'Agences &amp; Après-vente'!$I45)</f>
        <v>DONE</v>
      </c>
      <c r="K843" s="104" t="n">
        <f aca="false">IF(A843="",0,IF(IFERROR(VLOOKUP(A843,Skills!$A:$M,13,FALSE()),"")="COS",0,IF(OR(I843="En cours",I843="À venir",I843="À planifier"),IF(AND(OR($C$3="Tous",$C$3="",C843=$C$3),OR($E$3="Tous",$E$3="",I843=$E$3)),1,0),0)))</f>
        <v>0</v>
      </c>
      <c r="L843" s="104" t="n">
        <f aca="false">L842+K843</f>
        <v>15</v>
      </c>
    </row>
    <row r="844" customFormat="false" ht="15" hidden="true" customHeight="true" outlineLevel="0" collapsed="false">
      <c r="A844" s="0" t="str">
        <f aca="false">IF('Agences &amp; Après-vente'!$A46="","",'Agences &amp; Après-vente'!$A46)</f>
        <v>TR089</v>
      </c>
      <c r="B844" s="0" t="str">
        <f aca="false">IF($A844="","",'Agences &amp; Après-vente'!$B46)</f>
        <v>Doran Voren Voren</v>
      </c>
      <c r="C844" s="0" t="str">
        <f aca="false">IF($A844="","",'Agences &amp; Après-vente'!$C46)</f>
        <v>Montréal</v>
      </c>
      <c r="D844" s="0" t="str">
        <f aca="false">IF($A844="","","Nouvelle compétence")</f>
        <v>Nouvelle compétence</v>
      </c>
      <c r="E844" s="0" t="str">
        <f aca="false">IF($A844="","",'Agences &amp; Après-vente'!$D46)</f>
        <v>Agences</v>
      </c>
      <c r="F844" s="116" t="n">
        <f aca="false">IF($A844="","",'Agences &amp; Après-vente'!$E46)</f>
        <v>46068</v>
      </c>
      <c r="G844" s="116" t="str">
        <f aca="false">IF($A844="","",'Agences &amp; Après-vente'!$F46)</f>
        <v/>
      </c>
      <c r="H844" s="0" t="str">
        <f aca="true">IF($A844="","",IFERROR(MAX(0,NETWORKDAYS(TODAY(),'Agences &amp; Après-vente'!$F46)),""))</f>
        <v/>
      </c>
      <c r="I844" s="0" t="str">
        <f aca="false">IF($A844="","",'Agences &amp; Après-vente'!$I46)</f>
        <v>DONE</v>
      </c>
      <c r="K844" s="104" t="n">
        <f aca="false">IF(A844="",0,IF(IFERROR(VLOOKUP(A844,Skills!$A:$M,13,FALSE()),"")="COS",0,IF(OR(I844="En cours",I844="À venir",I844="À planifier"),IF(AND(OR($C$3="Tous",$C$3="",C844=$C$3),OR($E$3="Tous",$E$3="",I844=$E$3)),1,0),0)))</f>
        <v>0</v>
      </c>
      <c r="L844" s="104" t="n">
        <f aca="false">L843+K844</f>
        <v>15</v>
      </c>
    </row>
    <row r="845" customFormat="false" ht="15" hidden="true" customHeight="true" outlineLevel="0" collapsed="false">
      <c r="A845" s="0" t="str">
        <f aca="false">IF('Agences &amp; Après-vente'!$A47="","",'Agences &amp; Après-vente'!$A47)</f>
        <v>TR046</v>
      </c>
      <c r="B845" s="0" t="str">
        <f aca="false">IF($A845="","",'Agences &amp; Après-vente'!$B47)</f>
        <v>Kelea Ashshaw</v>
      </c>
      <c r="C845" s="0" t="str">
        <f aca="false">IF($A845="","",'Agences &amp; Après-vente'!$C47)</f>
        <v>Montréal</v>
      </c>
      <c r="D845" s="0" t="str">
        <f aca="false">IF($A845="","","Nouvelle compétence")</f>
        <v>Nouvelle compétence</v>
      </c>
      <c r="E845" s="0" t="str">
        <f aca="false">IF($A845="","",'Agences &amp; Après-vente'!$D47)</f>
        <v>Agences</v>
      </c>
      <c r="F845" s="116" t="n">
        <f aca="false">IF($A845="","",'Agences &amp; Après-vente'!$E47)</f>
        <v>46062</v>
      </c>
      <c r="G845" s="116" t="str">
        <f aca="false">IF($A845="","",'Agences &amp; Après-vente'!$F47)</f>
        <v/>
      </c>
      <c r="H845" s="0" t="str">
        <f aca="true">IF($A845="","",IFERROR(MAX(0,NETWORKDAYS(TODAY(),'Agences &amp; Après-vente'!$F47)),""))</f>
        <v/>
      </c>
      <c r="I845" s="0" t="str">
        <f aca="false">IF($A845="","",'Agences &amp; Après-vente'!$I47)</f>
        <v>DONE</v>
      </c>
      <c r="K845" s="104" t="n">
        <f aca="false">IF(A845="",0,IF(IFERROR(VLOOKUP(A845,Skills!$A:$M,13,FALSE()),"")="COS",0,IF(OR(I845="En cours",I845="À venir",I845="À planifier"),IF(AND(OR($C$3="Tous",$C$3="",C845=$C$3),OR($E$3="Tous",$E$3="",I845=$E$3)),1,0),0)))</f>
        <v>0</v>
      </c>
      <c r="L845" s="104" t="n">
        <f aca="false">L844+K845</f>
        <v>15</v>
      </c>
    </row>
    <row r="846" customFormat="false" ht="15" hidden="true" customHeight="true" outlineLevel="0" collapsed="false">
      <c r="A846" s="0" t="str">
        <f aca="false">IF('Agences &amp; Après-vente'!$A48="","",'Agences &amp; Après-vente'!$A48)</f>
        <v>TR080</v>
      </c>
      <c r="B846" s="0" t="str">
        <f aca="false">IF($A846="","",'Agences &amp; Après-vente'!$B48)</f>
        <v>Marsbrook Quenic</v>
      </c>
      <c r="C846" s="0" t="str">
        <f aca="false">IF($A846="","",'Agences &amp; Après-vente'!$C48)</f>
        <v>Montréal</v>
      </c>
      <c r="D846" s="0" t="str">
        <f aca="false">IF($A846="","","Nouvelle compétence")</f>
        <v>Nouvelle compétence</v>
      </c>
      <c r="E846" s="0" t="str">
        <f aca="false">IF($A846="","",'Agences &amp; Après-vente'!$D48)</f>
        <v>Agences</v>
      </c>
      <c r="F846" s="116" t="n">
        <f aca="false">IF($A846="","",'Agences &amp; Après-vente'!$E48)</f>
        <v>46064</v>
      </c>
      <c r="G846" s="116" t="str">
        <f aca="false">IF($A846="","",'Agences &amp; Après-vente'!$F48)</f>
        <v/>
      </c>
      <c r="H846" s="0" t="str">
        <f aca="true">IF($A846="","",IFERROR(MAX(0,NETWORKDAYS(TODAY(),'Agences &amp; Après-vente'!$F48)),""))</f>
        <v/>
      </c>
      <c r="I846" s="0" t="str">
        <f aca="false">IF($A846="","",'Agences &amp; Après-vente'!$I48)</f>
        <v>DONE</v>
      </c>
      <c r="K846" s="104" t="n">
        <f aca="false">IF(A846="",0,IF(IFERROR(VLOOKUP(A846,Skills!$A:$M,13,FALSE()),"")="COS",0,IF(OR(I846="En cours",I846="À venir",I846="À planifier"),IF(AND(OR($C$3="Tous",$C$3="",C846=$C$3),OR($E$3="Tous",$E$3="",I846=$E$3)),1,0),0)))</f>
        <v>0</v>
      </c>
      <c r="L846" s="104" t="n">
        <f aca="false">L845+K846</f>
        <v>15</v>
      </c>
    </row>
    <row r="847" customFormat="false" ht="15" hidden="true" customHeight="true" outlineLevel="0" collapsed="false">
      <c r="A847" s="0" t="str">
        <f aca="false">IF('Agences &amp; Après-vente'!$A49="","",'Agences &amp; Après-vente'!$A49)</f>
        <v>TR116</v>
      </c>
      <c r="B847" s="0" t="str">
        <f aca="false">IF($A847="","",'Agences &amp; Après-vente'!$B49)</f>
        <v>Zanus Ashhaven</v>
      </c>
      <c r="C847" s="0" t="str">
        <f aca="false">IF($A847="","",'Agences &amp; Après-vente'!$C49)</f>
        <v>Montréal</v>
      </c>
      <c r="D847" s="0" t="str">
        <f aca="false">IF($A847="","","Nouvelle compétence")</f>
        <v>Nouvelle compétence</v>
      </c>
      <c r="E847" s="0" t="str">
        <f aca="false">IF($A847="","",'Agences &amp; Après-vente'!$D49)</f>
        <v>Agences</v>
      </c>
      <c r="F847" s="116" t="n">
        <f aca="false">IF($A847="","",'Agences &amp; Après-vente'!$E49)</f>
        <v>46071</v>
      </c>
      <c r="G847" s="116" t="str">
        <f aca="false">IF($A847="","",'Agences &amp; Après-vente'!$F49)</f>
        <v/>
      </c>
      <c r="H847" s="0" t="str">
        <f aca="true">IF($A847="","",IFERROR(MAX(0,NETWORKDAYS(TODAY(),'Agences &amp; Après-vente'!$F49)),""))</f>
        <v/>
      </c>
      <c r="I847" s="0" t="str">
        <f aca="false">IF($A847="","",'Agences &amp; Après-vente'!$I49)</f>
        <v>DONE</v>
      </c>
      <c r="K847" s="104" t="n">
        <f aca="false">IF(A847="",0,IF(IFERROR(VLOOKUP(A847,Skills!$A:$M,13,FALSE()),"")="COS",0,IF(OR(I847="En cours",I847="À venir",I847="À planifier"),IF(AND(OR($C$3="Tous",$C$3="",C847=$C$3),OR($E$3="Tous",$E$3="",I847=$E$3)),1,0),0)))</f>
        <v>0</v>
      </c>
      <c r="L847" s="104" t="n">
        <f aca="false">L846+K847</f>
        <v>15</v>
      </c>
    </row>
    <row r="848" customFormat="false" ht="15" hidden="true" customHeight="true" outlineLevel="0" collapsed="false">
      <c r="A848" s="0" t="str">
        <f aca="false">IF('Agences &amp; Après-vente'!$A50="","",'Agences &amp; Après-vente'!$A50)</f>
        <v>TR050</v>
      </c>
      <c r="B848" s="0" t="str">
        <f aca="false">IF($A848="","",'Agences &amp; Après-vente'!$B50)</f>
        <v>Kelor Stelwood</v>
      </c>
      <c r="C848" s="0" t="str">
        <f aca="false">IF($A848="","",'Agences &amp; Après-vente'!$C50)</f>
        <v>Montréal</v>
      </c>
      <c r="D848" s="0" t="str">
        <f aca="false">IF($A848="","","Nouvelle compétence")</f>
        <v>Nouvelle compétence</v>
      </c>
      <c r="E848" s="0" t="str">
        <f aca="false">IF($A848="","",'Agences &amp; Après-vente'!$D50)</f>
        <v>Agences</v>
      </c>
      <c r="F848" s="116" t="n">
        <f aca="false">IF($A848="","",'Agences &amp; Après-vente'!$E50)</f>
        <v>46065</v>
      </c>
      <c r="G848" s="116" t="str">
        <f aca="false">IF($A848="","",'Agences &amp; Après-vente'!$F50)</f>
        <v/>
      </c>
      <c r="H848" s="0" t="str">
        <f aca="true">IF($A848="","",IFERROR(MAX(0,NETWORKDAYS(TODAY(),'Agences &amp; Après-vente'!$F50)),""))</f>
        <v/>
      </c>
      <c r="I848" s="0" t="str">
        <f aca="false">IF($A848="","",'Agences &amp; Après-vente'!$I50)</f>
        <v>DONE</v>
      </c>
      <c r="K848" s="104" t="n">
        <f aca="false">IF(A848="",0,IF(IFERROR(VLOOKUP(A848,Skills!$A:$M,13,FALSE()),"")="COS",0,IF(OR(I848="En cours",I848="À venir",I848="À planifier"),IF(AND(OR($C$3="Tous",$C$3="",C848=$C$3),OR($E$3="Tous",$E$3="",I848=$E$3)),1,0),0)))</f>
        <v>0</v>
      </c>
      <c r="L848" s="104" t="n">
        <f aca="false">L847+K848</f>
        <v>15</v>
      </c>
    </row>
    <row r="849" customFormat="false" ht="15" hidden="true" customHeight="true" outlineLevel="0" collapsed="false">
      <c r="A849" s="0" t="str">
        <f aca="false">IF('Agences &amp; Après-vente'!$A51="","",'Agences &amp; Après-vente'!$A51)</f>
        <v>TR033</v>
      </c>
      <c r="B849" s="0" t="str">
        <f aca="false">IF($A849="","",'Agences &amp; Après-vente'!$B51)</f>
        <v>Fenith Calar</v>
      </c>
      <c r="C849" s="0" t="str">
        <f aca="false">IF($A849="","",'Agences &amp; Après-vente'!$C51)</f>
        <v>Montréal</v>
      </c>
      <c r="D849" s="0" t="str">
        <f aca="false">IF($A849="","","Nouvelle compétence")</f>
        <v>Nouvelle compétence</v>
      </c>
      <c r="E849" s="0" t="str">
        <f aca="false">IF($A849="","",'Agences &amp; Après-vente'!$D51)</f>
        <v>Agences</v>
      </c>
      <c r="F849" s="116" t="n">
        <f aca="false">IF($A849="","",'Agences &amp; Après-vente'!$E51)</f>
        <v>46069</v>
      </c>
      <c r="G849" s="116" t="str">
        <f aca="false">IF($A849="","",'Agences &amp; Après-vente'!$F51)</f>
        <v/>
      </c>
      <c r="H849" s="0" t="str">
        <f aca="true">IF($A849="","",IFERROR(MAX(0,NETWORKDAYS(TODAY(),'Agences &amp; Après-vente'!$F51)),""))</f>
        <v/>
      </c>
      <c r="I849" s="0" t="str">
        <f aca="false">IF($A849="","",'Agences &amp; Après-vente'!$I51)</f>
        <v>DONE</v>
      </c>
      <c r="K849" s="104" t="n">
        <f aca="false">IF(A849="",0,IF(IFERROR(VLOOKUP(A849,Skills!$A:$M,13,FALSE()),"")="COS",0,IF(OR(I849="En cours",I849="À venir",I849="À planifier"),IF(AND(OR($C$3="Tous",$C$3="",C849=$C$3),OR($E$3="Tous",$E$3="",I849=$E$3)),1,0),0)))</f>
        <v>0</v>
      </c>
      <c r="L849" s="104" t="n">
        <f aca="false">L848+K849</f>
        <v>15</v>
      </c>
    </row>
    <row r="850" customFormat="false" ht="15" hidden="true" customHeight="true" outlineLevel="0" collapsed="false">
      <c r="A850" s="0" t="str">
        <f aca="false">IF('Agences &amp; Après-vente'!$A52="","",'Agences &amp; Après-vente'!$A52)</f>
        <v>TR126</v>
      </c>
      <c r="B850" s="0" t="str">
        <f aca="false">IF($A850="","",'Agences &amp; Après-vente'!$B52)</f>
        <v>Pelea Yorir</v>
      </c>
      <c r="C850" s="0" t="str">
        <f aca="false">IF($A850="","",'Agences &amp; Après-vente'!$C52)</f>
        <v>Montréal</v>
      </c>
      <c r="D850" s="0" t="str">
        <f aca="false">IF($A850="","","Nouvelle compétence")</f>
        <v>Nouvelle compétence</v>
      </c>
      <c r="E850" s="0" t="str">
        <f aca="false">IF($A850="","",'Agences &amp; Après-vente'!$D52)</f>
        <v>Agences</v>
      </c>
      <c r="F850" s="116" t="n">
        <f aca="false">IF($A850="","",'Agences &amp; Après-vente'!$E52)</f>
        <v>46071</v>
      </c>
      <c r="G850" s="116" t="str">
        <f aca="false">IF($A850="","",'Agences &amp; Après-vente'!$F52)</f>
        <v/>
      </c>
      <c r="H850" s="0" t="str">
        <f aca="true">IF($A850="","",IFERROR(MAX(0,NETWORKDAYS(TODAY(),'Agences &amp; Après-vente'!$F52)),""))</f>
        <v/>
      </c>
      <c r="I850" s="0" t="str">
        <f aca="false">IF($A850="","",'Agences &amp; Après-vente'!$I52)</f>
        <v>DONE</v>
      </c>
      <c r="K850" s="104" t="n">
        <f aca="false">IF(A850="",0,IF(IFERROR(VLOOKUP(A850,Skills!$A:$M,13,FALSE()),"")="COS",0,IF(OR(I850="En cours",I850="À venir",I850="À planifier"),IF(AND(OR($C$3="Tous",$C$3="",C850=$C$3),OR($E$3="Tous",$E$3="",I850=$E$3)),1,0),0)))</f>
        <v>0</v>
      </c>
      <c r="L850" s="104" t="n">
        <f aca="false">L849+K850</f>
        <v>15</v>
      </c>
    </row>
    <row r="851" customFormat="false" ht="15" hidden="true" customHeight="true" outlineLevel="0" collapsed="false">
      <c r="A851" s="0" t="str">
        <f aca="false">IF('Agences &amp; Après-vente'!$A53="","",'Agences &amp; Après-vente'!$A53)</f>
        <v>TR057</v>
      </c>
      <c r="B851" s="0" t="str">
        <f aca="false">IF($A851="","",'Agences &amp; Après-vente'!$B53)</f>
        <v>Ivercroft Corrmere</v>
      </c>
      <c r="C851" s="0" t="str">
        <f aca="false">IF($A851="","",'Agences &amp; Après-vente'!$C53)</f>
        <v>Montréal</v>
      </c>
      <c r="D851" s="0" t="str">
        <f aca="false">IF($A851="","","Nouvelle compétence")</f>
        <v>Nouvelle compétence</v>
      </c>
      <c r="E851" s="0" t="str">
        <f aca="false">IF($A851="","",'Agences &amp; Après-vente'!$D53)</f>
        <v>Agences</v>
      </c>
      <c r="F851" s="116" t="n">
        <f aca="false">IF($A851="","",'Agences &amp; Après-vente'!$E53)</f>
        <v>46064</v>
      </c>
      <c r="G851" s="116" t="str">
        <f aca="false">IF($A851="","",'Agences &amp; Après-vente'!$F53)</f>
        <v/>
      </c>
      <c r="H851" s="0" t="str">
        <f aca="true">IF($A851="","",IFERROR(MAX(0,NETWORKDAYS(TODAY(),'Agences &amp; Après-vente'!$F53)),""))</f>
        <v/>
      </c>
      <c r="I851" s="0" t="str">
        <f aca="false">IF($A851="","",'Agences &amp; Après-vente'!$I53)</f>
        <v>DONE</v>
      </c>
      <c r="K851" s="104" t="n">
        <f aca="false">IF(A851="",0,IF(IFERROR(VLOOKUP(A851,Skills!$A:$M,13,FALSE()),"")="COS",0,IF(OR(I851="En cours",I851="À venir",I851="À planifier"),IF(AND(OR($C$3="Tous",$C$3="",C851=$C$3),OR($E$3="Tous",$E$3="",I851=$E$3)),1,0),0)))</f>
        <v>0</v>
      </c>
      <c r="L851" s="104" t="n">
        <f aca="false">L850+K851</f>
        <v>15</v>
      </c>
    </row>
    <row r="852" customFormat="false" ht="15" hidden="true" customHeight="true" outlineLevel="0" collapsed="false">
      <c r="A852" s="0" t="str">
        <f aca="false">IF('Agences &amp; Après-vente'!$A54="","",'Agences &amp; Après-vente'!$A54)</f>
        <v>TR006</v>
      </c>
      <c r="B852" s="0" t="str">
        <f aca="false">IF($A852="","",'Agences &amp; Après-vente'!$B54)</f>
        <v>Quillbrook Iverfield</v>
      </c>
      <c r="C852" s="0" t="str">
        <f aca="false">IF($A852="","",'Agences &amp; Après-vente'!$C54)</f>
        <v>Montréal</v>
      </c>
      <c r="D852" s="0" t="str">
        <f aca="false">IF($A852="","","Nouvelle compétence")</f>
        <v>Nouvelle compétence</v>
      </c>
      <c r="E852" s="0" t="str">
        <f aca="false">IF($A852="","",'Agences &amp; Après-vente'!$D54)</f>
        <v>Agences</v>
      </c>
      <c r="F852" s="116" t="n">
        <f aca="false">IF($A852="","",'Agences &amp; Après-vente'!$E54)</f>
        <v>46062</v>
      </c>
      <c r="G852" s="116" t="str">
        <f aca="false">IF($A852="","",'Agences &amp; Après-vente'!$F54)</f>
        <v/>
      </c>
      <c r="H852" s="0" t="str">
        <f aca="true">IF($A852="","",IFERROR(MAX(0,NETWORKDAYS(TODAY(),'Agences &amp; Après-vente'!$F54)),""))</f>
        <v/>
      </c>
      <c r="I852" s="0" t="str">
        <f aca="false">IF($A852="","",'Agences &amp; Après-vente'!$I54)</f>
        <v>DONE</v>
      </c>
      <c r="K852" s="104" t="n">
        <f aca="false">IF(A852="",0,IF(IFERROR(VLOOKUP(A852,Skills!$A:$M,13,FALSE()),"")="COS",0,IF(OR(I852="En cours",I852="À venir",I852="À planifier"),IF(AND(OR($C$3="Tous",$C$3="",C852=$C$3),OR($E$3="Tous",$E$3="",I852=$E$3)),1,0),0)))</f>
        <v>0</v>
      </c>
      <c r="L852" s="104" t="n">
        <f aca="false">L851+K852</f>
        <v>15</v>
      </c>
    </row>
    <row r="853" customFormat="false" ht="15" hidden="true" customHeight="true" outlineLevel="0" collapsed="false">
      <c r="A853" s="0" t="str">
        <f aca="false">IF('Agences &amp; Après-vente'!$A55="","",'Agences &amp; Après-vente'!$A55)</f>
        <v>TR139</v>
      </c>
      <c r="B853" s="0" t="str">
        <f aca="false">IF($A853="","",'Agences &amp; Après-vente'!$B55)</f>
        <v>Faircroft Fenir</v>
      </c>
      <c r="C853" s="0" t="str">
        <f aca="false">IF($A853="","",'Agences &amp; Après-vente'!$C55)</f>
        <v>Montréal</v>
      </c>
      <c r="D853" s="0" t="str">
        <f aca="false">IF($A853="","","Nouvelle compétence")</f>
        <v>Nouvelle compétence</v>
      </c>
      <c r="E853" s="0" t="str">
        <f aca="false">IF($A853="","",'Agences &amp; Après-vente'!$D55)</f>
        <v>Agences</v>
      </c>
      <c r="F853" s="116" t="n">
        <f aca="false">IF($A853="","",'Agences &amp; Après-vente'!$E55)</f>
        <v>46069</v>
      </c>
      <c r="G853" s="116" t="str">
        <f aca="false">IF($A853="","",'Agences &amp; Après-vente'!$F55)</f>
        <v/>
      </c>
      <c r="H853" s="0" t="str">
        <f aca="true">IF($A853="","",IFERROR(MAX(0,NETWORKDAYS(TODAY(),'Agences &amp; Après-vente'!$F55)),""))</f>
        <v/>
      </c>
      <c r="I853" s="0" t="str">
        <f aca="false">IF($A853="","",'Agences &amp; Après-vente'!$I55)</f>
        <v>DONE</v>
      </c>
      <c r="K853" s="104" t="n">
        <f aca="false">IF(A853="",0,IF(IFERROR(VLOOKUP(A853,Skills!$A:$M,13,FALSE()),"")="COS",0,IF(OR(I853="En cours",I853="À venir",I853="À planifier"),IF(AND(OR($C$3="Tous",$C$3="",C853=$C$3),OR($E$3="Tous",$E$3="",I853=$E$3)),1,0),0)))</f>
        <v>0</v>
      </c>
      <c r="L853" s="104" t="n">
        <f aca="false">L852+K853</f>
        <v>15</v>
      </c>
    </row>
    <row r="854" customFormat="false" ht="15" hidden="true" customHeight="true" outlineLevel="0" collapsed="false">
      <c r="A854" s="0" t="str">
        <f aca="false">IF('Agences &amp; Après-vente'!$A56="","",'Agences &amp; Après-vente'!$A56)</f>
        <v>TR029</v>
      </c>
      <c r="B854" s="0" t="str">
        <f aca="false">IF($A854="","",'Agences &amp; Après-vente'!$B56)</f>
        <v>Pelus Corrstone</v>
      </c>
      <c r="C854" s="0" t="str">
        <f aca="false">IF($A854="","",'Agences &amp; Après-vente'!$C56)</f>
        <v>Montréal</v>
      </c>
      <c r="D854" s="0" t="str">
        <f aca="false">IF($A854="","","Nouvelle compétence")</f>
        <v>Nouvelle compétence</v>
      </c>
      <c r="E854" s="0" t="str">
        <f aca="false">IF($A854="","",'Agences &amp; Après-vente'!$D56)</f>
        <v>Agences</v>
      </c>
      <c r="F854" s="116" t="n">
        <f aca="false">IF($A854="","",'Agences &amp; Après-vente'!$E56)</f>
        <v>46062</v>
      </c>
      <c r="G854" s="116" t="str">
        <f aca="false">IF($A854="","",'Agences &amp; Après-vente'!$F56)</f>
        <v/>
      </c>
      <c r="H854" s="0" t="str">
        <f aca="true">IF($A854="","",IFERROR(MAX(0,NETWORKDAYS(TODAY(),'Agences &amp; Après-vente'!$F56)),""))</f>
        <v/>
      </c>
      <c r="I854" s="0" t="str">
        <f aca="false">IF($A854="","",'Agences &amp; Après-vente'!$I56)</f>
        <v>DONE</v>
      </c>
      <c r="K854" s="104" t="n">
        <f aca="false">IF(A854="",0,IF(IFERROR(VLOOKUP(A854,Skills!$A:$M,13,FALSE()),"")="COS",0,IF(OR(I854="En cours",I854="À venir",I854="À planifier"),IF(AND(OR($C$3="Tous",$C$3="",C854=$C$3),OR($E$3="Tous",$E$3="",I854=$E$3)),1,0),0)))</f>
        <v>0</v>
      </c>
      <c r="L854" s="104" t="n">
        <f aca="false">L853+K854</f>
        <v>15</v>
      </c>
    </row>
    <row r="855" customFormat="false" ht="15" hidden="true" customHeight="true" outlineLevel="0" collapsed="false">
      <c r="A855" s="0" t="str">
        <f aca="false">IF('Agences &amp; Après-vente'!$A57="","",'Agences &amp; Après-vente'!$A57)</f>
        <v>TR133</v>
      </c>
      <c r="B855" s="0" t="str">
        <f aca="false">IF($A855="","",'Agences &amp; Après-vente'!$B57)</f>
        <v>Ulmith Larkvale</v>
      </c>
      <c r="C855" s="0" t="str">
        <f aca="false">IF($A855="","",'Agences &amp; Après-vente'!$C57)</f>
        <v>Montréal</v>
      </c>
      <c r="D855" s="0" t="str">
        <f aca="false">IF($A855="","","Nouvelle compétence")</f>
        <v>Nouvelle compétence</v>
      </c>
      <c r="E855" s="0" t="str">
        <f aca="false">IF($A855="","",'Agences &amp; Après-vente'!$D57)</f>
        <v>Agences</v>
      </c>
      <c r="F855" s="116" t="n">
        <f aca="false">IF($A855="","",'Agences &amp; Après-vente'!$E57)</f>
        <v>46069</v>
      </c>
      <c r="G855" s="116" t="str">
        <f aca="false">IF($A855="","",'Agences &amp; Après-vente'!$F57)</f>
        <v/>
      </c>
      <c r="H855" s="0" t="str">
        <f aca="true">IF($A855="","",IFERROR(MAX(0,NETWORKDAYS(TODAY(),'Agences &amp; Après-vente'!$F57)),""))</f>
        <v/>
      </c>
      <c r="I855" s="0" t="str">
        <f aca="false">IF($A855="","",'Agences &amp; Après-vente'!$I57)</f>
        <v>DONE</v>
      </c>
      <c r="K855" s="104" t="n">
        <f aca="false">IF(A855="",0,IF(IFERROR(VLOOKUP(A855,Skills!$A:$M,13,FALSE()),"")="COS",0,IF(OR(I855="En cours",I855="À venir",I855="À planifier"),IF(AND(OR($C$3="Tous",$C$3="",C855=$C$3),OR($E$3="Tous",$E$3="",I855=$E$3)),1,0),0)))</f>
        <v>0</v>
      </c>
      <c r="L855" s="104" t="n">
        <f aca="false">L854+K855</f>
        <v>15</v>
      </c>
    </row>
    <row r="856" customFormat="false" ht="15" hidden="true" customHeight="true" outlineLevel="0" collapsed="false">
      <c r="A856" s="0" t="str">
        <f aca="false">IF('Agences &amp; Après-vente'!$A58="","",'Agences &amp; Après-vente'!$A58)</f>
        <v>TR059</v>
      </c>
      <c r="B856" s="0" t="str">
        <f aca="false">IF($A856="","",'Agences &amp; Après-vente'!$B58)</f>
        <v>Fairmere Stelhaven</v>
      </c>
      <c r="C856" s="0" t="str">
        <f aca="false">IF($A856="","",'Agences &amp; Après-vente'!$C58)</f>
        <v>Montréal</v>
      </c>
      <c r="D856" s="0" t="str">
        <f aca="false">IF($A856="","","Nouvelle compétence")</f>
        <v>Nouvelle compétence</v>
      </c>
      <c r="E856" s="0" t="str">
        <f aca="false">IF($A856="","",'Agences &amp; Après-vente'!$D58)</f>
        <v>Agences</v>
      </c>
      <c r="F856" s="116" t="n">
        <f aca="false">IF($A856="","",'Agences &amp; Après-vente'!$E58)</f>
        <v>46170</v>
      </c>
      <c r="G856" s="116" t="n">
        <f aca="false">IF($A856="","",'Agences &amp; Après-vente'!$F58)</f>
        <v>46171</v>
      </c>
      <c r="H856" s="104" t="n">
        <f aca="true">IF($A856="","",IFERROR(MAX(0,NETWORKDAYS(TODAY(),'Agences &amp; Après-vente'!$F58)),""))</f>
        <v>0</v>
      </c>
      <c r="I856" s="0" t="str">
        <f aca="false">IF($A856="","",'Agences &amp; Après-vente'!$I58)</f>
        <v>DONE</v>
      </c>
      <c r="K856" s="104" t="n">
        <f aca="false">IF(A856="",0,IF(IFERROR(VLOOKUP(A856,Skills!$A:$M,13,FALSE()),"")="COS",0,IF(OR(I856="En cours",I856="À venir",I856="À planifier"),IF(AND(OR($C$3="Tous",$C$3="",C856=$C$3),OR($E$3="Tous",$E$3="",I856=$E$3)),1,0),0)))</f>
        <v>0</v>
      </c>
      <c r="L856" s="104" t="n">
        <f aca="false">L855+K856</f>
        <v>15</v>
      </c>
    </row>
    <row r="857" customFormat="false" ht="15" hidden="true" customHeight="true" outlineLevel="0" collapsed="false">
      <c r="A857" s="0" t="str">
        <f aca="false">IF('Agences &amp; Après-vente'!$A59="","",'Agences &amp; Après-vente'!$A59)</f>
        <v>TR134</v>
      </c>
      <c r="B857" s="0" t="str">
        <f aca="false">IF($A857="","",'Agences &amp; Après-vente'!$B59)</f>
        <v>Norcroft Yorea</v>
      </c>
      <c r="C857" s="0" t="str">
        <f aca="false">IF($A857="","",'Agences &amp; Après-vente'!$C59)</f>
        <v>Montréal</v>
      </c>
      <c r="D857" s="0" t="str">
        <f aca="false">IF($A857="","","Nouvelle compétence")</f>
        <v>Nouvelle compétence</v>
      </c>
      <c r="E857" s="0" t="str">
        <f aca="false">IF($A857="","",'Agences &amp; Après-vente'!$D59)</f>
        <v>Agences</v>
      </c>
      <c r="F857" s="116" t="n">
        <f aca="false">IF($A857="","",'Agences &amp; Après-vente'!$E59)</f>
        <v>46170</v>
      </c>
      <c r="G857" s="116" t="n">
        <f aca="false">IF($A857="","",'Agences &amp; Après-vente'!$F59)</f>
        <v>46171</v>
      </c>
      <c r="H857" s="104" t="n">
        <f aca="true">IF($A857="","",IFERROR(MAX(0,NETWORKDAYS(TODAY(),'Agences &amp; Après-vente'!$F59)),""))</f>
        <v>0</v>
      </c>
      <c r="I857" s="0" t="str">
        <f aca="false">IF($A857="","",'Agences &amp; Après-vente'!$I59)</f>
        <v>DONE</v>
      </c>
      <c r="K857" s="104" t="n">
        <f aca="false">IF(A857="",0,IF(IFERROR(VLOOKUP(A857,Skills!$A:$M,13,FALSE()),"")="COS",0,IF(OR(I857="En cours",I857="À venir",I857="À planifier"),IF(AND(OR($C$3="Tous",$C$3="",C857=$C$3),OR($E$3="Tous",$E$3="",I857=$E$3)),1,0),0)))</f>
        <v>0</v>
      </c>
      <c r="L857" s="104" t="n">
        <f aca="false">L856+K857</f>
        <v>15</v>
      </c>
    </row>
    <row r="858" customFormat="false" ht="15" hidden="true" customHeight="true" outlineLevel="0" collapsed="false">
      <c r="A858" s="0" t="str">
        <f aca="false">IF('Agences &amp; Après-vente'!$A60="","",'Agences &amp; Après-vente'!$A60)</f>
        <v>TR077</v>
      </c>
      <c r="B858" s="0" t="str">
        <f aca="false">IF($A858="","",'Agences &amp; Après-vente'!$B60)</f>
        <v>Brail Orinay</v>
      </c>
      <c r="C858" s="0" t="str">
        <f aca="false">IF($A858="","",'Agences &amp; Après-vente'!$C60)</f>
        <v>Montréal</v>
      </c>
      <c r="D858" s="0" t="str">
        <f aca="false">IF($A858="","","Nouvelle compétence")</f>
        <v>Nouvelle compétence</v>
      </c>
      <c r="E858" s="0" t="str">
        <f aca="false">IF($A858="","",'Agences &amp; Après-vente'!$D60)</f>
        <v>Agences</v>
      </c>
      <c r="F858" s="116" t="n">
        <f aca="false">IF($A858="","",'Agences &amp; Après-vente'!$E60)</f>
        <v>46170</v>
      </c>
      <c r="G858" s="116" t="n">
        <f aca="false">IF($A858="","",'Agences &amp; Après-vente'!$F60)</f>
        <v>46171</v>
      </c>
      <c r="H858" s="104" t="n">
        <f aca="true">IF($A858="","",IFERROR(MAX(0,NETWORKDAYS(TODAY(),'Agences &amp; Après-vente'!$F60)),""))</f>
        <v>0</v>
      </c>
      <c r="I858" s="0" t="str">
        <f aca="false">IF($A858="","",'Agences &amp; Après-vente'!$I60)</f>
        <v>DONE</v>
      </c>
      <c r="K858" s="104" t="n">
        <f aca="false">IF(A858="",0,IF(IFERROR(VLOOKUP(A858,Skills!$A:$M,13,FALSE()),"")="COS",0,IF(OR(I858="En cours",I858="À venir",I858="À planifier"),IF(AND(OR($C$3="Tous",$C$3="",C858=$C$3),OR($E$3="Tous",$E$3="",I858=$E$3)),1,0),0)))</f>
        <v>0</v>
      </c>
      <c r="L858" s="104" t="n">
        <f aca="false">L857+K858</f>
        <v>15</v>
      </c>
    </row>
    <row r="859" customFormat="false" ht="15" hidden="true" customHeight="true" outlineLevel="0" collapsed="false">
      <c r="A859" s="0" t="str">
        <f aca="false">IF('Agences &amp; Après-vente'!$A61="","",'Agences &amp; Après-vente'!$A61)</f>
        <v>TR039</v>
      </c>
      <c r="B859" s="0" t="str">
        <f aca="false">IF($A859="","",'Agences &amp; Après-vente'!$B61)</f>
        <v>Kelon Ulmar Norridge</v>
      </c>
      <c r="C859" s="0" t="str">
        <f aca="false">IF($A859="","",'Agences &amp; Après-vente'!$C61)</f>
        <v>Montréal</v>
      </c>
      <c r="D859" s="0" t="str">
        <f aca="false">IF($A859="","","Nouvelle compétence")</f>
        <v>Nouvelle compétence</v>
      </c>
      <c r="E859" s="0" t="str">
        <f aca="false">IF($A859="","",'Agences &amp; Après-vente'!$D61)</f>
        <v>Agences</v>
      </c>
      <c r="F859" s="116" t="n">
        <f aca="false">IF($A859="","",'Agences &amp; Après-vente'!$E61)</f>
        <v>46170</v>
      </c>
      <c r="G859" s="116" t="n">
        <f aca="false">IF($A859="","",'Agences &amp; Après-vente'!$F61)</f>
        <v>46174</v>
      </c>
      <c r="H859" s="104" t="n">
        <f aca="true">IF($A859="","",IFERROR(MAX(0,NETWORKDAYS(TODAY(),'Agences &amp; Après-vente'!$F61)),""))</f>
        <v>0</v>
      </c>
      <c r="I859" s="0" t="str">
        <f aca="false">IF($A859="","",'Agences &amp; Après-vente'!$I61)</f>
        <v>DONE</v>
      </c>
      <c r="K859" s="104" t="n">
        <f aca="false">IF(A859="",0,IF(IFERROR(VLOOKUP(A859,Skills!$A:$M,13,FALSE()),"")="COS",0,IF(OR(I859="En cours",I859="À venir",I859="À planifier"),IF(AND(OR($C$3="Tous",$C$3="",C859=$C$3),OR($E$3="Tous",$E$3="",I859=$E$3)),1,0),0)))</f>
        <v>0</v>
      </c>
      <c r="L859" s="104" t="n">
        <f aca="false">L858+K859</f>
        <v>15</v>
      </c>
    </row>
    <row r="860" customFormat="false" ht="15" hidden="true" customHeight="true" outlineLevel="0" collapsed="false">
      <c r="A860" s="0" t="str">
        <f aca="false">IF('Agences &amp; Après-vente'!$A62="","",'Agences &amp; Après-vente'!$A62)</f>
        <v>TR087</v>
      </c>
      <c r="B860" s="0" t="str">
        <f aca="false">IF($A860="","",'Agences &amp; Après-vente'!$B62)</f>
        <v>Iverridge Wesol</v>
      </c>
      <c r="C860" s="0" t="str">
        <f aca="false">IF($A860="","",'Agences &amp; Après-vente'!$C62)</f>
        <v>Montréal</v>
      </c>
      <c r="D860" s="0" t="str">
        <f aca="false">IF($A860="","","Nouvelle compétence")</f>
        <v>Nouvelle compétence</v>
      </c>
      <c r="E860" s="0" t="str">
        <f aca="false">IF($A860="","",'Agences &amp; Après-vente'!$D62)</f>
        <v>Agences</v>
      </c>
      <c r="F860" s="116" t="n">
        <f aca="false">IF($A860="","",'Agences &amp; Après-vente'!$E62)</f>
        <v>46167</v>
      </c>
      <c r="G860" s="116" t="str">
        <f aca="false">IF($A860="","",'Agences &amp; Après-vente'!$F62)</f>
        <v/>
      </c>
      <c r="H860" s="0" t="str">
        <f aca="true">IF($A860="","",IFERROR(MAX(0,NETWORKDAYS(TODAY(),'Agences &amp; Après-vente'!$F62)),""))</f>
        <v/>
      </c>
      <c r="I860" s="0" t="str">
        <f aca="false">IF($A860="","",'Agences &amp; Après-vente'!$I62)</f>
        <v>DONE</v>
      </c>
      <c r="K860" s="104" t="n">
        <f aca="false">IF(A860="",0,IF(IFERROR(VLOOKUP(A860,Skills!$A:$M,13,FALSE()),"")="COS",0,IF(OR(I860="En cours",I860="À venir",I860="À planifier"),IF(AND(OR($C$3="Tous",$C$3="",C860=$C$3),OR($E$3="Tous",$E$3="",I860=$E$3)),1,0),0)))</f>
        <v>0</v>
      </c>
      <c r="L860" s="104" t="n">
        <f aca="false">L859+K860</f>
        <v>15</v>
      </c>
    </row>
    <row r="861" customFormat="false" ht="15" hidden="true" customHeight="true" outlineLevel="0" collapsed="false">
      <c r="A861" s="0" t="str">
        <f aca="false">IF('Agences &amp; Après-vente'!$A63="","",'Agences &amp; Après-vente'!$A63)</f>
        <v>TR027</v>
      </c>
      <c r="B861" s="0" t="str">
        <f aca="false">IF($A861="","",'Agences &amp; Après-vente'!$B63)</f>
        <v>Everhaven Yorys</v>
      </c>
      <c r="C861" s="0" t="str">
        <f aca="false">IF($A861="","",'Agences &amp; Après-vente'!$C63)</f>
        <v>Montréal</v>
      </c>
      <c r="D861" s="0" t="str">
        <f aca="false">IF($A861="","","Nouvelle compétence")</f>
        <v>Nouvelle compétence</v>
      </c>
      <c r="E861" s="0" t="str">
        <f aca="false">IF($A861="","",'Agences &amp; Après-vente'!$D63)</f>
        <v>Agences</v>
      </c>
      <c r="F861" s="116" t="n">
        <f aca="false">IF($A861="","",'Agences &amp; Après-vente'!$E63)</f>
        <v>46167</v>
      </c>
      <c r="G861" s="116" t="str">
        <f aca="false">IF($A861="","",'Agences &amp; Après-vente'!$F63)</f>
        <v/>
      </c>
      <c r="H861" s="0" t="str">
        <f aca="true">IF($A861="","",IFERROR(MAX(0,NETWORKDAYS(TODAY(),'Agences &amp; Après-vente'!$F63)),""))</f>
        <v/>
      </c>
      <c r="I861" s="0" t="str">
        <f aca="false">IF($A861="","",'Agences &amp; Après-vente'!$I63)</f>
        <v>DONE</v>
      </c>
      <c r="K861" s="104" t="n">
        <f aca="false">IF(A861="",0,IF(IFERROR(VLOOKUP(A861,Skills!$A:$M,13,FALSE()),"")="COS",0,IF(OR(I861="En cours",I861="À venir",I861="À planifier"),IF(AND(OR($C$3="Tous",$C$3="",C861=$C$3),OR($E$3="Tous",$E$3="",I861=$E$3)),1,0),0)))</f>
        <v>0</v>
      </c>
      <c r="L861" s="104" t="n">
        <f aca="false">L860+K861</f>
        <v>15</v>
      </c>
    </row>
    <row r="862" customFormat="false" ht="15" hidden="true" customHeight="true" outlineLevel="0" collapsed="false">
      <c r="A862" s="0" t="str">
        <f aca="false">IF('Agences &amp; Après-vente'!$A64="","",'Agences &amp; Après-vente'!$A64)</f>
        <v>TR059</v>
      </c>
      <c r="B862" s="0" t="str">
        <f aca="false">IF($A862="","",'Agences &amp; Après-vente'!$B64)</f>
        <v>Fairmere Stelhaven</v>
      </c>
      <c r="C862" s="0" t="str">
        <f aca="false">IF($A862="","",'Agences &amp; Après-vente'!$C64)</f>
        <v>Montréal</v>
      </c>
      <c r="D862" s="0" t="str">
        <f aca="false">IF($A862="","","Nouvelle compétence")</f>
        <v>Nouvelle compétence</v>
      </c>
      <c r="E862" s="0" t="str">
        <f aca="false">IF($A862="","",'Agences &amp; Après-vente'!$D64)</f>
        <v>Agences</v>
      </c>
      <c r="F862" s="116" t="n">
        <f aca="false">IF($A862="","",'Agences &amp; Après-vente'!$E64)</f>
        <v>46170</v>
      </c>
      <c r="G862" s="116" t="n">
        <f aca="false">IF($A862="","",'Agences &amp; Après-vente'!$F64)</f>
        <v>46171</v>
      </c>
      <c r="H862" s="104" t="n">
        <f aca="true">IF($A862="","",IFERROR(MAX(0,NETWORKDAYS(TODAY(),'Agences &amp; Après-vente'!$F64)),""))</f>
        <v>0</v>
      </c>
      <c r="I862" s="0" t="str">
        <f aca="false">IF($A862="","",'Agences &amp; Après-vente'!$I64)</f>
        <v>DONE</v>
      </c>
      <c r="K862" s="104" t="n">
        <f aca="false">IF(A862="",0,IF(IFERROR(VLOOKUP(A862,Skills!$A:$M,13,FALSE()),"")="COS",0,IF(OR(I862="En cours",I862="À venir",I862="À planifier"),IF(AND(OR($C$3="Tous",$C$3="",C862=$C$3),OR($E$3="Tous",$E$3="",I862=$E$3)),1,0),0)))</f>
        <v>0</v>
      </c>
      <c r="L862" s="104" t="n">
        <f aca="false">L861+K862</f>
        <v>15</v>
      </c>
    </row>
    <row r="863" customFormat="false" ht="15" hidden="true" customHeight="true" outlineLevel="0" collapsed="false">
      <c r="A863" s="0" t="str">
        <f aca="false">IF('Agences &amp; Après-vente'!$A65="","",'Agences &amp; Après-vente'!$A65)</f>
        <v>TR036</v>
      </c>
      <c r="B863" s="0" t="str">
        <f aca="false">IF($A863="","",'Agences &amp; Après-vente'!$B65)</f>
        <v>Rowndale Joren</v>
      </c>
      <c r="C863" s="0" t="str">
        <f aca="false">IF($A863="","",'Agences &amp; Après-vente'!$C65)</f>
        <v>Montréal</v>
      </c>
      <c r="D863" s="0" t="str">
        <f aca="false">IF($A863="","","Nouvelle compétence")</f>
        <v>Nouvelle compétence</v>
      </c>
      <c r="E863" s="0" t="str">
        <f aca="false">IF($A863="","",'Agences &amp; Après-vente'!$D65)</f>
        <v>Agences</v>
      </c>
      <c r="F863" s="116" t="n">
        <f aca="false">IF($A863="","",'Agences &amp; Après-vente'!$E65)</f>
        <v>46168</v>
      </c>
      <c r="G863" s="116" t="str">
        <f aca="false">IF($A863="","",'Agences &amp; Après-vente'!$F65)</f>
        <v/>
      </c>
      <c r="H863" s="0" t="str">
        <f aca="true">IF($A863="","",IFERROR(MAX(0,NETWORKDAYS(TODAY(),'Agences &amp; Après-vente'!$F65)),""))</f>
        <v/>
      </c>
      <c r="I863" s="0" t="str">
        <f aca="false">IF($A863="","",'Agences &amp; Après-vente'!$I65)</f>
        <v>DONE</v>
      </c>
      <c r="K863" s="104" t="n">
        <f aca="false">IF(A863="",0,IF(IFERROR(VLOOKUP(A863,Skills!$A:$M,13,FALSE()),"")="COS",0,IF(OR(I863="En cours",I863="À venir",I863="À planifier"),IF(AND(OR($C$3="Tous",$C$3="",C863=$C$3),OR($E$3="Tous",$E$3="",I863=$E$3)),1,0),0)))</f>
        <v>0</v>
      </c>
      <c r="L863" s="104" t="n">
        <f aca="false">L862+K863</f>
        <v>15</v>
      </c>
    </row>
    <row r="864" customFormat="false" ht="15" hidden="true" customHeight="true" outlineLevel="0" collapsed="false">
      <c r="A864" s="0" t="str">
        <f aca="false">IF('Agences &amp; Après-vente'!$A66="","",'Agences &amp; Après-vente'!$A66)</f>
        <v>TR023</v>
      </c>
      <c r="B864" s="0" t="str">
        <f aca="false">IF($A864="","",'Agences &amp; Après-vente'!$B66)</f>
        <v>Granfield Granridge Torel</v>
      </c>
      <c r="C864" s="0" t="str">
        <f aca="false">IF($A864="","",'Agences &amp; Après-vente'!$C66)</f>
        <v>Montréal</v>
      </c>
      <c r="D864" s="0" t="str">
        <f aca="false">IF($A864="","","Nouvelle compétence")</f>
        <v>Nouvelle compétence</v>
      </c>
      <c r="E864" s="0" t="str">
        <f aca="false">IF($A864="","",'Agences &amp; Après-vente'!$D66)</f>
        <v>Agences</v>
      </c>
      <c r="F864" s="116" t="n">
        <f aca="false">IF($A864="","",'Agences &amp; Après-vente'!$E66)</f>
        <v>46170</v>
      </c>
      <c r="G864" s="116" t="n">
        <f aca="false">IF($A864="","",'Agences &amp; Après-vente'!$F66)</f>
        <v>46174</v>
      </c>
      <c r="H864" s="104" t="n">
        <f aca="true">IF($A864="","",IFERROR(MAX(0,NETWORKDAYS(TODAY(),'Agences &amp; Après-vente'!$F66)),""))</f>
        <v>0</v>
      </c>
      <c r="I864" s="0" t="str">
        <f aca="false">IF($A864="","",'Agences &amp; Après-vente'!$I66)</f>
        <v>DONE</v>
      </c>
      <c r="K864" s="104" t="n">
        <f aca="false">IF(A864="",0,IF(IFERROR(VLOOKUP(A864,Skills!$A:$M,13,FALSE()),"")="COS",0,IF(OR(I864="En cours",I864="À venir",I864="À planifier"),IF(AND(OR($C$3="Tous",$C$3="",C864=$C$3),OR($E$3="Tous",$E$3="",I864=$E$3)),1,0),0)))</f>
        <v>0</v>
      </c>
      <c r="L864" s="104" t="n">
        <f aca="false">L863+K864</f>
        <v>15</v>
      </c>
    </row>
    <row r="865" customFormat="false" ht="15" hidden="true" customHeight="true" outlineLevel="0" collapsed="false">
      <c r="A865" s="0" t="str">
        <f aca="false">IF('Agences &amp; Après-vente'!$A67="","",'Agences &amp; Après-vente'!$A67)</f>
        <v>TR135</v>
      </c>
      <c r="B865" s="0" t="str">
        <f aca="false">IF($A865="","",'Agences &amp; Après-vente'!$B67)</f>
        <v>Brael Larkwood Nevil Nevic</v>
      </c>
      <c r="C865" s="0" t="str">
        <f aca="false">IF($A865="","",'Agences &amp; Après-vente'!$C67)</f>
        <v>Montréal</v>
      </c>
      <c r="D865" s="0" t="str">
        <f aca="false">IF($A865="","","Nouvelle compétence")</f>
        <v>Nouvelle compétence</v>
      </c>
      <c r="E865" s="0" t="str">
        <f aca="false">IF($A865="","",'Agences &amp; Après-vente'!$D67)</f>
        <v>Agences</v>
      </c>
      <c r="F865" s="116" t="n">
        <f aca="false">IF($A865="","",'Agences &amp; Après-vente'!$E67)</f>
        <v>46168</v>
      </c>
      <c r="G865" s="116" t="str">
        <f aca="false">IF($A865="","",'Agences &amp; Après-vente'!$F67)</f>
        <v/>
      </c>
      <c r="H865" s="0" t="str">
        <f aca="true">IF($A865="","",IFERROR(MAX(0,NETWORKDAYS(TODAY(),'Agences &amp; Après-vente'!$F67)),""))</f>
        <v/>
      </c>
      <c r="I865" s="0" t="str">
        <f aca="false">IF($A865="","",'Agences &amp; Après-vente'!$I67)</f>
        <v>DONE</v>
      </c>
      <c r="K865" s="104" t="n">
        <f aca="false">IF(A865="",0,IF(IFERROR(VLOOKUP(A865,Skills!$A:$M,13,FALSE()),"")="COS",0,IF(OR(I865="En cours",I865="À venir",I865="À planifier"),IF(AND(OR($C$3="Tous",$C$3="",C865=$C$3),OR($E$3="Tous",$E$3="",I865=$E$3)),1,0),0)))</f>
        <v>0</v>
      </c>
      <c r="L865" s="104" t="n">
        <f aca="false">L864+K865</f>
        <v>15</v>
      </c>
    </row>
    <row r="866" customFormat="false" ht="15" hidden="true" customHeight="true" outlineLevel="0" collapsed="false">
      <c r="A866" s="0" t="str">
        <f aca="false">IF('Agences &amp; Après-vente'!$A68="","",'Agences &amp; Après-vente'!$A68)</f>
        <v>TR111</v>
      </c>
      <c r="B866" s="0" t="str">
        <f aca="false">IF($A866="","",'Agences &amp; Après-vente'!$B68)</f>
        <v>Bramhaven Lumil Steldale</v>
      </c>
      <c r="C866" s="0" t="str">
        <f aca="false">IF($A866="","",'Agences &amp; Après-vente'!$C68)</f>
        <v>Montréal</v>
      </c>
      <c r="D866" s="0" t="str">
        <f aca="false">IF($A866="","","Nouvelle compétence")</f>
        <v>Nouvelle compétence</v>
      </c>
      <c r="E866" s="0" t="str">
        <f aca="false">IF($A866="","",'Agences &amp; Après-vente'!$D68)</f>
        <v>Agences</v>
      </c>
      <c r="F866" s="116" t="n">
        <f aca="false">IF($A866="","",'Agences &amp; Après-vente'!$E68)</f>
        <v>46169</v>
      </c>
      <c r="G866" s="116" t="n">
        <f aca="false">IF($A866="","",'Agences &amp; Après-vente'!$F68)</f>
        <v>46171</v>
      </c>
      <c r="H866" s="104" t="n">
        <f aca="true">IF($A866="","",IFERROR(MAX(0,NETWORKDAYS(TODAY(),'Agences &amp; Après-vente'!$F68)),""))</f>
        <v>0</v>
      </c>
      <c r="I866" s="0" t="str">
        <f aca="false">IF($A866="","",'Agences &amp; Après-vente'!$I68)</f>
        <v>DONE</v>
      </c>
      <c r="K866" s="104" t="n">
        <f aca="false">IF(A866="",0,IF(IFERROR(VLOOKUP(A866,Skills!$A:$M,13,FALSE()),"")="COS",0,IF(OR(I866="En cours",I866="À venir",I866="À planifier"),IF(AND(OR($C$3="Tous",$C$3="",C866=$C$3),OR($E$3="Tous",$E$3="",I866=$E$3)),1,0),0)))</f>
        <v>0</v>
      </c>
      <c r="L866" s="104" t="n">
        <f aca="false">L865+K866</f>
        <v>15</v>
      </c>
    </row>
    <row r="867" customFormat="false" ht="15" hidden="true" customHeight="true" outlineLevel="0" collapsed="false">
      <c r="A867" s="0" t="str">
        <f aca="false">IF('Agences &amp; Après-vente'!$A69="","",'Agences &amp; Après-vente'!$A69)</f>
        <v>TR003</v>
      </c>
      <c r="B867" s="0" t="str">
        <f aca="false">IF($A867="","",'Agences &amp; Après-vente'!$B69)</f>
        <v>Kendfield Moran Lumith</v>
      </c>
      <c r="C867" s="0" t="str">
        <f aca="false">IF($A867="","",'Agences &amp; Après-vente'!$C69)</f>
        <v>Montréal</v>
      </c>
      <c r="D867" s="0" t="str">
        <f aca="false">IF($A867="","","Nouvelle compétence")</f>
        <v>Nouvelle compétence</v>
      </c>
      <c r="E867" s="0" t="str">
        <f aca="false">IF($A867="","",'Agences &amp; Après-vente'!$D69)</f>
        <v>Agences</v>
      </c>
      <c r="F867" s="116" t="n">
        <f aca="false">IF($A867="","",'Agences &amp; Après-vente'!$E69)</f>
        <v>46168</v>
      </c>
      <c r="G867" s="116" t="n">
        <f aca="false">IF($A867="","",'Agences &amp; Après-vente'!$F69)</f>
        <v>46170</v>
      </c>
      <c r="H867" s="104" t="n">
        <f aca="true">IF($A867="","",IFERROR(MAX(0,NETWORKDAYS(TODAY(),'Agences &amp; Après-vente'!$F69)),""))</f>
        <v>0</v>
      </c>
      <c r="I867" s="0" t="str">
        <f aca="false">IF($A867="","",'Agences &amp; Après-vente'!$I69)</f>
        <v>DONE</v>
      </c>
      <c r="K867" s="104" t="n">
        <f aca="false">IF(A867="",0,IF(IFERROR(VLOOKUP(A867,Skills!$A:$M,13,FALSE()),"")="COS",0,IF(OR(I867="En cours",I867="À venir",I867="À planifier"),IF(AND(OR($C$3="Tous",$C$3="",C867=$C$3),OR($E$3="Tous",$E$3="",I867=$E$3)),1,0),0)))</f>
        <v>0</v>
      </c>
      <c r="L867" s="104" t="n">
        <f aca="false">L866+K867</f>
        <v>15</v>
      </c>
    </row>
    <row r="868" customFormat="false" ht="15" hidden="true" customHeight="true" outlineLevel="0" collapsed="false">
      <c r="A868" s="0" t="str">
        <f aca="false">IF('Agences &amp; Après-vente'!$A70="","",'Agences &amp; Après-vente'!$A70)</f>
        <v>TR142</v>
      </c>
      <c r="B868" s="0" t="str">
        <f aca="false">IF($A868="","",'Agences &amp; Après-vente'!$B70)</f>
        <v>Thornmont Nevar</v>
      </c>
      <c r="C868" s="0" t="str">
        <f aca="false">IF($A868="","",'Agences &amp; Après-vente'!$C70)</f>
        <v>Lisbonne</v>
      </c>
      <c r="D868" s="0" t="str">
        <f aca="false">IF($A868="","","Nouvelle compétence")</f>
        <v>Nouvelle compétence</v>
      </c>
      <c r="E868" s="0" t="str">
        <f aca="false">IF($A868="","",'Agences &amp; Après-vente'!$D70)</f>
        <v>Agences</v>
      </c>
      <c r="F868" s="116" t="n">
        <f aca="false">IF($A868="","",'Agences &amp; Après-vente'!$E70)</f>
        <v>46168</v>
      </c>
      <c r="G868" s="116" t="n">
        <f aca="false">IF($A868="","",'Agences &amp; Après-vente'!$F70)</f>
        <v>46169</v>
      </c>
      <c r="H868" s="104" t="n">
        <f aca="true">IF($A868="","",IFERROR(MAX(0,NETWORKDAYS(TODAY(),'Agences &amp; Après-vente'!$F70)),""))</f>
        <v>0</v>
      </c>
      <c r="I868" s="0" t="str">
        <f aca="false">IF($A868="","",'Agences &amp; Après-vente'!$I70)</f>
        <v>DONE</v>
      </c>
      <c r="K868" s="104" t="n">
        <f aca="false">IF(A868="",0,IF(IFERROR(VLOOKUP(A868,Skills!$A:$M,13,FALSE()),"")="COS",0,IF(OR(I868="En cours",I868="À venir",I868="À planifier"),IF(AND(OR($C$3="Tous",$C$3="",C868=$C$3),OR($E$3="Tous",$E$3="",I868=$E$3)),1,0),0)))</f>
        <v>0</v>
      </c>
      <c r="L868" s="104" t="n">
        <f aca="false">L867+K868</f>
        <v>15</v>
      </c>
    </row>
    <row r="869" customFormat="false" ht="15" hidden="true" customHeight="true" outlineLevel="0" collapsed="false">
      <c r="A869" s="0" t="str">
        <f aca="false">IF('Agences &amp; Après-vente'!$A71="","",'Agences &amp; Après-vente'!$A71)</f>
        <v>TR030</v>
      </c>
      <c r="B869" s="0" t="str">
        <f aca="false">IF($A869="","",'Agences &amp; Après-vente'!$B71)</f>
        <v>Fenus Yoror</v>
      </c>
      <c r="C869" s="0" t="str">
        <f aca="false">IF($A869="","",'Agences &amp; Après-vente'!$C71)</f>
        <v>Montréal</v>
      </c>
      <c r="D869" s="0" t="str">
        <f aca="false">IF($A869="","","Nouvelle compétence")</f>
        <v>Nouvelle compétence</v>
      </c>
      <c r="E869" s="0" t="str">
        <f aca="false">IF($A869="","",'Agences &amp; Après-vente'!$D71)</f>
        <v>Après-vente</v>
      </c>
      <c r="F869" s="116" t="n">
        <f aca="false">IF($A869="","",'Agences &amp; Après-vente'!$E71)</f>
        <v>46155</v>
      </c>
      <c r="G869" s="116" t="str">
        <f aca="false">IF($A869="","",'Agences &amp; Après-vente'!$F71)</f>
        <v/>
      </c>
      <c r="H869" s="0" t="str">
        <f aca="true">IF($A869="","",IFERROR(MAX(0,NETWORKDAYS(TODAY(),'Agences &amp; Après-vente'!$F71)),""))</f>
        <v/>
      </c>
      <c r="I869" s="0" t="str">
        <f aca="false">IF($A869="","",'Agences &amp; Après-vente'!$I71)</f>
        <v>DONE</v>
      </c>
      <c r="K869" s="104" t="n">
        <f aca="false">IF(A869="",0,IF(IFERROR(VLOOKUP(A869,Skills!$A:$M,13,FALSE()),"")="COS",0,IF(OR(I869="En cours",I869="À venir",I869="À planifier"),IF(AND(OR($C$3="Tous",$C$3="",C869=$C$3),OR($E$3="Tous",$E$3="",I869=$E$3)),1,0),0)))</f>
        <v>0</v>
      </c>
      <c r="L869" s="104" t="n">
        <f aca="false">L868+K869</f>
        <v>15</v>
      </c>
    </row>
    <row r="870" customFormat="false" ht="15" hidden="true" customHeight="true" outlineLevel="0" collapsed="false">
      <c r="A870" s="0" t="str">
        <f aca="false">IF('Agences &amp; Après-vente'!$A72="","",'Agences &amp; Après-vente'!$A72)</f>
        <v>TR019</v>
      </c>
      <c r="B870" s="0" t="str">
        <f aca="false">IF($A870="","",'Agences &amp; Après-vente'!$B72)</f>
        <v>Kelar Dellbrook</v>
      </c>
      <c r="C870" s="0" t="str">
        <f aca="false">IF($A870="","",'Agences &amp; Après-vente'!$C72)</f>
        <v>Montréal</v>
      </c>
      <c r="D870" s="0" t="str">
        <f aca="false">IF($A870="","","Nouvelle compétence")</f>
        <v>Nouvelle compétence</v>
      </c>
      <c r="E870" s="0" t="str">
        <f aca="false">IF($A870="","",'Agences &amp; Après-vente'!$D72)</f>
        <v>Après-vente</v>
      </c>
      <c r="F870" s="116" t="n">
        <f aca="false">IF($A870="","",'Agences &amp; Après-vente'!$E72)</f>
        <v>46155</v>
      </c>
      <c r="G870" s="116" t="str">
        <f aca="false">IF($A870="","",'Agences &amp; Après-vente'!$F72)</f>
        <v/>
      </c>
      <c r="H870" s="0" t="str">
        <f aca="true">IF($A870="","",IFERROR(MAX(0,NETWORKDAYS(TODAY(),'Agences &amp; Après-vente'!$F72)),""))</f>
        <v/>
      </c>
      <c r="I870" s="0" t="str">
        <f aca="false">IF($A870="","",'Agences &amp; Après-vente'!$I72)</f>
        <v>DONE</v>
      </c>
      <c r="K870" s="104" t="n">
        <f aca="false">IF(A870="",0,IF(IFERROR(VLOOKUP(A870,Skills!$A:$M,13,FALSE()),"")="COS",0,IF(OR(I870="En cours",I870="À venir",I870="À planifier"),IF(AND(OR($C$3="Tous",$C$3="",C870=$C$3),OR($E$3="Tous",$E$3="",I870=$E$3)),1,0),0)))</f>
        <v>0</v>
      </c>
      <c r="L870" s="104" t="n">
        <f aca="false">L869+K870</f>
        <v>15</v>
      </c>
    </row>
    <row r="871" customFormat="false" ht="15" hidden="true" customHeight="true" outlineLevel="0" collapsed="false">
      <c r="A871" s="0" t="str">
        <f aca="false">IF('Agences &amp; Après-vente'!$A73="","",'Agences &amp; Après-vente'!$A73)</f>
        <v>TR063</v>
      </c>
      <c r="B871" s="0" t="str">
        <f aca="false">IF($A871="","",'Agences &amp; Après-vente'!$B73)</f>
        <v>Jorus Marsgate</v>
      </c>
      <c r="C871" s="0" t="str">
        <f aca="false">IF($A871="","",'Agences &amp; Après-vente'!$C73)</f>
        <v>Montréal</v>
      </c>
      <c r="D871" s="0" t="str">
        <f aca="false">IF($A871="","","Nouvelle compétence")</f>
        <v>Nouvelle compétence</v>
      </c>
      <c r="E871" s="0" t="str">
        <f aca="false">IF($A871="","",'Agences &amp; Après-vente'!$D73)</f>
        <v>Après-vente</v>
      </c>
      <c r="F871" s="116" t="n">
        <f aca="false">IF($A871="","",'Agences &amp; Après-vente'!$E73)</f>
        <v>46155</v>
      </c>
      <c r="G871" s="116" t="str">
        <f aca="false">IF($A871="","",'Agences &amp; Après-vente'!$F73)</f>
        <v/>
      </c>
      <c r="H871" s="0" t="str">
        <f aca="true">IF($A871="","",IFERROR(MAX(0,NETWORKDAYS(TODAY(),'Agences &amp; Après-vente'!$F73)),""))</f>
        <v/>
      </c>
      <c r="I871" s="0" t="str">
        <f aca="false">IF($A871="","",'Agences &amp; Après-vente'!$I73)</f>
        <v>DONE</v>
      </c>
      <c r="K871" s="104" t="n">
        <f aca="false">IF(A871="",0,IF(IFERROR(VLOOKUP(A871,Skills!$A:$M,13,FALSE()),"")="COS",0,IF(OR(I871="En cours",I871="À venir",I871="À planifier"),IF(AND(OR($C$3="Tous",$C$3="",C871=$C$3),OR($E$3="Tous",$E$3="",I871=$E$3)),1,0),0)))</f>
        <v>0</v>
      </c>
      <c r="L871" s="104" t="n">
        <f aca="false">L870+K871</f>
        <v>15</v>
      </c>
    </row>
    <row r="872" customFormat="false" ht="15" hidden="true" customHeight="true" outlineLevel="0" collapsed="false">
      <c r="A872" s="0" t="str">
        <f aca="false">IF('Agences &amp; Après-vente'!$A74="","",'Agences &amp; Après-vente'!$A74)</f>
        <v>TR040</v>
      </c>
      <c r="B872" s="0" t="str">
        <f aca="false">IF($A872="","",'Agences &amp; Après-vente'!$B74)</f>
        <v>Yorol Fenar</v>
      </c>
      <c r="C872" s="0" t="str">
        <f aca="false">IF($A872="","",'Agences &amp; Après-vente'!$C74)</f>
        <v>Montréal</v>
      </c>
      <c r="D872" s="0" t="str">
        <f aca="false">IF($A872="","","Nouvelle compétence")</f>
        <v>Nouvelle compétence</v>
      </c>
      <c r="E872" s="0" t="str">
        <f aca="false">IF($A872="","",'Agences &amp; Après-vente'!$D74)</f>
        <v>Après-vente</v>
      </c>
      <c r="F872" s="116" t="n">
        <f aca="false">IF($A872="","",'Agences &amp; Après-vente'!$E74)</f>
        <v>46155</v>
      </c>
      <c r="G872" s="116" t="str">
        <f aca="false">IF($A872="","",'Agences &amp; Après-vente'!$F74)</f>
        <v/>
      </c>
      <c r="H872" s="0" t="str">
        <f aca="true">IF($A872="","",IFERROR(MAX(0,NETWORKDAYS(TODAY(),'Agences &amp; Après-vente'!$F74)),""))</f>
        <v/>
      </c>
      <c r="I872" s="0" t="str">
        <f aca="false">IF($A872="","",'Agences &amp; Après-vente'!$I74)</f>
        <v>DONE</v>
      </c>
      <c r="K872" s="104" t="n">
        <f aca="false">IF(A872="",0,IF(IFERROR(VLOOKUP(A872,Skills!$A:$M,13,FALSE()),"")="COS",0,IF(OR(I872="En cours",I872="À venir",I872="À planifier"),IF(AND(OR($C$3="Tous",$C$3="",C872=$C$3),OR($E$3="Tous",$E$3="",I872=$E$3)),1,0),0)))</f>
        <v>0</v>
      </c>
      <c r="L872" s="104" t="n">
        <f aca="false">L871+K872</f>
        <v>15</v>
      </c>
    </row>
    <row r="873" customFormat="false" ht="15" hidden="true" customHeight="true" outlineLevel="0" collapsed="false">
      <c r="A873" s="0" t="str">
        <f aca="false">IF('Agences &amp; Après-vente'!$A75="","",'Agences &amp; Après-vente'!$A75)</f>
        <v>TR077</v>
      </c>
      <c r="B873" s="0" t="str">
        <f aca="false">IF($A873="","",'Agences &amp; Après-vente'!$B75)</f>
        <v>Brail Orinay</v>
      </c>
      <c r="C873" s="0" t="str">
        <f aca="false">IF($A873="","",'Agences &amp; Après-vente'!$C75)</f>
        <v>Montréal</v>
      </c>
      <c r="D873" s="0" t="str">
        <f aca="false">IF($A873="","","Nouvelle compétence")</f>
        <v>Nouvelle compétence</v>
      </c>
      <c r="E873" s="0" t="str">
        <f aca="false">IF($A873="","",'Agences &amp; Après-vente'!$D75)</f>
        <v>Après-vente</v>
      </c>
      <c r="F873" s="116" t="n">
        <f aca="false">IF($A873="","",'Agences &amp; Après-vente'!$E75)</f>
        <v>46155</v>
      </c>
      <c r="G873" s="116" t="str">
        <f aca="false">IF($A873="","",'Agences &amp; Après-vente'!$F75)</f>
        <v/>
      </c>
      <c r="H873" s="0" t="str">
        <f aca="true">IF($A873="","",IFERROR(MAX(0,NETWORKDAYS(TODAY(),'Agences &amp; Après-vente'!$F75)),""))</f>
        <v/>
      </c>
      <c r="I873" s="0" t="str">
        <f aca="false">IF($A873="","",'Agences &amp; Après-vente'!$I75)</f>
        <v>DONE</v>
      </c>
      <c r="K873" s="104" t="n">
        <f aca="false">IF(A873="",0,IF(IFERROR(VLOOKUP(A873,Skills!$A:$M,13,FALSE()),"")="COS",0,IF(OR(I873="En cours",I873="À venir",I873="À planifier"),IF(AND(OR($C$3="Tous",$C$3="",C873=$C$3),OR($E$3="Tous",$E$3="",I873=$E$3)),1,0),0)))</f>
        <v>0</v>
      </c>
      <c r="L873" s="104" t="n">
        <f aca="false">L872+K873</f>
        <v>15</v>
      </c>
    </row>
    <row r="874" customFormat="false" ht="15" hidden="true" customHeight="true" outlineLevel="0" collapsed="false">
      <c r="A874" s="0" t="str">
        <f aca="false">IF('Agences &amp; Après-vente'!$A76="","",'Agences &amp; Après-vente'!$A76)</f>
        <v>TR003</v>
      </c>
      <c r="B874" s="0" t="str">
        <f aca="false">IF($A874="","",'Agences &amp; Après-vente'!$B76)</f>
        <v>Kendfield Moran Lumith</v>
      </c>
      <c r="C874" s="0" t="str">
        <f aca="false">IF($A874="","",'Agences &amp; Après-vente'!$C76)</f>
        <v>Montréal</v>
      </c>
      <c r="D874" s="0" t="str">
        <f aca="false">IF($A874="","","Nouvelle compétence")</f>
        <v>Nouvelle compétence</v>
      </c>
      <c r="E874" s="0" t="str">
        <f aca="false">IF($A874="","",'Agences &amp; Après-vente'!$D76)</f>
        <v>Après-vente</v>
      </c>
      <c r="F874" s="116" t="n">
        <f aca="false">IF($A874="","",'Agences &amp; Après-vente'!$E76)</f>
        <v>46156</v>
      </c>
      <c r="G874" s="116" t="str">
        <f aca="false">IF($A874="","",'Agences &amp; Après-vente'!$F76)</f>
        <v/>
      </c>
      <c r="H874" s="0" t="str">
        <f aca="true">IF($A874="","",IFERROR(MAX(0,NETWORKDAYS(TODAY(),'Agences &amp; Après-vente'!$F76)),""))</f>
        <v/>
      </c>
      <c r="I874" s="0" t="str">
        <f aca="false">IF($A874="","",'Agences &amp; Après-vente'!$I76)</f>
        <v>DONE</v>
      </c>
      <c r="K874" s="104" t="n">
        <f aca="false">IF(A874="",0,IF(IFERROR(VLOOKUP(A874,Skills!$A:$M,13,FALSE()),"")="COS",0,IF(OR(I874="En cours",I874="À venir",I874="À planifier"),IF(AND(OR($C$3="Tous",$C$3="",C874=$C$3),OR($E$3="Tous",$E$3="",I874=$E$3)),1,0),0)))</f>
        <v>0</v>
      </c>
      <c r="L874" s="104" t="n">
        <f aca="false">L873+K874</f>
        <v>15</v>
      </c>
    </row>
    <row r="875" customFormat="false" ht="15" hidden="true" customHeight="true" outlineLevel="0" collapsed="false">
      <c r="A875" s="0" t="str">
        <f aca="false">IF('Agences &amp; Après-vente'!$A77="","",'Agences &amp; Après-vente'!$A77)</f>
        <v>TR059</v>
      </c>
      <c r="B875" s="0" t="str">
        <f aca="false">IF($A875="","",'Agences &amp; Après-vente'!$B77)</f>
        <v>Fairmere Stelhaven</v>
      </c>
      <c r="C875" s="0" t="str">
        <f aca="false">IF($A875="","",'Agences &amp; Après-vente'!$C77)</f>
        <v>Montréal</v>
      </c>
      <c r="D875" s="0" t="str">
        <f aca="false">IF($A875="","","Nouvelle compétence")</f>
        <v>Nouvelle compétence</v>
      </c>
      <c r="E875" s="0" t="str">
        <f aca="false">IF($A875="","",'Agences &amp; Après-vente'!$D77)</f>
        <v>Après-vente</v>
      </c>
      <c r="F875" s="116" t="n">
        <f aca="false">IF($A875="","",'Agences &amp; Après-vente'!$E77)</f>
        <v>46156</v>
      </c>
      <c r="G875" s="116" t="str">
        <f aca="false">IF($A875="","",'Agences &amp; Après-vente'!$F77)</f>
        <v/>
      </c>
      <c r="H875" s="0" t="str">
        <f aca="true">IF($A875="","",IFERROR(MAX(0,NETWORKDAYS(TODAY(),'Agences &amp; Après-vente'!$F77)),""))</f>
        <v/>
      </c>
      <c r="I875" s="0" t="str">
        <f aca="false">IF($A875="","",'Agences &amp; Après-vente'!$I77)</f>
        <v>DONE</v>
      </c>
      <c r="K875" s="104" t="n">
        <f aca="false">IF(A875="",0,IF(IFERROR(VLOOKUP(A875,Skills!$A:$M,13,FALSE()),"")="COS",0,IF(OR(I875="En cours",I875="À venir",I875="À planifier"),IF(AND(OR($C$3="Tous",$C$3="",C875=$C$3),OR($E$3="Tous",$E$3="",I875=$E$3)),1,0),0)))</f>
        <v>0</v>
      </c>
      <c r="L875" s="104" t="n">
        <f aca="false">L874+K875</f>
        <v>15</v>
      </c>
    </row>
    <row r="876" customFormat="false" ht="15" hidden="true" customHeight="true" outlineLevel="0" collapsed="false">
      <c r="A876" s="0" t="str">
        <f aca="false">IF('Agences &amp; Après-vente'!$A78="","",'Agences &amp; Après-vente'!$A78)</f>
        <v>TR111</v>
      </c>
      <c r="B876" s="0" t="str">
        <f aca="false">IF($A876="","",'Agences &amp; Après-vente'!$B78)</f>
        <v>Bramhaven Lumil Steldale</v>
      </c>
      <c r="C876" s="0" t="str">
        <f aca="false">IF($A876="","",'Agences &amp; Après-vente'!$C78)</f>
        <v>Montréal</v>
      </c>
      <c r="D876" s="0" t="str">
        <f aca="false">IF($A876="","","Nouvelle compétence")</f>
        <v>Nouvelle compétence</v>
      </c>
      <c r="E876" s="0" t="str">
        <f aca="false">IF($A876="","",'Agences &amp; Après-vente'!$D78)</f>
        <v>Après-vente</v>
      </c>
      <c r="F876" s="116" t="n">
        <f aca="false">IF($A876="","",'Agences &amp; Après-vente'!$E78)</f>
        <v>46156</v>
      </c>
      <c r="G876" s="116" t="str">
        <f aca="false">IF($A876="","",'Agences &amp; Après-vente'!$F78)</f>
        <v/>
      </c>
      <c r="H876" s="0" t="str">
        <f aca="true">IF($A876="","",IFERROR(MAX(0,NETWORKDAYS(TODAY(),'Agences &amp; Après-vente'!$F78)),""))</f>
        <v/>
      </c>
      <c r="I876" s="0" t="str">
        <f aca="false">IF($A876="","",'Agences &amp; Après-vente'!$I78)</f>
        <v>DONE</v>
      </c>
      <c r="K876" s="104" t="n">
        <f aca="false">IF(A876="",0,IF(IFERROR(VLOOKUP(A876,Skills!$A:$M,13,FALSE()),"")="COS",0,IF(OR(I876="En cours",I876="À venir",I876="À planifier"),IF(AND(OR($C$3="Tous",$C$3="",C876=$C$3),OR($E$3="Tous",$E$3="",I876=$E$3)),1,0),0)))</f>
        <v>0</v>
      </c>
      <c r="L876" s="104" t="n">
        <f aca="false">L875+K876</f>
        <v>15</v>
      </c>
    </row>
    <row r="877" customFormat="false" ht="15" hidden="true" customHeight="true" outlineLevel="0" collapsed="false">
      <c r="A877" s="0" t="str">
        <f aca="false">IF('Agences &amp; Après-vente'!$A79="","",'Agences &amp; Après-vente'!$A79)</f>
        <v>TR121</v>
      </c>
      <c r="B877" s="0" t="str">
        <f aca="false">IF($A877="","",'Agences &amp; Après-vente'!$B79)</f>
        <v>Haxar Bramcroft</v>
      </c>
      <c r="C877" s="0" t="str">
        <f aca="false">IF($A877="","",'Agences &amp; Après-vente'!$C79)</f>
        <v>Montréal</v>
      </c>
      <c r="D877" s="0" t="str">
        <f aca="false">IF($A877="","","Nouvelle compétence")</f>
        <v>Nouvelle compétence</v>
      </c>
      <c r="E877" s="0" t="str">
        <f aca="false">IF($A877="","",'Agences &amp; Après-vente'!$D79)</f>
        <v>Après-vente</v>
      </c>
      <c r="F877" s="116" t="n">
        <f aca="false">IF($A877="","",'Agences &amp; Après-vente'!$E79)</f>
        <v>46156</v>
      </c>
      <c r="G877" s="116" t="str">
        <f aca="false">IF($A877="","",'Agences &amp; Après-vente'!$F79)</f>
        <v/>
      </c>
      <c r="H877" s="0" t="str">
        <f aca="true">IF($A877="","",IFERROR(MAX(0,NETWORKDAYS(TODAY(),'Agences &amp; Après-vente'!$F79)),""))</f>
        <v/>
      </c>
      <c r="I877" s="0" t="str">
        <f aca="false">IF($A877="","",'Agences &amp; Après-vente'!$I79)</f>
        <v>DONE</v>
      </c>
      <c r="K877" s="104" t="n">
        <f aca="false">IF(A877="",0,IF(IFERROR(VLOOKUP(A877,Skills!$A:$M,13,FALSE()),"")="COS",0,IF(OR(I877="En cours",I877="À venir",I877="À planifier"),IF(AND(OR($C$3="Tous",$C$3="",C877=$C$3),OR($E$3="Tous",$E$3="",I877=$E$3)),1,0),0)))</f>
        <v>0</v>
      </c>
      <c r="L877" s="104" t="n">
        <f aca="false">L876+K877</f>
        <v>15</v>
      </c>
    </row>
    <row r="878" customFormat="false" ht="15" hidden="true" customHeight="true" outlineLevel="0" collapsed="false">
      <c r="A878" s="0" t="str">
        <f aca="false">IF('Agences &amp; Après-vente'!$A80="","",'Agences &amp; Après-vente'!$A80)</f>
        <v>TR087</v>
      </c>
      <c r="B878" s="0" t="str">
        <f aca="false">IF($A878="","",'Agences &amp; Après-vente'!$B80)</f>
        <v>Iverridge Wesol</v>
      </c>
      <c r="C878" s="0" t="str">
        <f aca="false">IF($A878="","",'Agences &amp; Après-vente'!$C80)</f>
        <v>Montréal</v>
      </c>
      <c r="D878" s="0" t="str">
        <f aca="false">IF($A878="","","Nouvelle compétence")</f>
        <v>Nouvelle compétence</v>
      </c>
      <c r="E878" s="0" t="str">
        <f aca="false">IF($A878="","",'Agences &amp; Après-vente'!$D80)</f>
        <v>Après-vente</v>
      </c>
      <c r="F878" s="116" t="n">
        <f aca="false">IF($A878="","",'Agences &amp; Après-vente'!$E80)</f>
        <v>46156</v>
      </c>
      <c r="G878" s="116" t="str">
        <f aca="false">IF($A878="","",'Agences &amp; Après-vente'!$F80)</f>
        <v/>
      </c>
      <c r="H878" s="0" t="str">
        <f aca="true">IF($A878="","",IFERROR(MAX(0,NETWORKDAYS(TODAY(),'Agences &amp; Après-vente'!$F80)),""))</f>
        <v/>
      </c>
      <c r="I878" s="0" t="str">
        <f aca="false">IF($A878="","",'Agences &amp; Après-vente'!$I80)</f>
        <v>DONE</v>
      </c>
      <c r="K878" s="104" t="n">
        <f aca="false">IF(A878="",0,IF(IFERROR(VLOOKUP(A878,Skills!$A:$M,13,FALSE()),"")="COS",0,IF(OR(I878="En cours",I878="À venir",I878="À planifier"),IF(AND(OR($C$3="Tous",$C$3="",C878=$C$3),OR($E$3="Tous",$E$3="",I878=$E$3)),1,0),0)))</f>
        <v>0</v>
      </c>
      <c r="L878" s="104" t="n">
        <f aca="false">L877+K878</f>
        <v>15</v>
      </c>
    </row>
    <row r="879" customFormat="false" ht="15" hidden="true" customHeight="true" outlineLevel="0" collapsed="false">
      <c r="A879" s="0" t="str">
        <f aca="false">IF('Agences &amp; Après-vente'!$A81="","",'Agences &amp; Après-vente'!$A81)</f>
        <v>TR134</v>
      </c>
      <c r="B879" s="0" t="str">
        <f aca="false">IF($A879="","",'Agences &amp; Après-vente'!$B81)</f>
        <v>Norcroft Yorea</v>
      </c>
      <c r="C879" s="0" t="str">
        <f aca="false">IF($A879="","",'Agences &amp; Après-vente'!$C81)</f>
        <v>Montréal</v>
      </c>
      <c r="D879" s="0" t="str">
        <f aca="false">IF($A879="","","Nouvelle compétence")</f>
        <v>Nouvelle compétence</v>
      </c>
      <c r="E879" s="0" t="str">
        <f aca="false">IF($A879="","",'Agences &amp; Après-vente'!$D81)</f>
        <v>Après-vente</v>
      </c>
      <c r="F879" s="116" t="n">
        <f aca="false">IF($A879="","",'Agences &amp; Après-vente'!$E81)</f>
        <v>46156</v>
      </c>
      <c r="G879" s="116" t="str">
        <f aca="false">IF($A879="","",'Agences &amp; Après-vente'!$F81)</f>
        <v/>
      </c>
      <c r="H879" s="0" t="str">
        <f aca="true">IF($A879="","",IFERROR(MAX(0,NETWORKDAYS(TODAY(),'Agences &amp; Après-vente'!$F81)),""))</f>
        <v/>
      </c>
      <c r="I879" s="0" t="str">
        <f aca="false">IF($A879="","",'Agences &amp; Après-vente'!$I81)</f>
        <v>DONE</v>
      </c>
      <c r="K879" s="104" t="n">
        <f aca="false">IF(A879="",0,IF(IFERROR(VLOOKUP(A879,Skills!$A:$M,13,FALSE()),"")="COS",0,IF(OR(I879="En cours",I879="À venir",I879="À planifier"),IF(AND(OR($C$3="Tous",$C$3="",C879=$C$3),OR($E$3="Tous",$E$3="",I879=$E$3)),1,0),0)))</f>
        <v>0</v>
      </c>
      <c r="L879" s="104" t="n">
        <f aca="false">L878+K879</f>
        <v>15</v>
      </c>
    </row>
    <row r="880" customFormat="false" ht="15" hidden="true" customHeight="true" outlineLevel="0" collapsed="false">
      <c r="A880" s="0" t="str">
        <f aca="false">IF('Agences &amp; Après-vente'!$A82="","",'Agences &amp; Après-vente'!$A82)</f>
        <v>TR001</v>
      </c>
      <c r="B880" s="0" t="str">
        <f aca="false">IF($A880="","",'Agences &amp; Après-vente'!$B82)</f>
        <v>Lumus Fenel Valeridge</v>
      </c>
      <c r="C880" s="0" t="str">
        <f aca="false">IF($A880="","",'Agences &amp; Après-vente'!$C82)</f>
        <v>Montréal</v>
      </c>
      <c r="D880" s="0" t="str">
        <f aca="false">IF($A880="","","Nouvelle compétence")</f>
        <v>Nouvelle compétence</v>
      </c>
      <c r="E880" s="0" t="str">
        <f aca="false">IF($A880="","",'Agences &amp; Après-vente'!$D82)</f>
        <v>Après-vente</v>
      </c>
      <c r="F880" s="116" t="n">
        <f aca="false">IF($A880="","",'Agences &amp; Après-vente'!$E82)</f>
        <v>46157</v>
      </c>
      <c r="G880" s="116" t="str">
        <f aca="false">IF($A880="","",'Agences &amp; Après-vente'!$F82)</f>
        <v/>
      </c>
      <c r="H880" s="0" t="str">
        <f aca="true">IF($A880="","",IFERROR(MAX(0,NETWORKDAYS(TODAY(),'Agences &amp; Après-vente'!$F82)),""))</f>
        <v/>
      </c>
      <c r="I880" s="0" t="str">
        <f aca="false">IF($A880="","",'Agences &amp; Après-vente'!$I82)</f>
        <v>DONE</v>
      </c>
      <c r="K880" s="104" t="n">
        <f aca="false">IF(A880="",0,IF(IFERROR(VLOOKUP(A880,Skills!$A:$M,13,FALSE()),"")="COS",0,IF(OR(I880="En cours",I880="À venir",I880="À planifier"),IF(AND(OR($C$3="Tous",$C$3="",C880=$C$3),OR($E$3="Tous",$E$3="",I880=$E$3)),1,0),0)))</f>
        <v>0</v>
      </c>
      <c r="L880" s="104" t="n">
        <f aca="false">L879+K880</f>
        <v>15</v>
      </c>
    </row>
    <row r="881" customFormat="false" ht="15" hidden="true" customHeight="true" outlineLevel="0" collapsed="false">
      <c r="A881" s="0" t="str">
        <f aca="false">IF('Agences &amp; Après-vente'!$A83="","",'Agences &amp; Après-vente'!$A83)</f>
        <v>TR023</v>
      </c>
      <c r="B881" s="0" t="str">
        <f aca="false">IF($A881="","",'Agences &amp; Après-vente'!$B83)</f>
        <v>Granfield Granridge Torel</v>
      </c>
      <c r="C881" s="0" t="str">
        <f aca="false">IF($A881="","",'Agences &amp; Après-vente'!$C83)</f>
        <v>Montréal</v>
      </c>
      <c r="D881" s="0" t="str">
        <f aca="false">IF($A881="","","Nouvelle compétence")</f>
        <v>Nouvelle compétence</v>
      </c>
      <c r="E881" s="0" t="str">
        <f aca="false">IF($A881="","",'Agences &amp; Après-vente'!$D83)</f>
        <v>Après-vente</v>
      </c>
      <c r="F881" s="116" t="n">
        <f aca="false">IF($A881="","",'Agences &amp; Après-vente'!$E83)</f>
        <v>46157</v>
      </c>
      <c r="G881" s="116" t="str">
        <f aca="false">IF($A881="","",'Agences &amp; Après-vente'!$F83)</f>
        <v/>
      </c>
      <c r="H881" s="0" t="str">
        <f aca="true">IF($A881="","",IFERROR(MAX(0,NETWORKDAYS(TODAY(),'Agences &amp; Après-vente'!$F83)),""))</f>
        <v/>
      </c>
      <c r="I881" s="0" t="str">
        <f aca="false">IF($A881="","",'Agences &amp; Après-vente'!$I83)</f>
        <v>DONE</v>
      </c>
      <c r="K881" s="104" t="n">
        <f aca="false">IF(A881="",0,IF(IFERROR(VLOOKUP(A881,Skills!$A:$M,13,FALSE()),"")="COS",0,IF(OR(I881="En cours",I881="À venir",I881="À planifier"),IF(AND(OR($C$3="Tous",$C$3="",C881=$C$3),OR($E$3="Tous",$E$3="",I881=$E$3)),1,0),0)))</f>
        <v>0</v>
      </c>
      <c r="L881" s="104" t="n">
        <f aca="false">L880+K881</f>
        <v>15</v>
      </c>
    </row>
    <row r="882" customFormat="false" ht="15" hidden="true" customHeight="true" outlineLevel="0" collapsed="false">
      <c r="A882" s="0" t="str">
        <f aca="false">IF('Agences &amp; Après-vente'!$A84="","",'Agences &amp; Après-vente'!$A84)</f>
        <v>TR027</v>
      </c>
      <c r="B882" s="0" t="str">
        <f aca="false">IF($A882="","",'Agences &amp; Après-vente'!$B84)</f>
        <v>Everhaven Yorys</v>
      </c>
      <c r="C882" s="0" t="str">
        <f aca="false">IF($A882="","",'Agences &amp; Après-vente'!$C84)</f>
        <v>Montréal</v>
      </c>
      <c r="D882" s="0" t="str">
        <f aca="false">IF($A882="","","Nouvelle compétence")</f>
        <v>Nouvelle compétence</v>
      </c>
      <c r="E882" s="0" t="str">
        <f aca="false">IF($A882="","",'Agences &amp; Après-vente'!$D84)</f>
        <v>Après-vente</v>
      </c>
      <c r="F882" s="116" t="n">
        <f aca="false">IF($A882="","",'Agences &amp; Après-vente'!$E84)</f>
        <v>46157</v>
      </c>
      <c r="G882" s="116" t="str">
        <f aca="false">IF($A882="","",'Agences &amp; Après-vente'!$F84)</f>
        <v/>
      </c>
      <c r="H882" s="0" t="str">
        <f aca="true">IF($A882="","",IFERROR(MAX(0,NETWORKDAYS(TODAY(),'Agences &amp; Après-vente'!$F84)),""))</f>
        <v/>
      </c>
      <c r="I882" s="0" t="str">
        <f aca="false">IF($A882="","",'Agences &amp; Après-vente'!$I84)</f>
        <v>DONE</v>
      </c>
      <c r="K882" s="104" t="n">
        <f aca="false">IF(A882="",0,IF(IFERROR(VLOOKUP(A882,Skills!$A:$M,13,FALSE()),"")="COS",0,IF(OR(I882="En cours",I882="À venir",I882="À planifier"),IF(AND(OR($C$3="Tous",$C$3="",C882=$C$3),OR($E$3="Tous",$E$3="",I882=$E$3)),1,0),0)))</f>
        <v>0</v>
      </c>
      <c r="L882" s="104" t="n">
        <f aca="false">L881+K882</f>
        <v>15</v>
      </c>
    </row>
    <row r="883" customFormat="false" ht="15" hidden="true" customHeight="true" outlineLevel="0" collapsed="false">
      <c r="A883" s="0" t="str">
        <f aca="false">IF('Agences &amp; Après-vente'!$A85="","",'Agences &amp; Après-vente'!$A85)</f>
        <v>TR041</v>
      </c>
      <c r="B883" s="0" t="str">
        <f aca="false">IF($A883="","",'Agences &amp; Après-vente'!$B85)</f>
        <v>Thorncroft Zanon Thornfield</v>
      </c>
      <c r="C883" s="0" t="str">
        <f aca="false">IF($A883="","",'Agences &amp; Après-vente'!$C85)</f>
        <v>Montréal</v>
      </c>
      <c r="D883" s="0" t="str">
        <f aca="false">IF($A883="","","Nouvelle compétence")</f>
        <v>Nouvelle compétence</v>
      </c>
      <c r="E883" s="0" t="str">
        <f aca="false">IF($A883="","",'Agences &amp; Après-vente'!$D85)</f>
        <v>Après-vente</v>
      </c>
      <c r="F883" s="116" t="n">
        <f aca="false">IF($A883="","",'Agences &amp; Après-vente'!$E85)</f>
        <v>46157</v>
      </c>
      <c r="G883" s="116" t="str">
        <f aca="false">IF($A883="","",'Agences &amp; Après-vente'!$F85)</f>
        <v/>
      </c>
      <c r="H883" s="0" t="str">
        <f aca="true">IF($A883="","",IFERROR(MAX(0,NETWORKDAYS(TODAY(),'Agences &amp; Après-vente'!$F85)),""))</f>
        <v/>
      </c>
      <c r="I883" s="0" t="str">
        <f aca="false">IF($A883="","",'Agences &amp; Après-vente'!$I85)</f>
        <v>DONE</v>
      </c>
      <c r="K883" s="104" t="n">
        <f aca="false">IF(A883="",0,IF(IFERROR(VLOOKUP(A883,Skills!$A:$M,13,FALSE()),"")="COS",0,IF(OR(I883="En cours",I883="À venir",I883="À planifier"),IF(AND(OR($C$3="Tous",$C$3="",C883=$C$3),OR($E$3="Tous",$E$3="",I883=$E$3)),1,0),0)))</f>
        <v>0</v>
      </c>
      <c r="L883" s="104" t="n">
        <f aca="false">L882+K883</f>
        <v>15</v>
      </c>
    </row>
    <row r="884" customFormat="false" ht="15" hidden="true" customHeight="true" outlineLevel="0" collapsed="false">
      <c r="A884" s="0" t="str">
        <f aca="false">IF('Agences &amp; Après-vente'!$A86="","",'Agences &amp; Après-vente'!$A86)</f>
        <v>TR036</v>
      </c>
      <c r="B884" s="0" t="str">
        <f aca="false">IF($A884="","",'Agences &amp; Après-vente'!$B86)</f>
        <v>Rowndale Joren</v>
      </c>
      <c r="C884" s="0" t="str">
        <f aca="false">IF($A884="","",'Agences &amp; Après-vente'!$C86)</f>
        <v>Montréal</v>
      </c>
      <c r="D884" s="0" t="str">
        <f aca="false">IF($A884="","","Nouvelle compétence")</f>
        <v>Nouvelle compétence</v>
      </c>
      <c r="E884" s="0" t="str">
        <f aca="false">IF($A884="","",'Agences &amp; Après-vente'!$D86)</f>
        <v>Après-vente</v>
      </c>
      <c r="F884" s="116" t="n">
        <f aca="false">IF($A884="","",'Agences &amp; Après-vente'!$E86)</f>
        <v>46157</v>
      </c>
      <c r="G884" s="116" t="str">
        <f aca="false">IF($A884="","",'Agences &amp; Après-vente'!$F86)</f>
        <v/>
      </c>
      <c r="H884" s="0" t="str">
        <f aca="true">IF($A884="","",IFERROR(MAX(0,NETWORKDAYS(TODAY(),'Agences &amp; Après-vente'!$F86)),""))</f>
        <v/>
      </c>
      <c r="I884" s="0" t="str">
        <f aca="false">IF($A884="","",'Agences &amp; Après-vente'!$I86)</f>
        <v>DONE</v>
      </c>
      <c r="K884" s="104" t="n">
        <f aca="false">IF(A884="",0,IF(IFERROR(VLOOKUP(A884,Skills!$A:$M,13,FALSE()),"")="COS",0,IF(OR(I884="En cours",I884="À venir",I884="À planifier"),IF(AND(OR($C$3="Tous",$C$3="",C884=$C$3),OR($E$3="Tous",$E$3="",I884=$E$3)),1,0),0)))</f>
        <v>0</v>
      </c>
      <c r="L884" s="104" t="n">
        <f aca="false">L883+K884</f>
        <v>15</v>
      </c>
    </row>
    <row r="885" customFormat="false" ht="15" hidden="true" customHeight="true" outlineLevel="0" collapsed="false">
      <c r="A885" s="0" t="str">
        <f aca="false">IF('Agences &amp; Après-vente'!$A87="","",'Agences &amp; Après-vente'!$A87)</f>
        <v>TR043</v>
      </c>
      <c r="B885" s="0" t="str">
        <f aca="false">IF($A885="","",'Agences &amp; Après-vente'!$B87)</f>
        <v>Calol Calel</v>
      </c>
      <c r="C885" s="0" t="str">
        <f aca="false">IF($A885="","",'Agences &amp; Après-vente'!$C87)</f>
        <v>Montréal</v>
      </c>
      <c r="D885" s="0" t="str">
        <f aca="false">IF($A885="","","Nouvelle compétence")</f>
        <v>Nouvelle compétence</v>
      </c>
      <c r="E885" s="0" t="str">
        <f aca="false">IF($A885="","",'Agences &amp; Après-vente'!$D87)</f>
        <v>Après-vente</v>
      </c>
      <c r="F885" s="116" t="n">
        <f aca="false">IF($A885="","",'Agences &amp; Après-vente'!$E87)</f>
        <v>46157</v>
      </c>
      <c r="G885" s="116" t="str">
        <f aca="false">IF($A885="","",'Agences &amp; Après-vente'!$F87)</f>
        <v/>
      </c>
      <c r="H885" s="0" t="str">
        <f aca="true">IF($A885="","",IFERROR(MAX(0,NETWORKDAYS(TODAY(),'Agences &amp; Après-vente'!$F87)),""))</f>
        <v/>
      </c>
      <c r="I885" s="0" t="str">
        <f aca="false">IF($A885="","",'Agences &amp; Après-vente'!$I87)</f>
        <v>DONE</v>
      </c>
      <c r="K885" s="104" t="n">
        <f aca="false">IF(A885="",0,IF(IFERROR(VLOOKUP(A885,Skills!$A:$M,13,FALSE()),"")="COS",0,IF(OR(I885="En cours",I885="À venir",I885="À planifier"),IF(AND(OR($C$3="Tous",$C$3="",C885=$C$3),OR($E$3="Tous",$E$3="",I885=$E$3)),1,0),0)))</f>
        <v>0</v>
      </c>
      <c r="L885" s="104" t="n">
        <f aca="false">L884+K885</f>
        <v>15</v>
      </c>
    </row>
    <row r="886" customFormat="false" ht="15" hidden="true" customHeight="true" outlineLevel="0" collapsed="false">
      <c r="A886" s="0" t="str">
        <f aca="false">IF('Agences &amp; Après-vente'!$A88="","",'Agences &amp; Après-vente'!$A88)</f>
        <v>TR074</v>
      </c>
      <c r="B886" s="0" t="str">
        <f aca="false">IF($A886="","",'Agences &amp; Après-vente'!$B88)</f>
        <v>Marsridge Holtgate</v>
      </c>
      <c r="C886" s="0" t="str">
        <f aca="false">IF($A886="","",'Agences &amp; Après-vente'!$C88)</f>
        <v>Montréal</v>
      </c>
      <c r="D886" s="0" t="str">
        <f aca="false">IF($A886="","","Nouvelle compétence")</f>
        <v>Nouvelle compétence</v>
      </c>
      <c r="E886" s="0" t="str">
        <f aca="false">IF($A886="","",'Agences &amp; Après-vente'!$D88)</f>
        <v>Après-vente</v>
      </c>
      <c r="F886" s="116" t="n">
        <f aca="false">IF($A886="","",'Agences &amp; Après-vente'!$E88)</f>
        <v>46158</v>
      </c>
      <c r="G886" s="116" t="str">
        <f aca="false">IF($A886="","",'Agences &amp; Après-vente'!$F88)</f>
        <v/>
      </c>
      <c r="H886" s="0" t="str">
        <f aca="true">IF($A886="","",IFERROR(MAX(0,NETWORKDAYS(TODAY(),'Agences &amp; Après-vente'!$F88)),""))</f>
        <v/>
      </c>
      <c r="I886" s="0" t="str">
        <f aca="false">IF($A886="","",'Agences &amp; Après-vente'!$I88)</f>
        <v>DONE</v>
      </c>
      <c r="K886" s="104" t="n">
        <f aca="false">IF(A886="",0,IF(IFERROR(VLOOKUP(A886,Skills!$A:$M,13,FALSE()),"")="COS",0,IF(OR(I886="En cours",I886="À venir",I886="À planifier"),IF(AND(OR($C$3="Tous",$C$3="",C886=$C$3),OR($E$3="Tous",$E$3="",I886=$E$3)),1,0),0)))</f>
        <v>0</v>
      </c>
      <c r="L886" s="104" t="n">
        <f aca="false">L885+K886</f>
        <v>15</v>
      </c>
    </row>
    <row r="887" customFormat="false" ht="15" hidden="true" customHeight="true" outlineLevel="0" collapsed="false">
      <c r="A887" s="0" t="str">
        <f aca="false">IF('Agences &amp; Après-vente'!$A89="","",'Agences &amp; Après-vente'!$A89)</f>
        <v>TR133</v>
      </c>
      <c r="B887" s="0" t="str">
        <f aca="false">IF($A887="","",'Agences &amp; Après-vente'!$B89)</f>
        <v>Ulmith Larkvale</v>
      </c>
      <c r="C887" s="0" t="str">
        <f aca="false">IF($A887="","",'Agences &amp; Après-vente'!$C89)</f>
        <v>Montréal</v>
      </c>
      <c r="D887" s="0" t="str">
        <f aca="false">IF($A887="","","Nouvelle compétence")</f>
        <v>Nouvelle compétence</v>
      </c>
      <c r="E887" s="0" t="str">
        <f aca="false">IF($A887="","",'Agences &amp; Après-vente'!$D89)</f>
        <v>Après-vente</v>
      </c>
      <c r="F887" s="116" t="n">
        <f aca="false">IF($A887="","",'Agences &amp; Après-vente'!$E89)</f>
        <v>46158</v>
      </c>
      <c r="G887" s="116" t="str">
        <f aca="false">IF($A887="","",'Agences &amp; Après-vente'!$F89)</f>
        <v/>
      </c>
      <c r="H887" s="0" t="str">
        <f aca="true">IF($A887="","",IFERROR(MAX(0,NETWORKDAYS(TODAY(),'Agences &amp; Après-vente'!$F89)),""))</f>
        <v/>
      </c>
      <c r="I887" s="0" t="str">
        <f aca="false">IF($A887="","",'Agences &amp; Après-vente'!$I89)</f>
        <v>DONE</v>
      </c>
      <c r="K887" s="104" t="n">
        <f aca="false">IF(A887="",0,IF(IFERROR(VLOOKUP(A887,Skills!$A:$M,13,FALSE()),"")="COS",0,IF(OR(I887="En cours",I887="À venir",I887="À planifier"),IF(AND(OR($C$3="Tous",$C$3="",C887=$C$3),OR($E$3="Tous",$E$3="",I887=$E$3)),1,0),0)))</f>
        <v>0</v>
      </c>
      <c r="L887" s="104" t="n">
        <f aca="false">L886+K887</f>
        <v>15</v>
      </c>
    </row>
    <row r="888" customFormat="false" ht="15" hidden="true" customHeight="true" outlineLevel="0" collapsed="false">
      <c r="A888" s="0" t="str">
        <f aca="false">IF('Agences &amp; Après-vente'!$A90="","",'Agences &amp; Après-vente'!$A90)</f>
        <v>TR016</v>
      </c>
      <c r="B888" s="0" t="str">
        <f aca="false">IF($A888="","",'Agences &amp; Après-vente'!$B90)</f>
        <v>Gilum Larkfield</v>
      </c>
      <c r="C888" s="0" t="str">
        <f aca="false">IF($A888="","",'Agences &amp; Après-vente'!$C90)</f>
        <v>Montréal</v>
      </c>
      <c r="D888" s="0" t="str">
        <f aca="false">IF($A888="","","Nouvelle compétence")</f>
        <v>Nouvelle compétence</v>
      </c>
      <c r="E888" s="0" t="str">
        <f aca="false">IF($A888="","",'Agences &amp; Après-vente'!$D90)</f>
        <v>Après-vente</v>
      </c>
      <c r="F888" s="116" t="n">
        <f aca="false">IF($A888="","",'Agences &amp; Après-vente'!$E90)</f>
        <v>46158</v>
      </c>
      <c r="G888" s="116" t="str">
        <f aca="false">IF($A888="","",'Agences &amp; Après-vente'!$F90)</f>
        <v/>
      </c>
      <c r="H888" s="0" t="str">
        <f aca="true">IF($A888="","",IFERROR(MAX(0,NETWORKDAYS(TODAY(),'Agences &amp; Après-vente'!$F90)),""))</f>
        <v/>
      </c>
      <c r="I888" s="0" t="str">
        <f aca="false">IF($A888="","",'Agences &amp; Après-vente'!$I90)</f>
        <v>DONE</v>
      </c>
      <c r="K888" s="104" t="n">
        <f aca="false">IF(A888="",0,IF(IFERROR(VLOOKUP(A888,Skills!$A:$M,13,FALSE()),"")="COS",0,IF(OR(I888="En cours",I888="À venir",I888="À planifier"),IF(AND(OR($C$3="Tous",$C$3="",C888=$C$3),OR($E$3="Tous",$E$3="",I888=$E$3)),1,0),0)))</f>
        <v>0</v>
      </c>
      <c r="L888" s="104" t="n">
        <f aca="false">L887+K888</f>
        <v>15</v>
      </c>
    </row>
    <row r="889" customFormat="false" ht="15" hidden="true" customHeight="true" outlineLevel="0" collapsed="false">
      <c r="A889" s="0" t="str">
        <f aca="false">IF('Agences &amp; Après-vente'!$A91="","",'Agences &amp; Après-vente'!$A91)</f>
        <v>TR094</v>
      </c>
      <c r="B889" s="0" t="str">
        <f aca="false">IF($A889="","",'Agences &amp; Après-vente'!$B91)</f>
        <v>Braith Calith</v>
      </c>
      <c r="C889" s="0" t="str">
        <f aca="false">IF($A889="","",'Agences &amp; Après-vente'!$C91)</f>
        <v>Montréal</v>
      </c>
      <c r="D889" s="0" t="str">
        <f aca="false">IF($A889="","","Nouvelle compétence")</f>
        <v>Nouvelle compétence</v>
      </c>
      <c r="E889" s="0" t="str">
        <f aca="false">IF($A889="","",'Agences &amp; Après-vente'!$D91)</f>
        <v>Après-vente</v>
      </c>
      <c r="F889" s="116" t="n">
        <f aca="false">IF($A889="","",'Agences &amp; Après-vente'!$E91)</f>
        <v>46159</v>
      </c>
      <c r="G889" s="116" t="str">
        <f aca="false">IF($A889="","",'Agences &amp; Après-vente'!$F91)</f>
        <v/>
      </c>
      <c r="H889" s="0" t="str">
        <f aca="true">IF($A889="","",IFERROR(MAX(0,NETWORKDAYS(TODAY(),'Agences &amp; Après-vente'!$F91)),""))</f>
        <v/>
      </c>
      <c r="I889" s="0" t="str">
        <f aca="false">IF($A889="","",'Agences &amp; Après-vente'!$I91)</f>
        <v>DONE</v>
      </c>
      <c r="K889" s="104" t="n">
        <f aca="false">IF(A889="",0,IF(IFERROR(VLOOKUP(A889,Skills!$A:$M,13,FALSE()),"")="COS",0,IF(OR(I889="En cours",I889="À venir",I889="À planifier"),IF(AND(OR($C$3="Tous",$C$3="",C889=$C$3),OR($E$3="Tous",$E$3="",I889=$E$3)),1,0),0)))</f>
        <v>0</v>
      </c>
      <c r="L889" s="104" t="n">
        <f aca="false">L888+K889</f>
        <v>15</v>
      </c>
    </row>
    <row r="890" customFormat="false" ht="15" hidden="true" customHeight="true" outlineLevel="0" collapsed="false">
      <c r="A890" s="0" t="str">
        <f aca="false">IF('Agences &amp; Après-vente'!$A92="","",'Agences &amp; Après-vente'!$A92)</f>
        <v>TR055</v>
      </c>
      <c r="B890" s="0" t="str">
        <f aca="false">IF($A890="","",'Agences &amp; Après-vente'!$B92)</f>
        <v>Quillhaven Larkworth</v>
      </c>
      <c r="C890" s="0" t="str">
        <f aca="false">IF($A890="","",'Agences &amp; Après-vente'!$C92)</f>
        <v>Montréal</v>
      </c>
      <c r="D890" s="0" t="str">
        <f aca="false">IF($A890="","","Nouvelle compétence")</f>
        <v>Nouvelle compétence</v>
      </c>
      <c r="E890" s="0" t="str">
        <f aca="false">IF($A890="","",'Agences &amp; Après-vente'!$D92)</f>
        <v>Après-vente</v>
      </c>
      <c r="F890" s="116" t="n">
        <f aca="false">IF($A890="","",'Agences &amp; Après-vente'!$E92)</f>
        <v>46161</v>
      </c>
      <c r="G890" s="116" t="str">
        <f aca="false">IF($A890="","",'Agences &amp; Après-vente'!$F92)</f>
        <v/>
      </c>
      <c r="H890" s="0" t="str">
        <f aca="true">IF($A890="","",IFERROR(MAX(0,NETWORKDAYS(TODAY(),'Agences &amp; Après-vente'!$F92)),""))</f>
        <v/>
      </c>
      <c r="I890" s="0" t="str">
        <f aca="false">IF($A890="","",'Agences &amp; Après-vente'!$I92)</f>
        <v>DONE</v>
      </c>
      <c r="K890" s="104" t="n">
        <f aca="false">IF(A890="",0,IF(IFERROR(VLOOKUP(A890,Skills!$A:$M,13,FALSE()),"")="COS",0,IF(OR(I890="En cours",I890="À venir",I890="À planifier"),IF(AND(OR($C$3="Tous",$C$3="",C890=$C$3),OR($E$3="Tous",$E$3="",I890=$E$3)),1,0),0)))</f>
        <v>0</v>
      </c>
      <c r="L890" s="104" t="n">
        <f aca="false">L889+K890</f>
        <v>15</v>
      </c>
    </row>
    <row r="891" customFormat="false" ht="15" hidden="true" customHeight="true" outlineLevel="0" collapsed="false">
      <c r="A891" s="0" t="str">
        <f aca="false">IF('Agences &amp; Après-vente'!$A93="","",'Agences &amp; Après-vente'!$A93)</f>
        <v>TR135</v>
      </c>
      <c r="B891" s="0" t="str">
        <f aca="false">IF($A891="","",'Agences &amp; Après-vente'!$B93)</f>
        <v>Brael Larkwood Nevil Nevic</v>
      </c>
      <c r="C891" s="0" t="str">
        <f aca="false">IF($A891="","",'Agences &amp; Après-vente'!$C93)</f>
        <v>Montréal</v>
      </c>
      <c r="D891" s="0" t="str">
        <f aca="false">IF($A891="","","Nouvelle compétence")</f>
        <v>Nouvelle compétence</v>
      </c>
      <c r="E891" s="0" t="str">
        <f aca="false">IF($A891="","",'Agences &amp; Après-vente'!$D93)</f>
        <v>Après-vente</v>
      </c>
      <c r="F891" s="116" t="n">
        <f aca="false">IF($A891="","",'Agences &amp; Après-vente'!$E93)</f>
        <v>46161</v>
      </c>
      <c r="G891" s="116" t="str">
        <f aca="false">IF($A891="","",'Agences &amp; Après-vente'!$F93)</f>
        <v/>
      </c>
      <c r="H891" s="0" t="str">
        <f aca="true">IF($A891="","",IFERROR(MAX(0,NETWORKDAYS(TODAY(),'Agences &amp; Après-vente'!$F93)),""))</f>
        <v/>
      </c>
      <c r="I891" s="0" t="str">
        <f aca="false">IF($A891="","",'Agences &amp; Après-vente'!$I93)</f>
        <v>DONE</v>
      </c>
      <c r="K891" s="104" t="n">
        <f aca="false">IF(A891="",0,IF(IFERROR(VLOOKUP(A891,Skills!$A:$M,13,FALSE()),"")="COS",0,IF(OR(I891="En cours",I891="À venir",I891="À planifier"),IF(AND(OR($C$3="Tous",$C$3="",C891=$C$3),OR($E$3="Tous",$E$3="",I891=$E$3)),1,0),0)))</f>
        <v>0</v>
      </c>
      <c r="L891" s="104" t="n">
        <f aca="false">L890+K891</f>
        <v>15</v>
      </c>
    </row>
    <row r="892" customFormat="false" ht="15" hidden="true" customHeight="true" outlineLevel="0" collapsed="false">
      <c r="A892" s="0" t="str">
        <f aca="false">IF('Agences &amp; Après-vente'!$A94="","",'Agences &amp; Après-vente'!$A94)</f>
        <v>TR026</v>
      </c>
      <c r="B892" s="0" t="str">
        <f aca="false">IF($A892="","",'Agences &amp; Après-vente'!$B94)</f>
        <v>Selar Gilen</v>
      </c>
      <c r="C892" s="0" t="str">
        <f aca="false">IF($A892="","",'Agences &amp; Après-vente'!$C94)</f>
        <v>Montréal</v>
      </c>
      <c r="D892" s="0" t="str">
        <f aca="false">IF($A892="","","Nouvelle compétence")</f>
        <v>Nouvelle compétence</v>
      </c>
      <c r="E892" s="0" t="str">
        <f aca="false">IF($A892="","",'Agences &amp; Après-vente'!$D94)</f>
        <v>Après-vente</v>
      </c>
      <c r="F892" s="116" t="n">
        <f aca="false">IF($A892="","",'Agences &amp; Après-vente'!$E94)</f>
        <v>46161</v>
      </c>
      <c r="G892" s="116" t="str">
        <f aca="false">IF($A892="","",'Agences &amp; Après-vente'!$F94)</f>
        <v/>
      </c>
      <c r="H892" s="0" t="str">
        <f aca="true">IF($A892="","",IFERROR(MAX(0,NETWORKDAYS(TODAY(),'Agences &amp; Après-vente'!$F94)),""))</f>
        <v/>
      </c>
      <c r="I892" s="0" t="str">
        <f aca="false">IF($A892="","",'Agences &amp; Après-vente'!$I94)</f>
        <v>DONE</v>
      </c>
      <c r="K892" s="104" t="n">
        <f aca="false">IF(A892="",0,IF(IFERROR(VLOOKUP(A892,Skills!$A:$M,13,FALSE()),"")="COS",0,IF(OR(I892="En cours",I892="À venir",I892="À planifier"),IF(AND(OR($C$3="Tous",$C$3="",C892=$C$3),OR($E$3="Tous",$E$3="",I892=$E$3)),1,0),0)))</f>
        <v>0</v>
      </c>
      <c r="L892" s="104" t="n">
        <f aca="false">L891+K892</f>
        <v>15</v>
      </c>
    </row>
    <row r="893" customFormat="false" ht="15" hidden="true" customHeight="true" outlineLevel="0" collapsed="false">
      <c r="A893" s="0" t="str">
        <f aca="false">IF('Agences &amp; Après-vente'!$A95="","",'Agences &amp; Après-vente'!$A95)</f>
        <v>TR113</v>
      </c>
      <c r="B893" s="0" t="str">
        <f aca="false">IF($A893="","",'Agences &amp; Après-vente'!$B95)</f>
        <v>Dellworth Joric</v>
      </c>
      <c r="C893" s="0" t="str">
        <f aca="false">IF($A893="","",'Agences &amp; Après-vente'!$C95)</f>
        <v>Montréal</v>
      </c>
      <c r="D893" s="0" t="str">
        <f aca="false">IF($A893="","","Nouvelle compétence")</f>
        <v>Nouvelle compétence</v>
      </c>
      <c r="E893" s="0" t="str">
        <f aca="false">IF($A893="","",'Agences &amp; Après-vente'!$D95)</f>
        <v>Après-vente</v>
      </c>
      <c r="F893" s="116" t="n">
        <f aca="false">IF($A893="","",'Agences &amp; Après-vente'!$E95)</f>
        <v>46161</v>
      </c>
      <c r="G893" s="116" t="str">
        <f aca="false">IF($A893="","",'Agences &amp; Après-vente'!$F95)</f>
        <v/>
      </c>
      <c r="H893" s="0" t="str">
        <f aca="true">IF($A893="","",IFERROR(MAX(0,NETWORKDAYS(TODAY(),'Agences &amp; Après-vente'!$F95)),""))</f>
        <v/>
      </c>
      <c r="I893" s="0" t="str">
        <f aca="false">IF($A893="","",'Agences &amp; Après-vente'!$I95)</f>
        <v>DONE</v>
      </c>
      <c r="K893" s="104" t="n">
        <f aca="false">IF(A893="",0,IF(IFERROR(VLOOKUP(A893,Skills!$A:$M,13,FALSE()),"")="COS",0,IF(OR(I893="En cours",I893="À venir",I893="À planifier"),IF(AND(OR($C$3="Tous",$C$3="",C893=$C$3),OR($E$3="Tous",$E$3="",I893=$E$3)),1,0),0)))</f>
        <v>0</v>
      </c>
      <c r="L893" s="104" t="n">
        <f aca="false">L892+K893</f>
        <v>15</v>
      </c>
    </row>
    <row r="894" customFormat="false" ht="15" hidden="true" customHeight="true" outlineLevel="0" collapsed="false">
      <c r="A894" s="0" t="str">
        <f aca="false">IF('Agences &amp; Après-vente'!$A96="","",'Agences &amp; Après-vente'!$A96)</f>
        <v>TR070</v>
      </c>
      <c r="B894" s="0" t="str">
        <f aca="false">IF($A894="","",'Agences &amp; Après-vente'!$B96)</f>
        <v>Pykemere Holtmont Orinor</v>
      </c>
      <c r="C894" s="0" t="str">
        <f aca="false">IF($A894="","",'Agences &amp; Après-vente'!$C96)</f>
        <v>Montréal</v>
      </c>
      <c r="D894" s="0" t="str">
        <f aca="false">IF($A894="","","Nouvelle compétence")</f>
        <v>Nouvelle compétence</v>
      </c>
      <c r="E894" s="0" t="str">
        <f aca="false">IF($A894="","",'Agences &amp; Après-vente'!$D96)</f>
        <v>Après-vente</v>
      </c>
      <c r="F894" s="116" t="n">
        <f aca="false">IF($A894="","",'Agences &amp; Après-vente'!$E96)</f>
        <v>46161</v>
      </c>
      <c r="G894" s="116" t="str">
        <f aca="false">IF($A894="","",'Agences &amp; Après-vente'!$F96)</f>
        <v/>
      </c>
      <c r="H894" s="0" t="str">
        <f aca="true">IF($A894="","",IFERROR(MAX(0,NETWORKDAYS(TODAY(),'Agences &amp; Après-vente'!$F96)),""))</f>
        <v/>
      </c>
      <c r="I894" s="0" t="str">
        <f aca="false">IF($A894="","",'Agences &amp; Après-vente'!$I96)</f>
        <v>DONE</v>
      </c>
      <c r="K894" s="104" t="n">
        <f aca="false">IF(A894="",0,IF(IFERROR(VLOOKUP(A894,Skills!$A:$M,13,FALSE()),"")="COS",0,IF(OR(I894="En cours",I894="À venir",I894="À planifier"),IF(AND(OR($C$3="Tous",$C$3="",C894=$C$3),OR($E$3="Tous",$E$3="",I894=$E$3)),1,0),0)))</f>
        <v>0</v>
      </c>
      <c r="L894" s="104" t="n">
        <f aca="false">L893+K894</f>
        <v>15</v>
      </c>
    </row>
    <row r="895" customFormat="false" ht="15" hidden="true" customHeight="true" outlineLevel="0" collapsed="false">
      <c r="A895" s="0" t="str">
        <f aca="false">IF('Agences &amp; Après-vente'!$A97="","",'Agences &amp; Après-vente'!$A97)</f>
        <v>TR089</v>
      </c>
      <c r="B895" s="0" t="str">
        <f aca="false">IF($A895="","",'Agences &amp; Après-vente'!$B97)</f>
        <v>Doran Voren Voren</v>
      </c>
      <c r="C895" s="0" t="str">
        <f aca="false">IF($A895="","",'Agences &amp; Après-vente'!$C97)</f>
        <v>Montréal</v>
      </c>
      <c r="D895" s="0" t="str">
        <f aca="false">IF($A895="","","Nouvelle compétence")</f>
        <v>Nouvelle compétence</v>
      </c>
      <c r="E895" s="0" t="str">
        <f aca="false">IF($A895="","",'Agences &amp; Après-vente'!$D97)</f>
        <v>Après-vente</v>
      </c>
      <c r="F895" s="116" t="n">
        <f aca="false">IF($A895="","",'Agences &amp; Après-vente'!$E97)</f>
        <v>46161</v>
      </c>
      <c r="G895" s="116" t="str">
        <f aca="false">IF($A895="","",'Agences &amp; Après-vente'!$F97)</f>
        <v/>
      </c>
      <c r="H895" s="0" t="str">
        <f aca="true">IF($A895="","",IFERROR(MAX(0,NETWORKDAYS(TODAY(),'Agences &amp; Après-vente'!$F97)),""))</f>
        <v/>
      </c>
      <c r="I895" s="0" t="str">
        <f aca="false">IF($A895="","",'Agences &amp; Après-vente'!$I97)</f>
        <v>DONE</v>
      </c>
      <c r="K895" s="104" t="n">
        <f aca="false">IF(A895="",0,IF(IFERROR(VLOOKUP(A895,Skills!$A:$M,13,FALSE()),"")="COS",0,IF(OR(I895="En cours",I895="À venir",I895="À planifier"),IF(AND(OR($C$3="Tous",$C$3="",C895=$C$3),OR($E$3="Tous",$E$3="",I895=$E$3)),1,0),0)))</f>
        <v>0</v>
      </c>
      <c r="L895" s="104" t="n">
        <f aca="false">L894+K895</f>
        <v>15</v>
      </c>
    </row>
    <row r="896" customFormat="false" ht="15" hidden="true" customHeight="true" outlineLevel="0" collapsed="false">
      <c r="A896" s="0" t="str">
        <f aca="false">IF('Agences &amp; Après-vente'!$A98="","",'Agences &amp; Après-vente'!$A98)</f>
        <v>TR002</v>
      </c>
      <c r="B896" s="0" t="str">
        <f aca="false">IF($A896="","",'Agences &amp; Après-vente'!$B98)</f>
        <v>Rownvale Rownmere Fenon Doric</v>
      </c>
      <c r="C896" s="0" t="str">
        <f aca="false">IF($A896="","",'Agences &amp; Après-vente'!$C98)</f>
        <v>Montréal</v>
      </c>
      <c r="D896" s="0" t="str">
        <f aca="false">IF($A896="","","Nouvelle compétence")</f>
        <v>Nouvelle compétence</v>
      </c>
      <c r="E896" s="0" t="str">
        <f aca="false">IF($A896="","",'Agences &amp; Après-vente'!$D98)</f>
        <v>Après-vente</v>
      </c>
      <c r="F896" s="116" t="n">
        <f aca="false">IF($A896="","",'Agences &amp; Après-vente'!$E98)</f>
        <v>46161</v>
      </c>
      <c r="G896" s="116" t="str">
        <f aca="false">IF($A896="","",'Agences &amp; Après-vente'!$F98)</f>
        <v/>
      </c>
      <c r="H896" s="0" t="str">
        <f aca="true">IF($A896="","",IFERROR(MAX(0,NETWORKDAYS(TODAY(),'Agences &amp; Après-vente'!$F98)),""))</f>
        <v/>
      </c>
      <c r="I896" s="0" t="str">
        <f aca="false">IF($A896="","",'Agences &amp; Après-vente'!$I98)</f>
        <v>DONE</v>
      </c>
      <c r="K896" s="104" t="n">
        <f aca="false">IF(A896="",0,IF(IFERROR(VLOOKUP(A896,Skills!$A:$M,13,FALSE()),"")="COS",0,IF(OR(I896="En cours",I896="À venir",I896="À planifier"),IF(AND(OR($C$3="Tous",$C$3="",C896=$C$3),OR($E$3="Tous",$E$3="",I896=$E$3)),1,0),0)))</f>
        <v>0</v>
      </c>
      <c r="L896" s="104" t="n">
        <f aca="false">L895+K896</f>
        <v>15</v>
      </c>
    </row>
    <row r="897" customFormat="false" ht="15" hidden="true" customHeight="true" outlineLevel="0" collapsed="false">
      <c r="A897" s="0" t="str">
        <f aca="false">IF('Agences &amp; Après-vente'!$A99="","",'Agences &amp; Après-vente'!$A99)</f>
        <v>TR083</v>
      </c>
      <c r="B897" s="0" t="str">
        <f aca="false">IF($A897="","",'Agences &amp; Après-vente'!$B99)</f>
        <v>Kendmere Selor</v>
      </c>
      <c r="C897" s="0" t="str">
        <f aca="false">IF($A897="","",'Agences &amp; Après-vente'!$C99)</f>
        <v>Montréal</v>
      </c>
      <c r="D897" s="0" t="str">
        <f aca="false">IF($A897="","","Nouvelle compétence")</f>
        <v>Nouvelle compétence</v>
      </c>
      <c r="E897" s="0" t="str">
        <f aca="false">IF($A897="","",'Agences &amp; Après-vente'!$D99)</f>
        <v>Après-vente</v>
      </c>
      <c r="F897" s="116" t="n">
        <f aca="false">IF($A897="","",'Agences &amp; Après-vente'!$E99)</f>
        <v>46161</v>
      </c>
      <c r="G897" s="116" t="str">
        <f aca="false">IF($A897="","",'Agences &amp; Après-vente'!$F99)</f>
        <v/>
      </c>
      <c r="H897" s="0" t="str">
        <f aca="true">IF($A897="","",IFERROR(MAX(0,NETWORKDAYS(TODAY(),'Agences &amp; Après-vente'!$F99)),""))</f>
        <v/>
      </c>
      <c r="I897" s="0" t="str">
        <f aca="false">IF($A897="","",'Agences &amp; Après-vente'!$I99)</f>
        <v>DONE</v>
      </c>
      <c r="K897" s="104" t="n">
        <f aca="false">IF(A897="",0,IF(IFERROR(VLOOKUP(A897,Skills!$A:$M,13,FALSE()),"")="COS",0,IF(OR(I897="En cours",I897="À venir",I897="À planifier"),IF(AND(OR($C$3="Tous",$C$3="",C897=$C$3),OR($E$3="Tous",$E$3="",I897=$E$3)),1,0),0)))</f>
        <v>0</v>
      </c>
      <c r="L897" s="104" t="n">
        <f aca="false">L896+K897</f>
        <v>15</v>
      </c>
    </row>
    <row r="898" customFormat="false" ht="15" hidden="true" customHeight="true" outlineLevel="0" collapsed="false">
      <c r="A898" s="0" t="str">
        <f aca="false">IF('Agences &amp; Après-vente'!$A100="","",'Agences &amp; Après-vente'!$A100)</f>
        <v>TR098</v>
      </c>
      <c r="B898" s="0" t="str">
        <f aca="false">IF($A898="","",'Agences &amp; Après-vente'!$B100)</f>
        <v>Holtstone Gilir</v>
      </c>
      <c r="C898" s="0" t="str">
        <f aca="false">IF($A898="","",'Agences &amp; Après-vente'!$C100)</f>
        <v>Montréal</v>
      </c>
      <c r="D898" s="0" t="str">
        <f aca="false">IF($A898="","","Nouvelle compétence")</f>
        <v>Nouvelle compétence</v>
      </c>
      <c r="E898" s="0" t="str">
        <f aca="false">IF($A898="","",'Agences &amp; Après-vente'!$D100)</f>
        <v>Après-vente</v>
      </c>
      <c r="F898" s="116" t="n">
        <f aca="false">IF($A898="","",'Agences &amp; Après-vente'!$E100)</f>
        <v>46162</v>
      </c>
      <c r="G898" s="116" t="str">
        <f aca="false">IF($A898="","",'Agences &amp; Après-vente'!$F100)</f>
        <v/>
      </c>
      <c r="H898" s="0" t="str">
        <f aca="true">IF($A898="","",IFERROR(MAX(0,NETWORKDAYS(TODAY(),'Agences &amp; Après-vente'!$F100)),""))</f>
        <v/>
      </c>
      <c r="I898" s="0" t="str">
        <f aca="false">IF($A898="","",'Agences &amp; Après-vente'!$I100)</f>
        <v>DONE</v>
      </c>
      <c r="K898" s="104" t="n">
        <f aca="false">IF(A898="",0,IF(IFERROR(VLOOKUP(A898,Skills!$A:$M,13,FALSE()),"")="COS",0,IF(OR(I898="En cours",I898="À venir",I898="À planifier"),IF(AND(OR($C$3="Tous",$C$3="",C898=$C$3),OR($E$3="Tous",$E$3="",I898=$E$3)),1,0),0)))</f>
        <v>0</v>
      </c>
      <c r="L898" s="104" t="n">
        <f aca="false">L897+K898</f>
        <v>15</v>
      </c>
    </row>
    <row r="899" customFormat="false" ht="15" hidden="true" customHeight="true" outlineLevel="0" collapsed="false">
      <c r="A899" s="0" t="str">
        <f aca="false">IF('Agences &amp; Après-vente'!$A101="","",'Agences &amp; Après-vente'!$A101)</f>
        <v>TR104</v>
      </c>
      <c r="B899" s="0" t="str">
        <f aca="false">IF($A899="","",'Agences &amp; Après-vente'!$B101)</f>
        <v>Haxus Corrridge</v>
      </c>
      <c r="C899" s="0" t="str">
        <f aca="false">IF($A899="","",'Agences &amp; Après-vente'!$C101)</f>
        <v>Montréal</v>
      </c>
      <c r="D899" s="0" t="str">
        <f aca="false">IF($A899="","","Nouvelle compétence")</f>
        <v>Nouvelle compétence</v>
      </c>
      <c r="E899" s="0" t="str">
        <f aca="false">IF($A899="","",'Agences &amp; Après-vente'!$D101)</f>
        <v>Après-vente</v>
      </c>
      <c r="F899" s="116" t="n">
        <f aca="false">IF($A899="","",'Agences &amp; Après-vente'!$E101)</f>
        <v>46162</v>
      </c>
      <c r="G899" s="116" t="str">
        <f aca="false">IF($A899="","",'Agences &amp; Après-vente'!$F101)</f>
        <v/>
      </c>
      <c r="H899" s="0" t="str">
        <f aca="true">IF($A899="","",IFERROR(MAX(0,NETWORKDAYS(TODAY(),'Agences &amp; Après-vente'!$F101)),""))</f>
        <v/>
      </c>
      <c r="I899" s="0" t="str">
        <f aca="false">IF($A899="","",'Agences &amp; Après-vente'!$I101)</f>
        <v>DONE</v>
      </c>
      <c r="K899" s="104" t="n">
        <f aca="false">IF(A899="",0,IF(IFERROR(VLOOKUP(A899,Skills!$A:$M,13,FALSE()),"")="COS",0,IF(OR(I899="En cours",I899="À venir",I899="À planifier"),IF(AND(OR($C$3="Tous",$C$3="",C899=$C$3),OR($E$3="Tous",$E$3="",I899=$E$3)),1,0),0)))</f>
        <v>0</v>
      </c>
      <c r="L899" s="104" t="n">
        <f aca="false">L898+K899</f>
        <v>15</v>
      </c>
    </row>
    <row r="900" customFormat="false" ht="15" hidden="true" customHeight="true" outlineLevel="0" collapsed="false">
      <c r="A900" s="0" t="str">
        <f aca="false">IF('Agences &amp; Après-vente'!$A102="","",'Agences &amp; Après-vente'!$A102)</f>
        <v>TR039</v>
      </c>
      <c r="B900" s="0" t="str">
        <f aca="false">IF($A900="","",'Agences &amp; Après-vente'!$B102)</f>
        <v>Kelon Ulmar Norridge</v>
      </c>
      <c r="C900" s="0" t="str">
        <f aca="false">IF($A900="","",'Agences &amp; Après-vente'!$C102)</f>
        <v>Montréal</v>
      </c>
      <c r="D900" s="0" t="str">
        <f aca="false">IF($A900="","","Nouvelle compétence")</f>
        <v>Nouvelle compétence</v>
      </c>
      <c r="E900" s="0" t="str">
        <f aca="false">IF($A900="","",'Agences &amp; Après-vente'!$D102)</f>
        <v>Après-vente</v>
      </c>
      <c r="F900" s="116" t="n">
        <f aca="false">IF($A900="","",'Agences &amp; Après-vente'!$E102)</f>
        <v>46162</v>
      </c>
      <c r="G900" s="116" t="str">
        <f aca="false">IF($A900="","",'Agences &amp; Après-vente'!$F102)</f>
        <v/>
      </c>
      <c r="H900" s="0" t="str">
        <f aca="true">IF($A900="","",IFERROR(MAX(0,NETWORKDAYS(TODAY(),'Agences &amp; Après-vente'!$F102)),""))</f>
        <v/>
      </c>
      <c r="I900" s="0" t="str">
        <f aca="false">IF($A900="","",'Agences &amp; Après-vente'!$I102)</f>
        <v>DONE</v>
      </c>
      <c r="K900" s="104" t="n">
        <f aca="false">IF(A900="",0,IF(IFERROR(VLOOKUP(A900,Skills!$A:$M,13,FALSE()),"")="COS",0,IF(OR(I900="En cours",I900="À venir",I900="À planifier"),IF(AND(OR($C$3="Tous",$C$3="",C900=$C$3),OR($E$3="Tous",$E$3="",I900=$E$3)),1,0),0)))</f>
        <v>0</v>
      </c>
      <c r="L900" s="104" t="n">
        <f aca="false">L899+K900</f>
        <v>15</v>
      </c>
    </row>
    <row r="901" customFormat="false" ht="15" hidden="true" customHeight="true" outlineLevel="0" collapsed="false">
      <c r="A901" s="0" t="str">
        <f aca="false">IF('Agences &amp; Après-vente'!$A103="","",'Agences &amp; Après-vente'!$A103)</f>
        <v>TR109</v>
      </c>
      <c r="B901" s="0" t="str">
        <f aca="false">IF($A901="","",'Agences &amp; Après-vente'!$B103)</f>
        <v>Lumum Valemont Norbrook</v>
      </c>
      <c r="C901" s="0" t="str">
        <f aca="false">IF($A901="","",'Agences &amp; Après-vente'!$C103)</f>
        <v>Montréal</v>
      </c>
      <c r="D901" s="0" t="str">
        <f aca="false">IF($A901="","","Nouvelle compétence")</f>
        <v>Nouvelle compétence</v>
      </c>
      <c r="E901" s="0" t="str">
        <f aca="false">IF($A901="","",'Agences &amp; Après-vente'!$D103)</f>
        <v>Après-vente</v>
      </c>
      <c r="F901" s="116" t="n">
        <f aca="false">IF($A901="","",'Agences &amp; Après-vente'!$E103)</f>
        <v>46162</v>
      </c>
      <c r="G901" s="116" t="str">
        <f aca="false">IF($A901="","",'Agences &amp; Après-vente'!$F103)</f>
        <v/>
      </c>
      <c r="H901" s="0" t="str">
        <f aca="true">IF($A901="","",IFERROR(MAX(0,NETWORKDAYS(TODAY(),'Agences &amp; Après-vente'!$F103)),""))</f>
        <v/>
      </c>
      <c r="I901" s="0" t="str">
        <f aca="false">IF($A901="","",'Agences &amp; Après-vente'!$I103)</f>
        <v>DONE</v>
      </c>
      <c r="K901" s="104" t="n">
        <f aca="false">IF(A901="",0,IF(IFERROR(VLOOKUP(A901,Skills!$A:$M,13,FALSE()),"")="COS",0,IF(OR(I901="En cours",I901="À venir",I901="À planifier"),IF(AND(OR($C$3="Tous",$C$3="",C901=$C$3),OR($E$3="Tous",$E$3="",I901=$E$3)),1,0),0)))</f>
        <v>0</v>
      </c>
      <c r="L901" s="104" t="n">
        <f aca="false">L900+K901</f>
        <v>15</v>
      </c>
    </row>
    <row r="902" customFormat="false" ht="15" hidden="true" customHeight="true" outlineLevel="0" collapsed="false">
      <c r="A902" s="0" t="str">
        <f aca="false">IF('Agences &amp; Après-vente'!$A104="","",'Agences &amp; Après-vente'!$A104)</f>
        <v>TR144</v>
      </c>
      <c r="B902" s="0" t="str">
        <f aca="false">IF($A902="","",'Agences &amp; Après-vente'!$B104)</f>
        <v>Yorol Ashbrook</v>
      </c>
      <c r="C902" s="0" t="str">
        <f aca="false">IF($A902="","",'Agences &amp; Après-vente'!$C104)</f>
        <v>Montréal</v>
      </c>
      <c r="D902" s="0" t="str">
        <f aca="false">IF($A902="","","Nouvelle compétence")</f>
        <v>Nouvelle compétence</v>
      </c>
      <c r="E902" s="0" t="str">
        <f aca="false">IF($A902="","",'Agences &amp; Après-vente'!$D104)</f>
        <v>Après-vente</v>
      </c>
      <c r="F902" s="116" t="n">
        <f aca="false">IF($A902="","",'Agences &amp; Après-vente'!$E104)</f>
        <v>46163</v>
      </c>
      <c r="G902" s="116" t="str">
        <f aca="false">IF($A902="","",'Agences &amp; Après-vente'!$F104)</f>
        <v/>
      </c>
      <c r="H902" s="0" t="str">
        <f aca="true">IF($A902="","",IFERROR(MAX(0,NETWORKDAYS(TODAY(),'Agences &amp; Après-vente'!$F104)),""))</f>
        <v/>
      </c>
      <c r="I902" s="0" t="str">
        <f aca="false">IF($A902="","",'Agences &amp; Après-vente'!$I104)</f>
        <v>DONE</v>
      </c>
      <c r="K902" s="104" t="n">
        <f aca="false">IF(A902="",0,IF(IFERROR(VLOOKUP(A902,Skills!$A:$M,13,FALSE()),"")="COS",0,IF(OR(I902="En cours",I902="À venir",I902="À planifier"),IF(AND(OR($C$3="Tous",$C$3="",C902=$C$3),OR($E$3="Tous",$E$3="",I902=$E$3)),1,0),0)))</f>
        <v>0</v>
      </c>
      <c r="L902" s="104" t="n">
        <f aca="false">L901+K902</f>
        <v>15</v>
      </c>
    </row>
    <row r="903" customFormat="false" ht="15" hidden="true" customHeight="true" outlineLevel="0" collapsed="false">
      <c r="A903" s="0" t="str">
        <f aca="false">IF('Agences &amp; Après-vente'!$A105="","",'Agences &amp; Après-vente'!$A105)</f>
        <v>TR057</v>
      </c>
      <c r="B903" s="0" t="str">
        <f aca="false">IF($A903="","",'Agences &amp; Après-vente'!$B105)</f>
        <v>Ivercroft Corrmere</v>
      </c>
      <c r="C903" s="0" t="str">
        <f aca="false">IF($A903="","",'Agences &amp; Après-vente'!$C105)</f>
        <v>Montréal</v>
      </c>
      <c r="D903" s="0" t="str">
        <f aca="false">IF($A903="","","Nouvelle compétence")</f>
        <v>Nouvelle compétence</v>
      </c>
      <c r="E903" s="0" t="str">
        <f aca="false">IF($A903="","",'Agences &amp; Après-vente'!$D105)</f>
        <v>Après-vente</v>
      </c>
      <c r="F903" s="116" t="n">
        <f aca="false">IF($A903="","",'Agences &amp; Après-vente'!$E105)</f>
        <v>46163</v>
      </c>
      <c r="G903" s="116" t="str">
        <f aca="false">IF($A903="","",'Agences &amp; Après-vente'!$F105)</f>
        <v/>
      </c>
      <c r="H903" s="0" t="str">
        <f aca="true">IF($A903="","",IFERROR(MAX(0,NETWORKDAYS(TODAY(),'Agences &amp; Après-vente'!$F105)),""))</f>
        <v/>
      </c>
      <c r="I903" s="0" t="str">
        <f aca="false">IF($A903="","",'Agences &amp; Après-vente'!$I105)</f>
        <v>DONE</v>
      </c>
      <c r="K903" s="104" t="n">
        <f aca="false">IF(A903="",0,IF(IFERROR(VLOOKUP(A903,Skills!$A:$M,13,FALSE()),"")="COS",0,IF(OR(I903="En cours",I903="À venir",I903="À planifier"),IF(AND(OR($C$3="Tous",$C$3="",C903=$C$3),OR($E$3="Tous",$E$3="",I903=$E$3)),1,0),0)))</f>
        <v>0</v>
      </c>
      <c r="L903" s="104" t="n">
        <f aca="false">L902+K903</f>
        <v>15</v>
      </c>
    </row>
    <row r="904" customFormat="false" ht="15" hidden="true" customHeight="true" outlineLevel="0" collapsed="false">
      <c r="A904" s="0" t="str">
        <f aca="false">IF('Agences &amp; Après-vente'!$A106="","",'Agences &amp; Après-vente'!$A106)</f>
        <v>TR007</v>
      </c>
      <c r="B904" s="0" t="str">
        <f aca="false">IF($A904="","",'Agences &amp; Après-vente'!$B106)</f>
        <v>Stelfield Dellmere Valegate</v>
      </c>
      <c r="C904" s="0" t="str">
        <f aca="false">IF($A904="","",'Agences &amp; Après-vente'!$C106)</f>
        <v>Montréal</v>
      </c>
      <c r="D904" s="0" t="str">
        <f aca="false">IF($A904="","","Nouvelle compétence")</f>
        <v>Nouvelle compétence</v>
      </c>
      <c r="E904" s="0" t="str">
        <f aca="false">IF($A904="","",'Agences &amp; Après-vente'!$D106)</f>
        <v>Après-vente</v>
      </c>
      <c r="F904" s="116" t="n">
        <f aca="false">IF($A904="","",'Agences &amp; Après-vente'!$E106)</f>
        <v>0</v>
      </c>
      <c r="G904" s="116" t="str">
        <f aca="false">IF($A904="","",'Agences &amp; Après-vente'!$F106)</f>
        <v/>
      </c>
      <c r="H904" s="0" t="str">
        <f aca="true">IF($A904="","",IFERROR(MAX(0,NETWORKDAYS(TODAY(),'Agences &amp; Après-vente'!$F106)),""))</f>
        <v/>
      </c>
      <c r="I904" s="0" t="str">
        <f aca="false">IF($A904="","",'Agences &amp; Après-vente'!$I106)</f>
        <v>DONE</v>
      </c>
      <c r="K904" s="104" t="n">
        <f aca="false">IF(A904="",0,IF(IFERROR(VLOOKUP(A904,Skills!$A:$M,13,FALSE()),"")="COS",0,IF(OR(I904="En cours",I904="À venir",I904="À planifier"),IF(AND(OR($C$3="Tous",$C$3="",C904=$C$3),OR($E$3="Tous",$E$3="",I904=$E$3)),1,0),0)))</f>
        <v>0</v>
      </c>
      <c r="L904" s="104" t="n">
        <f aca="false">L903+K904</f>
        <v>15</v>
      </c>
    </row>
    <row r="905" customFormat="false" ht="15" hidden="true" customHeight="true" outlineLevel="0" collapsed="false">
      <c r="A905" s="0" t="str">
        <f aca="false">IF('Agences &amp; Après-vente'!$A107="","",'Agences &amp; Après-vente'!$A107)</f>
        <v>TR004</v>
      </c>
      <c r="B905" s="0" t="str">
        <f aca="false">IF($A905="","",'Agences &amp; Après-vente'!$B107)</f>
        <v>Brambrook Holtfield Marsfield</v>
      </c>
      <c r="C905" s="0" t="str">
        <f aca="false">IF($A905="","",'Agences &amp; Après-vente'!$C107)</f>
        <v>Montréal</v>
      </c>
      <c r="D905" s="0" t="str">
        <f aca="false">IF($A905="","","Nouvelle compétence")</f>
        <v>Nouvelle compétence</v>
      </c>
      <c r="E905" s="0" t="str">
        <f aca="false">IF($A905="","",'Agences &amp; Après-vente'!$D107)</f>
        <v>Après-vente</v>
      </c>
      <c r="F905" s="116" t="n">
        <f aca="false">IF($A905="","",'Agences &amp; Après-vente'!$E107)</f>
        <v>0</v>
      </c>
      <c r="G905" s="116" t="str">
        <f aca="false">IF($A905="","",'Agences &amp; Après-vente'!$F107)</f>
        <v/>
      </c>
      <c r="H905" s="0" t="str">
        <f aca="true">IF($A905="","",IFERROR(MAX(0,NETWORKDAYS(TODAY(),'Agences &amp; Après-vente'!$F107)),""))</f>
        <v/>
      </c>
      <c r="I905" s="0" t="str">
        <f aca="false">IF($A905="","",'Agences &amp; Après-vente'!$I107)</f>
        <v>DONE</v>
      </c>
      <c r="K905" s="104" t="n">
        <f aca="false">IF(A905="",0,IF(IFERROR(VLOOKUP(A905,Skills!$A:$M,13,FALSE()),"")="COS",0,IF(OR(I905="En cours",I905="À venir",I905="À planifier"),IF(AND(OR($C$3="Tous",$C$3="",C905=$C$3),OR($E$3="Tous",$E$3="",I905=$E$3)),1,0),0)))</f>
        <v>0</v>
      </c>
      <c r="L905" s="104" t="n">
        <f aca="false">L904+K905</f>
        <v>15</v>
      </c>
    </row>
    <row r="906" customFormat="false" ht="15" hidden="true" customHeight="true" outlineLevel="0" collapsed="false">
      <c r="A906" s="0" t="str">
        <f aca="false">IF('Agences &amp; Après-vente'!$A108="","",'Agences &amp; Après-vente'!$A108)</f>
        <v>TR006</v>
      </c>
      <c r="B906" s="0" t="str">
        <f aca="false">IF($A906="","",'Agences &amp; Après-vente'!$B108)</f>
        <v>Quillbrook Iverfield</v>
      </c>
      <c r="C906" s="0" t="str">
        <f aca="false">IF($A906="","",'Agences &amp; Après-vente'!$C108)</f>
        <v>Montréal</v>
      </c>
      <c r="D906" s="0" t="str">
        <f aca="false">IF($A906="","","Nouvelle compétence")</f>
        <v>Nouvelle compétence</v>
      </c>
      <c r="E906" s="0" t="str">
        <f aca="false">IF($A906="","",'Agences &amp; Après-vente'!$D108)</f>
        <v>Après-vente</v>
      </c>
      <c r="F906" s="116" t="n">
        <f aca="false">IF($A906="","",'Agences &amp; Après-vente'!$E108)</f>
        <v>0</v>
      </c>
      <c r="G906" s="116" t="str">
        <f aca="false">IF($A906="","",'Agences &amp; Après-vente'!$F108)</f>
        <v/>
      </c>
      <c r="H906" s="0" t="str">
        <f aca="true">IF($A906="","",IFERROR(MAX(0,NETWORKDAYS(TODAY(),'Agences &amp; Après-vente'!$F108)),""))</f>
        <v/>
      </c>
      <c r="I906" s="0" t="str">
        <f aca="false">IF($A906="","",'Agences &amp; Après-vente'!$I108)</f>
        <v>DONE</v>
      </c>
      <c r="K906" s="104" t="n">
        <f aca="false">IF(A906="",0,IF(IFERROR(VLOOKUP(A906,Skills!$A:$M,13,FALSE()),"")="COS",0,IF(OR(I906="En cours",I906="À venir",I906="À planifier"),IF(AND(OR($C$3="Tous",$C$3="",C906=$C$3),OR($E$3="Tous",$E$3="",I906=$E$3)),1,0),0)))</f>
        <v>0</v>
      </c>
      <c r="L906" s="104" t="n">
        <f aca="false">L905+K906</f>
        <v>15</v>
      </c>
    </row>
    <row r="907" customFormat="false" ht="15" hidden="true" customHeight="true" outlineLevel="0" collapsed="false">
      <c r="A907" s="0" t="str">
        <f aca="false">IF('Agences &amp; Après-vente'!$A109="","",'Agences &amp; Après-vente'!$A109)</f>
        <v>TR029</v>
      </c>
      <c r="B907" s="0" t="str">
        <f aca="false">IF($A907="","",'Agences &amp; Après-vente'!$B109)</f>
        <v>Pelus Corrstone</v>
      </c>
      <c r="C907" s="0" t="str">
        <f aca="false">IF($A907="","",'Agences &amp; Après-vente'!$C109)</f>
        <v>Montréal</v>
      </c>
      <c r="D907" s="0" t="str">
        <f aca="false">IF($A907="","","Nouvelle compétence")</f>
        <v>Nouvelle compétence</v>
      </c>
      <c r="E907" s="0" t="str">
        <f aca="false">IF($A907="","",'Agences &amp; Après-vente'!$D109)</f>
        <v>Après-vente</v>
      </c>
      <c r="F907" s="116" t="n">
        <f aca="false">IF($A907="","",'Agences &amp; Après-vente'!$E109)</f>
        <v>0</v>
      </c>
      <c r="G907" s="116" t="str">
        <f aca="false">IF($A907="","",'Agences &amp; Après-vente'!$F109)</f>
        <v/>
      </c>
      <c r="H907" s="0" t="str">
        <f aca="true">IF($A907="","",IFERROR(MAX(0,NETWORKDAYS(TODAY(),'Agences &amp; Après-vente'!$F109)),""))</f>
        <v/>
      </c>
      <c r="I907" s="0" t="str">
        <f aca="false">IF($A907="","",'Agences &amp; Après-vente'!$I109)</f>
        <v>DONE</v>
      </c>
      <c r="K907" s="104" t="n">
        <f aca="false">IF(A907="",0,IF(IFERROR(VLOOKUP(A907,Skills!$A:$M,13,FALSE()),"")="COS",0,IF(OR(I907="En cours",I907="À venir",I907="À planifier"),IF(AND(OR($C$3="Tous",$C$3="",C907=$C$3),OR($E$3="Tous",$E$3="",I907=$E$3)),1,0),0)))</f>
        <v>0</v>
      </c>
      <c r="L907" s="104" t="n">
        <f aca="false">L906+K907</f>
        <v>15</v>
      </c>
    </row>
    <row r="908" customFormat="false" ht="15" hidden="true" customHeight="true" outlineLevel="0" collapsed="false">
      <c r="A908" s="0" t="str">
        <f aca="false">IF('Agences &amp; Après-vente'!$A110="","",'Agences &amp; Après-vente'!$A110)</f>
        <v>TR033</v>
      </c>
      <c r="B908" s="0" t="str">
        <f aca="false">IF($A908="","",'Agences &amp; Après-vente'!$B110)</f>
        <v>Fenith Calar</v>
      </c>
      <c r="C908" s="0" t="str">
        <f aca="false">IF($A908="","",'Agences &amp; Après-vente'!$C110)</f>
        <v>Montréal</v>
      </c>
      <c r="D908" s="0" t="str">
        <f aca="false">IF($A908="","","Nouvelle compétence")</f>
        <v>Nouvelle compétence</v>
      </c>
      <c r="E908" s="0" t="str">
        <f aca="false">IF($A908="","",'Agences &amp; Après-vente'!$D110)</f>
        <v>Après-vente</v>
      </c>
      <c r="F908" s="116" t="n">
        <f aca="false">IF($A908="","",'Agences &amp; Après-vente'!$E110)</f>
        <v>0</v>
      </c>
      <c r="G908" s="116" t="str">
        <f aca="false">IF($A908="","",'Agences &amp; Après-vente'!$F110)</f>
        <v/>
      </c>
      <c r="H908" s="0" t="str">
        <f aca="true">IF($A908="","",IFERROR(MAX(0,NETWORKDAYS(TODAY(),'Agences &amp; Après-vente'!$F110)),""))</f>
        <v/>
      </c>
      <c r="I908" s="0" t="str">
        <f aca="false">IF($A908="","",'Agences &amp; Après-vente'!$I110)</f>
        <v>DONE</v>
      </c>
      <c r="K908" s="104" t="n">
        <f aca="false">IF(A908="",0,IF(IFERROR(VLOOKUP(A908,Skills!$A:$M,13,FALSE()),"")="COS",0,IF(OR(I908="En cours",I908="À venir",I908="À planifier"),IF(AND(OR($C$3="Tous",$C$3="",C908=$C$3),OR($E$3="Tous",$E$3="",I908=$E$3)),1,0),0)))</f>
        <v>0</v>
      </c>
      <c r="L908" s="104" t="n">
        <f aca="false">L907+K908</f>
        <v>15</v>
      </c>
    </row>
    <row r="909" customFormat="false" ht="15" hidden="true" customHeight="true" outlineLevel="0" collapsed="false">
      <c r="A909" s="0" t="str">
        <f aca="false">IF('Agences &amp; Après-vente'!$A111="","",'Agences &amp; Après-vente'!$A111)</f>
        <v>TR046</v>
      </c>
      <c r="B909" s="0" t="str">
        <f aca="false">IF($A909="","",'Agences &amp; Après-vente'!$B111)</f>
        <v>Kelea Ashshaw</v>
      </c>
      <c r="C909" s="0" t="str">
        <f aca="false">IF($A909="","",'Agences &amp; Après-vente'!$C111)</f>
        <v>Montréal</v>
      </c>
      <c r="D909" s="0" t="str">
        <f aca="false">IF($A909="","","Nouvelle compétence")</f>
        <v>Nouvelle compétence</v>
      </c>
      <c r="E909" s="0" t="str">
        <f aca="false">IF($A909="","",'Agences &amp; Après-vente'!$D111)</f>
        <v>Après-vente</v>
      </c>
      <c r="F909" s="116" t="n">
        <f aca="false">IF($A909="","",'Agences &amp; Après-vente'!$E111)</f>
        <v>0</v>
      </c>
      <c r="G909" s="116" t="str">
        <f aca="false">IF($A909="","",'Agences &amp; Après-vente'!$F111)</f>
        <v/>
      </c>
      <c r="H909" s="0" t="str">
        <f aca="true">IF($A909="","",IFERROR(MAX(0,NETWORKDAYS(TODAY(),'Agences &amp; Après-vente'!$F111)),""))</f>
        <v/>
      </c>
      <c r="I909" s="0" t="str">
        <f aca="false">IF($A909="","",'Agences &amp; Après-vente'!$I111)</f>
        <v>DONE</v>
      </c>
      <c r="K909" s="104" t="n">
        <f aca="false">IF(A909="",0,IF(IFERROR(VLOOKUP(A909,Skills!$A:$M,13,FALSE()),"")="COS",0,IF(OR(I909="En cours",I909="À venir",I909="À planifier"),IF(AND(OR($C$3="Tous",$C$3="",C909=$C$3),OR($E$3="Tous",$E$3="",I909=$E$3)),1,0),0)))</f>
        <v>0</v>
      </c>
      <c r="L909" s="104" t="n">
        <f aca="false">L908+K909</f>
        <v>15</v>
      </c>
    </row>
    <row r="910" customFormat="false" ht="15" hidden="true" customHeight="true" outlineLevel="0" collapsed="false">
      <c r="A910" s="0" t="str">
        <f aca="false">IF('Agences &amp; Après-vente'!$A112="","",'Agences &amp; Après-vente'!$A112)</f>
        <v>TR050</v>
      </c>
      <c r="B910" s="0" t="str">
        <f aca="false">IF($A910="","",'Agences &amp; Après-vente'!$B112)</f>
        <v>Kelor Stelwood</v>
      </c>
      <c r="C910" s="0" t="str">
        <f aca="false">IF($A910="","",'Agences &amp; Après-vente'!$C112)</f>
        <v>Montréal</v>
      </c>
      <c r="D910" s="0" t="str">
        <f aca="false">IF($A910="","","Nouvelle compétence")</f>
        <v>Nouvelle compétence</v>
      </c>
      <c r="E910" s="0" t="str">
        <f aca="false">IF($A910="","",'Agences &amp; Après-vente'!$D112)</f>
        <v>Après-vente</v>
      </c>
      <c r="F910" s="116" t="n">
        <f aca="false">IF($A910="","",'Agences &amp; Après-vente'!$E112)</f>
        <v>0</v>
      </c>
      <c r="G910" s="116" t="str">
        <f aca="false">IF($A910="","",'Agences &amp; Après-vente'!$F112)</f>
        <v/>
      </c>
      <c r="H910" s="0" t="str">
        <f aca="true">IF($A910="","",IFERROR(MAX(0,NETWORKDAYS(TODAY(),'Agences &amp; Après-vente'!$F112)),""))</f>
        <v/>
      </c>
      <c r="I910" s="0" t="str">
        <f aca="false">IF($A910="","",'Agences &amp; Après-vente'!$I112)</f>
        <v>DONE</v>
      </c>
      <c r="K910" s="104" t="n">
        <f aca="false">IF(A910="",0,IF(IFERROR(VLOOKUP(A910,Skills!$A:$M,13,FALSE()),"")="COS",0,IF(OR(I910="En cours",I910="À venir",I910="À planifier"),IF(AND(OR($C$3="Tous",$C$3="",C910=$C$3),OR($E$3="Tous",$E$3="",I910=$E$3)),1,0),0)))</f>
        <v>0</v>
      </c>
      <c r="L910" s="104" t="n">
        <f aca="false">L909+K910</f>
        <v>15</v>
      </c>
    </row>
    <row r="911" customFormat="false" ht="15" hidden="true" customHeight="true" outlineLevel="0" collapsed="false">
      <c r="A911" s="0" t="str">
        <f aca="false">IF('Agences &amp; Après-vente'!$A113="","",'Agences &amp; Après-vente'!$A113)</f>
        <v>TR080</v>
      </c>
      <c r="B911" s="0" t="str">
        <f aca="false">IF($A911="","",'Agences &amp; Après-vente'!$B113)</f>
        <v>Marsbrook Quenic</v>
      </c>
      <c r="C911" s="0" t="str">
        <f aca="false">IF($A911="","",'Agences &amp; Après-vente'!$C113)</f>
        <v>Montréal</v>
      </c>
      <c r="D911" s="0" t="str">
        <f aca="false">IF($A911="","","Nouvelle compétence")</f>
        <v>Nouvelle compétence</v>
      </c>
      <c r="E911" s="0" t="str">
        <f aca="false">IF($A911="","",'Agences &amp; Après-vente'!$D113)</f>
        <v>Après-vente</v>
      </c>
      <c r="F911" s="116" t="n">
        <f aca="false">IF($A911="","",'Agences &amp; Après-vente'!$E113)</f>
        <v>0</v>
      </c>
      <c r="G911" s="116" t="str">
        <f aca="false">IF($A911="","",'Agences &amp; Après-vente'!$F113)</f>
        <v/>
      </c>
      <c r="H911" s="0" t="str">
        <f aca="true">IF($A911="","",IFERROR(MAX(0,NETWORKDAYS(TODAY(),'Agences &amp; Après-vente'!$F113)),""))</f>
        <v/>
      </c>
      <c r="I911" s="0" t="str">
        <f aca="false">IF($A911="","",'Agences &amp; Après-vente'!$I113)</f>
        <v>DONE</v>
      </c>
      <c r="K911" s="104" t="n">
        <f aca="false">IF(A911="",0,IF(IFERROR(VLOOKUP(A911,Skills!$A:$M,13,FALSE()),"")="COS",0,IF(OR(I911="En cours",I911="À venir",I911="À planifier"),IF(AND(OR($C$3="Tous",$C$3="",C911=$C$3),OR($E$3="Tous",$E$3="",I911=$E$3)),1,0),0)))</f>
        <v>0</v>
      </c>
      <c r="L911" s="104" t="n">
        <f aca="false">L910+K911</f>
        <v>15</v>
      </c>
    </row>
    <row r="912" customFormat="false" ht="15" hidden="true" customHeight="true" outlineLevel="0" collapsed="false">
      <c r="A912" s="0" t="str">
        <f aca="false">IF('Agences &amp; Après-vente'!$A114="","",'Agences &amp; Après-vente'!$A114)</f>
        <v>TR105</v>
      </c>
      <c r="B912" s="0" t="str">
        <f aca="false">IF($A912="","",'Agences &amp; Après-vente'!$B114)</f>
        <v>Dellridge Larkbrook</v>
      </c>
      <c r="C912" s="0" t="str">
        <f aca="false">IF($A912="","",'Agences &amp; Après-vente'!$C114)</f>
        <v>Montréal</v>
      </c>
      <c r="D912" s="0" t="str">
        <f aca="false">IF($A912="","","Nouvelle compétence")</f>
        <v>Nouvelle compétence</v>
      </c>
      <c r="E912" s="0" t="str">
        <f aca="false">IF($A912="","",'Agences &amp; Après-vente'!$D114)</f>
        <v>Après-vente</v>
      </c>
      <c r="F912" s="116" t="n">
        <f aca="false">IF($A912="","",'Agences &amp; Après-vente'!$E114)</f>
        <v>0</v>
      </c>
      <c r="G912" s="116" t="str">
        <f aca="false">IF($A912="","",'Agences &amp; Après-vente'!$F114)</f>
        <v/>
      </c>
      <c r="H912" s="0" t="str">
        <f aca="true">IF($A912="","",IFERROR(MAX(0,NETWORKDAYS(TODAY(),'Agences &amp; Après-vente'!$F114)),""))</f>
        <v/>
      </c>
      <c r="I912" s="0" t="str">
        <f aca="false">IF($A912="","",'Agences &amp; Après-vente'!$I114)</f>
        <v>DONE</v>
      </c>
      <c r="K912" s="104" t="n">
        <f aca="false">IF(A912="",0,IF(IFERROR(VLOOKUP(A912,Skills!$A:$M,13,FALSE()),"")="COS",0,IF(OR(I912="En cours",I912="À venir",I912="À planifier"),IF(AND(OR($C$3="Tous",$C$3="",C912=$C$3),OR($E$3="Tous",$E$3="",I912=$E$3)),1,0),0)))</f>
        <v>0</v>
      </c>
      <c r="L912" s="104" t="n">
        <f aca="false">L911+K912</f>
        <v>15</v>
      </c>
    </row>
    <row r="913" customFormat="false" ht="15" hidden="true" customHeight="true" outlineLevel="0" collapsed="false">
      <c r="A913" s="0" t="str">
        <f aca="false">IF('Agences &amp; Après-vente'!$A115="","",'Agences &amp; Après-vente'!$A115)</f>
        <v>TR108</v>
      </c>
      <c r="B913" s="0" t="str">
        <f aca="false">IF($A913="","",'Agences &amp; Après-vente'!$B115)</f>
        <v>Bramdale Pelum</v>
      </c>
      <c r="C913" s="0" t="str">
        <f aca="false">IF($A913="","",'Agences &amp; Après-vente'!$C115)</f>
        <v>Montréal</v>
      </c>
      <c r="D913" s="0" t="str">
        <f aca="false">IF($A913="","","Nouvelle compétence")</f>
        <v>Nouvelle compétence</v>
      </c>
      <c r="E913" s="0" t="str">
        <f aca="false">IF($A913="","",'Agences &amp; Après-vente'!$D115)</f>
        <v>Après-vente</v>
      </c>
      <c r="F913" s="116" t="n">
        <f aca="false">IF($A913="","",'Agences &amp; Après-vente'!$E115)</f>
        <v>0</v>
      </c>
      <c r="G913" s="116" t="str">
        <f aca="false">IF($A913="","",'Agences &amp; Après-vente'!$F115)</f>
        <v/>
      </c>
      <c r="H913" s="0" t="str">
        <f aca="true">IF($A913="","",IFERROR(MAX(0,NETWORKDAYS(TODAY(),'Agences &amp; Après-vente'!$F115)),""))</f>
        <v/>
      </c>
      <c r="I913" s="0" t="str">
        <f aca="false">IF($A913="","",'Agences &amp; Après-vente'!$I115)</f>
        <v>DONE</v>
      </c>
      <c r="K913" s="104" t="n">
        <f aca="false">IF(A913="",0,IF(IFERROR(VLOOKUP(A913,Skills!$A:$M,13,FALSE()),"")="COS",0,IF(OR(I913="En cours",I913="À venir",I913="À planifier"),IF(AND(OR($C$3="Tous",$C$3="",C913=$C$3),OR($E$3="Tous",$E$3="",I913=$E$3)),1,0),0)))</f>
        <v>0</v>
      </c>
      <c r="L913" s="104" t="n">
        <f aca="false">L912+K913</f>
        <v>15</v>
      </c>
    </row>
    <row r="914" customFormat="false" ht="15" hidden="true" customHeight="true" outlineLevel="0" collapsed="false">
      <c r="A914" s="0" t="str">
        <f aca="false">IF('Agences &amp; Après-vente'!$A116="","",'Agences &amp; Après-vente'!$A116)</f>
        <v>TR060</v>
      </c>
      <c r="B914" s="0" t="str">
        <f aca="false">IF($A914="","",'Agences &amp; Après-vente'!$B116)</f>
        <v>Stelvale Valebrook</v>
      </c>
      <c r="C914" s="0" t="str">
        <f aca="false">IF($A914="","",'Agences &amp; Après-vente'!$C116)</f>
        <v>Montréal</v>
      </c>
      <c r="D914" s="0" t="str">
        <f aca="false">IF($A914="","","Nouvelle compétence")</f>
        <v>Nouvelle compétence</v>
      </c>
      <c r="E914" s="0" t="str">
        <f aca="false">IF($A914="","",'Agences &amp; Après-vente'!$D116)</f>
        <v>Après-vente</v>
      </c>
      <c r="F914" s="116" t="n">
        <f aca="false">IF($A914="","",'Agences &amp; Après-vente'!$E116)</f>
        <v>0</v>
      </c>
      <c r="G914" s="116" t="str">
        <f aca="false">IF($A914="","",'Agences &amp; Après-vente'!$F116)</f>
        <v/>
      </c>
      <c r="H914" s="0" t="str">
        <f aca="true">IF($A914="","",IFERROR(MAX(0,NETWORKDAYS(TODAY(),'Agences &amp; Après-vente'!$F116)),""))</f>
        <v/>
      </c>
      <c r="I914" s="0" t="str">
        <f aca="false">IF($A914="","",'Agences &amp; Après-vente'!$I116)</f>
        <v>DONE</v>
      </c>
      <c r="K914" s="104" t="n">
        <f aca="false">IF(A914="",0,IF(IFERROR(VLOOKUP(A914,Skills!$A:$M,13,FALSE()),"")="COS",0,IF(OR(I914="En cours",I914="À venir",I914="À planifier"),IF(AND(OR($C$3="Tous",$C$3="",C914=$C$3),OR($E$3="Tous",$E$3="",I914=$E$3)),1,0),0)))</f>
        <v>0</v>
      </c>
      <c r="L914" s="104" t="n">
        <f aca="false">L913+K914</f>
        <v>15</v>
      </c>
    </row>
    <row r="915" customFormat="false" ht="15" hidden="true" customHeight="true" outlineLevel="0" collapsed="false">
      <c r="A915" s="0" t="str">
        <f aca="false">IF('Agences &amp; Après-vente'!$A117="","",'Agences &amp; Après-vente'!$A117)</f>
        <v>TR072</v>
      </c>
      <c r="B915" s="0" t="str">
        <f aca="false">IF($A915="","",'Agences &amp; Après-vente'!$B117)</f>
        <v>Bramridge Pelol</v>
      </c>
      <c r="C915" s="0" t="str">
        <f aca="false">IF($A915="","",'Agences &amp; Après-vente'!$C117)</f>
        <v>Montréal</v>
      </c>
      <c r="D915" s="0" t="str">
        <f aca="false">IF($A915="","","Nouvelle compétence")</f>
        <v>Nouvelle compétence</v>
      </c>
      <c r="E915" s="0" t="str">
        <f aca="false">IF($A915="","",'Agences &amp; Après-vente'!$D117)</f>
        <v>Après-vente</v>
      </c>
      <c r="F915" s="116" t="n">
        <f aca="false">IF($A915="","",'Agences &amp; Après-vente'!$E117)</f>
        <v>0</v>
      </c>
      <c r="G915" s="116" t="str">
        <f aca="false">IF($A915="","",'Agences &amp; Après-vente'!$F117)</f>
        <v/>
      </c>
      <c r="H915" s="0" t="str">
        <f aca="true">IF($A915="","",IFERROR(MAX(0,NETWORKDAYS(TODAY(),'Agences &amp; Après-vente'!$F117)),""))</f>
        <v/>
      </c>
      <c r="I915" s="0" t="str">
        <f aca="false">IF($A915="","",'Agences &amp; Après-vente'!$I117)</f>
        <v>DONE</v>
      </c>
      <c r="K915" s="104" t="n">
        <f aca="false">IF(A915="",0,IF(IFERROR(VLOOKUP(A915,Skills!$A:$M,13,FALSE()),"")="COS",0,IF(OR(I915="En cours",I915="À venir",I915="À planifier"),IF(AND(OR($C$3="Tous",$C$3="",C915=$C$3),OR($E$3="Tous",$E$3="",I915=$E$3)),1,0),0)))</f>
        <v>0</v>
      </c>
      <c r="L915" s="104" t="n">
        <f aca="false">L914+K915</f>
        <v>15</v>
      </c>
    </row>
    <row r="916" customFormat="false" ht="15" hidden="true" customHeight="true" outlineLevel="0" collapsed="false">
      <c r="A916" s="0" t="str">
        <f aca="false">IF('Agences &amp; Après-vente'!$A118="","",'Agences &amp; Après-vente'!$A118)</f>
        <v>TR139</v>
      </c>
      <c r="B916" s="0" t="str">
        <f aca="false">IF($A916="","",'Agences &amp; Après-vente'!$B118)</f>
        <v>Faircroft Fenir</v>
      </c>
      <c r="C916" s="0" t="str">
        <f aca="false">IF($A916="","",'Agences &amp; Après-vente'!$C118)</f>
        <v>Montréal</v>
      </c>
      <c r="D916" s="0" t="str">
        <f aca="false">IF($A916="","","Nouvelle compétence")</f>
        <v>Nouvelle compétence</v>
      </c>
      <c r="E916" s="0" t="str">
        <f aca="false">IF($A916="","",'Agences &amp; Après-vente'!$D118)</f>
        <v>Après-vente</v>
      </c>
      <c r="F916" s="116" t="n">
        <f aca="false">IF($A916="","",'Agences &amp; Après-vente'!$E118)</f>
        <v>0</v>
      </c>
      <c r="G916" s="116" t="str">
        <f aca="false">IF($A916="","",'Agences &amp; Après-vente'!$F118)</f>
        <v/>
      </c>
      <c r="H916" s="0" t="str">
        <f aca="true">IF($A916="","",IFERROR(MAX(0,NETWORKDAYS(TODAY(),'Agences &amp; Après-vente'!$F118)),""))</f>
        <v/>
      </c>
      <c r="I916" s="0" t="str">
        <f aca="false">IF($A916="","",'Agences &amp; Après-vente'!$I118)</f>
        <v>DONE</v>
      </c>
      <c r="K916" s="104" t="n">
        <f aca="false">IF(A916="",0,IF(IFERROR(VLOOKUP(A916,Skills!$A:$M,13,FALSE()),"")="COS",0,IF(OR(I916="En cours",I916="À venir",I916="À planifier"),IF(AND(OR($C$3="Tous",$C$3="",C916=$C$3),OR($E$3="Tous",$E$3="",I916=$E$3)),1,0),0)))</f>
        <v>0</v>
      </c>
      <c r="L916" s="104" t="n">
        <f aca="false">L915+K916</f>
        <v>15</v>
      </c>
    </row>
    <row r="917" customFormat="false" ht="15" hidden="true" customHeight="true" outlineLevel="0" collapsed="false">
      <c r="A917" s="0" t="str">
        <f aca="false">IF('Agences &amp; Après-vente'!$A119="","",'Agences &amp; Après-vente'!$A119)</f>
        <v>TR112</v>
      </c>
      <c r="B917" s="0" t="str">
        <f aca="false">IF($A917="","",'Agences &amp; Après-vente'!$B119)</f>
        <v>Pelys Calic</v>
      </c>
      <c r="C917" s="0" t="str">
        <f aca="false">IF($A917="","",'Agences &amp; Après-vente'!$C119)</f>
        <v>Lisbonne</v>
      </c>
      <c r="D917" s="0" t="str">
        <f aca="false">IF($A917="","","Nouvelle compétence")</f>
        <v>Nouvelle compétence</v>
      </c>
      <c r="E917" s="0" t="str">
        <f aca="false">IF($A917="","",'Agences &amp; Après-vente'!$D119)</f>
        <v>Après-vente</v>
      </c>
      <c r="F917" s="116" t="n">
        <f aca="false">IF($A917="","",'Agences &amp; Après-vente'!$E119)</f>
        <v>46165</v>
      </c>
      <c r="G917" s="116" t="str">
        <f aca="false">IF($A917="","",'Agences &amp; Après-vente'!$F119)</f>
        <v/>
      </c>
      <c r="H917" s="0" t="str">
        <f aca="true">IF($A917="","",IFERROR(MAX(0,NETWORKDAYS(TODAY(),'Agences &amp; Après-vente'!$F119)),""))</f>
        <v/>
      </c>
      <c r="I917" s="0" t="str">
        <f aca="false">IF($A917="","",'Agences &amp; Après-vente'!$I119)</f>
        <v>DONE</v>
      </c>
      <c r="K917" s="104" t="n">
        <f aca="false">IF(A917="",0,IF(IFERROR(VLOOKUP(A917,Skills!$A:$M,13,FALSE()),"")="COS",0,IF(OR(I917="En cours",I917="À venir",I917="À planifier"),IF(AND(OR($C$3="Tous",$C$3="",C917=$C$3),OR($E$3="Tous",$E$3="",I917=$E$3)),1,0),0)))</f>
        <v>0</v>
      </c>
      <c r="L917" s="104" t="n">
        <f aca="false">L916+K917</f>
        <v>15</v>
      </c>
    </row>
    <row r="918" customFormat="false" ht="15" hidden="true" customHeight="true" outlineLevel="0" collapsed="false">
      <c r="A918" s="0" t="str">
        <f aca="false">IF('Agences &amp; Après-vente'!$A120="","",'Agences &amp; Après-vente'!$A120)</f>
        <v>TR018</v>
      </c>
      <c r="B918" s="0" t="str">
        <f aca="false">IF($A918="","",'Agences &amp; Après-vente'!$B120)</f>
        <v>Granbrook Yoril Corrfield</v>
      </c>
      <c r="C918" s="0" t="str">
        <f aca="false">IF($A918="","",'Agences &amp; Après-vente'!$C120)</f>
        <v>Lisbonne</v>
      </c>
      <c r="D918" s="0" t="str">
        <f aca="false">IF($A918="","","Nouvelle compétence")</f>
        <v>Nouvelle compétence</v>
      </c>
      <c r="E918" s="0" t="str">
        <f aca="false">IF($A918="","",'Agences &amp; Après-vente'!$D120)</f>
        <v>Après-vente</v>
      </c>
      <c r="F918" s="116" t="n">
        <f aca="false">IF($A918="","",'Agences &amp; Après-vente'!$E120)</f>
        <v>46164</v>
      </c>
      <c r="G918" s="116" t="str">
        <f aca="false">IF($A918="","",'Agences &amp; Après-vente'!$F120)</f>
        <v/>
      </c>
      <c r="H918" s="0" t="str">
        <f aca="true">IF($A918="","",IFERROR(MAX(0,NETWORKDAYS(TODAY(),'Agences &amp; Après-vente'!$F120)),""))</f>
        <v/>
      </c>
      <c r="I918" s="0" t="str">
        <f aca="false">IF($A918="","",'Agences &amp; Après-vente'!$I120)</f>
        <v>DONE</v>
      </c>
      <c r="K918" s="104" t="n">
        <f aca="false">IF(A918="",0,IF(IFERROR(VLOOKUP(A918,Skills!$A:$M,13,FALSE()),"")="COS",0,IF(OR(I918="En cours",I918="À venir",I918="À planifier"),IF(AND(OR($C$3="Tous",$C$3="",C918=$C$3),OR($E$3="Tous",$E$3="",I918=$E$3)),1,0),0)))</f>
        <v>0</v>
      </c>
      <c r="L918" s="104" t="n">
        <f aca="false">L917+K918</f>
        <v>15</v>
      </c>
    </row>
    <row r="919" customFormat="false" ht="15" hidden="true" customHeight="true" outlineLevel="0" collapsed="false">
      <c r="A919" s="0" t="str">
        <f aca="false">IF('Agences &amp; Après-vente'!$A121="","",'Agences &amp; Après-vente'!$A121)</f>
        <v>TR025</v>
      </c>
      <c r="B919" s="0" t="str">
        <f aca="false">IF($A919="","",'Agences &amp; Après-vente'!$B121)</f>
        <v>Stelworth Stelridge Vorar</v>
      </c>
      <c r="C919" s="0" t="str">
        <f aca="false">IF($A919="","",'Agences &amp; Après-vente'!$C121)</f>
        <v>Lisbonne</v>
      </c>
      <c r="D919" s="0" t="str">
        <f aca="false">IF($A919="","","Nouvelle compétence")</f>
        <v>Nouvelle compétence</v>
      </c>
      <c r="E919" s="0" t="str">
        <f aca="false">IF($A919="","",'Agences &amp; Après-vente'!$D121)</f>
        <v>Après-vente</v>
      </c>
      <c r="F919" s="116" t="n">
        <f aca="false">IF($A919="","",'Agences &amp; Après-vente'!$E121)</f>
        <v>46164</v>
      </c>
      <c r="G919" s="116" t="str">
        <f aca="false">IF($A919="","",'Agences &amp; Après-vente'!$F121)</f>
        <v/>
      </c>
      <c r="H919" s="0" t="str">
        <f aca="true">IF($A919="","",IFERROR(MAX(0,NETWORKDAYS(TODAY(),'Agences &amp; Après-vente'!$F121)),""))</f>
        <v/>
      </c>
      <c r="I919" s="0" t="str">
        <f aca="false">IF($A919="","",'Agences &amp; Après-vente'!$I121)</f>
        <v>DONE</v>
      </c>
      <c r="K919" s="104" t="n">
        <f aca="false">IF(A919="",0,IF(IFERROR(VLOOKUP(A919,Skills!$A:$M,13,FALSE()),"")="COS",0,IF(OR(I919="En cours",I919="À venir",I919="À planifier"),IF(AND(OR($C$3="Tous",$C$3="",C919=$C$3),OR($E$3="Tous",$E$3="",I919=$E$3)),1,0),0)))</f>
        <v>0</v>
      </c>
      <c r="L919" s="104" t="n">
        <f aca="false">L918+K919</f>
        <v>15</v>
      </c>
    </row>
    <row r="920" customFormat="false" ht="15" hidden="true" customHeight="true" outlineLevel="0" collapsed="false">
      <c r="A920" s="0" t="str">
        <f aca="false">IF('Agences &amp; Après-vente'!$A122="","",'Agences &amp; Après-vente'!$A122)</f>
        <v>TR034</v>
      </c>
      <c r="B920" s="0" t="str">
        <f aca="false">IF($A920="","",'Agences &amp; Après-vente'!$B122)</f>
        <v>Toril Rhoys</v>
      </c>
      <c r="C920" s="0" t="str">
        <f aca="false">IF($A920="","",'Agences &amp; Après-vente'!$C122)</f>
        <v>Lisbonne</v>
      </c>
      <c r="D920" s="0" t="str">
        <f aca="false">IF($A920="","","Nouvelle compétence")</f>
        <v>Nouvelle compétence</v>
      </c>
      <c r="E920" s="0" t="str">
        <f aca="false">IF($A920="","",'Agences &amp; Après-vente'!$D122)</f>
        <v>Après-vente</v>
      </c>
      <c r="F920" s="116" t="n">
        <f aca="false">IF($A920="","",'Agences &amp; Après-vente'!$E122)</f>
        <v>46164</v>
      </c>
      <c r="G920" s="116" t="str">
        <f aca="false">IF($A920="","",'Agences &amp; Après-vente'!$F122)</f>
        <v/>
      </c>
      <c r="H920" s="0" t="str">
        <f aca="true">IF($A920="","",IFERROR(MAX(0,NETWORKDAYS(TODAY(),'Agences &amp; Après-vente'!$F122)),""))</f>
        <v/>
      </c>
      <c r="I920" s="0" t="str">
        <f aca="false">IF($A920="","",'Agences &amp; Après-vente'!$I122)</f>
        <v>DONE</v>
      </c>
      <c r="K920" s="104" t="n">
        <f aca="false">IF(A920="",0,IF(IFERROR(VLOOKUP(A920,Skills!$A:$M,13,FALSE()),"")="COS",0,IF(OR(I920="En cours",I920="À venir",I920="À planifier"),IF(AND(OR($C$3="Tous",$C$3="",C920=$C$3),OR($E$3="Tous",$E$3="",I920=$E$3)),1,0),0)))</f>
        <v>0</v>
      </c>
      <c r="L920" s="104" t="n">
        <f aca="false">L919+K920</f>
        <v>15</v>
      </c>
    </row>
    <row r="921" customFormat="false" ht="15" hidden="true" customHeight="true" outlineLevel="0" collapsed="false">
      <c r="A921" s="0" t="str">
        <f aca="false">IF('Agences &amp; Après-vente'!$A123="","",'Agences &amp; Après-vente'!$A123)</f>
        <v>TR081</v>
      </c>
      <c r="B921" s="0" t="str">
        <f aca="false">IF($A921="","",'Agences &amp; Après-vente'!$B123)</f>
        <v>Gilel Moron</v>
      </c>
      <c r="C921" s="0" t="str">
        <f aca="false">IF($A921="","",'Agences &amp; Après-vente'!$C123)</f>
        <v>Lisbonne</v>
      </c>
      <c r="D921" s="0" t="str">
        <f aca="false">IF($A921="","","Nouvelle compétence")</f>
        <v>Nouvelle compétence</v>
      </c>
      <c r="E921" s="0" t="str">
        <f aca="false">IF($A921="","",'Agences &amp; Après-vente'!$D123)</f>
        <v>Après-vente</v>
      </c>
      <c r="F921" s="116" t="n">
        <f aca="false">IF($A921="","",'Agences &amp; Après-vente'!$E123)</f>
        <v>46164</v>
      </c>
      <c r="G921" s="116" t="str">
        <f aca="false">IF($A921="","",'Agences &amp; Après-vente'!$F123)</f>
        <v/>
      </c>
      <c r="H921" s="0" t="str">
        <f aca="true">IF($A921="","",IFERROR(MAX(0,NETWORKDAYS(TODAY(),'Agences &amp; Après-vente'!$F123)),""))</f>
        <v/>
      </c>
      <c r="I921" s="0" t="str">
        <f aca="false">IF($A921="","",'Agences &amp; Après-vente'!$I123)</f>
        <v>DONE</v>
      </c>
      <c r="K921" s="104" t="n">
        <f aca="false">IF(A921="",0,IF(IFERROR(VLOOKUP(A921,Skills!$A:$M,13,FALSE()),"")="COS",0,IF(OR(I921="En cours",I921="À venir",I921="À planifier"),IF(AND(OR($C$3="Tous",$C$3="",C921=$C$3),OR($E$3="Tous",$E$3="",I921=$E$3)),1,0),0)))</f>
        <v>0</v>
      </c>
      <c r="L921" s="104" t="n">
        <f aca="false">L920+K921</f>
        <v>15</v>
      </c>
    </row>
    <row r="922" customFormat="false" ht="15" hidden="true" customHeight="true" outlineLevel="0" collapsed="false">
      <c r="A922" s="0" t="str">
        <f aca="false">IF('Agences &amp; Après-vente'!$A124="","",'Agences &amp; Après-vente'!$A124)</f>
        <v>TR073</v>
      </c>
      <c r="B922" s="0" t="str">
        <f aca="false">IF($A922="","",'Agences &amp; Après-vente'!$B124)</f>
        <v>Brammont Holtvale</v>
      </c>
      <c r="C922" s="0" t="str">
        <f aca="false">IF($A922="","",'Agences &amp; Après-vente'!$C124)</f>
        <v>Lisbonne</v>
      </c>
      <c r="D922" s="0" t="str">
        <f aca="false">IF($A922="","","Nouvelle compétence")</f>
        <v>Nouvelle compétence</v>
      </c>
      <c r="E922" s="0" t="str">
        <f aca="false">IF($A922="","",'Agences &amp; Après-vente'!$D124)</f>
        <v>Après-vente</v>
      </c>
      <c r="F922" s="116" t="n">
        <f aca="false">IF($A922="","",'Agences &amp; Après-vente'!$E124)</f>
        <v>46164</v>
      </c>
      <c r="G922" s="116" t="str">
        <f aca="false">IF($A922="","",'Agences &amp; Après-vente'!$F124)</f>
        <v/>
      </c>
      <c r="H922" s="0" t="str">
        <f aca="true">IF($A922="","",IFERROR(MAX(0,NETWORKDAYS(TODAY(),'Agences &amp; Après-vente'!$F124)),""))</f>
        <v/>
      </c>
      <c r="I922" s="0" t="str">
        <f aca="false">IF($A922="","",'Agences &amp; Après-vente'!$I124)</f>
        <v>DONE</v>
      </c>
      <c r="K922" s="104" t="n">
        <f aca="false">IF(A922="",0,IF(IFERROR(VLOOKUP(A922,Skills!$A:$M,13,FALSE()),"")="COS",0,IF(OR(I922="En cours",I922="À venir",I922="À planifier"),IF(AND(OR($C$3="Tous",$C$3="",C922=$C$3),OR($E$3="Tous",$E$3="",I922=$E$3)),1,0),0)))</f>
        <v>0</v>
      </c>
      <c r="L922" s="104" t="n">
        <f aca="false">L921+K922</f>
        <v>15</v>
      </c>
    </row>
    <row r="923" customFormat="false" ht="15" hidden="true" customHeight="true" outlineLevel="0" collapsed="false">
      <c r="A923" s="0" t="str">
        <f aca="false">IF('Agences &amp; Après-vente'!$A125="","",'Agences &amp; Après-vente'!$A125)</f>
        <v>TR085</v>
      </c>
      <c r="B923" s="0" t="str">
        <f aca="false">IF($A923="","",'Agences &amp; Après-vente'!$B125)</f>
        <v>Larkshaw Moric</v>
      </c>
      <c r="C923" s="0" t="str">
        <f aca="false">IF($A923="","",'Agences &amp; Après-vente'!$C125)</f>
        <v>Lisbonne</v>
      </c>
      <c r="D923" s="0" t="str">
        <f aca="false">IF($A923="","","Nouvelle compétence")</f>
        <v>Nouvelle compétence</v>
      </c>
      <c r="E923" s="0" t="str">
        <f aca="false">IF($A923="","",'Agences &amp; Après-vente'!$D125)</f>
        <v>Après-vente</v>
      </c>
      <c r="F923" s="116" t="n">
        <f aca="false">IF($A923="","",'Agences &amp; Après-vente'!$E125)</f>
        <v>46164</v>
      </c>
      <c r="G923" s="116" t="str">
        <f aca="false">IF($A923="","",'Agences &amp; Après-vente'!$F125)</f>
        <v/>
      </c>
      <c r="H923" s="0" t="str">
        <f aca="true">IF($A923="","",IFERROR(MAX(0,NETWORKDAYS(TODAY(),'Agences &amp; Après-vente'!$F125)),""))</f>
        <v/>
      </c>
      <c r="I923" s="0" t="str">
        <f aca="false">IF($A923="","",'Agences &amp; Après-vente'!$I125)</f>
        <v>DONE</v>
      </c>
      <c r="K923" s="104" t="n">
        <f aca="false">IF(A923="",0,IF(IFERROR(VLOOKUP(A923,Skills!$A:$M,13,FALSE()),"")="COS",0,IF(OR(I923="En cours",I923="À venir",I923="À planifier"),IF(AND(OR($C$3="Tous",$C$3="",C923=$C$3),OR($E$3="Tous",$E$3="",I923=$E$3)),1,0),0)))</f>
        <v>0</v>
      </c>
      <c r="L923" s="104" t="n">
        <f aca="false">L922+K923</f>
        <v>15</v>
      </c>
    </row>
    <row r="924" customFormat="false" ht="15" hidden="true" customHeight="true" outlineLevel="0" collapsed="false">
      <c r="A924" s="0" t="str">
        <f aca="false">IF('Agences &amp; Après-vente'!$A126="","",'Agences &amp; Après-vente'!$A126)</f>
        <v>TR100</v>
      </c>
      <c r="B924" s="0" t="str">
        <f aca="false">IF($A924="","",'Agences &amp; Après-vente'!$B126)</f>
        <v>Ashdale Valedale</v>
      </c>
      <c r="C924" s="0" t="str">
        <f aca="false">IF($A924="","",'Agences &amp; Après-vente'!$C126)</f>
        <v>Lisbonne</v>
      </c>
      <c r="D924" s="0" t="str">
        <f aca="false">IF($A924="","","Nouvelle compétence")</f>
        <v>Nouvelle compétence</v>
      </c>
      <c r="E924" s="0" t="str">
        <f aca="false">IF($A924="","",'Agences &amp; Après-vente'!$D126)</f>
        <v>Après-vente</v>
      </c>
      <c r="F924" s="116" t="n">
        <f aca="false">IF($A924="","",'Agences &amp; Après-vente'!$E126)</f>
        <v>46164</v>
      </c>
      <c r="G924" s="116" t="str">
        <f aca="false">IF($A924="","",'Agences &amp; Après-vente'!$F126)</f>
        <v/>
      </c>
      <c r="H924" s="0" t="str">
        <f aca="true">IF($A924="","",IFERROR(MAX(0,NETWORKDAYS(TODAY(),'Agences &amp; Après-vente'!$F126)),""))</f>
        <v/>
      </c>
      <c r="I924" s="0" t="str">
        <f aca="false">IF($A924="","",'Agences &amp; Après-vente'!$I126)</f>
        <v>DONE</v>
      </c>
      <c r="K924" s="104" t="n">
        <f aca="false">IF(A924="",0,IF(IFERROR(VLOOKUP(A924,Skills!$A:$M,13,FALSE()),"")="COS",0,IF(OR(I924="En cours",I924="À venir",I924="À planifier"),IF(AND(OR($C$3="Tous",$C$3="",C924=$C$3),OR($E$3="Tous",$E$3="",I924=$E$3)),1,0),0)))</f>
        <v>0</v>
      </c>
      <c r="L924" s="104" t="n">
        <f aca="false">L923+K924</f>
        <v>15</v>
      </c>
    </row>
    <row r="925" customFormat="false" ht="15" hidden="true" customHeight="true" outlineLevel="0" collapsed="false">
      <c r="A925" s="0" t="str">
        <f aca="false">IF('Agences &amp; Après-vente'!$A127="","",'Agences &amp; Après-vente'!$A127)</f>
        <v>TR066</v>
      </c>
      <c r="B925" s="0" t="str">
        <f aca="false">IF($A925="","",'Agences &amp; Après-vente'!$B127)</f>
        <v>Larkmont Norshaw</v>
      </c>
      <c r="C925" s="0" t="str">
        <f aca="false">IF($A925="","",'Agences &amp; Après-vente'!$C127)</f>
        <v>Lisbonne</v>
      </c>
      <c r="D925" s="0" t="str">
        <f aca="false">IF($A925="","","Nouvelle compétence")</f>
        <v>Nouvelle compétence</v>
      </c>
      <c r="E925" s="0" t="str">
        <f aca="false">IF($A925="","",'Agences &amp; Après-vente'!$D127)</f>
        <v>Après-vente</v>
      </c>
      <c r="F925" s="116" t="n">
        <f aca="false">IF($A925="","",'Agences &amp; Après-vente'!$E127)</f>
        <v>46163</v>
      </c>
      <c r="G925" s="116" t="str">
        <f aca="false">IF($A925="","",'Agences &amp; Après-vente'!$F127)</f>
        <v/>
      </c>
      <c r="H925" s="0" t="str">
        <f aca="true">IF($A925="","",IFERROR(MAX(0,NETWORKDAYS(TODAY(),'Agences &amp; Après-vente'!$F127)),""))</f>
        <v/>
      </c>
      <c r="I925" s="0" t="str">
        <f aca="false">IF($A925="","",'Agences &amp; Après-vente'!$I127)</f>
        <v>DONE</v>
      </c>
      <c r="K925" s="104" t="n">
        <f aca="false">IF(A925="",0,IF(IFERROR(VLOOKUP(A925,Skills!$A:$M,13,FALSE()),"")="COS",0,IF(OR(I925="En cours",I925="À venir",I925="À planifier"),IF(AND(OR($C$3="Tous",$C$3="",C925=$C$3),OR($E$3="Tous",$E$3="",I925=$E$3)),1,0),0)))</f>
        <v>0</v>
      </c>
      <c r="L925" s="104" t="n">
        <f aca="false">L924+K925</f>
        <v>15</v>
      </c>
    </row>
    <row r="926" customFormat="false" ht="15" hidden="true" customHeight="true" outlineLevel="0" collapsed="false">
      <c r="A926" s="0" t="str">
        <f aca="false">IF('Agences &amp; Après-vente'!$A128="","",'Agences &amp; Après-vente'!$A128)</f>
        <v>TR024</v>
      </c>
      <c r="B926" s="0" t="str">
        <f aca="false">IF($A926="","",'Agences &amp; Après-vente'!$B128)</f>
        <v>Dellfield Stelridge Haxel</v>
      </c>
      <c r="C926" s="0" t="str">
        <f aca="false">IF($A926="","",'Agences &amp; Après-vente'!$C128)</f>
        <v>Lisbonne</v>
      </c>
      <c r="D926" s="0" t="str">
        <f aca="false">IF($A926="","","Nouvelle compétence")</f>
        <v>Nouvelle compétence</v>
      </c>
      <c r="E926" s="0" t="str">
        <f aca="false">IF($A926="","",'Agences &amp; Après-vente'!$D128)</f>
        <v>Après-vente</v>
      </c>
      <c r="F926" s="116" t="n">
        <f aca="false">IF($A926="","",'Agences &amp; Après-vente'!$E128)</f>
        <v>46163</v>
      </c>
      <c r="G926" s="116" t="str">
        <f aca="false">IF($A926="","",'Agences &amp; Après-vente'!$F128)</f>
        <v/>
      </c>
      <c r="H926" s="0" t="str">
        <f aca="true">IF($A926="","",IFERROR(MAX(0,NETWORKDAYS(TODAY(),'Agences &amp; Après-vente'!$F128)),""))</f>
        <v/>
      </c>
      <c r="I926" s="0" t="str">
        <f aca="false">IF($A926="","",'Agences &amp; Après-vente'!$I128)</f>
        <v>DONE</v>
      </c>
      <c r="K926" s="104" t="n">
        <f aca="false">IF(A926="",0,IF(IFERROR(VLOOKUP(A926,Skills!$A:$M,13,FALSE()),"")="COS",0,IF(OR(I926="En cours",I926="À venir",I926="À planifier"),IF(AND(OR($C$3="Tous",$C$3="",C926=$C$3),OR($E$3="Tous",$E$3="",I926=$E$3)),1,0),0)))</f>
        <v>0</v>
      </c>
      <c r="L926" s="104" t="n">
        <f aca="false">L925+K926</f>
        <v>15</v>
      </c>
    </row>
    <row r="927" customFormat="false" ht="15" hidden="true" customHeight="true" outlineLevel="0" collapsed="false">
      <c r="A927" s="0" t="str">
        <f aca="false">IF('Agences &amp; Après-vente'!$A129="","",'Agences &amp; Après-vente'!$A129)</f>
        <v>TR093</v>
      </c>
      <c r="B927" s="0" t="str">
        <f aca="false">IF($A927="","",'Agences &amp; Après-vente'!$B129)</f>
        <v>Holtshaw Haxor</v>
      </c>
      <c r="C927" s="0" t="str">
        <f aca="false">IF($A927="","",'Agences &amp; Après-vente'!$C129)</f>
        <v>Lisbonne</v>
      </c>
      <c r="D927" s="0" t="str">
        <f aca="false">IF($A927="","","Nouvelle compétence")</f>
        <v>Nouvelle compétence</v>
      </c>
      <c r="E927" s="0" t="str">
        <f aca="false">IF($A927="","",'Agences &amp; Après-vente'!$D129)</f>
        <v>Après-vente</v>
      </c>
      <c r="F927" s="116" t="n">
        <f aca="false">IF($A927="","",'Agences &amp; Après-vente'!$E129)</f>
        <v>46163</v>
      </c>
      <c r="G927" s="116" t="str">
        <f aca="false">IF($A927="","",'Agences &amp; Après-vente'!$F129)</f>
        <v/>
      </c>
      <c r="H927" s="0" t="str">
        <f aca="true">IF($A927="","",IFERROR(MAX(0,NETWORKDAYS(TODAY(),'Agences &amp; Après-vente'!$F129)),""))</f>
        <v/>
      </c>
      <c r="I927" s="0" t="str">
        <f aca="false">IF($A927="","",'Agences &amp; Après-vente'!$I129)</f>
        <v>DONE</v>
      </c>
      <c r="K927" s="104" t="n">
        <f aca="false">IF(A927="",0,IF(IFERROR(VLOOKUP(A927,Skills!$A:$M,13,FALSE()),"")="COS",0,IF(OR(I927="En cours",I927="À venir",I927="À planifier"),IF(AND(OR($C$3="Tous",$C$3="",C927=$C$3),OR($E$3="Tous",$E$3="",I927=$E$3)),1,0),0)))</f>
        <v>0</v>
      </c>
      <c r="L927" s="104" t="n">
        <f aca="false">L926+K927</f>
        <v>15</v>
      </c>
    </row>
    <row r="928" customFormat="false" ht="15" hidden="true" customHeight="true" outlineLevel="0" collapsed="false">
      <c r="A928" s="0" t="str">
        <f aca="false">IF('Agences &amp; Après-vente'!$A130="","",'Agences &amp; Après-vente'!$A130)</f>
        <v>TR051</v>
      </c>
      <c r="B928" s="0" t="str">
        <f aca="false">IF($A928="","",'Agences &amp; Après-vente'!$B130)</f>
        <v>Ashcroft Pelan</v>
      </c>
      <c r="C928" s="0" t="str">
        <f aca="false">IF($A928="","",'Agences &amp; Après-vente'!$C130)</f>
        <v>Lisbonne</v>
      </c>
      <c r="D928" s="0" t="str">
        <f aca="false">IF($A928="","","Nouvelle compétence")</f>
        <v>Nouvelle compétence</v>
      </c>
      <c r="E928" s="0" t="str">
        <f aca="false">IF($A928="","",'Agences &amp; Après-vente'!$D130)</f>
        <v>Après-vente</v>
      </c>
      <c r="F928" s="116" t="n">
        <f aca="false">IF($A928="","",'Agences &amp; Après-vente'!$E130)</f>
        <v>46163</v>
      </c>
      <c r="G928" s="116" t="str">
        <f aca="false">IF($A928="","",'Agences &amp; Après-vente'!$F130)</f>
        <v/>
      </c>
      <c r="H928" s="0" t="str">
        <f aca="true">IF($A928="","",IFERROR(MAX(0,NETWORKDAYS(TODAY(),'Agences &amp; Après-vente'!$F130)),""))</f>
        <v/>
      </c>
      <c r="I928" s="0" t="str">
        <f aca="false">IF($A928="","",'Agences &amp; Après-vente'!$I130)</f>
        <v>DONE</v>
      </c>
      <c r="K928" s="104" t="n">
        <f aca="false">IF(A928="",0,IF(IFERROR(VLOOKUP(A928,Skills!$A:$M,13,FALSE()),"")="COS",0,IF(OR(I928="En cours",I928="À venir",I928="À planifier"),IF(AND(OR($C$3="Tous",$C$3="",C928=$C$3),OR($E$3="Tous",$E$3="",I928=$E$3)),1,0),0)))</f>
        <v>0</v>
      </c>
      <c r="L928" s="104" t="n">
        <f aca="false">L927+K928</f>
        <v>15</v>
      </c>
    </row>
    <row r="929" customFormat="false" ht="15" hidden="true" customHeight="true" outlineLevel="0" collapsed="false">
      <c r="A929" s="0" t="str">
        <f aca="false">IF('Agences &amp; Après-vente'!$A131="","",'Agences &amp; Après-vente'!$A131)</f>
        <v>TR054</v>
      </c>
      <c r="B929" s="0" t="str">
        <f aca="false">IF($A929="","",'Agences &amp; Après-vente'!$B131)</f>
        <v>Pykewood Stelshaw Doric</v>
      </c>
      <c r="C929" s="0" t="str">
        <f aca="false">IF($A929="","",'Agences &amp; Après-vente'!$C131)</f>
        <v>Lisbonne</v>
      </c>
      <c r="D929" s="0" t="str">
        <f aca="false">IF($A929="","","Nouvelle compétence")</f>
        <v>Nouvelle compétence</v>
      </c>
      <c r="E929" s="0" t="str">
        <f aca="false">IF($A929="","",'Agences &amp; Après-vente'!$D131)</f>
        <v>Après-vente</v>
      </c>
      <c r="F929" s="116" t="n">
        <f aca="false">IF($A929="","",'Agences &amp; Après-vente'!$E131)</f>
        <v>46163</v>
      </c>
      <c r="G929" s="116" t="str">
        <f aca="false">IF($A929="","",'Agences &amp; Après-vente'!$F131)</f>
        <v/>
      </c>
      <c r="H929" s="0" t="str">
        <f aca="true">IF($A929="","",IFERROR(MAX(0,NETWORKDAYS(TODAY(),'Agences &amp; Après-vente'!$F131)),""))</f>
        <v/>
      </c>
      <c r="I929" s="0" t="str">
        <f aca="false">IF($A929="","",'Agences &amp; Après-vente'!$I131)</f>
        <v>DONE</v>
      </c>
      <c r="K929" s="104" t="n">
        <f aca="false">IF(A929="",0,IF(IFERROR(VLOOKUP(A929,Skills!$A:$M,13,FALSE()),"")="COS",0,IF(OR(I929="En cours",I929="À venir",I929="À planifier"),IF(AND(OR($C$3="Tous",$C$3="",C929=$C$3),OR($E$3="Tous",$E$3="",I929=$E$3)),1,0),0)))</f>
        <v>0</v>
      </c>
      <c r="L929" s="104" t="n">
        <f aca="false">L928+K929</f>
        <v>15</v>
      </c>
    </row>
    <row r="930" customFormat="false" ht="15" hidden="true" customHeight="true" outlineLevel="0" collapsed="false">
      <c r="A930" s="0" t="str">
        <f aca="false">IF('Agences &amp; Après-vente'!$A132="","",'Agences &amp; Après-vente'!$A132)</f>
        <v>TR095</v>
      </c>
      <c r="B930" s="0" t="str">
        <f aca="false">IF($A930="","",'Agences &amp; Après-vente'!$B132)</f>
        <v>Quenan Quillwood</v>
      </c>
      <c r="C930" s="0" t="str">
        <f aca="false">IF($A930="","",'Agences &amp; Après-vente'!$C132)</f>
        <v>Lisbonne</v>
      </c>
      <c r="D930" s="0" t="str">
        <f aca="false">IF($A930="","","Nouvelle compétence")</f>
        <v>Nouvelle compétence</v>
      </c>
      <c r="E930" s="0" t="str">
        <f aca="false">IF($A930="","",'Agences &amp; Après-vente'!$D132)</f>
        <v>Après-vente</v>
      </c>
      <c r="F930" s="116" t="n">
        <f aca="false">IF($A930="","",'Agences &amp; Après-vente'!$E132)</f>
        <v>46163</v>
      </c>
      <c r="G930" s="116" t="str">
        <f aca="false">IF($A930="","",'Agences &amp; Après-vente'!$F132)</f>
        <v/>
      </c>
      <c r="H930" s="0" t="str">
        <f aca="true">IF($A930="","",IFERROR(MAX(0,NETWORKDAYS(TODAY(),'Agences &amp; Après-vente'!$F132)),""))</f>
        <v/>
      </c>
      <c r="I930" s="0" t="str">
        <f aca="false">IF($A930="","",'Agences &amp; Après-vente'!$I132)</f>
        <v>DONE</v>
      </c>
      <c r="K930" s="104" t="n">
        <f aca="false">IF(A930="",0,IF(IFERROR(VLOOKUP(A930,Skills!$A:$M,13,FALSE()),"")="COS",0,IF(OR(I930="En cours",I930="À venir",I930="À planifier"),IF(AND(OR($C$3="Tous",$C$3="",C930=$C$3),OR($E$3="Tous",$E$3="",I930=$E$3)),1,0),0)))</f>
        <v>0</v>
      </c>
      <c r="L930" s="104" t="n">
        <f aca="false">L929+K930</f>
        <v>15</v>
      </c>
    </row>
    <row r="931" customFormat="false" ht="15" hidden="true" customHeight="true" outlineLevel="0" collapsed="false">
      <c r="A931" s="0" t="str">
        <f aca="false">IF('Agences &amp; Après-vente'!$A133="","",'Agences &amp; Après-vente'!$A133)</f>
        <v>TR076</v>
      </c>
      <c r="B931" s="0" t="str">
        <f aca="false">IF($A931="","",'Agences &amp; Après-vente'!$B133)</f>
        <v>Ashgate Thornwood</v>
      </c>
      <c r="C931" s="0" t="str">
        <f aca="false">IF($A931="","",'Agences &amp; Après-vente'!$C133)</f>
        <v>Lisbonne</v>
      </c>
      <c r="D931" s="0" t="str">
        <f aca="false">IF($A931="","","Nouvelle compétence")</f>
        <v>Nouvelle compétence</v>
      </c>
      <c r="E931" s="0" t="str">
        <f aca="false">IF($A931="","",'Agences &amp; Après-vente'!$D133)</f>
        <v>Après-vente</v>
      </c>
      <c r="F931" s="116" t="n">
        <f aca="false">IF($A931="","",'Agences &amp; Après-vente'!$E133)</f>
        <v>46162</v>
      </c>
      <c r="G931" s="116" t="str">
        <f aca="false">IF($A931="","",'Agences &amp; Après-vente'!$F133)</f>
        <v/>
      </c>
      <c r="H931" s="0" t="str">
        <f aca="true">IF($A931="","",IFERROR(MAX(0,NETWORKDAYS(TODAY(),'Agences &amp; Après-vente'!$F133)),""))</f>
        <v/>
      </c>
      <c r="I931" s="0" t="str">
        <f aca="false">IF($A931="","",'Agences &amp; Après-vente'!$I133)</f>
        <v>DONE</v>
      </c>
      <c r="K931" s="104" t="n">
        <f aca="false">IF(A931="",0,IF(IFERROR(VLOOKUP(A931,Skills!$A:$M,13,FALSE()),"")="COS",0,IF(OR(I931="En cours",I931="À venir",I931="À planifier"),IF(AND(OR($C$3="Tous",$C$3="",C931=$C$3),OR($E$3="Tous",$E$3="",I931=$E$3)),1,0),0)))</f>
        <v>0</v>
      </c>
      <c r="L931" s="104" t="n">
        <f aca="false">L930+K931</f>
        <v>15</v>
      </c>
    </row>
    <row r="932" customFormat="false" ht="15" hidden="true" customHeight="true" outlineLevel="0" collapsed="false">
      <c r="A932" s="0" t="str">
        <f aca="false">IF('Agences &amp; Après-vente'!$A134="","",'Agences &amp; Après-vente'!$A134)</f>
        <v>TR047</v>
      </c>
      <c r="B932" s="0" t="str">
        <f aca="false">IF($A932="","",'Agences &amp; Après-vente'!$B134)</f>
        <v>Evergate Rownfield</v>
      </c>
      <c r="C932" s="0" t="str">
        <f aca="false">IF($A932="","",'Agences &amp; Après-vente'!$C134)</f>
        <v>Lisbonne</v>
      </c>
      <c r="D932" s="0" t="str">
        <f aca="false">IF($A932="","","Nouvelle compétence")</f>
        <v>Nouvelle compétence</v>
      </c>
      <c r="E932" s="0" t="str">
        <f aca="false">IF($A932="","",'Agences &amp; Après-vente'!$D134)</f>
        <v>Après-vente</v>
      </c>
      <c r="F932" s="116" t="n">
        <f aca="false">IF($A932="","",'Agences &amp; Après-vente'!$E134)</f>
        <v>46161</v>
      </c>
      <c r="G932" s="116" t="str">
        <f aca="false">IF($A932="","",'Agences &amp; Après-vente'!$F134)</f>
        <v/>
      </c>
      <c r="H932" s="0" t="str">
        <f aca="true">IF($A932="","",IFERROR(MAX(0,NETWORKDAYS(TODAY(),'Agences &amp; Après-vente'!$F134)),""))</f>
        <v/>
      </c>
      <c r="I932" s="0" t="str">
        <f aca="false">IF($A932="","",'Agences &amp; Après-vente'!$I134)</f>
        <v>DONE</v>
      </c>
      <c r="K932" s="104" t="n">
        <f aca="false">IF(A932="",0,IF(IFERROR(VLOOKUP(A932,Skills!$A:$M,13,FALSE()),"")="COS",0,IF(OR(I932="En cours",I932="À venir",I932="À planifier"),IF(AND(OR($C$3="Tous",$C$3="",C932=$C$3),OR($E$3="Tous",$E$3="",I932=$E$3)),1,0),0)))</f>
        <v>0</v>
      </c>
      <c r="L932" s="104" t="n">
        <f aca="false">L931+K932</f>
        <v>15</v>
      </c>
    </row>
    <row r="933" customFormat="false" ht="15" hidden="true" customHeight="true" outlineLevel="0" collapsed="false">
      <c r="A933" s="0" t="str">
        <f aca="false">IF('Agences &amp; Après-vente'!$A135="","",'Agences &amp; Après-vente'!$A135)</f>
        <v>TR129</v>
      </c>
      <c r="B933" s="0" t="str">
        <f aca="false">IF($A933="","",'Agences &amp; Après-vente'!$B135)</f>
        <v>Haxil Dellhaven</v>
      </c>
      <c r="C933" s="0" t="str">
        <f aca="false">IF($A933="","",'Agences &amp; Après-vente'!$C135)</f>
        <v>Lisbonne</v>
      </c>
      <c r="D933" s="0" t="str">
        <f aca="false">IF($A933="","","Nouvelle compétence")</f>
        <v>Nouvelle compétence</v>
      </c>
      <c r="E933" s="0" t="str">
        <f aca="false">IF($A933="","",'Agences &amp; Après-vente'!$D135)</f>
        <v>Après-vente</v>
      </c>
      <c r="F933" s="116" t="n">
        <f aca="false">IF($A933="","",'Agences &amp; Après-vente'!$E135)</f>
        <v>46161</v>
      </c>
      <c r="G933" s="116" t="str">
        <f aca="false">IF($A933="","",'Agences &amp; Après-vente'!$F135)</f>
        <v/>
      </c>
      <c r="H933" s="0" t="str">
        <f aca="true">IF($A933="","",IFERROR(MAX(0,NETWORKDAYS(TODAY(),'Agences &amp; Après-vente'!$F135)),""))</f>
        <v/>
      </c>
      <c r="I933" s="0" t="str">
        <f aca="false">IF($A933="","",'Agences &amp; Après-vente'!$I135)</f>
        <v>DONE</v>
      </c>
      <c r="K933" s="104" t="n">
        <f aca="false">IF(A933="",0,IF(IFERROR(VLOOKUP(A933,Skills!$A:$M,13,FALSE()),"")="COS",0,IF(OR(I933="En cours",I933="À venir",I933="À planifier"),IF(AND(OR($C$3="Tous",$C$3="",C933=$C$3),OR($E$3="Tous",$E$3="",I933=$E$3)),1,0),0)))</f>
        <v>0</v>
      </c>
      <c r="L933" s="104" t="n">
        <f aca="false">L932+K933</f>
        <v>15</v>
      </c>
    </row>
    <row r="934" customFormat="false" ht="15" hidden="true" customHeight="true" outlineLevel="0" collapsed="false">
      <c r="A934" s="0" t="str">
        <f aca="false">IF('Agences &amp; Après-vente'!$A136="","",'Agences &amp; Après-vente'!$A136)</f>
        <v>TR119</v>
      </c>
      <c r="B934" s="0" t="str">
        <f aca="false">IF($A934="","",'Agences &amp; Après-vente'!$B136)</f>
        <v>Rownvale Dorys</v>
      </c>
      <c r="C934" s="0" t="str">
        <f aca="false">IF($A934="","",'Agences &amp; Après-vente'!$C136)</f>
        <v>Lisbonne</v>
      </c>
      <c r="D934" s="0" t="str">
        <f aca="false">IF($A934="","","Nouvelle compétence")</f>
        <v>Nouvelle compétence</v>
      </c>
      <c r="E934" s="0" t="str">
        <f aca="false">IF($A934="","",'Agences &amp; Après-vente'!$D136)</f>
        <v>Après-vente</v>
      </c>
      <c r="F934" s="116" t="n">
        <f aca="false">IF($A934="","",'Agences &amp; Après-vente'!$E136)</f>
        <v>46161</v>
      </c>
      <c r="G934" s="116" t="str">
        <f aca="false">IF($A934="","",'Agences &amp; Après-vente'!$F136)</f>
        <v/>
      </c>
      <c r="H934" s="0" t="str">
        <f aca="true">IF($A934="","",IFERROR(MAX(0,NETWORKDAYS(TODAY(),'Agences &amp; Après-vente'!$F136)),""))</f>
        <v/>
      </c>
      <c r="I934" s="0" t="str">
        <f aca="false">IF($A934="","",'Agences &amp; Après-vente'!$I136)</f>
        <v>DONE</v>
      </c>
      <c r="K934" s="104" t="n">
        <f aca="false">IF(A934="",0,IF(IFERROR(VLOOKUP(A934,Skills!$A:$M,13,FALSE()),"")="COS",0,IF(OR(I934="En cours",I934="À venir",I934="À planifier"),IF(AND(OR($C$3="Tous",$C$3="",C934=$C$3),OR($E$3="Tous",$E$3="",I934=$E$3)),1,0),0)))</f>
        <v>0</v>
      </c>
      <c r="L934" s="104" t="n">
        <f aca="false">L933+K934</f>
        <v>15</v>
      </c>
    </row>
    <row r="935" customFormat="false" ht="15" hidden="true" customHeight="true" outlineLevel="0" collapsed="false">
      <c r="A935" s="0" t="str">
        <f aca="false">IF('Agences &amp; Après-vente'!$A137="","",'Agences &amp; Après-vente'!$A137)</f>
        <v>TR047</v>
      </c>
      <c r="B935" s="0" t="str">
        <f aca="false">IF($A935="","",'Agences &amp; Après-vente'!$B137)</f>
        <v>Evergate Rownfield</v>
      </c>
      <c r="C935" s="0" t="str">
        <f aca="false">IF($A935="","",'Agences &amp; Après-vente'!$C137)</f>
        <v>Lisbonne</v>
      </c>
      <c r="D935" s="0" t="str">
        <f aca="false">IF($A935="","","Nouvelle compétence")</f>
        <v>Nouvelle compétence</v>
      </c>
      <c r="E935" s="0" t="str">
        <f aca="false">IF($A935="","",'Agences &amp; Après-vente'!$D137)</f>
        <v>Agences</v>
      </c>
      <c r="F935" s="116" t="n">
        <f aca="false">IF($A935="","",'Agences &amp; Après-vente'!$E137)</f>
        <v>46098</v>
      </c>
      <c r="G935" s="116" t="n">
        <f aca="false">IF($A935="","",'Agences &amp; Après-vente'!$F137)</f>
        <v>46104</v>
      </c>
      <c r="H935" s="104" t="n">
        <f aca="true">IF($A935="","",IFERROR(MAX(0,NETWORKDAYS(TODAY(),'Agences &amp; Après-vente'!$F137)),""))</f>
        <v>0</v>
      </c>
      <c r="I935" s="0" t="str">
        <f aca="false">IF($A935="","",'Agences &amp; Après-vente'!$I137)</f>
        <v>DONE</v>
      </c>
      <c r="K935" s="104" t="n">
        <f aca="false">IF(A935="",0,IF(IFERROR(VLOOKUP(A935,Skills!$A:$M,13,FALSE()),"")="COS",0,IF(OR(I935="En cours",I935="À venir",I935="À planifier"),IF(AND(OR($C$3="Tous",$C$3="",C935=$C$3),OR($E$3="Tous",$E$3="",I935=$E$3)),1,0),0)))</f>
        <v>0</v>
      </c>
      <c r="L935" s="104" t="n">
        <f aca="false">L934+K935</f>
        <v>15</v>
      </c>
    </row>
    <row r="936" customFormat="false" ht="15" hidden="true" customHeight="true" outlineLevel="0" collapsed="false">
      <c r="A936" s="0" t="str">
        <f aca="false">IF('Agences &amp; Après-vente'!$A138="","",'Agences &amp; Après-vente'!$A138)</f>
        <v>TR051</v>
      </c>
      <c r="B936" s="0" t="str">
        <f aca="false">IF($A936="","",'Agences &amp; Après-vente'!$B138)</f>
        <v>Ashcroft Pelan</v>
      </c>
      <c r="C936" s="0" t="str">
        <f aca="false">IF($A936="","",'Agences &amp; Après-vente'!$C138)</f>
        <v>Lisbonne</v>
      </c>
      <c r="D936" s="0" t="str">
        <f aca="false">IF($A936="","","Nouvelle compétence")</f>
        <v>Nouvelle compétence</v>
      </c>
      <c r="E936" s="0" t="str">
        <f aca="false">IF($A936="","",'Agences &amp; Après-vente'!$D138)</f>
        <v>Agences</v>
      </c>
      <c r="F936" s="116" t="n">
        <f aca="false">IF($A936="","",'Agences &amp; Après-vente'!$E138)</f>
        <v>0</v>
      </c>
      <c r="G936" s="116" t="str">
        <f aca="false">IF($A936="","",'Agences &amp; Après-vente'!$F138)</f>
        <v/>
      </c>
      <c r="H936" s="0" t="str">
        <f aca="true">IF($A936="","",IFERROR(MAX(0,NETWORKDAYS(TODAY(),'Agences &amp; Après-vente'!$F138)),""))</f>
        <v/>
      </c>
      <c r="I936" s="0" t="str">
        <f aca="false">IF($A936="","",'Agences &amp; Après-vente'!$I138)</f>
        <v>DONE</v>
      </c>
      <c r="K936" s="104" t="n">
        <f aca="false">IF(A936="",0,IF(IFERROR(VLOOKUP(A936,Skills!$A:$M,13,FALSE()),"")="COS",0,IF(OR(I936="En cours",I936="À venir",I936="À planifier"),IF(AND(OR($C$3="Tous",$C$3="",C936=$C$3),OR($E$3="Tous",$E$3="",I936=$E$3)),1,0),0)))</f>
        <v>0</v>
      </c>
      <c r="L936" s="104" t="n">
        <f aca="false">L935+K936</f>
        <v>15</v>
      </c>
    </row>
    <row r="937" customFormat="false" ht="15" hidden="true" customHeight="true" outlineLevel="0" collapsed="false">
      <c r="A937" s="0" t="str">
        <f aca="false">IF('Agences &amp; Après-vente'!$A139="","",'Agences &amp; Après-vente'!$A139)</f>
        <v>TR073</v>
      </c>
      <c r="B937" s="0" t="str">
        <f aca="false">IF($A937="","",'Agences &amp; Après-vente'!$B139)</f>
        <v>Brammont Holtvale</v>
      </c>
      <c r="C937" s="0" t="str">
        <f aca="false">IF($A937="","",'Agences &amp; Après-vente'!$C139)</f>
        <v>Lisbonne</v>
      </c>
      <c r="D937" s="0" t="str">
        <f aca="false">IF($A937="","","Nouvelle compétence")</f>
        <v>Nouvelle compétence</v>
      </c>
      <c r="E937" s="0" t="str">
        <f aca="false">IF($A937="","",'Agences &amp; Après-vente'!$D139)</f>
        <v>Agences</v>
      </c>
      <c r="F937" s="116" t="n">
        <f aca="false">IF($A937="","",'Agences &amp; Après-vente'!$E139)</f>
        <v>0</v>
      </c>
      <c r="G937" s="116" t="str">
        <f aca="false">IF($A937="","",'Agences &amp; Après-vente'!$F139)</f>
        <v/>
      </c>
      <c r="H937" s="0" t="str">
        <f aca="true">IF($A937="","",IFERROR(MAX(0,NETWORKDAYS(TODAY(),'Agences &amp; Après-vente'!$F139)),""))</f>
        <v/>
      </c>
      <c r="I937" s="0" t="str">
        <f aca="false">IF($A937="","",'Agences &amp; Après-vente'!$I139)</f>
        <v>DONE</v>
      </c>
      <c r="K937" s="104" t="n">
        <f aca="false">IF(A937="",0,IF(IFERROR(VLOOKUP(A937,Skills!$A:$M,13,FALSE()),"")="COS",0,IF(OR(I937="En cours",I937="À venir",I937="À planifier"),IF(AND(OR($C$3="Tous",$C$3="",C937=$C$3),OR($E$3="Tous",$E$3="",I937=$E$3)),1,0),0)))</f>
        <v>0</v>
      </c>
      <c r="L937" s="104" t="n">
        <f aca="false">L936+K937</f>
        <v>15</v>
      </c>
    </row>
    <row r="938" customFormat="false" ht="15" hidden="true" customHeight="true" outlineLevel="0" collapsed="false">
      <c r="A938" s="0" t="str">
        <f aca="false">IF('Agences &amp; Après-vente'!$A140="","",'Agences &amp; Après-vente'!$A140)</f>
        <v>TR076</v>
      </c>
      <c r="B938" s="0" t="str">
        <f aca="false">IF($A938="","",'Agences &amp; Après-vente'!$B140)</f>
        <v>Ashgate Thornwood</v>
      </c>
      <c r="C938" s="0" t="str">
        <f aca="false">IF($A938="","",'Agences &amp; Après-vente'!$C140)</f>
        <v>Lisbonne</v>
      </c>
      <c r="D938" s="0" t="str">
        <f aca="false">IF($A938="","","Nouvelle compétence")</f>
        <v>Nouvelle compétence</v>
      </c>
      <c r="E938" s="0" t="str">
        <f aca="false">IF($A938="","",'Agences &amp; Après-vente'!$D140)</f>
        <v>Agences</v>
      </c>
      <c r="F938" s="116" t="n">
        <f aca="false">IF($A938="","",'Agences &amp; Après-vente'!$E140)</f>
        <v>0</v>
      </c>
      <c r="G938" s="116" t="str">
        <f aca="false">IF($A938="","",'Agences &amp; Après-vente'!$F140)</f>
        <v/>
      </c>
      <c r="H938" s="0" t="str">
        <f aca="true">IF($A938="","",IFERROR(MAX(0,NETWORKDAYS(TODAY(),'Agences &amp; Après-vente'!$F140)),""))</f>
        <v/>
      </c>
      <c r="I938" s="0" t="str">
        <f aca="false">IF($A938="","",'Agences &amp; Après-vente'!$I140)</f>
        <v>DONE</v>
      </c>
      <c r="K938" s="104" t="n">
        <f aca="false">IF(A938="",0,IF(IFERROR(VLOOKUP(A938,Skills!$A:$M,13,FALSE()),"")="COS",0,IF(OR(I938="En cours",I938="À venir",I938="À planifier"),IF(AND(OR($C$3="Tous",$C$3="",C938=$C$3),OR($E$3="Tous",$E$3="",I938=$E$3)),1,0),0)))</f>
        <v>0</v>
      </c>
      <c r="L938" s="104" t="n">
        <f aca="false">L937+K938</f>
        <v>15</v>
      </c>
    </row>
    <row r="939" customFormat="false" ht="15" hidden="true" customHeight="true" outlineLevel="0" collapsed="false">
      <c r="A939" s="0" t="str">
        <f aca="false">IF('Agences &amp; Après-vente'!$A141="","",'Agences &amp; Après-vente'!$A141)</f>
        <v>TR092</v>
      </c>
      <c r="B939" s="0" t="str">
        <f aca="false">IF($A939="","",'Agences &amp; Après-vente'!$B141)</f>
        <v>Dellfield Pykestone</v>
      </c>
      <c r="C939" s="0" t="str">
        <f aca="false">IF($A939="","",'Agences &amp; Après-vente'!$C141)</f>
        <v>Lisbonne</v>
      </c>
      <c r="D939" s="0" t="str">
        <f aca="false">IF($A939="","","Nouvelle compétence")</f>
        <v>Nouvelle compétence</v>
      </c>
      <c r="E939" s="0" t="str">
        <f aca="false">IF($A939="","",'Agences &amp; Après-vente'!$D141)</f>
        <v>Agences</v>
      </c>
      <c r="F939" s="116" t="n">
        <f aca="false">IF($A939="","",'Agences &amp; Après-vente'!$E141)</f>
        <v>0</v>
      </c>
      <c r="G939" s="116" t="str">
        <f aca="false">IF($A939="","",'Agences &amp; Après-vente'!$F141)</f>
        <v/>
      </c>
      <c r="H939" s="0" t="str">
        <f aca="true">IF($A939="","",IFERROR(MAX(0,NETWORKDAYS(TODAY(),'Agences &amp; Après-vente'!$F141)),""))</f>
        <v/>
      </c>
      <c r="I939" s="0" t="str">
        <f aca="false">IF($A939="","",'Agences &amp; Après-vente'!$I141)</f>
        <v>DONE</v>
      </c>
      <c r="K939" s="104" t="n">
        <f aca="false">IF(A939="",0,IF(IFERROR(VLOOKUP(A939,Skills!$A:$M,13,FALSE()),"")="COS",0,IF(OR(I939="En cours",I939="À venir",I939="À planifier"),IF(AND(OR($C$3="Tous",$C$3="",C939=$C$3),OR($E$3="Tous",$E$3="",I939=$E$3)),1,0),0)))</f>
        <v>0</v>
      </c>
      <c r="L939" s="104" t="n">
        <f aca="false">L938+K939</f>
        <v>15</v>
      </c>
    </row>
    <row r="940" customFormat="false" ht="15" hidden="true" customHeight="true" outlineLevel="0" collapsed="false">
      <c r="A940" s="0" t="str">
        <f aca="false">IF('Agences &amp; Après-vente'!$A142="","",'Agences &amp; Après-vente'!$A142)</f>
        <v>TR100</v>
      </c>
      <c r="B940" s="0" t="str">
        <f aca="false">IF($A940="","",'Agences &amp; Après-vente'!$B142)</f>
        <v>Ashdale Valedale</v>
      </c>
      <c r="C940" s="0" t="str">
        <f aca="false">IF($A940="","",'Agences &amp; Après-vente'!$C142)</f>
        <v>Lisbonne</v>
      </c>
      <c r="D940" s="0" t="str">
        <f aca="false">IF($A940="","","Nouvelle compétence")</f>
        <v>Nouvelle compétence</v>
      </c>
      <c r="E940" s="0" t="str">
        <f aca="false">IF($A940="","",'Agences &amp; Après-vente'!$D142)</f>
        <v>Agences</v>
      </c>
      <c r="F940" s="116" t="n">
        <f aca="false">IF($A940="","",'Agences &amp; Après-vente'!$E142)</f>
        <v>0</v>
      </c>
      <c r="G940" s="116" t="str">
        <f aca="false">IF($A940="","",'Agences &amp; Après-vente'!$F142)</f>
        <v/>
      </c>
      <c r="H940" s="0" t="str">
        <f aca="true">IF($A940="","",IFERROR(MAX(0,NETWORKDAYS(TODAY(),'Agences &amp; Après-vente'!$F142)),""))</f>
        <v/>
      </c>
      <c r="I940" s="0" t="str">
        <f aca="false">IF($A940="","",'Agences &amp; Après-vente'!$I142)</f>
        <v>DONE</v>
      </c>
      <c r="K940" s="104" t="n">
        <f aca="false">IF(A940="",0,IF(IFERROR(VLOOKUP(A940,Skills!$A:$M,13,FALSE()),"")="COS",0,IF(OR(I940="En cours",I940="À venir",I940="À planifier"),IF(AND(OR($C$3="Tous",$C$3="",C940=$C$3),OR($E$3="Tous",$E$3="",I940=$E$3)),1,0),0)))</f>
        <v>0</v>
      </c>
      <c r="L940" s="104" t="n">
        <f aca="false">L939+K940</f>
        <v>15</v>
      </c>
    </row>
    <row r="941" customFormat="false" ht="15" hidden="true" customHeight="true" outlineLevel="0" collapsed="false">
      <c r="A941" s="0" t="str">
        <f aca="false">IF('Agences &amp; Après-vente'!$A143="","",'Agences &amp; Après-vente'!$A143)</f>
        <v>TR048</v>
      </c>
      <c r="B941" s="0" t="str">
        <f aca="false">IF($A941="","",'Agences &amp; Après-vente'!$B143)</f>
        <v>Yoren Selon</v>
      </c>
      <c r="C941" s="0" t="str">
        <f aca="false">IF($A941="","",'Agences &amp; Après-vente'!$C143)</f>
        <v>Montréal</v>
      </c>
      <c r="D941" s="0" t="str">
        <f aca="false">IF($A941="","","Nouvelle compétence")</f>
        <v>Nouvelle compétence</v>
      </c>
      <c r="E941" s="0" t="str">
        <f aca="false">IF($A941="","",'Agences &amp; Après-vente'!$D143)</f>
        <v>Agences</v>
      </c>
      <c r="F941" s="116" t="n">
        <f aca="false">IF($A941="","",'Agences &amp; Après-vente'!$E143)</f>
        <v>0</v>
      </c>
      <c r="G941" s="116" t="str">
        <f aca="false">IF($A941="","",'Agences &amp; Après-vente'!$F143)</f>
        <v/>
      </c>
      <c r="H941" s="0" t="str">
        <f aca="true">IF($A941="","",IFERROR(MAX(0,NETWORKDAYS(TODAY(),'Agences &amp; Après-vente'!$F143)),""))</f>
        <v/>
      </c>
      <c r="I941" s="0" t="str">
        <f aca="false">IF($A941="","",'Agences &amp; Après-vente'!$I143)</f>
        <v>DONE</v>
      </c>
      <c r="K941" s="104" t="n">
        <f aca="false">IF(A941="",0,IF(IFERROR(VLOOKUP(A941,Skills!$A:$M,13,FALSE()),"")="COS",0,IF(OR(I941="En cours",I941="À venir",I941="À planifier"),IF(AND(OR($C$3="Tous",$C$3="",C941=$C$3),OR($E$3="Tous",$E$3="",I941=$E$3)),1,0),0)))</f>
        <v>0</v>
      </c>
      <c r="L941" s="104" t="n">
        <f aca="false">L940+K941</f>
        <v>15</v>
      </c>
    </row>
    <row r="942" customFormat="false" ht="15" hidden="true" customHeight="true" outlineLevel="0" collapsed="false">
      <c r="A942" s="0" t="str">
        <f aca="false">IF('Agences &amp; Après-vente'!$A144="","",'Agences &amp; Après-vente'!$A144)</f>
        <v>TR110</v>
      </c>
      <c r="B942" s="0" t="str">
        <f aca="false">IF($A942="","",'Agences &amp; Après-vente'!$B144)</f>
        <v>Everworth Voran</v>
      </c>
      <c r="C942" s="0" t="str">
        <f aca="false">IF($A942="","",'Agences &amp; Après-vente'!$C144)</f>
        <v>Montréal</v>
      </c>
      <c r="D942" s="0" t="str">
        <f aca="false">IF($A942="","","Nouvelle compétence")</f>
        <v>Nouvelle compétence</v>
      </c>
      <c r="E942" s="0" t="str">
        <f aca="false">IF($A942="","",'Agences &amp; Après-vente'!$D144)</f>
        <v>Agences</v>
      </c>
      <c r="F942" s="116" t="n">
        <f aca="false">IF($A942="","",'Agences &amp; Après-vente'!$E144)</f>
        <v>0</v>
      </c>
      <c r="G942" s="116" t="str">
        <f aca="false">IF($A942="","",'Agences &amp; Après-vente'!$F144)</f>
        <v/>
      </c>
      <c r="H942" s="0" t="str">
        <f aca="true">IF($A942="","",IFERROR(MAX(0,NETWORKDAYS(TODAY(),'Agences &amp; Après-vente'!$F144)),""))</f>
        <v/>
      </c>
      <c r="I942" s="0" t="str">
        <f aca="false">IF($A942="","",'Agences &amp; Après-vente'!$I144)</f>
        <v>DONE</v>
      </c>
      <c r="K942" s="104" t="n">
        <f aca="false">IF(A942="",0,IF(IFERROR(VLOOKUP(A942,Skills!$A:$M,13,FALSE()),"")="COS",0,IF(OR(I942="En cours",I942="À venir",I942="À planifier"),IF(AND(OR($C$3="Tous",$C$3="",C942=$C$3),OR($E$3="Tous",$E$3="",I942=$E$3)),1,0),0)))</f>
        <v>0</v>
      </c>
      <c r="L942" s="104" t="n">
        <f aca="false">L941+K942</f>
        <v>15</v>
      </c>
    </row>
    <row r="943" customFormat="false" ht="15" hidden="true" customHeight="true" outlineLevel="0" collapsed="false">
      <c r="A943" s="0" t="str">
        <f aca="false">IF('Agences &amp; Après-vente'!$A145="","",'Agences &amp; Après-vente'!$A145)</f>
        <v>TR020</v>
      </c>
      <c r="B943" s="0" t="str">
        <f aca="false">IF($A943="","",'Agences &amp; Après-vente'!$B145)</f>
        <v>Selan Dellgate</v>
      </c>
      <c r="C943" s="0" t="str">
        <f aca="false">IF($A943="","",'Agences &amp; Après-vente'!$C145)</f>
        <v>Montréal</v>
      </c>
      <c r="D943" s="0" t="str">
        <f aca="false">IF($A943="","","Nouvelle compétence")</f>
        <v>Nouvelle compétence</v>
      </c>
      <c r="E943" s="0" t="str">
        <f aca="false">IF($A943="","",'Agences &amp; Après-vente'!$D145)</f>
        <v>Agences</v>
      </c>
      <c r="F943" s="116" t="n">
        <f aca="false">IF($A943="","",'Agences &amp; Après-vente'!$E145)</f>
        <v>0</v>
      </c>
      <c r="G943" s="116" t="str">
        <f aca="false">IF($A943="","",'Agences &amp; Après-vente'!$F145)</f>
        <v/>
      </c>
      <c r="H943" s="0" t="str">
        <f aca="true">IF($A943="","",IFERROR(MAX(0,NETWORKDAYS(TODAY(),'Agences &amp; Après-vente'!$F145)),""))</f>
        <v/>
      </c>
      <c r="I943" s="0" t="str">
        <f aca="false">IF($A943="","",'Agences &amp; Après-vente'!$I145)</f>
        <v>DONE</v>
      </c>
      <c r="K943" s="104" t="n">
        <f aca="false">IF(A943="",0,IF(IFERROR(VLOOKUP(A943,Skills!$A:$M,13,FALSE()),"")="COS",0,IF(OR(I943="En cours",I943="À venir",I943="À planifier"),IF(AND(OR($C$3="Tous",$C$3="",C943=$C$3),OR($E$3="Tous",$E$3="",I943=$E$3)),1,0),0)))</f>
        <v>0</v>
      </c>
      <c r="L943" s="104" t="n">
        <f aca="false">L942+K943</f>
        <v>15</v>
      </c>
    </row>
    <row r="944" customFormat="false" ht="15" hidden="true" customHeight="true" outlineLevel="0" collapsed="false">
      <c r="A944" s="0" t="str">
        <f aca="false">IF('Agences &amp; Après-vente'!$A146="","",'Agences &amp; Après-vente'!$A146)</f>
        <v>TR048</v>
      </c>
      <c r="B944" s="0" t="str">
        <f aca="false">IF($A944="","",'Agences &amp; Après-vente'!$B146)</f>
        <v>Yoren Selon</v>
      </c>
      <c r="C944" s="0" t="str">
        <f aca="false">IF($A944="","",'Agences &amp; Après-vente'!$C146)</f>
        <v>Montréal</v>
      </c>
      <c r="D944" s="0" t="str">
        <f aca="false">IF($A944="","","Nouvelle compétence")</f>
        <v>Nouvelle compétence</v>
      </c>
      <c r="E944" s="0" t="str">
        <f aca="false">IF($A944="","",'Agences &amp; Après-vente'!$D146)</f>
        <v>Après-vente</v>
      </c>
      <c r="F944" s="116" t="n">
        <f aca="false">IF($A944="","",'Agences &amp; Après-vente'!$E146)</f>
        <v>0</v>
      </c>
      <c r="G944" s="116" t="str">
        <f aca="false">IF($A944="","",'Agences &amp; Après-vente'!$F146)</f>
        <v/>
      </c>
      <c r="H944" s="0" t="str">
        <f aca="true">IF($A944="","",IFERROR(MAX(0,NETWORKDAYS(TODAY(),'Agences &amp; Après-vente'!$F146)),""))</f>
        <v/>
      </c>
      <c r="I944" s="0" t="str">
        <f aca="false">IF($A944="","",'Agences &amp; Après-vente'!$I146)</f>
        <v>DONE</v>
      </c>
      <c r="K944" s="104" t="n">
        <f aca="false">IF(A944="",0,IF(IFERROR(VLOOKUP(A944,Skills!$A:$M,13,FALSE()),"")="COS",0,IF(OR(I944="En cours",I944="À venir",I944="À planifier"),IF(AND(OR($C$3="Tous",$C$3="",C944=$C$3),OR($E$3="Tous",$E$3="",I944=$E$3)),1,0),0)))</f>
        <v>0</v>
      </c>
      <c r="L944" s="104" t="n">
        <f aca="false">L943+K944</f>
        <v>15</v>
      </c>
    </row>
    <row r="945" customFormat="false" ht="15" hidden="true" customHeight="true" outlineLevel="0" collapsed="false">
      <c r="A945" s="0" t="str">
        <f aca="false">IF('Agences &amp; Après-vente'!$A147="","",'Agences &amp; Après-vente'!$A147)</f>
        <v>TR110</v>
      </c>
      <c r="B945" s="0" t="str">
        <f aca="false">IF($A945="","",'Agences &amp; Après-vente'!$B147)</f>
        <v>Everworth Voran</v>
      </c>
      <c r="C945" s="0" t="str">
        <f aca="false">IF($A945="","",'Agences &amp; Après-vente'!$C147)</f>
        <v>Montréal</v>
      </c>
      <c r="D945" s="0" t="str">
        <f aca="false">IF($A945="","","Nouvelle compétence")</f>
        <v>Nouvelle compétence</v>
      </c>
      <c r="E945" s="0" t="str">
        <f aca="false">IF($A945="","",'Agences &amp; Après-vente'!$D147)</f>
        <v>Après-vente</v>
      </c>
      <c r="F945" s="116" t="n">
        <f aca="false">IF($A945="","",'Agences &amp; Après-vente'!$E147)</f>
        <v>0</v>
      </c>
      <c r="G945" s="116" t="str">
        <f aca="false">IF($A945="","",'Agences &amp; Après-vente'!$F147)</f>
        <v/>
      </c>
      <c r="H945" s="0" t="str">
        <f aca="true">IF($A945="","",IFERROR(MAX(0,NETWORKDAYS(TODAY(),'Agences &amp; Après-vente'!$F147)),""))</f>
        <v/>
      </c>
      <c r="I945" s="0" t="str">
        <f aca="false">IF($A945="","",'Agences &amp; Après-vente'!$I147)</f>
        <v>DONE</v>
      </c>
      <c r="K945" s="104" t="n">
        <f aca="false">IF(A945="",0,IF(IFERROR(VLOOKUP(A945,Skills!$A:$M,13,FALSE()),"")="COS",0,IF(OR(I945="En cours",I945="À venir",I945="À planifier"),IF(AND(OR($C$3="Tous",$C$3="",C945=$C$3),OR($E$3="Tous",$E$3="",I945=$E$3)),1,0),0)))</f>
        <v>0</v>
      </c>
      <c r="L945" s="104" t="n">
        <f aca="false">L944+K945</f>
        <v>15</v>
      </c>
    </row>
    <row r="946" customFormat="false" ht="15" hidden="true" customHeight="true" outlineLevel="0" collapsed="false">
      <c r="A946" s="0" t="str">
        <f aca="false">IF('Agences &amp; Après-vente'!$A148="","",'Agences &amp; Après-vente'!$A148)</f>
        <v>TR020</v>
      </c>
      <c r="B946" s="0" t="str">
        <f aca="false">IF($A946="","",'Agences &amp; Après-vente'!$B148)</f>
        <v>Selan Dellgate</v>
      </c>
      <c r="C946" s="0" t="str">
        <f aca="false">IF($A946="","",'Agences &amp; Après-vente'!$C148)</f>
        <v>Montréal</v>
      </c>
      <c r="D946" s="0" t="str">
        <f aca="false">IF($A946="","","Nouvelle compétence")</f>
        <v>Nouvelle compétence</v>
      </c>
      <c r="E946" s="0" t="str">
        <f aca="false">IF($A946="","",'Agences &amp; Après-vente'!$D148)</f>
        <v>Après-vente</v>
      </c>
      <c r="F946" s="116" t="n">
        <f aca="false">IF($A946="","",'Agences &amp; Après-vente'!$E148)</f>
        <v>0</v>
      </c>
      <c r="G946" s="116" t="str">
        <f aca="false">IF($A946="","",'Agences &amp; Après-vente'!$F148)</f>
        <v/>
      </c>
      <c r="H946" s="0" t="str">
        <f aca="true">IF($A946="","",IFERROR(MAX(0,NETWORKDAYS(TODAY(),'Agences &amp; Après-vente'!$F148)),""))</f>
        <v/>
      </c>
      <c r="I946" s="0" t="str">
        <f aca="false">IF($A946="","",'Agences &amp; Après-vente'!$I148)</f>
        <v>DONE</v>
      </c>
      <c r="K946" s="104" t="n">
        <f aca="false">IF(A946="",0,IF(IFERROR(VLOOKUP(A946,Skills!$A:$M,13,FALSE()),"")="COS",0,IF(OR(I946="En cours",I946="À venir",I946="À planifier"),IF(AND(OR($C$3="Tous",$C$3="",C946=$C$3),OR($E$3="Tous",$E$3="",I946=$E$3)),1,0),0)))</f>
        <v>0</v>
      </c>
      <c r="L946" s="104" t="n">
        <f aca="false">L945+K946</f>
        <v>15</v>
      </c>
    </row>
    <row r="947" customFormat="false" ht="15" hidden="true" customHeight="true" outlineLevel="0" collapsed="false">
      <c r="A947" s="0" t="str">
        <f aca="false">IF('Agences &amp; Après-vente'!$A149="","",'Agences &amp; Après-vente'!$A149)</f>
        <v>TR052</v>
      </c>
      <c r="B947" s="0" t="str">
        <f aca="false">IF($A947="","",'Agences &amp; Après-vente'!$B149)</f>
        <v>Gilon Marsstone Dorol</v>
      </c>
      <c r="C947" s="0" t="str">
        <f aca="false">IF($A947="","",'Agences &amp; Après-vente'!$C149)</f>
        <v>Lisbonne</v>
      </c>
      <c r="D947" s="0" t="str">
        <f aca="false">IF($A947="","","Nouvelle compétence")</f>
        <v>Nouvelle compétence</v>
      </c>
      <c r="E947" s="0" t="str">
        <f aca="false">IF($A947="","",'Agences &amp; Après-vente'!$D149)</f>
        <v>Agences</v>
      </c>
      <c r="F947" s="116" t="n">
        <f aca="false">IF($A947="","",'Agences &amp; Après-vente'!$E149)</f>
        <v>0</v>
      </c>
      <c r="G947" s="116" t="str">
        <f aca="false">IF($A947="","",'Agences &amp; Après-vente'!$F149)</f>
        <v/>
      </c>
      <c r="H947" s="0" t="str">
        <f aca="true">IF($A947="","",IFERROR(MAX(0,NETWORKDAYS(TODAY(),'Agences &amp; Après-vente'!$F149)),""))</f>
        <v/>
      </c>
      <c r="I947" s="0" t="str">
        <f aca="false">IF($A947="","",'Agences &amp; Après-vente'!$I149)</f>
        <v>DONE</v>
      </c>
      <c r="K947" s="104" t="n">
        <f aca="false">IF(A947="",0,IF(IFERROR(VLOOKUP(A947,Skills!$A:$M,13,FALSE()),"")="COS",0,IF(OR(I947="En cours",I947="À venir",I947="À planifier"),IF(AND(OR($C$3="Tous",$C$3="",C947=$C$3),OR($E$3="Tous",$E$3="",I947=$E$3)),1,0),0)))</f>
        <v>0</v>
      </c>
      <c r="L947" s="104" t="n">
        <f aca="false">L946+K947</f>
        <v>15</v>
      </c>
    </row>
    <row r="948" customFormat="false" ht="15" hidden="true" customHeight="true" outlineLevel="0" collapsed="false">
      <c r="A948" s="0" t="str">
        <f aca="false">IF('Agences &amp; Après-vente'!$A150="","",'Agences &amp; Après-vente'!$A150)</f>
        <v>TR067</v>
      </c>
      <c r="B948" s="0" t="str">
        <f aca="false">IF($A948="","",'Agences &amp; Après-vente'!$B150)</f>
        <v>Orinir Quillmere</v>
      </c>
      <c r="C948" s="0" t="str">
        <f aca="false">IF($A948="","",'Agences &amp; Après-vente'!$C150)</f>
        <v>Montréal</v>
      </c>
      <c r="D948" s="0" t="str">
        <f aca="false">IF($A948="","","Nouvelle compétence")</f>
        <v>Nouvelle compétence</v>
      </c>
      <c r="E948" s="0" t="str">
        <f aca="false">IF($A948="","",'Agences &amp; Après-vente'!$D150)</f>
        <v>Après-vente</v>
      </c>
      <c r="F948" s="116" t="n">
        <f aca="false">IF($A948="","",'Agences &amp; Après-vente'!$E150)</f>
        <v>0</v>
      </c>
      <c r="G948" s="116" t="str">
        <f aca="false">IF($A948="","",'Agences &amp; Après-vente'!$F150)</f>
        <v/>
      </c>
      <c r="H948" s="0" t="str">
        <f aca="true">IF($A948="","",IFERROR(MAX(0,NETWORKDAYS(TODAY(),'Agences &amp; Après-vente'!$F150)),""))</f>
        <v/>
      </c>
      <c r="I948" s="0" t="str">
        <f aca="false">IF($A948="","",'Agences &amp; Après-vente'!$I150)</f>
        <v>DONE</v>
      </c>
      <c r="K948" s="104" t="n">
        <f aca="false">IF(A948="",0,IF(IFERROR(VLOOKUP(A948,Skills!$A:$M,13,FALSE()),"")="COS",0,IF(OR(I948="En cours",I948="À venir",I948="À planifier"),IF(AND(OR($C$3="Tous",$C$3="",C948=$C$3),OR($E$3="Tous",$E$3="",I948=$E$3)),1,0),0)))</f>
        <v>0</v>
      </c>
      <c r="L948" s="104" t="n">
        <f aca="false">L947+K948</f>
        <v>15</v>
      </c>
    </row>
    <row r="949" customFormat="false" ht="15" hidden="true" customHeight="true" outlineLevel="0" collapsed="false">
      <c r="A949" s="0" t="str">
        <f aca="false">IF('Agences &amp; Après-vente'!$A151="","",'Agences &amp; Après-vente'!$A151)</f>
        <v>TR068</v>
      </c>
      <c r="B949" s="0" t="str">
        <f aca="false">IF($A949="","",'Agences &amp; Après-vente'!$B151)</f>
        <v>Voray Granmont</v>
      </c>
      <c r="C949" s="0" t="str">
        <f aca="false">IF($A949="","",'Agences &amp; Après-vente'!$C151)</f>
        <v>Montréal</v>
      </c>
      <c r="D949" s="0" t="str">
        <f aca="false">IF($A949="","","Nouvelle compétence")</f>
        <v>Nouvelle compétence</v>
      </c>
      <c r="E949" s="0" t="str">
        <f aca="false">IF($A949="","",'Agences &amp; Après-vente'!$D151)</f>
        <v>Après-vente</v>
      </c>
      <c r="F949" s="116" t="n">
        <f aca="false">IF($A949="","",'Agences &amp; Après-vente'!$E151)</f>
        <v>0</v>
      </c>
      <c r="G949" s="116" t="str">
        <f aca="false">IF($A949="","",'Agences &amp; Après-vente'!$F151)</f>
        <v/>
      </c>
      <c r="H949" s="0" t="str">
        <f aca="true">IF($A949="","",IFERROR(MAX(0,NETWORKDAYS(TODAY(),'Agences &amp; Après-vente'!$F151)),""))</f>
        <v/>
      </c>
      <c r="I949" s="0" t="str">
        <f aca="false">IF($A949="","",'Agences &amp; Après-vente'!$I151)</f>
        <v>DONE</v>
      </c>
      <c r="K949" s="104" t="n">
        <f aca="false">IF(A949="",0,IF(IFERROR(VLOOKUP(A949,Skills!$A:$M,13,FALSE()),"")="COS",0,IF(OR(I949="En cours",I949="À venir",I949="À planifier"),IF(AND(OR($C$3="Tous",$C$3="",C949=$C$3),OR($E$3="Tous",$E$3="",I949=$E$3)),1,0),0)))</f>
        <v>0</v>
      </c>
      <c r="L949" s="104" t="n">
        <f aca="false">L948+K949</f>
        <v>15</v>
      </c>
    </row>
    <row r="950" customFormat="false" ht="15" hidden="true" customHeight="true" outlineLevel="0" collapsed="false">
      <c r="A950" s="0" t="str">
        <f aca="false">IF('Agences &amp; Après-vente'!$A152="","",'Agences &amp; Après-vente'!$A152)</f>
        <v>TR061</v>
      </c>
      <c r="B950" s="0" t="str">
        <f aca="false">IF($A950="","",'Agences &amp; Après-vente'!$B152)</f>
        <v>Bramworth Vorys</v>
      </c>
      <c r="C950" s="0" t="str">
        <f aca="false">IF($A950="","",'Agences &amp; Après-vente'!$C152)</f>
        <v>Montréal</v>
      </c>
      <c r="D950" s="0" t="str">
        <f aca="false">IF($A950="","","Nouvelle compétence")</f>
        <v>Nouvelle compétence</v>
      </c>
      <c r="E950" s="0" t="str">
        <f aca="false">IF($A950="","",'Agences &amp; Après-vente'!$D152)</f>
        <v>Après-vente</v>
      </c>
      <c r="F950" s="116" t="n">
        <f aca="false">IF($A950="","",'Agences &amp; Après-vente'!$E152)</f>
        <v>0</v>
      </c>
      <c r="G950" s="116" t="str">
        <f aca="false">IF($A950="","",'Agences &amp; Après-vente'!$F152)</f>
        <v/>
      </c>
      <c r="H950" s="0" t="str">
        <f aca="true">IF($A950="","",IFERROR(MAX(0,NETWORKDAYS(TODAY(),'Agences &amp; Après-vente'!$F152)),""))</f>
        <v/>
      </c>
      <c r="I950" s="0" t="str">
        <f aca="false">IF($A950="","",'Agences &amp; Après-vente'!$I152)</f>
        <v>DONE</v>
      </c>
      <c r="K950" s="104" t="n">
        <f aca="false">IF(A950="",0,IF(IFERROR(VLOOKUP(A950,Skills!$A:$M,13,FALSE()),"")="COS",0,IF(OR(I950="En cours",I950="À venir",I950="À planifier"),IF(AND(OR($C$3="Tous",$C$3="",C950=$C$3),OR($E$3="Tous",$E$3="",I950=$E$3)),1,0),0)))</f>
        <v>0</v>
      </c>
      <c r="L950" s="104" t="n">
        <f aca="false">L949+K950</f>
        <v>15</v>
      </c>
    </row>
    <row r="951" customFormat="false" ht="15" hidden="true" customHeight="true" outlineLevel="0" collapsed="false">
      <c r="A951" s="0" t="str">
        <f aca="false">IF('Agences &amp; Après-vente'!$A153="","",'Agences &amp; Après-vente'!$A153)</f>
        <v>TR042</v>
      </c>
      <c r="B951" s="0" t="str">
        <f aca="false">IF($A951="","",'Agences &amp; Après-vente'!$B153)</f>
        <v>Kelic Corrwood</v>
      </c>
      <c r="C951" s="0" t="str">
        <f aca="false">IF($A951="","",'Agences &amp; Après-vente'!$C153)</f>
        <v>Montréal</v>
      </c>
      <c r="D951" s="0" t="str">
        <f aca="false">IF($A951="","","Nouvelle compétence")</f>
        <v>Nouvelle compétence</v>
      </c>
      <c r="E951" s="0" t="str">
        <f aca="false">IF($A951="","",'Agences &amp; Après-vente'!$D153)</f>
        <v>Après-vente</v>
      </c>
      <c r="F951" s="116" t="n">
        <f aca="false">IF($A951="","",'Agences &amp; Après-vente'!$E153)</f>
        <v>0</v>
      </c>
      <c r="G951" s="116" t="str">
        <f aca="false">IF($A951="","",'Agences &amp; Après-vente'!$F153)</f>
        <v/>
      </c>
      <c r="H951" s="0" t="str">
        <f aca="true">IF($A951="","",IFERROR(MAX(0,NETWORKDAYS(TODAY(),'Agences &amp; Après-vente'!$F153)),""))</f>
        <v/>
      </c>
      <c r="I951" s="0" t="str">
        <f aca="false">IF($A951="","",'Agences &amp; Après-vente'!$I153)</f>
        <v>DONE</v>
      </c>
      <c r="K951" s="104" t="n">
        <f aca="false">IF(A951="",0,IF(IFERROR(VLOOKUP(A951,Skills!$A:$M,13,FALSE()),"")="COS",0,IF(OR(I951="En cours",I951="À venir",I951="À planifier"),IF(AND(OR($C$3="Tous",$C$3="",C951=$C$3),OR($E$3="Tous",$E$3="",I951=$E$3)),1,0),0)))</f>
        <v>0</v>
      </c>
      <c r="L951" s="104" t="n">
        <f aca="false">L950+K951</f>
        <v>15</v>
      </c>
    </row>
    <row r="952" customFormat="false" ht="15" hidden="true" customHeight="true" outlineLevel="0" collapsed="false">
      <c r="A952" s="0" t="str">
        <f aca="false">IF('Agences &amp; Après-vente'!$A154="","",'Agences &amp; Après-vente'!$A154)</f>
        <v>TR031</v>
      </c>
      <c r="B952" s="0" t="str">
        <f aca="false">IF($A952="","",'Agences &amp; Après-vente'!$B154)</f>
        <v>Lumor Holtmere</v>
      </c>
      <c r="C952" s="0" t="str">
        <f aca="false">IF($A952="","",'Agences &amp; Après-vente'!$C154)</f>
        <v>Montréal</v>
      </c>
      <c r="D952" s="0" t="str">
        <f aca="false">IF($A952="","","Nouvelle compétence")</f>
        <v>Nouvelle compétence</v>
      </c>
      <c r="E952" s="0" t="str">
        <f aca="false">IF($A952="","",'Agences &amp; Après-vente'!$D154)</f>
        <v>Après-vente</v>
      </c>
      <c r="F952" s="116" t="n">
        <f aca="false">IF($A952="","",'Agences &amp; Après-vente'!$E154)</f>
        <v>0</v>
      </c>
      <c r="G952" s="116" t="str">
        <f aca="false">IF($A952="","",'Agences &amp; Après-vente'!$F154)</f>
        <v/>
      </c>
      <c r="H952" s="0" t="str">
        <f aca="true">IF($A952="","",IFERROR(MAX(0,NETWORKDAYS(TODAY(),'Agences &amp; Après-vente'!$F154)),""))</f>
        <v/>
      </c>
      <c r="I952" s="0" t="str">
        <f aca="false">IF($A952="","",'Agences &amp; Après-vente'!$I154)</f>
        <v>DONE</v>
      </c>
      <c r="K952" s="104" t="n">
        <f aca="false">IF(A952="",0,IF(IFERROR(VLOOKUP(A952,Skills!$A:$M,13,FALSE()),"")="COS",0,IF(OR(I952="En cours",I952="À venir",I952="À planifier"),IF(AND(OR($C$3="Tous",$C$3="",C952=$C$3),OR($E$3="Tous",$E$3="",I952=$E$3)),1,0),0)))</f>
        <v>0</v>
      </c>
      <c r="L952" s="104" t="n">
        <f aca="false">L951+K952</f>
        <v>15</v>
      </c>
    </row>
    <row r="953" customFormat="false" ht="15" hidden="true" customHeight="true" outlineLevel="0" collapsed="false">
      <c r="A953" s="0" t="str">
        <f aca="false">IF('Agences &amp; Après-vente'!$A155="","",'Agences &amp; Après-vente'!$A155)</f>
        <v>TR118</v>
      </c>
      <c r="B953" s="0" t="str">
        <f aca="false">IF($A953="","",'Agences &amp; Après-vente'!$B155)</f>
        <v>Kelus Corrworth</v>
      </c>
      <c r="C953" s="0" t="str">
        <f aca="false">IF($A953="","",'Agences &amp; Après-vente'!$C155)</f>
        <v>Montréal</v>
      </c>
      <c r="D953" s="0" t="str">
        <f aca="false">IF($A953="","","Nouvelle compétence")</f>
        <v>Nouvelle compétence</v>
      </c>
      <c r="E953" s="0" t="str">
        <f aca="false">IF($A953="","",'Agences &amp; Après-vente'!$D155)</f>
        <v>Agences et Après-vente</v>
      </c>
      <c r="F953" s="116" t="n">
        <f aca="false">IF($A953="","",'Agences &amp; Après-vente'!$E155)</f>
        <v>0</v>
      </c>
      <c r="G953" s="116" t="str">
        <f aca="false">IF($A953="","",'Agences &amp; Après-vente'!$F155)</f>
        <v/>
      </c>
      <c r="H953" s="0" t="str">
        <f aca="true">IF($A953="","",IFERROR(MAX(0,NETWORKDAYS(TODAY(),'Agences &amp; Après-vente'!$F155)),""))</f>
        <v/>
      </c>
      <c r="I953" s="0" t="str">
        <f aca="false">IF($A953="","",'Agences &amp; Après-vente'!$I155)</f>
        <v>DONE</v>
      </c>
      <c r="K953" s="104" t="n">
        <f aca="false">IF(A953="",0,IF(IFERROR(VLOOKUP(A953,Skills!$A:$M,13,FALSE()),"")="COS",0,IF(OR(I953="En cours",I953="À venir",I953="À planifier"),IF(AND(OR($C$3="Tous",$C$3="",C953=$C$3),OR($E$3="Tous",$E$3="",I953=$E$3)),1,0),0)))</f>
        <v>0</v>
      </c>
      <c r="L953" s="104" t="n">
        <f aca="false">L952+K953</f>
        <v>15</v>
      </c>
    </row>
    <row r="954" customFormat="false" ht="15" hidden="true" customHeight="true" outlineLevel="0" collapsed="false">
      <c r="A954" s="0" t="str">
        <f aca="false">IF('Agences &amp; Après-vente'!$A156="","",'Agences &amp; Après-vente'!$A156)</f>
        <v>TR079</v>
      </c>
      <c r="B954" s="0" t="str">
        <f aca="false">IF($A954="","",'Agences &amp; Après-vente'!$B156)</f>
        <v>Pykedale Ulmay</v>
      </c>
      <c r="C954" s="0" t="str">
        <f aca="false">IF($A954="","",'Agences &amp; Après-vente'!$C156)</f>
        <v>Montréal</v>
      </c>
      <c r="D954" s="0" t="str">
        <f aca="false">IF($A954="","","Nouvelle compétence")</f>
        <v>Nouvelle compétence</v>
      </c>
      <c r="E954" s="0" t="str">
        <f aca="false">IF($A954="","",'Agences &amp; Après-vente'!$D156)</f>
        <v>Agences</v>
      </c>
      <c r="F954" s="116" t="n">
        <f aca="false">IF($A954="","",'Agences &amp; Après-vente'!$E156)</f>
        <v>0</v>
      </c>
      <c r="G954" s="116" t="str">
        <f aca="false">IF($A954="","",'Agences &amp; Après-vente'!$F156)</f>
        <v/>
      </c>
      <c r="H954" s="0" t="str">
        <f aca="true">IF($A954="","",IFERROR(MAX(0,NETWORKDAYS(TODAY(),'Agences &amp; Après-vente'!$F156)),""))</f>
        <v/>
      </c>
      <c r="I954" s="0" t="str">
        <f aca="false">IF($A954="","",'Agences &amp; Après-vente'!$I156)</f>
        <v>DONE</v>
      </c>
      <c r="K954" s="104" t="n">
        <f aca="false">IF(A954="",0,IF(IFERROR(VLOOKUP(A954,Skills!$A:$M,13,FALSE()),"")="COS",0,IF(OR(I954="En cours",I954="À venir",I954="À planifier"),IF(AND(OR($C$3="Tous",$C$3="",C954=$C$3),OR($E$3="Tous",$E$3="",I954=$E$3)),1,0),0)))</f>
        <v>0</v>
      </c>
      <c r="L954" s="104" t="n">
        <f aca="false">L953+K954</f>
        <v>15</v>
      </c>
    </row>
    <row r="955" customFormat="false" ht="15" hidden="true" customHeight="true" outlineLevel="0" collapsed="false">
      <c r="A955" s="0" t="str">
        <f aca="false">IF('Agences &amp; Après-vente'!$A157="","",'Agences &amp; Après-vente'!$A157)</f>
        <v>TR090</v>
      </c>
      <c r="B955" s="0" t="str">
        <f aca="false">IF($A955="","",'Agences &amp; Après-vente'!$B157)</f>
        <v>Gilar Lumar</v>
      </c>
      <c r="C955" s="0" t="str">
        <f aca="false">IF($A955="","",'Agences &amp; Après-vente'!$C157)</f>
        <v>Montréal</v>
      </c>
      <c r="D955" s="0" t="str">
        <f aca="false">IF($A955="","","Nouvelle compétence")</f>
        <v>Nouvelle compétence</v>
      </c>
      <c r="E955" s="0" t="str">
        <f aca="false">IF($A955="","",'Agences &amp; Après-vente'!$D157)</f>
        <v>Après-vente</v>
      </c>
      <c r="F955" s="116" t="n">
        <f aca="false">IF($A955="","",'Agences &amp; Après-vente'!$E157)</f>
        <v>0</v>
      </c>
      <c r="G955" s="116" t="str">
        <f aca="false">IF($A955="","",'Agences &amp; Après-vente'!$F157)</f>
        <v/>
      </c>
      <c r="H955" s="0" t="str">
        <f aca="true">IF($A955="","",IFERROR(MAX(0,NETWORKDAYS(TODAY(),'Agences &amp; Après-vente'!$F157)),""))</f>
        <v/>
      </c>
      <c r="I955" s="0" t="str">
        <f aca="false">IF($A955="","",'Agences &amp; Après-vente'!$I157)</f>
        <v>DONE</v>
      </c>
      <c r="K955" s="104" t="n">
        <f aca="false">IF(A955="",0,IF(IFERROR(VLOOKUP(A955,Skills!$A:$M,13,FALSE()),"")="COS",0,IF(OR(I955="En cours",I955="À venir",I955="À planifier"),IF(AND(OR($C$3="Tous",$C$3="",C955=$C$3),OR($E$3="Tous",$E$3="",I955=$E$3)),1,0),0)))</f>
        <v>0</v>
      </c>
      <c r="L955" s="104" t="n">
        <f aca="false">L954+K955</f>
        <v>15</v>
      </c>
    </row>
    <row r="956" customFormat="false" ht="15" hidden="true" customHeight="true" outlineLevel="0" collapsed="false">
      <c r="A956" s="0" t="str">
        <f aca="false">IF('Agences &amp; Après-vente'!$A158="","",'Agences &amp; Après-vente'!$A158)</f>
        <v>TR163</v>
      </c>
      <c r="B956" s="0" t="str">
        <f aca="false">IF($A956="","",'Agences &amp; Après-vente'!$B158)</f>
        <v>Rhoea Thornshaw</v>
      </c>
      <c r="C956" s="0" t="str">
        <f aca="false">IF($A956="","",'Agences &amp; Après-vente'!$C158)</f>
        <v>Montréal</v>
      </c>
      <c r="D956" s="0" t="str">
        <f aca="false">IF($A956="","","Nouvelle compétence")</f>
        <v>Nouvelle compétence</v>
      </c>
      <c r="E956" s="0" t="str">
        <f aca="false">IF($A956="","",'Agences &amp; Après-vente'!$D158)</f>
        <v>Agences et Après-vente</v>
      </c>
      <c r="F956" s="116" t="n">
        <f aca="false">IF($A956="","",'Agences &amp; Après-vente'!$E158)</f>
        <v>46177</v>
      </c>
      <c r="G956" s="116" t="str">
        <f aca="false">IF($A956="","",'Agences &amp; Après-vente'!$F158)</f>
        <v/>
      </c>
      <c r="H956" s="0" t="str">
        <f aca="true">IF($A956="","",IFERROR(MAX(0,NETWORKDAYS(TODAY(),'Agences &amp; Après-vente'!$F158)),""))</f>
        <v/>
      </c>
      <c r="I956" s="0" t="str">
        <f aca="false">IF($A956="","",'Agences &amp; Après-vente'!$I158)</f>
        <v>En cours</v>
      </c>
      <c r="K956" s="104" t="n">
        <f aca="false">IF(A956="",0,IF(IFERROR(VLOOKUP(A956,Skills!$A:$M,13,FALSE()),"")="COS",0,IF(OR(I956="En cours",I956="À venir",I956="À planifier"),IF(AND(OR($C$3="Tous",$C$3="",C956=$C$3),OR($E$3="Tous",$E$3="",I956=$E$3)),1,0),0)))</f>
        <v>1</v>
      </c>
      <c r="L956" s="104" t="n">
        <f aca="false">L955+K956</f>
        <v>16</v>
      </c>
    </row>
    <row r="957" customFormat="false" ht="15" hidden="true" customHeight="true" outlineLevel="0" collapsed="false">
      <c r="A957" s="0" t="str">
        <f aca="false">IF('Agences &amp; Après-vente'!$A159="","",'Agences &amp; Après-vente'!$A159)</f>
        <v>TR164</v>
      </c>
      <c r="B957" s="0" t="str">
        <f aca="false">IF($A957="","",'Agences &amp; Après-vente'!$B159)</f>
        <v>Weson Pykefield</v>
      </c>
      <c r="C957" s="0" t="str">
        <f aca="false">IF($A957="","",'Agences &amp; Après-vente'!$C159)</f>
        <v>Montréal</v>
      </c>
      <c r="D957" s="0" t="str">
        <f aca="false">IF($A957="","","Nouvelle compétence")</f>
        <v>Nouvelle compétence</v>
      </c>
      <c r="E957" s="0" t="str">
        <f aca="false">IF($A957="","",'Agences &amp; Après-vente'!$D159)</f>
        <v>Agences et Après-vente</v>
      </c>
      <c r="F957" s="116" t="n">
        <f aca="false">IF($A957="","",'Agences &amp; Après-vente'!$E159)</f>
        <v>46188</v>
      </c>
      <c r="G957" s="116" t="str">
        <f aca="false">IF($A957="","",'Agences &amp; Après-vente'!$F159)</f>
        <v/>
      </c>
      <c r="H957" s="0" t="str">
        <f aca="true">IF($A957="","",IFERROR(MAX(0,NETWORKDAYS(TODAY(),'Agences &amp; Après-vente'!$F159)),""))</f>
        <v/>
      </c>
      <c r="I957" s="0" t="str">
        <f aca="false">IF($A957="","",'Agences &amp; Après-vente'!$I159)</f>
        <v>En cours</v>
      </c>
      <c r="K957" s="104" t="n">
        <f aca="false">IF(A957="",0,IF(IFERROR(VLOOKUP(A957,Skills!$A:$M,13,FALSE()),"")="COS",0,IF(OR(I957="En cours",I957="À venir",I957="À planifier"),IF(AND(OR($C$3="Tous",$C$3="",C957=$C$3),OR($E$3="Tous",$E$3="",I957=$E$3)),1,0),0)))</f>
        <v>1</v>
      </c>
      <c r="L957" s="104" t="n">
        <f aca="false">L956+K957</f>
        <v>17</v>
      </c>
    </row>
    <row r="958" customFormat="false" ht="15" hidden="true" customHeight="true" outlineLevel="0" collapsed="false">
      <c r="A958" s="0" t="str">
        <f aca="false">IF('Agences &amp; Après-vente'!$A160="","",'Agences &amp; Après-vente'!$A160)</f>
        <v>TR136</v>
      </c>
      <c r="B958" s="0" t="str">
        <f aca="false">IF($A958="","",'Agences &amp; Après-vente'!$B160)</f>
        <v>Grandale Vorus Torith Nevir</v>
      </c>
      <c r="C958" s="0" t="str">
        <f aca="false">IF($A958="","",'Agences &amp; Après-vente'!$C160)</f>
        <v>Montréal</v>
      </c>
      <c r="D958" s="0" t="str">
        <f aca="false">IF($A958="","","Nouvelle compétence")</f>
        <v>Nouvelle compétence</v>
      </c>
      <c r="E958" s="0" t="str">
        <f aca="false">IF($A958="","",'Agences &amp; Après-vente'!$D160)</f>
        <v>Agences</v>
      </c>
      <c r="F958" s="116" t="n">
        <f aca="false">IF($A958="","",'Agences &amp; Après-vente'!$E160)</f>
        <v>0</v>
      </c>
      <c r="G958" s="116" t="str">
        <f aca="false">IF($A958="","",'Agences &amp; Après-vente'!$F160)</f>
        <v/>
      </c>
      <c r="H958" s="0" t="str">
        <f aca="true">IF($A958="","",IFERROR(MAX(0,NETWORKDAYS(TODAY(),'Agences &amp; Après-vente'!$F160)),""))</f>
        <v/>
      </c>
      <c r="I958" s="0" t="str">
        <f aca="false">IF($A958="","",'Agences &amp; Après-vente'!$I160)</f>
        <v>DONE</v>
      </c>
      <c r="K958" s="104" t="n">
        <f aca="false">IF(A958="",0,IF(IFERROR(VLOOKUP(A958,Skills!$A:$M,13,FALSE()),"")="COS",0,IF(OR(I958="En cours",I958="À venir",I958="À planifier"),IF(AND(OR($C$3="Tous",$C$3="",C958=$C$3),OR($E$3="Tous",$E$3="",I958=$E$3)),1,0),0)))</f>
        <v>0</v>
      </c>
      <c r="L958" s="104" t="n">
        <f aca="false">L957+K958</f>
        <v>17</v>
      </c>
    </row>
    <row r="959" customFormat="false" ht="15" hidden="true" customHeight="true" outlineLevel="0" collapsed="false">
      <c r="A959" s="0" t="str">
        <f aca="false">IF('Agences &amp; Après-vente'!$A161="","",'Agences &amp; Après-vente'!$A161)</f>
        <v/>
      </c>
      <c r="B959" s="0" t="str">
        <f aca="false">IF($A959="","",'Agences &amp; Après-vente'!$B161)</f>
        <v/>
      </c>
      <c r="C959" s="0" t="str">
        <f aca="false">IF($A959="","",'Agences &amp; Après-vente'!$C161)</f>
        <v/>
      </c>
      <c r="D959" s="0" t="str">
        <f aca="false">IF($A959="","","Nouvelle compétence")</f>
        <v/>
      </c>
      <c r="E959" s="0" t="str">
        <f aca="false">IF($A959="","",'Agences &amp; Après-vente'!$D161)</f>
        <v/>
      </c>
      <c r="F959" s="116" t="str">
        <f aca="false">IF($A959="","",'Agences &amp; Après-vente'!$E161)</f>
        <v/>
      </c>
      <c r="G959" s="116" t="str">
        <f aca="false">IF($A959="","",'Agences &amp; Après-vente'!$F161)</f>
        <v/>
      </c>
      <c r="H959" s="0" t="str">
        <f aca="true">IF($A959="","",IFERROR(MAX(0,NETWORKDAYS(TODAY(),'Agences &amp; Après-vente'!$F161)),""))</f>
        <v/>
      </c>
      <c r="I959" s="0" t="str">
        <f aca="false">IF($A959="","",'Agences &amp; Après-vente'!$I161)</f>
        <v/>
      </c>
      <c r="K959" s="104" t="n">
        <f aca="false">IF(A959="",0,IF(IFERROR(VLOOKUP(A959,Skills!$A:$M,13,FALSE()),"")="COS",0,IF(OR(I959="En cours",I959="À venir",I959="À planifier"),IF(AND(OR($C$3="Tous",$C$3="",C959=$C$3),OR($E$3="Tous",$E$3="",I959=$E$3)),1,0),0)))</f>
        <v>0</v>
      </c>
      <c r="L959" s="104" t="n">
        <f aca="false">L958+K959</f>
        <v>17</v>
      </c>
    </row>
    <row r="960" customFormat="false" ht="15" hidden="true" customHeight="true" outlineLevel="0" collapsed="false">
      <c r="A960" s="0" t="str">
        <f aca="false">IF('Agences &amp; Après-vente'!$A162="","",'Agences &amp; Après-vente'!$A162)</f>
        <v/>
      </c>
      <c r="B960" s="0" t="str">
        <f aca="false">IF($A960="","",'Agences &amp; Après-vente'!$B162)</f>
        <v/>
      </c>
      <c r="C960" s="0" t="str">
        <f aca="false">IF($A960="","",'Agences &amp; Après-vente'!$C162)</f>
        <v/>
      </c>
      <c r="D960" s="0" t="str">
        <f aca="false">IF($A960="","","Nouvelle compétence")</f>
        <v/>
      </c>
      <c r="E960" s="0" t="str">
        <f aca="false">IF($A960="","",'Agences &amp; Après-vente'!$D162)</f>
        <v/>
      </c>
      <c r="F960" s="116" t="str">
        <f aca="false">IF($A960="","",'Agences &amp; Après-vente'!$E162)</f>
        <v/>
      </c>
      <c r="G960" s="116" t="str">
        <f aca="false">IF($A960="","",'Agences &amp; Après-vente'!$F162)</f>
        <v/>
      </c>
      <c r="H960" s="0" t="str">
        <f aca="true">IF($A960="","",IFERROR(MAX(0,NETWORKDAYS(TODAY(),'Agences &amp; Après-vente'!$F162)),""))</f>
        <v/>
      </c>
      <c r="I960" s="0" t="str">
        <f aca="false">IF($A960="","",'Agences &amp; Après-vente'!$I162)</f>
        <v/>
      </c>
      <c r="K960" s="104" t="n">
        <f aca="false">IF(A960="",0,IF(IFERROR(VLOOKUP(A960,Skills!$A:$M,13,FALSE()),"")="COS",0,IF(OR(I960="En cours",I960="À venir",I960="À planifier"),IF(AND(OR($C$3="Tous",$C$3="",C960=$C$3),OR($E$3="Tous",$E$3="",I960=$E$3)),1,0),0)))</f>
        <v>0</v>
      </c>
      <c r="L960" s="104" t="n">
        <f aca="false">L959+K960</f>
        <v>17</v>
      </c>
    </row>
    <row r="961" customFormat="false" ht="15" hidden="true" customHeight="true" outlineLevel="0" collapsed="false">
      <c r="A961" s="0" t="str">
        <f aca="false">IF('Agences &amp; Après-vente'!$A163="","",'Agences &amp; Après-vente'!$A163)</f>
        <v/>
      </c>
      <c r="B961" s="0" t="str">
        <f aca="false">IF($A961="","",'Agences &amp; Après-vente'!$B163)</f>
        <v/>
      </c>
      <c r="C961" s="0" t="str">
        <f aca="false">IF($A961="","",'Agences &amp; Après-vente'!$C163)</f>
        <v/>
      </c>
      <c r="D961" s="0" t="str">
        <f aca="false">IF($A961="","","Nouvelle compétence")</f>
        <v/>
      </c>
      <c r="E961" s="0" t="str">
        <f aca="false">IF($A961="","",'Agences &amp; Après-vente'!$D163)</f>
        <v/>
      </c>
      <c r="F961" s="116" t="str">
        <f aca="false">IF($A961="","",'Agences &amp; Après-vente'!$E163)</f>
        <v/>
      </c>
      <c r="G961" s="116" t="str">
        <f aca="false">IF($A961="","",'Agences &amp; Après-vente'!$F163)</f>
        <v/>
      </c>
      <c r="H961" s="0" t="str">
        <f aca="true">IF($A961="","",IFERROR(MAX(0,NETWORKDAYS(TODAY(),'Agences &amp; Après-vente'!$F163)),""))</f>
        <v/>
      </c>
      <c r="I961" s="0" t="str">
        <f aca="false">IF($A961="","",'Agences &amp; Après-vente'!$I163)</f>
        <v/>
      </c>
      <c r="K961" s="104" t="n">
        <f aca="false">IF(A961="",0,IF(IFERROR(VLOOKUP(A961,Skills!$A:$M,13,FALSE()),"")="COS",0,IF(OR(I961="En cours",I961="À venir",I961="À planifier"),IF(AND(OR($C$3="Tous",$C$3="",C961=$C$3),OR($E$3="Tous",$E$3="",I961=$E$3)),1,0),0)))</f>
        <v>0</v>
      </c>
      <c r="L961" s="104" t="n">
        <f aca="false">L960+K961</f>
        <v>17</v>
      </c>
    </row>
    <row r="962" customFormat="false" ht="15" hidden="true" customHeight="true" outlineLevel="0" collapsed="false">
      <c r="A962" s="0" t="str">
        <f aca="false">IF('Agences &amp; Après-vente'!$A164="","",'Agences &amp; Après-vente'!$A164)</f>
        <v/>
      </c>
      <c r="B962" s="0" t="str">
        <f aca="false">IF($A962="","",'Agences &amp; Après-vente'!$B164)</f>
        <v/>
      </c>
      <c r="C962" s="0" t="str">
        <f aca="false">IF($A962="","",'Agences &amp; Après-vente'!$C164)</f>
        <v/>
      </c>
      <c r="D962" s="0" t="str">
        <f aca="false">IF($A962="","","Nouvelle compétence")</f>
        <v/>
      </c>
      <c r="E962" s="0" t="str">
        <f aca="false">IF($A962="","",'Agences &amp; Après-vente'!$D164)</f>
        <v/>
      </c>
      <c r="F962" s="116" t="str">
        <f aca="false">IF($A962="","",'Agences &amp; Après-vente'!$E164)</f>
        <v/>
      </c>
      <c r="G962" s="116" t="str">
        <f aca="false">IF($A962="","",'Agences &amp; Après-vente'!$F164)</f>
        <v/>
      </c>
      <c r="H962" s="0" t="str">
        <f aca="true">IF($A962="","",IFERROR(MAX(0,NETWORKDAYS(TODAY(),'Agences &amp; Après-vente'!$F164)),""))</f>
        <v/>
      </c>
      <c r="I962" s="0" t="str">
        <f aca="false">IF($A962="","",'Agences &amp; Après-vente'!$I164)</f>
        <v/>
      </c>
      <c r="K962" s="104" t="n">
        <f aca="false">IF(A962="",0,IF(IFERROR(VLOOKUP(A962,Skills!$A:$M,13,FALSE()),"")="COS",0,IF(OR(I962="En cours",I962="À venir",I962="À planifier"),IF(AND(OR($C$3="Tous",$C$3="",C962=$C$3),OR($E$3="Tous",$E$3="",I962=$E$3)),1,0),0)))</f>
        <v>0</v>
      </c>
      <c r="L962" s="104" t="n">
        <f aca="false">L961+K962</f>
        <v>17</v>
      </c>
    </row>
    <row r="963" customFormat="false" ht="15" hidden="true" customHeight="true" outlineLevel="0" collapsed="false">
      <c r="A963" s="0" t="str">
        <f aca="false">IF('Agences &amp; Après-vente'!$A165="","",'Agences &amp; Après-vente'!$A165)</f>
        <v/>
      </c>
      <c r="B963" s="0" t="str">
        <f aca="false">IF($A963="","",'Agences &amp; Après-vente'!$B165)</f>
        <v/>
      </c>
      <c r="C963" s="0" t="str">
        <f aca="false">IF($A963="","",'Agences &amp; Après-vente'!$C165)</f>
        <v/>
      </c>
      <c r="D963" s="0" t="str">
        <f aca="false">IF($A963="","","Nouvelle compétence")</f>
        <v/>
      </c>
      <c r="E963" s="0" t="str">
        <f aca="false">IF($A963="","",'Agences &amp; Après-vente'!$D165)</f>
        <v/>
      </c>
      <c r="F963" s="116" t="str">
        <f aca="false">IF($A963="","",'Agences &amp; Après-vente'!$E165)</f>
        <v/>
      </c>
      <c r="G963" s="116" t="str">
        <f aca="false">IF($A963="","",'Agences &amp; Après-vente'!$F165)</f>
        <v/>
      </c>
      <c r="H963" s="0" t="str">
        <f aca="true">IF($A963="","",IFERROR(MAX(0,NETWORKDAYS(TODAY(),'Agences &amp; Après-vente'!$F165)),""))</f>
        <v/>
      </c>
      <c r="I963" s="0" t="str">
        <f aca="false">IF($A963="","",'Agences &amp; Après-vente'!$I165)</f>
        <v/>
      </c>
      <c r="K963" s="104" t="n">
        <f aca="false">IF(A963="",0,IF(IFERROR(VLOOKUP(A963,Skills!$A:$M,13,FALSE()),"")="COS",0,IF(OR(I963="En cours",I963="À venir",I963="À planifier"),IF(AND(OR($C$3="Tous",$C$3="",C963=$C$3),OR($E$3="Tous",$E$3="",I963=$E$3)),1,0),0)))</f>
        <v>0</v>
      </c>
      <c r="L963" s="104" t="n">
        <f aca="false">L962+K963</f>
        <v>17</v>
      </c>
    </row>
    <row r="964" customFormat="false" ht="15" hidden="true" customHeight="true" outlineLevel="0" collapsed="false">
      <c r="A964" s="0" t="str">
        <f aca="false">IF('Agences &amp; Après-vente'!$A166="","",'Agences &amp; Après-vente'!$A166)</f>
        <v/>
      </c>
      <c r="B964" s="0" t="str">
        <f aca="false">IF($A964="","",'Agences &amp; Après-vente'!$B166)</f>
        <v/>
      </c>
      <c r="C964" s="0" t="str">
        <f aca="false">IF($A964="","",'Agences &amp; Après-vente'!$C166)</f>
        <v/>
      </c>
      <c r="D964" s="0" t="str">
        <f aca="false">IF($A964="","","Nouvelle compétence")</f>
        <v/>
      </c>
      <c r="E964" s="0" t="str">
        <f aca="false">IF($A964="","",'Agences &amp; Après-vente'!$D166)</f>
        <v/>
      </c>
      <c r="F964" s="116" t="str">
        <f aca="false">IF($A964="","",'Agences &amp; Après-vente'!$E166)</f>
        <v/>
      </c>
      <c r="G964" s="116" t="str">
        <f aca="false">IF($A964="","",'Agences &amp; Après-vente'!$F166)</f>
        <v/>
      </c>
      <c r="H964" s="0" t="str">
        <f aca="true">IF($A964="","",IFERROR(MAX(0,NETWORKDAYS(TODAY(),'Agences &amp; Après-vente'!$F166)),""))</f>
        <v/>
      </c>
      <c r="I964" s="0" t="str">
        <f aca="false">IF($A964="","",'Agences &amp; Après-vente'!$I166)</f>
        <v/>
      </c>
      <c r="K964" s="104" t="n">
        <f aca="false">IF(A964="",0,IF(IFERROR(VLOOKUP(A964,Skills!$A:$M,13,FALSE()),"")="COS",0,IF(OR(I964="En cours",I964="À venir",I964="À planifier"),IF(AND(OR($C$3="Tous",$C$3="",C964=$C$3),OR($E$3="Tous",$E$3="",I964=$E$3)),1,0),0)))</f>
        <v>0</v>
      </c>
      <c r="L964" s="104" t="n">
        <f aca="false">L963+K964</f>
        <v>17</v>
      </c>
    </row>
    <row r="965" customFormat="false" ht="15" hidden="true" customHeight="true" outlineLevel="0" collapsed="false">
      <c r="A965" s="0" t="str">
        <f aca="false">IF('Agences &amp; Après-vente'!$A167="","",'Agences &amp; Après-vente'!$A167)</f>
        <v/>
      </c>
      <c r="B965" s="0" t="str">
        <f aca="false">IF($A965="","",'Agences &amp; Après-vente'!$B167)</f>
        <v/>
      </c>
      <c r="C965" s="0" t="str">
        <f aca="false">IF($A965="","",'Agences &amp; Après-vente'!$C167)</f>
        <v/>
      </c>
      <c r="D965" s="0" t="str">
        <f aca="false">IF($A965="","","Nouvelle compétence")</f>
        <v/>
      </c>
      <c r="E965" s="0" t="str">
        <f aca="false">IF($A965="","",'Agences &amp; Après-vente'!$D167)</f>
        <v/>
      </c>
      <c r="F965" s="116" t="str">
        <f aca="false">IF($A965="","",'Agences &amp; Après-vente'!$E167)</f>
        <v/>
      </c>
      <c r="G965" s="116" t="str">
        <f aca="false">IF($A965="","",'Agences &amp; Après-vente'!$F167)</f>
        <v/>
      </c>
      <c r="H965" s="0" t="str">
        <f aca="true">IF($A965="","",IFERROR(MAX(0,NETWORKDAYS(TODAY(),'Agences &amp; Après-vente'!$F167)),""))</f>
        <v/>
      </c>
      <c r="I965" s="0" t="str">
        <f aca="false">IF($A965="","",'Agences &amp; Après-vente'!$I167)</f>
        <v/>
      </c>
      <c r="K965" s="104" t="n">
        <f aca="false">IF(A965="",0,IF(IFERROR(VLOOKUP(A965,Skills!$A:$M,13,FALSE()),"")="COS",0,IF(OR(I965="En cours",I965="À venir",I965="À planifier"),IF(AND(OR($C$3="Tous",$C$3="",C965=$C$3),OR($E$3="Tous",$E$3="",I965=$E$3)),1,0),0)))</f>
        <v>0</v>
      </c>
      <c r="L965" s="104" t="n">
        <f aca="false">L964+K965</f>
        <v>17</v>
      </c>
    </row>
    <row r="966" customFormat="false" ht="15" hidden="true" customHeight="true" outlineLevel="0" collapsed="false">
      <c r="A966" s="0" t="str">
        <f aca="false">IF('Agences &amp; Après-vente'!$A168="","",'Agences &amp; Après-vente'!$A168)</f>
        <v/>
      </c>
      <c r="B966" s="0" t="str">
        <f aca="false">IF($A966="","",'Agences &amp; Après-vente'!$B168)</f>
        <v/>
      </c>
      <c r="C966" s="0" t="str">
        <f aca="false">IF($A966="","",'Agences &amp; Après-vente'!$C168)</f>
        <v/>
      </c>
      <c r="D966" s="0" t="str">
        <f aca="false">IF($A966="","","Nouvelle compétence")</f>
        <v/>
      </c>
      <c r="E966" s="0" t="str">
        <f aca="false">IF($A966="","",'Agences &amp; Après-vente'!$D168)</f>
        <v/>
      </c>
      <c r="F966" s="116" t="str">
        <f aca="false">IF($A966="","",'Agences &amp; Après-vente'!$E168)</f>
        <v/>
      </c>
      <c r="G966" s="116" t="str">
        <f aca="false">IF($A966="","",'Agences &amp; Après-vente'!$F168)</f>
        <v/>
      </c>
      <c r="H966" s="0" t="str">
        <f aca="true">IF($A966="","",IFERROR(MAX(0,NETWORKDAYS(TODAY(),'Agences &amp; Après-vente'!$F168)),""))</f>
        <v/>
      </c>
      <c r="I966" s="0" t="str">
        <f aca="false">IF($A966="","",'Agences &amp; Après-vente'!$I168)</f>
        <v/>
      </c>
      <c r="K966" s="104" t="n">
        <f aca="false">IF(A966="",0,IF(IFERROR(VLOOKUP(A966,Skills!$A:$M,13,FALSE()),"")="COS",0,IF(OR(I966="En cours",I966="À venir",I966="À planifier"),IF(AND(OR($C$3="Tous",$C$3="",C966=$C$3),OR($E$3="Tous",$E$3="",I966=$E$3)),1,0),0)))</f>
        <v>0</v>
      </c>
      <c r="L966" s="104" t="n">
        <f aca="false">L965+K966</f>
        <v>17</v>
      </c>
    </row>
    <row r="967" customFormat="false" ht="15" hidden="true" customHeight="true" outlineLevel="0" collapsed="false">
      <c r="A967" s="0" t="str">
        <f aca="false">IF('Agences &amp; Après-vente'!$A169="","",'Agences &amp; Après-vente'!$A169)</f>
        <v/>
      </c>
      <c r="B967" s="0" t="str">
        <f aca="false">IF($A967="","",'Agences &amp; Après-vente'!$B169)</f>
        <v/>
      </c>
      <c r="C967" s="0" t="str">
        <f aca="false">IF($A967="","",'Agences &amp; Après-vente'!$C169)</f>
        <v/>
      </c>
      <c r="D967" s="0" t="str">
        <f aca="false">IF($A967="","","Nouvelle compétence")</f>
        <v/>
      </c>
      <c r="E967" s="0" t="str">
        <f aca="false">IF($A967="","",'Agences &amp; Après-vente'!$D169)</f>
        <v/>
      </c>
      <c r="F967" s="116" t="str">
        <f aca="false">IF($A967="","",'Agences &amp; Après-vente'!$E169)</f>
        <v/>
      </c>
      <c r="G967" s="116" t="str">
        <f aca="false">IF($A967="","",'Agences &amp; Après-vente'!$F169)</f>
        <v/>
      </c>
      <c r="H967" s="0" t="str">
        <f aca="true">IF($A967="","",IFERROR(MAX(0,NETWORKDAYS(TODAY(),'Agences &amp; Après-vente'!$F169)),""))</f>
        <v/>
      </c>
      <c r="I967" s="0" t="str">
        <f aca="false">IF($A967="","",'Agences &amp; Après-vente'!$I169)</f>
        <v/>
      </c>
      <c r="K967" s="104" t="n">
        <f aca="false">IF(A967="",0,IF(IFERROR(VLOOKUP(A967,Skills!$A:$M,13,FALSE()),"")="COS",0,IF(OR(I967="En cours",I967="À venir",I967="À planifier"),IF(AND(OR($C$3="Tous",$C$3="",C967=$C$3),OR($E$3="Tous",$E$3="",I967=$E$3)),1,0),0)))</f>
        <v>0</v>
      </c>
      <c r="L967" s="104" t="n">
        <f aca="false">L966+K967</f>
        <v>17</v>
      </c>
    </row>
    <row r="968" customFormat="false" ht="15" hidden="true" customHeight="true" outlineLevel="0" collapsed="false">
      <c r="A968" s="0" t="str">
        <f aca="false">IF('Agences &amp; Après-vente'!$A170="","",'Agences &amp; Après-vente'!$A170)</f>
        <v/>
      </c>
      <c r="B968" s="0" t="str">
        <f aca="false">IF($A968="","",'Agences &amp; Après-vente'!$B170)</f>
        <v/>
      </c>
      <c r="C968" s="0" t="str">
        <f aca="false">IF($A968="","",'Agences &amp; Après-vente'!$C170)</f>
        <v/>
      </c>
      <c r="D968" s="0" t="str">
        <f aca="false">IF($A968="","","Nouvelle compétence")</f>
        <v/>
      </c>
      <c r="E968" s="0" t="str">
        <f aca="false">IF($A968="","",'Agences &amp; Après-vente'!$D170)</f>
        <v/>
      </c>
      <c r="F968" s="116" t="str">
        <f aca="false">IF($A968="","",'Agences &amp; Après-vente'!$E170)</f>
        <v/>
      </c>
      <c r="G968" s="116" t="str">
        <f aca="false">IF($A968="","",'Agences &amp; Après-vente'!$F170)</f>
        <v/>
      </c>
      <c r="H968" s="0" t="str">
        <f aca="true">IF($A968="","",IFERROR(MAX(0,NETWORKDAYS(TODAY(),'Agences &amp; Après-vente'!$F170)),""))</f>
        <v/>
      </c>
      <c r="I968" s="0" t="str">
        <f aca="false">IF($A968="","",'Agences &amp; Après-vente'!$I170)</f>
        <v/>
      </c>
      <c r="K968" s="104" t="n">
        <f aca="false">IF(A968="",0,IF(IFERROR(VLOOKUP(A968,Skills!$A:$M,13,FALSE()),"")="COS",0,IF(OR(I968="En cours",I968="À venir",I968="À planifier"),IF(AND(OR($C$3="Tous",$C$3="",C968=$C$3),OR($E$3="Tous",$E$3="",I968=$E$3)),1,0),0)))</f>
        <v>0</v>
      </c>
      <c r="L968" s="104" t="n">
        <f aca="false">L967+K968</f>
        <v>17</v>
      </c>
    </row>
    <row r="969" customFormat="false" ht="15" hidden="true" customHeight="true" outlineLevel="0" collapsed="false">
      <c r="A969" s="0" t="str">
        <f aca="false">IF('Agences &amp; Après-vente'!$A171="","",'Agences &amp; Après-vente'!$A171)</f>
        <v/>
      </c>
      <c r="B969" s="0" t="str">
        <f aca="false">IF($A969="","",'Agences &amp; Après-vente'!$B171)</f>
        <v/>
      </c>
      <c r="C969" s="0" t="str">
        <f aca="false">IF($A969="","",'Agences &amp; Après-vente'!$C171)</f>
        <v/>
      </c>
      <c r="D969" s="0" t="str">
        <f aca="false">IF($A969="","","Nouvelle compétence")</f>
        <v/>
      </c>
      <c r="E969" s="0" t="str">
        <f aca="false">IF($A969="","",'Agences &amp; Après-vente'!$D171)</f>
        <v/>
      </c>
      <c r="F969" s="116" t="str">
        <f aca="false">IF($A969="","",'Agences &amp; Après-vente'!$E171)</f>
        <v/>
      </c>
      <c r="G969" s="116" t="str">
        <f aca="false">IF($A969="","",'Agences &amp; Après-vente'!$F171)</f>
        <v/>
      </c>
      <c r="H969" s="0" t="str">
        <f aca="true">IF($A969="","",IFERROR(MAX(0,NETWORKDAYS(TODAY(),'Agences &amp; Après-vente'!$F171)),""))</f>
        <v/>
      </c>
      <c r="I969" s="0" t="str">
        <f aca="false">IF($A969="","",'Agences &amp; Après-vente'!$I171)</f>
        <v/>
      </c>
      <c r="K969" s="104" t="n">
        <f aca="false">IF(A969="",0,IF(IFERROR(VLOOKUP(A969,Skills!$A:$M,13,FALSE()),"")="COS",0,IF(OR(I969="En cours",I969="À venir",I969="À planifier"),IF(AND(OR($C$3="Tous",$C$3="",C969=$C$3),OR($E$3="Tous",$E$3="",I969=$E$3)),1,0),0)))</f>
        <v>0</v>
      </c>
      <c r="L969" s="104" t="n">
        <f aca="false">L968+K969</f>
        <v>17</v>
      </c>
    </row>
    <row r="970" customFormat="false" ht="15" hidden="true" customHeight="true" outlineLevel="0" collapsed="false">
      <c r="A970" s="0" t="str">
        <f aca="false">IF('Agences &amp; Après-vente'!$A172="","",'Agences &amp; Après-vente'!$A172)</f>
        <v/>
      </c>
      <c r="B970" s="0" t="str">
        <f aca="false">IF($A970="","",'Agences &amp; Après-vente'!$B172)</f>
        <v/>
      </c>
      <c r="C970" s="0" t="str">
        <f aca="false">IF($A970="","",'Agences &amp; Après-vente'!$C172)</f>
        <v/>
      </c>
      <c r="D970" s="0" t="str">
        <f aca="false">IF($A970="","","Nouvelle compétence")</f>
        <v/>
      </c>
      <c r="E970" s="0" t="str">
        <f aca="false">IF($A970="","",'Agences &amp; Après-vente'!$D172)</f>
        <v/>
      </c>
      <c r="F970" s="116" t="str">
        <f aca="false">IF($A970="","",'Agences &amp; Après-vente'!$E172)</f>
        <v/>
      </c>
      <c r="G970" s="116" t="str">
        <f aca="false">IF($A970="","",'Agences &amp; Après-vente'!$F172)</f>
        <v/>
      </c>
      <c r="H970" s="0" t="str">
        <f aca="true">IF($A970="","",IFERROR(MAX(0,NETWORKDAYS(TODAY(),'Agences &amp; Après-vente'!$F172)),""))</f>
        <v/>
      </c>
      <c r="I970" s="0" t="str">
        <f aca="false">IF($A970="","",'Agences &amp; Après-vente'!$I172)</f>
        <v/>
      </c>
      <c r="K970" s="104" t="n">
        <f aca="false">IF(A970="",0,IF(IFERROR(VLOOKUP(A970,Skills!$A:$M,13,FALSE()),"")="COS",0,IF(OR(I970="En cours",I970="À venir",I970="À planifier"),IF(AND(OR($C$3="Tous",$C$3="",C970=$C$3),OR($E$3="Tous",$E$3="",I970=$E$3)),1,0),0)))</f>
        <v>0</v>
      </c>
      <c r="L970" s="104" t="n">
        <f aca="false">L969+K970</f>
        <v>17</v>
      </c>
    </row>
    <row r="971" customFormat="false" ht="15" hidden="true" customHeight="true" outlineLevel="0" collapsed="false">
      <c r="A971" s="0" t="str">
        <f aca="false">IF('Agences &amp; Après-vente'!$A173="","",'Agences &amp; Après-vente'!$A173)</f>
        <v/>
      </c>
      <c r="B971" s="0" t="str">
        <f aca="false">IF($A971="","",'Agences &amp; Après-vente'!$B173)</f>
        <v/>
      </c>
      <c r="C971" s="0" t="str">
        <f aca="false">IF($A971="","",'Agences &amp; Après-vente'!$C173)</f>
        <v/>
      </c>
      <c r="D971" s="0" t="str">
        <f aca="false">IF($A971="","","Nouvelle compétence")</f>
        <v/>
      </c>
      <c r="E971" s="0" t="str">
        <f aca="false">IF($A971="","",'Agences &amp; Après-vente'!$D173)</f>
        <v/>
      </c>
      <c r="F971" s="116" t="str">
        <f aca="false">IF($A971="","",'Agences &amp; Après-vente'!$E173)</f>
        <v/>
      </c>
      <c r="G971" s="116" t="str">
        <f aca="false">IF($A971="","",'Agences &amp; Après-vente'!$F173)</f>
        <v/>
      </c>
      <c r="H971" s="0" t="str">
        <f aca="true">IF($A971="","",IFERROR(MAX(0,NETWORKDAYS(TODAY(),'Agences &amp; Après-vente'!$F173)),""))</f>
        <v/>
      </c>
      <c r="I971" s="0" t="str">
        <f aca="false">IF($A971="","",'Agences &amp; Après-vente'!$I173)</f>
        <v/>
      </c>
      <c r="K971" s="104" t="n">
        <f aca="false">IF(A971="",0,IF(IFERROR(VLOOKUP(A971,Skills!$A:$M,13,FALSE()),"")="COS",0,IF(OR(I971="En cours",I971="À venir",I971="À planifier"),IF(AND(OR($C$3="Tous",$C$3="",C971=$C$3),OR($E$3="Tous",$E$3="",I971=$E$3)),1,0),0)))</f>
        <v>0</v>
      </c>
      <c r="L971" s="104" t="n">
        <f aca="false">L970+K971</f>
        <v>17</v>
      </c>
    </row>
    <row r="972" customFormat="false" ht="15" hidden="true" customHeight="true" outlineLevel="0" collapsed="false">
      <c r="A972" s="0" t="str">
        <f aca="false">IF('Agences &amp; Après-vente'!$A174="","",'Agences &amp; Après-vente'!$A174)</f>
        <v/>
      </c>
      <c r="B972" s="0" t="str">
        <f aca="false">IF($A972="","",'Agences &amp; Après-vente'!$B174)</f>
        <v/>
      </c>
      <c r="C972" s="0" t="str">
        <f aca="false">IF($A972="","",'Agences &amp; Après-vente'!$C174)</f>
        <v/>
      </c>
      <c r="D972" s="0" t="str">
        <f aca="false">IF($A972="","","Nouvelle compétence")</f>
        <v/>
      </c>
      <c r="E972" s="0" t="str">
        <f aca="false">IF($A972="","",'Agences &amp; Après-vente'!$D174)</f>
        <v/>
      </c>
      <c r="F972" s="116" t="str">
        <f aca="false">IF($A972="","",'Agences &amp; Après-vente'!$E174)</f>
        <v/>
      </c>
      <c r="G972" s="116" t="str">
        <f aca="false">IF($A972="","",'Agences &amp; Après-vente'!$F174)</f>
        <v/>
      </c>
      <c r="H972" s="0" t="str">
        <f aca="true">IF($A972="","",IFERROR(MAX(0,NETWORKDAYS(TODAY(),'Agences &amp; Après-vente'!$F174)),""))</f>
        <v/>
      </c>
      <c r="I972" s="0" t="str">
        <f aca="false">IF($A972="","",'Agences &amp; Après-vente'!$I174)</f>
        <v/>
      </c>
      <c r="K972" s="104" t="n">
        <f aca="false">IF(A972="",0,IF(IFERROR(VLOOKUP(A972,Skills!$A:$M,13,FALSE()),"")="COS",0,IF(OR(I972="En cours",I972="À venir",I972="À planifier"),IF(AND(OR($C$3="Tous",$C$3="",C972=$C$3),OR($E$3="Tous",$E$3="",I972=$E$3)),1,0),0)))</f>
        <v>0</v>
      </c>
      <c r="L972" s="104" t="n">
        <f aca="false">L971+K972</f>
        <v>17</v>
      </c>
    </row>
    <row r="973" customFormat="false" ht="15" hidden="true" customHeight="true" outlineLevel="0" collapsed="false">
      <c r="A973" s="0" t="str">
        <f aca="false">IF('Agences &amp; Après-vente'!$A175="","",'Agences &amp; Après-vente'!$A175)</f>
        <v/>
      </c>
      <c r="B973" s="0" t="str">
        <f aca="false">IF($A973="","",'Agences &amp; Après-vente'!$B175)</f>
        <v/>
      </c>
      <c r="C973" s="0" t="str">
        <f aca="false">IF($A973="","",'Agences &amp; Après-vente'!$C175)</f>
        <v/>
      </c>
      <c r="D973" s="0" t="str">
        <f aca="false">IF($A973="","","Nouvelle compétence")</f>
        <v/>
      </c>
      <c r="E973" s="0" t="str">
        <f aca="false">IF($A973="","",'Agences &amp; Après-vente'!$D175)</f>
        <v/>
      </c>
      <c r="F973" s="116" t="str">
        <f aca="false">IF($A973="","",'Agences &amp; Après-vente'!$E175)</f>
        <v/>
      </c>
      <c r="G973" s="116" t="str">
        <f aca="false">IF($A973="","",'Agences &amp; Après-vente'!$F175)</f>
        <v/>
      </c>
      <c r="H973" s="0" t="str">
        <f aca="true">IF($A973="","",IFERROR(MAX(0,NETWORKDAYS(TODAY(),'Agences &amp; Après-vente'!$F175)),""))</f>
        <v/>
      </c>
      <c r="I973" s="0" t="str">
        <f aca="false">IF($A973="","",'Agences &amp; Après-vente'!$I175)</f>
        <v/>
      </c>
      <c r="K973" s="104" t="n">
        <f aca="false">IF(A973="",0,IF(IFERROR(VLOOKUP(A973,Skills!$A:$M,13,FALSE()),"")="COS",0,IF(OR(I973="En cours",I973="À venir",I973="À planifier"),IF(AND(OR($C$3="Tous",$C$3="",C973=$C$3),OR($E$3="Tous",$E$3="",I973=$E$3)),1,0),0)))</f>
        <v>0</v>
      </c>
      <c r="L973" s="104" t="n">
        <f aca="false">L972+K973</f>
        <v>17</v>
      </c>
    </row>
    <row r="974" customFormat="false" ht="15" hidden="true" customHeight="true" outlineLevel="0" collapsed="false">
      <c r="A974" s="0" t="str">
        <f aca="false">IF('Agences &amp; Après-vente'!$A176="","",'Agences &amp; Après-vente'!$A176)</f>
        <v/>
      </c>
      <c r="B974" s="0" t="str">
        <f aca="false">IF($A974="","",'Agences &amp; Après-vente'!$B176)</f>
        <v/>
      </c>
      <c r="C974" s="0" t="str">
        <f aca="false">IF($A974="","",'Agences &amp; Après-vente'!$C176)</f>
        <v/>
      </c>
      <c r="D974" s="0" t="str">
        <f aca="false">IF($A974="","","Nouvelle compétence")</f>
        <v/>
      </c>
      <c r="E974" s="0" t="str">
        <f aca="false">IF($A974="","",'Agences &amp; Après-vente'!$D176)</f>
        <v/>
      </c>
      <c r="F974" s="116" t="str">
        <f aca="false">IF($A974="","",'Agences &amp; Après-vente'!$E176)</f>
        <v/>
      </c>
      <c r="G974" s="116" t="str">
        <f aca="false">IF($A974="","",'Agences &amp; Après-vente'!$F176)</f>
        <v/>
      </c>
      <c r="H974" s="0" t="str">
        <f aca="true">IF($A974="","",IFERROR(MAX(0,NETWORKDAYS(TODAY(),'Agences &amp; Après-vente'!$F176)),""))</f>
        <v/>
      </c>
      <c r="I974" s="0" t="str">
        <f aca="false">IF($A974="","",'Agences &amp; Après-vente'!$I176)</f>
        <v/>
      </c>
      <c r="K974" s="104" t="n">
        <f aca="false">IF(A974="",0,IF(IFERROR(VLOOKUP(A974,Skills!$A:$M,13,FALSE()),"")="COS",0,IF(OR(I974="En cours",I974="À venir",I974="À planifier"),IF(AND(OR($C$3="Tous",$C$3="",C974=$C$3),OR($E$3="Tous",$E$3="",I974=$E$3)),1,0),0)))</f>
        <v>0</v>
      </c>
      <c r="L974" s="104" t="n">
        <f aca="false">L973+K974</f>
        <v>17</v>
      </c>
    </row>
    <row r="975" customFormat="false" ht="15" hidden="true" customHeight="true" outlineLevel="0" collapsed="false">
      <c r="A975" s="0" t="str">
        <f aca="false">IF('Agences &amp; Après-vente'!$A177="","",'Agences &amp; Après-vente'!$A177)</f>
        <v/>
      </c>
      <c r="B975" s="0" t="str">
        <f aca="false">IF($A975="","",'Agences &amp; Après-vente'!$B177)</f>
        <v/>
      </c>
      <c r="C975" s="0" t="str">
        <f aca="false">IF($A975="","",'Agences &amp; Après-vente'!$C177)</f>
        <v/>
      </c>
      <c r="D975" s="0" t="str">
        <f aca="false">IF($A975="","","Nouvelle compétence")</f>
        <v/>
      </c>
      <c r="E975" s="0" t="str">
        <f aca="false">IF($A975="","",'Agences &amp; Après-vente'!$D177)</f>
        <v/>
      </c>
      <c r="F975" s="116" t="str">
        <f aca="false">IF($A975="","",'Agences &amp; Après-vente'!$E177)</f>
        <v/>
      </c>
      <c r="G975" s="116" t="str">
        <f aca="false">IF($A975="","",'Agences &amp; Après-vente'!$F177)</f>
        <v/>
      </c>
      <c r="H975" s="0" t="str">
        <f aca="true">IF($A975="","",IFERROR(MAX(0,NETWORKDAYS(TODAY(),'Agences &amp; Après-vente'!$F177)),""))</f>
        <v/>
      </c>
      <c r="I975" s="0" t="str">
        <f aca="false">IF($A975="","",'Agences &amp; Après-vente'!$I177)</f>
        <v/>
      </c>
      <c r="K975" s="104" t="n">
        <f aca="false">IF(A975="",0,IF(IFERROR(VLOOKUP(A975,Skills!$A:$M,13,FALSE()),"")="COS",0,IF(OR(I975="En cours",I975="À venir",I975="À planifier"),IF(AND(OR($C$3="Tous",$C$3="",C975=$C$3),OR($E$3="Tous",$E$3="",I975=$E$3)),1,0),0)))</f>
        <v>0</v>
      </c>
      <c r="L975" s="104" t="n">
        <f aca="false">L974+K975</f>
        <v>17</v>
      </c>
    </row>
    <row r="976" customFormat="false" ht="15" hidden="true" customHeight="true" outlineLevel="0" collapsed="false">
      <c r="A976" s="0" t="str">
        <f aca="false">IF('Agences &amp; Après-vente'!$A178="","",'Agences &amp; Après-vente'!$A178)</f>
        <v/>
      </c>
      <c r="B976" s="0" t="str">
        <f aca="false">IF($A976="","",'Agences &amp; Après-vente'!$B178)</f>
        <v/>
      </c>
      <c r="C976" s="0" t="str">
        <f aca="false">IF($A976="","",'Agences &amp; Après-vente'!$C178)</f>
        <v/>
      </c>
      <c r="D976" s="0" t="str">
        <f aca="false">IF($A976="","","Nouvelle compétence")</f>
        <v/>
      </c>
      <c r="E976" s="0" t="str">
        <f aca="false">IF($A976="","",'Agences &amp; Après-vente'!$D178)</f>
        <v/>
      </c>
      <c r="F976" s="116" t="str">
        <f aca="false">IF($A976="","",'Agences &amp; Après-vente'!$E178)</f>
        <v/>
      </c>
      <c r="G976" s="116" t="str">
        <f aca="false">IF($A976="","",'Agences &amp; Après-vente'!$F178)</f>
        <v/>
      </c>
      <c r="H976" s="0" t="str">
        <f aca="true">IF($A976="","",IFERROR(MAX(0,NETWORKDAYS(TODAY(),'Agences &amp; Après-vente'!$F178)),""))</f>
        <v/>
      </c>
      <c r="I976" s="0" t="str">
        <f aca="false">IF($A976="","",'Agences &amp; Après-vente'!$I178)</f>
        <v/>
      </c>
      <c r="K976" s="104" t="n">
        <f aca="false">IF(A976="",0,IF(IFERROR(VLOOKUP(A976,Skills!$A:$M,13,FALSE()),"")="COS",0,IF(OR(I976="En cours",I976="À venir",I976="À planifier"),IF(AND(OR($C$3="Tous",$C$3="",C976=$C$3),OR($E$3="Tous",$E$3="",I976=$E$3)),1,0),0)))</f>
        <v>0</v>
      </c>
      <c r="L976" s="104" t="n">
        <f aca="false">L975+K976</f>
        <v>17</v>
      </c>
    </row>
    <row r="977" customFormat="false" ht="15" hidden="true" customHeight="true" outlineLevel="0" collapsed="false">
      <c r="A977" s="0" t="str">
        <f aca="false">IF('Agences &amp; Après-vente'!$A179="","",'Agences &amp; Après-vente'!$A179)</f>
        <v/>
      </c>
      <c r="B977" s="0" t="str">
        <f aca="false">IF($A977="","",'Agences &amp; Après-vente'!$B179)</f>
        <v/>
      </c>
      <c r="C977" s="0" t="str">
        <f aca="false">IF($A977="","",'Agences &amp; Après-vente'!$C179)</f>
        <v/>
      </c>
      <c r="D977" s="0" t="str">
        <f aca="false">IF($A977="","","Nouvelle compétence")</f>
        <v/>
      </c>
      <c r="E977" s="0" t="str">
        <f aca="false">IF($A977="","",'Agences &amp; Après-vente'!$D179)</f>
        <v/>
      </c>
      <c r="F977" s="116" t="str">
        <f aca="false">IF($A977="","",'Agences &amp; Après-vente'!$E179)</f>
        <v/>
      </c>
      <c r="G977" s="116" t="str">
        <f aca="false">IF($A977="","",'Agences &amp; Après-vente'!$F179)</f>
        <v/>
      </c>
      <c r="H977" s="0" t="str">
        <f aca="true">IF($A977="","",IFERROR(MAX(0,NETWORKDAYS(TODAY(),'Agences &amp; Après-vente'!$F179)),""))</f>
        <v/>
      </c>
      <c r="I977" s="0" t="str">
        <f aca="false">IF($A977="","",'Agences &amp; Après-vente'!$I179)</f>
        <v/>
      </c>
      <c r="K977" s="104" t="n">
        <f aca="false">IF(A977="",0,IF(IFERROR(VLOOKUP(A977,Skills!$A:$M,13,FALSE()),"")="COS",0,IF(OR(I977="En cours",I977="À venir",I977="À planifier"),IF(AND(OR($C$3="Tous",$C$3="",C977=$C$3),OR($E$3="Tous",$E$3="",I977=$E$3)),1,0),0)))</f>
        <v>0</v>
      </c>
      <c r="L977" s="104" t="n">
        <f aca="false">L976+K977</f>
        <v>17</v>
      </c>
    </row>
    <row r="978" customFormat="false" ht="15" hidden="true" customHeight="true" outlineLevel="0" collapsed="false">
      <c r="A978" s="0" t="str">
        <f aca="false">IF('Agences &amp; Après-vente'!$A180="","",'Agences &amp; Après-vente'!$A180)</f>
        <v/>
      </c>
      <c r="B978" s="0" t="str">
        <f aca="false">IF($A978="","",'Agences &amp; Après-vente'!$B180)</f>
        <v/>
      </c>
      <c r="C978" s="0" t="str">
        <f aca="false">IF($A978="","",'Agences &amp; Après-vente'!$C180)</f>
        <v/>
      </c>
      <c r="D978" s="0" t="str">
        <f aca="false">IF($A978="","","Nouvelle compétence")</f>
        <v/>
      </c>
      <c r="E978" s="0" t="str">
        <f aca="false">IF($A978="","",'Agences &amp; Après-vente'!$D180)</f>
        <v/>
      </c>
      <c r="F978" s="116" t="str">
        <f aca="false">IF($A978="","",'Agences &amp; Après-vente'!$E180)</f>
        <v/>
      </c>
      <c r="G978" s="116" t="str">
        <f aca="false">IF($A978="","",'Agences &amp; Après-vente'!$F180)</f>
        <v/>
      </c>
      <c r="H978" s="0" t="str">
        <f aca="true">IF($A978="","",IFERROR(MAX(0,NETWORKDAYS(TODAY(),'Agences &amp; Après-vente'!$F180)),""))</f>
        <v/>
      </c>
      <c r="I978" s="0" t="str">
        <f aca="false">IF($A978="","",'Agences &amp; Après-vente'!$I180)</f>
        <v/>
      </c>
      <c r="K978" s="104" t="n">
        <f aca="false">IF(A978="",0,IF(IFERROR(VLOOKUP(A978,Skills!$A:$M,13,FALSE()),"")="COS",0,IF(OR(I978="En cours",I978="À venir",I978="À planifier"),IF(AND(OR($C$3="Tous",$C$3="",C978=$C$3),OR($E$3="Tous",$E$3="",I978=$E$3)),1,0),0)))</f>
        <v>0</v>
      </c>
      <c r="L978" s="104" t="n">
        <f aca="false">L977+K978</f>
        <v>17</v>
      </c>
    </row>
    <row r="979" customFormat="false" ht="15" hidden="true" customHeight="true" outlineLevel="0" collapsed="false">
      <c r="A979" s="0" t="str">
        <f aca="false">IF('Agences &amp; Après-vente'!$A181="","",'Agences &amp; Après-vente'!$A181)</f>
        <v/>
      </c>
      <c r="B979" s="0" t="str">
        <f aca="false">IF($A979="","",'Agences &amp; Après-vente'!$B181)</f>
        <v/>
      </c>
      <c r="C979" s="0" t="str">
        <f aca="false">IF($A979="","",'Agences &amp; Après-vente'!$C181)</f>
        <v/>
      </c>
      <c r="D979" s="0" t="str">
        <f aca="false">IF($A979="","","Nouvelle compétence")</f>
        <v/>
      </c>
      <c r="E979" s="0" t="str">
        <f aca="false">IF($A979="","",'Agences &amp; Après-vente'!$D181)</f>
        <v/>
      </c>
      <c r="F979" s="116" t="str">
        <f aca="false">IF($A979="","",'Agences &amp; Après-vente'!$E181)</f>
        <v/>
      </c>
      <c r="G979" s="116" t="str">
        <f aca="false">IF($A979="","",'Agences &amp; Après-vente'!$F181)</f>
        <v/>
      </c>
      <c r="H979" s="0" t="str">
        <f aca="true">IF($A979="","",IFERROR(MAX(0,NETWORKDAYS(TODAY(),'Agences &amp; Après-vente'!$F181)),""))</f>
        <v/>
      </c>
      <c r="I979" s="0" t="str">
        <f aca="false">IF($A979="","",'Agences &amp; Après-vente'!$I181)</f>
        <v/>
      </c>
      <c r="K979" s="104" t="n">
        <f aca="false">IF(A979="",0,IF(IFERROR(VLOOKUP(A979,Skills!$A:$M,13,FALSE()),"")="COS",0,IF(OR(I979="En cours",I979="À venir",I979="À planifier"),IF(AND(OR($C$3="Tous",$C$3="",C979=$C$3),OR($E$3="Tous",$E$3="",I979=$E$3)),1,0),0)))</f>
        <v>0</v>
      </c>
      <c r="L979" s="104" t="n">
        <f aca="false">L978+K979</f>
        <v>17</v>
      </c>
    </row>
    <row r="980" customFormat="false" ht="15" hidden="true" customHeight="true" outlineLevel="0" collapsed="false">
      <c r="A980" s="0" t="str">
        <f aca="false">IF('Agences &amp; Après-vente'!$A182="","",'Agences &amp; Après-vente'!$A182)</f>
        <v/>
      </c>
      <c r="B980" s="0" t="str">
        <f aca="false">IF($A980="","",'Agences &amp; Après-vente'!$B182)</f>
        <v/>
      </c>
      <c r="C980" s="0" t="str">
        <f aca="false">IF($A980="","",'Agences &amp; Après-vente'!$C182)</f>
        <v/>
      </c>
      <c r="D980" s="0" t="str">
        <f aca="false">IF($A980="","","Nouvelle compétence")</f>
        <v/>
      </c>
      <c r="E980" s="0" t="str">
        <f aca="false">IF($A980="","",'Agences &amp; Après-vente'!$D182)</f>
        <v/>
      </c>
      <c r="F980" s="116" t="str">
        <f aca="false">IF($A980="","",'Agences &amp; Après-vente'!$E182)</f>
        <v/>
      </c>
      <c r="G980" s="116" t="str">
        <f aca="false">IF($A980="","",'Agences &amp; Après-vente'!$F182)</f>
        <v/>
      </c>
      <c r="H980" s="0" t="str">
        <f aca="true">IF($A980="","",IFERROR(MAX(0,NETWORKDAYS(TODAY(),'Agences &amp; Après-vente'!$F182)),""))</f>
        <v/>
      </c>
      <c r="I980" s="0" t="str">
        <f aca="false">IF($A980="","",'Agences &amp; Après-vente'!$I182)</f>
        <v/>
      </c>
      <c r="K980" s="104" t="n">
        <f aca="false">IF(A980="",0,IF(IFERROR(VLOOKUP(A980,Skills!$A:$M,13,FALSE()),"")="COS",0,IF(OR(I980="En cours",I980="À venir",I980="À planifier"),IF(AND(OR($C$3="Tous",$C$3="",C980=$C$3),OR($E$3="Tous",$E$3="",I980=$E$3)),1,0),0)))</f>
        <v>0</v>
      </c>
      <c r="L980" s="104" t="n">
        <f aca="false">L979+K980</f>
        <v>17</v>
      </c>
    </row>
    <row r="981" customFormat="false" ht="15" hidden="true" customHeight="true" outlineLevel="0" collapsed="false">
      <c r="A981" s="0" t="str">
        <f aca="false">IF('Agences &amp; Après-vente'!$A183="","",'Agences &amp; Après-vente'!$A183)</f>
        <v/>
      </c>
      <c r="B981" s="0" t="str">
        <f aca="false">IF($A981="","",'Agences &amp; Après-vente'!$B183)</f>
        <v/>
      </c>
      <c r="C981" s="0" t="str">
        <f aca="false">IF($A981="","",'Agences &amp; Après-vente'!$C183)</f>
        <v/>
      </c>
      <c r="D981" s="0" t="str">
        <f aca="false">IF($A981="","","Nouvelle compétence")</f>
        <v/>
      </c>
      <c r="E981" s="0" t="str">
        <f aca="false">IF($A981="","",'Agences &amp; Après-vente'!$D183)</f>
        <v/>
      </c>
      <c r="F981" s="116" t="str">
        <f aca="false">IF($A981="","",'Agences &amp; Après-vente'!$E183)</f>
        <v/>
      </c>
      <c r="G981" s="116" t="str">
        <f aca="false">IF($A981="","",'Agences &amp; Après-vente'!$F183)</f>
        <v/>
      </c>
      <c r="H981" s="0" t="str">
        <f aca="true">IF($A981="","",IFERROR(MAX(0,NETWORKDAYS(TODAY(),'Agences &amp; Après-vente'!$F183)),""))</f>
        <v/>
      </c>
      <c r="I981" s="0" t="str">
        <f aca="false">IF($A981="","",'Agences &amp; Après-vente'!$I183)</f>
        <v/>
      </c>
      <c r="K981" s="104" t="n">
        <f aca="false">IF(A981="",0,IF(IFERROR(VLOOKUP(A981,Skills!$A:$M,13,FALSE()),"")="COS",0,IF(OR(I981="En cours",I981="À venir",I981="À planifier"),IF(AND(OR($C$3="Tous",$C$3="",C981=$C$3),OR($E$3="Tous",$E$3="",I981=$E$3)),1,0),0)))</f>
        <v>0</v>
      </c>
      <c r="L981" s="104" t="n">
        <f aca="false">L980+K981</f>
        <v>17</v>
      </c>
    </row>
    <row r="982" customFormat="false" ht="15" hidden="true" customHeight="true" outlineLevel="0" collapsed="false">
      <c r="A982" s="0" t="str">
        <f aca="false">IF('Agences &amp; Après-vente'!$A184="","",'Agences &amp; Après-vente'!$A184)</f>
        <v/>
      </c>
      <c r="B982" s="0" t="str">
        <f aca="false">IF($A982="","",'Agences &amp; Après-vente'!$B184)</f>
        <v/>
      </c>
      <c r="C982" s="0" t="str">
        <f aca="false">IF($A982="","",'Agences &amp; Après-vente'!$C184)</f>
        <v/>
      </c>
      <c r="D982" s="0" t="str">
        <f aca="false">IF($A982="","","Nouvelle compétence")</f>
        <v/>
      </c>
      <c r="E982" s="0" t="str">
        <f aca="false">IF($A982="","",'Agences &amp; Après-vente'!$D184)</f>
        <v/>
      </c>
      <c r="F982" s="116" t="str">
        <f aca="false">IF($A982="","",'Agences &amp; Après-vente'!$E184)</f>
        <v/>
      </c>
      <c r="G982" s="116" t="str">
        <f aca="false">IF($A982="","",'Agences &amp; Après-vente'!$F184)</f>
        <v/>
      </c>
      <c r="H982" s="0" t="str">
        <f aca="true">IF($A982="","",IFERROR(MAX(0,NETWORKDAYS(TODAY(),'Agences &amp; Après-vente'!$F184)),""))</f>
        <v/>
      </c>
      <c r="I982" s="0" t="str">
        <f aca="false">IF($A982="","",'Agences &amp; Après-vente'!$I184)</f>
        <v/>
      </c>
      <c r="K982" s="104" t="n">
        <f aca="false">IF(A982="",0,IF(IFERROR(VLOOKUP(A982,Skills!$A:$M,13,FALSE()),"")="COS",0,IF(OR(I982="En cours",I982="À venir",I982="À planifier"),IF(AND(OR($C$3="Tous",$C$3="",C982=$C$3),OR($E$3="Tous",$E$3="",I982=$E$3)),1,0),0)))</f>
        <v>0</v>
      </c>
      <c r="L982" s="104" t="n">
        <f aca="false">L981+K982</f>
        <v>17</v>
      </c>
    </row>
    <row r="983" customFormat="false" ht="15" hidden="true" customHeight="true" outlineLevel="0" collapsed="false">
      <c r="A983" s="0" t="str">
        <f aca="false">IF('Agences &amp; Après-vente'!$A185="","",'Agences &amp; Après-vente'!$A185)</f>
        <v/>
      </c>
      <c r="B983" s="0" t="str">
        <f aca="false">IF($A983="","",'Agences &amp; Après-vente'!$B185)</f>
        <v/>
      </c>
      <c r="C983" s="0" t="str">
        <f aca="false">IF($A983="","",'Agences &amp; Après-vente'!$C185)</f>
        <v/>
      </c>
      <c r="D983" s="0" t="str">
        <f aca="false">IF($A983="","","Nouvelle compétence")</f>
        <v/>
      </c>
      <c r="E983" s="0" t="str">
        <f aca="false">IF($A983="","",'Agences &amp; Après-vente'!$D185)</f>
        <v/>
      </c>
      <c r="F983" s="116" t="str">
        <f aca="false">IF($A983="","",'Agences &amp; Après-vente'!$E185)</f>
        <v/>
      </c>
      <c r="G983" s="116" t="str">
        <f aca="false">IF($A983="","",'Agences &amp; Après-vente'!$F185)</f>
        <v/>
      </c>
      <c r="H983" s="0" t="str">
        <f aca="true">IF($A983="","",IFERROR(MAX(0,NETWORKDAYS(TODAY(),'Agences &amp; Après-vente'!$F185)),""))</f>
        <v/>
      </c>
      <c r="I983" s="0" t="str">
        <f aca="false">IF($A983="","",'Agences &amp; Après-vente'!$I185)</f>
        <v/>
      </c>
      <c r="K983" s="104" t="n">
        <f aca="false">IF(A983="",0,IF(IFERROR(VLOOKUP(A983,Skills!$A:$M,13,FALSE()),"")="COS",0,IF(OR(I983="En cours",I983="À venir",I983="À planifier"),IF(AND(OR($C$3="Tous",$C$3="",C983=$C$3),OR($E$3="Tous",$E$3="",I983=$E$3)),1,0),0)))</f>
        <v>0</v>
      </c>
      <c r="L983" s="104" t="n">
        <f aca="false">L982+K983</f>
        <v>17</v>
      </c>
    </row>
    <row r="984" customFormat="false" ht="15" hidden="true" customHeight="true" outlineLevel="0" collapsed="false">
      <c r="A984" s="0" t="str">
        <f aca="false">IF('Agences &amp; Après-vente'!$A186="","",'Agences &amp; Après-vente'!$A186)</f>
        <v/>
      </c>
      <c r="B984" s="0" t="str">
        <f aca="false">IF($A984="","",'Agences &amp; Après-vente'!$B186)</f>
        <v/>
      </c>
      <c r="C984" s="0" t="str">
        <f aca="false">IF($A984="","",'Agences &amp; Après-vente'!$C186)</f>
        <v/>
      </c>
      <c r="D984" s="0" t="str">
        <f aca="false">IF($A984="","","Nouvelle compétence")</f>
        <v/>
      </c>
      <c r="E984" s="0" t="str">
        <f aca="false">IF($A984="","",'Agences &amp; Après-vente'!$D186)</f>
        <v/>
      </c>
      <c r="F984" s="116" t="str">
        <f aca="false">IF($A984="","",'Agences &amp; Après-vente'!$E186)</f>
        <v/>
      </c>
      <c r="G984" s="116" t="str">
        <f aca="false">IF($A984="","",'Agences &amp; Après-vente'!$F186)</f>
        <v/>
      </c>
      <c r="H984" s="0" t="str">
        <f aca="true">IF($A984="","",IFERROR(MAX(0,NETWORKDAYS(TODAY(),'Agences &amp; Après-vente'!$F186)),""))</f>
        <v/>
      </c>
      <c r="I984" s="0" t="str">
        <f aca="false">IF($A984="","",'Agences &amp; Après-vente'!$I186)</f>
        <v/>
      </c>
      <c r="K984" s="104" t="n">
        <f aca="false">IF(A984="",0,IF(IFERROR(VLOOKUP(A984,Skills!$A:$M,13,FALSE()),"")="COS",0,IF(OR(I984="En cours",I984="À venir",I984="À planifier"),IF(AND(OR($C$3="Tous",$C$3="",C984=$C$3),OR($E$3="Tous",$E$3="",I984=$E$3)),1,0),0)))</f>
        <v>0</v>
      </c>
      <c r="L984" s="104" t="n">
        <f aca="false">L983+K984</f>
        <v>17</v>
      </c>
    </row>
    <row r="985" customFormat="false" ht="15" hidden="true" customHeight="true" outlineLevel="0" collapsed="false">
      <c r="A985" s="0" t="str">
        <f aca="false">IF('Agences &amp; Après-vente'!$A187="","",'Agences &amp; Après-vente'!$A187)</f>
        <v/>
      </c>
      <c r="B985" s="0" t="str">
        <f aca="false">IF($A985="","",'Agences &amp; Après-vente'!$B187)</f>
        <v/>
      </c>
      <c r="C985" s="0" t="str">
        <f aca="false">IF($A985="","",'Agences &amp; Après-vente'!$C187)</f>
        <v/>
      </c>
      <c r="D985" s="0" t="str">
        <f aca="false">IF($A985="","","Nouvelle compétence")</f>
        <v/>
      </c>
      <c r="E985" s="0" t="str">
        <f aca="false">IF($A985="","",'Agences &amp; Après-vente'!$D187)</f>
        <v/>
      </c>
      <c r="F985" s="116" t="str">
        <f aca="false">IF($A985="","",'Agences &amp; Après-vente'!$E187)</f>
        <v/>
      </c>
      <c r="G985" s="116" t="str">
        <f aca="false">IF($A985="","",'Agences &amp; Après-vente'!$F187)</f>
        <v/>
      </c>
      <c r="H985" s="0" t="str">
        <f aca="true">IF($A985="","",IFERROR(MAX(0,NETWORKDAYS(TODAY(),'Agences &amp; Après-vente'!$F187)),""))</f>
        <v/>
      </c>
      <c r="I985" s="0" t="str">
        <f aca="false">IF($A985="","",'Agences &amp; Après-vente'!$I187)</f>
        <v/>
      </c>
      <c r="K985" s="104" t="n">
        <f aca="false">IF(A985="",0,IF(IFERROR(VLOOKUP(A985,Skills!$A:$M,13,FALSE()),"")="COS",0,IF(OR(I985="En cours",I985="À venir",I985="À planifier"),IF(AND(OR($C$3="Tous",$C$3="",C985=$C$3),OR($E$3="Tous",$E$3="",I985=$E$3)),1,0),0)))</f>
        <v>0</v>
      </c>
      <c r="L985" s="104" t="n">
        <f aca="false">L984+K985</f>
        <v>17</v>
      </c>
    </row>
    <row r="986" customFormat="false" ht="15" hidden="true" customHeight="true" outlineLevel="0" collapsed="false">
      <c r="A986" s="0" t="str">
        <f aca="false">IF('Agences &amp; Après-vente'!$A188="","",'Agences &amp; Après-vente'!$A188)</f>
        <v/>
      </c>
      <c r="B986" s="0" t="str">
        <f aca="false">IF($A986="","",'Agences &amp; Après-vente'!$B188)</f>
        <v/>
      </c>
      <c r="C986" s="0" t="str">
        <f aca="false">IF($A986="","",'Agences &amp; Après-vente'!$C188)</f>
        <v/>
      </c>
      <c r="D986" s="0" t="str">
        <f aca="false">IF($A986="","","Nouvelle compétence")</f>
        <v/>
      </c>
      <c r="E986" s="0" t="str">
        <f aca="false">IF($A986="","",'Agences &amp; Après-vente'!$D188)</f>
        <v/>
      </c>
      <c r="F986" s="116" t="str">
        <f aca="false">IF($A986="","",'Agences &amp; Après-vente'!$E188)</f>
        <v/>
      </c>
      <c r="G986" s="116" t="str">
        <f aca="false">IF($A986="","",'Agences &amp; Après-vente'!$F188)</f>
        <v/>
      </c>
      <c r="H986" s="0" t="str">
        <f aca="true">IF($A986="","",IFERROR(MAX(0,NETWORKDAYS(TODAY(),'Agences &amp; Après-vente'!$F188)),""))</f>
        <v/>
      </c>
      <c r="I986" s="0" t="str">
        <f aca="false">IF($A986="","",'Agences &amp; Après-vente'!$I188)</f>
        <v/>
      </c>
      <c r="K986" s="104" t="n">
        <f aca="false">IF(A986="",0,IF(IFERROR(VLOOKUP(A986,Skills!$A:$M,13,FALSE()),"")="COS",0,IF(OR(I986="En cours",I986="À venir",I986="À planifier"),IF(AND(OR($C$3="Tous",$C$3="",C986=$C$3),OR($E$3="Tous",$E$3="",I986=$E$3)),1,0),0)))</f>
        <v>0</v>
      </c>
      <c r="L986" s="104" t="n">
        <f aca="false">L985+K986</f>
        <v>17</v>
      </c>
    </row>
    <row r="987" customFormat="false" ht="15" hidden="true" customHeight="true" outlineLevel="0" collapsed="false">
      <c r="A987" s="0" t="str">
        <f aca="false">IF('Agences &amp; Après-vente'!$A189="","",'Agences &amp; Après-vente'!$A189)</f>
        <v/>
      </c>
      <c r="B987" s="0" t="str">
        <f aca="false">IF($A987="","",'Agences &amp; Après-vente'!$B189)</f>
        <v/>
      </c>
      <c r="C987" s="0" t="str">
        <f aca="false">IF($A987="","",'Agences &amp; Après-vente'!$C189)</f>
        <v/>
      </c>
      <c r="D987" s="0" t="str">
        <f aca="false">IF($A987="","","Nouvelle compétence")</f>
        <v/>
      </c>
      <c r="E987" s="0" t="str">
        <f aca="false">IF($A987="","",'Agences &amp; Après-vente'!$D189)</f>
        <v/>
      </c>
      <c r="F987" s="116" t="str">
        <f aca="false">IF($A987="","",'Agences &amp; Après-vente'!$E189)</f>
        <v/>
      </c>
      <c r="G987" s="116" t="str">
        <f aca="false">IF($A987="","",'Agences &amp; Après-vente'!$F189)</f>
        <v/>
      </c>
      <c r="H987" s="0" t="str">
        <f aca="true">IF($A987="","",IFERROR(MAX(0,NETWORKDAYS(TODAY(),'Agences &amp; Après-vente'!$F189)),""))</f>
        <v/>
      </c>
      <c r="I987" s="0" t="str">
        <f aca="false">IF($A987="","",'Agences &amp; Après-vente'!$I189)</f>
        <v/>
      </c>
      <c r="K987" s="104" t="n">
        <f aca="false">IF(A987="",0,IF(IFERROR(VLOOKUP(A987,Skills!$A:$M,13,FALSE()),"")="COS",0,IF(OR(I987="En cours",I987="À venir",I987="À planifier"),IF(AND(OR($C$3="Tous",$C$3="",C987=$C$3),OR($E$3="Tous",$E$3="",I987=$E$3)),1,0),0)))</f>
        <v>0</v>
      </c>
      <c r="L987" s="104" t="n">
        <f aca="false">L986+K987</f>
        <v>17</v>
      </c>
    </row>
    <row r="988" customFormat="false" ht="15" hidden="true" customHeight="true" outlineLevel="0" collapsed="false">
      <c r="A988" s="0" t="str">
        <f aca="false">IF('Agences &amp; Après-vente'!$A190="","",'Agences &amp; Après-vente'!$A190)</f>
        <v/>
      </c>
      <c r="B988" s="0" t="str">
        <f aca="false">IF($A988="","",'Agences &amp; Après-vente'!$B190)</f>
        <v/>
      </c>
      <c r="C988" s="0" t="str">
        <f aca="false">IF($A988="","",'Agences &amp; Après-vente'!$C190)</f>
        <v/>
      </c>
      <c r="D988" s="0" t="str">
        <f aca="false">IF($A988="","","Nouvelle compétence")</f>
        <v/>
      </c>
      <c r="E988" s="0" t="str">
        <f aca="false">IF($A988="","",'Agences &amp; Après-vente'!$D190)</f>
        <v/>
      </c>
      <c r="F988" s="116" t="str">
        <f aca="false">IF($A988="","",'Agences &amp; Après-vente'!$E190)</f>
        <v/>
      </c>
      <c r="G988" s="116" t="str">
        <f aca="false">IF($A988="","",'Agences &amp; Après-vente'!$F190)</f>
        <v/>
      </c>
      <c r="H988" s="0" t="str">
        <f aca="true">IF($A988="","",IFERROR(MAX(0,NETWORKDAYS(TODAY(),'Agences &amp; Après-vente'!$F190)),""))</f>
        <v/>
      </c>
      <c r="I988" s="0" t="str">
        <f aca="false">IF($A988="","",'Agences &amp; Après-vente'!$I190)</f>
        <v/>
      </c>
      <c r="K988" s="104" t="n">
        <f aca="false">IF(A988="",0,IF(IFERROR(VLOOKUP(A988,Skills!$A:$M,13,FALSE()),"")="COS",0,IF(OR(I988="En cours",I988="À venir",I988="À planifier"),IF(AND(OR($C$3="Tous",$C$3="",C988=$C$3),OR($E$3="Tous",$E$3="",I988=$E$3)),1,0),0)))</f>
        <v>0</v>
      </c>
      <c r="L988" s="104" t="n">
        <f aca="false">L987+K988</f>
        <v>17</v>
      </c>
    </row>
    <row r="989" customFormat="false" ht="15" hidden="true" customHeight="true" outlineLevel="0" collapsed="false">
      <c r="A989" s="0" t="str">
        <f aca="false">IF('Agences &amp; Après-vente'!$A191="","",'Agences &amp; Après-vente'!$A191)</f>
        <v/>
      </c>
      <c r="B989" s="0" t="str">
        <f aca="false">IF($A989="","",'Agences &amp; Après-vente'!$B191)</f>
        <v/>
      </c>
      <c r="C989" s="0" t="str">
        <f aca="false">IF($A989="","",'Agences &amp; Après-vente'!$C191)</f>
        <v/>
      </c>
      <c r="D989" s="0" t="str">
        <f aca="false">IF($A989="","","Nouvelle compétence")</f>
        <v/>
      </c>
      <c r="E989" s="0" t="str">
        <f aca="false">IF($A989="","",'Agences &amp; Après-vente'!$D191)</f>
        <v/>
      </c>
      <c r="F989" s="116" t="str">
        <f aca="false">IF($A989="","",'Agences &amp; Après-vente'!$E191)</f>
        <v/>
      </c>
      <c r="G989" s="116" t="str">
        <f aca="false">IF($A989="","",'Agences &amp; Après-vente'!$F191)</f>
        <v/>
      </c>
      <c r="H989" s="0" t="str">
        <f aca="true">IF($A989="","",IFERROR(MAX(0,NETWORKDAYS(TODAY(),'Agences &amp; Après-vente'!$F191)),""))</f>
        <v/>
      </c>
      <c r="I989" s="0" t="str">
        <f aca="false">IF($A989="","",'Agences &amp; Après-vente'!$I191)</f>
        <v/>
      </c>
      <c r="K989" s="104" t="n">
        <f aca="false">IF(A989="",0,IF(IFERROR(VLOOKUP(A989,Skills!$A:$M,13,FALSE()),"")="COS",0,IF(OR(I989="En cours",I989="À venir",I989="À planifier"),IF(AND(OR($C$3="Tous",$C$3="",C989=$C$3),OR($E$3="Tous",$E$3="",I989=$E$3)),1,0),0)))</f>
        <v>0</v>
      </c>
      <c r="L989" s="104" t="n">
        <f aca="false">L988+K989</f>
        <v>17</v>
      </c>
    </row>
    <row r="990" customFormat="false" ht="15" hidden="true" customHeight="true" outlineLevel="0" collapsed="false">
      <c r="A990" s="0" t="str">
        <f aca="false">IF('Agences &amp; Après-vente'!$A192="","",'Agences &amp; Après-vente'!$A192)</f>
        <v/>
      </c>
      <c r="B990" s="0" t="str">
        <f aca="false">IF($A990="","",'Agences &amp; Après-vente'!$B192)</f>
        <v/>
      </c>
      <c r="C990" s="0" t="str">
        <f aca="false">IF($A990="","",'Agences &amp; Après-vente'!$C192)</f>
        <v/>
      </c>
      <c r="D990" s="0" t="str">
        <f aca="false">IF($A990="","","Nouvelle compétence")</f>
        <v/>
      </c>
      <c r="E990" s="0" t="str">
        <f aca="false">IF($A990="","",'Agences &amp; Après-vente'!$D192)</f>
        <v/>
      </c>
      <c r="F990" s="116" t="str">
        <f aca="false">IF($A990="","",'Agences &amp; Après-vente'!$E192)</f>
        <v/>
      </c>
      <c r="G990" s="116" t="str">
        <f aca="false">IF($A990="","",'Agences &amp; Après-vente'!$F192)</f>
        <v/>
      </c>
      <c r="H990" s="0" t="str">
        <f aca="true">IF($A990="","",IFERROR(MAX(0,NETWORKDAYS(TODAY(),'Agences &amp; Après-vente'!$F192)),""))</f>
        <v/>
      </c>
      <c r="I990" s="0" t="str">
        <f aca="false">IF($A990="","",'Agences &amp; Après-vente'!$I192)</f>
        <v/>
      </c>
      <c r="K990" s="104" t="n">
        <f aca="false">IF(A990="",0,IF(IFERROR(VLOOKUP(A990,Skills!$A:$M,13,FALSE()),"")="COS",0,IF(OR(I990="En cours",I990="À venir",I990="À planifier"),IF(AND(OR($C$3="Tous",$C$3="",C990=$C$3),OR($E$3="Tous",$E$3="",I990=$E$3)),1,0),0)))</f>
        <v>0</v>
      </c>
      <c r="L990" s="104" t="n">
        <f aca="false">L989+K990</f>
        <v>17</v>
      </c>
    </row>
    <row r="991" customFormat="false" ht="15" hidden="true" customHeight="true" outlineLevel="0" collapsed="false">
      <c r="A991" s="0" t="str">
        <f aca="false">IF('Agences &amp; Après-vente'!$A193="","",'Agences &amp; Après-vente'!$A193)</f>
        <v/>
      </c>
      <c r="B991" s="0" t="str">
        <f aca="false">IF($A991="","",'Agences &amp; Après-vente'!$B193)</f>
        <v/>
      </c>
      <c r="C991" s="0" t="str">
        <f aca="false">IF($A991="","",'Agences &amp; Après-vente'!$C193)</f>
        <v/>
      </c>
      <c r="D991" s="0" t="str">
        <f aca="false">IF($A991="","","Nouvelle compétence")</f>
        <v/>
      </c>
      <c r="E991" s="0" t="str">
        <f aca="false">IF($A991="","",'Agences &amp; Après-vente'!$D193)</f>
        <v/>
      </c>
      <c r="F991" s="116" t="str">
        <f aca="false">IF($A991="","",'Agences &amp; Après-vente'!$E193)</f>
        <v/>
      </c>
      <c r="G991" s="116" t="str">
        <f aca="false">IF($A991="","",'Agences &amp; Après-vente'!$F193)</f>
        <v/>
      </c>
      <c r="H991" s="0" t="str">
        <f aca="true">IF($A991="","",IFERROR(MAX(0,NETWORKDAYS(TODAY(),'Agences &amp; Après-vente'!$F193)),""))</f>
        <v/>
      </c>
      <c r="I991" s="0" t="str">
        <f aca="false">IF($A991="","",'Agences &amp; Après-vente'!$I193)</f>
        <v/>
      </c>
      <c r="K991" s="104" t="n">
        <f aca="false">IF(A991="",0,IF(IFERROR(VLOOKUP(A991,Skills!$A:$M,13,FALSE()),"")="COS",0,IF(OR(I991="En cours",I991="À venir",I991="À planifier"),IF(AND(OR($C$3="Tous",$C$3="",C991=$C$3),OR($E$3="Tous",$E$3="",I991=$E$3)),1,0),0)))</f>
        <v>0</v>
      </c>
      <c r="L991" s="104" t="n">
        <f aca="false">L990+K991</f>
        <v>17</v>
      </c>
    </row>
    <row r="992" customFormat="false" ht="15" hidden="true" customHeight="true" outlineLevel="0" collapsed="false">
      <c r="A992" s="0" t="str">
        <f aca="false">IF('Agences &amp; Après-vente'!$A194="","",'Agences &amp; Après-vente'!$A194)</f>
        <v/>
      </c>
      <c r="B992" s="0" t="str">
        <f aca="false">IF($A992="","",'Agences &amp; Après-vente'!$B194)</f>
        <v/>
      </c>
      <c r="C992" s="0" t="str">
        <f aca="false">IF($A992="","",'Agences &amp; Après-vente'!$C194)</f>
        <v/>
      </c>
      <c r="D992" s="0" t="str">
        <f aca="false">IF($A992="","","Nouvelle compétence")</f>
        <v/>
      </c>
      <c r="E992" s="0" t="str">
        <f aca="false">IF($A992="","",'Agences &amp; Après-vente'!$D194)</f>
        <v/>
      </c>
      <c r="F992" s="116" t="str">
        <f aca="false">IF($A992="","",'Agences &amp; Après-vente'!$E194)</f>
        <v/>
      </c>
      <c r="G992" s="116" t="str">
        <f aca="false">IF($A992="","",'Agences &amp; Après-vente'!$F194)</f>
        <v/>
      </c>
      <c r="H992" s="0" t="str">
        <f aca="true">IF($A992="","",IFERROR(MAX(0,NETWORKDAYS(TODAY(),'Agences &amp; Après-vente'!$F194)),""))</f>
        <v/>
      </c>
      <c r="I992" s="0" t="str">
        <f aca="false">IF($A992="","",'Agences &amp; Après-vente'!$I194)</f>
        <v/>
      </c>
      <c r="K992" s="104" t="n">
        <f aca="false">IF(A992="",0,IF(IFERROR(VLOOKUP(A992,Skills!$A:$M,13,FALSE()),"")="COS",0,IF(OR(I992="En cours",I992="À venir",I992="À planifier"),IF(AND(OR($C$3="Tous",$C$3="",C992=$C$3),OR($E$3="Tous",$E$3="",I992=$E$3)),1,0),0)))</f>
        <v>0</v>
      </c>
      <c r="L992" s="104" t="n">
        <f aca="false">L991+K992</f>
        <v>17</v>
      </c>
    </row>
    <row r="993" customFormat="false" ht="15" hidden="true" customHeight="true" outlineLevel="0" collapsed="false">
      <c r="A993" s="0" t="str">
        <f aca="false">IF('Agences &amp; Après-vente'!$A195="","",'Agences &amp; Après-vente'!$A195)</f>
        <v/>
      </c>
      <c r="B993" s="0" t="str">
        <f aca="false">IF($A993="","",'Agences &amp; Après-vente'!$B195)</f>
        <v/>
      </c>
      <c r="C993" s="0" t="str">
        <f aca="false">IF($A993="","",'Agences &amp; Après-vente'!$C195)</f>
        <v/>
      </c>
      <c r="D993" s="0" t="str">
        <f aca="false">IF($A993="","","Nouvelle compétence")</f>
        <v/>
      </c>
      <c r="E993" s="0" t="str">
        <f aca="false">IF($A993="","",'Agences &amp; Après-vente'!$D195)</f>
        <v/>
      </c>
      <c r="F993" s="116" t="str">
        <f aca="false">IF($A993="","",'Agences &amp; Après-vente'!$E195)</f>
        <v/>
      </c>
      <c r="G993" s="116" t="str">
        <f aca="false">IF($A993="","",'Agences &amp; Après-vente'!$F195)</f>
        <v/>
      </c>
      <c r="H993" s="0" t="str">
        <f aca="true">IF($A993="","",IFERROR(MAX(0,NETWORKDAYS(TODAY(),'Agences &amp; Après-vente'!$F195)),""))</f>
        <v/>
      </c>
      <c r="I993" s="0" t="str">
        <f aca="false">IF($A993="","",'Agences &amp; Après-vente'!$I195)</f>
        <v/>
      </c>
      <c r="K993" s="104" t="n">
        <f aca="false">IF(A993="",0,IF(IFERROR(VLOOKUP(A993,Skills!$A:$M,13,FALSE()),"")="COS",0,IF(OR(I993="En cours",I993="À venir",I993="À planifier"),IF(AND(OR($C$3="Tous",$C$3="",C993=$C$3),OR($E$3="Tous",$E$3="",I993=$E$3)),1,0),0)))</f>
        <v>0</v>
      </c>
      <c r="L993" s="104" t="n">
        <f aca="false">L992+K993</f>
        <v>17</v>
      </c>
    </row>
    <row r="994" customFormat="false" ht="15" hidden="true" customHeight="true" outlineLevel="0" collapsed="false">
      <c r="A994" s="0" t="str">
        <f aca="false">IF('Agences &amp; Après-vente'!$A196="","",'Agences &amp; Après-vente'!$A196)</f>
        <v/>
      </c>
      <c r="B994" s="0" t="str">
        <f aca="false">IF($A994="","",'Agences &amp; Après-vente'!$B196)</f>
        <v/>
      </c>
      <c r="C994" s="0" t="str">
        <f aca="false">IF($A994="","",'Agences &amp; Après-vente'!$C196)</f>
        <v/>
      </c>
      <c r="D994" s="0" t="str">
        <f aca="false">IF($A994="","","Nouvelle compétence")</f>
        <v/>
      </c>
      <c r="E994" s="0" t="str">
        <f aca="false">IF($A994="","",'Agences &amp; Après-vente'!$D196)</f>
        <v/>
      </c>
      <c r="F994" s="116" t="str">
        <f aca="false">IF($A994="","",'Agences &amp; Après-vente'!$E196)</f>
        <v/>
      </c>
      <c r="G994" s="116" t="str">
        <f aca="false">IF($A994="","",'Agences &amp; Après-vente'!$F196)</f>
        <v/>
      </c>
      <c r="H994" s="0" t="str">
        <f aca="true">IF($A994="","",IFERROR(MAX(0,NETWORKDAYS(TODAY(),'Agences &amp; Après-vente'!$F196)),""))</f>
        <v/>
      </c>
      <c r="I994" s="0" t="str">
        <f aca="false">IF($A994="","",'Agences &amp; Après-vente'!$I196)</f>
        <v/>
      </c>
      <c r="K994" s="104" t="n">
        <f aca="false">IF(A994="",0,IF(IFERROR(VLOOKUP(A994,Skills!$A:$M,13,FALSE()),"")="COS",0,IF(OR(I994="En cours",I994="À venir",I994="À planifier"),IF(AND(OR($C$3="Tous",$C$3="",C994=$C$3),OR($E$3="Tous",$E$3="",I994=$E$3)),1,0),0)))</f>
        <v>0</v>
      </c>
      <c r="L994" s="104" t="n">
        <f aca="false">L993+K994</f>
        <v>17</v>
      </c>
    </row>
    <row r="995" customFormat="false" ht="15" hidden="true" customHeight="true" outlineLevel="0" collapsed="false">
      <c r="A995" s="0" t="str">
        <f aca="false">IF('Agences &amp; Après-vente'!$A197="","",'Agences &amp; Après-vente'!$A197)</f>
        <v/>
      </c>
      <c r="B995" s="0" t="str">
        <f aca="false">IF($A995="","",'Agences &amp; Après-vente'!$B197)</f>
        <v/>
      </c>
      <c r="C995" s="0" t="str">
        <f aca="false">IF($A995="","",'Agences &amp; Après-vente'!$C197)</f>
        <v/>
      </c>
      <c r="D995" s="0" t="str">
        <f aca="false">IF($A995="","","Nouvelle compétence")</f>
        <v/>
      </c>
      <c r="E995" s="0" t="str">
        <f aca="false">IF($A995="","",'Agences &amp; Après-vente'!$D197)</f>
        <v/>
      </c>
      <c r="F995" s="116" t="str">
        <f aca="false">IF($A995="","",'Agences &amp; Après-vente'!$E197)</f>
        <v/>
      </c>
      <c r="G995" s="116" t="str">
        <f aca="false">IF($A995="","",'Agences &amp; Après-vente'!$F197)</f>
        <v/>
      </c>
      <c r="H995" s="0" t="str">
        <f aca="true">IF($A995="","",IFERROR(MAX(0,NETWORKDAYS(TODAY(),'Agences &amp; Après-vente'!$F197)),""))</f>
        <v/>
      </c>
      <c r="I995" s="0" t="str">
        <f aca="false">IF($A995="","",'Agences &amp; Après-vente'!$I197)</f>
        <v/>
      </c>
      <c r="K995" s="104" t="n">
        <f aca="false">IF(A995="",0,IF(IFERROR(VLOOKUP(A995,Skills!$A:$M,13,FALSE()),"")="COS",0,IF(OR(I995="En cours",I995="À venir",I995="À planifier"),IF(AND(OR($C$3="Tous",$C$3="",C995=$C$3),OR($E$3="Tous",$E$3="",I995=$E$3)),1,0),0)))</f>
        <v>0</v>
      </c>
      <c r="L995" s="104" t="n">
        <f aca="false">L994+K995</f>
        <v>17</v>
      </c>
    </row>
    <row r="996" customFormat="false" ht="15" hidden="true" customHeight="true" outlineLevel="0" collapsed="false">
      <c r="A996" s="0" t="str">
        <f aca="false">IF('Agences &amp; Après-vente'!$A198="","",'Agences &amp; Après-vente'!$A198)</f>
        <v/>
      </c>
      <c r="B996" s="0" t="str">
        <f aca="false">IF($A996="","",'Agences &amp; Après-vente'!$B198)</f>
        <v/>
      </c>
      <c r="C996" s="0" t="str">
        <f aca="false">IF($A996="","",'Agences &amp; Après-vente'!$C198)</f>
        <v/>
      </c>
      <c r="D996" s="0" t="str">
        <f aca="false">IF($A996="","","Nouvelle compétence")</f>
        <v/>
      </c>
      <c r="E996" s="0" t="str">
        <f aca="false">IF($A996="","",'Agences &amp; Après-vente'!$D198)</f>
        <v/>
      </c>
      <c r="F996" s="116" t="str">
        <f aca="false">IF($A996="","",'Agences &amp; Après-vente'!$E198)</f>
        <v/>
      </c>
      <c r="G996" s="116" t="str">
        <f aca="false">IF($A996="","",'Agences &amp; Après-vente'!$F198)</f>
        <v/>
      </c>
      <c r="H996" s="0" t="str">
        <f aca="true">IF($A996="","",IFERROR(MAX(0,NETWORKDAYS(TODAY(),'Agences &amp; Après-vente'!$F198)),""))</f>
        <v/>
      </c>
      <c r="I996" s="0" t="str">
        <f aca="false">IF($A996="","",'Agences &amp; Après-vente'!$I198)</f>
        <v/>
      </c>
      <c r="K996" s="104" t="n">
        <f aca="false">IF(A996="",0,IF(IFERROR(VLOOKUP(A996,Skills!$A:$M,13,FALSE()),"")="COS",0,IF(OR(I996="En cours",I996="À venir",I996="À planifier"),IF(AND(OR($C$3="Tous",$C$3="",C996=$C$3),OR($E$3="Tous",$E$3="",I996=$E$3)),1,0),0)))</f>
        <v>0</v>
      </c>
      <c r="L996" s="104" t="n">
        <f aca="false">L995+K996</f>
        <v>17</v>
      </c>
    </row>
    <row r="997" customFormat="false" ht="15" hidden="true" customHeight="true" outlineLevel="0" collapsed="false">
      <c r="A997" s="0" t="str">
        <f aca="false">IF('Agences &amp; Après-vente'!$A199="","",'Agences &amp; Après-vente'!$A199)</f>
        <v/>
      </c>
      <c r="B997" s="0" t="str">
        <f aca="false">IF($A997="","",'Agences &amp; Après-vente'!$B199)</f>
        <v/>
      </c>
      <c r="C997" s="0" t="str">
        <f aca="false">IF($A997="","",'Agences &amp; Après-vente'!$C199)</f>
        <v/>
      </c>
      <c r="D997" s="0" t="str">
        <f aca="false">IF($A997="","","Nouvelle compétence")</f>
        <v/>
      </c>
      <c r="E997" s="0" t="str">
        <f aca="false">IF($A997="","",'Agences &amp; Après-vente'!$D199)</f>
        <v/>
      </c>
      <c r="F997" s="116" t="str">
        <f aca="false">IF($A997="","",'Agences &amp; Après-vente'!$E199)</f>
        <v/>
      </c>
      <c r="G997" s="116" t="str">
        <f aca="false">IF($A997="","",'Agences &amp; Après-vente'!$F199)</f>
        <v/>
      </c>
      <c r="H997" s="0" t="str">
        <f aca="true">IF($A997="","",IFERROR(MAX(0,NETWORKDAYS(TODAY(),'Agences &amp; Après-vente'!$F199)),""))</f>
        <v/>
      </c>
      <c r="I997" s="0" t="str">
        <f aca="false">IF($A997="","",'Agences &amp; Après-vente'!$I199)</f>
        <v/>
      </c>
      <c r="K997" s="104" t="n">
        <f aca="false">IF(A997="",0,IF(IFERROR(VLOOKUP(A997,Skills!$A:$M,13,FALSE()),"")="COS",0,IF(OR(I997="En cours",I997="À venir",I997="À planifier"),IF(AND(OR($C$3="Tous",$C$3="",C997=$C$3),OR($E$3="Tous",$E$3="",I997=$E$3)),1,0),0)))</f>
        <v>0</v>
      </c>
      <c r="L997" s="104" t="n">
        <f aca="false">L996+K997</f>
        <v>17</v>
      </c>
    </row>
    <row r="998" customFormat="false" ht="15" hidden="true" customHeight="true" outlineLevel="0" collapsed="false">
      <c r="A998" s="0" t="str">
        <f aca="false">IF('Agences &amp; Après-vente'!$A200="","",'Agences &amp; Après-vente'!$A200)</f>
        <v/>
      </c>
      <c r="B998" s="0" t="str">
        <f aca="false">IF($A998="","",'Agences &amp; Après-vente'!$B200)</f>
        <v/>
      </c>
      <c r="C998" s="0" t="str">
        <f aca="false">IF($A998="","",'Agences &amp; Après-vente'!$C200)</f>
        <v/>
      </c>
      <c r="D998" s="0" t="str">
        <f aca="false">IF($A998="","","Nouvelle compétence")</f>
        <v/>
      </c>
      <c r="E998" s="0" t="str">
        <f aca="false">IF($A998="","",'Agences &amp; Après-vente'!$D200)</f>
        <v/>
      </c>
      <c r="F998" s="116" t="str">
        <f aca="false">IF($A998="","",'Agences &amp; Après-vente'!$E200)</f>
        <v/>
      </c>
      <c r="G998" s="116" t="str">
        <f aca="false">IF($A998="","",'Agences &amp; Après-vente'!$F200)</f>
        <v/>
      </c>
      <c r="H998" s="0" t="str">
        <f aca="true">IF($A998="","",IFERROR(MAX(0,NETWORKDAYS(TODAY(),'Agences &amp; Après-vente'!$F200)),""))</f>
        <v/>
      </c>
      <c r="I998" s="0" t="str">
        <f aca="false">IF($A998="","",'Agences &amp; Après-vente'!$I200)</f>
        <v/>
      </c>
      <c r="K998" s="104" t="n">
        <f aca="false">IF(A998="",0,IF(IFERROR(VLOOKUP(A998,Skills!$A:$M,13,FALSE()),"")="COS",0,IF(OR(I998="En cours",I998="À venir",I998="À planifier"),IF(AND(OR($C$3="Tous",$C$3="",C998=$C$3),OR($E$3="Tous",$E$3="",I998=$E$3)),1,0),0)))</f>
        <v>0</v>
      </c>
      <c r="L998" s="104" t="n">
        <f aca="false">L997+K998</f>
        <v>17</v>
      </c>
    </row>
    <row r="999" customFormat="false" ht="15" hidden="true" customHeight="true" outlineLevel="0" collapsed="false">
      <c r="A999" s="0" t="str">
        <f aca="false">IF('Agences &amp; Après-vente'!$A201="","",'Agences &amp; Après-vente'!$A201)</f>
        <v/>
      </c>
      <c r="B999" s="0" t="str">
        <f aca="false">IF($A999="","",'Agences &amp; Après-vente'!$B201)</f>
        <v/>
      </c>
      <c r="C999" s="0" t="str">
        <f aca="false">IF($A999="","",'Agences &amp; Après-vente'!$C201)</f>
        <v/>
      </c>
      <c r="D999" s="0" t="str">
        <f aca="false">IF($A999="","","Nouvelle compétence")</f>
        <v/>
      </c>
      <c r="E999" s="0" t="str">
        <f aca="false">IF($A999="","",'Agences &amp; Après-vente'!$D201)</f>
        <v/>
      </c>
      <c r="F999" s="116" t="str">
        <f aca="false">IF($A999="","",'Agences &amp; Après-vente'!$E201)</f>
        <v/>
      </c>
      <c r="G999" s="116" t="str">
        <f aca="false">IF($A999="","",'Agences &amp; Après-vente'!$F201)</f>
        <v/>
      </c>
      <c r="H999" s="0" t="str">
        <f aca="true">IF($A999="","",IFERROR(MAX(0,NETWORKDAYS(TODAY(),'Agences &amp; Après-vente'!$F201)),""))</f>
        <v/>
      </c>
      <c r="I999" s="0" t="str">
        <f aca="false">IF($A999="","",'Agences &amp; Après-vente'!$I201)</f>
        <v/>
      </c>
      <c r="K999" s="104" t="n">
        <f aca="false">IF(A999="",0,IF(IFERROR(VLOOKUP(A999,Skills!$A:$M,13,FALSE()),"")="COS",0,IF(OR(I999="En cours",I999="À venir",I999="À planifier"),IF(AND(OR($C$3="Tous",$C$3="",C999=$C$3),OR($E$3="Tous",$E$3="",I999=$E$3)),1,0),0)))</f>
        <v>0</v>
      </c>
      <c r="L999" s="104" t="n">
        <f aca="false">L998+K999</f>
        <v>17</v>
      </c>
    </row>
    <row r="1000" customFormat="false" ht="15" hidden="true" customHeight="true" outlineLevel="0" collapsed="false">
      <c r="A1000" s="0" t="str">
        <f aca="false">IF('Agences &amp; Après-vente'!$A202="","",'Agences &amp; Après-vente'!$A202)</f>
        <v/>
      </c>
      <c r="B1000" s="0" t="str">
        <f aca="false">IF($A1000="","",'Agences &amp; Après-vente'!$B202)</f>
        <v/>
      </c>
      <c r="C1000" s="0" t="str">
        <f aca="false">IF($A1000="","",'Agences &amp; Après-vente'!$C202)</f>
        <v/>
      </c>
      <c r="D1000" s="0" t="str">
        <f aca="false">IF($A1000="","","Nouvelle compétence")</f>
        <v/>
      </c>
      <c r="E1000" s="0" t="str">
        <f aca="false">IF($A1000="","",'Agences &amp; Après-vente'!$D202)</f>
        <v/>
      </c>
      <c r="F1000" s="116" t="str">
        <f aca="false">IF($A1000="","",'Agences &amp; Après-vente'!$E202)</f>
        <v/>
      </c>
      <c r="G1000" s="116" t="str">
        <f aca="false">IF($A1000="","",'Agences &amp; Après-vente'!$F202)</f>
        <v/>
      </c>
      <c r="H1000" s="0" t="str">
        <f aca="true">IF($A1000="","",IFERROR(MAX(0,NETWORKDAYS(TODAY(),'Agences &amp; Après-vente'!$F202)),""))</f>
        <v/>
      </c>
      <c r="I1000" s="0" t="str">
        <f aca="false">IF($A1000="","",'Agences &amp; Après-vente'!$I202)</f>
        <v/>
      </c>
      <c r="K1000" s="104" t="n">
        <f aca="false">IF(A1000="",0,IF(IFERROR(VLOOKUP(A1000,Skills!$A:$M,13,FALSE()),"")="COS",0,IF(OR(I1000="En cours",I1000="À venir",I1000="À planifier"),IF(AND(OR($C$3="Tous",$C$3="",C1000=$C$3),OR($E$3="Tous",$E$3="",I1000=$E$3)),1,0),0)))</f>
        <v>0</v>
      </c>
      <c r="L1000" s="104" t="n">
        <f aca="false">L999+K1000</f>
        <v>17</v>
      </c>
    </row>
    <row r="1001" customFormat="false" ht="15" hidden="true" customHeight="true" outlineLevel="0" collapsed="false">
      <c r="A1001" s="0" t="str">
        <f aca="false">IF('Agences &amp; Après-vente'!$A203="","",'Agences &amp; Après-vente'!$A203)</f>
        <v/>
      </c>
      <c r="B1001" s="0" t="str">
        <f aca="false">IF($A1001="","",'Agences &amp; Après-vente'!$B203)</f>
        <v/>
      </c>
      <c r="C1001" s="0" t="str">
        <f aca="false">IF($A1001="","",'Agences &amp; Après-vente'!$C203)</f>
        <v/>
      </c>
      <c r="D1001" s="0" t="str">
        <f aca="false">IF($A1001="","","Nouvelle compétence")</f>
        <v/>
      </c>
      <c r="E1001" s="0" t="str">
        <f aca="false">IF($A1001="","",'Agences &amp; Après-vente'!$D203)</f>
        <v/>
      </c>
      <c r="F1001" s="116" t="str">
        <f aca="false">IF($A1001="","",'Agences &amp; Après-vente'!$E203)</f>
        <v/>
      </c>
      <c r="G1001" s="116" t="str">
        <f aca="false">IF($A1001="","",'Agences &amp; Après-vente'!$F203)</f>
        <v/>
      </c>
      <c r="H1001" s="0" t="str">
        <f aca="true">IF($A1001="","",IFERROR(MAX(0,NETWORKDAYS(TODAY(),'Agences &amp; Après-vente'!$F203)),""))</f>
        <v/>
      </c>
      <c r="I1001" s="0" t="str">
        <f aca="false">IF($A1001="","",'Agences &amp; Après-vente'!$I203)</f>
        <v/>
      </c>
      <c r="K1001" s="104" t="n">
        <f aca="false">IF(A1001="",0,IF(IFERROR(VLOOKUP(A1001,Skills!$A:$M,13,FALSE()),"")="COS",0,IF(OR(I1001="En cours",I1001="À venir",I1001="À planifier"),IF(AND(OR($C$3="Tous",$C$3="",C1001=$C$3),OR($E$3="Tous",$E$3="",I1001=$E$3)),1,0),0)))</f>
        <v>0</v>
      </c>
      <c r="L1001" s="104" t="n">
        <f aca="false">L1000+K1001</f>
        <v>17</v>
      </c>
    </row>
    <row r="1002" customFormat="false" ht="15" hidden="true" customHeight="true" outlineLevel="0" collapsed="false">
      <c r="A1002" s="0" t="str">
        <f aca="false">IF('Agences &amp; Après-vente'!$A204="","",'Agences &amp; Après-vente'!$A204)</f>
        <v/>
      </c>
      <c r="B1002" s="0" t="str">
        <f aca="false">IF($A1002="","",'Agences &amp; Après-vente'!$B204)</f>
        <v/>
      </c>
      <c r="C1002" s="0" t="str">
        <f aca="false">IF($A1002="","",'Agences &amp; Après-vente'!$C204)</f>
        <v/>
      </c>
      <c r="D1002" s="0" t="str">
        <f aca="false">IF($A1002="","","Nouvelle compétence")</f>
        <v/>
      </c>
      <c r="E1002" s="0" t="str">
        <f aca="false">IF($A1002="","",'Agences &amp; Après-vente'!$D204)</f>
        <v/>
      </c>
      <c r="F1002" s="116" t="str">
        <f aca="false">IF($A1002="","",'Agences &amp; Après-vente'!$E204)</f>
        <v/>
      </c>
      <c r="G1002" s="116" t="str">
        <f aca="false">IF($A1002="","",'Agences &amp; Après-vente'!$F204)</f>
        <v/>
      </c>
      <c r="H1002" s="0" t="str">
        <f aca="true">IF($A1002="","",IFERROR(MAX(0,NETWORKDAYS(TODAY(),'Agences &amp; Après-vente'!$F204)),""))</f>
        <v/>
      </c>
      <c r="I1002" s="0" t="str">
        <f aca="false">IF($A1002="","",'Agences &amp; Après-vente'!$I204)</f>
        <v/>
      </c>
      <c r="K1002" s="104" t="n">
        <f aca="false">IF(A1002="",0,IF(IFERROR(VLOOKUP(A1002,Skills!$A:$M,13,FALSE()),"")="COS",0,IF(OR(I1002="En cours",I1002="À venir",I1002="À planifier"),IF(AND(OR($C$3="Tous",$C$3="",C1002=$C$3),OR($E$3="Tous",$E$3="",I1002=$E$3)),1,0),0)))</f>
        <v>0</v>
      </c>
      <c r="L1002" s="104" t="n">
        <f aca="false">L1001+K1002</f>
        <v>17</v>
      </c>
    </row>
    <row r="1003" customFormat="false" ht="15" hidden="true" customHeight="true" outlineLevel="0" collapsed="false">
      <c r="A1003" s="0" t="str">
        <f aca="false">IF('Agences &amp; Après-vente'!$A205="","",'Agences &amp; Après-vente'!$A205)</f>
        <v/>
      </c>
      <c r="B1003" s="0" t="str">
        <f aca="false">IF($A1003="","",'Agences &amp; Après-vente'!$B205)</f>
        <v/>
      </c>
      <c r="C1003" s="0" t="str">
        <f aca="false">IF($A1003="","",'Agences &amp; Après-vente'!$C205)</f>
        <v/>
      </c>
      <c r="D1003" s="0" t="str">
        <f aca="false">IF($A1003="","","Nouvelle compétence")</f>
        <v/>
      </c>
      <c r="E1003" s="0" t="str">
        <f aca="false">IF($A1003="","",'Agences &amp; Après-vente'!$D205)</f>
        <v/>
      </c>
      <c r="F1003" s="116" t="str">
        <f aca="false">IF($A1003="","",'Agences &amp; Après-vente'!$E205)</f>
        <v/>
      </c>
      <c r="G1003" s="116" t="str">
        <f aca="false">IF($A1003="","",'Agences &amp; Après-vente'!$F205)</f>
        <v/>
      </c>
      <c r="H1003" s="0" t="str">
        <f aca="true">IF($A1003="","",IFERROR(MAX(0,NETWORKDAYS(TODAY(),'Agences &amp; Après-vente'!$F205)),""))</f>
        <v/>
      </c>
      <c r="I1003" s="0" t="str">
        <f aca="false">IF($A1003="","",'Agences &amp; Après-vente'!$I205)</f>
        <v/>
      </c>
      <c r="K1003" s="104" t="n">
        <f aca="false">IF(A1003="",0,IF(IFERROR(VLOOKUP(A1003,Skills!$A:$M,13,FALSE()),"")="COS",0,IF(OR(I1003="En cours",I1003="À venir",I1003="À planifier"),IF(AND(OR($C$3="Tous",$C$3="",C1003=$C$3),OR($E$3="Tous",$E$3="",I1003=$E$3)),1,0),0)))</f>
        <v>0</v>
      </c>
      <c r="L1003" s="104" t="n">
        <f aca="false">L1002+K1003</f>
        <v>17</v>
      </c>
    </row>
    <row r="1004" customFormat="false" ht="15" hidden="true" customHeight="true" outlineLevel="0" collapsed="false">
      <c r="A1004" s="0" t="str">
        <f aca="false">IF('Agences &amp; Après-vente'!$A206="","",'Agences &amp; Après-vente'!$A206)</f>
        <v/>
      </c>
      <c r="B1004" s="0" t="str">
        <f aca="false">IF($A1004="","",'Agences &amp; Après-vente'!$B206)</f>
        <v/>
      </c>
      <c r="C1004" s="0" t="str">
        <f aca="false">IF($A1004="","",'Agences &amp; Après-vente'!$C206)</f>
        <v/>
      </c>
      <c r="D1004" s="0" t="str">
        <f aca="false">IF($A1004="","","Nouvelle compétence")</f>
        <v/>
      </c>
      <c r="E1004" s="0" t="str">
        <f aca="false">IF($A1004="","",'Agences &amp; Après-vente'!$D206)</f>
        <v/>
      </c>
      <c r="F1004" s="116" t="str">
        <f aca="false">IF($A1004="","",'Agences &amp; Après-vente'!$E206)</f>
        <v/>
      </c>
      <c r="G1004" s="116" t="str">
        <f aca="false">IF($A1004="","",'Agences &amp; Après-vente'!$F206)</f>
        <v/>
      </c>
      <c r="H1004" s="0" t="str">
        <f aca="true">IF($A1004="","",IFERROR(MAX(0,NETWORKDAYS(TODAY(),'Agences &amp; Après-vente'!$F206)),""))</f>
        <v/>
      </c>
      <c r="I1004" s="0" t="str">
        <f aca="false">IF($A1004="","",'Agences &amp; Après-vente'!$I206)</f>
        <v/>
      </c>
      <c r="K1004" s="104" t="n">
        <f aca="false">IF(A1004="",0,IF(IFERROR(VLOOKUP(A1004,Skills!$A:$M,13,FALSE()),"")="COS",0,IF(OR(I1004="En cours",I1004="À venir",I1004="À planifier"),IF(AND(OR($C$3="Tous",$C$3="",C1004=$C$3),OR($E$3="Tous",$E$3="",I1004=$E$3)),1,0),0)))</f>
        <v>0</v>
      </c>
      <c r="L1004" s="104" t="n">
        <f aca="false">L1003+K1004</f>
        <v>17</v>
      </c>
    </row>
    <row r="1005" customFormat="false" ht="15" hidden="true" customHeight="true" outlineLevel="0" collapsed="false">
      <c r="A1005" s="0" t="str">
        <f aca="false">IF('Agences &amp; Après-vente'!$A207="","",'Agences &amp; Après-vente'!$A207)</f>
        <v/>
      </c>
      <c r="B1005" s="0" t="str">
        <f aca="false">IF($A1005="","",'Agences &amp; Après-vente'!$B207)</f>
        <v/>
      </c>
      <c r="C1005" s="0" t="str">
        <f aca="false">IF($A1005="","",'Agences &amp; Après-vente'!$C207)</f>
        <v/>
      </c>
      <c r="D1005" s="0" t="str">
        <f aca="false">IF($A1005="","","Nouvelle compétence")</f>
        <v/>
      </c>
      <c r="E1005" s="0" t="str">
        <f aca="false">IF($A1005="","",'Agences &amp; Après-vente'!$D207)</f>
        <v/>
      </c>
      <c r="F1005" s="116" t="str">
        <f aca="false">IF($A1005="","",'Agences &amp; Après-vente'!$E207)</f>
        <v/>
      </c>
      <c r="G1005" s="116" t="str">
        <f aca="false">IF($A1005="","",'Agences &amp; Après-vente'!$F207)</f>
        <v/>
      </c>
      <c r="H1005" s="0" t="str">
        <f aca="true">IF($A1005="","",IFERROR(MAX(0,NETWORKDAYS(TODAY(),'Agences &amp; Après-vente'!$F207)),""))</f>
        <v/>
      </c>
      <c r="I1005" s="0" t="str">
        <f aca="false">IF($A1005="","",'Agences &amp; Après-vente'!$I207)</f>
        <v/>
      </c>
      <c r="K1005" s="104" t="n">
        <f aca="false">IF(A1005="",0,IF(IFERROR(VLOOKUP(A1005,Skills!$A:$M,13,FALSE()),"")="COS",0,IF(OR(I1005="En cours",I1005="À venir",I1005="À planifier"),IF(AND(OR($C$3="Tous",$C$3="",C1005=$C$3),OR($E$3="Tous",$E$3="",I1005=$E$3)),1,0),0)))</f>
        <v>0</v>
      </c>
      <c r="L1005" s="104" t="n">
        <f aca="false">L1004+K1005</f>
        <v>17</v>
      </c>
    </row>
    <row r="1006" customFormat="false" ht="15" hidden="true" customHeight="true" outlineLevel="0" collapsed="false">
      <c r="A1006" s="0" t="str">
        <f aca="false">IF('Agences &amp; Après-vente'!$A208="","",'Agences &amp; Après-vente'!$A208)</f>
        <v/>
      </c>
      <c r="B1006" s="0" t="str">
        <f aca="false">IF($A1006="","",'Agences &amp; Après-vente'!$B208)</f>
        <v/>
      </c>
      <c r="C1006" s="0" t="str">
        <f aca="false">IF($A1006="","",'Agences &amp; Après-vente'!$C208)</f>
        <v/>
      </c>
      <c r="D1006" s="0" t="str">
        <f aca="false">IF($A1006="","","Nouvelle compétence")</f>
        <v/>
      </c>
      <c r="E1006" s="0" t="str">
        <f aca="false">IF($A1006="","",'Agences &amp; Après-vente'!$D208)</f>
        <v/>
      </c>
      <c r="F1006" s="116" t="str">
        <f aca="false">IF($A1006="","",'Agences &amp; Après-vente'!$E208)</f>
        <v/>
      </c>
      <c r="G1006" s="116" t="str">
        <f aca="false">IF($A1006="","",'Agences &amp; Après-vente'!$F208)</f>
        <v/>
      </c>
      <c r="H1006" s="0" t="str">
        <f aca="true">IF($A1006="","",IFERROR(MAX(0,NETWORKDAYS(TODAY(),'Agences &amp; Après-vente'!$F208)),""))</f>
        <v/>
      </c>
      <c r="I1006" s="0" t="str">
        <f aca="false">IF($A1006="","",'Agences &amp; Après-vente'!$I208)</f>
        <v/>
      </c>
      <c r="K1006" s="104" t="n">
        <f aca="false">IF(A1006="",0,IF(IFERROR(VLOOKUP(A1006,Skills!$A:$M,13,FALSE()),"")="COS",0,IF(OR(I1006="En cours",I1006="À venir",I1006="À planifier"),IF(AND(OR($C$3="Tous",$C$3="",C1006=$C$3),OR($E$3="Tous",$E$3="",I1006=$E$3)),1,0),0)))</f>
        <v>0</v>
      </c>
      <c r="L1006" s="104" t="n">
        <f aca="false">L1005+K1006</f>
        <v>17</v>
      </c>
    </row>
    <row r="1007" customFormat="false" ht="15" hidden="true" customHeight="true" outlineLevel="0" collapsed="false">
      <c r="A1007" s="0" t="str">
        <f aca="false">IF('Agences &amp; Après-vente'!$A209="","",'Agences &amp; Après-vente'!$A209)</f>
        <v/>
      </c>
      <c r="B1007" s="0" t="str">
        <f aca="false">IF($A1007="","",'Agences &amp; Après-vente'!$B209)</f>
        <v/>
      </c>
      <c r="C1007" s="0" t="str">
        <f aca="false">IF($A1007="","",'Agences &amp; Après-vente'!$C209)</f>
        <v/>
      </c>
      <c r="D1007" s="0" t="str">
        <f aca="false">IF($A1007="","","Nouvelle compétence")</f>
        <v/>
      </c>
      <c r="E1007" s="0" t="str">
        <f aca="false">IF($A1007="","",'Agences &amp; Après-vente'!$D209)</f>
        <v/>
      </c>
      <c r="F1007" s="116" t="str">
        <f aca="false">IF($A1007="","",'Agences &amp; Après-vente'!$E209)</f>
        <v/>
      </c>
      <c r="G1007" s="116" t="str">
        <f aca="false">IF($A1007="","",'Agences &amp; Après-vente'!$F209)</f>
        <v/>
      </c>
      <c r="H1007" s="0" t="str">
        <f aca="true">IF($A1007="","",IFERROR(MAX(0,NETWORKDAYS(TODAY(),'Agences &amp; Après-vente'!$F209)),""))</f>
        <v/>
      </c>
      <c r="I1007" s="0" t="str">
        <f aca="false">IF($A1007="","",'Agences &amp; Après-vente'!$I209)</f>
        <v/>
      </c>
      <c r="K1007" s="104" t="n">
        <f aca="false">IF(A1007="",0,IF(IFERROR(VLOOKUP(A1007,Skills!$A:$M,13,FALSE()),"")="COS",0,IF(OR(I1007="En cours",I1007="À venir",I1007="À planifier"),IF(AND(OR($C$3="Tous",$C$3="",C1007=$C$3),OR($E$3="Tous",$E$3="",I1007=$E$3)),1,0),0)))</f>
        <v>0</v>
      </c>
      <c r="L1007" s="104" t="n">
        <f aca="false">L1006+K1007</f>
        <v>17</v>
      </c>
    </row>
    <row r="1008" customFormat="false" ht="15" hidden="true" customHeight="true" outlineLevel="0" collapsed="false">
      <c r="A1008" s="0" t="str">
        <f aca="false">IF('Agences &amp; Après-vente'!$A210="","",'Agences &amp; Après-vente'!$A210)</f>
        <v/>
      </c>
      <c r="B1008" s="0" t="str">
        <f aca="false">IF($A1008="","",'Agences &amp; Après-vente'!$B210)</f>
        <v/>
      </c>
      <c r="C1008" s="0" t="str">
        <f aca="false">IF($A1008="","",'Agences &amp; Après-vente'!$C210)</f>
        <v/>
      </c>
      <c r="D1008" s="0" t="str">
        <f aca="false">IF($A1008="","","Nouvelle compétence")</f>
        <v/>
      </c>
      <c r="E1008" s="0" t="str">
        <f aca="false">IF($A1008="","",'Agences &amp; Après-vente'!$D210)</f>
        <v/>
      </c>
      <c r="F1008" s="116" t="str">
        <f aca="false">IF($A1008="","",'Agences &amp; Après-vente'!$E210)</f>
        <v/>
      </c>
      <c r="G1008" s="116" t="str">
        <f aca="false">IF($A1008="","",'Agences &amp; Après-vente'!$F210)</f>
        <v/>
      </c>
      <c r="H1008" s="0" t="str">
        <f aca="true">IF($A1008="","",IFERROR(MAX(0,NETWORKDAYS(TODAY(),'Agences &amp; Après-vente'!$F210)),""))</f>
        <v/>
      </c>
      <c r="I1008" s="0" t="str">
        <f aca="false">IF($A1008="","",'Agences &amp; Après-vente'!$I210)</f>
        <v/>
      </c>
      <c r="K1008" s="104" t="n">
        <f aca="false">IF(A1008="",0,IF(IFERROR(VLOOKUP(A1008,Skills!$A:$M,13,FALSE()),"")="COS",0,IF(OR(I1008="En cours",I1008="À venir",I1008="À planifier"),IF(AND(OR($C$3="Tous",$C$3="",C1008=$C$3),OR($E$3="Tous",$E$3="",I1008=$E$3)),1,0),0)))</f>
        <v>0</v>
      </c>
      <c r="L1008" s="104" t="n">
        <f aca="false">L1007+K1008</f>
        <v>17</v>
      </c>
    </row>
    <row r="1009" customFormat="false" ht="15" hidden="true" customHeight="true" outlineLevel="0" collapsed="false">
      <c r="A1009" s="0" t="str">
        <f aca="false">IF('Agences &amp; Après-vente'!$A211="","",'Agences &amp; Après-vente'!$A211)</f>
        <v/>
      </c>
      <c r="B1009" s="0" t="str">
        <f aca="false">IF($A1009="","",'Agences &amp; Après-vente'!$B211)</f>
        <v/>
      </c>
      <c r="C1009" s="0" t="str">
        <f aca="false">IF($A1009="","",'Agences &amp; Après-vente'!$C211)</f>
        <v/>
      </c>
      <c r="D1009" s="0" t="str">
        <f aca="false">IF($A1009="","","Nouvelle compétence")</f>
        <v/>
      </c>
      <c r="E1009" s="0" t="str">
        <f aca="false">IF($A1009="","",'Agences &amp; Après-vente'!$D211)</f>
        <v/>
      </c>
      <c r="F1009" s="116" t="str">
        <f aca="false">IF($A1009="","",'Agences &amp; Après-vente'!$E211)</f>
        <v/>
      </c>
      <c r="G1009" s="116" t="str">
        <f aca="false">IF($A1009="","",'Agences &amp; Après-vente'!$F211)</f>
        <v/>
      </c>
      <c r="H1009" s="0" t="str">
        <f aca="true">IF($A1009="","",IFERROR(MAX(0,NETWORKDAYS(TODAY(),'Agences &amp; Après-vente'!$F211)),""))</f>
        <v/>
      </c>
      <c r="I1009" s="0" t="str">
        <f aca="false">IF($A1009="","",'Agences &amp; Après-vente'!$I211)</f>
        <v/>
      </c>
      <c r="K1009" s="104" t="n">
        <f aca="false">IF(A1009="",0,IF(IFERROR(VLOOKUP(A1009,Skills!$A:$M,13,FALSE()),"")="COS",0,IF(OR(I1009="En cours",I1009="À venir",I1009="À planifier"),IF(AND(OR($C$3="Tous",$C$3="",C1009=$C$3),OR($E$3="Tous",$E$3="",I1009=$E$3)),1,0),0)))</f>
        <v>0</v>
      </c>
      <c r="L1009" s="104" t="n">
        <f aca="false">L1008+K1009</f>
        <v>17</v>
      </c>
    </row>
    <row r="1010" customFormat="false" ht="15" hidden="true" customHeight="true" outlineLevel="0" collapsed="false">
      <c r="A1010" s="0" t="str">
        <f aca="false">IF('Agences &amp; Après-vente'!$A212="","",'Agences &amp; Après-vente'!$A212)</f>
        <v/>
      </c>
      <c r="B1010" s="0" t="str">
        <f aca="false">IF($A1010="","",'Agences &amp; Après-vente'!$B212)</f>
        <v/>
      </c>
      <c r="C1010" s="0" t="str">
        <f aca="false">IF($A1010="","",'Agences &amp; Après-vente'!$C212)</f>
        <v/>
      </c>
      <c r="D1010" s="0" t="str">
        <f aca="false">IF($A1010="","","Nouvelle compétence")</f>
        <v/>
      </c>
      <c r="E1010" s="0" t="str">
        <f aca="false">IF($A1010="","",'Agences &amp; Après-vente'!$D212)</f>
        <v/>
      </c>
      <c r="F1010" s="116" t="str">
        <f aca="false">IF($A1010="","",'Agences &amp; Après-vente'!$E212)</f>
        <v/>
      </c>
      <c r="G1010" s="116" t="str">
        <f aca="false">IF($A1010="","",'Agences &amp; Après-vente'!$F212)</f>
        <v/>
      </c>
      <c r="H1010" s="0" t="str">
        <f aca="true">IF($A1010="","",IFERROR(MAX(0,NETWORKDAYS(TODAY(),'Agences &amp; Après-vente'!$F212)),""))</f>
        <v/>
      </c>
      <c r="I1010" s="0" t="str">
        <f aca="false">IF($A1010="","",'Agences &amp; Après-vente'!$I212)</f>
        <v/>
      </c>
      <c r="K1010" s="104" t="n">
        <f aca="false">IF(A1010="",0,IF(IFERROR(VLOOKUP(A1010,Skills!$A:$M,13,FALSE()),"")="COS",0,IF(OR(I1010="En cours",I1010="À venir",I1010="À planifier"),IF(AND(OR($C$3="Tous",$C$3="",C1010=$C$3),OR($E$3="Tous",$E$3="",I1010=$E$3)),1,0),0)))</f>
        <v>0</v>
      </c>
      <c r="L1010" s="104" t="n">
        <f aca="false">L1009+K1010</f>
        <v>17</v>
      </c>
    </row>
    <row r="1011" customFormat="false" ht="15" hidden="true" customHeight="true" outlineLevel="0" collapsed="false">
      <c r="A1011" s="0" t="str">
        <f aca="false">IF('Agences &amp; Après-vente'!$A213="","",'Agences &amp; Après-vente'!$A213)</f>
        <v/>
      </c>
      <c r="B1011" s="0" t="str">
        <f aca="false">IF($A1011="","",'Agences &amp; Après-vente'!$B213)</f>
        <v/>
      </c>
      <c r="C1011" s="0" t="str">
        <f aca="false">IF($A1011="","",'Agences &amp; Après-vente'!$C213)</f>
        <v/>
      </c>
      <c r="D1011" s="0" t="str">
        <f aca="false">IF($A1011="","","Nouvelle compétence")</f>
        <v/>
      </c>
      <c r="E1011" s="0" t="str">
        <f aca="false">IF($A1011="","",'Agences &amp; Après-vente'!$D213)</f>
        <v/>
      </c>
      <c r="F1011" s="116" t="str">
        <f aca="false">IF($A1011="","",'Agences &amp; Après-vente'!$E213)</f>
        <v/>
      </c>
      <c r="G1011" s="116" t="str">
        <f aca="false">IF($A1011="","",'Agences &amp; Après-vente'!$F213)</f>
        <v/>
      </c>
      <c r="H1011" s="0" t="str">
        <f aca="true">IF($A1011="","",IFERROR(MAX(0,NETWORKDAYS(TODAY(),'Agences &amp; Après-vente'!$F213)),""))</f>
        <v/>
      </c>
      <c r="I1011" s="0" t="str">
        <f aca="false">IF($A1011="","",'Agences &amp; Après-vente'!$I213)</f>
        <v/>
      </c>
      <c r="K1011" s="104" t="n">
        <f aca="false">IF(A1011="",0,IF(IFERROR(VLOOKUP(A1011,Skills!$A:$M,13,FALSE()),"")="COS",0,IF(OR(I1011="En cours",I1011="À venir",I1011="À planifier"),IF(AND(OR($C$3="Tous",$C$3="",C1011=$C$3),OR($E$3="Tous",$E$3="",I1011=$E$3)),1,0),0)))</f>
        <v>0</v>
      </c>
      <c r="L1011" s="104" t="n">
        <f aca="false">L1010+K1011</f>
        <v>17</v>
      </c>
    </row>
    <row r="1012" customFormat="false" ht="15" hidden="true" customHeight="true" outlineLevel="0" collapsed="false">
      <c r="A1012" s="0" t="str">
        <f aca="false">IF('Agences &amp; Après-vente'!$A214="","",'Agences &amp; Après-vente'!$A214)</f>
        <v/>
      </c>
      <c r="B1012" s="0" t="str">
        <f aca="false">IF($A1012="","",'Agences &amp; Après-vente'!$B214)</f>
        <v/>
      </c>
      <c r="C1012" s="0" t="str">
        <f aca="false">IF($A1012="","",'Agences &amp; Après-vente'!$C214)</f>
        <v/>
      </c>
      <c r="D1012" s="0" t="str">
        <f aca="false">IF($A1012="","","Nouvelle compétence")</f>
        <v/>
      </c>
      <c r="E1012" s="0" t="str">
        <f aca="false">IF($A1012="","",'Agences &amp; Après-vente'!$D214)</f>
        <v/>
      </c>
      <c r="F1012" s="116" t="str">
        <f aca="false">IF($A1012="","",'Agences &amp; Après-vente'!$E214)</f>
        <v/>
      </c>
      <c r="G1012" s="116" t="str">
        <f aca="false">IF($A1012="","",'Agences &amp; Après-vente'!$F214)</f>
        <v/>
      </c>
      <c r="H1012" s="0" t="str">
        <f aca="true">IF($A1012="","",IFERROR(MAX(0,NETWORKDAYS(TODAY(),'Agences &amp; Après-vente'!$F214)),""))</f>
        <v/>
      </c>
      <c r="I1012" s="0" t="str">
        <f aca="false">IF($A1012="","",'Agences &amp; Après-vente'!$I214)</f>
        <v/>
      </c>
      <c r="K1012" s="104" t="n">
        <f aca="false">IF(A1012="",0,IF(IFERROR(VLOOKUP(A1012,Skills!$A:$M,13,FALSE()),"")="COS",0,IF(OR(I1012="En cours",I1012="À venir",I1012="À planifier"),IF(AND(OR($C$3="Tous",$C$3="",C1012=$C$3),OR($E$3="Tous",$E$3="",I1012=$E$3)),1,0),0)))</f>
        <v>0</v>
      </c>
      <c r="L1012" s="104" t="n">
        <f aca="false">L1011+K1012</f>
        <v>17</v>
      </c>
    </row>
    <row r="1013" customFormat="false" ht="15" hidden="true" customHeight="true" outlineLevel="0" collapsed="false">
      <c r="A1013" s="0" t="str">
        <f aca="false">IF('Agences &amp; Après-vente'!$A215="","",'Agences &amp; Après-vente'!$A215)</f>
        <v/>
      </c>
      <c r="B1013" s="0" t="str">
        <f aca="false">IF($A1013="","",'Agences &amp; Après-vente'!$B215)</f>
        <v/>
      </c>
      <c r="C1013" s="0" t="str">
        <f aca="false">IF($A1013="","",'Agences &amp; Après-vente'!$C215)</f>
        <v/>
      </c>
      <c r="D1013" s="0" t="str">
        <f aca="false">IF($A1013="","","Nouvelle compétence")</f>
        <v/>
      </c>
      <c r="E1013" s="0" t="str">
        <f aca="false">IF($A1013="","",'Agences &amp; Après-vente'!$D215)</f>
        <v/>
      </c>
      <c r="F1013" s="116" t="str">
        <f aca="false">IF($A1013="","",'Agences &amp; Après-vente'!$E215)</f>
        <v/>
      </c>
      <c r="G1013" s="116" t="str">
        <f aca="false">IF($A1013="","",'Agences &amp; Après-vente'!$F215)</f>
        <v/>
      </c>
      <c r="H1013" s="0" t="str">
        <f aca="true">IF($A1013="","",IFERROR(MAX(0,NETWORKDAYS(TODAY(),'Agences &amp; Après-vente'!$F215)),""))</f>
        <v/>
      </c>
      <c r="I1013" s="0" t="str">
        <f aca="false">IF($A1013="","",'Agences &amp; Après-vente'!$I215)</f>
        <v/>
      </c>
      <c r="K1013" s="104" t="n">
        <f aca="false">IF(A1013="",0,IF(IFERROR(VLOOKUP(A1013,Skills!$A:$M,13,FALSE()),"")="COS",0,IF(OR(I1013="En cours",I1013="À venir",I1013="À planifier"),IF(AND(OR($C$3="Tous",$C$3="",C1013=$C$3),OR($E$3="Tous",$E$3="",I1013=$E$3)),1,0),0)))</f>
        <v>0</v>
      </c>
      <c r="L1013" s="104" t="n">
        <f aca="false">L1012+K1013</f>
        <v>17</v>
      </c>
    </row>
    <row r="1014" customFormat="false" ht="15" hidden="true" customHeight="true" outlineLevel="0" collapsed="false">
      <c r="A1014" s="0" t="str">
        <f aca="false">IF('Agences &amp; Après-vente'!$A216="","",'Agences &amp; Après-vente'!$A216)</f>
        <v/>
      </c>
      <c r="B1014" s="0" t="str">
        <f aca="false">IF($A1014="","",'Agences &amp; Après-vente'!$B216)</f>
        <v/>
      </c>
      <c r="C1014" s="0" t="str">
        <f aca="false">IF($A1014="","",'Agences &amp; Après-vente'!$C216)</f>
        <v/>
      </c>
      <c r="D1014" s="0" t="str">
        <f aca="false">IF($A1014="","","Nouvelle compétence")</f>
        <v/>
      </c>
      <c r="E1014" s="0" t="str">
        <f aca="false">IF($A1014="","",'Agences &amp; Après-vente'!$D216)</f>
        <v/>
      </c>
      <c r="F1014" s="116" t="str">
        <f aca="false">IF($A1014="","",'Agences &amp; Après-vente'!$E216)</f>
        <v/>
      </c>
      <c r="G1014" s="116" t="str">
        <f aca="false">IF($A1014="","",'Agences &amp; Après-vente'!$F216)</f>
        <v/>
      </c>
      <c r="H1014" s="0" t="str">
        <f aca="true">IF($A1014="","",IFERROR(MAX(0,NETWORKDAYS(TODAY(),'Agences &amp; Après-vente'!$F216)),""))</f>
        <v/>
      </c>
      <c r="I1014" s="0" t="str">
        <f aca="false">IF($A1014="","",'Agences &amp; Après-vente'!$I216)</f>
        <v/>
      </c>
      <c r="K1014" s="104" t="n">
        <f aca="false">IF(A1014="",0,IF(IFERROR(VLOOKUP(A1014,Skills!$A:$M,13,FALSE()),"")="COS",0,IF(OR(I1014="En cours",I1014="À venir",I1014="À planifier"),IF(AND(OR($C$3="Tous",$C$3="",C1014=$C$3),OR($E$3="Tous",$E$3="",I1014=$E$3)),1,0),0)))</f>
        <v>0</v>
      </c>
      <c r="L1014" s="104" t="n">
        <f aca="false">L1013+K1014</f>
        <v>17</v>
      </c>
    </row>
    <row r="1015" customFormat="false" ht="15" hidden="true" customHeight="true" outlineLevel="0" collapsed="false">
      <c r="A1015" s="0" t="str">
        <f aca="false">IF('Agences &amp; Après-vente'!$A217="","",'Agences &amp; Après-vente'!$A217)</f>
        <v/>
      </c>
      <c r="B1015" s="0" t="str">
        <f aca="false">IF($A1015="","",'Agences &amp; Après-vente'!$B217)</f>
        <v/>
      </c>
      <c r="C1015" s="0" t="str">
        <f aca="false">IF($A1015="","",'Agences &amp; Après-vente'!$C217)</f>
        <v/>
      </c>
      <c r="D1015" s="0" t="str">
        <f aca="false">IF($A1015="","","Nouvelle compétence")</f>
        <v/>
      </c>
      <c r="E1015" s="0" t="str">
        <f aca="false">IF($A1015="","",'Agences &amp; Après-vente'!$D217)</f>
        <v/>
      </c>
      <c r="F1015" s="116" t="str">
        <f aca="false">IF($A1015="","",'Agences &amp; Après-vente'!$E217)</f>
        <v/>
      </c>
      <c r="G1015" s="116" t="str">
        <f aca="false">IF($A1015="","",'Agences &amp; Après-vente'!$F217)</f>
        <v/>
      </c>
      <c r="H1015" s="0" t="str">
        <f aca="true">IF($A1015="","",IFERROR(MAX(0,NETWORKDAYS(TODAY(),'Agences &amp; Après-vente'!$F217)),""))</f>
        <v/>
      </c>
      <c r="I1015" s="0" t="str">
        <f aca="false">IF($A1015="","",'Agences &amp; Après-vente'!$I217)</f>
        <v/>
      </c>
      <c r="K1015" s="104" t="n">
        <f aca="false">IF(A1015="",0,IF(IFERROR(VLOOKUP(A1015,Skills!$A:$M,13,FALSE()),"")="COS",0,IF(OR(I1015="En cours",I1015="À venir",I1015="À planifier"),IF(AND(OR($C$3="Tous",$C$3="",C1015=$C$3),OR($E$3="Tous",$E$3="",I1015=$E$3)),1,0),0)))</f>
        <v>0</v>
      </c>
      <c r="L1015" s="104" t="n">
        <f aca="false">L1014+K1015</f>
        <v>17</v>
      </c>
    </row>
    <row r="1016" customFormat="false" ht="15" hidden="true" customHeight="true" outlineLevel="0" collapsed="false">
      <c r="A1016" s="0" t="str">
        <f aca="false">IF('Agences &amp; Après-vente'!$A218="","",'Agences &amp; Après-vente'!$A218)</f>
        <v/>
      </c>
      <c r="B1016" s="0" t="str">
        <f aca="false">IF($A1016="","",'Agences &amp; Après-vente'!$B218)</f>
        <v/>
      </c>
      <c r="C1016" s="0" t="str">
        <f aca="false">IF($A1016="","",'Agences &amp; Après-vente'!$C218)</f>
        <v/>
      </c>
      <c r="D1016" s="0" t="str">
        <f aca="false">IF($A1016="","","Nouvelle compétence")</f>
        <v/>
      </c>
      <c r="E1016" s="0" t="str">
        <f aca="false">IF($A1016="","",'Agences &amp; Après-vente'!$D218)</f>
        <v/>
      </c>
      <c r="F1016" s="116" t="str">
        <f aca="false">IF($A1016="","",'Agences &amp; Après-vente'!$E218)</f>
        <v/>
      </c>
      <c r="G1016" s="116" t="str">
        <f aca="false">IF($A1016="","",'Agences &amp; Après-vente'!$F218)</f>
        <v/>
      </c>
      <c r="H1016" s="0" t="str">
        <f aca="true">IF($A1016="","",IFERROR(MAX(0,NETWORKDAYS(TODAY(),'Agences &amp; Après-vente'!$F218)),""))</f>
        <v/>
      </c>
      <c r="I1016" s="0" t="str">
        <f aca="false">IF($A1016="","",'Agences &amp; Après-vente'!$I218)</f>
        <v/>
      </c>
      <c r="K1016" s="104" t="n">
        <f aca="false">IF(A1016="",0,IF(IFERROR(VLOOKUP(A1016,Skills!$A:$M,13,FALSE()),"")="COS",0,IF(OR(I1016="En cours",I1016="À venir",I1016="À planifier"),IF(AND(OR($C$3="Tous",$C$3="",C1016=$C$3),OR($E$3="Tous",$E$3="",I1016=$E$3)),1,0),0)))</f>
        <v>0</v>
      </c>
      <c r="L1016" s="104" t="n">
        <f aca="false">L1015+K1016</f>
        <v>17</v>
      </c>
    </row>
    <row r="1017" customFormat="false" ht="15" hidden="true" customHeight="true" outlineLevel="0" collapsed="false">
      <c r="A1017" s="0" t="str">
        <f aca="false">IF('Agences &amp; Après-vente'!$A219="","",'Agences &amp; Après-vente'!$A219)</f>
        <v/>
      </c>
      <c r="B1017" s="0" t="str">
        <f aca="false">IF($A1017="","",'Agences &amp; Après-vente'!$B219)</f>
        <v/>
      </c>
      <c r="C1017" s="0" t="str">
        <f aca="false">IF($A1017="","",'Agences &amp; Après-vente'!$C219)</f>
        <v/>
      </c>
      <c r="D1017" s="0" t="str">
        <f aca="false">IF($A1017="","","Nouvelle compétence")</f>
        <v/>
      </c>
      <c r="E1017" s="0" t="str">
        <f aca="false">IF($A1017="","",'Agences &amp; Après-vente'!$D219)</f>
        <v/>
      </c>
      <c r="F1017" s="116" t="str">
        <f aca="false">IF($A1017="","",'Agences &amp; Après-vente'!$E219)</f>
        <v/>
      </c>
      <c r="G1017" s="116" t="str">
        <f aca="false">IF($A1017="","",'Agences &amp; Après-vente'!$F219)</f>
        <v/>
      </c>
      <c r="H1017" s="0" t="str">
        <f aca="true">IF($A1017="","",IFERROR(MAX(0,NETWORKDAYS(TODAY(),'Agences &amp; Après-vente'!$F219)),""))</f>
        <v/>
      </c>
      <c r="I1017" s="0" t="str">
        <f aca="false">IF($A1017="","",'Agences &amp; Après-vente'!$I219)</f>
        <v/>
      </c>
      <c r="K1017" s="104" t="n">
        <f aca="false">IF(A1017="",0,IF(IFERROR(VLOOKUP(A1017,Skills!$A:$M,13,FALSE()),"")="COS",0,IF(OR(I1017="En cours",I1017="À venir",I1017="À planifier"),IF(AND(OR($C$3="Tous",$C$3="",C1017=$C$3),OR($E$3="Tous",$E$3="",I1017=$E$3)),1,0),0)))</f>
        <v>0</v>
      </c>
      <c r="L1017" s="104" t="n">
        <f aca="false">L1016+K1017</f>
        <v>17</v>
      </c>
    </row>
    <row r="1018" customFormat="false" ht="15" hidden="true" customHeight="true" outlineLevel="0" collapsed="false">
      <c r="A1018" s="0" t="str">
        <f aca="false">IF('Agences &amp; Après-vente'!$A220="","",'Agences &amp; Après-vente'!$A220)</f>
        <v/>
      </c>
      <c r="B1018" s="0" t="str">
        <f aca="false">IF($A1018="","",'Agences &amp; Après-vente'!$B220)</f>
        <v/>
      </c>
      <c r="C1018" s="0" t="str">
        <f aca="false">IF($A1018="","",'Agences &amp; Après-vente'!$C220)</f>
        <v/>
      </c>
      <c r="D1018" s="0" t="str">
        <f aca="false">IF($A1018="","","Nouvelle compétence")</f>
        <v/>
      </c>
      <c r="E1018" s="0" t="str">
        <f aca="false">IF($A1018="","",'Agences &amp; Après-vente'!$D220)</f>
        <v/>
      </c>
      <c r="F1018" s="116" t="str">
        <f aca="false">IF($A1018="","",'Agences &amp; Après-vente'!$E220)</f>
        <v/>
      </c>
      <c r="G1018" s="116" t="str">
        <f aca="false">IF($A1018="","",'Agences &amp; Après-vente'!$F220)</f>
        <v/>
      </c>
      <c r="H1018" s="0" t="str">
        <f aca="true">IF($A1018="","",IFERROR(MAX(0,NETWORKDAYS(TODAY(),'Agences &amp; Après-vente'!$F220)),""))</f>
        <v/>
      </c>
      <c r="I1018" s="0" t="str">
        <f aca="false">IF($A1018="","",'Agences &amp; Après-vente'!$I220)</f>
        <v/>
      </c>
      <c r="K1018" s="104" t="n">
        <f aca="false">IF(A1018="",0,IF(IFERROR(VLOOKUP(A1018,Skills!$A:$M,13,FALSE()),"")="COS",0,IF(OR(I1018="En cours",I1018="À venir",I1018="À planifier"),IF(AND(OR($C$3="Tous",$C$3="",C1018=$C$3),OR($E$3="Tous",$E$3="",I1018=$E$3)),1,0),0)))</f>
        <v>0</v>
      </c>
      <c r="L1018" s="104" t="n">
        <f aca="false">L1017+K1018</f>
        <v>17</v>
      </c>
    </row>
    <row r="1019" customFormat="false" ht="15" hidden="true" customHeight="true" outlineLevel="0" collapsed="false">
      <c r="A1019" s="0" t="str">
        <f aca="false">IF('Agences &amp; Après-vente'!$A221="","",'Agences &amp; Après-vente'!$A221)</f>
        <v/>
      </c>
      <c r="B1019" s="0" t="str">
        <f aca="false">IF($A1019="","",'Agences &amp; Après-vente'!$B221)</f>
        <v/>
      </c>
      <c r="C1019" s="0" t="str">
        <f aca="false">IF($A1019="","",'Agences &amp; Après-vente'!$C221)</f>
        <v/>
      </c>
      <c r="D1019" s="0" t="str">
        <f aca="false">IF($A1019="","","Nouvelle compétence")</f>
        <v/>
      </c>
      <c r="E1019" s="0" t="str">
        <f aca="false">IF($A1019="","",'Agences &amp; Après-vente'!$D221)</f>
        <v/>
      </c>
      <c r="F1019" s="116" t="str">
        <f aca="false">IF($A1019="","",'Agences &amp; Après-vente'!$E221)</f>
        <v/>
      </c>
      <c r="G1019" s="116" t="str">
        <f aca="false">IF($A1019="","",'Agences &amp; Après-vente'!$F221)</f>
        <v/>
      </c>
      <c r="H1019" s="0" t="str">
        <f aca="true">IF($A1019="","",IFERROR(MAX(0,NETWORKDAYS(TODAY(),'Agences &amp; Après-vente'!$F221)),""))</f>
        <v/>
      </c>
      <c r="I1019" s="0" t="str">
        <f aca="false">IF($A1019="","",'Agences &amp; Après-vente'!$I221)</f>
        <v/>
      </c>
      <c r="K1019" s="104" t="n">
        <f aca="false">IF(A1019="",0,IF(IFERROR(VLOOKUP(A1019,Skills!$A:$M,13,FALSE()),"")="COS",0,IF(OR(I1019="En cours",I1019="À venir",I1019="À planifier"),IF(AND(OR($C$3="Tous",$C$3="",C1019=$C$3),OR($E$3="Tous",$E$3="",I1019=$E$3)),1,0),0)))</f>
        <v>0</v>
      </c>
      <c r="L1019" s="104" t="n">
        <f aca="false">L1018+K1019</f>
        <v>17</v>
      </c>
    </row>
    <row r="1020" customFormat="false" ht="15" hidden="true" customHeight="true" outlineLevel="0" collapsed="false">
      <c r="A1020" s="0" t="str">
        <f aca="false">IF('Agences &amp; Après-vente'!$A222="","",'Agences &amp; Après-vente'!$A222)</f>
        <v/>
      </c>
      <c r="B1020" s="0" t="str">
        <f aca="false">IF($A1020="","",'Agences &amp; Après-vente'!$B222)</f>
        <v/>
      </c>
      <c r="C1020" s="0" t="str">
        <f aca="false">IF($A1020="","",'Agences &amp; Après-vente'!$C222)</f>
        <v/>
      </c>
      <c r="D1020" s="0" t="str">
        <f aca="false">IF($A1020="","","Nouvelle compétence")</f>
        <v/>
      </c>
      <c r="E1020" s="0" t="str">
        <f aca="false">IF($A1020="","",'Agences &amp; Après-vente'!$D222)</f>
        <v/>
      </c>
      <c r="F1020" s="116" t="str">
        <f aca="false">IF($A1020="","",'Agences &amp; Après-vente'!$E222)</f>
        <v/>
      </c>
      <c r="G1020" s="116" t="str">
        <f aca="false">IF($A1020="","",'Agences &amp; Après-vente'!$F222)</f>
        <v/>
      </c>
      <c r="H1020" s="0" t="str">
        <f aca="true">IF($A1020="","",IFERROR(MAX(0,NETWORKDAYS(TODAY(),'Agences &amp; Après-vente'!$F222)),""))</f>
        <v/>
      </c>
      <c r="I1020" s="0" t="str">
        <f aca="false">IF($A1020="","",'Agences &amp; Après-vente'!$I222)</f>
        <v/>
      </c>
      <c r="K1020" s="104" t="n">
        <f aca="false">IF(A1020="",0,IF(IFERROR(VLOOKUP(A1020,Skills!$A:$M,13,FALSE()),"")="COS",0,IF(OR(I1020="En cours",I1020="À venir",I1020="À planifier"),IF(AND(OR($C$3="Tous",$C$3="",C1020=$C$3),OR($E$3="Tous",$E$3="",I1020=$E$3)),1,0),0)))</f>
        <v>0</v>
      </c>
      <c r="L1020" s="104" t="n">
        <f aca="false">L1019+K1020</f>
        <v>17</v>
      </c>
    </row>
    <row r="1021" customFormat="false" ht="15" hidden="true" customHeight="true" outlineLevel="0" collapsed="false">
      <c r="A1021" s="0" t="str">
        <f aca="false">IF('Agences &amp; Après-vente'!$A223="","",'Agences &amp; Après-vente'!$A223)</f>
        <v/>
      </c>
      <c r="B1021" s="0" t="str">
        <f aca="false">IF($A1021="","",'Agences &amp; Après-vente'!$B223)</f>
        <v/>
      </c>
      <c r="C1021" s="0" t="str">
        <f aca="false">IF($A1021="","",'Agences &amp; Après-vente'!$C223)</f>
        <v/>
      </c>
      <c r="D1021" s="0" t="str">
        <f aca="false">IF($A1021="","","Nouvelle compétence")</f>
        <v/>
      </c>
      <c r="E1021" s="0" t="str">
        <f aca="false">IF($A1021="","",'Agences &amp; Après-vente'!$D223)</f>
        <v/>
      </c>
      <c r="F1021" s="116" t="str">
        <f aca="false">IF($A1021="","",'Agences &amp; Après-vente'!$E223)</f>
        <v/>
      </c>
      <c r="G1021" s="116" t="str">
        <f aca="false">IF($A1021="","",'Agences &amp; Après-vente'!$F223)</f>
        <v/>
      </c>
      <c r="H1021" s="0" t="str">
        <f aca="true">IF($A1021="","",IFERROR(MAX(0,NETWORKDAYS(TODAY(),'Agences &amp; Après-vente'!$F223)),""))</f>
        <v/>
      </c>
      <c r="I1021" s="0" t="str">
        <f aca="false">IF($A1021="","",'Agences &amp; Après-vente'!$I223)</f>
        <v/>
      </c>
      <c r="K1021" s="104" t="n">
        <f aca="false">IF(A1021="",0,IF(IFERROR(VLOOKUP(A1021,Skills!$A:$M,13,FALSE()),"")="COS",0,IF(OR(I1021="En cours",I1021="À venir",I1021="À planifier"),IF(AND(OR($C$3="Tous",$C$3="",C1021=$C$3),OR($E$3="Tous",$E$3="",I1021=$E$3)),1,0),0)))</f>
        <v>0</v>
      </c>
      <c r="L1021" s="104" t="n">
        <f aca="false">L1020+K1021</f>
        <v>17</v>
      </c>
    </row>
    <row r="1022" customFormat="false" ht="15" hidden="true" customHeight="true" outlineLevel="0" collapsed="false">
      <c r="A1022" s="0" t="str">
        <f aca="false">IF('Agences &amp; Après-vente'!$A224="","",'Agences &amp; Après-vente'!$A224)</f>
        <v/>
      </c>
      <c r="B1022" s="0" t="str">
        <f aca="false">IF($A1022="","",'Agences &amp; Après-vente'!$B224)</f>
        <v/>
      </c>
      <c r="C1022" s="0" t="str">
        <f aca="false">IF($A1022="","",'Agences &amp; Après-vente'!$C224)</f>
        <v/>
      </c>
      <c r="D1022" s="0" t="str">
        <f aca="false">IF($A1022="","","Nouvelle compétence")</f>
        <v/>
      </c>
      <c r="E1022" s="0" t="str">
        <f aca="false">IF($A1022="","",'Agences &amp; Après-vente'!$D224)</f>
        <v/>
      </c>
      <c r="F1022" s="116" t="str">
        <f aca="false">IF($A1022="","",'Agences &amp; Après-vente'!$E224)</f>
        <v/>
      </c>
      <c r="G1022" s="116" t="str">
        <f aca="false">IF($A1022="","",'Agences &amp; Après-vente'!$F224)</f>
        <v/>
      </c>
      <c r="H1022" s="0" t="str">
        <f aca="true">IF($A1022="","",IFERROR(MAX(0,NETWORKDAYS(TODAY(),'Agences &amp; Après-vente'!$F224)),""))</f>
        <v/>
      </c>
      <c r="I1022" s="0" t="str">
        <f aca="false">IF($A1022="","",'Agences &amp; Après-vente'!$I224)</f>
        <v/>
      </c>
      <c r="K1022" s="104" t="n">
        <f aca="false">IF(A1022="",0,IF(IFERROR(VLOOKUP(A1022,Skills!$A:$M,13,FALSE()),"")="COS",0,IF(OR(I1022="En cours",I1022="À venir",I1022="À planifier"),IF(AND(OR($C$3="Tous",$C$3="",C1022=$C$3),OR($E$3="Tous",$E$3="",I1022=$E$3)),1,0),0)))</f>
        <v>0</v>
      </c>
      <c r="L1022" s="104" t="n">
        <f aca="false">L1021+K1022</f>
        <v>17</v>
      </c>
    </row>
    <row r="1023" customFormat="false" ht="15" hidden="true" customHeight="true" outlineLevel="0" collapsed="false">
      <c r="A1023" s="0" t="str">
        <f aca="false">IF('Agences &amp; Après-vente'!$A225="","",'Agences &amp; Après-vente'!$A225)</f>
        <v/>
      </c>
      <c r="B1023" s="0" t="str">
        <f aca="false">IF($A1023="","",'Agences &amp; Après-vente'!$B225)</f>
        <v/>
      </c>
      <c r="C1023" s="0" t="str">
        <f aca="false">IF($A1023="","",'Agences &amp; Après-vente'!$C225)</f>
        <v/>
      </c>
      <c r="D1023" s="0" t="str">
        <f aca="false">IF($A1023="","","Nouvelle compétence")</f>
        <v/>
      </c>
      <c r="E1023" s="0" t="str">
        <f aca="false">IF($A1023="","",'Agences &amp; Après-vente'!$D225)</f>
        <v/>
      </c>
      <c r="F1023" s="116" t="str">
        <f aca="false">IF($A1023="","",'Agences &amp; Après-vente'!$E225)</f>
        <v/>
      </c>
      <c r="G1023" s="116" t="str">
        <f aca="false">IF($A1023="","",'Agences &amp; Après-vente'!$F225)</f>
        <v/>
      </c>
      <c r="H1023" s="0" t="str">
        <f aca="true">IF($A1023="","",IFERROR(MAX(0,NETWORKDAYS(TODAY(),'Agences &amp; Après-vente'!$F225)),""))</f>
        <v/>
      </c>
      <c r="I1023" s="0" t="str">
        <f aca="false">IF($A1023="","",'Agences &amp; Après-vente'!$I225)</f>
        <v/>
      </c>
      <c r="K1023" s="104" t="n">
        <f aca="false">IF(A1023="",0,IF(IFERROR(VLOOKUP(A1023,Skills!$A:$M,13,FALSE()),"")="COS",0,IF(OR(I1023="En cours",I1023="À venir",I1023="À planifier"),IF(AND(OR($C$3="Tous",$C$3="",C1023=$C$3),OR($E$3="Tous",$E$3="",I1023=$E$3)),1,0),0)))</f>
        <v>0</v>
      </c>
      <c r="L1023" s="104" t="n">
        <f aca="false">L1022+K1023</f>
        <v>17</v>
      </c>
    </row>
    <row r="1024" customFormat="false" ht="15" hidden="true" customHeight="true" outlineLevel="0" collapsed="false">
      <c r="A1024" s="0" t="str">
        <f aca="false">IF('Agences &amp; Après-vente'!$A226="","",'Agences &amp; Après-vente'!$A226)</f>
        <v/>
      </c>
      <c r="B1024" s="0" t="str">
        <f aca="false">IF($A1024="","",'Agences &amp; Après-vente'!$B226)</f>
        <v/>
      </c>
      <c r="C1024" s="0" t="str">
        <f aca="false">IF($A1024="","",'Agences &amp; Après-vente'!$C226)</f>
        <v/>
      </c>
      <c r="D1024" s="0" t="str">
        <f aca="false">IF($A1024="","","Nouvelle compétence")</f>
        <v/>
      </c>
      <c r="E1024" s="0" t="str">
        <f aca="false">IF($A1024="","",'Agences &amp; Après-vente'!$D226)</f>
        <v/>
      </c>
      <c r="F1024" s="116" t="str">
        <f aca="false">IF($A1024="","",'Agences &amp; Après-vente'!$E226)</f>
        <v/>
      </c>
      <c r="G1024" s="116" t="str">
        <f aca="false">IF($A1024="","",'Agences &amp; Après-vente'!$F226)</f>
        <v/>
      </c>
      <c r="H1024" s="0" t="str">
        <f aca="true">IF($A1024="","",IFERROR(MAX(0,NETWORKDAYS(TODAY(),'Agences &amp; Après-vente'!$F226)),""))</f>
        <v/>
      </c>
      <c r="I1024" s="0" t="str">
        <f aca="false">IF($A1024="","",'Agences &amp; Après-vente'!$I226)</f>
        <v/>
      </c>
      <c r="K1024" s="104" t="n">
        <f aca="false">IF(A1024="",0,IF(IFERROR(VLOOKUP(A1024,Skills!$A:$M,13,FALSE()),"")="COS",0,IF(OR(I1024="En cours",I1024="À venir",I1024="À planifier"),IF(AND(OR($C$3="Tous",$C$3="",C1024=$C$3),OR($E$3="Tous",$E$3="",I1024=$E$3)),1,0),0)))</f>
        <v>0</v>
      </c>
      <c r="L1024" s="104" t="n">
        <f aca="false">L1023+K1024</f>
        <v>17</v>
      </c>
    </row>
    <row r="1025" customFormat="false" ht="15" hidden="true" customHeight="true" outlineLevel="0" collapsed="false">
      <c r="A1025" s="0" t="str">
        <f aca="false">IF('Agences &amp; Après-vente'!$A227="","",'Agences &amp; Après-vente'!$A227)</f>
        <v/>
      </c>
      <c r="B1025" s="0" t="str">
        <f aca="false">IF($A1025="","",'Agences &amp; Après-vente'!$B227)</f>
        <v/>
      </c>
      <c r="C1025" s="0" t="str">
        <f aca="false">IF($A1025="","",'Agences &amp; Après-vente'!$C227)</f>
        <v/>
      </c>
      <c r="D1025" s="0" t="str">
        <f aca="false">IF($A1025="","","Nouvelle compétence")</f>
        <v/>
      </c>
      <c r="E1025" s="0" t="str">
        <f aca="false">IF($A1025="","",'Agences &amp; Après-vente'!$D227)</f>
        <v/>
      </c>
      <c r="F1025" s="116" t="str">
        <f aca="false">IF($A1025="","",'Agences &amp; Après-vente'!$E227)</f>
        <v/>
      </c>
      <c r="G1025" s="116" t="str">
        <f aca="false">IF($A1025="","",'Agences &amp; Après-vente'!$F227)</f>
        <v/>
      </c>
      <c r="H1025" s="0" t="str">
        <f aca="true">IF($A1025="","",IFERROR(MAX(0,NETWORKDAYS(TODAY(),'Agences &amp; Après-vente'!$F227)),""))</f>
        <v/>
      </c>
      <c r="I1025" s="0" t="str">
        <f aca="false">IF($A1025="","",'Agences &amp; Après-vente'!$I227)</f>
        <v/>
      </c>
      <c r="K1025" s="104" t="n">
        <f aca="false">IF(A1025="",0,IF(IFERROR(VLOOKUP(A1025,Skills!$A:$M,13,FALSE()),"")="COS",0,IF(OR(I1025="En cours",I1025="À venir",I1025="À planifier"),IF(AND(OR($C$3="Tous",$C$3="",C1025=$C$3),OR($E$3="Tous",$E$3="",I1025=$E$3)),1,0),0)))</f>
        <v>0</v>
      </c>
      <c r="L1025" s="104" t="n">
        <f aca="false">L1024+K1025</f>
        <v>17</v>
      </c>
    </row>
    <row r="1026" customFormat="false" ht="15" hidden="true" customHeight="true" outlineLevel="0" collapsed="false">
      <c r="A1026" s="0" t="str">
        <f aca="false">IF('Agences &amp; Après-vente'!$A228="","",'Agences &amp; Après-vente'!$A228)</f>
        <v/>
      </c>
      <c r="B1026" s="0" t="str">
        <f aca="false">IF($A1026="","",'Agences &amp; Après-vente'!$B228)</f>
        <v/>
      </c>
      <c r="C1026" s="0" t="str">
        <f aca="false">IF($A1026="","",'Agences &amp; Après-vente'!$C228)</f>
        <v/>
      </c>
      <c r="D1026" s="0" t="str">
        <f aca="false">IF($A1026="","","Nouvelle compétence")</f>
        <v/>
      </c>
      <c r="E1026" s="0" t="str">
        <f aca="false">IF($A1026="","",'Agences &amp; Après-vente'!$D228)</f>
        <v/>
      </c>
      <c r="F1026" s="116" t="str">
        <f aca="false">IF($A1026="","",'Agences &amp; Après-vente'!$E228)</f>
        <v/>
      </c>
      <c r="G1026" s="116" t="str">
        <f aca="false">IF($A1026="","",'Agences &amp; Après-vente'!$F228)</f>
        <v/>
      </c>
      <c r="H1026" s="0" t="str">
        <f aca="true">IF($A1026="","",IFERROR(MAX(0,NETWORKDAYS(TODAY(),'Agences &amp; Après-vente'!$F228)),""))</f>
        <v/>
      </c>
      <c r="I1026" s="0" t="str">
        <f aca="false">IF($A1026="","",'Agences &amp; Après-vente'!$I228)</f>
        <v/>
      </c>
      <c r="K1026" s="104" t="n">
        <f aca="false">IF(A1026="",0,IF(IFERROR(VLOOKUP(A1026,Skills!$A:$M,13,FALSE()),"")="COS",0,IF(OR(I1026="En cours",I1026="À venir",I1026="À planifier"),IF(AND(OR($C$3="Tous",$C$3="",C1026=$C$3),OR($E$3="Tous",$E$3="",I1026=$E$3)),1,0),0)))</f>
        <v>0</v>
      </c>
      <c r="L1026" s="104" t="n">
        <f aca="false">L1025+K1026</f>
        <v>17</v>
      </c>
    </row>
    <row r="1027" customFormat="false" ht="15" hidden="true" customHeight="true" outlineLevel="0" collapsed="false">
      <c r="A1027" s="0" t="str">
        <f aca="false">IF('Agences &amp; Après-vente'!$A229="","",'Agences &amp; Après-vente'!$A229)</f>
        <v/>
      </c>
      <c r="B1027" s="0" t="str">
        <f aca="false">IF($A1027="","",'Agences &amp; Après-vente'!$B229)</f>
        <v/>
      </c>
      <c r="C1027" s="0" t="str">
        <f aca="false">IF($A1027="","",'Agences &amp; Après-vente'!$C229)</f>
        <v/>
      </c>
      <c r="D1027" s="0" t="str">
        <f aca="false">IF($A1027="","","Nouvelle compétence")</f>
        <v/>
      </c>
      <c r="E1027" s="0" t="str">
        <f aca="false">IF($A1027="","",'Agences &amp; Après-vente'!$D229)</f>
        <v/>
      </c>
      <c r="F1027" s="116" t="str">
        <f aca="false">IF($A1027="","",'Agences &amp; Après-vente'!$E229)</f>
        <v/>
      </c>
      <c r="G1027" s="116" t="str">
        <f aca="false">IF($A1027="","",'Agences &amp; Après-vente'!$F229)</f>
        <v/>
      </c>
      <c r="H1027" s="0" t="str">
        <f aca="true">IF($A1027="","",IFERROR(MAX(0,NETWORKDAYS(TODAY(),'Agences &amp; Après-vente'!$F229)),""))</f>
        <v/>
      </c>
      <c r="I1027" s="0" t="str">
        <f aca="false">IF($A1027="","",'Agences &amp; Après-vente'!$I229)</f>
        <v/>
      </c>
      <c r="K1027" s="104" t="n">
        <f aca="false">IF(A1027="",0,IF(IFERROR(VLOOKUP(A1027,Skills!$A:$M,13,FALSE()),"")="COS",0,IF(OR(I1027="En cours",I1027="À venir",I1027="À planifier"),IF(AND(OR($C$3="Tous",$C$3="",C1027=$C$3),OR($E$3="Tous",$E$3="",I1027=$E$3)),1,0),0)))</f>
        <v>0</v>
      </c>
      <c r="L1027" s="104" t="n">
        <f aca="false">L1026+K1027</f>
        <v>17</v>
      </c>
    </row>
    <row r="1028" customFormat="false" ht="15" hidden="true" customHeight="true" outlineLevel="0" collapsed="false">
      <c r="A1028" s="0" t="str">
        <f aca="false">IF('Agences &amp; Après-vente'!$A230="","",'Agences &amp; Après-vente'!$A230)</f>
        <v/>
      </c>
      <c r="B1028" s="0" t="str">
        <f aca="false">IF($A1028="","",'Agences &amp; Après-vente'!$B230)</f>
        <v/>
      </c>
      <c r="C1028" s="0" t="str">
        <f aca="false">IF($A1028="","",'Agences &amp; Après-vente'!$C230)</f>
        <v/>
      </c>
      <c r="D1028" s="0" t="str">
        <f aca="false">IF($A1028="","","Nouvelle compétence")</f>
        <v/>
      </c>
      <c r="E1028" s="0" t="str">
        <f aca="false">IF($A1028="","",'Agences &amp; Après-vente'!$D230)</f>
        <v/>
      </c>
      <c r="F1028" s="116" t="str">
        <f aca="false">IF($A1028="","",'Agences &amp; Après-vente'!$E230)</f>
        <v/>
      </c>
      <c r="G1028" s="116" t="str">
        <f aca="false">IF($A1028="","",'Agences &amp; Après-vente'!$F230)</f>
        <v/>
      </c>
      <c r="H1028" s="0" t="str">
        <f aca="true">IF($A1028="","",IFERROR(MAX(0,NETWORKDAYS(TODAY(),'Agences &amp; Après-vente'!$F230)),""))</f>
        <v/>
      </c>
      <c r="I1028" s="0" t="str">
        <f aca="false">IF($A1028="","",'Agences &amp; Après-vente'!$I230)</f>
        <v/>
      </c>
      <c r="K1028" s="104" t="n">
        <f aca="false">IF(A1028="",0,IF(IFERROR(VLOOKUP(A1028,Skills!$A:$M,13,FALSE()),"")="COS",0,IF(OR(I1028="En cours",I1028="À venir",I1028="À planifier"),IF(AND(OR($C$3="Tous",$C$3="",C1028=$C$3),OR($E$3="Tous",$E$3="",I1028=$E$3)),1,0),0)))</f>
        <v>0</v>
      </c>
      <c r="L1028" s="104" t="n">
        <f aca="false">L1027+K1028</f>
        <v>17</v>
      </c>
    </row>
    <row r="1029" customFormat="false" ht="15" hidden="true" customHeight="true" outlineLevel="0" collapsed="false">
      <c r="A1029" s="0" t="str">
        <f aca="false">IF('Agences &amp; Après-vente'!$A231="","",'Agences &amp; Après-vente'!$A231)</f>
        <v/>
      </c>
      <c r="B1029" s="0" t="str">
        <f aca="false">IF($A1029="","",'Agences &amp; Après-vente'!$B231)</f>
        <v/>
      </c>
      <c r="C1029" s="0" t="str">
        <f aca="false">IF($A1029="","",'Agences &amp; Après-vente'!$C231)</f>
        <v/>
      </c>
      <c r="D1029" s="0" t="str">
        <f aca="false">IF($A1029="","","Nouvelle compétence")</f>
        <v/>
      </c>
      <c r="E1029" s="0" t="str">
        <f aca="false">IF($A1029="","",'Agences &amp; Après-vente'!$D231)</f>
        <v/>
      </c>
      <c r="F1029" s="116" t="str">
        <f aca="false">IF($A1029="","",'Agences &amp; Après-vente'!$E231)</f>
        <v/>
      </c>
      <c r="G1029" s="116" t="str">
        <f aca="false">IF($A1029="","",'Agences &amp; Après-vente'!$F231)</f>
        <v/>
      </c>
      <c r="H1029" s="0" t="str">
        <f aca="true">IF($A1029="","",IFERROR(MAX(0,NETWORKDAYS(TODAY(),'Agences &amp; Après-vente'!$F231)),""))</f>
        <v/>
      </c>
      <c r="I1029" s="0" t="str">
        <f aca="false">IF($A1029="","",'Agences &amp; Après-vente'!$I231)</f>
        <v/>
      </c>
      <c r="K1029" s="104" t="n">
        <f aca="false">IF(A1029="",0,IF(IFERROR(VLOOKUP(A1029,Skills!$A:$M,13,FALSE()),"")="COS",0,IF(OR(I1029="En cours",I1029="À venir",I1029="À planifier"),IF(AND(OR($C$3="Tous",$C$3="",C1029=$C$3),OR($E$3="Tous",$E$3="",I1029=$E$3)),1,0),0)))</f>
        <v>0</v>
      </c>
      <c r="L1029" s="104" t="n">
        <f aca="false">L1028+K1029</f>
        <v>17</v>
      </c>
    </row>
    <row r="1030" customFormat="false" ht="15" hidden="true" customHeight="true" outlineLevel="0" collapsed="false">
      <c r="A1030" s="0" t="str">
        <f aca="false">IF('Agences &amp; Après-vente'!$A232="","",'Agences &amp; Après-vente'!$A232)</f>
        <v/>
      </c>
      <c r="B1030" s="0" t="str">
        <f aca="false">IF($A1030="","",'Agences &amp; Après-vente'!$B232)</f>
        <v/>
      </c>
      <c r="C1030" s="0" t="str">
        <f aca="false">IF($A1030="","",'Agences &amp; Après-vente'!$C232)</f>
        <v/>
      </c>
      <c r="D1030" s="0" t="str">
        <f aca="false">IF($A1030="","","Nouvelle compétence")</f>
        <v/>
      </c>
      <c r="E1030" s="0" t="str">
        <f aca="false">IF($A1030="","",'Agences &amp; Après-vente'!$D232)</f>
        <v/>
      </c>
      <c r="F1030" s="116" t="str">
        <f aca="false">IF($A1030="","",'Agences &amp; Après-vente'!$E232)</f>
        <v/>
      </c>
      <c r="G1030" s="116" t="str">
        <f aca="false">IF($A1030="","",'Agences &amp; Après-vente'!$F232)</f>
        <v/>
      </c>
      <c r="H1030" s="0" t="str">
        <f aca="true">IF($A1030="","",IFERROR(MAX(0,NETWORKDAYS(TODAY(),'Agences &amp; Après-vente'!$F232)),""))</f>
        <v/>
      </c>
      <c r="I1030" s="0" t="str">
        <f aca="false">IF($A1030="","",'Agences &amp; Après-vente'!$I232)</f>
        <v/>
      </c>
      <c r="K1030" s="104" t="n">
        <f aca="false">IF(A1030="",0,IF(IFERROR(VLOOKUP(A1030,Skills!$A:$M,13,FALSE()),"")="COS",0,IF(OR(I1030="En cours",I1030="À venir",I1030="À planifier"),IF(AND(OR($C$3="Tous",$C$3="",C1030=$C$3),OR($E$3="Tous",$E$3="",I1030=$E$3)),1,0),0)))</f>
        <v>0</v>
      </c>
      <c r="L1030" s="104" t="n">
        <f aca="false">L1029+K1030</f>
        <v>17</v>
      </c>
    </row>
    <row r="1031" customFormat="false" ht="15" hidden="true" customHeight="true" outlineLevel="0" collapsed="false">
      <c r="A1031" s="0" t="str">
        <f aca="false">IF('Agences &amp; Après-vente'!$A233="","",'Agences &amp; Après-vente'!$A233)</f>
        <v/>
      </c>
      <c r="B1031" s="0" t="str">
        <f aca="false">IF($A1031="","",'Agences &amp; Après-vente'!$B233)</f>
        <v/>
      </c>
      <c r="C1031" s="0" t="str">
        <f aca="false">IF($A1031="","",'Agences &amp; Après-vente'!$C233)</f>
        <v/>
      </c>
      <c r="D1031" s="0" t="str">
        <f aca="false">IF($A1031="","","Nouvelle compétence")</f>
        <v/>
      </c>
      <c r="E1031" s="0" t="str">
        <f aca="false">IF($A1031="","",'Agences &amp; Après-vente'!$D233)</f>
        <v/>
      </c>
      <c r="F1031" s="116" t="str">
        <f aca="false">IF($A1031="","",'Agences &amp; Après-vente'!$E233)</f>
        <v/>
      </c>
      <c r="G1031" s="116" t="str">
        <f aca="false">IF($A1031="","",'Agences &amp; Après-vente'!$F233)</f>
        <v/>
      </c>
      <c r="H1031" s="0" t="str">
        <f aca="true">IF($A1031="","",IFERROR(MAX(0,NETWORKDAYS(TODAY(),'Agences &amp; Après-vente'!$F233)),""))</f>
        <v/>
      </c>
      <c r="I1031" s="0" t="str">
        <f aca="false">IF($A1031="","",'Agences &amp; Après-vente'!$I233)</f>
        <v/>
      </c>
      <c r="K1031" s="104" t="n">
        <f aca="false">IF(A1031="",0,IF(IFERROR(VLOOKUP(A1031,Skills!$A:$M,13,FALSE()),"")="COS",0,IF(OR(I1031="En cours",I1031="À venir",I1031="À planifier"),IF(AND(OR($C$3="Tous",$C$3="",C1031=$C$3),OR($E$3="Tous",$E$3="",I1031=$E$3)),1,0),0)))</f>
        <v>0</v>
      </c>
      <c r="L1031" s="104" t="n">
        <f aca="false">L1030+K1031</f>
        <v>17</v>
      </c>
    </row>
    <row r="1032" customFormat="false" ht="15" hidden="true" customHeight="true" outlineLevel="0" collapsed="false">
      <c r="A1032" s="0" t="str">
        <f aca="false">IF('Agences &amp; Après-vente'!$A234="","",'Agences &amp; Après-vente'!$A234)</f>
        <v/>
      </c>
      <c r="B1032" s="0" t="str">
        <f aca="false">IF($A1032="","",'Agences &amp; Après-vente'!$B234)</f>
        <v/>
      </c>
      <c r="C1032" s="0" t="str">
        <f aca="false">IF($A1032="","",'Agences &amp; Après-vente'!$C234)</f>
        <v/>
      </c>
      <c r="D1032" s="0" t="str">
        <f aca="false">IF($A1032="","","Nouvelle compétence")</f>
        <v/>
      </c>
      <c r="E1032" s="0" t="str">
        <f aca="false">IF($A1032="","",'Agences &amp; Après-vente'!$D234)</f>
        <v/>
      </c>
      <c r="F1032" s="116" t="str">
        <f aca="false">IF($A1032="","",'Agences &amp; Après-vente'!$E234)</f>
        <v/>
      </c>
      <c r="G1032" s="116" t="str">
        <f aca="false">IF($A1032="","",'Agences &amp; Après-vente'!$F234)</f>
        <v/>
      </c>
      <c r="H1032" s="0" t="str">
        <f aca="true">IF($A1032="","",IFERROR(MAX(0,NETWORKDAYS(TODAY(),'Agences &amp; Après-vente'!$F234)),""))</f>
        <v/>
      </c>
      <c r="I1032" s="0" t="str">
        <f aca="false">IF($A1032="","",'Agences &amp; Après-vente'!$I234)</f>
        <v/>
      </c>
      <c r="K1032" s="104" t="n">
        <f aca="false">IF(A1032="",0,IF(IFERROR(VLOOKUP(A1032,Skills!$A:$M,13,FALSE()),"")="COS",0,IF(OR(I1032="En cours",I1032="À venir",I1032="À planifier"),IF(AND(OR($C$3="Tous",$C$3="",C1032=$C$3),OR($E$3="Tous",$E$3="",I1032=$E$3)),1,0),0)))</f>
        <v>0</v>
      </c>
      <c r="L1032" s="104" t="n">
        <f aca="false">L1031+K1032</f>
        <v>17</v>
      </c>
    </row>
    <row r="1033" customFormat="false" ht="15" hidden="true" customHeight="true" outlineLevel="0" collapsed="false">
      <c r="A1033" s="0" t="str">
        <f aca="false">IF('Agences &amp; Après-vente'!$A235="","",'Agences &amp; Après-vente'!$A235)</f>
        <v/>
      </c>
      <c r="B1033" s="0" t="str">
        <f aca="false">IF($A1033="","",'Agences &amp; Après-vente'!$B235)</f>
        <v/>
      </c>
      <c r="C1033" s="0" t="str">
        <f aca="false">IF($A1033="","",'Agences &amp; Après-vente'!$C235)</f>
        <v/>
      </c>
      <c r="D1033" s="0" t="str">
        <f aca="false">IF($A1033="","","Nouvelle compétence")</f>
        <v/>
      </c>
      <c r="E1033" s="0" t="str">
        <f aca="false">IF($A1033="","",'Agences &amp; Après-vente'!$D235)</f>
        <v/>
      </c>
      <c r="F1033" s="116" t="str">
        <f aca="false">IF($A1033="","",'Agences &amp; Après-vente'!$E235)</f>
        <v/>
      </c>
      <c r="G1033" s="116" t="str">
        <f aca="false">IF($A1033="","",'Agences &amp; Après-vente'!$F235)</f>
        <v/>
      </c>
      <c r="H1033" s="0" t="str">
        <f aca="true">IF($A1033="","",IFERROR(MAX(0,NETWORKDAYS(TODAY(),'Agences &amp; Après-vente'!$F235)),""))</f>
        <v/>
      </c>
      <c r="I1033" s="0" t="str">
        <f aca="false">IF($A1033="","",'Agences &amp; Après-vente'!$I235)</f>
        <v/>
      </c>
      <c r="K1033" s="104" t="n">
        <f aca="false">IF(A1033="",0,IF(IFERROR(VLOOKUP(A1033,Skills!$A:$M,13,FALSE()),"")="COS",0,IF(OR(I1033="En cours",I1033="À venir",I1033="À planifier"),IF(AND(OR($C$3="Tous",$C$3="",C1033=$C$3),OR($E$3="Tous",$E$3="",I1033=$E$3)),1,0),0)))</f>
        <v>0</v>
      </c>
      <c r="L1033" s="104" t="n">
        <f aca="false">L1032+K1033</f>
        <v>17</v>
      </c>
    </row>
    <row r="1034" customFormat="false" ht="15" hidden="true" customHeight="true" outlineLevel="0" collapsed="false">
      <c r="A1034" s="0" t="str">
        <f aca="false">IF('Agences &amp; Après-vente'!$A236="","",'Agences &amp; Après-vente'!$A236)</f>
        <v/>
      </c>
      <c r="B1034" s="0" t="str">
        <f aca="false">IF($A1034="","",'Agences &amp; Après-vente'!$B236)</f>
        <v/>
      </c>
      <c r="C1034" s="0" t="str">
        <f aca="false">IF($A1034="","",'Agences &amp; Après-vente'!$C236)</f>
        <v/>
      </c>
      <c r="D1034" s="0" t="str">
        <f aca="false">IF($A1034="","","Nouvelle compétence")</f>
        <v/>
      </c>
      <c r="E1034" s="0" t="str">
        <f aca="false">IF($A1034="","",'Agences &amp; Après-vente'!$D236)</f>
        <v/>
      </c>
      <c r="F1034" s="116" t="str">
        <f aca="false">IF($A1034="","",'Agences &amp; Après-vente'!$E236)</f>
        <v/>
      </c>
      <c r="G1034" s="116" t="str">
        <f aca="false">IF($A1034="","",'Agences &amp; Après-vente'!$F236)</f>
        <v/>
      </c>
      <c r="H1034" s="0" t="str">
        <f aca="true">IF($A1034="","",IFERROR(MAX(0,NETWORKDAYS(TODAY(),'Agences &amp; Après-vente'!$F236)),""))</f>
        <v/>
      </c>
      <c r="I1034" s="0" t="str">
        <f aca="false">IF($A1034="","",'Agences &amp; Après-vente'!$I236)</f>
        <v/>
      </c>
      <c r="K1034" s="104" t="n">
        <f aca="false">IF(A1034="",0,IF(IFERROR(VLOOKUP(A1034,Skills!$A:$M,13,FALSE()),"")="COS",0,IF(OR(I1034="En cours",I1034="À venir",I1034="À planifier"),IF(AND(OR($C$3="Tous",$C$3="",C1034=$C$3),OR($E$3="Tous",$E$3="",I1034=$E$3)),1,0),0)))</f>
        <v>0</v>
      </c>
      <c r="L1034" s="104" t="n">
        <f aca="false">L1033+K1034</f>
        <v>17</v>
      </c>
    </row>
    <row r="1035" customFormat="false" ht="15" hidden="true" customHeight="true" outlineLevel="0" collapsed="false">
      <c r="A1035" s="0" t="str">
        <f aca="false">IF('Agences &amp; Après-vente'!$A237="","",'Agences &amp; Après-vente'!$A237)</f>
        <v/>
      </c>
      <c r="B1035" s="0" t="str">
        <f aca="false">IF($A1035="","",'Agences &amp; Après-vente'!$B237)</f>
        <v/>
      </c>
      <c r="C1035" s="0" t="str">
        <f aca="false">IF($A1035="","",'Agences &amp; Après-vente'!$C237)</f>
        <v/>
      </c>
      <c r="D1035" s="0" t="str">
        <f aca="false">IF($A1035="","","Nouvelle compétence")</f>
        <v/>
      </c>
      <c r="E1035" s="0" t="str">
        <f aca="false">IF($A1035="","",'Agences &amp; Après-vente'!$D237)</f>
        <v/>
      </c>
      <c r="F1035" s="116" t="str">
        <f aca="false">IF($A1035="","",'Agences &amp; Après-vente'!$E237)</f>
        <v/>
      </c>
      <c r="G1035" s="116" t="str">
        <f aca="false">IF($A1035="","",'Agences &amp; Après-vente'!$F237)</f>
        <v/>
      </c>
      <c r="H1035" s="0" t="str">
        <f aca="true">IF($A1035="","",IFERROR(MAX(0,NETWORKDAYS(TODAY(),'Agences &amp; Après-vente'!$F237)),""))</f>
        <v/>
      </c>
      <c r="I1035" s="0" t="str">
        <f aca="false">IF($A1035="","",'Agences &amp; Après-vente'!$I237)</f>
        <v/>
      </c>
      <c r="K1035" s="104" t="n">
        <f aca="false">IF(A1035="",0,IF(IFERROR(VLOOKUP(A1035,Skills!$A:$M,13,FALSE()),"")="COS",0,IF(OR(I1035="En cours",I1035="À venir",I1035="À planifier"),IF(AND(OR($C$3="Tous",$C$3="",C1035=$C$3),OR($E$3="Tous",$E$3="",I1035=$E$3)),1,0),0)))</f>
        <v>0</v>
      </c>
      <c r="L1035" s="104" t="n">
        <f aca="false">L1034+K1035</f>
        <v>17</v>
      </c>
    </row>
    <row r="1036" customFormat="false" ht="15" hidden="true" customHeight="true" outlineLevel="0" collapsed="false">
      <c r="A1036" s="0" t="str">
        <f aca="false">IF('Agences &amp; Après-vente'!$A238="","",'Agences &amp; Après-vente'!$A238)</f>
        <v/>
      </c>
      <c r="B1036" s="0" t="str">
        <f aca="false">IF($A1036="","",'Agences &amp; Après-vente'!$B238)</f>
        <v/>
      </c>
      <c r="C1036" s="0" t="str">
        <f aca="false">IF($A1036="","",'Agences &amp; Après-vente'!$C238)</f>
        <v/>
      </c>
      <c r="D1036" s="0" t="str">
        <f aca="false">IF($A1036="","","Nouvelle compétence")</f>
        <v/>
      </c>
      <c r="E1036" s="0" t="str">
        <f aca="false">IF($A1036="","",'Agences &amp; Après-vente'!$D238)</f>
        <v/>
      </c>
      <c r="F1036" s="116" t="str">
        <f aca="false">IF($A1036="","",'Agences &amp; Après-vente'!$E238)</f>
        <v/>
      </c>
      <c r="G1036" s="116" t="str">
        <f aca="false">IF($A1036="","",'Agences &amp; Après-vente'!$F238)</f>
        <v/>
      </c>
      <c r="H1036" s="0" t="str">
        <f aca="true">IF($A1036="","",IFERROR(MAX(0,NETWORKDAYS(TODAY(),'Agences &amp; Après-vente'!$F238)),""))</f>
        <v/>
      </c>
      <c r="I1036" s="0" t="str">
        <f aca="false">IF($A1036="","",'Agences &amp; Après-vente'!$I238)</f>
        <v/>
      </c>
      <c r="K1036" s="104" t="n">
        <f aca="false">IF(A1036="",0,IF(IFERROR(VLOOKUP(A1036,Skills!$A:$M,13,FALSE()),"")="COS",0,IF(OR(I1036="En cours",I1036="À venir",I1036="À planifier"),IF(AND(OR($C$3="Tous",$C$3="",C1036=$C$3),OR($E$3="Tous",$E$3="",I1036=$E$3)),1,0),0)))</f>
        <v>0</v>
      </c>
      <c r="L1036" s="104" t="n">
        <f aca="false">L1035+K1036</f>
        <v>17</v>
      </c>
    </row>
    <row r="1037" customFormat="false" ht="15" hidden="true" customHeight="true" outlineLevel="0" collapsed="false">
      <c r="A1037" s="0" t="str">
        <f aca="false">IF('Agences &amp; Après-vente'!$A239="","",'Agences &amp; Après-vente'!$A239)</f>
        <v/>
      </c>
      <c r="B1037" s="0" t="str">
        <f aca="false">IF($A1037="","",'Agences &amp; Après-vente'!$B239)</f>
        <v/>
      </c>
      <c r="C1037" s="0" t="str">
        <f aca="false">IF($A1037="","",'Agences &amp; Après-vente'!$C239)</f>
        <v/>
      </c>
      <c r="D1037" s="0" t="str">
        <f aca="false">IF($A1037="","","Nouvelle compétence")</f>
        <v/>
      </c>
      <c r="E1037" s="0" t="str">
        <f aca="false">IF($A1037="","",'Agences &amp; Après-vente'!$D239)</f>
        <v/>
      </c>
      <c r="F1037" s="116" t="str">
        <f aca="false">IF($A1037="","",'Agences &amp; Après-vente'!$E239)</f>
        <v/>
      </c>
      <c r="G1037" s="116" t="str">
        <f aca="false">IF($A1037="","",'Agences &amp; Après-vente'!$F239)</f>
        <v/>
      </c>
      <c r="H1037" s="0" t="str">
        <f aca="true">IF($A1037="","",IFERROR(MAX(0,NETWORKDAYS(TODAY(),'Agences &amp; Après-vente'!$F239)),""))</f>
        <v/>
      </c>
      <c r="I1037" s="0" t="str">
        <f aca="false">IF($A1037="","",'Agences &amp; Après-vente'!$I239)</f>
        <v/>
      </c>
      <c r="K1037" s="104" t="n">
        <f aca="false">IF(A1037="",0,IF(IFERROR(VLOOKUP(A1037,Skills!$A:$M,13,FALSE()),"")="COS",0,IF(OR(I1037="En cours",I1037="À venir",I1037="À planifier"),IF(AND(OR($C$3="Tous",$C$3="",C1037=$C$3),OR($E$3="Tous",$E$3="",I1037=$E$3)),1,0),0)))</f>
        <v>0</v>
      </c>
      <c r="L1037" s="104" t="n">
        <f aca="false">L1036+K1037</f>
        <v>17</v>
      </c>
    </row>
    <row r="1038" customFormat="false" ht="15" hidden="true" customHeight="true" outlineLevel="0" collapsed="false">
      <c r="A1038" s="0" t="str">
        <f aca="false">IF('Agences &amp; Après-vente'!$A240="","",'Agences &amp; Après-vente'!$A240)</f>
        <v/>
      </c>
      <c r="B1038" s="0" t="str">
        <f aca="false">IF($A1038="","",'Agences &amp; Après-vente'!$B240)</f>
        <v/>
      </c>
      <c r="C1038" s="0" t="str">
        <f aca="false">IF($A1038="","",'Agences &amp; Après-vente'!$C240)</f>
        <v/>
      </c>
      <c r="D1038" s="0" t="str">
        <f aca="false">IF($A1038="","","Nouvelle compétence")</f>
        <v/>
      </c>
      <c r="E1038" s="0" t="str">
        <f aca="false">IF($A1038="","",'Agences &amp; Après-vente'!$D240)</f>
        <v/>
      </c>
      <c r="F1038" s="116" t="str">
        <f aca="false">IF($A1038="","",'Agences &amp; Après-vente'!$E240)</f>
        <v/>
      </c>
      <c r="G1038" s="116" t="str">
        <f aca="false">IF($A1038="","",'Agences &amp; Après-vente'!$F240)</f>
        <v/>
      </c>
      <c r="H1038" s="0" t="str">
        <f aca="true">IF($A1038="","",IFERROR(MAX(0,NETWORKDAYS(TODAY(),'Agences &amp; Après-vente'!$F240)),""))</f>
        <v/>
      </c>
      <c r="I1038" s="0" t="str">
        <f aca="false">IF($A1038="","",'Agences &amp; Après-vente'!$I240)</f>
        <v/>
      </c>
      <c r="K1038" s="104" t="n">
        <f aca="false">IF(A1038="",0,IF(IFERROR(VLOOKUP(A1038,Skills!$A:$M,13,FALSE()),"")="COS",0,IF(OR(I1038="En cours",I1038="À venir",I1038="À planifier"),IF(AND(OR($C$3="Tous",$C$3="",C1038=$C$3),OR($E$3="Tous",$E$3="",I1038=$E$3)),1,0),0)))</f>
        <v>0</v>
      </c>
      <c r="L1038" s="104" t="n">
        <f aca="false">L1037+K1038</f>
        <v>17</v>
      </c>
    </row>
    <row r="1039" customFormat="false" ht="15" hidden="true" customHeight="true" outlineLevel="0" collapsed="false">
      <c r="A1039" s="0" t="str">
        <f aca="false">IF('Agences &amp; Après-vente'!$A241="","",'Agences &amp; Après-vente'!$A241)</f>
        <v/>
      </c>
      <c r="B1039" s="0" t="str">
        <f aca="false">IF($A1039="","",'Agences &amp; Après-vente'!$B241)</f>
        <v/>
      </c>
      <c r="C1039" s="0" t="str">
        <f aca="false">IF($A1039="","",'Agences &amp; Après-vente'!$C241)</f>
        <v/>
      </c>
      <c r="D1039" s="0" t="str">
        <f aca="false">IF($A1039="","","Nouvelle compétence")</f>
        <v/>
      </c>
      <c r="E1039" s="0" t="str">
        <f aca="false">IF($A1039="","",'Agences &amp; Après-vente'!$D241)</f>
        <v/>
      </c>
      <c r="F1039" s="116" t="str">
        <f aca="false">IF($A1039="","",'Agences &amp; Après-vente'!$E241)</f>
        <v/>
      </c>
      <c r="G1039" s="116" t="str">
        <f aca="false">IF($A1039="","",'Agences &amp; Après-vente'!$F241)</f>
        <v/>
      </c>
      <c r="H1039" s="0" t="str">
        <f aca="true">IF($A1039="","",IFERROR(MAX(0,NETWORKDAYS(TODAY(),'Agences &amp; Après-vente'!$F241)),""))</f>
        <v/>
      </c>
      <c r="I1039" s="0" t="str">
        <f aca="false">IF($A1039="","",'Agences &amp; Après-vente'!$I241)</f>
        <v/>
      </c>
      <c r="K1039" s="104" t="n">
        <f aca="false">IF(A1039="",0,IF(IFERROR(VLOOKUP(A1039,Skills!$A:$M,13,FALSE()),"")="COS",0,IF(OR(I1039="En cours",I1039="À venir",I1039="À planifier"),IF(AND(OR($C$3="Tous",$C$3="",C1039=$C$3),OR($E$3="Tous",$E$3="",I1039=$E$3)),1,0),0)))</f>
        <v>0</v>
      </c>
      <c r="L1039" s="104" t="n">
        <f aca="false">L1038+K1039</f>
        <v>17</v>
      </c>
    </row>
    <row r="1040" customFormat="false" ht="15" hidden="true" customHeight="true" outlineLevel="0" collapsed="false">
      <c r="A1040" s="0" t="str">
        <f aca="false">IF('Agences &amp; Après-vente'!$A242="","",'Agences &amp; Après-vente'!$A242)</f>
        <v/>
      </c>
      <c r="B1040" s="0" t="str">
        <f aca="false">IF($A1040="","",'Agences &amp; Après-vente'!$B242)</f>
        <v/>
      </c>
      <c r="C1040" s="0" t="str">
        <f aca="false">IF($A1040="","",'Agences &amp; Après-vente'!$C242)</f>
        <v/>
      </c>
      <c r="D1040" s="0" t="str">
        <f aca="false">IF($A1040="","","Nouvelle compétence")</f>
        <v/>
      </c>
      <c r="E1040" s="0" t="str">
        <f aca="false">IF($A1040="","",'Agences &amp; Après-vente'!$D242)</f>
        <v/>
      </c>
      <c r="F1040" s="116" t="str">
        <f aca="false">IF($A1040="","",'Agences &amp; Après-vente'!$E242)</f>
        <v/>
      </c>
      <c r="G1040" s="116" t="str">
        <f aca="false">IF($A1040="","",'Agences &amp; Après-vente'!$F242)</f>
        <v/>
      </c>
      <c r="H1040" s="0" t="str">
        <f aca="true">IF($A1040="","",IFERROR(MAX(0,NETWORKDAYS(TODAY(),'Agences &amp; Après-vente'!$F242)),""))</f>
        <v/>
      </c>
      <c r="I1040" s="0" t="str">
        <f aca="false">IF($A1040="","",'Agences &amp; Après-vente'!$I242)</f>
        <v/>
      </c>
      <c r="K1040" s="104" t="n">
        <f aca="false">IF(A1040="",0,IF(IFERROR(VLOOKUP(A1040,Skills!$A:$M,13,FALSE()),"")="COS",0,IF(OR(I1040="En cours",I1040="À venir",I1040="À planifier"),IF(AND(OR($C$3="Tous",$C$3="",C1040=$C$3),OR($E$3="Tous",$E$3="",I1040=$E$3)),1,0),0)))</f>
        <v>0</v>
      </c>
      <c r="L1040" s="104" t="n">
        <f aca="false">L1039+K1040</f>
        <v>17</v>
      </c>
    </row>
    <row r="1041" customFormat="false" ht="15" hidden="true" customHeight="true" outlineLevel="0" collapsed="false">
      <c r="A1041" s="0" t="str">
        <f aca="false">IF('Agences &amp; Après-vente'!$A243="","",'Agences &amp; Après-vente'!$A243)</f>
        <v/>
      </c>
      <c r="B1041" s="0" t="str">
        <f aca="false">IF($A1041="","",'Agences &amp; Après-vente'!$B243)</f>
        <v/>
      </c>
      <c r="C1041" s="0" t="str">
        <f aca="false">IF($A1041="","",'Agences &amp; Après-vente'!$C243)</f>
        <v/>
      </c>
      <c r="D1041" s="0" t="str">
        <f aca="false">IF($A1041="","","Nouvelle compétence")</f>
        <v/>
      </c>
      <c r="E1041" s="0" t="str">
        <f aca="false">IF($A1041="","",'Agences &amp; Après-vente'!$D243)</f>
        <v/>
      </c>
      <c r="F1041" s="116" t="str">
        <f aca="false">IF($A1041="","",'Agences &amp; Après-vente'!$E243)</f>
        <v/>
      </c>
      <c r="G1041" s="116" t="str">
        <f aca="false">IF($A1041="","",'Agences &amp; Après-vente'!$F243)</f>
        <v/>
      </c>
      <c r="H1041" s="0" t="str">
        <f aca="true">IF($A1041="","",IFERROR(MAX(0,NETWORKDAYS(TODAY(),'Agences &amp; Après-vente'!$F243)),""))</f>
        <v/>
      </c>
      <c r="I1041" s="0" t="str">
        <f aca="false">IF($A1041="","",'Agences &amp; Après-vente'!$I243)</f>
        <v/>
      </c>
      <c r="K1041" s="104" t="n">
        <f aca="false">IF(A1041="",0,IF(IFERROR(VLOOKUP(A1041,Skills!$A:$M,13,FALSE()),"")="COS",0,IF(OR(I1041="En cours",I1041="À venir",I1041="À planifier"),IF(AND(OR($C$3="Tous",$C$3="",C1041=$C$3),OR($E$3="Tous",$E$3="",I1041=$E$3)),1,0),0)))</f>
        <v>0</v>
      </c>
      <c r="L1041" s="104" t="n">
        <f aca="false">L1040+K1041</f>
        <v>17</v>
      </c>
    </row>
    <row r="1042" customFormat="false" ht="15" hidden="true" customHeight="true" outlineLevel="0" collapsed="false">
      <c r="A1042" s="0" t="str">
        <f aca="false">IF('Agences &amp; Après-vente'!$A244="","",'Agences &amp; Après-vente'!$A244)</f>
        <v/>
      </c>
      <c r="B1042" s="0" t="str">
        <f aca="false">IF($A1042="","",'Agences &amp; Après-vente'!$B244)</f>
        <v/>
      </c>
      <c r="C1042" s="0" t="str">
        <f aca="false">IF($A1042="","",'Agences &amp; Après-vente'!$C244)</f>
        <v/>
      </c>
      <c r="D1042" s="0" t="str">
        <f aca="false">IF($A1042="","","Nouvelle compétence")</f>
        <v/>
      </c>
      <c r="E1042" s="0" t="str">
        <f aca="false">IF($A1042="","",'Agences &amp; Après-vente'!$D244)</f>
        <v/>
      </c>
      <c r="F1042" s="116" t="str">
        <f aca="false">IF($A1042="","",'Agences &amp; Après-vente'!$E244)</f>
        <v/>
      </c>
      <c r="G1042" s="116" t="str">
        <f aca="false">IF($A1042="","",'Agences &amp; Après-vente'!$F244)</f>
        <v/>
      </c>
      <c r="H1042" s="0" t="str">
        <f aca="true">IF($A1042="","",IFERROR(MAX(0,NETWORKDAYS(TODAY(),'Agences &amp; Après-vente'!$F244)),""))</f>
        <v/>
      </c>
      <c r="I1042" s="0" t="str">
        <f aca="false">IF($A1042="","",'Agences &amp; Après-vente'!$I244)</f>
        <v/>
      </c>
      <c r="K1042" s="104" t="n">
        <f aca="false">IF(A1042="",0,IF(IFERROR(VLOOKUP(A1042,Skills!$A:$M,13,FALSE()),"")="COS",0,IF(OR(I1042="En cours",I1042="À venir",I1042="À planifier"),IF(AND(OR($C$3="Tous",$C$3="",C1042=$C$3),OR($E$3="Tous",$E$3="",I1042=$E$3)),1,0),0)))</f>
        <v>0</v>
      </c>
      <c r="L1042" s="104" t="n">
        <f aca="false">L1041+K1042</f>
        <v>17</v>
      </c>
    </row>
    <row r="1043" customFormat="false" ht="15" hidden="true" customHeight="true" outlineLevel="0" collapsed="false">
      <c r="A1043" s="0" t="str">
        <f aca="false">IF('Agences &amp; Après-vente'!$A245="","",'Agences &amp; Après-vente'!$A245)</f>
        <v/>
      </c>
      <c r="B1043" s="0" t="str">
        <f aca="false">IF($A1043="","",'Agences &amp; Après-vente'!$B245)</f>
        <v/>
      </c>
      <c r="C1043" s="0" t="str">
        <f aca="false">IF($A1043="","",'Agences &amp; Après-vente'!$C245)</f>
        <v/>
      </c>
      <c r="D1043" s="0" t="str">
        <f aca="false">IF($A1043="","","Nouvelle compétence")</f>
        <v/>
      </c>
      <c r="E1043" s="0" t="str">
        <f aca="false">IF($A1043="","",'Agences &amp; Après-vente'!$D245)</f>
        <v/>
      </c>
      <c r="F1043" s="116" t="str">
        <f aca="false">IF($A1043="","",'Agences &amp; Après-vente'!$E245)</f>
        <v/>
      </c>
      <c r="G1043" s="116" t="str">
        <f aca="false">IF($A1043="","",'Agences &amp; Après-vente'!$F245)</f>
        <v/>
      </c>
      <c r="H1043" s="0" t="str">
        <f aca="true">IF($A1043="","",IFERROR(MAX(0,NETWORKDAYS(TODAY(),'Agences &amp; Après-vente'!$F245)),""))</f>
        <v/>
      </c>
      <c r="I1043" s="0" t="str">
        <f aca="false">IF($A1043="","",'Agences &amp; Après-vente'!$I245)</f>
        <v/>
      </c>
      <c r="K1043" s="104" t="n">
        <f aca="false">IF(A1043="",0,IF(IFERROR(VLOOKUP(A1043,Skills!$A:$M,13,FALSE()),"")="COS",0,IF(OR(I1043="En cours",I1043="À venir",I1043="À planifier"),IF(AND(OR($C$3="Tous",$C$3="",C1043=$C$3),OR($E$3="Tous",$E$3="",I1043=$E$3)),1,0),0)))</f>
        <v>0</v>
      </c>
      <c r="L1043" s="104" t="n">
        <f aca="false">L1042+K1043</f>
        <v>17</v>
      </c>
    </row>
    <row r="1044" customFormat="false" ht="15" hidden="true" customHeight="true" outlineLevel="0" collapsed="false">
      <c r="A1044" s="0" t="str">
        <f aca="false">IF('Agences &amp; Après-vente'!$A246="","",'Agences &amp; Après-vente'!$A246)</f>
        <v/>
      </c>
      <c r="B1044" s="0" t="str">
        <f aca="false">IF($A1044="","",'Agences &amp; Après-vente'!$B246)</f>
        <v/>
      </c>
      <c r="C1044" s="0" t="str">
        <f aca="false">IF($A1044="","",'Agences &amp; Après-vente'!$C246)</f>
        <v/>
      </c>
      <c r="D1044" s="0" t="str">
        <f aca="false">IF($A1044="","","Nouvelle compétence")</f>
        <v/>
      </c>
      <c r="E1044" s="0" t="str">
        <f aca="false">IF($A1044="","",'Agences &amp; Après-vente'!$D246)</f>
        <v/>
      </c>
      <c r="F1044" s="116" t="str">
        <f aca="false">IF($A1044="","",'Agences &amp; Après-vente'!$E246)</f>
        <v/>
      </c>
      <c r="G1044" s="116" t="str">
        <f aca="false">IF($A1044="","",'Agences &amp; Après-vente'!$F246)</f>
        <v/>
      </c>
      <c r="H1044" s="0" t="str">
        <f aca="true">IF($A1044="","",IFERROR(MAX(0,NETWORKDAYS(TODAY(),'Agences &amp; Après-vente'!$F246)),""))</f>
        <v/>
      </c>
      <c r="I1044" s="0" t="str">
        <f aca="false">IF($A1044="","",'Agences &amp; Après-vente'!$I246)</f>
        <v/>
      </c>
      <c r="K1044" s="104" t="n">
        <f aca="false">IF(A1044="",0,IF(IFERROR(VLOOKUP(A1044,Skills!$A:$M,13,FALSE()),"")="COS",0,IF(OR(I1044="En cours",I1044="À venir",I1044="À planifier"),IF(AND(OR($C$3="Tous",$C$3="",C1044=$C$3),OR($E$3="Tous",$E$3="",I1044=$E$3)),1,0),0)))</f>
        <v>0</v>
      </c>
      <c r="L1044" s="104" t="n">
        <f aca="false">L1043+K1044</f>
        <v>17</v>
      </c>
    </row>
    <row r="1045" customFormat="false" ht="15" hidden="true" customHeight="true" outlineLevel="0" collapsed="false">
      <c r="A1045" s="0" t="str">
        <f aca="false">IF('Agences &amp; Après-vente'!$A247="","",'Agences &amp; Après-vente'!$A247)</f>
        <v/>
      </c>
      <c r="B1045" s="0" t="str">
        <f aca="false">IF($A1045="","",'Agences &amp; Après-vente'!$B247)</f>
        <v/>
      </c>
      <c r="C1045" s="0" t="str">
        <f aca="false">IF($A1045="","",'Agences &amp; Après-vente'!$C247)</f>
        <v/>
      </c>
      <c r="D1045" s="0" t="str">
        <f aca="false">IF($A1045="","","Nouvelle compétence")</f>
        <v/>
      </c>
      <c r="E1045" s="0" t="str">
        <f aca="false">IF($A1045="","",'Agences &amp; Après-vente'!$D247)</f>
        <v/>
      </c>
      <c r="F1045" s="116" t="str">
        <f aca="false">IF($A1045="","",'Agences &amp; Après-vente'!$E247)</f>
        <v/>
      </c>
      <c r="G1045" s="116" t="str">
        <f aca="false">IF($A1045="","",'Agences &amp; Après-vente'!$F247)</f>
        <v/>
      </c>
      <c r="H1045" s="0" t="str">
        <f aca="true">IF($A1045="","",IFERROR(MAX(0,NETWORKDAYS(TODAY(),'Agences &amp; Après-vente'!$F247)),""))</f>
        <v/>
      </c>
      <c r="I1045" s="0" t="str">
        <f aca="false">IF($A1045="","",'Agences &amp; Après-vente'!$I247)</f>
        <v/>
      </c>
      <c r="K1045" s="104" t="n">
        <f aca="false">IF(A1045="",0,IF(IFERROR(VLOOKUP(A1045,Skills!$A:$M,13,FALSE()),"")="COS",0,IF(OR(I1045="En cours",I1045="À venir",I1045="À planifier"),IF(AND(OR($C$3="Tous",$C$3="",C1045=$C$3),OR($E$3="Tous",$E$3="",I1045=$E$3)),1,0),0)))</f>
        <v>0</v>
      </c>
      <c r="L1045" s="104" t="n">
        <f aca="false">L1044+K1045</f>
        <v>17</v>
      </c>
    </row>
    <row r="1046" customFormat="false" ht="15" hidden="true" customHeight="true" outlineLevel="0" collapsed="false">
      <c r="A1046" s="0" t="str">
        <f aca="false">IF('Agences &amp; Après-vente'!$A248="","",'Agences &amp; Après-vente'!$A248)</f>
        <v/>
      </c>
      <c r="B1046" s="0" t="str">
        <f aca="false">IF($A1046="","",'Agences &amp; Après-vente'!$B248)</f>
        <v/>
      </c>
      <c r="C1046" s="0" t="str">
        <f aca="false">IF($A1046="","",'Agences &amp; Après-vente'!$C248)</f>
        <v/>
      </c>
      <c r="D1046" s="0" t="str">
        <f aca="false">IF($A1046="","","Nouvelle compétence")</f>
        <v/>
      </c>
      <c r="E1046" s="0" t="str">
        <f aca="false">IF($A1046="","",'Agences &amp; Après-vente'!$D248)</f>
        <v/>
      </c>
      <c r="F1046" s="116" t="str">
        <f aca="false">IF($A1046="","",'Agences &amp; Après-vente'!$E248)</f>
        <v/>
      </c>
      <c r="G1046" s="116" t="str">
        <f aca="false">IF($A1046="","",'Agences &amp; Après-vente'!$F248)</f>
        <v/>
      </c>
      <c r="H1046" s="0" t="str">
        <f aca="true">IF($A1046="","",IFERROR(MAX(0,NETWORKDAYS(TODAY(),'Agences &amp; Après-vente'!$F248)),""))</f>
        <v/>
      </c>
      <c r="I1046" s="0" t="str">
        <f aca="false">IF($A1046="","",'Agences &amp; Après-vente'!$I248)</f>
        <v/>
      </c>
      <c r="K1046" s="104" t="n">
        <f aca="false">IF(A1046="",0,IF(IFERROR(VLOOKUP(A1046,Skills!$A:$M,13,FALSE()),"")="COS",0,IF(OR(I1046="En cours",I1046="À venir",I1046="À planifier"),IF(AND(OR($C$3="Tous",$C$3="",C1046=$C$3),OR($E$3="Tous",$E$3="",I1046=$E$3)),1,0),0)))</f>
        <v>0</v>
      </c>
      <c r="L1046" s="104" t="n">
        <f aca="false">L1045+K1046</f>
        <v>17</v>
      </c>
    </row>
    <row r="1047" customFormat="false" ht="15" hidden="true" customHeight="true" outlineLevel="0" collapsed="false">
      <c r="A1047" s="0" t="str">
        <f aca="false">IF('Agences &amp; Après-vente'!$A249="","",'Agences &amp; Après-vente'!$A249)</f>
        <v/>
      </c>
      <c r="B1047" s="0" t="str">
        <f aca="false">IF($A1047="","",'Agences &amp; Après-vente'!$B249)</f>
        <v/>
      </c>
      <c r="C1047" s="0" t="str">
        <f aca="false">IF($A1047="","",'Agences &amp; Après-vente'!$C249)</f>
        <v/>
      </c>
      <c r="D1047" s="0" t="str">
        <f aca="false">IF($A1047="","","Nouvelle compétence")</f>
        <v/>
      </c>
      <c r="E1047" s="0" t="str">
        <f aca="false">IF($A1047="","",'Agences &amp; Après-vente'!$D249)</f>
        <v/>
      </c>
      <c r="F1047" s="116" t="str">
        <f aca="false">IF($A1047="","",'Agences &amp; Après-vente'!$E249)</f>
        <v/>
      </c>
      <c r="G1047" s="116" t="str">
        <f aca="false">IF($A1047="","",'Agences &amp; Après-vente'!$F249)</f>
        <v/>
      </c>
      <c r="H1047" s="0" t="str">
        <f aca="true">IF($A1047="","",IFERROR(MAX(0,NETWORKDAYS(TODAY(),'Agences &amp; Après-vente'!$F249)),""))</f>
        <v/>
      </c>
      <c r="I1047" s="0" t="str">
        <f aca="false">IF($A1047="","",'Agences &amp; Après-vente'!$I249)</f>
        <v/>
      </c>
      <c r="K1047" s="104" t="n">
        <f aca="false">IF(A1047="",0,IF(IFERROR(VLOOKUP(A1047,Skills!$A:$M,13,FALSE()),"")="COS",0,IF(OR(I1047="En cours",I1047="À venir",I1047="À planifier"),IF(AND(OR($C$3="Tous",$C$3="",C1047=$C$3),OR($E$3="Tous",$E$3="",I1047=$E$3)),1,0),0)))</f>
        <v>0</v>
      </c>
      <c r="L1047" s="104" t="n">
        <f aca="false">L1046+K1047</f>
        <v>17</v>
      </c>
    </row>
    <row r="1048" customFormat="false" ht="15" hidden="true" customHeight="true" outlineLevel="0" collapsed="false">
      <c r="A1048" s="0" t="str">
        <f aca="false">IF('Agences &amp; Après-vente'!$A250="","",'Agences &amp; Après-vente'!$A250)</f>
        <v/>
      </c>
      <c r="B1048" s="0" t="str">
        <f aca="false">IF($A1048="","",'Agences &amp; Après-vente'!$B250)</f>
        <v/>
      </c>
      <c r="C1048" s="0" t="str">
        <f aca="false">IF($A1048="","",'Agences &amp; Après-vente'!$C250)</f>
        <v/>
      </c>
      <c r="D1048" s="0" t="str">
        <f aca="false">IF($A1048="","","Nouvelle compétence")</f>
        <v/>
      </c>
      <c r="E1048" s="0" t="str">
        <f aca="false">IF($A1048="","",'Agences &amp; Après-vente'!$D250)</f>
        <v/>
      </c>
      <c r="F1048" s="116" t="str">
        <f aca="false">IF($A1048="","",'Agences &amp; Après-vente'!$E250)</f>
        <v/>
      </c>
      <c r="G1048" s="116" t="str">
        <f aca="false">IF($A1048="","",'Agences &amp; Après-vente'!$F250)</f>
        <v/>
      </c>
      <c r="H1048" s="0" t="str">
        <f aca="true">IF($A1048="","",IFERROR(MAX(0,NETWORKDAYS(TODAY(),'Agences &amp; Après-vente'!$F250)),""))</f>
        <v/>
      </c>
      <c r="I1048" s="0" t="str">
        <f aca="false">IF($A1048="","",'Agences &amp; Après-vente'!$I250)</f>
        <v/>
      </c>
      <c r="K1048" s="104" t="n">
        <f aca="false">IF(A1048="",0,IF(IFERROR(VLOOKUP(A1048,Skills!$A:$M,13,FALSE()),"")="COS",0,IF(OR(I1048="En cours",I1048="À venir",I1048="À planifier"),IF(AND(OR($C$3="Tous",$C$3="",C1048=$C$3),OR($E$3="Tous",$E$3="",I1048=$E$3)),1,0),0)))</f>
        <v>0</v>
      </c>
      <c r="L1048" s="104" t="n">
        <f aca="false">L1047+K1048</f>
        <v>17</v>
      </c>
    </row>
    <row r="1049" customFormat="false" ht="15" hidden="true" customHeight="true" outlineLevel="0" collapsed="false">
      <c r="A1049" s="0" t="str">
        <f aca="false">IF('Agences &amp; Après-vente'!$A251="","",'Agences &amp; Après-vente'!$A251)</f>
        <v/>
      </c>
      <c r="B1049" s="0" t="str">
        <f aca="false">IF($A1049="","",'Agences &amp; Après-vente'!$B251)</f>
        <v/>
      </c>
      <c r="C1049" s="0" t="str">
        <f aca="false">IF($A1049="","",'Agences &amp; Après-vente'!$C251)</f>
        <v/>
      </c>
      <c r="D1049" s="0" t="str">
        <f aca="false">IF($A1049="","","Nouvelle compétence")</f>
        <v/>
      </c>
      <c r="E1049" s="0" t="str">
        <f aca="false">IF($A1049="","",'Agences &amp; Après-vente'!$D251)</f>
        <v/>
      </c>
      <c r="F1049" s="116" t="str">
        <f aca="false">IF($A1049="","",'Agences &amp; Après-vente'!$E251)</f>
        <v/>
      </c>
      <c r="G1049" s="116" t="str">
        <f aca="false">IF($A1049="","",'Agences &amp; Après-vente'!$F251)</f>
        <v/>
      </c>
      <c r="H1049" s="0" t="str">
        <f aca="true">IF($A1049="","",IFERROR(MAX(0,NETWORKDAYS(TODAY(),'Agences &amp; Après-vente'!$F251)),""))</f>
        <v/>
      </c>
      <c r="I1049" s="0" t="str">
        <f aca="false">IF($A1049="","",'Agences &amp; Après-vente'!$I251)</f>
        <v/>
      </c>
      <c r="K1049" s="104" t="n">
        <f aca="false">IF(A1049="",0,IF(IFERROR(VLOOKUP(A1049,Skills!$A:$M,13,FALSE()),"")="COS",0,IF(OR(I1049="En cours",I1049="À venir",I1049="À planifier"),IF(AND(OR($C$3="Tous",$C$3="",C1049=$C$3),OR($E$3="Tous",$E$3="",I1049=$E$3)),1,0),0)))</f>
        <v>0</v>
      </c>
      <c r="L1049" s="104" t="n">
        <f aca="false">L1048+K1049</f>
        <v>17</v>
      </c>
    </row>
    <row r="1050" customFormat="false" ht="15" hidden="true" customHeight="true" outlineLevel="0" collapsed="false">
      <c r="A1050" s="0" t="str">
        <f aca="false">IF('Agences &amp; Après-vente'!$A252="","",'Agences &amp; Après-vente'!$A252)</f>
        <v/>
      </c>
      <c r="B1050" s="0" t="str">
        <f aca="false">IF($A1050="","",'Agences &amp; Après-vente'!$B252)</f>
        <v/>
      </c>
      <c r="C1050" s="0" t="str">
        <f aca="false">IF($A1050="","",'Agences &amp; Après-vente'!$C252)</f>
        <v/>
      </c>
      <c r="D1050" s="0" t="str">
        <f aca="false">IF($A1050="","","Nouvelle compétence")</f>
        <v/>
      </c>
      <c r="E1050" s="0" t="str">
        <f aca="false">IF($A1050="","",'Agences &amp; Après-vente'!$D252)</f>
        <v/>
      </c>
      <c r="F1050" s="116" t="str">
        <f aca="false">IF($A1050="","",'Agences &amp; Après-vente'!$E252)</f>
        <v/>
      </c>
      <c r="G1050" s="116" t="str">
        <f aca="false">IF($A1050="","",'Agences &amp; Après-vente'!$F252)</f>
        <v/>
      </c>
      <c r="H1050" s="0" t="str">
        <f aca="true">IF($A1050="","",IFERROR(MAX(0,NETWORKDAYS(TODAY(),'Agences &amp; Après-vente'!$F252)),""))</f>
        <v/>
      </c>
      <c r="I1050" s="0" t="str">
        <f aca="false">IF($A1050="","",'Agences &amp; Après-vente'!$I252)</f>
        <v/>
      </c>
      <c r="K1050" s="104" t="n">
        <f aca="false">IF(A1050="",0,IF(IFERROR(VLOOKUP(A1050,Skills!$A:$M,13,FALSE()),"")="COS",0,IF(OR(I1050="En cours",I1050="À venir",I1050="À planifier"),IF(AND(OR($C$3="Tous",$C$3="",C1050=$C$3),OR($E$3="Tous",$E$3="",I1050=$E$3)),1,0),0)))</f>
        <v>0</v>
      </c>
      <c r="L1050" s="104" t="n">
        <f aca="false">L1049+K1050</f>
        <v>17</v>
      </c>
    </row>
    <row r="1051" customFormat="false" ht="15" hidden="true" customHeight="true" outlineLevel="0" collapsed="false">
      <c r="A1051" s="0" t="str">
        <f aca="false">IF('Agences &amp; Après-vente'!$A253="","",'Agences &amp; Après-vente'!$A253)</f>
        <v/>
      </c>
      <c r="B1051" s="0" t="str">
        <f aca="false">IF($A1051="","",'Agences &amp; Après-vente'!$B253)</f>
        <v/>
      </c>
      <c r="C1051" s="0" t="str">
        <f aca="false">IF($A1051="","",'Agences &amp; Après-vente'!$C253)</f>
        <v/>
      </c>
      <c r="D1051" s="0" t="str">
        <f aca="false">IF($A1051="","","Nouvelle compétence")</f>
        <v/>
      </c>
      <c r="E1051" s="0" t="str">
        <f aca="false">IF($A1051="","",'Agences &amp; Après-vente'!$D253)</f>
        <v/>
      </c>
      <c r="F1051" s="116" t="str">
        <f aca="false">IF($A1051="","",'Agences &amp; Après-vente'!$E253)</f>
        <v/>
      </c>
      <c r="G1051" s="116" t="str">
        <f aca="false">IF($A1051="","",'Agences &amp; Après-vente'!$F253)</f>
        <v/>
      </c>
      <c r="H1051" s="0" t="str">
        <f aca="true">IF($A1051="","",IFERROR(MAX(0,NETWORKDAYS(TODAY(),'Agences &amp; Après-vente'!$F253)),""))</f>
        <v/>
      </c>
      <c r="I1051" s="0" t="str">
        <f aca="false">IF($A1051="","",'Agences &amp; Après-vente'!$I253)</f>
        <v/>
      </c>
      <c r="K1051" s="104" t="n">
        <f aca="false">IF(A1051="",0,IF(IFERROR(VLOOKUP(A1051,Skills!$A:$M,13,FALSE()),"")="COS",0,IF(OR(I1051="En cours",I1051="À venir",I1051="À planifier"),IF(AND(OR($C$3="Tous",$C$3="",C1051=$C$3),OR($E$3="Tous",$E$3="",I1051=$E$3)),1,0),0)))</f>
        <v>0</v>
      </c>
      <c r="L1051" s="104" t="n">
        <f aca="false">L1050+K1051</f>
        <v>17</v>
      </c>
    </row>
    <row r="1052" customFormat="false" ht="15" hidden="true" customHeight="true" outlineLevel="0" collapsed="false">
      <c r="A1052" s="0" t="str">
        <f aca="false">IF('Agences &amp; Après-vente'!$A254="","",'Agences &amp; Après-vente'!$A254)</f>
        <v/>
      </c>
      <c r="B1052" s="0" t="str">
        <f aca="false">IF($A1052="","",'Agences &amp; Après-vente'!$B254)</f>
        <v/>
      </c>
      <c r="C1052" s="0" t="str">
        <f aca="false">IF($A1052="","",'Agences &amp; Après-vente'!$C254)</f>
        <v/>
      </c>
      <c r="D1052" s="0" t="str">
        <f aca="false">IF($A1052="","","Nouvelle compétence")</f>
        <v/>
      </c>
      <c r="E1052" s="0" t="str">
        <f aca="false">IF($A1052="","",'Agences &amp; Après-vente'!$D254)</f>
        <v/>
      </c>
      <c r="F1052" s="116" t="str">
        <f aca="false">IF($A1052="","",'Agences &amp; Après-vente'!$E254)</f>
        <v/>
      </c>
      <c r="G1052" s="116" t="str">
        <f aca="false">IF($A1052="","",'Agences &amp; Après-vente'!$F254)</f>
        <v/>
      </c>
      <c r="H1052" s="0" t="str">
        <f aca="true">IF($A1052="","",IFERROR(MAX(0,NETWORKDAYS(TODAY(),'Agences &amp; Après-vente'!$F254)),""))</f>
        <v/>
      </c>
      <c r="I1052" s="0" t="str">
        <f aca="false">IF($A1052="","",'Agences &amp; Après-vente'!$I254)</f>
        <v/>
      </c>
      <c r="K1052" s="104" t="n">
        <f aca="false">IF(A1052="",0,IF(IFERROR(VLOOKUP(A1052,Skills!$A:$M,13,FALSE()),"")="COS",0,IF(OR(I1052="En cours",I1052="À venir",I1052="À planifier"),IF(AND(OR($C$3="Tous",$C$3="",C1052=$C$3),OR($E$3="Tous",$E$3="",I1052=$E$3)),1,0),0)))</f>
        <v>0</v>
      </c>
      <c r="L1052" s="104" t="n">
        <f aca="false">L1051+K1052</f>
        <v>17</v>
      </c>
    </row>
    <row r="1053" customFormat="false" ht="15" hidden="true" customHeight="true" outlineLevel="0" collapsed="false">
      <c r="A1053" s="0" t="str">
        <f aca="false">IF('Agences &amp; Après-vente'!$A255="","",'Agences &amp; Après-vente'!$A255)</f>
        <v/>
      </c>
      <c r="B1053" s="0" t="str">
        <f aca="false">IF($A1053="","",'Agences &amp; Après-vente'!$B255)</f>
        <v/>
      </c>
      <c r="C1053" s="0" t="str">
        <f aca="false">IF($A1053="","",'Agences &amp; Après-vente'!$C255)</f>
        <v/>
      </c>
      <c r="D1053" s="0" t="str">
        <f aca="false">IF($A1053="","","Nouvelle compétence")</f>
        <v/>
      </c>
      <c r="E1053" s="0" t="str">
        <f aca="false">IF($A1053="","",'Agences &amp; Après-vente'!$D255)</f>
        <v/>
      </c>
      <c r="F1053" s="116" t="str">
        <f aca="false">IF($A1053="","",'Agences &amp; Après-vente'!$E255)</f>
        <v/>
      </c>
      <c r="G1053" s="116" t="str">
        <f aca="false">IF($A1053="","",'Agences &amp; Après-vente'!$F255)</f>
        <v/>
      </c>
      <c r="H1053" s="0" t="str">
        <f aca="true">IF($A1053="","",IFERROR(MAX(0,NETWORKDAYS(TODAY(),'Agences &amp; Après-vente'!$F255)),""))</f>
        <v/>
      </c>
      <c r="I1053" s="0" t="str">
        <f aca="false">IF($A1053="","",'Agences &amp; Après-vente'!$I255)</f>
        <v/>
      </c>
      <c r="K1053" s="104" t="n">
        <f aca="false">IF(A1053="",0,IF(IFERROR(VLOOKUP(A1053,Skills!$A:$M,13,FALSE()),"")="COS",0,IF(OR(I1053="En cours",I1053="À venir",I1053="À planifier"),IF(AND(OR($C$3="Tous",$C$3="",C1053=$C$3),OR($E$3="Tous",$E$3="",I1053=$E$3)),1,0),0)))</f>
        <v>0</v>
      </c>
      <c r="L1053" s="104" t="n">
        <f aca="false">L1052+K1053</f>
        <v>17</v>
      </c>
    </row>
    <row r="1054" customFormat="false" ht="15" hidden="true" customHeight="true" outlineLevel="0" collapsed="false">
      <c r="A1054" s="0" t="str">
        <f aca="false">IF('Agences &amp; Après-vente'!$A256="","",'Agences &amp; Après-vente'!$A256)</f>
        <v/>
      </c>
      <c r="B1054" s="0" t="str">
        <f aca="false">IF($A1054="","",'Agences &amp; Après-vente'!$B256)</f>
        <v/>
      </c>
      <c r="C1054" s="0" t="str">
        <f aca="false">IF($A1054="","",'Agences &amp; Après-vente'!$C256)</f>
        <v/>
      </c>
      <c r="D1054" s="0" t="str">
        <f aca="false">IF($A1054="","","Nouvelle compétence")</f>
        <v/>
      </c>
      <c r="E1054" s="0" t="str">
        <f aca="false">IF($A1054="","",'Agences &amp; Après-vente'!$D256)</f>
        <v/>
      </c>
      <c r="F1054" s="116" t="str">
        <f aca="false">IF($A1054="","",'Agences &amp; Après-vente'!$E256)</f>
        <v/>
      </c>
      <c r="G1054" s="116" t="str">
        <f aca="false">IF($A1054="","",'Agences &amp; Après-vente'!$F256)</f>
        <v/>
      </c>
      <c r="H1054" s="0" t="str">
        <f aca="true">IF($A1054="","",IFERROR(MAX(0,NETWORKDAYS(TODAY(),'Agences &amp; Après-vente'!$F256)),""))</f>
        <v/>
      </c>
      <c r="I1054" s="0" t="str">
        <f aca="false">IF($A1054="","",'Agences &amp; Après-vente'!$I256)</f>
        <v/>
      </c>
      <c r="K1054" s="104" t="n">
        <f aca="false">IF(A1054="",0,IF(IFERROR(VLOOKUP(A1054,Skills!$A:$M,13,FALSE()),"")="COS",0,IF(OR(I1054="En cours",I1054="À venir",I1054="À planifier"),IF(AND(OR($C$3="Tous",$C$3="",C1054=$C$3),OR($E$3="Tous",$E$3="",I1054=$E$3)),1,0),0)))</f>
        <v>0</v>
      </c>
      <c r="L1054" s="104" t="n">
        <f aca="false">L1053+K1054</f>
        <v>17</v>
      </c>
    </row>
    <row r="1055" customFormat="false" ht="15" hidden="true" customHeight="true" outlineLevel="0" collapsed="false">
      <c r="A1055" s="0" t="str">
        <f aca="false">IF('Agences &amp; Après-vente'!$A257="","",'Agences &amp; Après-vente'!$A257)</f>
        <v/>
      </c>
      <c r="B1055" s="0" t="str">
        <f aca="false">IF($A1055="","",'Agences &amp; Après-vente'!$B257)</f>
        <v/>
      </c>
      <c r="C1055" s="0" t="str">
        <f aca="false">IF($A1055="","",'Agences &amp; Après-vente'!$C257)</f>
        <v/>
      </c>
      <c r="D1055" s="0" t="str">
        <f aca="false">IF($A1055="","","Nouvelle compétence")</f>
        <v/>
      </c>
      <c r="E1055" s="0" t="str">
        <f aca="false">IF($A1055="","",'Agences &amp; Après-vente'!$D257)</f>
        <v/>
      </c>
      <c r="F1055" s="116" t="str">
        <f aca="false">IF($A1055="","",'Agences &amp; Après-vente'!$E257)</f>
        <v/>
      </c>
      <c r="G1055" s="116" t="str">
        <f aca="false">IF($A1055="","",'Agences &amp; Après-vente'!$F257)</f>
        <v/>
      </c>
      <c r="H1055" s="0" t="str">
        <f aca="true">IF($A1055="","",IFERROR(MAX(0,NETWORKDAYS(TODAY(),'Agences &amp; Après-vente'!$F257)),""))</f>
        <v/>
      </c>
      <c r="I1055" s="0" t="str">
        <f aca="false">IF($A1055="","",'Agences &amp; Après-vente'!$I257)</f>
        <v/>
      </c>
      <c r="K1055" s="104" t="n">
        <f aca="false">IF(A1055="",0,IF(IFERROR(VLOOKUP(A1055,Skills!$A:$M,13,FALSE()),"")="COS",0,IF(OR(I1055="En cours",I1055="À venir",I1055="À planifier"),IF(AND(OR($C$3="Tous",$C$3="",C1055=$C$3),OR($E$3="Tous",$E$3="",I1055=$E$3)),1,0),0)))</f>
        <v>0</v>
      </c>
      <c r="L1055" s="104" t="n">
        <f aca="false">L1054+K1055</f>
        <v>17</v>
      </c>
    </row>
    <row r="1056" customFormat="false" ht="15" hidden="true" customHeight="true" outlineLevel="0" collapsed="false">
      <c r="A1056" s="0" t="str">
        <f aca="false">IF('Agences &amp; Après-vente'!$A258="","",'Agences &amp; Après-vente'!$A258)</f>
        <v/>
      </c>
      <c r="B1056" s="0" t="str">
        <f aca="false">IF($A1056="","",'Agences &amp; Après-vente'!$B258)</f>
        <v/>
      </c>
      <c r="C1056" s="0" t="str">
        <f aca="false">IF($A1056="","",'Agences &amp; Après-vente'!$C258)</f>
        <v/>
      </c>
      <c r="D1056" s="0" t="str">
        <f aca="false">IF($A1056="","","Nouvelle compétence")</f>
        <v/>
      </c>
      <c r="E1056" s="0" t="str">
        <f aca="false">IF($A1056="","",'Agences &amp; Après-vente'!$D258)</f>
        <v/>
      </c>
      <c r="F1056" s="116" t="str">
        <f aca="false">IF($A1056="","",'Agences &amp; Après-vente'!$E258)</f>
        <v/>
      </c>
      <c r="G1056" s="116" t="str">
        <f aca="false">IF($A1056="","",'Agences &amp; Après-vente'!$F258)</f>
        <v/>
      </c>
      <c r="H1056" s="0" t="str">
        <f aca="true">IF($A1056="","",IFERROR(MAX(0,NETWORKDAYS(TODAY(),'Agences &amp; Après-vente'!$F258)),""))</f>
        <v/>
      </c>
      <c r="I1056" s="0" t="str">
        <f aca="false">IF($A1056="","",'Agences &amp; Après-vente'!$I258)</f>
        <v/>
      </c>
      <c r="K1056" s="104" t="n">
        <f aca="false">IF(A1056="",0,IF(IFERROR(VLOOKUP(A1056,Skills!$A:$M,13,FALSE()),"")="COS",0,IF(OR(I1056="En cours",I1056="À venir",I1056="À planifier"),IF(AND(OR($C$3="Tous",$C$3="",C1056=$C$3),OR($E$3="Tous",$E$3="",I1056=$E$3)),1,0),0)))</f>
        <v>0</v>
      </c>
      <c r="L1056" s="104" t="n">
        <f aca="false">L1055+K1056</f>
        <v>17</v>
      </c>
    </row>
    <row r="1057" customFormat="false" ht="15" hidden="true" customHeight="true" outlineLevel="0" collapsed="false">
      <c r="A1057" s="0" t="str">
        <f aca="false">IF('Agences &amp; Après-vente'!$A259="","",'Agences &amp; Après-vente'!$A259)</f>
        <v/>
      </c>
      <c r="B1057" s="0" t="str">
        <f aca="false">IF($A1057="","",'Agences &amp; Après-vente'!$B259)</f>
        <v/>
      </c>
      <c r="C1057" s="0" t="str">
        <f aca="false">IF($A1057="","",'Agences &amp; Après-vente'!$C259)</f>
        <v/>
      </c>
      <c r="D1057" s="0" t="str">
        <f aca="false">IF($A1057="","","Nouvelle compétence")</f>
        <v/>
      </c>
      <c r="E1057" s="0" t="str">
        <f aca="false">IF($A1057="","",'Agences &amp; Après-vente'!$D259)</f>
        <v/>
      </c>
      <c r="F1057" s="116" t="str">
        <f aca="false">IF($A1057="","",'Agences &amp; Après-vente'!$E259)</f>
        <v/>
      </c>
      <c r="G1057" s="116" t="str">
        <f aca="false">IF($A1057="","",'Agences &amp; Après-vente'!$F259)</f>
        <v/>
      </c>
      <c r="H1057" s="0" t="str">
        <f aca="true">IF($A1057="","",IFERROR(MAX(0,NETWORKDAYS(TODAY(),'Agences &amp; Après-vente'!$F259)),""))</f>
        <v/>
      </c>
      <c r="I1057" s="0" t="str">
        <f aca="false">IF($A1057="","",'Agences &amp; Après-vente'!$I259)</f>
        <v/>
      </c>
      <c r="K1057" s="104" t="n">
        <f aca="false">IF(A1057="",0,IF(IFERROR(VLOOKUP(A1057,Skills!$A:$M,13,FALSE()),"")="COS",0,IF(OR(I1057="En cours",I1057="À venir",I1057="À planifier"),IF(AND(OR($C$3="Tous",$C$3="",C1057=$C$3),OR($E$3="Tous",$E$3="",I1057=$E$3)),1,0),0)))</f>
        <v>0</v>
      </c>
      <c r="L1057" s="104" t="n">
        <f aca="false">L1056+K1057</f>
        <v>17</v>
      </c>
    </row>
    <row r="1058" customFormat="false" ht="15" hidden="true" customHeight="true" outlineLevel="0" collapsed="false">
      <c r="A1058" s="0" t="str">
        <f aca="false">IF('Agences &amp; Après-vente'!$A260="","",'Agences &amp; Après-vente'!$A260)</f>
        <v/>
      </c>
      <c r="B1058" s="0" t="str">
        <f aca="false">IF($A1058="","",'Agences &amp; Après-vente'!$B260)</f>
        <v/>
      </c>
      <c r="C1058" s="0" t="str">
        <f aca="false">IF($A1058="","",'Agences &amp; Après-vente'!$C260)</f>
        <v/>
      </c>
      <c r="D1058" s="0" t="str">
        <f aca="false">IF($A1058="","","Nouvelle compétence")</f>
        <v/>
      </c>
      <c r="E1058" s="0" t="str">
        <f aca="false">IF($A1058="","",'Agences &amp; Après-vente'!$D260)</f>
        <v/>
      </c>
      <c r="F1058" s="116" t="str">
        <f aca="false">IF($A1058="","",'Agences &amp; Après-vente'!$E260)</f>
        <v/>
      </c>
      <c r="G1058" s="116" t="str">
        <f aca="false">IF($A1058="","",'Agences &amp; Après-vente'!$F260)</f>
        <v/>
      </c>
      <c r="H1058" s="0" t="str">
        <f aca="true">IF($A1058="","",IFERROR(MAX(0,NETWORKDAYS(TODAY(),'Agences &amp; Après-vente'!$F260)),""))</f>
        <v/>
      </c>
      <c r="I1058" s="0" t="str">
        <f aca="false">IF($A1058="","",'Agences &amp; Après-vente'!$I260)</f>
        <v/>
      </c>
      <c r="K1058" s="104" t="n">
        <f aca="false">IF(A1058="",0,IF(IFERROR(VLOOKUP(A1058,Skills!$A:$M,13,FALSE()),"")="COS",0,IF(OR(I1058="En cours",I1058="À venir",I1058="À planifier"),IF(AND(OR($C$3="Tous",$C$3="",C1058=$C$3),OR($E$3="Tous",$E$3="",I1058=$E$3)),1,0),0)))</f>
        <v>0</v>
      </c>
      <c r="L1058" s="104" t="n">
        <f aca="false">L1057+K1058</f>
        <v>17</v>
      </c>
    </row>
    <row r="1059" customFormat="false" ht="15" hidden="true" customHeight="true" outlineLevel="0" collapsed="false">
      <c r="A1059" s="0" t="str">
        <f aca="false">IF('Agences &amp; Après-vente'!$A261="","",'Agences &amp; Après-vente'!$A261)</f>
        <v/>
      </c>
      <c r="B1059" s="0" t="str">
        <f aca="false">IF($A1059="","",'Agences &amp; Après-vente'!$B261)</f>
        <v/>
      </c>
      <c r="C1059" s="0" t="str">
        <f aca="false">IF($A1059="","",'Agences &amp; Après-vente'!$C261)</f>
        <v/>
      </c>
      <c r="D1059" s="0" t="str">
        <f aca="false">IF($A1059="","","Nouvelle compétence")</f>
        <v/>
      </c>
      <c r="E1059" s="0" t="str">
        <f aca="false">IF($A1059="","",'Agences &amp; Après-vente'!$D261)</f>
        <v/>
      </c>
      <c r="F1059" s="116" t="str">
        <f aca="false">IF($A1059="","",'Agences &amp; Après-vente'!$E261)</f>
        <v/>
      </c>
      <c r="G1059" s="116" t="str">
        <f aca="false">IF($A1059="","",'Agences &amp; Après-vente'!$F261)</f>
        <v/>
      </c>
      <c r="H1059" s="0" t="str">
        <f aca="true">IF($A1059="","",IFERROR(MAX(0,NETWORKDAYS(TODAY(),'Agences &amp; Après-vente'!$F261)),""))</f>
        <v/>
      </c>
      <c r="I1059" s="0" t="str">
        <f aca="false">IF($A1059="","",'Agences &amp; Après-vente'!$I261)</f>
        <v/>
      </c>
      <c r="K1059" s="104" t="n">
        <f aca="false">IF(A1059="",0,IF(IFERROR(VLOOKUP(A1059,Skills!$A:$M,13,FALSE()),"")="COS",0,IF(OR(I1059="En cours",I1059="À venir",I1059="À planifier"),IF(AND(OR($C$3="Tous",$C$3="",C1059=$C$3),OR($E$3="Tous",$E$3="",I1059=$E$3)),1,0),0)))</f>
        <v>0</v>
      </c>
      <c r="L1059" s="104" t="n">
        <f aca="false">L1058+K1059</f>
        <v>17</v>
      </c>
    </row>
    <row r="1060" customFormat="false" ht="15" hidden="true" customHeight="true" outlineLevel="0" collapsed="false">
      <c r="A1060" s="0" t="str">
        <f aca="false">IF('Agences &amp; Après-vente'!$A262="","",'Agences &amp; Après-vente'!$A262)</f>
        <v/>
      </c>
      <c r="B1060" s="0" t="str">
        <f aca="false">IF($A1060="","",'Agences &amp; Après-vente'!$B262)</f>
        <v/>
      </c>
      <c r="C1060" s="0" t="str">
        <f aca="false">IF($A1060="","",'Agences &amp; Après-vente'!$C262)</f>
        <v/>
      </c>
      <c r="D1060" s="0" t="str">
        <f aca="false">IF($A1060="","","Nouvelle compétence")</f>
        <v/>
      </c>
      <c r="E1060" s="0" t="str">
        <f aca="false">IF($A1060="","",'Agences &amp; Après-vente'!$D262)</f>
        <v/>
      </c>
      <c r="F1060" s="116" t="str">
        <f aca="false">IF($A1060="","",'Agences &amp; Après-vente'!$E262)</f>
        <v/>
      </c>
      <c r="G1060" s="116" t="str">
        <f aca="false">IF($A1060="","",'Agences &amp; Après-vente'!$F262)</f>
        <v/>
      </c>
      <c r="H1060" s="0" t="str">
        <f aca="true">IF($A1060="","",IFERROR(MAX(0,NETWORKDAYS(TODAY(),'Agences &amp; Après-vente'!$F262)),""))</f>
        <v/>
      </c>
      <c r="I1060" s="0" t="str">
        <f aca="false">IF($A1060="","",'Agences &amp; Après-vente'!$I262)</f>
        <v/>
      </c>
      <c r="K1060" s="104" t="n">
        <f aca="false">IF(A1060="",0,IF(IFERROR(VLOOKUP(A1060,Skills!$A:$M,13,FALSE()),"")="COS",0,IF(OR(I1060="En cours",I1060="À venir",I1060="À planifier"),IF(AND(OR($C$3="Tous",$C$3="",C1060=$C$3),OR($E$3="Tous",$E$3="",I1060=$E$3)),1,0),0)))</f>
        <v>0</v>
      </c>
      <c r="L1060" s="104" t="n">
        <f aca="false">L1059+K1060</f>
        <v>17</v>
      </c>
    </row>
    <row r="1061" customFormat="false" ht="15" hidden="true" customHeight="true" outlineLevel="0" collapsed="false">
      <c r="A1061" s="0" t="str">
        <f aca="false">IF('Agences &amp; Après-vente'!$A263="","",'Agences &amp; Après-vente'!$A263)</f>
        <v/>
      </c>
      <c r="B1061" s="0" t="str">
        <f aca="false">IF($A1061="","",'Agences &amp; Après-vente'!$B263)</f>
        <v/>
      </c>
      <c r="C1061" s="0" t="str">
        <f aca="false">IF($A1061="","",'Agences &amp; Après-vente'!$C263)</f>
        <v/>
      </c>
      <c r="D1061" s="0" t="str">
        <f aca="false">IF($A1061="","","Nouvelle compétence")</f>
        <v/>
      </c>
      <c r="E1061" s="0" t="str">
        <f aca="false">IF($A1061="","",'Agences &amp; Après-vente'!$D263)</f>
        <v/>
      </c>
      <c r="F1061" s="116" t="str">
        <f aca="false">IF($A1061="","",'Agences &amp; Après-vente'!$E263)</f>
        <v/>
      </c>
      <c r="G1061" s="116" t="str">
        <f aca="false">IF($A1061="","",'Agences &amp; Après-vente'!$F263)</f>
        <v/>
      </c>
      <c r="H1061" s="0" t="str">
        <f aca="true">IF($A1061="","",IFERROR(MAX(0,NETWORKDAYS(TODAY(),'Agences &amp; Après-vente'!$F263)),""))</f>
        <v/>
      </c>
      <c r="I1061" s="0" t="str">
        <f aca="false">IF($A1061="","",'Agences &amp; Après-vente'!$I263)</f>
        <v/>
      </c>
      <c r="K1061" s="104" t="n">
        <f aca="false">IF(A1061="",0,IF(IFERROR(VLOOKUP(A1061,Skills!$A:$M,13,FALSE()),"")="COS",0,IF(OR(I1061="En cours",I1061="À venir",I1061="À planifier"),IF(AND(OR($C$3="Tous",$C$3="",C1061=$C$3),OR($E$3="Tous",$E$3="",I1061=$E$3)),1,0),0)))</f>
        <v>0</v>
      </c>
      <c r="L1061" s="104" t="n">
        <f aca="false">L1060+K1061</f>
        <v>17</v>
      </c>
    </row>
    <row r="1062" customFormat="false" ht="15" hidden="true" customHeight="true" outlineLevel="0" collapsed="false">
      <c r="A1062" s="0" t="str">
        <f aca="false">IF('Agences &amp; Après-vente'!$A264="","",'Agences &amp; Après-vente'!$A264)</f>
        <v/>
      </c>
      <c r="B1062" s="0" t="str">
        <f aca="false">IF($A1062="","",'Agences &amp; Après-vente'!$B264)</f>
        <v/>
      </c>
      <c r="C1062" s="0" t="str">
        <f aca="false">IF($A1062="","",'Agences &amp; Après-vente'!$C264)</f>
        <v/>
      </c>
      <c r="D1062" s="0" t="str">
        <f aca="false">IF($A1062="","","Nouvelle compétence")</f>
        <v/>
      </c>
      <c r="E1062" s="0" t="str">
        <f aca="false">IF($A1062="","",'Agences &amp; Après-vente'!$D264)</f>
        <v/>
      </c>
      <c r="F1062" s="116" t="str">
        <f aca="false">IF($A1062="","",'Agences &amp; Après-vente'!$E264)</f>
        <v/>
      </c>
      <c r="G1062" s="116" t="str">
        <f aca="false">IF($A1062="","",'Agences &amp; Après-vente'!$F264)</f>
        <v/>
      </c>
      <c r="H1062" s="0" t="str">
        <f aca="true">IF($A1062="","",IFERROR(MAX(0,NETWORKDAYS(TODAY(),'Agences &amp; Après-vente'!$F264)),""))</f>
        <v/>
      </c>
      <c r="I1062" s="0" t="str">
        <f aca="false">IF($A1062="","",'Agences &amp; Après-vente'!$I264)</f>
        <v/>
      </c>
      <c r="K1062" s="104" t="n">
        <f aca="false">IF(A1062="",0,IF(IFERROR(VLOOKUP(A1062,Skills!$A:$M,13,FALSE()),"")="COS",0,IF(OR(I1062="En cours",I1062="À venir",I1062="À planifier"),IF(AND(OR($C$3="Tous",$C$3="",C1062=$C$3),OR($E$3="Tous",$E$3="",I1062=$E$3)),1,0),0)))</f>
        <v>0</v>
      </c>
      <c r="L1062" s="104" t="n">
        <f aca="false">L1061+K1062</f>
        <v>17</v>
      </c>
    </row>
    <row r="1063" customFormat="false" ht="15" hidden="true" customHeight="true" outlineLevel="0" collapsed="false">
      <c r="A1063" s="0" t="str">
        <f aca="false">IF('Agences &amp; Après-vente'!$A265="","",'Agences &amp; Après-vente'!$A265)</f>
        <v/>
      </c>
      <c r="B1063" s="0" t="str">
        <f aca="false">IF($A1063="","",'Agences &amp; Après-vente'!$B265)</f>
        <v/>
      </c>
      <c r="C1063" s="0" t="str">
        <f aca="false">IF($A1063="","",'Agences &amp; Après-vente'!$C265)</f>
        <v/>
      </c>
      <c r="D1063" s="0" t="str">
        <f aca="false">IF($A1063="","","Nouvelle compétence")</f>
        <v/>
      </c>
      <c r="E1063" s="0" t="str">
        <f aca="false">IF($A1063="","",'Agences &amp; Après-vente'!$D265)</f>
        <v/>
      </c>
      <c r="F1063" s="116" t="str">
        <f aca="false">IF($A1063="","",'Agences &amp; Après-vente'!$E265)</f>
        <v/>
      </c>
      <c r="G1063" s="116" t="str">
        <f aca="false">IF($A1063="","",'Agences &amp; Après-vente'!$F265)</f>
        <v/>
      </c>
      <c r="H1063" s="0" t="str">
        <f aca="true">IF($A1063="","",IFERROR(MAX(0,NETWORKDAYS(TODAY(),'Agences &amp; Après-vente'!$F265)),""))</f>
        <v/>
      </c>
      <c r="I1063" s="0" t="str">
        <f aca="false">IF($A1063="","",'Agences &amp; Après-vente'!$I265)</f>
        <v/>
      </c>
      <c r="K1063" s="104" t="n">
        <f aca="false">IF(A1063="",0,IF(IFERROR(VLOOKUP(A1063,Skills!$A:$M,13,FALSE()),"")="COS",0,IF(OR(I1063="En cours",I1063="À venir",I1063="À planifier"),IF(AND(OR($C$3="Tous",$C$3="",C1063=$C$3),OR($E$3="Tous",$E$3="",I1063=$E$3)),1,0),0)))</f>
        <v>0</v>
      </c>
      <c r="L1063" s="104" t="n">
        <f aca="false">L1062+K1063</f>
        <v>17</v>
      </c>
    </row>
    <row r="1064" customFormat="false" ht="15" hidden="true" customHeight="true" outlineLevel="0" collapsed="false">
      <c r="A1064" s="0" t="str">
        <f aca="false">IF('Agences &amp; Après-vente'!$A266="","",'Agences &amp; Après-vente'!$A266)</f>
        <v/>
      </c>
      <c r="B1064" s="0" t="str">
        <f aca="false">IF($A1064="","",'Agences &amp; Après-vente'!$B266)</f>
        <v/>
      </c>
      <c r="C1064" s="0" t="str">
        <f aca="false">IF($A1064="","",'Agences &amp; Après-vente'!$C266)</f>
        <v/>
      </c>
      <c r="D1064" s="0" t="str">
        <f aca="false">IF($A1064="","","Nouvelle compétence")</f>
        <v/>
      </c>
      <c r="E1064" s="0" t="str">
        <f aca="false">IF($A1064="","",'Agences &amp; Après-vente'!$D266)</f>
        <v/>
      </c>
      <c r="F1064" s="116" t="str">
        <f aca="false">IF($A1064="","",'Agences &amp; Après-vente'!$E266)</f>
        <v/>
      </c>
      <c r="G1064" s="116" t="str">
        <f aca="false">IF($A1064="","",'Agences &amp; Après-vente'!$F266)</f>
        <v/>
      </c>
      <c r="H1064" s="0" t="str">
        <f aca="true">IF($A1064="","",IFERROR(MAX(0,NETWORKDAYS(TODAY(),'Agences &amp; Après-vente'!$F266)),""))</f>
        <v/>
      </c>
      <c r="I1064" s="0" t="str">
        <f aca="false">IF($A1064="","",'Agences &amp; Après-vente'!$I266)</f>
        <v/>
      </c>
      <c r="K1064" s="104" t="n">
        <f aca="false">IF(A1064="",0,IF(IFERROR(VLOOKUP(A1064,Skills!$A:$M,13,FALSE()),"")="COS",0,IF(OR(I1064="En cours",I1064="À venir",I1064="À planifier"),IF(AND(OR($C$3="Tous",$C$3="",C1064=$C$3),OR($E$3="Tous",$E$3="",I1064=$E$3)),1,0),0)))</f>
        <v>0</v>
      </c>
      <c r="L1064" s="104" t="n">
        <f aca="false">L1063+K1064</f>
        <v>17</v>
      </c>
    </row>
    <row r="1065" customFormat="false" ht="15" hidden="true" customHeight="true" outlineLevel="0" collapsed="false">
      <c r="A1065" s="0" t="str">
        <f aca="false">IF('Agences &amp; Après-vente'!$A267="","",'Agences &amp; Après-vente'!$A267)</f>
        <v/>
      </c>
      <c r="B1065" s="0" t="str">
        <f aca="false">IF($A1065="","",'Agences &amp; Après-vente'!$B267)</f>
        <v/>
      </c>
      <c r="C1065" s="0" t="str">
        <f aca="false">IF($A1065="","",'Agences &amp; Après-vente'!$C267)</f>
        <v/>
      </c>
      <c r="D1065" s="0" t="str">
        <f aca="false">IF($A1065="","","Nouvelle compétence")</f>
        <v/>
      </c>
      <c r="E1065" s="0" t="str">
        <f aca="false">IF($A1065="","",'Agences &amp; Après-vente'!$D267)</f>
        <v/>
      </c>
      <c r="F1065" s="116" t="str">
        <f aca="false">IF($A1065="","",'Agences &amp; Après-vente'!$E267)</f>
        <v/>
      </c>
      <c r="G1065" s="116" t="str">
        <f aca="false">IF($A1065="","",'Agences &amp; Après-vente'!$F267)</f>
        <v/>
      </c>
      <c r="H1065" s="0" t="str">
        <f aca="true">IF($A1065="","",IFERROR(MAX(0,NETWORKDAYS(TODAY(),'Agences &amp; Après-vente'!$F267)),""))</f>
        <v/>
      </c>
      <c r="I1065" s="0" t="str">
        <f aca="false">IF($A1065="","",'Agences &amp; Après-vente'!$I267)</f>
        <v/>
      </c>
      <c r="K1065" s="104" t="n">
        <f aca="false">IF(A1065="",0,IF(IFERROR(VLOOKUP(A1065,Skills!$A:$M,13,FALSE()),"")="COS",0,IF(OR(I1065="En cours",I1065="À venir",I1065="À planifier"),IF(AND(OR($C$3="Tous",$C$3="",C1065=$C$3),OR($E$3="Tous",$E$3="",I1065=$E$3)),1,0),0)))</f>
        <v>0</v>
      </c>
      <c r="L1065" s="104" t="n">
        <f aca="false">L1064+K1065</f>
        <v>17</v>
      </c>
    </row>
    <row r="1066" customFormat="false" ht="15" hidden="true" customHeight="true" outlineLevel="0" collapsed="false">
      <c r="A1066" s="0" t="str">
        <f aca="false">IF('Agences &amp; Après-vente'!$A268="","",'Agences &amp; Après-vente'!$A268)</f>
        <v/>
      </c>
      <c r="B1066" s="0" t="str">
        <f aca="false">IF($A1066="","",'Agences &amp; Après-vente'!$B268)</f>
        <v/>
      </c>
      <c r="C1066" s="0" t="str">
        <f aca="false">IF($A1066="","",'Agences &amp; Après-vente'!$C268)</f>
        <v/>
      </c>
      <c r="D1066" s="0" t="str">
        <f aca="false">IF($A1066="","","Nouvelle compétence")</f>
        <v/>
      </c>
      <c r="E1066" s="0" t="str">
        <f aca="false">IF($A1066="","",'Agences &amp; Après-vente'!$D268)</f>
        <v/>
      </c>
      <c r="F1066" s="116" t="str">
        <f aca="false">IF($A1066="","",'Agences &amp; Après-vente'!$E268)</f>
        <v/>
      </c>
      <c r="G1066" s="116" t="str">
        <f aca="false">IF($A1066="","",'Agences &amp; Après-vente'!$F268)</f>
        <v/>
      </c>
      <c r="H1066" s="0" t="str">
        <f aca="true">IF($A1066="","",IFERROR(MAX(0,NETWORKDAYS(TODAY(),'Agences &amp; Après-vente'!$F268)),""))</f>
        <v/>
      </c>
      <c r="I1066" s="0" t="str">
        <f aca="false">IF($A1066="","",'Agences &amp; Après-vente'!$I268)</f>
        <v/>
      </c>
      <c r="K1066" s="104" t="n">
        <f aca="false">IF(A1066="",0,IF(IFERROR(VLOOKUP(A1066,Skills!$A:$M,13,FALSE()),"")="COS",0,IF(OR(I1066="En cours",I1066="À venir",I1066="À planifier"),IF(AND(OR($C$3="Tous",$C$3="",C1066=$C$3),OR($E$3="Tous",$E$3="",I1066=$E$3)),1,0),0)))</f>
        <v>0</v>
      </c>
      <c r="L1066" s="104" t="n">
        <f aca="false">L1065+K1066</f>
        <v>17</v>
      </c>
    </row>
    <row r="1067" customFormat="false" ht="15" hidden="true" customHeight="true" outlineLevel="0" collapsed="false">
      <c r="A1067" s="0" t="str">
        <f aca="false">IF('Agences &amp; Après-vente'!$A269="","",'Agences &amp; Après-vente'!$A269)</f>
        <v/>
      </c>
      <c r="B1067" s="0" t="str">
        <f aca="false">IF($A1067="","",'Agences &amp; Après-vente'!$B269)</f>
        <v/>
      </c>
      <c r="C1067" s="0" t="str">
        <f aca="false">IF($A1067="","",'Agences &amp; Après-vente'!$C269)</f>
        <v/>
      </c>
      <c r="D1067" s="0" t="str">
        <f aca="false">IF($A1067="","","Nouvelle compétence")</f>
        <v/>
      </c>
      <c r="E1067" s="0" t="str">
        <f aca="false">IF($A1067="","",'Agences &amp; Après-vente'!$D269)</f>
        <v/>
      </c>
      <c r="F1067" s="116" t="str">
        <f aca="false">IF($A1067="","",'Agences &amp; Après-vente'!$E269)</f>
        <v/>
      </c>
      <c r="G1067" s="116" t="str">
        <f aca="false">IF($A1067="","",'Agences &amp; Après-vente'!$F269)</f>
        <v/>
      </c>
      <c r="H1067" s="0" t="str">
        <f aca="true">IF($A1067="","",IFERROR(MAX(0,NETWORKDAYS(TODAY(),'Agences &amp; Après-vente'!$F269)),""))</f>
        <v/>
      </c>
      <c r="I1067" s="0" t="str">
        <f aca="false">IF($A1067="","",'Agences &amp; Après-vente'!$I269)</f>
        <v/>
      </c>
      <c r="K1067" s="104" t="n">
        <f aca="false">IF(A1067="",0,IF(IFERROR(VLOOKUP(A1067,Skills!$A:$M,13,FALSE()),"")="COS",0,IF(OR(I1067="En cours",I1067="À venir",I1067="À planifier"),IF(AND(OR($C$3="Tous",$C$3="",C1067=$C$3),OR($E$3="Tous",$E$3="",I1067=$E$3)),1,0),0)))</f>
        <v>0</v>
      </c>
      <c r="L1067" s="104" t="n">
        <f aca="false">L1066+K1067</f>
        <v>17</v>
      </c>
    </row>
    <row r="1068" customFormat="false" ht="15" hidden="true" customHeight="true" outlineLevel="0" collapsed="false">
      <c r="A1068" s="0" t="str">
        <f aca="false">IF('Agences &amp; Après-vente'!$A270="","",'Agences &amp; Après-vente'!$A270)</f>
        <v/>
      </c>
      <c r="B1068" s="0" t="str">
        <f aca="false">IF($A1068="","",'Agences &amp; Après-vente'!$B270)</f>
        <v/>
      </c>
      <c r="C1068" s="0" t="str">
        <f aca="false">IF($A1068="","",'Agences &amp; Après-vente'!$C270)</f>
        <v/>
      </c>
      <c r="D1068" s="0" t="str">
        <f aca="false">IF($A1068="","","Nouvelle compétence")</f>
        <v/>
      </c>
      <c r="E1068" s="0" t="str">
        <f aca="false">IF($A1068="","",'Agences &amp; Après-vente'!$D270)</f>
        <v/>
      </c>
      <c r="F1068" s="116" t="str">
        <f aca="false">IF($A1068="","",'Agences &amp; Après-vente'!$E270)</f>
        <v/>
      </c>
      <c r="G1068" s="116" t="str">
        <f aca="false">IF($A1068="","",'Agences &amp; Après-vente'!$F270)</f>
        <v/>
      </c>
      <c r="H1068" s="0" t="str">
        <f aca="true">IF($A1068="","",IFERROR(MAX(0,NETWORKDAYS(TODAY(),'Agences &amp; Après-vente'!$F270)),""))</f>
        <v/>
      </c>
      <c r="I1068" s="0" t="str">
        <f aca="false">IF($A1068="","",'Agences &amp; Après-vente'!$I270)</f>
        <v/>
      </c>
      <c r="K1068" s="104" t="n">
        <f aca="false">IF(A1068="",0,IF(IFERROR(VLOOKUP(A1068,Skills!$A:$M,13,FALSE()),"")="COS",0,IF(OR(I1068="En cours",I1068="À venir",I1068="À planifier"),IF(AND(OR($C$3="Tous",$C$3="",C1068=$C$3),OR($E$3="Tous",$E$3="",I1068=$E$3)),1,0),0)))</f>
        <v>0</v>
      </c>
      <c r="L1068" s="104" t="n">
        <f aca="false">L1067+K1068</f>
        <v>17</v>
      </c>
    </row>
    <row r="1069" customFormat="false" ht="15" hidden="true" customHeight="true" outlineLevel="0" collapsed="false">
      <c r="A1069" s="0" t="str">
        <f aca="false">IF('Agences &amp; Après-vente'!$A271="","",'Agences &amp; Après-vente'!$A271)</f>
        <v/>
      </c>
      <c r="B1069" s="0" t="str">
        <f aca="false">IF($A1069="","",'Agences &amp; Après-vente'!$B271)</f>
        <v/>
      </c>
      <c r="C1069" s="0" t="str">
        <f aca="false">IF($A1069="","",'Agences &amp; Après-vente'!$C271)</f>
        <v/>
      </c>
      <c r="D1069" s="0" t="str">
        <f aca="false">IF($A1069="","","Nouvelle compétence")</f>
        <v/>
      </c>
      <c r="E1069" s="0" t="str">
        <f aca="false">IF($A1069="","",'Agences &amp; Après-vente'!$D271)</f>
        <v/>
      </c>
      <c r="F1069" s="116" t="str">
        <f aca="false">IF($A1069="","",'Agences &amp; Après-vente'!$E271)</f>
        <v/>
      </c>
      <c r="G1069" s="116" t="str">
        <f aca="false">IF($A1069="","",'Agences &amp; Après-vente'!$F271)</f>
        <v/>
      </c>
      <c r="H1069" s="0" t="str">
        <f aca="true">IF($A1069="","",IFERROR(MAX(0,NETWORKDAYS(TODAY(),'Agences &amp; Après-vente'!$F271)),""))</f>
        <v/>
      </c>
      <c r="I1069" s="0" t="str">
        <f aca="false">IF($A1069="","",'Agences &amp; Après-vente'!$I271)</f>
        <v/>
      </c>
      <c r="K1069" s="104" t="n">
        <f aca="false">IF(A1069="",0,IF(IFERROR(VLOOKUP(A1069,Skills!$A:$M,13,FALSE()),"")="COS",0,IF(OR(I1069="En cours",I1069="À venir",I1069="À planifier"),IF(AND(OR($C$3="Tous",$C$3="",C1069=$C$3),OR($E$3="Tous",$E$3="",I1069=$E$3)),1,0),0)))</f>
        <v>0</v>
      </c>
      <c r="L1069" s="104" t="n">
        <f aca="false">L1068+K1069</f>
        <v>17</v>
      </c>
    </row>
    <row r="1070" customFormat="false" ht="15" hidden="true" customHeight="true" outlineLevel="0" collapsed="false">
      <c r="A1070" s="0" t="str">
        <f aca="false">IF('Agences &amp; Après-vente'!$A272="","",'Agences &amp; Après-vente'!$A272)</f>
        <v/>
      </c>
      <c r="B1070" s="0" t="str">
        <f aca="false">IF($A1070="","",'Agences &amp; Après-vente'!$B272)</f>
        <v/>
      </c>
      <c r="C1070" s="0" t="str">
        <f aca="false">IF($A1070="","",'Agences &amp; Après-vente'!$C272)</f>
        <v/>
      </c>
      <c r="D1070" s="0" t="str">
        <f aca="false">IF($A1070="","","Nouvelle compétence")</f>
        <v/>
      </c>
      <c r="E1070" s="0" t="str">
        <f aca="false">IF($A1070="","",'Agences &amp; Après-vente'!$D272)</f>
        <v/>
      </c>
      <c r="F1070" s="116" t="str">
        <f aca="false">IF($A1070="","",'Agences &amp; Après-vente'!$E272)</f>
        <v/>
      </c>
      <c r="G1070" s="116" t="str">
        <f aca="false">IF($A1070="","",'Agences &amp; Après-vente'!$F272)</f>
        <v/>
      </c>
      <c r="H1070" s="0" t="str">
        <f aca="true">IF($A1070="","",IFERROR(MAX(0,NETWORKDAYS(TODAY(),'Agences &amp; Après-vente'!$F272)),""))</f>
        <v/>
      </c>
      <c r="I1070" s="0" t="str">
        <f aca="false">IF($A1070="","",'Agences &amp; Après-vente'!$I272)</f>
        <v/>
      </c>
      <c r="K1070" s="104" t="n">
        <f aca="false">IF(A1070="",0,IF(IFERROR(VLOOKUP(A1070,Skills!$A:$M,13,FALSE()),"")="COS",0,IF(OR(I1070="En cours",I1070="À venir",I1070="À planifier"),IF(AND(OR($C$3="Tous",$C$3="",C1070=$C$3),OR($E$3="Tous",$E$3="",I1070=$E$3)),1,0),0)))</f>
        <v>0</v>
      </c>
      <c r="L1070" s="104" t="n">
        <f aca="false">L1069+K1070</f>
        <v>17</v>
      </c>
    </row>
    <row r="1071" customFormat="false" ht="15" hidden="true" customHeight="true" outlineLevel="0" collapsed="false">
      <c r="A1071" s="0" t="str">
        <f aca="false">IF('Agences &amp; Après-vente'!$A273="","",'Agences &amp; Après-vente'!$A273)</f>
        <v/>
      </c>
      <c r="B1071" s="0" t="str">
        <f aca="false">IF($A1071="","",'Agences &amp; Après-vente'!$B273)</f>
        <v/>
      </c>
      <c r="C1071" s="0" t="str">
        <f aca="false">IF($A1071="","",'Agences &amp; Après-vente'!$C273)</f>
        <v/>
      </c>
      <c r="D1071" s="0" t="str">
        <f aca="false">IF($A1071="","","Nouvelle compétence")</f>
        <v/>
      </c>
      <c r="E1071" s="0" t="str">
        <f aca="false">IF($A1071="","",'Agences &amp; Après-vente'!$D273)</f>
        <v/>
      </c>
      <c r="F1071" s="116" t="str">
        <f aca="false">IF($A1071="","",'Agences &amp; Après-vente'!$E273)</f>
        <v/>
      </c>
      <c r="G1071" s="116" t="str">
        <f aca="false">IF($A1071="","",'Agences &amp; Après-vente'!$F273)</f>
        <v/>
      </c>
      <c r="H1071" s="0" t="str">
        <f aca="true">IF($A1071="","",IFERROR(MAX(0,NETWORKDAYS(TODAY(),'Agences &amp; Après-vente'!$F273)),""))</f>
        <v/>
      </c>
      <c r="I1071" s="0" t="str">
        <f aca="false">IF($A1071="","",'Agences &amp; Après-vente'!$I273)</f>
        <v/>
      </c>
      <c r="K1071" s="104" t="n">
        <f aca="false">IF(A1071="",0,IF(IFERROR(VLOOKUP(A1071,Skills!$A:$M,13,FALSE()),"")="COS",0,IF(OR(I1071="En cours",I1071="À venir",I1071="À planifier"),IF(AND(OR($C$3="Tous",$C$3="",C1071=$C$3),OR($E$3="Tous",$E$3="",I1071=$E$3)),1,0),0)))</f>
        <v>0</v>
      </c>
      <c r="L1071" s="104" t="n">
        <f aca="false">L1070+K1071</f>
        <v>17</v>
      </c>
    </row>
    <row r="1072" customFormat="false" ht="15" hidden="true" customHeight="true" outlineLevel="0" collapsed="false">
      <c r="A1072" s="0" t="str">
        <f aca="false">IF('Agences &amp; Après-vente'!$A274="","",'Agences &amp; Après-vente'!$A274)</f>
        <v/>
      </c>
      <c r="B1072" s="0" t="str">
        <f aca="false">IF($A1072="","",'Agences &amp; Après-vente'!$B274)</f>
        <v/>
      </c>
      <c r="C1072" s="0" t="str">
        <f aca="false">IF($A1072="","",'Agences &amp; Après-vente'!$C274)</f>
        <v/>
      </c>
      <c r="D1072" s="0" t="str">
        <f aca="false">IF($A1072="","","Nouvelle compétence")</f>
        <v/>
      </c>
      <c r="E1072" s="0" t="str">
        <f aca="false">IF($A1072="","",'Agences &amp; Après-vente'!$D274)</f>
        <v/>
      </c>
      <c r="F1072" s="116" t="str">
        <f aca="false">IF($A1072="","",'Agences &amp; Après-vente'!$E274)</f>
        <v/>
      </c>
      <c r="G1072" s="116" t="str">
        <f aca="false">IF($A1072="","",'Agences &amp; Après-vente'!$F274)</f>
        <v/>
      </c>
      <c r="H1072" s="0" t="str">
        <f aca="true">IF($A1072="","",IFERROR(MAX(0,NETWORKDAYS(TODAY(),'Agences &amp; Après-vente'!$F274)),""))</f>
        <v/>
      </c>
      <c r="I1072" s="0" t="str">
        <f aca="false">IF($A1072="","",'Agences &amp; Après-vente'!$I274)</f>
        <v/>
      </c>
      <c r="K1072" s="104" t="n">
        <f aca="false">IF(A1072="",0,IF(IFERROR(VLOOKUP(A1072,Skills!$A:$M,13,FALSE()),"")="COS",0,IF(OR(I1072="En cours",I1072="À venir",I1072="À planifier"),IF(AND(OR($C$3="Tous",$C$3="",C1072=$C$3),OR($E$3="Tous",$E$3="",I1072=$E$3)),1,0),0)))</f>
        <v>0</v>
      </c>
      <c r="L1072" s="104" t="n">
        <f aca="false">L1071+K1072</f>
        <v>17</v>
      </c>
    </row>
    <row r="1073" customFormat="false" ht="15" hidden="true" customHeight="true" outlineLevel="0" collapsed="false">
      <c r="A1073" s="0" t="str">
        <f aca="false">IF('Agences &amp; Après-vente'!$A275="","",'Agences &amp; Après-vente'!$A275)</f>
        <v/>
      </c>
      <c r="B1073" s="0" t="str">
        <f aca="false">IF($A1073="","",'Agences &amp; Après-vente'!$B275)</f>
        <v/>
      </c>
      <c r="C1073" s="0" t="str">
        <f aca="false">IF($A1073="","",'Agences &amp; Après-vente'!$C275)</f>
        <v/>
      </c>
      <c r="D1073" s="0" t="str">
        <f aca="false">IF($A1073="","","Nouvelle compétence")</f>
        <v/>
      </c>
      <c r="E1073" s="0" t="str">
        <f aca="false">IF($A1073="","",'Agences &amp; Après-vente'!$D275)</f>
        <v/>
      </c>
      <c r="F1073" s="116" t="str">
        <f aca="false">IF($A1073="","",'Agences &amp; Après-vente'!$E275)</f>
        <v/>
      </c>
      <c r="G1073" s="116" t="str">
        <f aca="false">IF($A1073="","",'Agences &amp; Après-vente'!$F275)</f>
        <v/>
      </c>
      <c r="H1073" s="0" t="str">
        <f aca="true">IF($A1073="","",IFERROR(MAX(0,NETWORKDAYS(TODAY(),'Agences &amp; Après-vente'!$F275)),""))</f>
        <v/>
      </c>
      <c r="I1073" s="0" t="str">
        <f aca="false">IF($A1073="","",'Agences &amp; Après-vente'!$I275)</f>
        <v/>
      </c>
      <c r="K1073" s="104" t="n">
        <f aca="false">IF(A1073="",0,IF(IFERROR(VLOOKUP(A1073,Skills!$A:$M,13,FALSE()),"")="COS",0,IF(OR(I1073="En cours",I1073="À venir",I1073="À planifier"),IF(AND(OR($C$3="Tous",$C$3="",C1073=$C$3),OR($E$3="Tous",$E$3="",I1073=$E$3)),1,0),0)))</f>
        <v>0</v>
      </c>
      <c r="L1073" s="104" t="n">
        <f aca="false">L1072+K1073</f>
        <v>17</v>
      </c>
    </row>
    <row r="1074" customFormat="false" ht="15" hidden="true" customHeight="true" outlineLevel="0" collapsed="false">
      <c r="A1074" s="0" t="str">
        <f aca="false">IF('Agences &amp; Après-vente'!$A276="","",'Agences &amp; Après-vente'!$A276)</f>
        <v/>
      </c>
      <c r="B1074" s="0" t="str">
        <f aca="false">IF($A1074="","",'Agences &amp; Après-vente'!$B276)</f>
        <v/>
      </c>
      <c r="C1074" s="0" t="str">
        <f aca="false">IF($A1074="","",'Agences &amp; Après-vente'!$C276)</f>
        <v/>
      </c>
      <c r="D1074" s="0" t="str">
        <f aca="false">IF($A1074="","","Nouvelle compétence")</f>
        <v/>
      </c>
      <c r="E1074" s="0" t="str">
        <f aca="false">IF($A1074="","",'Agences &amp; Après-vente'!$D276)</f>
        <v/>
      </c>
      <c r="F1074" s="116" t="str">
        <f aca="false">IF($A1074="","",'Agences &amp; Après-vente'!$E276)</f>
        <v/>
      </c>
      <c r="G1074" s="116" t="str">
        <f aca="false">IF($A1074="","",'Agences &amp; Après-vente'!$F276)</f>
        <v/>
      </c>
      <c r="H1074" s="0" t="str">
        <f aca="true">IF($A1074="","",IFERROR(MAX(0,NETWORKDAYS(TODAY(),'Agences &amp; Après-vente'!$F276)),""))</f>
        <v/>
      </c>
      <c r="I1074" s="0" t="str">
        <f aca="false">IF($A1074="","",'Agences &amp; Après-vente'!$I276)</f>
        <v/>
      </c>
      <c r="K1074" s="104" t="n">
        <f aca="false">IF(A1074="",0,IF(IFERROR(VLOOKUP(A1074,Skills!$A:$M,13,FALSE()),"")="COS",0,IF(OR(I1074="En cours",I1074="À venir",I1074="À planifier"),IF(AND(OR($C$3="Tous",$C$3="",C1074=$C$3),OR($E$3="Tous",$E$3="",I1074=$E$3)),1,0),0)))</f>
        <v>0</v>
      </c>
      <c r="L1074" s="104" t="n">
        <f aca="false">L1073+K1074</f>
        <v>17</v>
      </c>
    </row>
    <row r="1075" customFormat="false" ht="15" hidden="true" customHeight="true" outlineLevel="0" collapsed="false">
      <c r="A1075" s="0" t="str">
        <f aca="false">IF('Agences &amp; Après-vente'!$A277="","",'Agences &amp; Après-vente'!$A277)</f>
        <v/>
      </c>
      <c r="B1075" s="0" t="str">
        <f aca="false">IF($A1075="","",'Agences &amp; Après-vente'!$B277)</f>
        <v/>
      </c>
      <c r="C1075" s="0" t="str">
        <f aca="false">IF($A1075="","",'Agences &amp; Après-vente'!$C277)</f>
        <v/>
      </c>
      <c r="D1075" s="0" t="str">
        <f aca="false">IF($A1075="","","Nouvelle compétence")</f>
        <v/>
      </c>
      <c r="E1075" s="0" t="str">
        <f aca="false">IF($A1075="","",'Agences &amp; Après-vente'!$D277)</f>
        <v/>
      </c>
      <c r="F1075" s="116" t="str">
        <f aca="false">IF($A1075="","",'Agences &amp; Après-vente'!$E277)</f>
        <v/>
      </c>
      <c r="G1075" s="116" t="str">
        <f aca="false">IF($A1075="","",'Agences &amp; Après-vente'!$F277)</f>
        <v/>
      </c>
      <c r="H1075" s="0" t="str">
        <f aca="true">IF($A1075="","",IFERROR(MAX(0,NETWORKDAYS(TODAY(),'Agences &amp; Après-vente'!$F277)),""))</f>
        <v/>
      </c>
      <c r="I1075" s="0" t="str">
        <f aca="false">IF($A1075="","",'Agences &amp; Après-vente'!$I277)</f>
        <v/>
      </c>
      <c r="K1075" s="104" t="n">
        <f aca="false">IF(A1075="",0,IF(IFERROR(VLOOKUP(A1075,Skills!$A:$M,13,FALSE()),"")="COS",0,IF(OR(I1075="En cours",I1075="À venir",I1075="À planifier"),IF(AND(OR($C$3="Tous",$C$3="",C1075=$C$3),OR($E$3="Tous",$E$3="",I1075=$E$3)),1,0),0)))</f>
        <v>0</v>
      </c>
      <c r="L1075" s="104" t="n">
        <f aca="false">L1074+K1075</f>
        <v>17</v>
      </c>
    </row>
    <row r="1076" customFormat="false" ht="15" hidden="true" customHeight="true" outlineLevel="0" collapsed="false">
      <c r="A1076" s="0" t="str">
        <f aca="false">IF('Agences &amp; Après-vente'!$A278="","",'Agences &amp; Après-vente'!$A278)</f>
        <v/>
      </c>
      <c r="B1076" s="0" t="str">
        <f aca="false">IF($A1076="","",'Agences &amp; Après-vente'!$B278)</f>
        <v/>
      </c>
      <c r="C1076" s="0" t="str">
        <f aca="false">IF($A1076="","",'Agences &amp; Après-vente'!$C278)</f>
        <v/>
      </c>
      <c r="D1076" s="0" t="str">
        <f aca="false">IF($A1076="","","Nouvelle compétence")</f>
        <v/>
      </c>
      <c r="E1076" s="0" t="str">
        <f aca="false">IF($A1076="","",'Agences &amp; Après-vente'!$D278)</f>
        <v/>
      </c>
      <c r="F1076" s="116" t="str">
        <f aca="false">IF($A1076="","",'Agences &amp; Après-vente'!$E278)</f>
        <v/>
      </c>
      <c r="G1076" s="116" t="str">
        <f aca="false">IF($A1076="","",'Agences &amp; Après-vente'!$F278)</f>
        <v/>
      </c>
      <c r="H1076" s="0" t="str">
        <f aca="true">IF($A1076="","",IFERROR(MAX(0,NETWORKDAYS(TODAY(),'Agences &amp; Après-vente'!$F278)),""))</f>
        <v/>
      </c>
      <c r="I1076" s="0" t="str">
        <f aca="false">IF($A1076="","",'Agences &amp; Après-vente'!$I278)</f>
        <v/>
      </c>
      <c r="K1076" s="104" t="n">
        <f aca="false">IF(A1076="",0,IF(IFERROR(VLOOKUP(A1076,Skills!$A:$M,13,FALSE()),"")="COS",0,IF(OR(I1076="En cours",I1076="À venir",I1076="À planifier"),IF(AND(OR($C$3="Tous",$C$3="",C1076=$C$3),OR($E$3="Tous",$E$3="",I1076=$E$3)),1,0),0)))</f>
        <v>0</v>
      </c>
      <c r="L1076" s="104" t="n">
        <f aca="false">L1075+K1076</f>
        <v>17</v>
      </c>
    </row>
    <row r="1077" customFormat="false" ht="15" hidden="true" customHeight="true" outlineLevel="0" collapsed="false">
      <c r="A1077" s="0" t="str">
        <f aca="false">IF('Agences &amp; Après-vente'!$A279="","",'Agences &amp; Après-vente'!$A279)</f>
        <v/>
      </c>
      <c r="B1077" s="0" t="str">
        <f aca="false">IF($A1077="","",'Agences &amp; Après-vente'!$B279)</f>
        <v/>
      </c>
      <c r="C1077" s="0" t="str">
        <f aca="false">IF($A1077="","",'Agences &amp; Après-vente'!$C279)</f>
        <v/>
      </c>
      <c r="D1077" s="0" t="str">
        <f aca="false">IF($A1077="","","Nouvelle compétence")</f>
        <v/>
      </c>
      <c r="E1077" s="0" t="str">
        <f aca="false">IF($A1077="","",'Agences &amp; Après-vente'!$D279)</f>
        <v/>
      </c>
      <c r="F1077" s="116" t="str">
        <f aca="false">IF($A1077="","",'Agences &amp; Après-vente'!$E279)</f>
        <v/>
      </c>
      <c r="G1077" s="116" t="str">
        <f aca="false">IF($A1077="","",'Agences &amp; Après-vente'!$F279)</f>
        <v/>
      </c>
      <c r="H1077" s="0" t="str">
        <f aca="true">IF($A1077="","",IFERROR(MAX(0,NETWORKDAYS(TODAY(),'Agences &amp; Après-vente'!$F279)),""))</f>
        <v/>
      </c>
      <c r="I1077" s="0" t="str">
        <f aca="false">IF($A1077="","",'Agences &amp; Après-vente'!$I279)</f>
        <v/>
      </c>
      <c r="K1077" s="104" t="n">
        <f aca="false">IF(A1077="",0,IF(IFERROR(VLOOKUP(A1077,Skills!$A:$M,13,FALSE()),"")="COS",0,IF(OR(I1077="En cours",I1077="À venir",I1077="À planifier"),IF(AND(OR($C$3="Tous",$C$3="",C1077=$C$3),OR($E$3="Tous",$E$3="",I1077=$E$3)),1,0),0)))</f>
        <v>0</v>
      </c>
      <c r="L1077" s="104" t="n">
        <f aca="false">L1076+K1077</f>
        <v>17</v>
      </c>
    </row>
    <row r="1078" customFormat="false" ht="15" hidden="true" customHeight="true" outlineLevel="0" collapsed="false">
      <c r="A1078" s="0" t="str">
        <f aca="false">IF('Agences &amp; Après-vente'!$A280="","",'Agences &amp; Après-vente'!$A280)</f>
        <v/>
      </c>
      <c r="B1078" s="0" t="str">
        <f aca="false">IF($A1078="","",'Agences &amp; Après-vente'!$B280)</f>
        <v/>
      </c>
      <c r="C1078" s="0" t="str">
        <f aca="false">IF($A1078="","",'Agences &amp; Après-vente'!$C280)</f>
        <v/>
      </c>
      <c r="D1078" s="0" t="str">
        <f aca="false">IF($A1078="","","Nouvelle compétence")</f>
        <v/>
      </c>
      <c r="E1078" s="0" t="str">
        <f aca="false">IF($A1078="","",'Agences &amp; Après-vente'!$D280)</f>
        <v/>
      </c>
      <c r="F1078" s="116" t="str">
        <f aca="false">IF($A1078="","",'Agences &amp; Après-vente'!$E280)</f>
        <v/>
      </c>
      <c r="G1078" s="116" t="str">
        <f aca="false">IF($A1078="","",'Agences &amp; Après-vente'!$F280)</f>
        <v/>
      </c>
      <c r="H1078" s="0" t="str">
        <f aca="true">IF($A1078="","",IFERROR(MAX(0,NETWORKDAYS(TODAY(),'Agences &amp; Après-vente'!$F280)),""))</f>
        <v/>
      </c>
      <c r="I1078" s="0" t="str">
        <f aca="false">IF($A1078="","",'Agences &amp; Après-vente'!$I280)</f>
        <v/>
      </c>
      <c r="K1078" s="104" t="n">
        <f aca="false">IF(A1078="",0,IF(IFERROR(VLOOKUP(A1078,Skills!$A:$M,13,FALSE()),"")="COS",0,IF(OR(I1078="En cours",I1078="À venir",I1078="À planifier"),IF(AND(OR($C$3="Tous",$C$3="",C1078=$C$3),OR($E$3="Tous",$E$3="",I1078=$E$3)),1,0),0)))</f>
        <v>0</v>
      </c>
      <c r="L1078" s="104" t="n">
        <f aca="false">L1077+K1078</f>
        <v>17</v>
      </c>
    </row>
    <row r="1079" customFormat="false" ht="15" hidden="true" customHeight="true" outlineLevel="0" collapsed="false">
      <c r="A1079" s="0" t="str">
        <f aca="false">IF('Agences &amp; Après-vente'!$A281="","",'Agences &amp; Après-vente'!$A281)</f>
        <v/>
      </c>
      <c r="B1079" s="0" t="str">
        <f aca="false">IF($A1079="","",'Agences &amp; Après-vente'!$B281)</f>
        <v/>
      </c>
      <c r="C1079" s="0" t="str">
        <f aca="false">IF($A1079="","",'Agences &amp; Après-vente'!$C281)</f>
        <v/>
      </c>
      <c r="D1079" s="0" t="str">
        <f aca="false">IF($A1079="","","Nouvelle compétence")</f>
        <v/>
      </c>
      <c r="E1079" s="0" t="str">
        <f aca="false">IF($A1079="","",'Agences &amp; Après-vente'!$D281)</f>
        <v/>
      </c>
      <c r="F1079" s="116" t="str">
        <f aca="false">IF($A1079="","",'Agences &amp; Après-vente'!$E281)</f>
        <v/>
      </c>
      <c r="G1079" s="116" t="str">
        <f aca="false">IF($A1079="","",'Agences &amp; Après-vente'!$F281)</f>
        <v/>
      </c>
      <c r="H1079" s="0" t="str">
        <f aca="true">IF($A1079="","",IFERROR(MAX(0,NETWORKDAYS(TODAY(),'Agences &amp; Après-vente'!$F281)),""))</f>
        <v/>
      </c>
      <c r="I1079" s="0" t="str">
        <f aca="false">IF($A1079="","",'Agences &amp; Après-vente'!$I281)</f>
        <v/>
      </c>
      <c r="K1079" s="104" t="n">
        <f aca="false">IF(A1079="",0,IF(IFERROR(VLOOKUP(A1079,Skills!$A:$M,13,FALSE()),"")="COS",0,IF(OR(I1079="En cours",I1079="À venir",I1079="À planifier"),IF(AND(OR($C$3="Tous",$C$3="",C1079=$C$3),OR($E$3="Tous",$E$3="",I1079=$E$3)),1,0),0)))</f>
        <v>0</v>
      </c>
      <c r="L1079" s="104" t="n">
        <f aca="false">L1078+K1079</f>
        <v>17</v>
      </c>
    </row>
    <row r="1080" customFormat="false" ht="15" hidden="true" customHeight="true" outlineLevel="0" collapsed="false">
      <c r="A1080" s="0" t="str">
        <f aca="false">IF('Agences &amp; Après-vente'!$A282="","",'Agences &amp; Après-vente'!$A282)</f>
        <v/>
      </c>
      <c r="B1080" s="0" t="str">
        <f aca="false">IF($A1080="","",'Agences &amp; Après-vente'!$B282)</f>
        <v/>
      </c>
      <c r="C1080" s="0" t="str">
        <f aca="false">IF($A1080="","",'Agences &amp; Après-vente'!$C282)</f>
        <v/>
      </c>
      <c r="D1080" s="0" t="str">
        <f aca="false">IF($A1080="","","Nouvelle compétence")</f>
        <v/>
      </c>
      <c r="E1080" s="0" t="str">
        <f aca="false">IF($A1080="","",'Agences &amp; Après-vente'!$D282)</f>
        <v/>
      </c>
      <c r="F1080" s="116" t="str">
        <f aca="false">IF($A1080="","",'Agences &amp; Après-vente'!$E282)</f>
        <v/>
      </c>
      <c r="G1080" s="116" t="str">
        <f aca="false">IF($A1080="","",'Agences &amp; Après-vente'!$F282)</f>
        <v/>
      </c>
      <c r="H1080" s="0" t="str">
        <f aca="true">IF($A1080="","",IFERROR(MAX(0,NETWORKDAYS(TODAY(),'Agences &amp; Après-vente'!$F282)),""))</f>
        <v/>
      </c>
      <c r="I1080" s="0" t="str">
        <f aca="false">IF($A1080="","",'Agences &amp; Après-vente'!$I282)</f>
        <v/>
      </c>
      <c r="K1080" s="104" t="n">
        <f aca="false">IF(A1080="",0,IF(IFERROR(VLOOKUP(A1080,Skills!$A:$M,13,FALSE()),"")="COS",0,IF(OR(I1080="En cours",I1080="À venir",I1080="À planifier"),IF(AND(OR($C$3="Tous",$C$3="",C1080=$C$3),OR($E$3="Tous",$E$3="",I1080=$E$3)),1,0),0)))</f>
        <v>0</v>
      </c>
      <c r="L1080" s="104" t="n">
        <f aca="false">L1079+K1080</f>
        <v>17</v>
      </c>
    </row>
    <row r="1081" customFormat="false" ht="15" hidden="true" customHeight="true" outlineLevel="0" collapsed="false">
      <c r="A1081" s="0" t="str">
        <f aca="false">IF('Agences &amp; Après-vente'!$A283="","",'Agences &amp; Après-vente'!$A283)</f>
        <v/>
      </c>
      <c r="B1081" s="0" t="str">
        <f aca="false">IF($A1081="","",'Agences &amp; Après-vente'!$B283)</f>
        <v/>
      </c>
      <c r="C1081" s="0" t="str">
        <f aca="false">IF($A1081="","",'Agences &amp; Après-vente'!$C283)</f>
        <v/>
      </c>
      <c r="D1081" s="0" t="str">
        <f aca="false">IF($A1081="","","Nouvelle compétence")</f>
        <v/>
      </c>
      <c r="E1081" s="0" t="str">
        <f aca="false">IF($A1081="","",'Agences &amp; Après-vente'!$D283)</f>
        <v/>
      </c>
      <c r="F1081" s="116" t="str">
        <f aca="false">IF($A1081="","",'Agences &amp; Après-vente'!$E283)</f>
        <v/>
      </c>
      <c r="G1081" s="116" t="str">
        <f aca="false">IF($A1081="","",'Agences &amp; Après-vente'!$F283)</f>
        <v/>
      </c>
      <c r="H1081" s="0" t="str">
        <f aca="true">IF($A1081="","",IFERROR(MAX(0,NETWORKDAYS(TODAY(),'Agences &amp; Après-vente'!$F283)),""))</f>
        <v/>
      </c>
      <c r="I1081" s="0" t="str">
        <f aca="false">IF($A1081="","",'Agences &amp; Après-vente'!$I283)</f>
        <v/>
      </c>
      <c r="K1081" s="104" t="n">
        <f aca="false">IF(A1081="",0,IF(IFERROR(VLOOKUP(A1081,Skills!$A:$M,13,FALSE()),"")="COS",0,IF(OR(I1081="En cours",I1081="À venir",I1081="À planifier"),IF(AND(OR($C$3="Tous",$C$3="",C1081=$C$3),OR($E$3="Tous",$E$3="",I1081=$E$3)),1,0),0)))</f>
        <v>0</v>
      </c>
      <c r="L1081" s="104" t="n">
        <f aca="false">L1080+K1081</f>
        <v>17</v>
      </c>
    </row>
    <row r="1082" customFormat="false" ht="15" hidden="true" customHeight="true" outlineLevel="0" collapsed="false">
      <c r="A1082" s="0" t="str">
        <f aca="false">IF('Agences &amp; Après-vente'!$A284="","",'Agences &amp; Après-vente'!$A284)</f>
        <v/>
      </c>
      <c r="B1082" s="0" t="str">
        <f aca="false">IF($A1082="","",'Agences &amp; Après-vente'!$B284)</f>
        <v/>
      </c>
      <c r="C1082" s="0" t="str">
        <f aca="false">IF($A1082="","",'Agences &amp; Après-vente'!$C284)</f>
        <v/>
      </c>
      <c r="D1082" s="0" t="str">
        <f aca="false">IF($A1082="","","Nouvelle compétence")</f>
        <v/>
      </c>
      <c r="E1082" s="0" t="str">
        <f aca="false">IF($A1082="","",'Agences &amp; Après-vente'!$D284)</f>
        <v/>
      </c>
      <c r="F1082" s="116" t="str">
        <f aca="false">IF($A1082="","",'Agences &amp; Après-vente'!$E284)</f>
        <v/>
      </c>
      <c r="G1082" s="116" t="str">
        <f aca="false">IF($A1082="","",'Agences &amp; Après-vente'!$F284)</f>
        <v/>
      </c>
      <c r="H1082" s="0" t="str">
        <f aca="true">IF($A1082="","",IFERROR(MAX(0,NETWORKDAYS(TODAY(),'Agences &amp; Après-vente'!$F284)),""))</f>
        <v/>
      </c>
      <c r="I1082" s="0" t="str">
        <f aca="false">IF($A1082="","",'Agences &amp; Après-vente'!$I284)</f>
        <v/>
      </c>
      <c r="K1082" s="104" t="n">
        <f aca="false">IF(A1082="",0,IF(IFERROR(VLOOKUP(A1082,Skills!$A:$M,13,FALSE()),"")="COS",0,IF(OR(I1082="En cours",I1082="À venir",I1082="À planifier"),IF(AND(OR($C$3="Tous",$C$3="",C1082=$C$3),OR($E$3="Tous",$E$3="",I1082=$E$3)),1,0),0)))</f>
        <v>0</v>
      </c>
      <c r="L1082" s="104" t="n">
        <f aca="false">L1081+K1082</f>
        <v>17</v>
      </c>
    </row>
    <row r="1083" customFormat="false" ht="15" hidden="true" customHeight="true" outlineLevel="0" collapsed="false">
      <c r="A1083" s="0" t="str">
        <f aca="false">IF('Agences &amp; Après-vente'!$A285="","",'Agences &amp; Après-vente'!$A285)</f>
        <v/>
      </c>
      <c r="B1083" s="0" t="str">
        <f aca="false">IF($A1083="","",'Agences &amp; Après-vente'!$B285)</f>
        <v/>
      </c>
      <c r="C1083" s="0" t="str">
        <f aca="false">IF($A1083="","",'Agences &amp; Après-vente'!$C285)</f>
        <v/>
      </c>
      <c r="D1083" s="0" t="str">
        <f aca="false">IF($A1083="","","Nouvelle compétence")</f>
        <v/>
      </c>
      <c r="E1083" s="0" t="str">
        <f aca="false">IF($A1083="","",'Agences &amp; Après-vente'!$D285)</f>
        <v/>
      </c>
      <c r="F1083" s="116" t="str">
        <f aca="false">IF($A1083="","",'Agences &amp; Après-vente'!$E285)</f>
        <v/>
      </c>
      <c r="G1083" s="116" t="str">
        <f aca="false">IF($A1083="","",'Agences &amp; Après-vente'!$F285)</f>
        <v/>
      </c>
      <c r="H1083" s="0" t="str">
        <f aca="true">IF($A1083="","",IFERROR(MAX(0,NETWORKDAYS(TODAY(),'Agences &amp; Après-vente'!$F285)),""))</f>
        <v/>
      </c>
      <c r="I1083" s="0" t="str">
        <f aca="false">IF($A1083="","",'Agences &amp; Après-vente'!$I285)</f>
        <v/>
      </c>
      <c r="K1083" s="104" t="n">
        <f aca="false">IF(A1083="",0,IF(IFERROR(VLOOKUP(A1083,Skills!$A:$M,13,FALSE()),"")="COS",0,IF(OR(I1083="En cours",I1083="À venir",I1083="À planifier"),IF(AND(OR($C$3="Tous",$C$3="",C1083=$C$3),OR($E$3="Tous",$E$3="",I1083=$E$3)),1,0),0)))</f>
        <v>0</v>
      </c>
      <c r="L1083" s="104" t="n">
        <f aca="false">L1082+K1083</f>
        <v>17</v>
      </c>
    </row>
    <row r="1084" customFormat="false" ht="15" hidden="true" customHeight="true" outlineLevel="0" collapsed="false">
      <c r="A1084" s="0" t="str">
        <f aca="false">IF('Agences &amp; Après-vente'!$A286="","",'Agences &amp; Après-vente'!$A286)</f>
        <v/>
      </c>
      <c r="B1084" s="0" t="str">
        <f aca="false">IF($A1084="","",'Agences &amp; Après-vente'!$B286)</f>
        <v/>
      </c>
      <c r="C1084" s="0" t="str">
        <f aca="false">IF($A1084="","",'Agences &amp; Après-vente'!$C286)</f>
        <v/>
      </c>
      <c r="D1084" s="0" t="str">
        <f aca="false">IF($A1084="","","Nouvelle compétence")</f>
        <v/>
      </c>
      <c r="E1084" s="0" t="str">
        <f aca="false">IF($A1084="","",'Agences &amp; Après-vente'!$D286)</f>
        <v/>
      </c>
      <c r="F1084" s="116" t="str">
        <f aca="false">IF($A1084="","",'Agences &amp; Après-vente'!$E286)</f>
        <v/>
      </c>
      <c r="G1084" s="116" t="str">
        <f aca="false">IF($A1084="","",'Agences &amp; Après-vente'!$F286)</f>
        <v/>
      </c>
      <c r="H1084" s="0" t="str">
        <f aca="true">IF($A1084="","",IFERROR(MAX(0,NETWORKDAYS(TODAY(),'Agences &amp; Après-vente'!$F286)),""))</f>
        <v/>
      </c>
      <c r="I1084" s="0" t="str">
        <f aca="false">IF($A1084="","",'Agences &amp; Après-vente'!$I286)</f>
        <v/>
      </c>
      <c r="K1084" s="104" t="n">
        <f aca="false">IF(A1084="",0,IF(IFERROR(VLOOKUP(A1084,Skills!$A:$M,13,FALSE()),"")="COS",0,IF(OR(I1084="En cours",I1084="À venir",I1084="À planifier"),IF(AND(OR($C$3="Tous",$C$3="",C1084=$C$3),OR($E$3="Tous",$E$3="",I1084=$E$3)),1,0),0)))</f>
        <v>0</v>
      </c>
      <c r="L1084" s="104" t="n">
        <f aca="false">L1083+K1084</f>
        <v>17</v>
      </c>
    </row>
    <row r="1085" customFormat="false" ht="15" hidden="true" customHeight="true" outlineLevel="0" collapsed="false">
      <c r="A1085" s="0" t="str">
        <f aca="false">IF('Agences &amp; Après-vente'!$A287="","",'Agences &amp; Après-vente'!$A287)</f>
        <v/>
      </c>
      <c r="B1085" s="0" t="str">
        <f aca="false">IF($A1085="","",'Agences &amp; Après-vente'!$B287)</f>
        <v/>
      </c>
      <c r="C1085" s="0" t="str">
        <f aca="false">IF($A1085="","",'Agences &amp; Après-vente'!$C287)</f>
        <v/>
      </c>
      <c r="D1085" s="0" t="str">
        <f aca="false">IF($A1085="","","Nouvelle compétence")</f>
        <v/>
      </c>
      <c r="E1085" s="0" t="str">
        <f aca="false">IF($A1085="","",'Agences &amp; Après-vente'!$D287)</f>
        <v/>
      </c>
      <c r="F1085" s="116" t="str">
        <f aca="false">IF($A1085="","",'Agences &amp; Après-vente'!$E287)</f>
        <v/>
      </c>
      <c r="G1085" s="116" t="str">
        <f aca="false">IF($A1085="","",'Agences &amp; Après-vente'!$F287)</f>
        <v/>
      </c>
      <c r="H1085" s="0" t="str">
        <f aca="true">IF($A1085="","",IFERROR(MAX(0,NETWORKDAYS(TODAY(),'Agences &amp; Après-vente'!$F287)),""))</f>
        <v/>
      </c>
      <c r="I1085" s="0" t="str">
        <f aca="false">IF($A1085="","",'Agences &amp; Après-vente'!$I287)</f>
        <v/>
      </c>
      <c r="K1085" s="104" t="n">
        <f aca="false">IF(A1085="",0,IF(IFERROR(VLOOKUP(A1085,Skills!$A:$M,13,FALSE()),"")="COS",0,IF(OR(I1085="En cours",I1085="À venir",I1085="À planifier"),IF(AND(OR($C$3="Tous",$C$3="",C1085=$C$3),OR($E$3="Tous",$E$3="",I1085=$E$3)),1,0),0)))</f>
        <v>0</v>
      </c>
      <c r="L1085" s="104" t="n">
        <f aca="false">L1084+K1085</f>
        <v>17</v>
      </c>
    </row>
    <row r="1086" customFormat="false" ht="15" hidden="true" customHeight="true" outlineLevel="0" collapsed="false">
      <c r="A1086" s="0" t="str">
        <f aca="false">IF('Agences &amp; Après-vente'!$A288="","",'Agences &amp; Après-vente'!$A288)</f>
        <v/>
      </c>
      <c r="B1086" s="0" t="str">
        <f aca="false">IF($A1086="","",'Agences &amp; Après-vente'!$B288)</f>
        <v/>
      </c>
      <c r="C1086" s="0" t="str">
        <f aca="false">IF($A1086="","",'Agences &amp; Après-vente'!$C288)</f>
        <v/>
      </c>
      <c r="D1086" s="0" t="str">
        <f aca="false">IF($A1086="","","Nouvelle compétence")</f>
        <v/>
      </c>
      <c r="E1086" s="0" t="str">
        <f aca="false">IF($A1086="","",'Agences &amp; Après-vente'!$D288)</f>
        <v/>
      </c>
      <c r="F1086" s="116" t="str">
        <f aca="false">IF($A1086="","",'Agences &amp; Après-vente'!$E288)</f>
        <v/>
      </c>
      <c r="G1086" s="116" t="str">
        <f aca="false">IF($A1086="","",'Agences &amp; Après-vente'!$F288)</f>
        <v/>
      </c>
      <c r="H1086" s="0" t="str">
        <f aca="true">IF($A1086="","",IFERROR(MAX(0,NETWORKDAYS(TODAY(),'Agences &amp; Après-vente'!$F288)),""))</f>
        <v/>
      </c>
      <c r="I1086" s="0" t="str">
        <f aca="false">IF($A1086="","",'Agences &amp; Après-vente'!$I288)</f>
        <v/>
      </c>
      <c r="K1086" s="104" t="n">
        <f aca="false">IF(A1086="",0,IF(IFERROR(VLOOKUP(A1086,Skills!$A:$M,13,FALSE()),"")="COS",0,IF(OR(I1086="En cours",I1086="À venir",I1086="À planifier"),IF(AND(OR($C$3="Tous",$C$3="",C1086=$C$3),OR($E$3="Tous",$E$3="",I1086=$E$3)),1,0),0)))</f>
        <v>0</v>
      </c>
      <c r="L1086" s="104" t="n">
        <f aca="false">L1085+K1086</f>
        <v>17</v>
      </c>
    </row>
    <row r="1087" customFormat="false" ht="15" hidden="true" customHeight="true" outlineLevel="0" collapsed="false">
      <c r="A1087" s="0" t="str">
        <f aca="false">IF('Agences &amp; Après-vente'!$A289="","",'Agences &amp; Après-vente'!$A289)</f>
        <v/>
      </c>
      <c r="B1087" s="0" t="str">
        <f aca="false">IF($A1087="","",'Agences &amp; Après-vente'!$B289)</f>
        <v/>
      </c>
      <c r="C1087" s="0" t="str">
        <f aca="false">IF($A1087="","",'Agences &amp; Après-vente'!$C289)</f>
        <v/>
      </c>
      <c r="D1087" s="0" t="str">
        <f aca="false">IF($A1087="","","Nouvelle compétence")</f>
        <v/>
      </c>
      <c r="E1087" s="0" t="str">
        <f aca="false">IF($A1087="","",'Agences &amp; Après-vente'!$D289)</f>
        <v/>
      </c>
      <c r="F1087" s="116" t="str">
        <f aca="false">IF($A1087="","",'Agences &amp; Après-vente'!$E289)</f>
        <v/>
      </c>
      <c r="G1087" s="116" t="str">
        <f aca="false">IF($A1087="","",'Agences &amp; Après-vente'!$F289)</f>
        <v/>
      </c>
      <c r="H1087" s="0" t="str">
        <f aca="true">IF($A1087="","",IFERROR(MAX(0,NETWORKDAYS(TODAY(),'Agences &amp; Après-vente'!$F289)),""))</f>
        <v/>
      </c>
      <c r="I1087" s="0" t="str">
        <f aca="false">IF($A1087="","",'Agences &amp; Après-vente'!$I289)</f>
        <v/>
      </c>
      <c r="K1087" s="104" t="n">
        <f aca="false">IF(A1087="",0,IF(IFERROR(VLOOKUP(A1087,Skills!$A:$M,13,FALSE()),"")="COS",0,IF(OR(I1087="En cours",I1087="À venir",I1087="À planifier"),IF(AND(OR($C$3="Tous",$C$3="",C1087=$C$3),OR($E$3="Tous",$E$3="",I1087=$E$3)),1,0),0)))</f>
        <v>0</v>
      </c>
      <c r="L1087" s="104" t="n">
        <f aca="false">L1086+K1087</f>
        <v>17</v>
      </c>
    </row>
    <row r="1088" customFormat="false" ht="15" hidden="true" customHeight="true" outlineLevel="0" collapsed="false">
      <c r="A1088" s="0" t="str">
        <f aca="false">IF('Agences &amp; Après-vente'!$A290="","",'Agences &amp; Après-vente'!$A290)</f>
        <v/>
      </c>
      <c r="B1088" s="0" t="str">
        <f aca="false">IF($A1088="","",'Agences &amp; Après-vente'!$B290)</f>
        <v/>
      </c>
      <c r="C1088" s="0" t="str">
        <f aca="false">IF($A1088="","",'Agences &amp; Après-vente'!$C290)</f>
        <v/>
      </c>
      <c r="D1088" s="0" t="str">
        <f aca="false">IF($A1088="","","Nouvelle compétence")</f>
        <v/>
      </c>
      <c r="E1088" s="0" t="str">
        <f aca="false">IF($A1088="","",'Agences &amp; Après-vente'!$D290)</f>
        <v/>
      </c>
      <c r="F1088" s="116" t="str">
        <f aca="false">IF($A1088="","",'Agences &amp; Après-vente'!$E290)</f>
        <v/>
      </c>
      <c r="G1088" s="116" t="str">
        <f aca="false">IF($A1088="","",'Agences &amp; Après-vente'!$F290)</f>
        <v/>
      </c>
      <c r="H1088" s="0" t="str">
        <f aca="true">IF($A1088="","",IFERROR(MAX(0,NETWORKDAYS(TODAY(),'Agences &amp; Après-vente'!$F290)),""))</f>
        <v/>
      </c>
      <c r="I1088" s="0" t="str">
        <f aca="false">IF($A1088="","",'Agences &amp; Après-vente'!$I290)</f>
        <v/>
      </c>
      <c r="K1088" s="104" t="n">
        <f aca="false">IF(A1088="",0,IF(IFERROR(VLOOKUP(A1088,Skills!$A:$M,13,FALSE()),"")="COS",0,IF(OR(I1088="En cours",I1088="À venir",I1088="À planifier"),IF(AND(OR($C$3="Tous",$C$3="",C1088=$C$3),OR($E$3="Tous",$E$3="",I1088=$E$3)),1,0),0)))</f>
        <v>0</v>
      </c>
      <c r="L1088" s="104" t="n">
        <f aca="false">L1087+K1088</f>
        <v>17</v>
      </c>
    </row>
    <row r="1089" customFormat="false" ht="15" hidden="true" customHeight="true" outlineLevel="0" collapsed="false">
      <c r="A1089" s="0" t="str">
        <f aca="false">IF('Agences &amp; Après-vente'!$A291="","",'Agences &amp; Après-vente'!$A291)</f>
        <v/>
      </c>
      <c r="B1089" s="0" t="str">
        <f aca="false">IF($A1089="","",'Agences &amp; Après-vente'!$B291)</f>
        <v/>
      </c>
      <c r="C1089" s="0" t="str">
        <f aca="false">IF($A1089="","",'Agences &amp; Après-vente'!$C291)</f>
        <v/>
      </c>
      <c r="D1089" s="0" t="str">
        <f aca="false">IF($A1089="","","Nouvelle compétence")</f>
        <v/>
      </c>
      <c r="E1089" s="0" t="str">
        <f aca="false">IF($A1089="","",'Agences &amp; Après-vente'!$D291)</f>
        <v/>
      </c>
      <c r="F1089" s="116" t="str">
        <f aca="false">IF($A1089="","",'Agences &amp; Après-vente'!$E291)</f>
        <v/>
      </c>
      <c r="G1089" s="116" t="str">
        <f aca="false">IF($A1089="","",'Agences &amp; Après-vente'!$F291)</f>
        <v/>
      </c>
      <c r="H1089" s="0" t="str">
        <f aca="true">IF($A1089="","",IFERROR(MAX(0,NETWORKDAYS(TODAY(),'Agences &amp; Après-vente'!$F291)),""))</f>
        <v/>
      </c>
      <c r="I1089" s="0" t="str">
        <f aca="false">IF($A1089="","",'Agences &amp; Après-vente'!$I291)</f>
        <v/>
      </c>
      <c r="K1089" s="104" t="n">
        <f aca="false">IF(A1089="",0,IF(IFERROR(VLOOKUP(A1089,Skills!$A:$M,13,FALSE()),"")="COS",0,IF(OR(I1089="En cours",I1089="À venir",I1089="À planifier"),IF(AND(OR($C$3="Tous",$C$3="",C1089=$C$3),OR($E$3="Tous",$E$3="",I1089=$E$3)),1,0),0)))</f>
        <v>0</v>
      </c>
      <c r="L1089" s="104" t="n">
        <f aca="false">L1088+K1089</f>
        <v>17</v>
      </c>
    </row>
    <row r="1090" customFormat="false" ht="15" hidden="true" customHeight="true" outlineLevel="0" collapsed="false">
      <c r="A1090" s="0" t="str">
        <f aca="false">IF('Agences &amp; Après-vente'!$A292="","",'Agences &amp; Après-vente'!$A292)</f>
        <v/>
      </c>
      <c r="B1090" s="0" t="str">
        <f aca="false">IF($A1090="","",'Agences &amp; Après-vente'!$B292)</f>
        <v/>
      </c>
      <c r="C1090" s="0" t="str">
        <f aca="false">IF($A1090="","",'Agences &amp; Après-vente'!$C292)</f>
        <v/>
      </c>
      <c r="D1090" s="0" t="str">
        <f aca="false">IF($A1090="","","Nouvelle compétence")</f>
        <v/>
      </c>
      <c r="E1090" s="0" t="str">
        <f aca="false">IF($A1090="","",'Agences &amp; Après-vente'!$D292)</f>
        <v/>
      </c>
      <c r="F1090" s="116" t="str">
        <f aca="false">IF($A1090="","",'Agences &amp; Après-vente'!$E292)</f>
        <v/>
      </c>
      <c r="G1090" s="116" t="str">
        <f aca="false">IF($A1090="","",'Agences &amp; Après-vente'!$F292)</f>
        <v/>
      </c>
      <c r="H1090" s="0" t="str">
        <f aca="true">IF($A1090="","",IFERROR(MAX(0,NETWORKDAYS(TODAY(),'Agences &amp; Après-vente'!$F292)),""))</f>
        <v/>
      </c>
      <c r="I1090" s="0" t="str">
        <f aca="false">IF($A1090="","",'Agences &amp; Après-vente'!$I292)</f>
        <v/>
      </c>
      <c r="K1090" s="104" t="n">
        <f aca="false">IF(A1090="",0,IF(IFERROR(VLOOKUP(A1090,Skills!$A:$M,13,FALSE()),"")="COS",0,IF(OR(I1090="En cours",I1090="À venir",I1090="À planifier"),IF(AND(OR($C$3="Tous",$C$3="",C1090=$C$3),OR($E$3="Tous",$E$3="",I1090=$E$3)),1,0),0)))</f>
        <v>0</v>
      </c>
      <c r="L1090" s="104" t="n">
        <f aca="false">L1089+K1090</f>
        <v>17</v>
      </c>
    </row>
    <row r="1091" customFormat="false" ht="15" hidden="true" customHeight="true" outlineLevel="0" collapsed="false">
      <c r="A1091" s="0" t="str">
        <f aca="false">IF('Agences &amp; Après-vente'!$A293="","",'Agences &amp; Après-vente'!$A293)</f>
        <v/>
      </c>
      <c r="B1091" s="0" t="str">
        <f aca="false">IF($A1091="","",'Agences &amp; Après-vente'!$B293)</f>
        <v/>
      </c>
      <c r="C1091" s="0" t="str">
        <f aca="false">IF($A1091="","",'Agences &amp; Après-vente'!$C293)</f>
        <v/>
      </c>
      <c r="D1091" s="0" t="str">
        <f aca="false">IF($A1091="","","Nouvelle compétence")</f>
        <v/>
      </c>
      <c r="E1091" s="0" t="str">
        <f aca="false">IF($A1091="","",'Agences &amp; Après-vente'!$D293)</f>
        <v/>
      </c>
      <c r="F1091" s="116" t="str">
        <f aca="false">IF($A1091="","",'Agences &amp; Après-vente'!$E293)</f>
        <v/>
      </c>
      <c r="G1091" s="116" t="str">
        <f aca="false">IF($A1091="","",'Agences &amp; Après-vente'!$F293)</f>
        <v/>
      </c>
      <c r="H1091" s="0" t="str">
        <f aca="true">IF($A1091="","",IFERROR(MAX(0,NETWORKDAYS(TODAY(),'Agences &amp; Après-vente'!$F293)),""))</f>
        <v/>
      </c>
      <c r="I1091" s="0" t="str">
        <f aca="false">IF($A1091="","",'Agences &amp; Après-vente'!$I293)</f>
        <v/>
      </c>
      <c r="K1091" s="104" t="n">
        <f aca="false">IF(A1091="",0,IF(IFERROR(VLOOKUP(A1091,Skills!$A:$M,13,FALSE()),"")="COS",0,IF(OR(I1091="En cours",I1091="À venir",I1091="À planifier"),IF(AND(OR($C$3="Tous",$C$3="",C1091=$C$3),OR($E$3="Tous",$E$3="",I1091=$E$3)),1,0),0)))</f>
        <v>0</v>
      </c>
      <c r="L1091" s="104" t="n">
        <f aca="false">L1090+K1091</f>
        <v>17</v>
      </c>
    </row>
    <row r="1092" customFormat="false" ht="15" hidden="true" customHeight="true" outlineLevel="0" collapsed="false">
      <c r="A1092" s="0" t="str">
        <f aca="false">IF('Agences &amp; Après-vente'!$A294="","",'Agences &amp; Après-vente'!$A294)</f>
        <v/>
      </c>
      <c r="B1092" s="0" t="str">
        <f aca="false">IF($A1092="","",'Agences &amp; Après-vente'!$B294)</f>
        <v/>
      </c>
      <c r="C1092" s="0" t="str">
        <f aca="false">IF($A1092="","",'Agences &amp; Après-vente'!$C294)</f>
        <v/>
      </c>
      <c r="D1092" s="0" t="str">
        <f aca="false">IF($A1092="","","Nouvelle compétence")</f>
        <v/>
      </c>
      <c r="E1092" s="0" t="str">
        <f aca="false">IF($A1092="","",'Agences &amp; Après-vente'!$D294)</f>
        <v/>
      </c>
      <c r="F1092" s="116" t="str">
        <f aca="false">IF($A1092="","",'Agences &amp; Après-vente'!$E294)</f>
        <v/>
      </c>
      <c r="G1092" s="116" t="str">
        <f aca="false">IF($A1092="","",'Agences &amp; Après-vente'!$F294)</f>
        <v/>
      </c>
      <c r="H1092" s="0" t="str">
        <f aca="true">IF($A1092="","",IFERROR(MAX(0,NETWORKDAYS(TODAY(),'Agences &amp; Après-vente'!$F294)),""))</f>
        <v/>
      </c>
      <c r="I1092" s="0" t="str">
        <f aca="false">IF($A1092="","",'Agences &amp; Après-vente'!$I294)</f>
        <v/>
      </c>
      <c r="K1092" s="104" t="n">
        <f aca="false">IF(A1092="",0,IF(IFERROR(VLOOKUP(A1092,Skills!$A:$M,13,FALSE()),"")="COS",0,IF(OR(I1092="En cours",I1092="À venir",I1092="À planifier"),IF(AND(OR($C$3="Tous",$C$3="",C1092=$C$3),OR($E$3="Tous",$E$3="",I1092=$E$3)),1,0),0)))</f>
        <v>0</v>
      </c>
      <c r="L1092" s="104" t="n">
        <f aca="false">L1091+K1092</f>
        <v>17</v>
      </c>
    </row>
    <row r="1093" customFormat="false" ht="15" hidden="true" customHeight="true" outlineLevel="0" collapsed="false">
      <c r="A1093" s="0" t="str">
        <f aca="false">IF('Agences &amp; Après-vente'!$A295="","",'Agences &amp; Après-vente'!$A295)</f>
        <v/>
      </c>
      <c r="B1093" s="0" t="str">
        <f aca="false">IF($A1093="","",'Agences &amp; Après-vente'!$B295)</f>
        <v/>
      </c>
      <c r="C1093" s="0" t="str">
        <f aca="false">IF($A1093="","",'Agences &amp; Après-vente'!$C295)</f>
        <v/>
      </c>
      <c r="D1093" s="0" t="str">
        <f aca="false">IF($A1093="","","Nouvelle compétence")</f>
        <v/>
      </c>
      <c r="E1093" s="0" t="str">
        <f aca="false">IF($A1093="","",'Agences &amp; Après-vente'!$D295)</f>
        <v/>
      </c>
      <c r="F1093" s="116" t="str">
        <f aca="false">IF($A1093="","",'Agences &amp; Après-vente'!$E295)</f>
        <v/>
      </c>
      <c r="G1093" s="116" t="str">
        <f aca="false">IF($A1093="","",'Agences &amp; Après-vente'!$F295)</f>
        <v/>
      </c>
      <c r="H1093" s="0" t="str">
        <f aca="true">IF($A1093="","",IFERROR(MAX(0,NETWORKDAYS(TODAY(),'Agences &amp; Après-vente'!$F295)),""))</f>
        <v/>
      </c>
      <c r="I1093" s="0" t="str">
        <f aca="false">IF($A1093="","",'Agences &amp; Après-vente'!$I295)</f>
        <v/>
      </c>
      <c r="K1093" s="104" t="n">
        <f aca="false">IF(A1093="",0,IF(IFERROR(VLOOKUP(A1093,Skills!$A:$M,13,FALSE()),"")="COS",0,IF(OR(I1093="En cours",I1093="À venir",I1093="À planifier"),IF(AND(OR($C$3="Tous",$C$3="",C1093=$C$3),OR($E$3="Tous",$E$3="",I1093=$E$3)),1,0),0)))</f>
        <v>0</v>
      </c>
      <c r="L1093" s="104" t="n">
        <f aca="false">L1092+K1093</f>
        <v>17</v>
      </c>
    </row>
    <row r="1094" customFormat="false" ht="15" hidden="true" customHeight="true" outlineLevel="0" collapsed="false">
      <c r="A1094" s="0" t="str">
        <f aca="false">IF('Agences &amp; Après-vente'!$A296="","",'Agences &amp; Après-vente'!$A296)</f>
        <v/>
      </c>
      <c r="B1094" s="0" t="str">
        <f aca="false">IF($A1094="","",'Agences &amp; Après-vente'!$B296)</f>
        <v/>
      </c>
      <c r="C1094" s="0" t="str">
        <f aca="false">IF($A1094="","",'Agences &amp; Après-vente'!$C296)</f>
        <v/>
      </c>
      <c r="D1094" s="0" t="str">
        <f aca="false">IF($A1094="","","Nouvelle compétence")</f>
        <v/>
      </c>
      <c r="E1094" s="0" t="str">
        <f aca="false">IF($A1094="","",'Agences &amp; Après-vente'!$D296)</f>
        <v/>
      </c>
      <c r="F1094" s="116" t="str">
        <f aca="false">IF($A1094="","",'Agences &amp; Après-vente'!$E296)</f>
        <v/>
      </c>
      <c r="G1094" s="116" t="str">
        <f aca="false">IF($A1094="","",'Agences &amp; Après-vente'!$F296)</f>
        <v/>
      </c>
      <c r="H1094" s="0" t="str">
        <f aca="true">IF($A1094="","",IFERROR(MAX(0,NETWORKDAYS(TODAY(),'Agences &amp; Après-vente'!$F296)),""))</f>
        <v/>
      </c>
      <c r="I1094" s="0" t="str">
        <f aca="false">IF($A1094="","",'Agences &amp; Après-vente'!$I296)</f>
        <v/>
      </c>
      <c r="K1094" s="104" t="n">
        <f aca="false">IF(A1094="",0,IF(IFERROR(VLOOKUP(A1094,Skills!$A:$M,13,FALSE()),"")="COS",0,IF(OR(I1094="En cours",I1094="À venir",I1094="À planifier"),IF(AND(OR($C$3="Tous",$C$3="",C1094=$C$3),OR($E$3="Tous",$E$3="",I1094=$E$3)),1,0),0)))</f>
        <v>0</v>
      </c>
      <c r="L1094" s="104" t="n">
        <f aca="false">L1093+K1094</f>
        <v>17</v>
      </c>
    </row>
    <row r="1095" customFormat="false" ht="15" hidden="true" customHeight="true" outlineLevel="0" collapsed="false">
      <c r="A1095" s="0" t="str">
        <f aca="false">IF('Agences &amp; Après-vente'!$A297="","",'Agences &amp; Après-vente'!$A297)</f>
        <v/>
      </c>
      <c r="B1095" s="0" t="str">
        <f aca="false">IF($A1095="","",'Agences &amp; Après-vente'!$B297)</f>
        <v/>
      </c>
      <c r="C1095" s="0" t="str">
        <f aca="false">IF($A1095="","",'Agences &amp; Après-vente'!$C297)</f>
        <v/>
      </c>
      <c r="D1095" s="0" t="str">
        <f aca="false">IF($A1095="","","Nouvelle compétence")</f>
        <v/>
      </c>
      <c r="E1095" s="0" t="str">
        <f aca="false">IF($A1095="","",'Agences &amp; Après-vente'!$D297)</f>
        <v/>
      </c>
      <c r="F1095" s="116" t="str">
        <f aca="false">IF($A1095="","",'Agences &amp; Après-vente'!$E297)</f>
        <v/>
      </c>
      <c r="G1095" s="116" t="str">
        <f aca="false">IF($A1095="","",'Agences &amp; Après-vente'!$F297)</f>
        <v/>
      </c>
      <c r="H1095" s="0" t="str">
        <f aca="true">IF($A1095="","",IFERROR(MAX(0,NETWORKDAYS(TODAY(),'Agences &amp; Après-vente'!$F297)),""))</f>
        <v/>
      </c>
      <c r="I1095" s="0" t="str">
        <f aca="false">IF($A1095="","",'Agences &amp; Après-vente'!$I297)</f>
        <v/>
      </c>
      <c r="K1095" s="104" t="n">
        <f aca="false">IF(A1095="",0,IF(IFERROR(VLOOKUP(A1095,Skills!$A:$M,13,FALSE()),"")="COS",0,IF(OR(I1095="En cours",I1095="À venir",I1095="À planifier"),IF(AND(OR($C$3="Tous",$C$3="",C1095=$C$3),OR($E$3="Tous",$E$3="",I1095=$E$3)),1,0),0)))</f>
        <v>0</v>
      </c>
      <c r="L1095" s="104" t="n">
        <f aca="false">L1094+K1095</f>
        <v>17</v>
      </c>
    </row>
    <row r="1096" customFormat="false" ht="15" hidden="true" customHeight="true" outlineLevel="0" collapsed="false">
      <c r="A1096" s="0" t="str">
        <f aca="false">IF('Agences &amp; Après-vente'!$A298="","",'Agences &amp; Après-vente'!$A298)</f>
        <v/>
      </c>
      <c r="B1096" s="0" t="str">
        <f aca="false">IF($A1096="","",'Agences &amp; Après-vente'!$B298)</f>
        <v/>
      </c>
      <c r="C1096" s="0" t="str">
        <f aca="false">IF($A1096="","",'Agences &amp; Après-vente'!$C298)</f>
        <v/>
      </c>
      <c r="D1096" s="0" t="str">
        <f aca="false">IF($A1096="","","Nouvelle compétence")</f>
        <v/>
      </c>
      <c r="E1096" s="0" t="str">
        <f aca="false">IF($A1096="","",'Agences &amp; Après-vente'!$D298)</f>
        <v/>
      </c>
      <c r="F1096" s="116" t="str">
        <f aca="false">IF($A1096="","",'Agences &amp; Après-vente'!$E298)</f>
        <v/>
      </c>
      <c r="G1096" s="116" t="str">
        <f aca="false">IF($A1096="","",'Agences &amp; Après-vente'!$F298)</f>
        <v/>
      </c>
      <c r="H1096" s="0" t="str">
        <f aca="true">IF($A1096="","",IFERROR(MAX(0,NETWORKDAYS(TODAY(),'Agences &amp; Après-vente'!$F298)),""))</f>
        <v/>
      </c>
      <c r="I1096" s="0" t="str">
        <f aca="false">IF($A1096="","",'Agences &amp; Après-vente'!$I298)</f>
        <v/>
      </c>
      <c r="K1096" s="104" t="n">
        <f aca="false">IF(A1096="",0,IF(IFERROR(VLOOKUP(A1096,Skills!$A:$M,13,FALSE()),"")="COS",0,IF(OR(I1096="En cours",I1096="À venir",I1096="À planifier"),IF(AND(OR($C$3="Tous",$C$3="",C1096=$C$3),OR($E$3="Tous",$E$3="",I1096=$E$3)),1,0),0)))</f>
        <v>0</v>
      </c>
      <c r="L1096" s="104" t="n">
        <f aca="false">L1095+K1096</f>
        <v>17</v>
      </c>
    </row>
    <row r="1097" customFormat="false" ht="15" hidden="true" customHeight="true" outlineLevel="0" collapsed="false">
      <c r="A1097" s="0" t="str">
        <f aca="false">IF('Agences &amp; Après-vente'!$A299="","",'Agences &amp; Après-vente'!$A299)</f>
        <v/>
      </c>
      <c r="B1097" s="0" t="str">
        <f aca="false">IF($A1097="","",'Agences &amp; Après-vente'!$B299)</f>
        <v/>
      </c>
      <c r="C1097" s="0" t="str">
        <f aca="false">IF($A1097="","",'Agences &amp; Après-vente'!$C299)</f>
        <v/>
      </c>
      <c r="D1097" s="0" t="str">
        <f aca="false">IF($A1097="","","Nouvelle compétence")</f>
        <v/>
      </c>
      <c r="E1097" s="0" t="str">
        <f aca="false">IF($A1097="","",'Agences &amp; Après-vente'!$D299)</f>
        <v/>
      </c>
      <c r="F1097" s="116" t="str">
        <f aca="false">IF($A1097="","",'Agences &amp; Après-vente'!$E299)</f>
        <v/>
      </c>
      <c r="G1097" s="116" t="str">
        <f aca="false">IF($A1097="","",'Agences &amp; Après-vente'!$F299)</f>
        <v/>
      </c>
      <c r="H1097" s="0" t="str">
        <f aca="true">IF($A1097="","",IFERROR(MAX(0,NETWORKDAYS(TODAY(),'Agences &amp; Après-vente'!$F299)),""))</f>
        <v/>
      </c>
      <c r="I1097" s="0" t="str">
        <f aca="false">IF($A1097="","",'Agences &amp; Après-vente'!$I299)</f>
        <v/>
      </c>
      <c r="K1097" s="104" t="n">
        <f aca="false">IF(A1097="",0,IF(IFERROR(VLOOKUP(A1097,Skills!$A:$M,13,FALSE()),"")="COS",0,IF(OR(I1097="En cours",I1097="À venir",I1097="À planifier"),IF(AND(OR($C$3="Tous",$C$3="",C1097=$C$3),OR($E$3="Tous",$E$3="",I1097=$E$3)),1,0),0)))</f>
        <v>0</v>
      </c>
      <c r="L1097" s="104" t="n">
        <f aca="false">L1096+K1097</f>
        <v>17</v>
      </c>
    </row>
    <row r="1098" customFormat="false" ht="15" hidden="true" customHeight="true" outlineLevel="0" collapsed="false">
      <c r="A1098" s="0" t="str">
        <f aca="false">IF('Agences &amp; Après-vente'!$A300="","",'Agences &amp; Après-vente'!$A300)</f>
        <v/>
      </c>
      <c r="B1098" s="0" t="str">
        <f aca="false">IF($A1098="","",'Agences &amp; Après-vente'!$B300)</f>
        <v/>
      </c>
      <c r="C1098" s="0" t="str">
        <f aca="false">IF($A1098="","",'Agences &amp; Après-vente'!$C300)</f>
        <v/>
      </c>
      <c r="D1098" s="0" t="str">
        <f aca="false">IF($A1098="","","Nouvelle compétence")</f>
        <v/>
      </c>
      <c r="E1098" s="0" t="str">
        <f aca="false">IF($A1098="","",'Agences &amp; Après-vente'!$D300)</f>
        <v/>
      </c>
      <c r="F1098" s="116" t="str">
        <f aca="false">IF($A1098="","",'Agences &amp; Après-vente'!$E300)</f>
        <v/>
      </c>
      <c r="G1098" s="116" t="str">
        <f aca="false">IF($A1098="","",'Agences &amp; Après-vente'!$F300)</f>
        <v/>
      </c>
      <c r="H1098" s="0" t="str">
        <f aca="true">IF($A1098="","",IFERROR(MAX(0,NETWORKDAYS(TODAY(),'Agences &amp; Après-vente'!$F300)),""))</f>
        <v/>
      </c>
      <c r="I1098" s="0" t="str">
        <f aca="false">IF($A1098="","",'Agences &amp; Après-vente'!$I300)</f>
        <v/>
      </c>
      <c r="K1098" s="104" t="n">
        <f aca="false">IF(A1098="",0,IF(IFERROR(VLOOKUP(A1098,Skills!$A:$M,13,FALSE()),"")="COS",0,IF(OR(I1098="En cours",I1098="À venir",I1098="À planifier"),IF(AND(OR($C$3="Tous",$C$3="",C1098=$C$3),OR($E$3="Tous",$E$3="",I1098=$E$3)),1,0),0)))</f>
        <v>0</v>
      </c>
      <c r="L1098" s="104" t="n">
        <f aca="false">L1097+K1098</f>
        <v>17</v>
      </c>
    </row>
    <row r="1099" customFormat="false" ht="15" hidden="true" customHeight="true" outlineLevel="0" collapsed="false">
      <c r="A1099" s="0" t="str">
        <f aca="false">IF('Agences &amp; Après-vente'!$A301="","",'Agences &amp; Après-vente'!$A301)</f>
        <v/>
      </c>
      <c r="B1099" s="0" t="str">
        <f aca="false">IF($A1099="","",'Agences &amp; Après-vente'!$B301)</f>
        <v/>
      </c>
      <c r="C1099" s="0" t="str">
        <f aca="false">IF($A1099="","",'Agences &amp; Après-vente'!$C301)</f>
        <v/>
      </c>
      <c r="D1099" s="0" t="str">
        <f aca="false">IF($A1099="","","Nouvelle compétence")</f>
        <v/>
      </c>
      <c r="E1099" s="0" t="str">
        <f aca="false">IF($A1099="","",'Agences &amp; Après-vente'!$D301)</f>
        <v/>
      </c>
      <c r="F1099" s="116" t="str">
        <f aca="false">IF($A1099="","",'Agences &amp; Après-vente'!$E301)</f>
        <v/>
      </c>
      <c r="G1099" s="116" t="str">
        <f aca="false">IF($A1099="","",'Agences &amp; Après-vente'!$F301)</f>
        <v/>
      </c>
      <c r="H1099" s="0" t="str">
        <f aca="true">IF($A1099="","",IFERROR(MAX(0,NETWORKDAYS(TODAY(),'Agences &amp; Après-vente'!$F301)),""))</f>
        <v/>
      </c>
      <c r="I1099" s="0" t="str">
        <f aca="false">IF($A1099="","",'Agences &amp; Après-vente'!$I301)</f>
        <v/>
      </c>
      <c r="K1099" s="104" t="n">
        <f aca="false">IF(A1099="",0,IF(IFERROR(VLOOKUP(A1099,Skills!$A:$M,13,FALSE()),"")="COS",0,IF(OR(I1099="En cours",I1099="À venir",I1099="À planifier"),IF(AND(OR($C$3="Tous",$C$3="",C1099=$C$3),OR($E$3="Tous",$E$3="",I1099=$E$3)),1,0),0)))</f>
        <v>0</v>
      </c>
      <c r="L1099" s="104" t="n">
        <f aca="false">L1098+K1099</f>
        <v>17</v>
      </c>
    </row>
    <row r="1100" customFormat="false" ht="15" hidden="true" customHeight="true" outlineLevel="0" collapsed="false">
      <c r="A1100" s="0" t="str">
        <f aca="false">IF('Agences &amp; Après-vente'!$A302="","",'Agences &amp; Après-vente'!$A302)</f>
        <v/>
      </c>
      <c r="B1100" s="0" t="str">
        <f aca="false">IF($A1100="","",'Agences &amp; Après-vente'!$B302)</f>
        <v/>
      </c>
      <c r="C1100" s="0" t="str">
        <f aca="false">IF($A1100="","",'Agences &amp; Après-vente'!$C302)</f>
        <v/>
      </c>
      <c r="D1100" s="0" t="str">
        <f aca="false">IF($A1100="","","Nouvelle compétence")</f>
        <v/>
      </c>
      <c r="E1100" s="0" t="str">
        <f aca="false">IF($A1100="","",'Agences &amp; Après-vente'!$D302)</f>
        <v/>
      </c>
      <c r="F1100" s="116" t="str">
        <f aca="false">IF($A1100="","",'Agences &amp; Après-vente'!$E302)</f>
        <v/>
      </c>
      <c r="G1100" s="116" t="str">
        <f aca="false">IF($A1100="","",'Agences &amp; Après-vente'!$F302)</f>
        <v/>
      </c>
      <c r="H1100" s="0" t="str">
        <f aca="true">IF($A1100="","",IFERROR(MAX(0,NETWORKDAYS(TODAY(),'Agences &amp; Après-vente'!$F302)),""))</f>
        <v/>
      </c>
      <c r="I1100" s="0" t="str">
        <f aca="false">IF($A1100="","",'Agences &amp; Après-vente'!$I302)</f>
        <v/>
      </c>
      <c r="K1100" s="104" t="n">
        <f aca="false">IF(A1100="",0,IF(IFERROR(VLOOKUP(A1100,Skills!$A:$M,13,FALSE()),"")="COS",0,IF(OR(I1100="En cours",I1100="À venir",I1100="À planifier"),IF(AND(OR($C$3="Tous",$C$3="",C1100=$C$3),OR($E$3="Tous",$E$3="",I1100=$E$3)),1,0),0)))</f>
        <v>0</v>
      </c>
      <c r="L1100" s="104" t="n">
        <f aca="false">L1099+K1100</f>
        <v>17</v>
      </c>
    </row>
    <row r="1101" customFormat="false" ht="15" hidden="true" customHeight="true" outlineLevel="0" collapsed="false">
      <c r="A1101" s="0" t="str">
        <f aca="false">IF('Agences &amp; Après-vente'!$A303="","",'Agences &amp; Après-vente'!$A303)</f>
        <v/>
      </c>
      <c r="B1101" s="0" t="str">
        <f aca="false">IF($A1101="","",'Agences &amp; Après-vente'!$B303)</f>
        <v/>
      </c>
      <c r="C1101" s="0" t="str">
        <f aca="false">IF($A1101="","",'Agences &amp; Après-vente'!$C303)</f>
        <v/>
      </c>
      <c r="D1101" s="0" t="str">
        <f aca="false">IF($A1101="","","Nouvelle compétence")</f>
        <v/>
      </c>
      <c r="E1101" s="0" t="str">
        <f aca="false">IF($A1101="","",'Agences &amp; Après-vente'!$D303)</f>
        <v/>
      </c>
      <c r="F1101" s="116" t="str">
        <f aca="false">IF($A1101="","",'Agences &amp; Après-vente'!$E303)</f>
        <v/>
      </c>
      <c r="G1101" s="116" t="str">
        <f aca="false">IF($A1101="","",'Agences &amp; Après-vente'!$F303)</f>
        <v/>
      </c>
      <c r="H1101" s="0" t="str">
        <f aca="true">IF($A1101="","",IFERROR(MAX(0,NETWORKDAYS(TODAY(),'Agences &amp; Après-vente'!$F303)),""))</f>
        <v/>
      </c>
      <c r="I1101" s="0" t="str">
        <f aca="false">IF($A1101="","",'Agences &amp; Après-vente'!$I303)</f>
        <v/>
      </c>
      <c r="K1101" s="104" t="n">
        <f aca="false">IF(A1101="",0,IF(IFERROR(VLOOKUP(A1101,Skills!$A:$M,13,FALSE()),"")="COS",0,IF(OR(I1101="En cours",I1101="À venir",I1101="À planifier"),IF(AND(OR($C$3="Tous",$C$3="",C1101=$C$3),OR($E$3="Tous",$E$3="",I1101=$E$3)),1,0),0)))</f>
        <v>0</v>
      </c>
      <c r="L1101" s="104" t="n">
        <f aca="false">L1100+K1101</f>
        <v>17</v>
      </c>
    </row>
    <row r="1102" customFormat="false" ht="15" hidden="true" customHeight="true" outlineLevel="0" collapsed="false">
      <c r="A1102" s="0" t="str">
        <f aca="false">IF('Agences &amp; Après-vente'!$A304="","",'Agences &amp; Après-vente'!$A304)</f>
        <v/>
      </c>
      <c r="B1102" s="0" t="str">
        <f aca="false">IF($A1102="","",'Agences &amp; Après-vente'!$B304)</f>
        <v/>
      </c>
      <c r="C1102" s="0" t="str">
        <f aca="false">IF($A1102="","",'Agences &amp; Après-vente'!$C304)</f>
        <v/>
      </c>
      <c r="D1102" s="0" t="str">
        <f aca="false">IF($A1102="","","Nouvelle compétence")</f>
        <v/>
      </c>
      <c r="E1102" s="0" t="str">
        <f aca="false">IF($A1102="","",'Agences &amp; Après-vente'!$D304)</f>
        <v/>
      </c>
      <c r="F1102" s="116" t="str">
        <f aca="false">IF($A1102="","",'Agences &amp; Après-vente'!$E304)</f>
        <v/>
      </c>
      <c r="G1102" s="116" t="str">
        <f aca="false">IF($A1102="","",'Agences &amp; Après-vente'!$F304)</f>
        <v/>
      </c>
      <c r="H1102" s="0" t="str">
        <f aca="true">IF($A1102="","",IFERROR(MAX(0,NETWORKDAYS(TODAY(),'Agences &amp; Après-vente'!$F304)),""))</f>
        <v/>
      </c>
      <c r="I1102" s="0" t="str">
        <f aca="false">IF($A1102="","",'Agences &amp; Après-vente'!$I304)</f>
        <v/>
      </c>
      <c r="K1102" s="104" t="n">
        <f aca="false">IF(A1102="",0,IF(IFERROR(VLOOKUP(A1102,Skills!$A:$M,13,FALSE()),"")="COS",0,IF(OR(I1102="En cours",I1102="À venir",I1102="À planifier"),IF(AND(OR($C$3="Tous",$C$3="",C1102=$C$3),OR($E$3="Tous",$E$3="",I1102=$E$3)),1,0),0)))</f>
        <v>0</v>
      </c>
      <c r="L1102" s="104" t="n">
        <f aca="false">L1101+K1102</f>
        <v>17</v>
      </c>
    </row>
    <row r="1103" customFormat="false" ht="15" hidden="true" customHeight="true" outlineLevel="0" collapsed="false">
      <c r="A1103" s="0" t="str">
        <f aca="false">IF('Agences &amp; Après-vente'!$A305="","",'Agences &amp; Après-vente'!$A305)</f>
        <v/>
      </c>
      <c r="B1103" s="0" t="str">
        <f aca="false">IF($A1103="","",'Agences &amp; Après-vente'!$B305)</f>
        <v/>
      </c>
      <c r="C1103" s="0" t="str">
        <f aca="false">IF($A1103="","",'Agences &amp; Après-vente'!$C305)</f>
        <v/>
      </c>
      <c r="D1103" s="0" t="str">
        <f aca="false">IF($A1103="","","Nouvelle compétence")</f>
        <v/>
      </c>
      <c r="E1103" s="0" t="str">
        <f aca="false">IF($A1103="","",'Agences &amp; Après-vente'!$D305)</f>
        <v/>
      </c>
      <c r="F1103" s="116" t="str">
        <f aca="false">IF($A1103="","",'Agences &amp; Après-vente'!$E305)</f>
        <v/>
      </c>
      <c r="G1103" s="116" t="str">
        <f aca="false">IF($A1103="","",'Agences &amp; Après-vente'!$F305)</f>
        <v/>
      </c>
      <c r="H1103" s="0" t="str">
        <f aca="true">IF($A1103="","",IFERROR(MAX(0,NETWORKDAYS(TODAY(),'Agences &amp; Après-vente'!$F305)),""))</f>
        <v/>
      </c>
      <c r="I1103" s="0" t="str">
        <f aca="false">IF($A1103="","",'Agences &amp; Après-vente'!$I305)</f>
        <v/>
      </c>
      <c r="K1103" s="104" t="n">
        <f aca="false">IF(A1103="",0,IF(IFERROR(VLOOKUP(A1103,Skills!$A:$M,13,FALSE()),"")="COS",0,IF(OR(I1103="En cours",I1103="À venir",I1103="À planifier"),IF(AND(OR($C$3="Tous",$C$3="",C1103=$C$3),OR($E$3="Tous",$E$3="",I1103=$E$3)),1,0),0)))</f>
        <v>0</v>
      </c>
      <c r="L1103" s="104" t="n">
        <f aca="false">L1102+K1103</f>
        <v>17</v>
      </c>
    </row>
    <row r="1104" customFormat="false" ht="15" hidden="true" customHeight="true" outlineLevel="0" collapsed="false">
      <c r="A1104" s="0" t="str">
        <f aca="false">IF('Agences &amp; Après-vente'!$A306="","",'Agences &amp; Après-vente'!$A306)</f>
        <v/>
      </c>
      <c r="B1104" s="0" t="str">
        <f aca="false">IF($A1104="","",'Agences &amp; Après-vente'!$B306)</f>
        <v/>
      </c>
      <c r="C1104" s="0" t="str">
        <f aca="false">IF($A1104="","",'Agences &amp; Après-vente'!$C306)</f>
        <v/>
      </c>
      <c r="D1104" s="0" t="str">
        <f aca="false">IF($A1104="","","Nouvelle compétence")</f>
        <v/>
      </c>
      <c r="E1104" s="0" t="str">
        <f aca="false">IF($A1104="","",'Agences &amp; Après-vente'!$D306)</f>
        <v/>
      </c>
      <c r="F1104" s="116" t="str">
        <f aca="false">IF($A1104="","",'Agences &amp; Après-vente'!$E306)</f>
        <v/>
      </c>
      <c r="G1104" s="116" t="str">
        <f aca="false">IF($A1104="","",'Agences &amp; Après-vente'!$F306)</f>
        <v/>
      </c>
      <c r="H1104" s="0" t="str">
        <f aca="true">IF($A1104="","",IFERROR(MAX(0,NETWORKDAYS(TODAY(),'Agences &amp; Après-vente'!$F306)),""))</f>
        <v/>
      </c>
      <c r="I1104" s="0" t="str">
        <f aca="false">IF($A1104="","",'Agences &amp; Après-vente'!$I306)</f>
        <v/>
      </c>
      <c r="K1104" s="104" t="n">
        <f aca="false">IF(A1104="",0,IF(IFERROR(VLOOKUP(A1104,Skills!$A:$M,13,FALSE()),"")="COS",0,IF(OR(I1104="En cours",I1104="À venir",I1104="À planifier"),IF(AND(OR($C$3="Tous",$C$3="",C1104=$C$3),OR($E$3="Tous",$E$3="",I1104=$E$3)),1,0),0)))</f>
        <v>0</v>
      </c>
      <c r="L1104" s="104" t="n">
        <f aca="false">L1103+K1104</f>
        <v>17</v>
      </c>
    </row>
    <row r="1105" customFormat="false" ht="15" hidden="true" customHeight="true" outlineLevel="0" collapsed="false">
      <c r="A1105" s="0" t="str">
        <f aca="false">IF('Agences &amp; Après-vente'!$A307="","",'Agences &amp; Après-vente'!$A307)</f>
        <v/>
      </c>
      <c r="B1105" s="0" t="str">
        <f aca="false">IF($A1105="","",'Agences &amp; Après-vente'!$B307)</f>
        <v/>
      </c>
      <c r="C1105" s="0" t="str">
        <f aca="false">IF($A1105="","",'Agences &amp; Après-vente'!$C307)</f>
        <v/>
      </c>
      <c r="D1105" s="0" t="str">
        <f aca="false">IF($A1105="","","Nouvelle compétence")</f>
        <v/>
      </c>
      <c r="E1105" s="0" t="str">
        <f aca="false">IF($A1105="","",'Agences &amp; Après-vente'!$D307)</f>
        <v/>
      </c>
      <c r="F1105" s="116" t="str">
        <f aca="false">IF($A1105="","",'Agences &amp; Après-vente'!$E307)</f>
        <v/>
      </c>
      <c r="G1105" s="116" t="str">
        <f aca="false">IF($A1105="","",'Agences &amp; Après-vente'!$F307)</f>
        <v/>
      </c>
      <c r="H1105" s="0" t="str">
        <f aca="true">IF($A1105="","",IFERROR(MAX(0,NETWORKDAYS(TODAY(),'Agences &amp; Après-vente'!$F307)),""))</f>
        <v/>
      </c>
      <c r="I1105" s="0" t="str">
        <f aca="false">IF($A1105="","",'Agences &amp; Après-vente'!$I307)</f>
        <v/>
      </c>
      <c r="K1105" s="104" t="n">
        <f aca="false">IF(A1105="",0,IF(IFERROR(VLOOKUP(A1105,Skills!$A:$M,13,FALSE()),"")="COS",0,IF(OR(I1105="En cours",I1105="À venir",I1105="À planifier"),IF(AND(OR($C$3="Tous",$C$3="",C1105=$C$3),OR($E$3="Tous",$E$3="",I1105=$E$3)),1,0),0)))</f>
        <v>0</v>
      </c>
      <c r="L1105" s="104" t="n">
        <f aca="false">L1104+K1105</f>
        <v>17</v>
      </c>
    </row>
    <row r="1106" customFormat="false" ht="15" hidden="true" customHeight="true" outlineLevel="0" collapsed="false">
      <c r="A1106" s="0" t="str">
        <f aca="false">IF('Agences &amp; Après-vente'!$A308="","",'Agences &amp; Après-vente'!$A308)</f>
        <v/>
      </c>
      <c r="B1106" s="0" t="str">
        <f aca="false">IF($A1106="","",'Agences &amp; Après-vente'!$B308)</f>
        <v/>
      </c>
      <c r="C1106" s="0" t="str">
        <f aca="false">IF($A1106="","",'Agences &amp; Après-vente'!$C308)</f>
        <v/>
      </c>
      <c r="D1106" s="0" t="str">
        <f aca="false">IF($A1106="","","Nouvelle compétence")</f>
        <v/>
      </c>
      <c r="E1106" s="0" t="str">
        <f aca="false">IF($A1106="","",'Agences &amp; Après-vente'!$D308)</f>
        <v/>
      </c>
      <c r="F1106" s="116" t="str">
        <f aca="false">IF($A1106="","",'Agences &amp; Après-vente'!$E308)</f>
        <v/>
      </c>
      <c r="G1106" s="116" t="str">
        <f aca="false">IF($A1106="","",'Agences &amp; Après-vente'!$F308)</f>
        <v/>
      </c>
      <c r="H1106" s="0" t="str">
        <f aca="true">IF($A1106="","",IFERROR(MAX(0,NETWORKDAYS(TODAY(),'Agences &amp; Après-vente'!$F308)),""))</f>
        <v/>
      </c>
      <c r="I1106" s="0" t="str">
        <f aca="false">IF($A1106="","",'Agences &amp; Après-vente'!$I308)</f>
        <v/>
      </c>
      <c r="K1106" s="104" t="n">
        <f aca="false">IF(A1106="",0,IF(IFERROR(VLOOKUP(A1106,Skills!$A:$M,13,FALSE()),"")="COS",0,IF(OR(I1106="En cours",I1106="À venir",I1106="À planifier"),IF(AND(OR($C$3="Tous",$C$3="",C1106=$C$3),OR($E$3="Tous",$E$3="",I1106=$E$3)),1,0),0)))</f>
        <v>0</v>
      </c>
      <c r="L1106" s="104" t="n">
        <f aca="false">L1105+K1106</f>
        <v>17</v>
      </c>
    </row>
    <row r="1107" customFormat="false" ht="15" hidden="true" customHeight="true" outlineLevel="0" collapsed="false">
      <c r="A1107" s="0" t="str">
        <f aca="false">IF('Agences &amp; Après-vente'!$A309="","",'Agences &amp; Après-vente'!$A309)</f>
        <v/>
      </c>
      <c r="B1107" s="0" t="str">
        <f aca="false">IF($A1107="","",'Agences &amp; Après-vente'!$B309)</f>
        <v/>
      </c>
      <c r="C1107" s="0" t="str">
        <f aca="false">IF($A1107="","",'Agences &amp; Après-vente'!$C309)</f>
        <v/>
      </c>
      <c r="D1107" s="0" t="str">
        <f aca="false">IF($A1107="","","Nouvelle compétence")</f>
        <v/>
      </c>
      <c r="E1107" s="0" t="str">
        <f aca="false">IF($A1107="","",'Agences &amp; Après-vente'!$D309)</f>
        <v/>
      </c>
      <c r="F1107" s="116" t="str">
        <f aca="false">IF($A1107="","",'Agences &amp; Après-vente'!$E309)</f>
        <v/>
      </c>
      <c r="G1107" s="116" t="str">
        <f aca="false">IF($A1107="","",'Agences &amp; Après-vente'!$F309)</f>
        <v/>
      </c>
      <c r="H1107" s="0" t="str">
        <f aca="true">IF($A1107="","",IFERROR(MAX(0,NETWORKDAYS(TODAY(),'Agences &amp; Après-vente'!$F309)),""))</f>
        <v/>
      </c>
      <c r="I1107" s="0" t="str">
        <f aca="false">IF($A1107="","",'Agences &amp; Après-vente'!$I309)</f>
        <v/>
      </c>
      <c r="K1107" s="104" t="n">
        <f aca="false">IF(A1107="",0,IF(IFERROR(VLOOKUP(A1107,Skills!$A:$M,13,FALSE()),"")="COS",0,IF(OR(I1107="En cours",I1107="À venir",I1107="À planifier"),IF(AND(OR($C$3="Tous",$C$3="",C1107=$C$3),OR($E$3="Tous",$E$3="",I1107=$E$3)),1,0),0)))</f>
        <v>0</v>
      </c>
      <c r="L1107" s="104" t="n">
        <f aca="false">L1106+K1107</f>
        <v>17</v>
      </c>
    </row>
    <row r="1108" customFormat="false" ht="15" hidden="true" customHeight="true" outlineLevel="0" collapsed="false">
      <c r="A1108" s="0" t="str">
        <f aca="false">IF('Agences &amp; Après-vente'!$A310="","",'Agences &amp; Après-vente'!$A310)</f>
        <v/>
      </c>
      <c r="B1108" s="0" t="str">
        <f aca="false">IF($A1108="","",'Agences &amp; Après-vente'!$B310)</f>
        <v/>
      </c>
      <c r="C1108" s="0" t="str">
        <f aca="false">IF($A1108="","",'Agences &amp; Après-vente'!$C310)</f>
        <v/>
      </c>
      <c r="D1108" s="0" t="str">
        <f aca="false">IF($A1108="","","Nouvelle compétence")</f>
        <v/>
      </c>
      <c r="E1108" s="0" t="str">
        <f aca="false">IF($A1108="","",'Agences &amp; Après-vente'!$D310)</f>
        <v/>
      </c>
      <c r="F1108" s="116" t="str">
        <f aca="false">IF($A1108="","",'Agences &amp; Après-vente'!$E310)</f>
        <v/>
      </c>
      <c r="G1108" s="116" t="str">
        <f aca="false">IF($A1108="","",'Agences &amp; Après-vente'!$F310)</f>
        <v/>
      </c>
      <c r="H1108" s="0" t="str">
        <f aca="true">IF($A1108="","",IFERROR(MAX(0,NETWORKDAYS(TODAY(),'Agences &amp; Après-vente'!$F310)),""))</f>
        <v/>
      </c>
      <c r="I1108" s="0" t="str">
        <f aca="false">IF($A1108="","",'Agences &amp; Après-vente'!$I310)</f>
        <v/>
      </c>
      <c r="K1108" s="104" t="n">
        <f aca="false">IF(A1108="",0,IF(IFERROR(VLOOKUP(A1108,Skills!$A:$M,13,FALSE()),"")="COS",0,IF(OR(I1108="En cours",I1108="À venir",I1108="À planifier"),IF(AND(OR($C$3="Tous",$C$3="",C1108=$C$3),OR($E$3="Tous",$E$3="",I1108=$E$3)),1,0),0)))</f>
        <v>0</v>
      </c>
      <c r="L1108" s="104" t="n">
        <f aca="false">L1107+K1108</f>
        <v>17</v>
      </c>
    </row>
    <row r="1109" customFormat="false" ht="15" hidden="true" customHeight="true" outlineLevel="0" collapsed="false">
      <c r="A1109" s="0" t="str">
        <f aca="false">IF('Agences &amp; Après-vente'!$A311="","",'Agences &amp; Après-vente'!$A311)</f>
        <v/>
      </c>
      <c r="B1109" s="0" t="str">
        <f aca="false">IF($A1109="","",'Agences &amp; Après-vente'!$B311)</f>
        <v/>
      </c>
      <c r="C1109" s="0" t="str">
        <f aca="false">IF($A1109="","",'Agences &amp; Après-vente'!$C311)</f>
        <v/>
      </c>
      <c r="D1109" s="0" t="str">
        <f aca="false">IF($A1109="","","Nouvelle compétence")</f>
        <v/>
      </c>
      <c r="E1109" s="0" t="str">
        <f aca="false">IF($A1109="","",'Agences &amp; Après-vente'!$D311)</f>
        <v/>
      </c>
      <c r="F1109" s="116" t="str">
        <f aca="false">IF($A1109="","",'Agences &amp; Après-vente'!$E311)</f>
        <v/>
      </c>
      <c r="G1109" s="116" t="str">
        <f aca="false">IF($A1109="","",'Agences &amp; Après-vente'!$F311)</f>
        <v/>
      </c>
      <c r="H1109" s="0" t="str">
        <f aca="true">IF($A1109="","",IFERROR(MAX(0,NETWORKDAYS(TODAY(),'Agences &amp; Après-vente'!$F311)),""))</f>
        <v/>
      </c>
      <c r="I1109" s="0" t="str">
        <f aca="false">IF($A1109="","",'Agences &amp; Après-vente'!$I311)</f>
        <v/>
      </c>
      <c r="K1109" s="104" t="n">
        <f aca="false">IF(A1109="",0,IF(IFERROR(VLOOKUP(A1109,Skills!$A:$M,13,FALSE()),"")="COS",0,IF(OR(I1109="En cours",I1109="À venir",I1109="À planifier"),IF(AND(OR($C$3="Tous",$C$3="",C1109=$C$3),OR($E$3="Tous",$E$3="",I1109=$E$3)),1,0),0)))</f>
        <v>0</v>
      </c>
      <c r="L1109" s="104" t="n">
        <f aca="false">L1108+K1109</f>
        <v>17</v>
      </c>
    </row>
    <row r="1110" customFormat="false" ht="15" hidden="true" customHeight="true" outlineLevel="0" collapsed="false">
      <c r="A1110" s="0" t="str">
        <f aca="false">IF('Agences &amp; Après-vente'!$A312="","",'Agences &amp; Après-vente'!$A312)</f>
        <v/>
      </c>
      <c r="B1110" s="0" t="str">
        <f aca="false">IF($A1110="","",'Agences &amp; Après-vente'!$B312)</f>
        <v/>
      </c>
      <c r="C1110" s="0" t="str">
        <f aca="false">IF($A1110="","",'Agences &amp; Après-vente'!$C312)</f>
        <v/>
      </c>
      <c r="D1110" s="0" t="str">
        <f aca="false">IF($A1110="","","Nouvelle compétence")</f>
        <v/>
      </c>
      <c r="E1110" s="0" t="str">
        <f aca="false">IF($A1110="","",'Agences &amp; Après-vente'!$D312)</f>
        <v/>
      </c>
      <c r="F1110" s="116" t="str">
        <f aca="false">IF($A1110="","",'Agences &amp; Après-vente'!$E312)</f>
        <v/>
      </c>
      <c r="G1110" s="116" t="str">
        <f aca="false">IF($A1110="","",'Agences &amp; Après-vente'!$F312)</f>
        <v/>
      </c>
      <c r="H1110" s="0" t="str">
        <f aca="true">IF($A1110="","",IFERROR(MAX(0,NETWORKDAYS(TODAY(),'Agences &amp; Après-vente'!$F312)),""))</f>
        <v/>
      </c>
      <c r="I1110" s="0" t="str">
        <f aca="false">IF($A1110="","",'Agences &amp; Après-vente'!$I312)</f>
        <v/>
      </c>
      <c r="K1110" s="104" t="n">
        <f aca="false">IF(A1110="",0,IF(IFERROR(VLOOKUP(A1110,Skills!$A:$M,13,FALSE()),"")="COS",0,IF(OR(I1110="En cours",I1110="À venir",I1110="À planifier"),IF(AND(OR($C$3="Tous",$C$3="",C1110=$C$3),OR($E$3="Tous",$E$3="",I1110=$E$3)),1,0),0)))</f>
        <v>0</v>
      </c>
      <c r="L1110" s="104" t="n">
        <f aca="false">L1109+K1110</f>
        <v>17</v>
      </c>
    </row>
    <row r="1111" customFormat="false" ht="15" hidden="true" customHeight="true" outlineLevel="0" collapsed="false">
      <c r="A1111" s="0" t="str">
        <f aca="false">IF('Agences &amp; Après-vente'!$A313="","",'Agences &amp; Après-vente'!$A313)</f>
        <v/>
      </c>
      <c r="B1111" s="0" t="str">
        <f aca="false">IF($A1111="","",'Agences &amp; Après-vente'!$B313)</f>
        <v/>
      </c>
      <c r="C1111" s="0" t="str">
        <f aca="false">IF($A1111="","",'Agences &amp; Après-vente'!$C313)</f>
        <v/>
      </c>
      <c r="D1111" s="0" t="str">
        <f aca="false">IF($A1111="","","Nouvelle compétence")</f>
        <v/>
      </c>
      <c r="E1111" s="0" t="str">
        <f aca="false">IF($A1111="","",'Agences &amp; Après-vente'!$D313)</f>
        <v/>
      </c>
      <c r="F1111" s="116" t="str">
        <f aca="false">IF($A1111="","",'Agences &amp; Après-vente'!$E313)</f>
        <v/>
      </c>
      <c r="G1111" s="116" t="str">
        <f aca="false">IF($A1111="","",'Agences &amp; Après-vente'!$F313)</f>
        <v/>
      </c>
      <c r="H1111" s="0" t="str">
        <f aca="true">IF($A1111="","",IFERROR(MAX(0,NETWORKDAYS(TODAY(),'Agences &amp; Après-vente'!$F313)),""))</f>
        <v/>
      </c>
      <c r="I1111" s="0" t="str">
        <f aca="false">IF($A1111="","",'Agences &amp; Après-vente'!$I313)</f>
        <v/>
      </c>
      <c r="K1111" s="104" t="n">
        <f aca="false">IF(A1111="",0,IF(IFERROR(VLOOKUP(A1111,Skills!$A:$M,13,FALSE()),"")="COS",0,IF(OR(I1111="En cours",I1111="À venir",I1111="À planifier"),IF(AND(OR($C$3="Tous",$C$3="",C1111=$C$3),OR($E$3="Tous",$E$3="",I1111=$E$3)),1,0),0)))</f>
        <v>0</v>
      </c>
      <c r="L1111" s="104" t="n">
        <f aca="false">L1110+K1111</f>
        <v>17</v>
      </c>
    </row>
    <row r="1112" customFormat="false" ht="15" hidden="true" customHeight="true" outlineLevel="0" collapsed="false">
      <c r="A1112" s="0" t="str">
        <f aca="false">IF('Agences &amp; Après-vente'!$A314="","",'Agences &amp; Après-vente'!$A314)</f>
        <v/>
      </c>
      <c r="B1112" s="0" t="str">
        <f aca="false">IF($A1112="","",'Agences &amp; Après-vente'!$B314)</f>
        <v/>
      </c>
      <c r="C1112" s="0" t="str">
        <f aca="false">IF($A1112="","",'Agences &amp; Après-vente'!$C314)</f>
        <v/>
      </c>
      <c r="D1112" s="0" t="str">
        <f aca="false">IF($A1112="","","Nouvelle compétence")</f>
        <v/>
      </c>
      <c r="E1112" s="0" t="str">
        <f aca="false">IF($A1112="","",'Agences &amp; Après-vente'!$D314)</f>
        <v/>
      </c>
      <c r="F1112" s="116" t="str">
        <f aca="false">IF($A1112="","",'Agences &amp; Après-vente'!$E314)</f>
        <v/>
      </c>
      <c r="G1112" s="116" t="str">
        <f aca="false">IF($A1112="","",'Agences &amp; Après-vente'!$F314)</f>
        <v/>
      </c>
      <c r="H1112" s="0" t="str">
        <f aca="true">IF($A1112="","",IFERROR(MAX(0,NETWORKDAYS(TODAY(),'Agences &amp; Après-vente'!$F314)),""))</f>
        <v/>
      </c>
      <c r="I1112" s="0" t="str">
        <f aca="false">IF($A1112="","",'Agences &amp; Après-vente'!$I314)</f>
        <v/>
      </c>
      <c r="K1112" s="104" t="n">
        <f aca="false">IF(A1112="",0,IF(IFERROR(VLOOKUP(A1112,Skills!$A:$M,13,FALSE()),"")="COS",0,IF(OR(I1112="En cours",I1112="À venir",I1112="À planifier"),IF(AND(OR($C$3="Tous",$C$3="",C1112=$C$3),OR($E$3="Tous",$E$3="",I1112=$E$3)),1,0),0)))</f>
        <v>0</v>
      </c>
      <c r="L1112" s="104" t="n">
        <f aca="false">L1111+K1112</f>
        <v>17</v>
      </c>
    </row>
    <row r="1113" customFormat="false" ht="15" hidden="true" customHeight="true" outlineLevel="0" collapsed="false">
      <c r="A1113" s="0" t="str">
        <f aca="false">IF('Agences &amp; Après-vente'!$A315="","",'Agences &amp; Après-vente'!$A315)</f>
        <v/>
      </c>
      <c r="B1113" s="0" t="str">
        <f aca="false">IF($A1113="","",'Agences &amp; Après-vente'!$B315)</f>
        <v/>
      </c>
      <c r="C1113" s="0" t="str">
        <f aca="false">IF($A1113="","",'Agences &amp; Après-vente'!$C315)</f>
        <v/>
      </c>
      <c r="D1113" s="0" t="str">
        <f aca="false">IF($A1113="","","Nouvelle compétence")</f>
        <v/>
      </c>
      <c r="E1113" s="0" t="str">
        <f aca="false">IF($A1113="","",'Agences &amp; Après-vente'!$D315)</f>
        <v/>
      </c>
      <c r="F1113" s="116" t="str">
        <f aca="false">IF($A1113="","",'Agences &amp; Après-vente'!$E315)</f>
        <v/>
      </c>
      <c r="G1113" s="116" t="str">
        <f aca="false">IF($A1113="","",'Agences &amp; Après-vente'!$F315)</f>
        <v/>
      </c>
      <c r="H1113" s="0" t="str">
        <f aca="true">IF($A1113="","",IFERROR(MAX(0,NETWORKDAYS(TODAY(),'Agences &amp; Après-vente'!$F315)),""))</f>
        <v/>
      </c>
      <c r="I1113" s="0" t="str">
        <f aca="false">IF($A1113="","",'Agences &amp; Après-vente'!$I315)</f>
        <v/>
      </c>
      <c r="K1113" s="104" t="n">
        <f aca="false">IF(A1113="",0,IF(IFERROR(VLOOKUP(A1113,Skills!$A:$M,13,FALSE()),"")="COS",0,IF(OR(I1113="En cours",I1113="À venir",I1113="À planifier"),IF(AND(OR($C$3="Tous",$C$3="",C1113=$C$3),OR($E$3="Tous",$E$3="",I1113=$E$3)),1,0),0)))</f>
        <v>0</v>
      </c>
      <c r="L1113" s="104" t="n">
        <f aca="false">L1112+K1113</f>
        <v>17</v>
      </c>
    </row>
    <row r="1114" customFormat="false" ht="15" hidden="true" customHeight="true" outlineLevel="0" collapsed="false">
      <c r="A1114" s="0" t="str">
        <f aca="false">IF('Agences &amp; Après-vente'!$A316="","",'Agences &amp; Après-vente'!$A316)</f>
        <v/>
      </c>
      <c r="B1114" s="0" t="str">
        <f aca="false">IF($A1114="","",'Agences &amp; Après-vente'!$B316)</f>
        <v/>
      </c>
      <c r="C1114" s="0" t="str">
        <f aca="false">IF($A1114="","",'Agences &amp; Après-vente'!$C316)</f>
        <v/>
      </c>
      <c r="D1114" s="0" t="str">
        <f aca="false">IF($A1114="","","Nouvelle compétence")</f>
        <v/>
      </c>
      <c r="E1114" s="0" t="str">
        <f aca="false">IF($A1114="","",'Agences &amp; Après-vente'!$D316)</f>
        <v/>
      </c>
      <c r="F1114" s="116" t="str">
        <f aca="false">IF($A1114="","",'Agences &amp; Après-vente'!$E316)</f>
        <v/>
      </c>
      <c r="G1114" s="116" t="str">
        <f aca="false">IF($A1114="","",'Agences &amp; Après-vente'!$F316)</f>
        <v/>
      </c>
      <c r="H1114" s="0" t="str">
        <f aca="true">IF($A1114="","",IFERROR(MAX(0,NETWORKDAYS(TODAY(),'Agences &amp; Après-vente'!$F316)),""))</f>
        <v/>
      </c>
      <c r="I1114" s="0" t="str">
        <f aca="false">IF($A1114="","",'Agences &amp; Après-vente'!$I316)</f>
        <v/>
      </c>
      <c r="K1114" s="104" t="n">
        <f aca="false">IF(A1114="",0,IF(IFERROR(VLOOKUP(A1114,Skills!$A:$M,13,FALSE()),"")="COS",0,IF(OR(I1114="En cours",I1114="À venir",I1114="À planifier"),IF(AND(OR($C$3="Tous",$C$3="",C1114=$C$3),OR($E$3="Tous",$E$3="",I1114=$E$3)),1,0),0)))</f>
        <v>0</v>
      </c>
      <c r="L1114" s="104" t="n">
        <f aca="false">L1113+K1114</f>
        <v>17</v>
      </c>
    </row>
    <row r="1115" customFormat="false" ht="15" hidden="true" customHeight="true" outlineLevel="0" collapsed="false">
      <c r="A1115" s="0" t="str">
        <f aca="false">IF('Agences &amp; Après-vente'!$A317="","",'Agences &amp; Après-vente'!$A317)</f>
        <v/>
      </c>
      <c r="B1115" s="0" t="str">
        <f aca="false">IF($A1115="","",'Agences &amp; Après-vente'!$B317)</f>
        <v/>
      </c>
      <c r="C1115" s="0" t="str">
        <f aca="false">IF($A1115="","",'Agences &amp; Après-vente'!$C317)</f>
        <v/>
      </c>
      <c r="D1115" s="0" t="str">
        <f aca="false">IF($A1115="","","Nouvelle compétence")</f>
        <v/>
      </c>
      <c r="E1115" s="0" t="str">
        <f aca="false">IF($A1115="","",'Agences &amp; Après-vente'!$D317)</f>
        <v/>
      </c>
      <c r="F1115" s="116" t="str">
        <f aca="false">IF($A1115="","",'Agences &amp; Après-vente'!$E317)</f>
        <v/>
      </c>
      <c r="G1115" s="116" t="str">
        <f aca="false">IF($A1115="","",'Agences &amp; Après-vente'!$F317)</f>
        <v/>
      </c>
      <c r="H1115" s="0" t="str">
        <f aca="true">IF($A1115="","",IFERROR(MAX(0,NETWORKDAYS(TODAY(),'Agences &amp; Après-vente'!$F317)),""))</f>
        <v/>
      </c>
      <c r="I1115" s="0" t="str">
        <f aca="false">IF($A1115="","",'Agences &amp; Après-vente'!$I317)</f>
        <v/>
      </c>
      <c r="K1115" s="104" t="n">
        <f aca="false">IF(A1115="",0,IF(IFERROR(VLOOKUP(A1115,Skills!$A:$M,13,FALSE()),"")="COS",0,IF(OR(I1115="En cours",I1115="À venir",I1115="À planifier"),IF(AND(OR($C$3="Tous",$C$3="",C1115=$C$3),OR($E$3="Tous",$E$3="",I1115=$E$3)),1,0),0)))</f>
        <v>0</v>
      </c>
      <c r="L1115" s="104" t="n">
        <f aca="false">L1114+K1115</f>
        <v>17</v>
      </c>
    </row>
    <row r="1116" customFormat="false" ht="15" hidden="true" customHeight="true" outlineLevel="0" collapsed="false">
      <c r="A1116" s="0" t="str">
        <f aca="false">IF('Agences &amp; Après-vente'!$A318="","",'Agences &amp; Après-vente'!$A318)</f>
        <v/>
      </c>
      <c r="B1116" s="0" t="str">
        <f aca="false">IF($A1116="","",'Agences &amp; Après-vente'!$B318)</f>
        <v/>
      </c>
      <c r="C1116" s="0" t="str">
        <f aca="false">IF($A1116="","",'Agences &amp; Après-vente'!$C318)</f>
        <v/>
      </c>
      <c r="D1116" s="0" t="str">
        <f aca="false">IF($A1116="","","Nouvelle compétence")</f>
        <v/>
      </c>
      <c r="E1116" s="0" t="str">
        <f aca="false">IF($A1116="","",'Agences &amp; Après-vente'!$D318)</f>
        <v/>
      </c>
      <c r="F1116" s="116" t="str">
        <f aca="false">IF($A1116="","",'Agences &amp; Après-vente'!$E318)</f>
        <v/>
      </c>
      <c r="G1116" s="116" t="str">
        <f aca="false">IF($A1116="","",'Agences &amp; Après-vente'!$F318)</f>
        <v/>
      </c>
      <c r="H1116" s="0" t="str">
        <f aca="true">IF($A1116="","",IFERROR(MAX(0,NETWORKDAYS(TODAY(),'Agences &amp; Après-vente'!$F318)),""))</f>
        <v/>
      </c>
      <c r="I1116" s="0" t="str">
        <f aca="false">IF($A1116="","",'Agences &amp; Après-vente'!$I318)</f>
        <v/>
      </c>
      <c r="K1116" s="104" t="n">
        <f aca="false">IF(A1116="",0,IF(IFERROR(VLOOKUP(A1116,Skills!$A:$M,13,FALSE()),"")="COS",0,IF(OR(I1116="En cours",I1116="À venir",I1116="À planifier"),IF(AND(OR($C$3="Tous",$C$3="",C1116=$C$3),OR($E$3="Tous",$E$3="",I1116=$E$3)),1,0),0)))</f>
        <v>0</v>
      </c>
      <c r="L1116" s="104" t="n">
        <f aca="false">L1115+K1116</f>
        <v>17</v>
      </c>
    </row>
    <row r="1117" customFormat="false" ht="15" hidden="true" customHeight="true" outlineLevel="0" collapsed="false">
      <c r="A1117" s="0" t="str">
        <f aca="false">IF('Agences &amp; Après-vente'!$A319="","",'Agences &amp; Après-vente'!$A319)</f>
        <v/>
      </c>
      <c r="B1117" s="0" t="str">
        <f aca="false">IF($A1117="","",'Agences &amp; Après-vente'!$B319)</f>
        <v/>
      </c>
      <c r="C1117" s="0" t="str">
        <f aca="false">IF($A1117="","",'Agences &amp; Après-vente'!$C319)</f>
        <v/>
      </c>
      <c r="D1117" s="0" t="str">
        <f aca="false">IF($A1117="","","Nouvelle compétence")</f>
        <v/>
      </c>
      <c r="E1117" s="0" t="str">
        <f aca="false">IF($A1117="","",'Agences &amp; Après-vente'!$D319)</f>
        <v/>
      </c>
      <c r="F1117" s="116" t="str">
        <f aca="false">IF($A1117="","",'Agences &amp; Après-vente'!$E319)</f>
        <v/>
      </c>
      <c r="G1117" s="116" t="str">
        <f aca="false">IF($A1117="","",'Agences &amp; Après-vente'!$F319)</f>
        <v/>
      </c>
      <c r="H1117" s="0" t="str">
        <f aca="true">IF($A1117="","",IFERROR(MAX(0,NETWORKDAYS(TODAY(),'Agences &amp; Après-vente'!$F319)),""))</f>
        <v/>
      </c>
      <c r="I1117" s="0" t="str">
        <f aca="false">IF($A1117="","",'Agences &amp; Après-vente'!$I319)</f>
        <v/>
      </c>
      <c r="K1117" s="104" t="n">
        <f aca="false">IF(A1117="",0,IF(IFERROR(VLOOKUP(A1117,Skills!$A:$M,13,FALSE()),"")="COS",0,IF(OR(I1117="En cours",I1117="À venir",I1117="À planifier"),IF(AND(OR($C$3="Tous",$C$3="",C1117=$C$3),OR($E$3="Tous",$E$3="",I1117=$E$3)),1,0),0)))</f>
        <v>0</v>
      </c>
      <c r="L1117" s="104" t="n">
        <f aca="false">L1116+K1117</f>
        <v>17</v>
      </c>
    </row>
    <row r="1118" customFormat="false" ht="15" hidden="true" customHeight="true" outlineLevel="0" collapsed="false">
      <c r="A1118" s="0" t="str">
        <f aca="false">IF('Agences &amp; Après-vente'!$A320="","",'Agences &amp; Après-vente'!$A320)</f>
        <v/>
      </c>
      <c r="B1118" s="0" t="str">
        <f aca="false">IF($A1118="","",'Agences &amp; Après-vente'!$B320)</f>
        <v/>
      </c>
      <c r="C1118" s="0" t="str">
        <f aca="false">IF($A1118="","",'Agences &amp; Après-vente'!$C320)</f>
        <v/>
      </c>
      <c r="D1118" s="0" t="str">
        <f aca="false">IF($A1118="","","Nouvelle compétence")</f>
        <v/>
      </c>
      <c r="E1118" s="0" t="str">
        <f aca="false">IF($A1118="","",'Agences &amp; Après-vente'!$D320)</f>
        <v/>
      </c>
      <c r="F1118" s="116" t="str">
        <f aca="false">IF($A1118="","",'Agences &amp; Après-vente'!$E320)</f>
        <v/>
      </c>
      <c r="G1118" s="116" t="str">
        <f aca="false">IF($A1118="","",'Agences &amp; Après-vente'!$F320)</f>
        <v/>
      </c>
      <c r="H1118" s="0" t="str">
        <f aca="true">IF($A1118="","",IFERROR(MAX(0,NETWORKDAYS(TODAY(),'Agences &amp; Après-vente'!$F320)),""))</f>
        <v/>
      </c>
      <c r="I1118" s="0" t="str">
        <f aca="false">IF($A1118="","",'Agences &amp; Après-vente'!$I320)</f>
        <v/>
      </c>
      <c r="K1118" s="104" t="n">
        <f aca="false">IF(A1118="",0,IF(IFERROR(VLOOKUP(A1118,Skills!$A:$M,13,FALSE()),"")="COS",0,IF(OR(I1118="En cours",I1118="À venir",I1118="À planifier"),IF(AND(OR($C$3="Tous",$C$3="",C1118=$C$3),OR($E$3="Tous",$E$3="",I1118=$E$3)),1,0),0)))</f>
        <v>0</v>
      </c>
      <c r="L1118" s="104" t="n">
        <f aca="false">L1117+K1118</f>
        <v>17</v>
      </c>
    </row>
    <row r="1119" customFormat="false" ht="15" hidden="true" customHeight="true" outlineLevel="0" collapsed="false">
      <c r="A1119" s="0" t="str">
        <f aca="false">IF('Agences &amp; Après-vente'!$A321="","",'Agences &amp; Après-vente'!$A321)</f>
        <v/>
      </c>
      <c r="B1119" s="0" t="str">
        <f aca="false">IF($A1119="","",'Agences &amp; Après-vente'!$B321)</f>
        <v/>
      </c>
      <c r="C1119" s="0" t="str">
        <f aca="false">IF($A1119="","",'Agences &amp; Après-vente'!$C321)</f>
        <v/>
      </c>
      <c r="D1119" s="0" t="str">
        <f aca="false">IF($A1119="","","Nouvelle compétence")</f>
        <v/>
      </c>
      <c r="E1119" s="0" t="str">
        <f aca="false">IF($A1119="","",'Agences &amp; Après-vente'!$D321)</f>
        <v/>
      </c>
      <c r="F1119" s="116" t="str">
        <f aca="false">IF($A1119="","",'Agences &amp; Après-vente'!$E321)</f>
        <v/>
      </c>
      <c r="G1119" s="116" t="str">
        <f aca="false">IF($A1119="","",'Agences &amp; Après-vente'!$F321)</f>
        <v/>
      </c>
      <c r="H1119" s="0" t="str">
        <f aca="true">IF($A1119="","",IFERROR(MAX(0,NETWORKDAYS(TODAY(),'Agences &amp; Après-vente'!$F321)),""))</f>
        <v/>
      </c>
      <c r="I1119" s="0" t="str">
        <f aca="false">IF($A1119="","",'Agences &amp; Après-vente'!$I321)</f>
        <v/>
      </c>
      <c r="K1119" s="104" t="n">
        <f aca="false">IF(A1119="",0,IF(IFERROR(VLOOKUP(A1119,Skills!$A:$M,13,FALSE()),"")="COS",0,IF(OR(I1119="En cours",I1119="À venir",I1119="À planifier"),IF(AND(OR($C$3="Tous",$C$3="",C1119=$C$3),OR($E$3="Tous",$E$3="",I1119=$E$3)),1,0),0)))</f>
        <v>0</v>
      </c>
      <c r="L1119" s="104" t="n">
        <f aca="false">L1118+K1119</f>
        <v>17</v>
      </c>
    </row>
    <row r="1120" customFormat="false" ht="15" hidden="true" customHeight="true" outlineLevel="0" collapsed="false">
      <c r="A1120" s="0" t="str">
        <f aca="false">IF('Agences &amp; Après-vente'!$A322="","",'Agences &amp; Après-vente'!$A322)</f>
        <v/>
      </c>
      <c r="B1120" s="0" t="str">
        <f aca="false">IF($A1120="","",'Agences &amp; Après-vente'!$B322)</f>
        <v/>
      </c>
      <c r="C1120" s="0" t="str">
        <f aca="false">IF($A1120="","",'Agences &amp; Après-vente'!$C322)</f>
        <v/>
      </c>
      <c r="D1120" s="0" t="str">
        <f aca="false">IF($A1120="","","Nouvelle compétence")</f>
        <v/>
      </c>
      <c r="E1120" s="0" t="str">
        <f aca="false">IF($A1120="","",'Agences &amp; Après-vente'!$D322)</f>
        <v/>
      </c>
      <c r="F1120" s="116" t="str">
        <f aca="false">IF($A1120="","",'Agences &amp; Après-vente'!$E322)</f>
        <v/>
      </c>
      <c r="G1120" s="116" t="str">
        <f aca="false">IF($A1120="","",'Agences &amp; Après-vente'!$F322)</f>
        <v/>
      </c>
      <c r="H1120" s="0" t="str">
        <f aca="true">IF($A1120="","",IFERROR(MAX(0,NETWORKDAYS(TODAY(),'Agences &amp; Après-vente'!$F322)),""))</f>
        <v/>
      </c>
      <c r="I1120" s="0" t="str">
        <f aca="false">IF($A1120="","",'Agences &amp; Après-vente'!$I322)</f>
        <v/>
      </c>
      <c r="K1120" s="104" t="n">
        <f aca="false">IF(A1120="",0,IF(IFERROR(VLOOKUP(A1120,Skills!$A:$M,13,FALSE()),"")="COS",0,IF(OR(I1120="En cours",I1120="À venir",I1120="À planifier"),IF(AND(OR($C$3="Tous",$C$3="",C1120=$C$3),OR($E$3="Tous",$E$3="",I1120=$E$3)),1,0),0)))</f>
        <v>0</v>
      </c>
      <c r="L1120" s="104" t="n">
        <f aca="false">L1119+K1120</f>
        <v>17</v>
      </c>
    </row>
    <row r="1121" customFormat="false" ht="15" hidden="true" customHeight="true" outlineLevel="0" collapsed="false">
      <c r="A1121" s="0" t="str">
        <f aca="false">IF('Agences &amp; Après-vente'!$A323="","",'Agences &amp; Après-vente'!$A323)</f>
        <v/>
      </c>
      <c r="B1121" s="0" t="str">
        <f aca="false">IF($A1121="","",'Agences &amp; Après-vente'!$B323)</f>
        <v/>
      </c>
      <c r="C1121" s="0" t="str">
        <f aca="false">IF($A1121="","",'Agences &amp; Après-vente'!$C323)</f>
        <v/>
      </c>
      <c r="D1121" s="0" t="str">
        <f aca="false">IF($A1121="","","Nouvelle compétence")</f>
        <v/>
      </c>
      <c r="E1121" s="0" t="str">
        <f aca="false">IF($A1121="","",'Agences &amp; Après-vente'!$D323)</f>
        <v/>
      </c>
      <c r="F1121" s="116" t="str">
        <f aca="false">IF($A1121="","",'Agences &amp; Après-vente'!$E323)</f>
        <v/>
      </c>
      <c r="G1121" s="116" t="str">
        <f aca="false">IF($A1121="","",'Agences &amp; Après-vente'!$F323)</f>
        <v/>
      </c>
      <c r="H1121" s="0" t="str">
        <f aca="true">IF($A1121="","",IFERROR(MAX(0,NETWORKDAYS(TODAY(),'Agences &amp; Après-vente'!$F323)),""))</f>
        <v/>
      </c>
      <c r="I1121" s="0" t="str">
        <f aca="false">IF($A1121="","",'Agences &amp; Après-vente'!$I323)</f>
        <v/>
      </c>
      <c r="K1121" s="104" t="n">
        <f aca="false">IF(A1121="",0,IF(IFERROR(VLOOKUP(A1121,Skills!$A:$M,13,FALSE()),"")="COS",0,IF(OR(I1121="En cours",I1121="À venir",I1121="À planifier"),IF(AND(OR($C$3="Tous",$C$3="",C1121=$C$3),OR($E$3="Tous",$E$3="",I1121=$E$3)),1,0),0)))</f>
        <v>0</v>
      </c>
      <c r="L1121" s="104" t="n">
        <f aca="false">L1120+K1121</f>
        <v>17</v>
      </c>
    </row>
    <row r="1122" customFormat="false" ht="15" hidden="true" customHeight="true" outlineLevel="0" collapsed="false">
      <c r="A1122" s="0" t="str">
        <f aca="false">IF('Agences &amp; Après-vente'!$A324="","",'Agences &amp; Après-vente'!$A324)</f>
        <v/>
      </c>
      <c r="B1122" s="0" t="str">
        <f aca="false">IF($A1122="","",'Agences &amp; Après-vente'!$B324)</f>
        <v/>
      </c>
      <c r="C1122" s="0" t="str">
        <f aca="false">IF($A1122="","",'Agences &amp; Après-vente'!$C324)</f>
        <v/>
      </c>
      <c r="D1122" s="0" t="str">
        <f aca="false">IF($A1122="","","Nouvelle compétence")</f>
        <v/>
      </c>
      <c r="E1122" s="0" t="str">
        <f aca="false">IF($A1122="","",'Agences &amp; Après-vente'!$D324)</f>
        <v/>
      </c>
      <c r="F1122" s="116" t="str">
        <f aca="false">IF($A1122="","",'Agences &amp; Après-vente'!$E324)</f>
        <v/>
      </c>
      <c r="G1122" s="116" t="str">
        <f aca="false">IF($A1122="","",'Agences &amp; Après-vente'!$F324)</f>
        <v/>
      </c>
      <c r="H1122" s="0" t="str">
        <f aca="true">IF($A1122="","",IFERROR(MAX(0,NETWORKDAYS(TODAY(),'Agences &amp; Après-vente'!$F324)),""))</f>
        <v/>
      </c>
      <c r="I1122" s="0" t="str">
        <f aca="false">IF($A1122="","",'Agences &amp; Après-vente'!$I324)</f>
        <v/>
      </c>
      <c r="K1122" s="104" t="n">
        <f aca="false">IF(A1122="",0,IF(IFERROR(VLOOKUP(A1122,Skills!$A:$M,13,FALSE()),"")="COS",0,IF(OR(I1122="En cours",I1122="À venir",I1122="À planifier"),IF(AND(OR($C$3="Tous",$C$3="",C1122=$C$3),OR($E$3="Tous",$E$3="",I1122=$E$3)),1,0),0)))</f>
        <v>0</v>
      </c>
      <c r="L1122" s="104" t="n">
        <f aca="false">L1121+K1122</f>
        <v>17</v>
      </c>
    </row>
    <row r="1123" customFormat="false" ht="15" hidden="true" customHeight="true" outlineLevel="0" collapsed="false">
      <c r="A1123" s="0" t="str">
        <f aca="false">IF('Agences &amp; Après-vente'!$A325="","",'Agences &amp; Après-vente'!$A325)</f>
        <v/>
      </c>
      <c r="B1123" s="0" t="str">
        <f aca="false">IF($A1123="","",'Agences &amp; Après-vente'!$B325)</f>
        <v/>
      </c>
      <c r="C1123" s="0" t="str">
        <f aca="false">IF($A1123="","",'Agences &amp; Après-vente'!$C325)</f>
        <v/>
      </c>
      <c r="D1123" s="0" t="str">
        <f aca="false">IF($A1123="","","Nouvelle compétence")</f>
        <v/>
      </c>
      <c r="E1123" s="0" t="str">
        <f aca="false">IF($A1123="","",'Agences &amp; Après-vente'!$D325)</f>
        <v/>
      </c>
      <c r="F1123" s="116" t="str">
        <f aca="false">IF($A1123="","",'Agences &amp; Après-vente'!$E325)</f>
        <v/>
      </c>
      <c r="G1123" s="116" t="str">
        <f aca="false">IF($A1123="","",'Agences &amp; Après-vente'!$F325)</f>
        <v/>
      </c>
      <c r="H1123" s="0" t="str">
        <f aca="true">IF($A1123="","",IFERROR(MAX(0,NETWORKDAYS(TODAY(),'Agences &amp; Après-vente'!$F325)),""))</f>
        <v/>
      </c>
      <c r="I1123" s="0" t="str">
        <f aca="false">IF($A1123="","",'Agences &amp; Après-vente'!$I325)</f>
        <v/>
      </c>
      <c r="K1123" s="104" t="n">
        <f aca="false">IF(A1123="",0,IF(IFERROR(VLOOKUP(A1123,Skills!$A:$M,13,FALSE()),"")="COS",0,IF(OR(I1123="En cours",I1123="À venir",I1123="À planifier"),IF(AND(OR($C$3="Tous",$C$3="",C1123=$C$3),OR($E$3="Tous",$E$3="",I1123=$E$3)),1,0),0)))</f>
        <v>0</v>
      </c>
      <c r="L1123" s="104" t="n">
        <f aca="false">L1122+K1123</f>
        <v>17</v>
      </c>
    </row>
    <row r="1124" customFormat="false" ht="15" hidden="true" customHeight="true" outlineLevel="0" collapsed="false">
      <c r="A1124" s="0" t="str">
        <f aca="false">IF('Agences &amp; Après-vente'!$A326="","",'Agences &amp; Après-vente'!$A326)</f>
        <v/>
      </c>
      <c r="B1124" s="0" t="str">
        <f aca="false">IF($A1124="","",'Agences &amp; Après-vente'!$B326)</f>
        <v/>
      </c>
      <c r="C1124" s="0" t="str">
        <f aca="false">IF($A1124="","",'Agences &amp; Après-vente'!$C326)</f>
        <v/>
      </c>
      <c r="D1124" s="0" t="str">
        <f aca="false">IF($A1124="","","Nouvelle compétence")</f>
        <v/>
      </c>
      <c r="E1124" s="0" t="str">
        <f aca="false">IF($A1124="","",'Agences &amp; Après-vente'!$D326)</f>
        <v/>
      </c>
      <c r="F1124" s="116" t="str">
        <f aca="false">IF($A1124="","",'Agences &amp; Après-vente'!$E326)</f>
        <v/>
      </c>
      <c r="G1124" s="116" t="str">
        <f aca="false">IF($A1124="","",'Agences &amp; Après-vente'!$F326)</f>
        <v/>
      </c>
      <c r="H1124" s="0" t="str">
        <f aca="true">IF($A1124="","",IFERROR(MAX(0,NETWORKDAYS(TODAY(),'Agences &amp; Après-vente'!$F326)),""))</f>
        <v/>
      </c>
      <c r="I1124" s="0" t="str">
        <f aca="false">IF($A1124="","",'Agences &amp; Après-vente'!$I326)</f>
        <v/>
      </c>
      <c r="K1124" s="104" t="n">
        <f aca="false">IF(A1124="",0,IF(IFERROR(VLOOKUP(A1124,Skills!$A:$M,13,FALSE()),"")="COS",0,IF(OR(I1124="En cours",I1124="À venir",I1124="À planifier"),IF(AND(OR($C$3="Tous",$C$3="",C1124=$C$3),OR($E$3="Tous",$E$3="",I1124=$E$3)),1,0),0)))</f>
        <v>0</v>
      </c>
      <c r="L1124" s="104" t="n">
        <f aca="false">L1123+K1124</f>
        <v>17</v>
      </c>
    </row>
    <row r="1125" customFormat="false" ht="15" hidden="true" customHeight="true" outlineLevel="0" collapsed="false">
      <c r="A1125" s="0" t="str">
        <f aca="false">IF('Agences &amp; Après-vente'!$A327="","",'Agences &amp; Après-vente'!$A327)</f>
        <v/>
      </c>
      <c r="B1125" s="0" t="str">
        <f aca="false">IF($A1125="","",'Agences &amp; Après-vente'!$B327)</f>
        <v/>
      </c>
      <c r="C1125" s="0" t="str">
        <f aca="false">IF($A1125="","",'Agences &amp; Après-vente'!$C327)</f>
        <v/>
      </c>
      <c r="D1125" s="0" t="str">
        <f aca="false">IF($A1125="","","Nouvelle compétence")</f>
        <v/>
      </c>
      <c r="E1125" s="0" t="str">
        <f aca="false">IF($A1125="","",'Agences &amp; Après-vente'!$D327)</f>
        <v/>
      </c>
      <c r="F1125" s="116" t="str">
        <f aca="false">IF($A1125="","",'Agences &amp; Après-vente'!$E327)</f>
        <v/>
      </c>
      <c r="G1125" s="116" t="str">
        <f aca="false">IF($A1125="","",'Agences &amp; Après-vente'!$F327)</f>
        <v/>
      </c>
      <c r="H1125" s="0" t="str">
        <f aca="true">IF($A1125="","",IFERROR(MAX(0,NETWORKDAYS(TODAY(),'Agences &amp; Après-vente'!$F327)),""))</f>
        <v/>
      </c>
      <c r="I1125" s="0" t="str">
        <f aca="false">IF($A1125="","",'Agences &amp; Après-vente'!$I327)</f>
        <v/>
      </c>
      <c r="K1125" s="104" t="n">
        <f aca="false">IF(A1125="",0,IF(IFERROR(VLOOKUP(A1125,Skills!$A:$M,13,FALSE()),"")="COS",0,IF(OR(I1125="En cours",I1125="À venir",I1125="À planifier"),IF(AND(OR($C$3="Tous",$C$3="",C1125=$C$3),OR($E$3="Tous",$E$3="",I1125=$E$3)),1,0),0)))</f>
        <v>0</v>
      </c>
      <c r="L1125" s="104" t="n">
        <f aca="false">L1124+K1125</f>
        <v>17</v>
      </c>
    </row>
    <row r="1126" customFormat="false" ht="15" hidden="true" customHeight="true" outlineLevel="0" collapsed="false">
      <c r="A1126" s="0" t="str">
        <f aca="false">IF('Agences &amp; Après-vente'!$A328="","",'Agences &amp; Après-vente'!$A328)</f>
        <v/>
      </c>
      <c r="B1126" s="0" t="str">
        <f aca="false">IF($A1126="","",'Agences &amp; Après-vente'!$B328)</f>
        <v/>
      </c>
      <c r="C1126" s="0" t="str">
        <f aca="false">IF($A1126="","",'Agences &amp; Après-vente'!$C328)</f>
        <v/>
      </c>
      <c r="D1126" s="0" t="str">
        <f aca="false">IF($A1126="","","Nouvelle compétence")</f>
        <v/>
      </c>
      <c r="E1126" s="0" t="str">
        <f aca="false">IF($A1126="","",'Agences &amp; Après-vente'!$D328)</f>
        <v/>
      </c>
      <c r="F1126" s="116" t="str">
        <f aca="false">IF($A1126="","",'Agences &amp; Après-vente'!$E328)</f>
        <v/>
      </c>
      <c r="G1126" s="116" t="str">
        <f aca="false">IF($A1126="","",'Agences &amp; Après-vente'!$F328)</f>
        <v/>
      </c>
      <c r="H1126" s="0" t="str">
        <f aca="true">IF($A1126="","",IFERROR(MAX(0,NETWORKDAYS(TODAY(),'Agences &amp; Après-vente'!$F328)),""))</f>
        <v/>
      </c>
      <c r="I1126" s="0" t="str">
        <f aca="false">IF($A1126="","",'Agences &amp; Après-vente'!$I328)</f>
        <v/>
      </c>
      <c r="K1126" s="104" t="n">
        <f aca="false">IF(A1126="",0,IF(IFERROR(VLOOKUP(A1126,Skills!$A:$M,13,FALSE()),"")="COS",0,IF(OR(I1126="En cours",I1126="À venir",I1126="À planifier"),IF(AND(OR($C$3="Tous",$C$3="",C1126=$C$3),OR($E$3="Tous",$E$3="",I1126=$E$3)),1,0),0)))</f>
        <v>0</v>
      </c>
      <c r="L1126" s="104" t="n">
        <f aca="false">L1125+K1126</f>
        <v>17</v>
      </c>
    </row>
    <row r="1127" customFormat="false" ht="15" hidden="true" customHeight="true" outlineLevel="0" collapsed="false">
      <c r="A1127" s="0" t="str">
        <f aca="false">IF('Agences &amp; Après-vente'!$A329="","",'Agences &amp; Après-vente'!$A329)</f>
        <v/>
      </c>
      <c r="B1127" s="0" t="str">
        <f aca="false">IF($A1127="","",'Agences &amp; Après-vente'!$B329)</f>
        <v/>
      </c>
      <c r="C1127" s="0" t="str">
        <f aca="false">IF($A1127="","",'Agences &amp; Après-vente'!$C329)</f>
        <v/>
      </c>
      <c r="D1127" s="0" t="str">
        <f aca="false">IF($A1127="","","Nouvelle compétence")</f>
        <v/>
      </c>
      <c r="E1127" s="0" t="str">
        <f aca="false">IF($A1127="","",'Agences &amp; Après-vente'!$D329)</f>
        <v/>
      </c>
      <c r="F1127" s="116" t="str">
        <f aca="false">IF($A1127="","",'Agences &amp; Après-vente'!$E329)</f>
        <v/>
      </c>
      <c r="G1127" s="116" t="str">
        <f aca="false">IF($A1127="","",'Agences &amp; Après-vente'!$F329)</f>
        <v/>
      </c>
      <c r="H1127" s="0" t="str">
        <f aca="true">IF($A1127="","",IFERROR(MAX(0,NETWORKDAYS(TODAY(),'Agences &amp; Après-vente'!$F329)),""))</f>
        <v/>
      </c>
      <c r="I1127" s="0" t="str">
        <f aca="false">IF($A1127="","",'Agences &amp; Après-vente'!$I329)</f>
        <v/>
      </c>
      <c r="K1127" s="104" t="n">
        <f aca="false">IF(A1127="",0,IF(IFERROR(VLOOKUP(A1127,Skills!$A:$M,13,FALSE()),"")="COS",0,IF(OR(I1127="En cours",I1127="À venir",I1127="À planifier"),IF(AND(OR($C$3="Tous",$C$3="",C1127=$C$3),OR($E$3="Tous",$E$3="",I1127=$E$3)),1,0),0)))</f>
        <v>0</v>
      </c>
      <c r="L1127" s="104" t="n">
        <f aca="false">L1126+K1127</f>
        <v>17</v>
      </c>
    </row>
    <row r="1128" customFormat="false" ht="15" hidden="true" customHeight="true" outlineLevel="0" collapsed="false">
      <c r="A1128" s="0" t="str">
        <f aca="false">IF('Agences &amp; Après-vente'!$A330="","",'Agences &amp; Après-vente'!$A330)</f>
        <v/>
      </c>
      <c r="B1128" s="0" t="str">
        <f aca="false">IF($A1128="","",'Agences &amp; Après-vente'!$B330)</f>
        <v/>
      </c>
      <c r="C1128" s="0" t="str">
        <f aca="false">IF($A1128="","",'Agences &amp; Après-vente'!$C330)</f>
        <v/>
      </c>
      <c r="D1128" s="0" t="str">
        <f aca="false">IF($A1128="","","Nouvelle compétence")</f>
        <v/>
      </c>
      <c r="E1128" s="0" t="str">
        <f aca="false">IF($A1128="","",'Agences &amp; Après-vente'!$D330)</f>
        <v/>
      </c>
      <c r="F1128" s="116" t="str">
        <f aca="false">IF($A1128="","",'Agences &amp; Après-vente'!$E330)</f>
        <v/>
      </c>
      <c r="G1128" s="116" t="str">
        <f aca="false">IF($A1128="","",'Agences &amp; Après-vente'!$F330)</f>
        <v/>
      </c>
      <c r="H1128" s="0" t="str">
        <f aca="true">IF($A1128="","",IFERROR(MAX(0,NETWORKDAYS(TODAY(),'Agences &amp; Après-vente'!$F330)),""))</f>
        <v/>
      </c>
      <c r="I1128" s="0" t="str">
        <f aca="false">IF($A1128="","",'Agences &amp; Après-vente'!$I330)</f>
        <v/>
      </c>
      <c r="K1128" s="104" t="n">
        <f aca="false">IF(A1128="",0,IF(IFERROR(VLOOKUP(A1128,Skills!$A:$M,13,FALSE()),"")="COS",0,IF(OR(I1128="En cours",I1128="À venir",I1128="À planifier"),IF(AND(OR($C$3="Tous",$C$3="",C1128=$C$3),OR($E$3="Tous",$E$3="",I1128=$E$3)),1,0),0)))</f>
        <v>0</v>
      </c>
      <c r="L1128" s="104" t="n">
        <f aca="false">L1127+K1128</f>
        <v>17</v>
      </c>
    </row>
    <row r="1129" customFormat="false" ht="15" hidden="true" customHeight="true" outlineLevel="0" collapsed="false">
      <c r="A1129" s="0" t="str">
        <f aca="false">IF('Agences &amp; Après-vente'!$A331="","",'Agences &amp; Après-vente'!$A331)</f>
        <v/>
      </c>
      <c r="B1129" s="0" t="str">
        <f aca="false">IF($A1129="","",'Agences &amp; Après-vente'!$B331)</f>
        <v/>
      </c>
      <c r="C1129" s="0" t="str">
        <f aca="false">IF($A1129="","",'Agences &amp; Après-vente'!$C331)</f>
        <v/>
      </c>
      <c r="D1129" s="0" t="str">
        <f aca="false">IF($A1129="","","Nouvelle compétence")</f>
        <v/>
      </c>
      <c r="E1129" s="0" t="str">
        <f aca="false">IF($A1129="","",'Agences &amp; Après-vente'!$D331)</f>
        <v/>
      </c>
      <c r="F1129" s="116" t="str">
        <f aca="false">IF($A1129="","",'Agences &amp; Après-vente'!$E331)</f>
        <v/>
      </c>
      <c r="G1129" s="116" t="str">
        <f aca="false">IF($A1129="","",'Agences &amp; Après-vente'!$F331)</f>
        <v/>
      </c>
      <c r="H1129" s="0" t="str">
        <f aca="true">IF($A1129="","",IFERROR(MAX(0,NETWORKDAYS(TODAY(),'Agences &amp; Après-vente'!$F331)),""))</f>
        <v/>
      </c>
      <c r="I1129" s="0" t="str">
        <f aca="false">IF($A1129="","",'Agences &amp; Après-vente'!$I331)</f>
        <v/>
      </c>
      <c r="K1129" s="104" t="n">
        <f aca="false">IF(A1129="",0,IF(IFERROR(VLOOKUP(A1129,Skills!$A:$M,13,FALSE()),"")="COS",0,IF(OR(I1129="En cours",I1129="À venir",I1129="À planifier"),IF(AND(OR($C$3="Tous",$C$3="",C1129=$C$3),OR($E$3="Tous",$E$3="",I1129=$E$3)),1,0),0)))</f>
        <v>0</v>
      </c>
      <c r="L1129" s="104" t="n">
        <f aca="false">L1128+K1129</f>
        <v>17</v>
      </c>
    </row>
    <row r="1130" customFormat="false" ht="15" hidden="true" customHeight="true" outlineLevel="0" collapsed="false">
      <c r="A1130" s="0" t="str">
        <f aca="false">IF('Agences &amp; Après-vente'!$A332="","",'Agences &amp; Après-vente'!$A332)</f>
        <v/>
      </c>
      <c r="B1130" s="0" t="str">
        <f aca="false">IF($A1130="","",'Agences &amp; Après-vente'!$B332)</f>
        <v/>
      </c>
      <c r="C1130" s="0" t="str">
        <f aca="false">IF($A1130="","",'Agences &amp; Après-vente'!$C332)</f>
        <v/>
      </c>
      <c r="D1130" s="0" t="str">
        <f aca="false">IF($A1130="","","Nouvelle compétence")</f>
        <v/>
      </c>
      <c r="E1130" s="0" t="str">
        <f aca="false">IF($A1130="","",'Agences &amp; Après-vente'!$D332)</f>
        <v/>
      </c>
      <c r="F1130" s="116" t="str">
        <f aca="false">IF($A1130="","",'Agences &amp; Après-vente'!$E332)</f>
        <v/>
      </c>
      <c r="G1130" s="116" t="str">
        <f aca="false">IF($A1130="","",'Agences &amp; Après-vente'!$F332)</f>
        <v/>
      </c>
      <c r="H1130" s="0" t="str">
        <f aca="true">IF($A1130="","",IFERROR(MAX(0,NETWORKDAYS(TODAY(),'Agences &amp; Après-vente'!$F332)),""))</f>
        <v/>
      </c>
      <c r="I1130" s="0" t="str">
        <f aca="false">IF($A1130="","",'Agences &amp; Après-vente'!$I332)</f>
        <v/>
      </c>
      <c r="K1130" s="104" t="n">
        <f aca="false">IF(A1130="",0,IF(IFERROR(VLOOKUP(A1130,Skills!$A:$M,13,FALSE()),"")="COS",0,IF(OR(I1130="En cours",I1130="À venir",I1130="À planifier"),IF(AND(OR($C$3="Tous",$C$3="",C1130=$C$3),OR($E$3="Tous",$E$3="",I1130=$E$3)),1,0),0)))</f>
        <v>0</v>
      </c>
      <c r="L1130" s="104" t="n">
        <f aca="false">L1129+K1130</f>
        <v>17</v>
      </c>
    </row>
    <row r="1131" customFormat="false" ht="15" hidden="true" customHeight="true" outlineLevel="0" collapsed="false">
      <c r="A1131" s="0" t="str">
        <f aca="false">IF('Agences &amp; Après-vente'!$A333="","",'Agences &amp; Après-vente'!$A333)</f>
        <v/>
      </c>
      <c r="B1131" s="0" t="str">
        <f aca="false">IF($A1131="","",'Agences &amp; Après-vente'!$B333)</f>
        <v/>
      </c>
      <c r="C1131" s="0" t="str">
        <f aca="false">IF($A1131="","",'Agences &amp; Après-vente'!$C333)</f>
        <v/>
      </c>
      <c r="D1131" s="0" t="str">
        <f aca="false">IF($A1131="","","Nouvelle compétence")</f>
        <v/>
      </c>
      <c r="E1131" s="0" t="str">
        <f aca="false">IF($A1131="","",'Agences &amp; Après-vente'!$D333)</f>
        <v/>
      </c>
      <c r="F1131" s="116" t="str">
        <f aca="false">IF($A1131="","",'Agences &amp; Après-vente'!$E333)</f>
        <v/>
      </c>
      <c r="G1131" s="116" t="str">
        <f aca="false">IF($A1131="","",'Agences &amp; Après-vente'!$F333)</f>
        <v/>
      </c>
      <c r="H1131" s="0" t="str">
        <f aca="true">IF($A1131="","",IFERROR(MAX(0,NETWORKDAYS(TODAY(),'Agences &amp; Après-vente'!$F333)),""))</f>
        <v/>
      </c>
      <c r="I1131" s="0" t="str">
        <f aca="false">IF($A1131="","",'Agences &amp; Après-vente'!$I333)</f>
        <v/>
      </c>
      <c r="K1131" s="104" t="n">
        <f aca="false">IF(A1131="",0,IF(IFERROR(VLOOKUP(A1131,Skills!$A:$M,13,FALSE()),"")="COS",0,IF(OR(I1131="En cours",I1131="À venir",I1131="À planifier"),IF(AND(OR($C$3="Tous",$C$3="",C1131=$C$3),OR($E$3="Tous",$E$3="",I1131=$E$3)),1,0),0)))</f>
        <v>0</v>
      </c>
      <c r="L1131" s="104" t="n">
        <f aca="false">L1130+K1131</f>
        <v>17</v>
      </c>
    </row>
    <row r="1132" customFormat="false" ht="15" hidden="true" customHeight="true" outlineLevel="0" collapsed="false">
      <c r="A1132" s="0" t="str">
        <f aca="false">IF('Agences &amp; Après-vente'!$A334="","",'Agences &amp; Après-vente'!$A334)</f>
        <v/>
      </c>
      <c r="B1132" s="0" t="str">
        <f aca="false">IF($A1132="","",'Agences &amp; Après-vente'!$B334)</f>
        <v/>
      </c>
      <c r="C1132" s="0" t="str">
        <f aca="false">IF($A1132="","",'Agences &amp; Après-vente'!$C334)</f>
        <v/>
      </c>
      <c r="D1132" s="0" t="str">
        <f aca="false">IF($A1132="","","Nouvelle compétence")</f>
        <v/>
      </c>
      <c r="E1132" s="0" t="str">
        <f aca="false">IF($A1132="","",'Agences &amp; Après-vente'!$D334)</f>
        <v/>
      </c>
      <c r="F1132" s="116" t="str">
        <f aca="false">IF($A1132="","",'Agences &amp; Après-vente'!$E334)</f>
        <v/>
      </c>
      <c r="G1132" s="116" t="str">
        <f aca="false">IF($A1132="","",'Agences &amp; Après-vente'!$F334)</f>
        <v/>
      </c>
      <c r="H1132" s="0" t="str">
        <f aca="true">IF($A1132="","",IFERROR(MAX(0,NETWORKDAYS(TODAY(),'Agences &amp; Après-vente'!$F334)),""))</f>
        <v/>
      </c>
      <c r="I1132" s="0" t="str">
        <f aca="false">IF($A1132="","",'Agences &amp; Après-vente'!$I334)</f>
        <v/>
      </c>
      <c r="K1132" s="104" t="n">
        <f aca="false">IF(A1132="",0,IF(IFERROR(VLOOKUP(A1132,Skills!$A:$M,13,FALSE()),"")="COS",0,IF(OR(I1132="En cours",I1132="À venir",I1132="À planifier"),IF(AND(OR($C$3="Tous",$C$3="",C1132=$C$3),OR($E$3="Tous",$E$3="",I1132=$E$3)),1,0),0)))</f>
        <v>0</v>
      </c>
      <c r="L1132" s="104" t="n">
        <f aca="false">L1131+K1132</f>
        <v>17</v>
      </c>
    </row>
    <row r="1133" customFormat="false" ht="15" hidden="true" customHeight="true" outlineLevel="0" collapsed="false">
      <c r="A1133" s="0" t="str">
        <f aca="false">IF('Agences &amp; Après-vente'!$A335="","",'Agences &amp; Après-vente'!$A335)</f>
        <v/>
      </c>
      <c r="B1133" s="0" t="str">
        <f aca="false">IF($A1133="","",'Agences &amp; Après-vente'!$B335)</f>
        <v/>
      </c>
      <c r="C1133" s="0" t="str">
        <f aca="false">IF($A1133="","",'Agences &amp; Après-vente'!$C335)</f>
        <v/>
      </c>
      <c r="D1133" s="0" t="str">
        <f aca="false">IF($A1133="","","Nouvelle compétence")</f>
        <v/>
      </c>
      <c r="E1133" s="0" t="str">
        <f aca="false">IF($A1133="","",'Agences &amp; Après-vente'!$D335)</f>
        <v/>
      </c>
      <c r="F1133" s="116" t="str">
        <f aca="false">IF($A1133="","",'Agences &amp; Après-vente'!$E335)</f>
        <v/>
      </c>
      <c r="G1133" s="116" t="str">
        <f aca="false">IF($A1133="","",'Agences &amp; Après-vente'!$F335)</f>
        <v/>
      </c>
      <c r="H1133" s="0" t="str">
        <f aca="true">IF($A1133="","",IFERROR(MAX(0,NETWORKDAYS(TODAY(),'Agences &amp; Après-vente'!$F335)),""))</f>
        <v/>
      </c>
      <c r="I1133" s="0" t="str">
        <f aca="false">IF($A1133="","",'Agences &amp; Après-vente'!$I335)</f>
        <v/>
      </c>
      <c r="K1133" s="104" t="n">
        <f aca="false">IF(A1133="",0,IF(IFERROR(VLOOKUP(A1133,Skills!$A:$M,13,FALSE()),"")="COS",0,IF(OR(I1133="En cours",I1133="À venir",I1133="À planifier"),IF(AND(OR($C$3="Tous",$C$3="",C1133=$C$3),OR($E$3="Tous",$E$3="",I1133=$E$3)),1,0),0)))</f>
        <v>0</v>
      </c>
      <c r="L1133" s="104" t="n">
        <f aca="false">L1132+K1133</f>
        <v>17</v>
      </c>
    </row>
    <row r="1134" customFormat="false" ht="15" hidden="true" customHeight="true" outlineLevel="0" collapsed="false">
      <c r="A1134" s="0" t="str">
        <f aca="false">IF('Agences &amp; Après-vente'!$A336="","",'Agences &amp; Après-vente'!$A336)</f>
        <v/>
      </c>
      <c r="B1134" s="0" t="str">
        <f aca="false">IF($A1134="","",'Agences &amp; Après-vente'!$B336)</f>
        <v/>
      </c>
      <c r="C1134" s="0" t="str">
        <f aca="false">IF($A1134="","",'Agences &amp; Après-vente'!$C336)</f>
        <v/>
      </c>
      <c r="D1134" s="0" t="str">
        <f aca="false">IF($A1134="","","Nouvelle compétence")</f>
        <v/>
      </c>
      <c r="E1134" s="0" t="str">
        <f aca="false">IF($A1134="","",'Agences &amp; Après-vente'!$D336)</f>
        <v/>
      </c>
      <c r="F1134" s="116" t="str">
        <f aca="false">IF($A1134="","",'Agences &amp; Après-vente'!$E336)</f>
        <v/>
      </c>
      <c r="G1134" s="116" t="str">
        <f aca="false">IF($A1134="","",'Agences &amp; Après-vente'!$F336)</f>
        <v/>
      </c>
      <c r="H1134" s="0" t="str">
        <f aca="true">IF($A1134="","",IFERROR(MAX(0,NETWORKDAYS(TODAY(),'Agences &amp; Après-vente'!$F336)),""))</f>
        <v/>
      </c>
      <c r="I1134" s="0" t="str">
        <f aca="false">IF($A1134="","",'Agences &amp; Après-vente'!$I336)</f>
        <v/>
      </c>
      <c r="K1134" s="104" t="n">
        <f aca="false">IF(A1134="",0,IF(IFERROR(VLOOKUP(A1134,Skills!$A:$M,13,FALSE()),"")="COS",0,IF(OR(I1134="En cours",I1134="À venir",I1134="À planifier"),IF(AND(OR($C$3="Tous",$C$3="",C1134=$C$3),OR($E$3="Tous",$E$3="",I1134=$E$3)),1,0),0)))</f>
        <v>0</v>
      </c>
      <c r="L1134" s="104" t="n">
        <f aca="false">L1133+K1134</f>
        <v>17</v>
      </c>
    </row>
    <row r="1135" customFormat="false" ht="15" hidden="true" customHeight="true" outlineLevel="0" collapsed="false">
      <c r="A1135" s="0" t="str">
        <f aca="false">IF('Agences &amp; Après-vente'!$A337="","",'Agences &amp; Après-vente'!$A337)</f>
        <v/>
      </c>
      <c r="B1135" s="0" t="str">
        <f aca="false">IF($A1135="","",'Agences &amp; Après-vente'!$B337)</f>
        <v/>
      </c>
      <c r="C1135" s="0" t="str">
        <f aca="false">IF($A1135="","",'Agences &amp; Après-vente'!$C337)</f>
        <v/>
      </c>
      <c r="D1135" s="0" t="str">
        <f aca="false">IF($A1135="","","Nouvelle compétence")</f>
        <v/>
      </c>
      <c r="E1135" s="0" t="str">
        <f aca="false">IF($A1135="","",'Agences &amp; Après-vente'!$D337)</f>
        <v/>
      </c>
      <c r="F1135" s="116" t="str">
        <f aca="false">IF($A1135="","",'Agences &amp; Après-vente'!$E337)</f>
        <v/>
      </c>
      <c r="G1135" s="116" t="str">
        <f aca="false">IF($A1135="","",'Agences &amp; Après-vente'!$F337)</f>
        <v/>
      </c>
      <c r="H1135" s="0" t="str">
        <f aca="true">IF($A1135="","",IFERROR(MAX(0,NETWORKDAYS(TODAY(),'Agences &amp; Après-vente'!$F337)),""))</f>
        <v/>
      </c>
      <c r="I1135" s="0" t="str">
        <f aca="false">IF($A1135="","",'Agences &amp; Après-vente'!$I337)</f>
        <v/>
      </c>
      <c r="K1135" s="104" t="n">
        <f aca="false">IF(A1135="",0,IF(IFERROR(VLOOKUP(A1135,Skills!$A:$M,13,FALSE()),"")="COS",0,IF(OR(I1135="En cours",I1135="À venir",I1135="À planifier"),IF(AND(OR($C$3="Tous",$C$3="",C1135=$C$3),OR($E$3="Tous",$E$3="",I1135=$E$3)),1,0),0)))</f>
        <v>0</v>
      </c>
      <c r="L1135" s="104" t="n">
        <f aca="false">L1134+K1135</f>
        <v>17</v>
      </c>
    </row>
    <row r="1136" customFormat="false" ht="15" hidden="true" customHeight="true" outlineLevel="0" collapsed="false">
      <c r="A1136" s="0" t="str">
        <f aca="false">IF('Agences &amp; Après-vente'!$A338="","",'Agences &amp; Après-vente'!$A338)</f>
        <v/>
      </c>
      <c r="B1136" s="0" t="str">
        <f aca="false">IF($A1136="","",'Agences &amp; Après-vente'!$B338)</f>
        <v/>
      </c>
      <c r="C1136" s="0" t="str">
        <f aca="false">IF($A1136="","",'Agences &amp; Après-vente'!$C338)</f>
        <v/>
      </c>
      <c r="D1136" s="0" t="str">
        <f aca="false">IF($A1136="","","Nouvelle compétence")</f>
        <v/>
      </c>
      <c r="E1136" s="0" t="str">
        <f aca="false">IF($A1136="","",'Agences &amp; Après-vente'!$D338)</f>
        <v/>
      </c>
      <c r="F1136" s="116" t="str">
        <f aca="false">IF($A1136="","",'Agences &amp; Après-vente'!$E338)</f>
        <v/>
      </c>
      <c r="G1136" s="116" t="str">
        <f aca="false">IF($A1136="","",'Agences &amp; Après-vente'!$F338)</f>
        <v/>
      </c>
      <c r="H1136" s="0" t="str">
        <f aca="true">IF($A1136="","",IFERROR(MAX(0,NETWORKDAYS(TODAY(),'Agences &amp; Après-vente'!$F338)),""))</f>
        <v/>
      </c>
      <c r="I1136" s="0" t="str">
        <f aca="false">IF($A1136="","",'Agences &amp; Après-vente'!$I338)</f>
        <v/>
      </c>
      <c r="K1136" s="104" t="n">
        <f aca="false">IF(A1136="",0,IF(IFERROR(VLOOKUP(A1136,Skills!$A:$M,13,FALSE()),"")="COS",0,IF(OR(I1136="En cours",I1136="À venir",I1136="À planifier"),IF(AND(OR($C$3="Tous",$C$3="",C1136=$C$3),OR($E$3="Tous",$E$3="",I1136=$E$3)),1,0),0)))</f>
        <v>0</v>
      </c>
      <c r="L1136" s="104" t="n">
        <f aca="false">L1135+K1136</f>
        <v>17</v>
      </c>
    </row>
    <row r="1137" customFormat="false" ht="15" hidden="true" customHeight="true" outlineLevel="0" collapsed="false">
      <c r="A1137" s="0" t="str">
        <f aca="false">IF('Agences &amp; Après-vente'!$A339="","",'Agences &amp; Après-vente'!$A339)</f>
        <v/>
      </c>
      <c r="B1137" s="0" t="str">
        <f aca="false">IF($A1137="","",'Agences &amp; Après-vente'!$B339)</f>
        <v/>
      </c>
      <c r="C1137" s="0" t="str">
        <f aca="false">IF($A1137="","",'Agences &amp; Après-vente'!$C339)</f>
        <v/>
      </c>
      <c r="D1137" s="0" t="str">
        <f aca="false">IF($A1137="","","Nouvelle compétence")</f>
        <v/>
      </c>
      <c r="E1137" s="0" t="str">
        <f aca="false">IF($A1137="","",'Agences &amp; Après-vente'!$D339)</f>
        <v/>
      </c>
      <c r="F1137" s="116" t="str">
        <f aca="false">IF($A1137="","",'Agences &amp; Après-vente'!$E339)</f>
        <v/>
      </c>
      <c r="G1137" s="116" t="str">
        <f aca="false">IF($A1137="","",'Agences &amp; Après-vente'!$F339)</f>
        <v/>
      </c>
      <c r="H1137" s="0" t="str">
        <f aca="true">IF($A1137="","",IFERROR(MAX(0,NETWORKDAYS(TODAY(),'Agences &amp; Après-vente'!$F339)),""))</f>
        <v/>
      </c>
      <c r="I1137" s="0" t="str">
        <f aca="false">IF($A1137="","",'Agences &amp; Après-vente'!$I339)</f>
        <v/>
      </c>
      <c r="K1137" s="104" t="n">
        <f aca="false">IF(A1137="",0,IF(IFERROR(VLOOKUP(A1137,Skills!$A:$M,13,FALSE()),"")="COS",0,IF(OR(I1137="En cours",I1137="À venir",I1137="À planifier"),IF(AND(OR($C$3="Tous",$C$3="",C1137=$C$3),OR($E$3="Tous",$E$3="",I1137=$E$3)),1,0),0)))</f>
        <v>0</v>
      </c>
      <c r="L1137" s="104" t="n">
        <f aca="false">L1136+K1137</f>
        <v>17</v>
      </c>
    </row>
    <row r="1138" customFormat="false" ht="15" hidden="true" customHeight="true" outlineLevel="0" collapsed="false">
      <c r="A1138" s="0" t="str">
        <f aca="false">IF('Agences &amp; Après-vente'!$A340="","",'Agences &amp; Après-vente'!$A340)</f>
        <v/>
      </c>
      <c r="B1138" s="0" t="str">
        <f aca="false">IF($A1138="","",'Agences &amp; Après-vente'!$B340)</f>
        <v/>
      </c>
      <c r="C1138" s="0" t="str">
        <f aca="false">IF($A1138="","",'Agences &amp; Après-vente'!$C340)</f>
        <v/>
      </c>
      <c r="D1138" s="0" t="str">
        <f aca="false">IF($A1138="","","Nouvelle compétence")</f>
        <v/>
      </c>
      <c r="E1138" s="0" t="str">
        <f aca="false">IF($A1138="","",'Agences &amp; Après-vente'!$D340)</f>
        <v/>
      </c>
      <c r="F1138" s="116" t="str">
        <f aca="false">IF($A1138="","",'Agences &amp; Après-vente'!$E340)</f>
        <v/>
      </c>
      <c r="G1138" s="116" t="str">
        <f aca="false">IF($A1138="","",'Agences &amp; Après-vente'!$F340)</f>
        <v/>
      </c>
      <c r="H1138" s="0" t="str">
        <f aca="true">IF($A1138="","",IFERROR(MAX(0,NETWORKDAYS(TODAY(),'Agences &amp; Après-vente'!$F340)),""))</f>
        <v/>
      </c>
      <c r="I1138" s="0" t="str">
        <f aca="false">IF($A1138="","",'Agences &amp; Après-vente'!$I340)</f>
        <v/>
      </c>
      <c r="K1138" s="104" t="n">
        <f aca="false">IF(A1138="",0,IF(IFERROR(VLOOKUP(A1138,Skills!$A:$M,13,FALSE()),"")="COS",0,IF(OR(I1138="En cours",I1138="À venir",I1138="À planifier"),IF(AND(OR($C$3="Tous",$C$3="",C1138=$C$3),OR($E$3="Tous",$E$3="",I1138=$E$3)),1,0),0)))</f>
        <v>0</v>
      </c>
      <c r="L1138" s="104" t="n">
        <f aca="false">L1137+K1138</f>
        <v>17</v>
      </c>
    </row>
    <row r="1139" customFormat="false" ht="15" hidden="true" customHeight="true" outlineLevel="0" collapsed="false">
      <c r="A1139" s="0" t="str">
        <f aca="false">IF('Agences &amp; Après-vente'!$A341="","",'Agences &amp; Après-vente'!$A341)</f>
        <v/>
      </c>
      <c r="B1139" s="0" t="str">
        <f aca="false">IF($A1139="","",'Agences &amp; Après-vente'!$B341)</f>
        <v/>
      </c>
      <c r="C1139" s="0" t="str">
        <f aca="false">IF($A1139="","",'Agences &amp; Après-vente'!$C341)</f>
        <v/>
      </c>
      <c r="D1139" s="0" t="str">
        <f aca="false">IF($A1139="","","Nouvelle compétence")</f>
        <v/>
      </c>
      <c r="E1139" s="0" t="str">
        <f aca="false">IF($A1139="","",'Agences &amp; Après-vente'!$D341)</f>
        <v/>
      </c>
      <c r="F1139" s="116" t="str">
        <f aca="false">IF($A1139="","",'Agences &amp; Après-vente'!$E341)</f>
        <v/>
      </c>
      <c r="G1139" s="116" t="str">
        <f aca="false">IF($A1139="","",'Agences &amp; Après-vente'!$F341)</f>
        <v/>
      </c>
      <c r="H1139" s="0" t="str">
        <f aca="true">IF($A1139="","",IFERROR(MAX(0,NETWORKDAYS(TODAY(),'Agences &amp; Après-vente'!$F341)),""))</f>
        <v/>
      </c>
      <c r="I1139" s="0" t="str">
        <f aca="false">IF($A1139="","",'Agences &amp; Après-vente'!$I341)</f>
        <v/>
      </c>
      <c r="K1139" s="104" t="n">
        <f aca="false">IF(A1139="",0,IF(IFERROR(VLOOKUP(A1139,Skills!$A:$M,13,FALSE()),"")="COS",0,IF(OR(I1139="En cours",I1139="À venir",I1139="À planifier"),IF(AND(OR($C$3="Tous",$C$3="",C1139=$C$3),OR($E$3="Tous",$E$3="",I1139=$E$3)),1,0),0)))</f>
        <v>0</v>
      </c>
      <c r="L1139" s="104" t="n">
        <f aca="false">L1138+K1139</f>
        <v>17</v>
      </c>
    </row>
    <row r="1140" customFormat="false" ht="15" hidden="true" customHeight="true" outlineLevel="0" collapsed="false">
      <c r="A1140" s="0" t="str">
        <f aca="false">IF('Agences &amp; Après-vente'!$A342="","",'Agences &amp; Après-vente'!$A342)</f>
        <v/>
      </c>
      <c r="B1140" s="0" t="str">
        <f aca="false">IF($A1140="","",'Agences &amp; Après-vente'!$B342)</f>
        <v/>
      </c>
      <c r="C1140" s="0" t="str">
        <f aca="false">IF($A1140="","",'Agences &amp; Après-vente'!$C342)</f>
        <v/>
      </c>
      <c r="D1140" s="0" t="str">
        <f aca="false">IF($A1140="","","Nouvelle compétence")</f>
        <v/>
      </c>
      <c r="E1140" s="0" t="str">
        <f aca="false">IF($A1140="","",'Agences &amp; Après-vente'!$D342)</f>
        <v/>
      </c>
      <c r="F1140" s="116" t="str">
        <f aca="false">IF($A1140="","",'Agences &amp; Après-vente'!$E342)</f>
        <v/>
      </c>
      <c r="G1140" s="116" t="str">
        <f aca="false">IF($A1140="","",'Agences &amp; Après-vente'!$F342)</f>
        <v/>
      </c>
      <c r="H1140" s="0" t="str">
        <f aca="true">IF($A1140="","",IFERROR(MAX(0,NETWORKDAYS(TODAY(),'Agences &amp; Après-vente'!$F342)),""))</f>
        <v/>
      </c>
      <c r="I1140" s="0" t="str">
        <f aca="false">IF($A1140="","",'Agences &amp; Après-vente'!$I342)</f>
        <v/>
      </c>
      <c r="K1140" s="104" t="n">
        <f aca="false">IF(A1140="",0,IF(IFERROR(VLOOKUP(A1140,Skills!$A:$M,13,FALSE()),"")="COS",0,IF(OR(I1140="En cours",I1140="À venir",I1140="À planifier"),IF(AND(OR($C$3="Tous",$C$3="",C1140=$C$3),OR($E$3="Tous",$E$3="",I1140=$E$3)),1,0),0)))</f>
        <v>0</v>
      </c>
      <c r="L1140" s="104" t="n">
        <f aca="false">L1139+K1140</f>
        <v>17</v>
      </c>
    </row>
    <row r="1141" customFormat="false" ht="15" hidden="true" customHeight="true" outlineLevel="0" collapsed="false">
      <c r="A1141" s="0" t="str">
        <f aca="false">IF('Agences &amp; Après-vente'!$A343="","",'Agences &amp; Après-vente'!$A343)</f>
        <v/>
      </c>
      <c r="B1141" s="0" t="str">
        <f aca="false">IF($A1141="","",'Agences &amp; Après-vente'!$B343)</f>
        <v/>
      </c>
      <c r="C1141" s="0" t="str">
        <f aca="false">IF($A1141="","",'Agences &amp; Après-vente'!$C343)</f>
        <v/>
      </c>
      <c r="D1141" s="0" t="str">
        <f aca="false">IF($A1141="","","Nouvelle compétence")</f>
        <v/>
      </c>
      <c r="E1141" s="0" t="str">
        <f aca="false">IF($A1141="","",'Agences &amp; Après-vente'!$D343)</f>
        <v/>
      </c>
      <c r="F1141" s="116" t="str">
        <f aca="false">IF($A1141="","",'Agences &amp; Après-vente'!$E343)</f>
        <v/>
      </c>
      <c r="G1141" s="116" t="str">
        <f aca="false">IF($A1141="","",'Agences &amp; Après-vente'!$F343)</f>
        <v/>
      </c>
      <c r="H1141" s="0" t="str">
        <f aca="true">IF($A1141="","",IFERROR(MAX(0,NETWORKDAYS(TODAY(),'Agences &amp; Après-vente'!$F343)),""))</f>
        <v/>
      </c>
      <c r="I1141" s="0" t="str">
        <f aca="false">IF($A1141="","",'Agences &amp; Après-vente'!$I343)</f>
        <v/>
      </c>
      <c r="K1141" s="104" t="n">
        <f aca="false">IF(A1141="",0,IF(IFERROR(VLOOKUP(A1141,Skills!$A:$M,13,FALSE()),"")="COS",0,IF(OR(I1141="En cours",I1141="À venir",I1141="À planifier"),IF(AND(OR($C$3="Tous",$C$3="",C1141=$C$3),OR($E$3="Tous",$E$3="",I1141=$E$3)),1,0),0)))</f>
        <v>0</v>
      </c>
      <c r="L1141" s="104" t="n">
        <f aca="false">L1140+K1141</f>
        <v>17</v>
      </c>
    </row>
    <row r="1142" customFormat="false" ht="15" hidden="true" customHeight="true" outlineLevel="0" collapsed="false">
      <c r="A1142" s="0" t="str">
        <f aca="false">IF('Agences &amp; Après-vente'!$A344="","",'Agences &amp; Après-vente'!$A344)</f>
        <v/>
      </c>
      <c r="B1142" s="0" t="str">
        <f aca="false">IF($A1142="","",'Agences &amp; Après-vente'!$B344)</f>
        <v/>
      </c>
      <c r="C1142" s="0" t="str">
        <f aca="false">IF($A1142="","",'Agences &amp; Après-vente'!$C344)</f>
        <v/>
      </c>
      <c r="D1142" s="0" t="str">
        <f aca="false">IF($A1142="","","Nouvelle compétence")</f>
        <v/>
      </c>
      <c r="E1142" s="0" t="str">
        <f aca="false">IF($A1142="","",'Agences &amp; Après-vente'!$D344)</f>
        <v/>
      </c>
      <c r="F1142" s="116" t="str">
        <f aca="false">IF($A1142="","",'Agences &amp; Après-vente'!$E344)</f>
        <v/>
      </c>
      <c r="G1142" s="116" t="str">
        <f aca="false">IF($A1142="","",'Agences &amp; Après-vente'!$F344)</f>
        <v/>
      </c>
      <c r="H1142" s="0" t="str">
        <f aca="true">IF($A1142="","",IFERROR(MAX(0,NETWORKDAYS(TODAY(),'Agences &amp; Après-vente'!$F344)),""))</f>
        <v/>
      </c>
      <c r="I1142" s="0" t="str">
        <f aca="false">IF($A1142="","",'Agences &amp; Après-vente'!$I344)</f>
        <v/>
      </c>
      <c r="K1142" s="104" t="n">
        <f aca="false">IF(A1142="",0,IF(IFERROR(VLOOKUP(A1142,Skills!$A:$M,13,FALSE()),"")="COS",0,IF(OR(I1142="En cours",I1142="À venir",I1142="À planifier"),IF(AND(OR($C$3="Tous",$C$3="",C1142=$C$3),OR($E$3="Tous",$E$3="",I1142=$E$3)),1,0),0)))</f>
        <v>0</v>
      </c>
      <c r="L1142" s="104" t="n">
        <f aca="false">L1141+K1142</f>
        <v>17</v>
      </c>
    </row>
    <row r="1143" customFormat="false" ht="15" hidden="true" customHeight="true" outlineLevel="0" collapsed="false">
      <c r="A1143" s="0" t="str">
        <f aca="false">IF('Agences &amp; Après-vente'!$A345="","",'Agences &amp; Après-vente'!$A345)</f>
        <v/>
      </c>
      <c r="B1143" s="0" t="str">
        <f aca="false">IF($A1143="","",'Agences &amp; Après-vente'!$B345)</f>
        <v/>
      </c>
      <c r="C1143" s="0" t="str">
        <f aca="false">IF($A1143="","",'Agences &amp; Après-vente'!$C345)</f>
        <v/>
      </c>
      <c r="D1143" s="0" t="str">
        <f aca="false">IF($A1143="","","Nouvelle compétence")</f>
        <v/>
      </c>
      <c r="E1143" s="0" t="str">
        <f aca="false">IF($A1143="","",'Agences &amp; Après-vente'!$D345)</f>
        <v/>
      </c>
      <c r="F1143" s="116" t="str">
        <f aca="false">IF($A1143="","",'Agences &amp; Après-vente'!$E345)</f>
        <v/>
      </c>
      <c r="G1143" s="116" t="str">
        <f aca="false">IF($A1143="","",'Agences &amp; Après-vente'!$F345)</f>
        <v/>
      </c>
      <c r="H1143" s="0" t="str">
        <f aca="true">IF($A1143="","",IFERROR(MAX(0,NETWORKDAYS(TODAY(),'Agences &amp; Après-vente'!$F345)),""))</f>
        <v/>
      </c>
      <c r="I1143" s="0" t="str">
        <f aca="false">IF($A1143="","",'Agences &amp; Après-vente'!$I345)</f>
        <v/>
      </c>
      <c r="K1143" s="104" t="n">
        <f aca="false">IF(A1143="",0,IF(IFERROR(VLOOKUP(A1143,Skills!$A:$M,13,FALSE()),"")="COS",0,IF(OR(I1143="En cours",I1143="À venir",I1143="À planifier"),IF(AND(OR($C$3="Tous",$C$3="",C1143=$C$3),OR($E$3="Tous",$E$3="",I1143=$E$3)),1,0),0)))</f>
        <v>0</v>
      </c>
      <c r="L1143" s="104" t="n">
        <f aca="false">L1142+K1143</f>
        <v>17</v>
      </c>
    </row>
    <row r="1144" customFormat="false" ht="15" hidden="true" customHeight="true" outlineLevel="0" collapsed="false">
      <c r="A1144" s="0" t="str">
        <f aca="false">IF('Agences &amp; Après-vente'!$A346="","",'Agences &amp; Après-vente'!$A346)</f>
        <v/>
      </c>
      <c r="B1144" s="0" t="str">
        <f aca="false">IF($A1144="","",'Agences &amp; Après-vente'!$B346)</f>
        <v/>
      </c>
      <c r="C1144" s="0" t="str">
        <f aca="false">IF($A1144="","",'Agences &amp; Après-vente'!$C346)</f>
        <v/>
      </c>
      <c r="D1144" s="0" t="str">
        <f aca="false">IF($A1144="","","Nouvelle compétence")</f>
        <v/>
      </c>
      <c r="E1144" s="0" t="str">
        <f aca="false">IF($A1144="","",'Agences &amp; Après-vente'!$D346)</f>
        <v/>
      </c>
      <c r="F1144" s="116" t="str">
        <f aca="false">IF($A1144="","",'Agences &amp; Après-vente'!$E346)</f>
        <v/>
      </c>
      <c r="G1144" s="116" t="str">
        <f aca="false">IF($A1144="","",'Agences &amp; Après-vente'!$F346)</f>
        <v/>
      </c>
      <c r="H1144" s="0" t="str">
        <f aca="true">IF($A1144="","",IFERROR(MAX(0,NETWORKDAYS(TODAY(),'Agences &amp; Après-vente'!$F346)),""))</f>
        <v/>
      </c>
      <c r="I1144" s="0" t="str">
        <f aca="false">IF($A1144="","",'Agences &amp; Après-vente'!$I346)</f>
        <v/>
      </c>
      <c r="K1144" s="104" t="n">
        <f aca="false">IF(A1144="",0,IF(IFERROR(VLOOKUP(A1144,Skills!$A:$M,13,FALSE()),"")="COS",0,IF(OR(I1144="En cours",I1144="À venir",I1144="À planifier"),IF(AND(OR($C$3="Tous",$C$3="",C1144=$C$3),OR($E$3="Tous",$E$3="",I1144=$E$3)),1,0),0)))</f>
        <v>0</v>
      </c>
      <c r="L1144" s="104" t="n">
        <f aca="false">L1143+K1144</f>
        <v>17</v>
      </c>
    </row>
    <row r="1145" customFormat="false" ht="15" hidden="true" customHeight="true" outlineLevel="0" collapsed="false">
      <c r="A1145" s="0" t="str">
        <f aca="false">IF('Agences &amp; Après-vente'!$A347="","",'Agences &amp; Après-vente'!$A347)</f>
        <v/>
      </c>
      <c r="B1145" s="0" t="str">
        <f aca="false">IF($A1145="","",'Agences &amp; Après-vente'!$B347)</f>
        <v/>
      </c>
      <c r="C1145" s="0" t="str">
        <f aca="false">IF($A1145="","",'Agences &amp; Après-vente'!$C347)</f>
        <v/>
      </c>
      <c r="D1145" s="0" t="str">
        <f aca="false">IF($A1145="","","Nouvelle compétence")</f>
        <v/>
      </c>
      <c r="E1145" s="0" t="str">
        <f aca="false">IF($A1145="","",'Agences &amp; Après-vente'!$D347)</f>
        <v/>
      </c>
      <c r="F1145" s="116" t="str">
        <f aca="false">IF($A1145="","",'Agences &amp; Après-vente'!$E347)</f>
        <v/>
      </c>
      <c r="G1145" s="116" t="str">
        <f aca="false">IF($A1145="","",'Agences &amp; Après-vente'!$F347)</f>
        <v/>
      </c>
      <c r="H1145" s="0" t="str">
        <f aca="true">IF($A1145="","",IFERROR(MAX(0,NETWORKDAYS(TODAY(),'Agences &amp; Après-vente'!$F347)),""))</f>
        <v/>
      </c>
      <c r="I1145" s="0" t="str">
        <f aca="false">IF($A1145="","",'Agences &amp; Après-vente'!$I347)</f>
        <v/>
      </c>
      <c r="K1145" s="104" t="n">
        <f aca="false">IF(A1145="",0,IF(IFERROR(VLOOKUP(A1145,Skills!$A:$M,13,FALSE()),"")="COS",0,IF(OR(I1145="En cours",I1145="À venir",I1145="À planifier"),IF(AND(OR($C$3="Tous",$C$3="",C1145=$C$3),OR($E$3="Tous",$E$3="",I1145=$E$3)),1,0),0)))</f>
        <v>0</v>
      </c>
      <c r="L1145" s="104" t="n">
        <f aca="false">L1144+K1145</f>
        <v>17</v>
      </c>
    </row>
    <row r="1146" customFormat="false" ht="15" hidden="true" customHeight="true" outlineLevel="0" collapsed="false">
      <c r="A1146" s="0" t="str">
        <f aca="false">IF('Agences &amp; Après-vente'!$A348="","",'Agences &amp; Après-vente'!$A348)</f>
        <v/>
      </c>
      <c r="B1146" s="0" t="str">
        <f aca="false">IF($A1146="","",'Agences &amp; Après-vente'!$B348)</f>
        <v/>
      </c>
      <c r="C1146" s="0" t="str">
        <f aca="false">IF($A1146="","",'Agences &amp; Après-vente'!$C348)</f>
        <v/>
      </c>
      <c r="D1146" s="0" t="str">
        <f aca="false">IF($A1146="","","Nouvelle compétence")</f>
        <v/>
      </c>
      <c r="E1146" s="0" t="str">
        <f aca="false">IF($A1146="","",'Agences &amp; Après-vente'!$D348)</f>
        <v/>
      </c>
      <c r="F1146" s="116" t="str">
        <f aca="false">IF($A1146="","",'Agences &amp; Après-vente'!$E348)</f>
        <v/>
      </c>
      <c r="G1146" s="116" t="str">
        <f aca="false">IF($A1146="","",'Agences &amp; Après-vente'!$F348)</f>
        <v/>
      </c>
      <c r="H1146" s="0" t="str">
        <f aca="true">IF($A1146="","",IFERROR(MAX(0,NETWORKDAYS(TODAY(),'Agences &amp; Après-vente'!$F348)),""))</f>
        <v/>
      </c>
      <c r="I1146" s="0" t="str">
        <f aca="false">IF($A1146="","",'Agences &amp; Après-vente'!$I348)</f>
        <v/>
      </c>
      <c r="K1146" s="104" t="n">
        <f aca="false">IF(A1146="",0,IF(IFERROR(VLOOKUP(A1146,Skills!$A:$M,13,FALSE()),"")="COS",0,IF(OR(I1146="En cours",I1146="À venir",I1146="À planifier"),IF(AND(OR($C$3="Tous",$C$3="",C1146=$C$3),OR($E$3="Tous",$E$3="",I1146=$E$3)),1,0),0)))</f>
        <v>0</v>
      </c>
      <c r="L1146" s="104" t="n">
        <f aca="false">L1145+K1146</f>
        <v>17</v>
      </c>
    </row>
    <row r="1147" customFormat="false" ht="15" hidden="true" customHeight="true" outlineLevel="0" collapsed="false">
      <c r="A1147" s="0" t="str">
        <f aca="false">IF('Agences &amp; Après-vente'!$A349="","",'Agences &amp; Après-vente'!$A349)</f>
        <v/>
      </c>
      <c r="B1147" s="0" t="str">
        <f aca="false">IF($A1147="","",'Agences &amp; Après-vente'!$B349)</f>
        <v/>
      </c>
      <c r="C1147" s="0" t="str">
        <f aca="false">IF($A1147="","",'Agences &amp; Après-vente'!$C349)</f>
        <v/>
      </c>
      <c r="D1147" s="0" t="str">
        <f aca="false">IF($A1147="","","Nouvelle compétence")</f>
        <v/>
      </c>
      <c r="E1147" s="0" t="str">
        <f aca="false">IF($A1147="","",'Agences &amp; Après-vente'!$D349)</f>
        <v/>
      </c>
      <c r="F1147" s="116" t="str">
        <f aca="false">IF($A1147="","",'Agences &amp; Après-vente'!$E349)</f>
        <v/>
      </c>
      <c r="G1147" s="116" t="str">
        <f aca="false">IF($A1147="","",'Agences &amp; Après-vente'!$F349)</f>
        <v/>
      </c>
      <c r="H1147" s="0" t="str">
        <f aca="true">IF($A1147="","",IFERROR(MAX(0,NETWORKDAYS(TODAY(),'Agences &amp; Après-vente'!$F349)),""))</f>
        <v/>
      </c>
      <c r="I1147" s="0" t="str">
        <f aca="false">IF($A1147="","",'Agences &amp; Après-vente'!$I349)</f>
        <v/>
      </c>
      <c r="K1147" s="104" t="n">
        <f aca="false">IF(A1147="",0,IF(IFERROR(VLOOKUP(A1147,Skills!$A:$M,13,FALSE()),"")="COS",0,IF(OR(I1147="En cours",I1147="À venir",I1147="À planifier"),IF(AND(OR($C$3="Tous",$C$3="",C1147=$C$3),OR($E$3="Tous",$E$3="",I1147=$E$3)),1,0),0)))</f>
        <v>0</v>
      </c>
      <c r="L1147" s="104" t="n">
        <f aca="false">L1146+K1147</f>
        <v>17</v>
      </c>
    </row>
    <row r="1148" customFormat="false" ht="15" hidden="true" customHeight="true" outlineLevel="0" collapsed="false">
      <c r="A1148" s="0" t="str">
        <f aca="false">IF('Agences &amp; Après-vente'!$A350="","",'Agences &amp; Après-vente'!$A350)</f>
        <v/>
      </c>
      <c r="B1148" s="0" t="str">
        <f aca="false">IF($A1148="","",'Agences &amp; Après-vente'!$B350)</f>
        <v/>
      </c>
      <c r="C1148" s="0" t="str">
        <f aca="false">IF($A1148="","",'Agences &amp; Après-vente'!$C350)</f>
        <v/>
      </c>
      <c r="D1148" s="0" t="str">
        <f aca="false">IF($A1148="","","Nouvelle compétence")</f>
        <v/>
      </c>
      <c r="E1148" s="0" t="str">
        <f aca="false">IF($A1148="","",'Agences &amp; Après-vente'!$D350)</f>
        <v/>
      </c>
      <c r="F1148" s="116" t="str">
        <f aca="false">IF($A1148="","",'Agences &amp; Après-vente'!$E350)</f>
        <v/>
      </c>
      <c r="G1148" s="116" t="str">
        <f aca="false">IF($A1148="","",'Agences &amp; Après-vente'!$F350)</f>
        <v/>
      </c>
      <c r="H1148" s="0" t="str">
        <f aca="true">IF($A1148="","",IFERROR(MAX(0,NETWORKDAYS(TODAY(),'Agences &amp; Après-vente'!$F350)),""))</f>
        <v/>
      </c>
      <c r="I1148" s="0" t="str">
        <f aca="false">IF($A1148="","",'Agences &amp; Après-vente'!$I350)</f>
        <v/>
      </c>
      <c r="K1148" s="104" t="n">
        <f aca="false">IF(A1148="",0,IF(IFERROR(VLOOKUP(A1148,Skills!$A:$M,13,FALSE()),"")="COS",0,IF(OR(I1148="En cours",I1148="À venir",I1148="À planifier"),IF(AND(OR($C$3="Tous",$C$3="",C1148=$C$3),OR($E$3="Tous",$E$3="",I1148=$E$3)),1,0),0)))</f>
        <v>0</v>
      </c>
      <c r="L1148" s="104" t="n">
        <f aca="false">L1147+K1148</f>
        <v>17</v>
      </c>
    </row>
    <row r="1149" customFormat="false" ht="15" hidden="true" customHeight="true" outlineLevel="0" collapsed="false">
      <c r="A1149" s="0" t="str">
        <f aca="false">IF('Agences &amp; Après-vente'!$A351="","",'Agences &amp; Après-vente'!$A351)</f>
        <v/>
      </c>
      <c r="B1149" s="0" t="str">
        <f aca="false">IF($A1149="","",'Agences &amp; Après-vente'!$B351)</f>
        <v/>
      </c>
      <c r="C1149" s="0" t="str">
        <f aca="false">IF($A1149="","",'Agences &amp; Après-vente'!$C351)</f>
        <v/>
      </c>
      <c r="D1149" s="0" t="str">
        <f aca="false">IF($A1149="","","Nouvelle compétence")</f>
        <v/>
      </c>
      <c r="E1149" s="0" t="str">
        <f aca="false">IF($A1149="","",'Agences &amp; Après-vente'!$D351)</f>
        <v/>
      </c>
      <c r="F1149" s="116" t="str">
        <f aca="false">IF($A1149="","",'Agences &amp; Après-vente'!$E351)</f>
        <v/>
      </c>
      <c r="G1149" s="116" t="str">
        <f aca="false">IF($A1149="","",'Agences &amp; Après-vente'!$F351)</f>
        <v/>
      </c>
      <c r="H1149" s="0" t="str">
        <f aca="true">IF($A1149="","",IFERROR(MAX(0,NETWORKDAYS(TODAY(),'Agences &amp; Après-vente'!$F351)),""))</f>
        <v/>
      </c>
      <c r="I1149" s="0" t="str">
        <f aca="false">IF($A1149="","",'Agences &amp; Après-vente'!$I351)</f>
        <v/>
      </c>
      <c r="K1149" s="104" t="n">
        <f aca="false">IF(A1149="",0,IF(IFERROR(VLOOKUP(A1149,Skills!$A:$M,13,FALSE()),"")="COS",0,IF(OR(I1149="En cours",I1149="À venir",I1149="À planifier"),IF(AND(OR($C$3="Tous",$C$3="",C1149=$C$3),OR($E$3="Tous",$E$3="",I1149=$E$3)),1,0),0)))</f>
        <v>0</v>
      </c>
      <c r="L1149" s="104" t="n">
        <f aca="false">L1148+K1149</f>
        <v>17</v>
      </c>
    </row>
    <row r="1150" customFormat="false" ht="15" hidden="true" customHeight="true" outlineLevel="0" collapsed="false">
      <c r="A1150" s="0" t="str">
        <f aca="false">IF('Agences &amp; Après-vente'!$A352="","",'Agences &amp; Après-vente'!$A352)</f>
        <v/>
      </c>
      <c r="B1150" s="0" t="str">
        <f aca="false">IF($A1150="","",'Agences &amp; Après-vente'!$B352)</f>
        <v/>
      </c>
      <c r="C1150" s="0" t="str">
        <f aca="false">IF($A1150="","",'Agences &amp; Après-vente'!$C352)</f>
        <v/>
      </c>
      <c r="D1150" s="0" t="str">
        <f aca="false">IF($A1150="","","Nouvelle compétence")</f>
        <v/>
      </c>
      <c r="E1150" s="0" t="str">
        <f aca="false">IF($A1150="","",'Agences &amp; Après-vente'!$D352)</f>
        <v/>
      </c>
      <c r="F1150" s="116" t="str">
        <f aca="false">IF($A1150="","",'Agences &amp; Après-vente'!$E352)</f>
        <v/>
      </c>
      <c r="G1150" s="116" t="str">
        <f aca="false">IF($A1150="","",'Agences &amp; Après-vente'!$F352)</f>
        <v/>
      </c>
      <c r="H1150" s="0" t="str">
        <f aca="true">IF($A1150="","",IFERROR(MAX(0,NETWORKDAYS(TODAY(),'Agences &amp; Après-vente'!$F352)),""))</f>
        <v/>
      </c>
      <c r="I1150" s="0" t="str">
        <f aca="false">IF($A1150="","",'Agences &amp; Après-vente'!$I352)</f>
        <v/>
      </c>
      <c r="K1150" s="104" t="n">
        <f aca="false">IF(A1150="",0,IF(IFERROR(VLOOKUP(A1150,Skills!$A:$M,13,FALSE()),"")="COS",0,IF(OR(I1150="En cours",I1150="À venir",I1150="À planifier"),IF(AND(OR($C$3="Tous",$C$3="",C1150=$C$3),OR($E$3="Tous",$E$3="",I1150=$E$3)),1,0),0)))</f>
        <v>0</v>
      </c>
      <c r="L1150" s="104" t="n">
        <f aca="false">L1149+K1150</f>
        <v>17</v>
      </c>
    </row>
    <row r="1151" customFormat="false" ht="15" hidden="true" customHeight="true" outlineLevel="0" collapsed="false">
      <c r="A1151" s="0" t="str">
        <f aca="false">IF('Agences &amp; Après-vente'!$A353="","",'Agences &amp; Après-vente'!$A353)</f>
        <v/>
      </c>
      <c r="B1151" s="0" t="str">
        <f aca="false">IF($A1151="","",'Agences &amp; Après-vente'!$B353)</f>
        <v/>
      </c>
      <c r="C1151" s="0" t="str">
        <f aca="false">IF($A1151="","",'Agences &amp; Après-vente'!$C353)</f>
        <v/>
      </c>
      <c r="D1151" s="0" t="str">
        <f aca="false">IF($A1151="","","Nouvelle compétence")</f>
        <v/>
      </c>
      <c r="E1151" s="0" t="str">
        <f aca="false">IF($A1151="","",'Agences &amp; Après-vente'!$D353)</f>
        <v/>
      </c>
      <c r="F1151" s="116" t="str">
        <f aca="false">IF($A1151="","",'Agences &amp; Après-vente'!$E353)</f>
        <v/>
      </c>
      <c r="G1151" s="116" t="str">
        <f aca="false">IF($A1151="","",'Agences &amp; Après-vente'!$F353)</f>
        <v/>
      </c>
      <c r="H1151" s="0" t="str">
        <f aca="true">IF($A1151="","",IFERROR(MAX(0,NETWORKDAYS(TODAY(),'Agences &amp; Après-vente'!$F353)),""))</f>
        <v/>
      </c>
      <c r="I1151" s="0" t="str">
        <f aca="false">IF($A1151="","",'Agences &amp; Après-vente'!$I353)</f>
        <v/>
      </c>
      <c r="K1151" s="104" t="n">
        <f aca="false">IF(A1151="",0,IF(IFERROR(VLOOKUP(A1151,Skills!$A:$M,13,FALSE()),"")="COS",0,IF(OR(I1151="En cours",I1151="À venir",I1151="À planifier"),IF(AND(OR($C$3="Tous",$C$3="",C1151=$C$3),OR($E$3="Tous",$E$3="",I1151=$E$3)),1,0),0)))</f>
        <v>0</v>
      </c>
      <c r="L1151" s="104" t="n">
        <f aca="false">L1150+K1151</f>
        <v>17</v>
      </c>
    </row>
    <row r="1152" customFormat="false" ht="15" hidden="true" customHeight="true" outlineLevel="0" collapsed="false">
      <c r="A1152" s="0" t="str">
        <f aca="false">IF('Agences &amp; Après-vente'!$A354="","",'Agences &amp; Après-vente'!$A354)</f>
        <v/>
      </c>
      <c r="B1152" s="0" t="str">
        <f aca="false">IF($A1152="","",'Agences &amp; Après-vente'!$B354)</f>
        <v/>
      </c>
      <c r="C1152" s="0" t="str">
        <f aca="false">IF($A1152="","",'Agences &amp; Après-vente'!$C354)</f>
        <v/>
      </c>
      <c r="D1152" s="0" t="str">
        <f aca="false">IF($A1152="","","Nouvelle compétence")</f>
        <v/>
      </c>
      <c r="E1152" s="0" t="str">
        <f aca="false">IF($A1152="","",'Agences &amp; Après-vente'!$D354)</f>
        <v/>
      </c>
      <c r="F1152" s="116" t="str">
        <f aca="false">IF($A1152="","",'Agences &amp; Après-vente'!$E354)</f>
        <v/>
      </c>
      <c r="G1152" s="116" t="str">
        <f aca="false">IF($A1152="","",'Agences &amp; Après-vente'!$F354)</f>
        <v/>
      </c>
      <c r="H1152" s="0" t="str">
        <f aca="true">IF($A1152="","",IFERROR(MAX(0,NETWORKDAYS(TODAY(),'Agences &amp; Après-vente'!$F354)),""))</f>
        <v/>
      </c>
      <c r="I1152" s="0" t="str">
        <f aca="false">IF($A1152="","",'Agences &amp; Après-vente'!$I354)</f>
        <v/>
      </c>
      <c r="K1152" s="104" t="n">
        <f aca="false">IF(A1152="",0,IF(IFERROR(VLOOKUP(A1152,Skills!$A:$M,13,FALSE()),"")="COS",0,IF(OR(I1152="En cours",I1152="À venir",I1152="À planifier"),IF(AND(OR($C$3="Tous",$C$3="",C1152=$C$3),OR($E$3="Tous",$E$3="",I1152=$E$3)),1,0),0)))</f>
        <v>0</v>
      </c>
      <c r="L1152" s="104" t="n">
        <f aca="false">L1151+K1152</f>
        <v>17</v>
      </c>
    </row>
    <row r="1153" customFormat="false" ht="15" hidden="true" customHeight="true" outlineLevel="0" collapsed="false">
      <c r="A1153" s="0" t="str">
        <f aca="false">IF('Agences &amp; Après-vente'!$A355="","",'Agences &amp; Après-vente'!$A355)</f>
        <v/>
      </c>
      <c r="B1153" s="0" t="str">
        <f aca="false">IF($A1153="","",'Agences &amp; Après-vente'!$B355)</f>
        <v/>
      </c>
      <c r="C1153" s="0" t="str">
        <f aca="false">IF($A1153="","",'Agences &amp; Après-vente'!$C355)</f>
        <v/>
      </c>
      <c r="D1153" s="0" t="str">
        <f aca="false">IF($A1153="","","Nouvelle compétence")</f>
        <v/>
      </c>
      <c r="E1153" s="0" t="str">
        <f aca="false">IF($A1153="","",'Agences &amp; Après-vente'!$D355)</f>
        <v/>
      </c>
      <c r="F1153" s="116" t="str">
        <f aca="false">IF($A1153="","",'Agences &amp; Après-vente'!$E355)</f>
        <v/>
      </c>
      <c r="G1153" s="116" t="str">
        <f aca="false">IF($A1153="","",'Agences &amp; Après-vente'!$F355)</f>
        <v/>
      </c>
      <c r="H1153" s="0" t="str">
        <f aca="true">IF($A1153="","",IFERROR(MAX(0,NETWORKDAYS(TODAY(),'Agences &amp; Après-vente'!$F355)),""))</f>
        <v/>
      </c>
      <c r="I1153" s="0" t="str">
        <f aca="false">IF($A1153="","",'Agences &amp; Après-vente'!$I355)</f>
        <v/>
      </c>
      <c r="K1153" s="104" t="n">
        <f aca="false">IF(A1153="",0,IF(IFERROR(VLOOKUP(A1153,Skills!$A:$M,13,FALSE()),"")="COS",0,IF(OR(I1153="En cours",I1153="À venir",I1153="À planifier"),IF(AND(OR($C$3="Tous",$C$3="",C1153=$C$3),OR($E$3="Tous",$E$3="",I1153=$E$3)),1,0),0)))</f>
        <v>0</v>
      </c>
      <c r="L1153" s="104" t="n">
        <f aca="false">L1152+K1153</f>
        <v>17</v>
      </c>
    </row>
    <row r="1154" customFormat="false" ht="15" hidden="true" customHeight="true" outlineLevel="0" collapsed="false">
      <c r="A1154" s="0" t="str">
        <f aca="false">IF('Agences &amp; Après-vente'!$A356="","",'Agences &amp; Après-vente'!$A356)</f>
        <v/>
      </c>
      <c r="B1154" s="0" t="str">
        <f aca="false">IF($A1154="","",'Agences &amp; Après-vente'!$B356)</f>
        <v/>
      </c>
      <c r="C1154" s="0" t="str">
        <f aca="false">IF($A1154="","",'Agences &amp; Après-vente'!$C356)</f>
        <v/>
      </c>
      <c r="D1154" s="0" t="str">
        <f aca="false">IF($A1154="","","Nouvelle compétence")</f>
        <v/>
      </c>
      <c r="E1154" s="0" t="str">
        <f aca="false">IF($A1154="","",'Agences &amp; Après-vente'!$D356)</f>
        <v/>
      </c>
      <c r="F1154" s="116" t="str">
        <f aca="false">IF($A1154="","",'Agences &amp; Après-vente'!$E356)</f>
        <v/>
      </c>
      <c r="G1154" s="116" t="str">
        <f aca="false">IF($A1154="","",'Agences &amp; Après-vente'!$F356)</f>
        <v/>
      </c>
      <c r="H1154" s="0" t="str">
        <f aca="true">IF($A1154="","",IFERROR(MAX(0,NETWORKDAYS(TODAY(),'Agences &amp; Après-vente'!$F356)),""))</f>
        <v/>
      </c>
      <c r="I1154" s="0" t="str">
        <f aca="false">IF($A1154="","",'Agences &amp; Après-vente'!$I356)</f>
        <v/>
      </c>
      <c r="K1154" s="104" t="n">
        <f aca="false">IF(A1154="",0,IF(IFERROR(VLOOKUP(A1154,Skills!$A:$M,13,FALSE()),"")="COS",0,IF(OR(I1154="En cours",I1154="À venir",I1154="À planifier"),IF(AND(OR($C$3="Tous",$C$3="",C1154=$C$3),OR($E$3="Tous",$E$3="",I1154=$E$3)),1,0),0)))</f>
        <v>0</v>
      </c>
      <c r="L1154" s="104" t="n">
        <f aca="false">L1153+K1154</f>
        <v>17</v>
      </c>
    </row>
    <row r="1155" customFormat="false" ht="15" hidden="true" customHeight="true" outlineLevel="0" collapsed="false">
      <c r="A1155" s="0" t="str">
        <f aca="false">IF('Agences &amp; Après-vente'!$A357="","",'Agences &amp; Après-vente'!$A357)</f>
        <v/>
      </c>
      <c r="B1155" s="0" t="str">
        <f aca="false">IF($A1155="","",'Agences &amp; Après-vente'!$B357)</f>
        <v/>
      </c>
      <c r="C1155" s="0" t="str">
        <f aca="false">IF($A1155="","",'Agences &amp; Après-vente'!$C357)</f>
        <v/>
      </c>
      <c r="D1155" s="0" t="str">
        <f aca="false">IF($A1155="","","Nouvelle compétence")</f>
        <v/>
      </c>
      <c r="E1155" s="0" t="str">
        <f aca="false">IF($A1155="","",'Agences &amp; Après-vente'!$D357)</f>
        <v/>
      </c>
      <c r="F1155" s="116" t="str">
        <f aca="false">IF($A1155="","",'Agences &amp; Après-vente'!$E357)</f>
        <v/>
      </c>
      <c r="G1155" s="116" t="str">
        <f aca="false">IF($A1155="","",'Agences &amp; Après-vente'!$F357)</f>
        <v/>
      </c>
      <c r="H1155" s="0" t="str">
        <f aca="true">IF($A1155="","",IFERROR(MAX(0,NETWORKDAYS(TODAY(),'Agences &amp; Après-vente'!$F357)),""))</f>
        <v/>
      </c>
      <c r="I1155" s="0" t="str">
        <f aca="false">IF($A1155="","",'Agences &amp; Après-vente'!$I357)</f>
        <v/>
      </c>
      <c r="K1155" s="104" t="n">
        <f aca="false">IF(A1155="",0,IF(IFERROR(VLOOKUP(A1155,Skills!$A:$M,13,FALSE()),"")="COS",0,IF(OR(I1155="En cours",I1155="À venir",I1155="À planifier"),IF(AND(OR($C$3="Tous",$C$3="",C1155=$C$3),OR($E$3="Tous",$E$3="",I1155=$E$3)),1,0),0)))</f>
        <v>0</v>
      </c>
      <c r="L1155" s="104" t="n">
        <f aca="false">L1154+K1155</f>
        <v>17</v>
      </c>
    </row>
    <row r="1156" customFormat="false" ht="15" hidden="true" customHeight="true" outlineLevel="0" collapsed="false">
      <c r="A1156" s="0" t="str">
        <f aca="false">IF('Agences &amp; Après-vente'!$A358="","",'Agences &amp; Après-vente'!$A358)</f>
        <v/>
      </c>
      <c r="B1156" s="0" t="str">
        <f aca="false">IF($A1156="","",'Agences &amp; Après-vente'!$B358)</f>
        <v/>
      </c>
      <c r="C1156" s="0" t="str">
        <f aca="false">IF($A1156="","",'Agences &amp; Après-vente'!$C358)</f>
        <v/>
      </c>
      <c r="D1156" s="0" t="str">
        <f aca="false">IF($A1156="","","Nouvelle compétence")</f>
        <v/>
      </c>
      <c r="E1156" s="0" t="str">
        <f aca="false">IF($A1156="","",'Agences &amp; Après-vente'!$D358)</f>
        <v/>
      </c>
      <c r="F1156" s="116" t="str">
        <f aca="false">IF($A1156="","",'Agences &amp; Après-vente'!$E358)</f>
        <v/>
      </c>
      <c r="G1156" s="116" t="str">
        <f aca="false">IF($A1156="","",'Agences &amp; Après-vente'!$F358)</f>
        <v/>
      </c>
      <c r="H1156" s="0" t="str">
        <f aca="true">IF($A1156="","",IFERROR(MAX(0,NETWORKDAYS(TODAY(),'Agences &amp; Après-vente'!$F358)),""))</f>
        <v/>
      </c>
      <c r="I1156" s="0" t="str">
        <f aca="false">IF($A1156="","",'Agences &amp; Après-vente'!$I358)</f>
        <v/>
      </c>
      <c r="K1156" s="104" t="n">
        <f aca="false">IF(A1156="",0,IF(IFERROR(VLOOKUP(A1156,Skills!$A:$M,13,FALSE()),"")="COS",0,IF(OR(I1156="En cours",I1156="À venir",I1156="À planifier"),IF(AND(OR($C$3="Tous",$C$3="",C1156=$C$3),OR($E$3="Tous",$E$3="",I1156=$E$3)),1,0),0)))</f>
        <v>0</v>
      </c>
      <c r="L1156" s="104" t="n">
        <f aca="false">L1155+K1156</f>
        <v>17</v>
      </c>
    </row>
    <row r="1157" customFormat="false" ht="15" hidden="true" customHeight="true" outlineLevel="0" collapsed="false">
      <c r="A1157" s="0" t="str">
        <f aca="false">IF('Agences &amp; Après-vente'!$A359="","",'Agences &amp; Après-vente'!$A359)</f>
        <v/>
      </c>
      <c r="B1157" s="0" t="str">
        <f aca="false">IF($A1157="","",'Agences &amp; Après-vente'!$B359)</f>
        <v/>
      </c>
      <c r="C1157" s="0" t="str">
        <f aca="false">IF($A1157="","",'Agences &amp; Après-vente'!$C359)</f>
        <v/>
      </c>
      <c r="D1157" s="0" t="str">
        <f aca="false">IF($A1157="","","Nouvelle compétence")</f>
        <v/>
      </c>
      <c r="E1157" s="0" t="str">
        <f aca="false">IF($A1157="","",'Agences &amp; Après-vente'!$D359)</f>
        <v/>
      </c>
      <c r="F1157" s="116" t="str">
        <f aca="false">IF($A1157="","",'Agences &amp; Après-vente'!$E359)</f>
        <v/>
      </c>
      <c r="G1157" s="116" t="str">
        <f aca="false">IF($A1157="","",'Agences &amp; Après-vente'!$F359)</f>
        <v/>
      </c>
      <c r="H1157" s="0" t="str">
        <f aca="true">IF($A1157="","",IFERROR(MAX(0,NETWORKDAYS(TODAY(),'Agences &amp; Après-vente'!$F359)),""))</f>
        <v/>
      </c>
      <c r="I1157" s="0" t="str">
        <f aca="false">IF($A1157="","",'Agences &amp; Après-vente'!$I359)</f>
        <v/>
      </c>
      <c r="K1157" s="104" t="n">
        <f aca="false">IF(A1157="",0,IF(IFERROR(VLOOKUP(A1157,Skills!$A:$M,13,FALSE()),"")="COS",0,IF(OR(I1157="En cours",I1157="À venir",I1157="À planifier"),IF(AND(OR($C$3="Tous",$C$3="",C1157=$C$3),OR($E$3="Tous",$E$3="",I1157=$E$3)),1,0),0)))</f>
        <v>0</v>
      </c>
      <c r="L1157" s="104" t="n">
        <f aca="false">L1156+K1157</f>
        <v>17</v>
      </c>
    </row>
    <row r="1158" customFormat="false" ht="15" hidden="true" customHeight="true" outlineLevel="0" collapsed="false">
      <c r="A1158" s="0" t="str">
        <f aca="false">IF('Agences &amp; Après-vente'!$A360="","",'Agences &amp; Après-vente'!$A360)</f>
        <v/>
      </c>
      <c r="B1158" s="0" t="str">
        <f aca="false">IF($A1158="","",'Agences &amp; Après-vente'!$B360)</f>
        <v/>
      </c>
      <c r="C1158" s="0" t="str">
        <f aca="false">IF($A1158="","",'Agences &amp; Après-vente'!$C360)</f>
        <v/>
      </c>
      <c r="D1158" s="0" t="str">
        <f aca="false">IF($A1158="","","Nouvelle compétence")</f>
        <v/>
      </c>
      <c r="E1158" s="0" t="str">
        <f aca="false">IF($A1158="","",'Agences &amp; Après-vente'!$D360)</f>
        <v/>
      </c>
      <c r="F1158" s="116" t="str">
        <f aca="false">IF($A1158="","",'Agences &amp; Après-vente'!$E360)</f>
        <v/>
      </c>
      <c r="G1158" s="116" t="str">
        <f aca="false">IF($A1158="","",'Agences &amp; Après-vente'!$F360)</f>
        <v/>
      </c>
      <c r="H1158" s="0" t="str">
        <f aca="true">IF($A1158="","",IFERROR(MAX(0,NETWORKDAYS(TODAY(),'Agences &amp; Après-vente'!$F360)),""))</f>
        <v/>
      </c>
      <c r="I1158" s="0" t="str">
        <f aca="false">IF($A1158="","",'Agences &amp; Après-vente'!$I360)</f>
        <v/>
      </c>
      <c r="K1158" s="104" t="n">
        <f aca="false">IF(A1158="",0,IF(IFERROR(VLOOKUP(A1158,Skills!$A:$M,13,FALSE()),"")="COS",0,IF(OR(I1158="En cours",I1158="À venir",I1158="À planifier"),IF(AND(OR($C$3="Tous",$C$3="",C1158=$C$3),OR($E$3="Tous",$E$3="",I1158=$E$3)),1,0),0)))</f>
        <v>0</v>
      </c>
      <c r="L1158" s="104" t="n">
        <f aca="false">L1157+K1158</f>
        <v>17</v>
      </c>
    </row>
    <row r="1159" customFormat="false" ht="15" hidden="true" customHeight="true" outlineLevel="0" collapsed="false">
      <c r="A1159" s="0" t="str">
        <f aca="false">IF('Agences &amp; Après-vente'!$A361="","",'Agences &amp; Après-vente'!$A361)</f>
        <v/>
      </c>
      <c r="B1159" s="0" t="str">
        <f aca="false">IF($A1159="","",'Agences &amp; Après-vente'!$B361)</f>
        <v/>
      </c>
      <c r="C1159" s="0" t="str">
        <f aca="false">IF($A1159="","",'Agences &amp; Après-vente'!$C361)</f>
        <v/>
      </c>
      <c r="D1159" s="0" t="str">
        <f aca="false">IF($A1159="","","Nouvelle compétence")</f>
        <v/>
      </c>
      <c r="E1159" s="0" t="str">
        <f aca="false">IF($A1159="","",'Agences &amp; Après-vente'!$D361)</f>
        <v/>
      </c>
      <c r="F1159" s="116" t="str">
        <f aca="false">IF($A1159="","",'Agences &amp; Après-vente'!$E361)</f>
        <v/>
      </c>
      <c r="G1159" s="116" t="str">
        <f aca="false">IF($A1159="","",'Agences &amp; Après-vente'!$F361)</f>
        <v/>
      </c>
      <c r="H1159" s="0" t="str">
        <f aca="true">IF($A1159="","",IFERROR(MAX(0,NETWORKDAYS(TODAY(),'Agences &amp; Après-vente'!$F361)),""))</f>
        <v/>
      </c>
      <c r="I1159" s="0" t="str">
        <f aca="false">IF($A1159="","",'Agences &amp; Après-vente'!$I361)</f>
        <v/>
      </c>
      <c r="K1159" s="104" t="n">
        <f aca="false">IF(A1159="",0,IF(IFERROR(VLOOKUP(A1159,Skills!$A:$M,13,FALSE()),"")="COS",0,IF(OR(I1159="En cours",I1159="À venir",I1159="À planifier"),IF(AND(OR($C$3="Tous",$C$3="",C1159=$C$3),OR($E$3="Tous",$E$3="",I1159=$E$3)),1,0),0)))</f>
        <v>0</v>
      </c>
      <c r="L1159" s="104" t="n">
        <f aca="false">L1158+K1159</f>
        <v>17</v>
      </c>
    </row>
    <row r="1160" customFormat="false" ht="15" hidden="true" customHeight="true" outlineLevel="0" collapsed="false">
      <c r="A1160" s="0" t="str">
        <f aca="false">IF('Agences &amp; Après-vente'!$A362="","",'Agences &amp; Après-vente'!$A362)</f>
        <v/>
      </c>
      <c r="B1160" s="0" t="str">
        <f aca="false">IF($A1160="","",'Agences &amp; Après-vente'!$B362)</f>
        <v/>
      </c>
      <c r="C1160" s="0" t="str">
        <f aca="false">IF($A1160="","",'Agences &amp; Après-vente'!$C362)</f>
        <v/>
      </c>
      <c r="D1160" s="0" t="str">
        <f aca="false">IF($A1160="","","Nouvelle compétence")</f>
        <v/>
      </c>
      <c r="E1160" s="0" t="str">
        <f aca="false">IF($A1160="","",'Agences &amp; Après-vente'!$D362)</f>
        <v/>
      </c>
      <c r="F1160" s="116" t="str">
        <f aca="false">IF($A1160="","",'Agences &amp; Après-vente'!$E362)</f>
        <v/>
      </c>
      <c r="G1160" s="116" t="str">
        <f aca="false">IF($A1160="","",'Agences &amp; Après-vente'!$F362)</f>
        <v/>
      </c>
      <c r="H1160" s="0" t="str">
        <f aca="true">IF($A1160="","",IFERROR(MAX(0,NETWORKDAYS(TODAY(),'Agences &amp; Après-vente'!$F362)),""))</f>
        <v/>
      </c>
      <c r="I1160" s="0" t="str">
        <f aca="false">IF($A1160="","",'Agences &amp; Après-vente'!$I362)</f>
        <v/>
      </c>
      <c r="K1160" s="104" t="n">
        <f aca="false">IF(A1160="",0,IF(IFERROR(VLOOKUP(A1160,Skills!$A:$M,13,FALSE()),"")="COS",0,IF(OR(I1160="En cours",I1160="À venir",I1160="À planifier"),IF(AND(OR($C$3="Tous",$C$3="",C1160=$C$3),OR($E$3="Tous",$E$3="",I1160=$E$3)),1,0),0)))</f>
        <v>0</v>
      </c>
      <c r="L1160" s="104" t="n">
        <f aca="false">L1159+K1160</f>
        <v>17</v>
      </c>
    </row>
    <row r="1161" customFormat="false" ht="15" hidden="true" customHeight="true" outlineLevel="0" collapsed="false">
      <c r="A1161" s="0" t="str">
        <f aca="false">IF('Agences &amp; Après-vente'!$A363="","",'Agences &amp; Après-vente'!$A363)</f>
        <v/>
      </c>
      <c r="B1161" s="0" t="str">
        <f aca="false">IF($A1161="","",'Agences &amp; Après-vente'!$B363)</f>
        <v/>
      </c>
      <c r="C1161" s="0" t="str">
        <f aca="false">IF($A1161="","",'Agences &amp; Après-vente'!$C363)</f>
        <v/>
      </c>
      <c r="D1161" s="0" t="str">
        <f aca="false">IF($A1161="","","Nouvelle compétence")</f>
        <v/>
      </c>
      <c r="E1161" s="0" t="str">
        <f aca="false">IF($A1161="","",'Agences &amp; Après-vente'!$D363)</f>
        <v/>
      </c>
      <c r="F1161" s="116" t="str">
        <f aca="false">IF($A1161="","",'Agences &amp; Après-vente'!$E363)</f>
        <v/>
      </c>
      <c r="G1161" s="116" t="str">
        <f aca="false">IF($A1161="","",'Agences &amp; Après-vente'!$F363)</f>
        <v/>
      </c>
      <c r="H1161" s="0" t="str">
        <f aca="true">IF($A1161="","",IFERROR(MAX(0,NETWORKDAYS(TODAY(),'Agences &amp; Après-vente'!$F363)),""))</f>
        <v/>
      </c>
      <c r="I1161" s="0" t="str">
        <f aca="false">IF($A1161="","",'Agences &amp; Après-vente'!$I363)</f>
        <v/>
      </c>
      <c r="K1161" s="104" t="n">
        <f aca="false">IF(A1161="",0,IF(IFERROR(VLOOKUP(A1161,Skills!$A:$M,13,FALSE()),"")="COS",0,IF(OR(I1161="En cours",I1161="À venir",I1161="À planifier"),IF(AND(OR($C$3="Tous",$C$3="",C1161=$C$3),OR($E$3="Tous",$E$3="",I1161=$E$3)),1,0),0)))</f>
        <v>0</v>
      </c>
      <c r="L1161" s="104" t="n">
        <f aca="false">L1160+K1161</f>
        <v>17</v>
      </c>
    </row>
    <row r="1162" customFormat="false" ht="15" hidden="true" customHeight="true" outlineLevel="0" collapsed="false">
      <c r="A1162" s="0" t="str">
        <f aca="false">IF('Agences &amp; Après-vente'!$A364="","",'Agences &amp; Après-vente'!$A364)</f>
        <v/>
      </c>
      <c r="B1162" s="0" t="str">
        <f aca="false">IF($A1162="","",'Agences &amp; Après-vente'!$B364)</f>
        <v/>
      </c>
      <c r="C1162" s="0" t="str">
        <f aca="false">IF($A1162="","",'Agences &amp; Après-vente'!$C364)</f>
        <v/>
      </c>
      <c r="D1162" s="0" t="str">
        <f aca="false">IF($A1162="","","Nouvelle compétence")</f>
        <v/>
      </c>
      <c r="E1162" s="0" t="str">
        <f aca="false">IF($A1162="","",'Agences &amp; Après-vente'!$D364)</f>
        <v/>
      </c>
      <c r="F1162" s="116" t="str">
        <f aca="false">IF($A1162="","",'Agences &amp; Après-vente'!$E364)</f>
        <v/>
      </c>
      <c r="G1162" s="116" t="str">
        <f aca="false">IF($A1162="","",'Agences &amp; Après-vente'!$F364)</f>
        <v/>
      </c>
      <c r="H1162" s="0" t="str">
        <f aca="true">IF($A1162="","",IFERROR(MAX(0,NETWORKDAYS(TODAY(),'Agences &amp; Après-vente'!$F364)),""))</f>
        <v/>
      </c>
      <c r="I1162" s="0" t="str">
        <f aca="false">IF($A1162="","",'Agences &amp; Après-vente'!$I364)</f>
        <v/>
      </c>
      <c r="K1162" s="104" t="n">
        <f aca="false">IF(A1162="",0,IF(IFERROR(VLOOKUP(A1162,Skills!$A:$M,13,FALSE()),"")="COS",0,IF(OR(I1162="En cours",I1162="À venir",I1162="À planifier"),IF(AND(OR($C$3="Tous",$C$3="",C1162=$C$3),OR($E$3="Tous",$E$3="",I1162=$E$3)),1,0),0)))</f>
        <v>0</v>
      </c>
      <c r="L1162" s="104" t="n">
        <f aca="false">L1161+K1162</f>
        <v>17</v>
      </c>
    </row>
    <row r="1163" customFormat="false" ht="15" hidden="true" customHeight="true" outlineLevel="0" collapsed="false">
      <c r="A1163" s="0" t="str">
        <f aca="false">IF('Agences &amp; Après-vente'!$A365="","",'Agences &amp; Après-vente'!$A365)</f>
        <v/>
      </c>
      <c r="B1163" s="0" t="str">
        <f aca="false">IF($A1163="","",'Agences &amp; Après-vente'!$B365)</f>
        <v/>
      </c>
      <c r="C1163" s="0" t="str">
        <f aca="false">IF($A1163="","",'Agences &amp; Après-vente'!$C365)</f>
        <v/>
      </c>
      <c r="D1163" s="0" t="str">
        <f aca="false">IF($A1163="","","Nouvelle compétence")</f>
        <v/>
      </c>
      <c r="E1163" s="0" t="str">
        <f aca="false">IF($A1163="","",'Agences &amp; Après-vente'!$D365)</f>
        <v/>
      </c>
      <c r="F1163" s="116" t="str">
        <f aca="false">IF($A1163="","",'Agences &amp; Après-vente'!$E365)</f>
        <v/>
      </c>
      <c r="G1163" s="116" t="str">
        <f aca="false">IF($A1163="","",'Agences &amp; Après-vente'!$F365)</f>
        <v/>
      </c>
      <c r="H1163" s="0" t="str">
        <f aca="true">IF($A1163="","",IFERROR(MAX(0,NETWORKDAYS(TODAY(),'Agences &amp; Après-vente'!$F365)),""))</f>
        <v/>
      </c>
      <c r="I1163" s="0" t="str">
        <f aca="false">IF($A1163="","",'Agences &amp; Après-vente'!$I365)</f>
        <v/>
      </c>
      <c r="K1163" s="104" t="n">
        <f aca="false">IF(A1163="",0,IF(IFERROR(VLOOKUP(A1163,Skills!$A:$M,13,FALSE()),"")="COS",0,IF(OR(I1163="En cours",I1163="À venir",I1163="À planifier"),IF(AND(OR($C$3="Tous",$C$3="",C1163=$C$3),OR($E$3="Tous",$E$3="",I1163=$E$3)),1,0),0)))</f>
        <v>0</v>
      </c>
      <c r="L1163" s="104" t="n">
        <f aca="false">L1162+K1163</f>
        <v>17</v>
      </c>
    </row>
    <row r="1164" customFormat="false" ht="15" hidden="true" customHeight="true" outlineLevel="0" collapsed="false">
      <c r="A1164" s="0" t="str">
        <f aca="false">IF('Agences &amp; Après-vente'!$A366="","",'Agences &amp; Après-vente'!$A366)</f>
        <v/>
      </c>
      <c r="B1164" s="0" t="str">
        <f aca="false">IF($A1164="","",'Agences &amp; Après-vente'!$B366)</f>
        <v/>
      </c>
      <c r="C1164" s="0" t="str">
        <f aca="false">IF($A1164="","",'Agences &amp; Après-vente'!$C366)</f>
        <v/>
      </c>
      <c r="D1164" s="0" t="str">
        <f aca="false">IF($A1164="","","Nouvelle compétence")</f>
        <v/>
      </c>
      <c r="E1164" s="0" t="str">
        <f aca="false">IF($A1164="","",'Agences &amp; Après-vente'!$D366)</f>
        <v/>
      </c>
      <c r="F1164" s="116" t="str">
        <f aca="false">IF($A1164="","",'Agences &amp; Après-vente'!$E366)</f>
        <v/>
      </c>
      <c r="G1164" s="116" t="str">
        <f aca="false">IF($A1164="","",'Agences &amp; Après-vente'!$F366)</f>
        <v/>
      </c>
      <c r="H1164" s="0" t="str">
        <f aca="true">IF($A1164="","",IFERROR(MAX(0,NETWORKDAYS(TODAY(),'Agences &amp; Après-vente'!$F366)),""))</f>
        <v/>
      </c>
      <c r="I1164" s="0" t="str">
        <f aca="false">IF($A1164="","",'Agences &amp; Après-vente'!$I366)</f>
        <v/>
      </c>
      <c r="K1164" s="104" t="n">
        <f aca="false">IF(A1164="",0,IF(IFERROR(VLOOKUP(A1164,Skills!$A:$M,13,FALSE()),"")="COS",0,IF(OR(I1164="En cours",I1164="À venir",I1164="À planifier"),IF(AND(OR($C$3="Tous",$C$3="",C1164=$C$3),OR($E$3="Tous",$E$3="",I1164=$E$3)),1,0),0)))</f>
        <v>0</v>
      </c>
      <c r="L1164" s="104" t="n">
        <f aca="false">L1163+K1164</f>
        <v>17</v>
      </c>
    </row>
    <row r="1165" customFormat="false" ht="15" hidden="true" customHeight="true" outlineLevel="0" collapsed="false">
      <c r="A1165" s="0" t="str">
        <f aca="false">IF('Agences &amp; Après-vente'!$A367="","",'Agences &amp; Après-vente'!$A367)</f>
        <v/>
      </c>
      <c r="B1165" s="0" t="str">
        <f aca="false">IF($A1165="","",'Agences &amp; Après-vente'!$B367)</f>
        <v/>
      </c>
      <c r="C1165" s="0" t="str">
        <f aca="false">IF($A1165="","",'Agences &amp; Après-vente'!$C367)</f>
        <v/>
      </c>
      <c r="D1165" s="0" t="str">
        <f aca="false">IF($A1165="","","Nouvelle compétence")</f>
        <v/>
      </c>
      <c r="E1165" s="0" t="str">
        <f aca="false">IF($A1165="","",'Agences &amp; Après-vente'!$D367)</f>
        <v/>
      </c>
      <c r="F1165" s="116" t="str">
        <f aca="false">IF($A1165="","",'Agences &amp; Après-vente'!$E367)</f>
        <v/>
      </c>
      <c r="G1165" s="116" t="str">
        <f aca="false">IF($A1165="","",'Agences &amp; Après-vente'!$F367)</f>
        <v/>
      </c>
      <c r="H1165" s="0" t="str">
        <f aca="true">IF($A1165="","",IFERROR(MAX(0,NETWORKDAYS(TODAY(),'Agences &amp; Après-vente'!$F367)),""))</f>
        <v/>
      </c>
      <c r="I1165" s="0" t="str">
        <f aca="false">IF($A1165="","",'Agences &amp; Après-vente'!$I367)</f>
        <v/>
      </c>
      <c r="K1165" s="104" t="n">
        <f aca="false">IF(A1165="",0,IF(IFERROR(VLOOKUP(A1165,Skills!$A:$M,13,FALSE()),"")="COS",0,IF(OR(I1165="En cours",I1165="À venir",I1165="À planifier"),IF(AND(OR($C$3="Tous",$C$3="",C1165=$C$3),OR($E$3="Tous",$E$3="",I1165=$E$3)),1,0),0)))</f>
        <v>0</v>
      </c>
      <c r="L1165" s="104" t="n">
        <f aca="false">L1164+K1165</f>
        <v>17</v>
      </c>
    </row>
    <row r="1166" customFormat="false" ht="15" hidden="true" customHeight="true" outlineLevel="0" collapsed="false">
      <c r="A1166" s="0" t="str">
        <f aca="false">IF('Agences &amp; Après-vente'!$A368="","",'Agences &amp; Après-vente'!$A368)</f>
        <v/>
      </c>
      <c r="B1166" s="0" t="str">
        <f aca="false">IF($A1166="","",'Agences &amp; Après-vente'!$B368)</f>
        <v/>
      </c>
      <c r="C1166" s="0" t="str">
        <f aca="false">IF($A1166="","",'Agences &amp; Après-vente'!$C368)</f>
        <v/>
      </c>
      <c r="D1166" s="0" t="str">
        <f aca="false">IF($A1166="","","Nouvelle compétence")</f>
        <v/>
      </c>
      <c r="E1166" s="0" t="str">
        <f aca="false">IF($A1166="","",'Agences &amp; Après-vente'!$D368)</f>
        <v/>
      </c>
      <c r="F1166" s="116" t="str">
        <f aca="false">IF($A1166="","",'Agences &amp; Après-vente'!$E368)</f>
        <v/>
      </c>
      <c r="G1166" s="116" t="str">
        <f aca="false">IF($A1166="","",'Agences &amp; Après-vente'!$F368)</f>
        <v/>
      </c>
      <c r="H1166" s="0" t="str">
        <f aca="true">IF($A1166="","",IFERROR(MAX(0,NETWORKDAYS(TODAY(),'Agences &amp; Après-vente'!$F368)),""))</f>
        <v/>
      </c>
      <c r="I1166" s="0" t="str">
        <f aca="false">IF($A1166="","",'Agences &amp; Après-vente'!$I368)</f>
        <v/>
      </c>
      <c r="K1166" s="104" t="n">
        <f aca="false">IF(A1166="",0,IF(IFERROR(VLOOKUP(A1166,Skills!$A:$M,13,FALSE()),"")="COS",0,IF(OR(I1166="En cours",I1166="À venir",I1166="À planifier"),IF(AND(OR($C$3="Tous",$C$3="",C1166=$C$3),OR($E$3="Tous",$E$3="",I1166=$E$3)),1,0),0)))</f>
        <v>0</v>
      </c>
      <c r="L1166" s="104" t="n">
        <f aca="false">L1165+K1166</f>
        <v>17</v>
      </c>
    </row>
    <row r="1167" customFormat="false" ht="15" hidden="true" customHeight="true" outlineLevel="0" collapsed="false">
      <c r="A1167" s="0" t="str">
        <f aca="false">IF('Agences &amp; Après-vente'!$A369="","",'Agences &amp; Après-vente'!$A369)</f>
        <v/>
      </c>
      <c r="B1167" s="0" t="str">
        <f aca="false">IF($A1167="","",'Agences &amp; Après-vente'!$B369)</f>
        <v/>
      </c>
      <c r="C1167" s="0" t="str">
        <f aca="false">IF($A1167="","",'Agences &amp; Après-vente'!$C369)</f>
        <v/>
      </c>
      <c r="D1167" s="0" t="str">
        <f aca="false">IF($A1167="","","Nouvelle compétence")</f>
        <v/>
      </c>
      <c r="E1167" s="0" t="str">
        <f aca="false">IF($A1167="","",'Agences &amp; Après-vente'!$D369)</f>
        <v/>
      </c>
      <c r="F1167" s="116" t="str">
        <f aca="false">IF($A1167="","",'Agences &amp; Après-vente'!$E369)</f>
        <v/>
      </c>
      <c r="G1167" s="116" t="str">
        <f aca="false">IF($A1167="","",'Agences &amp; Après-vente'!$F369)</f>
        <v/>
      </c>
      <c r="H1167" s="0" t="str">
        <f aca="true">IF($A1167="","",IFERROR(MAX(0,NETWORKDAYS(TODAY(),'Agences &amp; Après-vente'!$F369)),""))</f>
        <v/>
      </c>
      <c r="I1167" s="0" t="str">
        <f aca="false">IF($A1167="","",'Agences &amp; Après-vente'!$I369)</f>
        <v/>
      </c>
      <c r="K1167" s="104" t="n">
        <f aca="false">IF(A1167="",0,IF(IFERROR(VLOOKUP(A1167,Skills!$A:$M,13,FALSE()),"")="COS",0,IF(OR(I1167="En cours",I1167="À venir",I1167="À planifier"),IF(AND(OR($C$3="Tous",$C$3="",C1167=$C$3),OR($E$3="Tous",$E$3="",I1167=$E$3)),1,0),0)))</f>
        <v>0</v>
      </c>
      <c r="L1167" s="104" t="n">
        <f aca="false">L1166+K1167</f>
        <v>17</v>
      </c>
    </row>
    <row r="1168" customFormat="false" ht="15" hidden="true" customHeight="true" outlineLevel="0" collapsed="false">
      <c r="A1168" s="0" t="str">
        <f aca="false">IF('Agences &amp; Après-vente'!$A370="","",'Agences &amp; Après-vente'!$A370)</f>
        <v/>
      </c>
      <c r="B1168" s="0" t="str">
        <f aca="false">IF($A1168="","",'Agences &amp; Après-vente'!$B370)</f>
        <v/>
      </c>
      <c r="C1168" s="0" t="str">
        <f aca="false">IF($A1168="","",'Agences &amp; Après-vente'!$C370)</f>
        <v/>
      </c>
      <c r="D1168" s="0" t="str">
        <f aca="false">IF($A1168="","","Nouvelle compétence")</f>
        <v/>
      </c>
      <c r="E1168" s="0" t="str">
        <f aca="false">IF($A1168="","",'Agences &amp; Après-vente'!$D370)</f>
        <v/>
      </c>
      <c r="F1168" s="116" t="str">
        <f aca="false">IF($A1168="","",'Agences &amp; Après-vente'!$E370)</f>
        <v/>
      </c>
      <c r="G1168" s="116" t="str">
        <f aca="false">IF($A1168="","",'Agences &amp; Après-vente'!$F370)</f>
        <v/>
      </c>
      <c r="H1168" s="0" t="str">
        <f aca="true">IF($A1168="","",IFERROR(MAX(0,NETWORKDAYS(TODAY(),'Agences &amp; Après-vente'!$F370)),""))</f>
        <v/>
      </c>
      <c r="I1168" s="0" t="str">
        <f aca="false">IF($A1168="","",'Agences &amp; Après-vente'!$I370)</f>
        <v/>
      </c>
      <c r="K1168" s="104" t="n">
        <f aca="false">IF(A1168="",0,IF(IFERROR(VLOOKUP(A1168,Skills!$A:$M,13,FALSE()),"")="COS",0,IF(OR(I1168="En cours",I1168="À venir",I1168="À planifier"),IF(AND(OR($C$3="Tous",$C$3="",C1168=$C$3),OR($E$3="Tous",$E$3="",I1168=$E$3)),1,0),0)))</f>
        <v>0</v>
      </c>
      <c r="L1168" s="104" t="n">
        <f aca="false">L1167+K1168</f>
        <v>17</v>
      </c>
    </row>
    <row r="1169" customFormat="false" ht="15" hidden="true" customHeight="true" outlineLevel="0" collapsed="false">
      <c r="A1169" s="0" t="str">
        <f aca="false">IF('Agences &amp; Après-vente'!$A371="","",'Agences &amp; Après-vente'!$A371)</f>
        <v/>
      </c>
      <c r="B1169" s="0" t="str">
        <f aca="false">IF($A1169="","",'Agences &amp; Après-vente'!$B371)</f>
        <v/>
      </c>
      <c r="C1169" s="0" t="str">
        <f aca="false">IF($A1169="","",'Agences &amp; Après-vente'!$C371)</f>
        <v/>
      </c>
      <c r="D1169" s="0" t="str">
        <f aca="false">IF($A1169="","","Nouvelle compétence")</f>
        <v/>
      </c>
      <c r="E1169" s="0" t="str">
        <f aca="false">IF($A1169="","",'Agences &amp; Après-vente'!$D371)</f>
        <v/>
      </c>
      <c r="F1169" s="116" t="str">
        <f aca="false">IF($A1169="","",'Agences &amp; Après-vente'!$E371)</f>
        <v/>
      </c>
      <c r="G1169" s="116" t="str">
        <f aca="false">IF($A1169="","",'Agences &amp; Après-vente'!$F371)</f>
        <v/>
      </c>
      <c r="H1169" s="0" t="str">
        <f aca="true">IF($A1169="","",IFERROR(MAX(0,NETWORKDAYS(TODAY(),'Agences &amp; Après-vente'!$F371)),""))</f>
        <v/>
      </c>
      <c r="I1169" s="0" t="str">
        <f aca="false">IF($A1169="","",'Agences &amp; Après-vente'!$I371)</f>
        <v/>
      </c>
      <c r="K1169" s="104" t="n">
        <f aca="false">IF(A1169="",0,IF(IFERROR(VLOOKUP(A1169,Skills!$A:$M,13,FALSE()),"")="COS",0,IF(OR(I1169="En cours",I1169="À venir",I1169="À planifier"),IF(AND(OR($C$3="Tous",$C$3="",C1169=$C$3),OR($E$3="Tous",$E$3="",I1169=$E$3)),1,0),0)))</f>
        <v>0</v>
      </c>
      <c r="L1169" s="104" t="n">
        <f aca="false">L1168+K1169</f>
        <v>17</v>
      </c>
    </row>
    <row r="1170" customFormat="false" ht="15" hidden="true" customHeight="true" outlineLevel="0" collapsed="false">
      <c r="A1170" s="0" t="str">
        <f aca="false">IF('Agences &amp; Après-vente'!$A372="","",'Agences &amp; Après-vente'!$A372)</f>
        <v/>
      </c>
      <c r="B1170" s="0" t="str">
        <f aca="false">IF($A1170="","",'Agences &amp; Après-vente'!$B372)</f>
        <v/>
      </c>
      <c r="C1170" s="0" t="str">
        <f aca="false">IF($A1170="","",'Agences &amp; Après-vente'!$C372)</f>
        <v/>
      </c>
      <c r="D1170" s="0" t="str">
        <f aca="false">IF($A1170="","","Nouvelle compétence")</f>
        <v/>
      </c>
      <c r="E1170" s="0" t="str">
        <f aca="false">IF($A1170="","",'Agences &amp; Après-vente'!$D372)</f>
        <v/>
      </c>
      <c r="F1170" s="116" t="str">
        <f aca="false">IF($A1170="","",'Agences &amp; Après-vente'!$E372)</f>
        <v/>
      </c>
      <c r="G1170" s="116" t="str">
        <f aca="false">IF($A1170="","",'Agences &amp; Après-vente'!$F372)</f>
        <v/>
      </c>
      <c r="H1170" s="0" t="str">
        <f aca="true">IF($A1170="","",IFERROR(MAX(0,NETWORKDAYS(TODAY(),'Agences &amp; Après-vente'!$F372)),""))</f>
        <v/>
      </c>
      <c r="I1170" s="0" t="str">
        <f aca="false">IF($A1170="","",'Agences &amp; Après-vente'!$I372)</f>
        <v/>
      </c>
      <c r="K1170" s="104" t="n">
        <f aca="false">IF(A1170="",0,IF(IFERROR(VLOOKUP(A1170,Skills!$A:$M,13,FALSE()),"")="COS",0,IF(OR(I1170="En cours",I1170="À venir",I1170="À planifier"),IF(AND(OR($C$3="Tous",$C$3="",C1170=$C$3),OR($E$3="Tous",$E$3="",I1170=$E$3)),1,0),0)))</f>
        <v>0</v>
      </c>
      <c r="L1170" s="104" t="n">
        <f aca="false">L1169+K1170</f>
        <v>17</v>
      </c>
    </row>
    <row r="1171" customFormat="false" ht="15" hidden="true" customHeight="true" outlineLevel="0" collapsed="false">
      <c r="A1171" s="0" t="str">
        <f aca="false">IF('Agences &amp; Après-vente'!$A373="","",'Agences &amp; Après-vente'!$A373)</f>
        <v/>
      </c>
      <c r="B1171" s="0" t="str">
        <f aca="false">IF($A1171="","",'Agences &amp; Après-vente'!$B373)</f>
        <v/>
      </c>
      <c r="C1171" s="0" t="str">
        <f aca="false">IF($A1171="","",'Agences &amp; Après-vente'!$C373)</f>
        <v/>
      </c>
      <c r="D1171" s="0" t="str">
        <f aca="false">IF($A1171="","","Nouvelle compétence")</f>
        <v/>
      </c>
      <c r="E1171" s="0" t="str">
        <f aca="false">IF($A1171="","",'Agences &amp; Après-vente'!$D373)</f>
        <v/>
      </c>
      <c r="F1171" s="116" t="str">
        <f aca="false">IF($A1171="","",'Agences &amp; Après-vente'!$E373)</f>
        <v/>
      </c>
      <c r="G1171" s="116" t="str">
        <f aca="false">IF($A1171="","",'Agences &amp; Après-vente'!$F373)</f>
        <v/>
      </c>
      <c r="H1171" s="0" t="str">
        <f aca="true">IF($A1171="","",IFERROR(MAX(0,NETWORKDAYS(TODAY(),'Agences &amp; Après-vente'!$F373)),""))</f>
        <v/>
      </c>
      <c r="I1171" s="0" t="str">
        <f aca="false">IF($A1171="","",'Agences &amp; Après-vente'!$I373)</f>
        <v/>
      </c>
      <c r="K1171" s="104" t="n">
        <f aca="false">IF(A1171="",0,IF(IFERROR(VLOOKUP(A1171,Skills!$A:$M,13,FALSE()),"")="COS",0,IF(OR(I1171="En cours",I1171="À venir",I1171="À planifier"),IF(AND(OR($C$3="Tous",$C$3="",C1171=$C$3),OR($E$3="Tous",$E$3="",I1171=$E$3)),1,0),0)))</f>
        <v>0</v>
      </c>
      <c r="L1171" s="104" t="n">
        <f aca="false">L1170+K1171</f>
        <v>17</v>
      </c>
    </row>
    <row r="1172" customFormat="false" ht="15" hidden="true" customHeight="true" outlineLevel="0" collapsed="false">
      <c r="A1172" s="0" t="str">
        <f aca="false">IF('Agences &amp; Après-vente'!$A374="","",'Agences &amp; Après-vente'!$A374)</f>
        <v/>
      </c>
      <c r="B1172" s="0" t="str">
        <f aca="false">IF($A1172="","",'Agences &amp; Après-vente'!$B374)</f>
        <v/>
      </c>
      <c r="C1172" s="0" t="str">
        <f aca="false">IF($A1172="","",'Agences &amp; Après-vente'!$C374)</f>
        <v/>
      </c>
      <c r="D1172" s="0" t="str">
        <f aca="false">IF($A1172="","","Nouvelle compétence")</f>
        <v/>
      </c>
      <c r="E1172" s="0" t="str">
        <f aca="false">IF($A1172="","",'Agences &amp; Après-vente'!$D374)</f>
        <v/>
      </c>
      <c r="F1172" s="116" t="str">
        <f aca="false">IF($A1172="","",'Agences &amp; Après-vente'!$E374)</f>
        <v/>
      </c>
      <c r="G1172" s="116" t="str">
        <f aca="false">IF($A1172="","",'Agences &amp; Après-vente'!$F374)</f>
        <v/>
      </c>
      <c r="H1172" s="0" t="str">
        <f aca="true">IF($A1172="","",IFERROR(MAX(0,NETWORKDAYS(TODAY(),'Agences &amp; Après-vente'!$F374)),""))</f>
        <v/>
      </c>
      <c r="I1172" s="0" t="str">
        <f aca="false">IF($A1172="","",'Agences &amp; Après-vente'!$I374)</f>
        <v/>
      </c>
      <c r="K1172" s="104" t="n">
        <f aca="false">IF(A1172="",0,IF(IFERROR(VLOOKUP(A1172,Skills!$A:$M,13,FALSE()),"")="COS",0,IF(OR(I1172="En cours",I1172="À venir",I1172="À planifier"),IF(AND(OR($C$3="Tous",$C$3="",C1172=$C$3),OR($E$3="Tous",$E$3="",I1172=$E$3)),1,0),0)))</f>
        <v>0</v>
      </c>
      <c r="L1172" s="104" t="n">
        <f aca="false">L1171+K1172</f>
        <v>17</v>
      </c>
    </row>
    <row r="1173" customFormat="false" ht="15" hidden="true" customHeight="true" outlineLevel="0" collapsed="false">
      <c r="A1173" s="0" t="str">
        <f aca="false">IF('Agences &amp; Après-vente'!$A375="","",'Agences &amp; Après-vente'!$A375)</f>
        <v/>
      </c>
      <c r="B1173" s="0" t="str">
        <f aca="false">IF($A1173="","",'Agences &amp; Après-vente'!$B375)</f>
        <v/>
      </c>
      <c r="C1173" s="0" t="str">
        <f aca="false">IF($A1173="","",'Agences &amp; Après-vente'!$C375)</f>
        <v/>
      </c>
      <c r="D1173" s="0" t="str">
        <f aca="false">IF($A1173="","","Nouvelle compétence")</f>
        <v/>
      </c>
      <c r="E1173" s="0" t="str">
        <f aca="false">IF($A1173="","",'Agences &amp; Après-vente'!$D375)</f>
        <v/>
      </c>
      <c r="F1173" s="116" t="str">
        <f aca="false">IF($A1173="","",'Agences &amp; Après-vente'!$E375)</f>
        <v/>
      </c>
      <c r="G1173" s="116" t="str">
        <f aca="false">IF($A1173="","",'Agences &amp; Après-vente'!$F375)</f>
        <v/>
      </c>
      <c r="H1173" s="0" t="str">
        <f aca="true">IF($A1173="","",IFERROR(MAX(0,NETWORKDAYS(TODAY(),'Agences &amp; Après-vente'!$F375)),""))</f>
        <v/>
      </c>
      <c r="I1173" s="0" t="str">
        <f aca="false">IF($A1173="","",'Agences &amp; Après-vente'!$I375)</f>
        <v/>
      </c>
      <c r="K1173" s="104" t="n">
        <f aca="false">IF(A1173="",0,IF(IFERROR(VLOOKUP(A1173,Skills!$A:$M,13,FALSE()),"")="COS",0,IF(OR(I1173="En cours",I1173="À venir",I1173="À planifier"),IF(AND(OR($C$3="Tous",$C$3="",C1173=$C$3),OR($E$3="Tous",$E$3="",I1173=$E$3)),1,0),0)))</f>
        <v>0</v>
      </c>
      <c r="L1173" s="104" t="n">
        <f aca="false">L1172+K1173</f>
        <v>17</v>
      </c>
    </row>
    <row r="1174" customFormat="false" ht="15" hidden="true" customHeight="true" outlineLevel="0" collapsed="false">
      <c r="A1174" s="0" t="str">
        <f aca="false">IF('Agences &amp; Après-vente'!$A376="","",'Agences &amp; Après-vente'!$A376)</f>
        <v/>
      </c>
      <c r="B1174" s="0" t="str">
        <f aca="false">IF($A1174="","",'Agences &amp; Après-vente'!$B376)</f>
        <v/>
      </c>
      <c r="C1174" s="0" t="str">
        <f aca="false">IF($A1174="","",'Agences &amp; Après-vente'!$C376)</f>
        <v/>
      </c>
      <c r="D1174" s="0" t="str">
        <f aca="false">IF($A1174="","","Nouvelle compétence")</f>
        <v/>
      </c>
      <c r="E1174" s="0" t="str">
        <f aca="false">IF($A1174="","",'Agences &amp; Après-vente'!$D376)</f>
        <v/>
      </c>
      <c r="F1174" s="116" t="str">
        <f aca="false">IF($A1174="","",'Agences &amp; Après-vente'!$E376)</f>
        <v/>
      </c>
      <c r="G1174" s="116" t="str">
        <f aca="false">IF($A1174="","",'Agences &amp; Après-vente'!$F376)</f>
        <v/>
      </c>
      <c r="H1174" s="0" t="str">
        <f aca="true">IF($A1174="","",IFERROR(MAX(0,NETWORKDAYS(TODAY(),'Agences &amp; Après-vente'!$F376)),""))</f>
        <v/>
      </c>
      <c r="I1174" s="0" t="str">
        <f aca="false">IF($A1174="","",'Agences &amp; Après-vente'!$I376)</f>
        <v/>
      </c>
      <c r="K1174" s="104" t="n">
        <f aca="false">IF(A1174="",0,IF(IFERROR(VLOOKUP(A1174,Skills!$A:$M,13,FALSE()),"")="COS",0,IF(OR(I1174="En cours",I1174="À venir",I1174="À planifier"),IF(AND(OR($C$3="Tous",$C$3="",C1174=$C$3),OR($E$3="Tous",$E$3="",I1174=$E$3)),1,0),0)))</f>
        <v>0</v>
      </c>
      <c r="L1174" s="104" t="n">
        <f aca="false">L1173+K1174</f>
        <v>17</v>
      </c>
    </row>
    <row r="1175" customFormat="false" ht="15" hidden="true" customHeight="true" outlineLevel="0" collapsed="false">
      <c r="A1175" s="0" t="str">
        <f aca="false">IF('Agences &amp; Après-vente'!$A377="","",'Agences &amp; Après-vente'!$A377)</f>
        <v/>
      </c>
      <c r="B1175" s="0" t="str">
        <f aca="false">IF($A1175="","",'Agences &amp; Après-vente'!$B377)</f>
        <v/>
      </c>
      <c r="C1175" s="0" t="str">
        <f aca="false">IF($A1175="","",'Agences &amp; Après-vente'!$C377)</f>
        <v/>
      </c>
      <c r="D1175" s="0" t="str">
        <f aca="false">IF($A1175="","","Nouvelle compétence")</f>
        <v/>
      </c>
      <c r="E1175" s="0" t="str">
        <f aca="false">IF($A1175="","",'Agences &amp; Après-vente'!$D377)</f>
        <v/>
      </c>
      <c r="F1175" s="116" t="str">
        <f aca="false">IF($A1175="","",'Agences &amp; Après-vente'!$E377)</f>
        <v/>
      </c>
      <c r="G1175" s="116" t="str">
        <f aca="false">IF($A1175="","",'Agences &amp; Après-vente'!$F377)</f>
        <v/>
      </c>
      <c r="H1175" s="0" t="str">
        <f aca="true">IF($A1175="","",IFERROR(MAX(0,NETWORKDAYS(TODAY(),'Agences &amp; Après-vente'!$F377)),""))</f>
        <v/>
      </c>
      <c r="I1175" s="0" t="str">
        <f aca="false">IF($A1175="","",'Agences &amp; Après-vente'!$I377)</f>
        <v/>
      </c>
      <c r="K1175" s="104" t="n">
        <f aca="false">IF(A1175="",0,IF(IFERROR(VLOOKUP(A1175,Skills!$A:$M,13,FALSE()),"")="COS",0,IF(OR(I1175="En cours",I1175="À venir",I1175="À planifier"),IF(AND(OR($C$3="Tous",$C$3="",C1175=$C$3),OR($E$3="Tous",$E$3="",I1175=$E$3)),1,0),0)))</f>
        <v>0</v>
      </c>
      <c r="L1175" s="104" t="n">
        <f aca="false">L1174+K1175</f>
        <v>17</v>
      </c>
    </row>
    <row r="1176" customFormat="false" ht="15" hidden="true" customHeight="true" outlineLevel="0" collapsed="false">
      <c r="A1176" s="0" t="str">
        <f aca="false">IF('Agences &amp; Après-vente'!$A378="","",'Agences &amp; Après-vente'!$A378)</f>
        <v/>
      </c>
      <c r="B1176" s="0" t="str">
        <f aca="false">IF($A1176="","",'Agences &amp; Après-vente'!$B378)</f>
        <v/>
      </c>
      <c r="C1176" s="0" t="str">
        <f aca="false">IF($A1176="","",'Agences &amp; Après-vente'!$C378)</f>
        <v/>
      </c>
      <c r="D1176" s="0" t="str">
        <f aca="false">IF($A1176="","","Nouvelle compétence")</f>
        <v/>
      </c>
      <c r="E1176" s="0" t="str">
        <f aca="false">IF($A1176="","",'Agences &amp; Après-vente'!$D378)</f>
        <v/>
      </c>
      <c r="F1176" s="116" t="str">
        <f aca="false">IF($A1176="","",'Agences &amp; Après-vente'!$E378)</f>
        <v/>
      </c>
      <c r="G1176" s="116" t="str">
        <f aca="false">IF($A1176="","",'Agences &amp; Après-vente'!$F378)</f>
        <v/>
      </c>
      <c r="H1176" s="0" t="str">
        <f aca="true">IF($A1176="","",IFERROR(MAX(0,NETWORKDAYS(TODAY(),'Agences &amp; Après-vente'!$F378)),""))</f>
        <v/>
      </c>
      <c r="I1176" s="0" t="str">
        <f aca="false">IF($A1176="","",'Agences &amp; Après-vente'!$I378)</f>
        <v/>
      </c>
      <c r="K1176" s="104" t="n">
        <f aca="false">IF(A1176="",0,IF(IFERROR(VLOOKUP(A1176,Skills!$A:$M,13,FALSE()),"")="COS",0,IF(OR(I1176="En cours",I1176="À venir",I1176="À planifier"),IF(AND(OR($C$3="Tous",$C$3="",C1176=$C$3),OR($E$3="Tous",$E$3="",I1176=$E$3)),1,0),0)))</f>
        <v>0</v>
      </c>
      <c r="L1176" s="104" t="n">
        <f aca="false">L1175+K1176</f>
        <v>17</v>
      </c>
    </row>
    <row r="1177" customFormat="false" ht="15" hidden="true" customHeight="true" outlineLevel="0" collapsed="false">
      <c r="A1177" s="0" t="str">
        <f aca="false">IF('Agences &amp; Après-vente'!$A379="","",'Agences &amp; Après-vente'!$A379)</f>
        <v/>
      </c>
      <c r="B1177" s="0" t="str">
        <f aca="false">IF($A1177="","",'Agences &amp; Après-vente'!$B379)</f>
        <v/>
      </c>
      <c r="C1177" s="0" t="str">
        <f aca="false">IF($A1177="","",'Agences &amp; Après-vente'!$C379)</f>
        <v/>
      </c>
      <c r="D1177" s="0" t="str">
        <f aca="false">IF($A1177="","","Nouvelle compétence")</f>
        <v/>
      </c>
      <c r="E1177" s="0" t="str">
        <f aca="false">IF($A1177="","",'Agences &amp; Après-vente'!$D379)</f>
        <v/>
      </c>
      <c r="F1177" s="116" t="str">
        <f aca="false">IF($A1177="","",'Agences &amp; Après-vente'!$E379)</f>
        <v/>
      </c>
      <c r="G1177" s="116" t="str">
        <f aca="false">IF($A1177="","",'Agences &amp; Après-vente'!$F379)</f>
        <v/>
      </c>
      <c r="H1177" s="0" t="str">
        <f aca="true">IF($A1177="","",IFERROR(MAX(0,NETWORKDAYS(TODAY(),'Agences &amp; Après-vente'!$F379)),""))</f>
        <v/>
      </c>
      <c r="I1177" s="0" t="str">
        <f aca="false">IF($A1177="","",'Agences &amp; Après-vente'!$I379)</f>
        <v/>
      </c>
      <c r="K1177" s="104" t="n">
        <f aca="false">IF(A1177="",0,IF(IFERROR(VLOOKUP(A1177,Skills!$A:$M,13,FALSE()),"")="COS",0,IF(OR(I1177="En cours",I1177="À venir",I1177="À planifier"),IF(AND(OR($C$3="Tous",$C$3="",C1177=$C$3),OR($E$3="Tous",$E$3="",I1177=$E$3)),1,0),0)))</f>
        <v>0</v>
      </c>
      <c r="L1177" s="104" t="n">
        <f aca="false">L1176+K1177</f>
        <v>17</v>
      </c>
    </row>
    <row r="1178" customFormat="false" ht="15" hidden="true" customHeight="true" outlineLevel="0" collapsed="false">
      <c r="A1178" s="0" t="str">
        <f aca="false">IF('Agences &amp; Après-vente'!$A380="","",'Agences &amp; Après-vente'!$A380)</f>
        <v/>
      </c>
      <c r="B1178" s="0" t="str">
        <f aca="false">IF($A1178="","",'Agences &amp; Après-vente'!$B380)</f>
        <v/>
      </c>
      <c r="C1178" s="0" t="str">
        <f aca="false">IF($A1178="","",'Agences &amp; Après-vente'!$C380)</f>
        <v/>
      </c>
      <c r="D1178" s="0" t="str">
        <f aca="false">IF($A1178="","","Nouvelle compétence")</f>
        <v/>
      </c>
      <c r="E1178" s="0" t="str">
        <f aca="false">IF($A1178="","",'Agences &amp; Après-vente'!$D380)</f>
        <v/>
      </c>
      <c r="F1178" s="116" t="str">
        <f aca="false">IF($A1178="","",'Agences &amp; Après-vente'!$E380)</f>
        <v/>
      </c>
      <c r="G1178" s="116" t="str">
        <f aca="false">IF($A1178="","",'Agences &amp; Après-vente'!$F380)</f>
        <v/>
      </c>
      <c r="H1178" s="0" t="str">
        <f aca="true">IF($A1178="","",IFERROR(MAX(0,NETWORKDAYS(TODAY(),'Agences &amp; Après-vente'!$F380)),""))</f>
        <v/>
      </c>
      <c r="I1178" s="0" t="str">
        <f aca="false">IF($A1178="","",'Agences &amp; Après-vente'!$I380)</f>
        <v/>
      </c>
      <c r="K1178" s="104" t="n">
        <f aca="false">IF(A1178="",0,IF(IFERROR(VLOOKUP(A1178,Skills!$A:$M,13,FALSE()),"")="COS",0,IF(OR(I1178="En cours",I1178="À venir",I1178="À planifier"),IF(AND(OR($C$3="Tous",$C$3="",C1178=$C$3),OR($E$3="Tous",$E$3="",I1178=$E$3)),1,0),0)))</f>
        <v>0</v>
      </c>
      <c r="L1178" s="104" t="n">
        <f aca="false">L1177+K1178</f>
        <v>17</v>
      </c>
    </row>
    <row r="1179" customFormat="false" ht="15" hidden="true" customHeight="true" outlineLevel="0" collapsed="false">
      <c r="A1179" s="0" t="str">
        <f aca="false">IF('Agences &amp; Après-vente'!$A381="","",'Agences &amp; Après-vente'!$A381)</f>
        <v/>
      </c>
      <c r="B1179" s="0" t="str">
        <f aca="false">IF($A1179="","",'Agences &amp; Après-vente'!$B381)</f>
        <v/>
      </c>
      <c r="C1179" s="0" t="str">
        <f aca="false">IF($A1179="","",'Agences &amp; Après-vente'!$C381)</f>
        <v/>
      </c>
      <c r="D1179" s="0" t="str">
        <f aca="false">IF($A1179="","","Nouvelle compétence")</f>
        <v/>
      </c>
      <c r="E1179" s="0" t="str">
        <f aca="false">IF($A1179="","",'Agences &amp; Après-vente'!$D381)</f>
        <v/>
      </c>
      <c r="F1179" s="116" t="str">
        <f aca="false">IF($A1179="","",'Agences &amp; Après-vente'!$E381)</f>
        <v/>
      </c>
      <c r="G1179" s="116" t="str">
        <f aca="false">IF($A1179="","",'Agences &amp; Après-vente'!$F381)</f>
        <v/>
      </c>
      <c r="H1179" s="0" t="str">
        <f aca="true">IF($A1179="","",IFERROR(MAX(0,NETWORKDAYS(TODAY(),'Agences &amp; Après-vente'!$F381)),""))</f>
        <v/>
      </c>
      <c r="I1179" s="0" t="str">
        <f aca="false">IF($A1179="","",'Agences &amp; Après-vente'!$I381)</f>
        <v/>
      </c>
      <c r="K1179" s="104" t="n">
        <f aca="false">IF(A1179="",0,IF(IFERROR(VLOOKUP(A1179,Skills!$A:$M,13,FALSE()),"")="COS",0,IF(OR(I1179="En cours",I1179="À venir",I1179="À planifier"),IF(AND(OR($C$3="Tous",$C$3="",C1179=$C$3),OR($E$3="Tous",$E$3="",I1179=$E$3)),1,0),0)))</f>
        <v>0</v>
      </c>
      <c r="L1179" s="104" t="n">
        <f aca="false">L1178+K1179</f>
        <v>17</v>
      </c>
    </row>
    <row r="1180" customFormat="false" ht="15" hidden="true" customHeight="true" outlineLevel="0" collapsed="false">
      <c r="A1180" s="0" t="str">
        <f aca="false">IF('Agences &amp; Après-vente'!$A382="","",'Agences &amp; Après-vente'!$A382)</f>
        <v/>
      </c>
      <c r="B1180" s="0" t="str">
        <f aca="false">IF($A1180="","",'Agences &amp; Après-vente'!$B382)</f>
        <v/>
      </c>
      <c r="C1180" s="0" t="str">
        <f aca="false">IF($A1180="","",'Agences &amp; Après-vente'!$C382)</f>
        <v/>
      </c>
      <c r="D1180" s="0" t="str">
        <f aca="false">IF($A1180="","","Nouvelle compétence")</f>
        <v/>
      </c>
      <c r="E1180" s="0" t="str">
        <f aca="false">IF($A1180="","",'Agences &amp; Après-vente'!$D382)</f>
        <v/>
      </c>
      <c r="F1180" s="116" t="str">
        <f aca="false">IF($A1180="","",'Agences &amp; Après-vente'!$E382)</f>
        <v/>
      </c>
      <c r="G1180" s="116" t="str">
        <f aca="false">IF($A1180="","",'Agences &amp; Après-vente'!$F382)</f>
        <v/>
      </c>
      <c r="H1180" s="0" t="str">
        <f aca="true">IF($A1180="","",IFERROR(MAX(0,NETWORKDAYS(TODAY(),'Agences &amp; Après-vente'!$F382)),""))</f>
        <v/>
      </c>
      <c r="I1180" s="0" t="str">
        <f aca="false">IF($A1180="","",'Agences &amp; Après-vente'!$I382)</f>
        <v/>
      </c>
      <c r="K1180" s="104" t="n">
        <f aca="false">IF(A1180="",0,IF(IFERROR(VLOOKUP(A1180,Skills!$A:$M,13,FALSE()),"")="COS",0,IF(OR(I1180="En cours",I1180="À venir",I1180="À planifier"),IF(AND(OR($C$3="Tous",$C$3="",C1180=$C$3),OR($E$3="Tous",$E$3="",I1180=$E$3)),1,0),0)))</f>
        <v>0</v>
      </c>
      <c r="L1180" s="104" t="n">
        <f aca="false">L1179+K1180</f>
        <v>17</v>
      </c>
    </row>
    <row r="1181" customFormat="false" ht="15" hidden="true" customHeight="true" outlineLevel="0" collapsed="false">
      <c r="A1181" s="0" t="str">
        <f aca="false">IF('Agences &amp; Après-vente'!$A383="","",'Agences &amp; Après-vente'!$A383)</f>
        <v/>
      </c>
      <c r="B1181" s="0" t="str">
        <f aca="false">IF($A1181="","",'Agences &amp; Après-vente'!$B383)</f>
        <v/>
      </c>
      <c r="C1181" s="0" t="str">
        <f aca="false">IF($A1181="","",'Agences &amp; Après-vente'!$C383)</f>
        <v/>
      </c>
      <c r="D1181" s="0" t="str">
        <f aca="false">IF($A1181="","","Nouvelle compétence")</f>
        <v/>
      </c>
      <c r="E1181" s="0" t="str">
        <f aca="false">IF($A1181="","",'Agences &amp; Après-vente'!$D383)</f>
        <v/>
      </c>
      <c r="F1181" s="116" t="str">
        <f aca="false">IF($A1181="","",'Agences &amp; Après-vente'!$E383)</f>
        <v/>
      </c>
      <c r="G1181" s="116" t="str">
        <f aca="false">IF($A1181="","",'Agences &amp; Après-vente'!$F383)</f>
        <v/>
      </c>
      <c r="H1181" s="0" t="str">
        <f aca="true">IF($A1181="","",IFERROR(MAX(0,NETWORKDAYS(TODAY(),'Agences &amp; Après-vente'!$F383)),""))</f>
        <v/>
      </c>
      <c r="I1181" s="0" t="str">
        <f aca="false">IF($A1181="","",'Agences &amp; Après-vente'!$I383)</f>
        <v/>
      </c>
      <c r="K1181" s="104" t="n">
        <f aca="false">IF(A1181="",0,IF(IFERROR(VLOOKUP(A1181,Skills!$A:$M,13,FALSE()),"")="COS",0,IF(OR(I1181="En cours",I1181="À venir",I1181="À planifier"),IF(AND(OR($C$3="Tous",$C$3="",C1181=$C$3),OR($E$3="Tous",$E$3="",I1181=$E$3)),1,0),0)))</f>
        <v>0</v>
      </c>
      <c r="L1181" s="104" t="n">
        <f aca="false">L1180+K1181</f>
        <v>17</v>
      </c>
    </row>
    <row r="1182" customFormat="false" ht="15" hidden="true" customHeight="true" outlineLevel="0" collapsed="false">
      <c r="A1182" s="0" t="str">
        <f aca="false">IF('Agences &amp; Après-vente'!$A384="","",'Agences &amp; Après-vente'!$A384)</f>
        <v/>
      </c>
      <c r="B1182" s="0" t="str">
        <f aca="false">IF($A1182="","",'Agences &amp; Après-vente'!$B384)</f>
        <v/>
      </c>
      <c r="C1182" s="0" t="str">
        <f aca="false">IF($A1182="","",'Agences &amp; Après-vente'!$C384)</f>
        <v/>
      </c>
      <c r="D1182" s="0" t="str">
        <f aca="false">IF($A1182="","","Nouvelle compétence")</f>
        <v/>
      </c>
      <c r="E1182" s="0" t="str">
        <f aca="false">IF($A1182="","",'Agences &amp; Après-vente'!$D384)</f>
        <v/>
      </c>
      <c r="F1182" s="116" t="str">
        <f aca="false">IF($A1182="","",'Agences &amp; Après-vente'!$E384)</f>
        <v/>
      </c>
      <c r="G1182" s="116" t="str">
        <f aca="false">IF($A1182="","",'Agences &amp; Après-vente'!$F384)</f>
        <v/>
      </c>
      <c r="H1182" s="0" t="str">
        <f aca="true">IF($A1182="","",IFERROR(MAX(0,NETWORKDAYS(TODAY(),'Agences &amp; Après-vente'!$F384)),""))</f>
        <v/>
      </c>
      <c r="I1182" s="0" t="str">
        <f aca="false">IF($A1182="","",'Agences &amp; Après-vente'!$I384)</f>
        <v/>
      </c>
      <c r="K1182" s="104" t="n">
        <f aca="false">IF(A1182="",0,IF(IFERROR(VLOOKUP(A1182,Skills!$A:$M,13,FALSE()),"")="COS",0,IF(OR(I1182="En cours",I1182="À venir",I1182="À planifier"),IF(AND(OR($C$3="Tous",$C$3="",C1182=$C$3),OR($E$3="Tous",$E$3="",I1182=$E$3)),1,0),0)))</f>
        <v>0</v>
      </c>
      <c r="L1182" s="104" t="n">
        <f aca="false">L1181+K1182</f>
        <v>17</v>
      </c>
    </row>
    <row r="1183" customFormat="false" ht="15" hidden="true" customHeight="true" outlineLevel="0" collapsed="false">
      <c r="A1183" s="0" t="str">
        <f aca="false">IF('Agences &amp; Après-vente'!$A385="","",'Agences &amp; Après-vente'!$A385)</f>
        <v/>
      </c>
      <c r="B1183" s="0" t="str">
        <f aca="false">IF($A1183="","",'Agences &amp; Après-vente'!$B385)</f>
        <v/>
      </c>
      <c r="C1183" s="0" t="str">
        <f aca="false">IF($A1183="","",'Agences &amp; Après-vente'!$C385)</f>
        <v/>
      </c>
      <c r="D1183" s="0" t="str">
        <f aca="false">IF($A1183="","","Nouvelle compétence")</f>
        <v/>
      </c>
      <c r="E1183" s="0" t="str">
        <f aca="false">IF($A1183="","",'Agences &amp; Après-vente'!$D385)</f>
        <v/>
      </c>
      <c r="F1183" s="116" t="str">
        <f aca="false">IF($A1183="","",'Agences &amp; Après-vente'!$E385)</f>
        <v/>
      </c>
      <c r="G1183" s="116" t="str">
        <f aca="false">IF($A1183="","",'Agences &amp; Après-vente'!$F385)</f>
        <v/>
      </c>
      <c r="H1183" s="0" t="str">
        <f aca="true">IF($A1183="","",IFERROR(MAX(0,NETWORKDAYS(TODAY(),'Agences &amp; Après-vente'!$F385)),""))</f>
        <v/>
      </c>
      <c r="I1183" s="0" t="str">
        <f aca="false">IF($A1183="","",'Agences &amp; Après-vente'!$I385)</f>
        <v/>
      </c>
      <c r="K1183" s="104" t="n">
        <f aca="false">IF(A1183="",0,IF(IFERROR(VLOOKUP(A1183,Skills!$A:$M,13,FALSE()),"")="COS",0,IF(OR(I1183="En cours",I1183="À venir",I1183="À planifier"),IF(AND(OR($C$3="Tous",$C$3="",C1183=$C$3),OR($E$3="Tous",$E$3="",I1183=$E$3)),1,0),0)))</f>
        <v>0</v>
      </c>
      <c r="L1183" s="104" t="n">
        <f aca="false">L1182+K1183</f>
        <v>17</v>
      </c>
    </row>
    <row r="1184" customFormat="false" ht="15" hidden="true" customHeight="true" outlineLevel="0" collapsed="false">
      <c r="A1184" s="0" t="str">
        <f aca="false">IF('Agences &amp; Après-vente'!$A386="","",'Agences &amp; Après-vente'!$A386)</f>
        <v/>
      </c>
      <c r="B1184" s="0" t="str">
        <f aca="false">IF($A1184="","",'Agences &amp; Après-vente'!$B386)</f>
        <v/>
      </c>
      <c r="C1184" s="0" t="str">
        <f aca="false">IF($A1184="","",'Agences &amp; Après-vente'!$C386)</f>
        <v/>
      </c>
      <c r="D1184" s="0" t="str">
        <f aca="false">IF($A1184="","","Nouvelle compétence")</f>
        <v/>
      </c>
      <c r="E1184" s="0" t="str">
        <f aca="false">IF($A1184="","",'Agences &amp; Après-vente'!$D386)</f>
        <v/>
      </c>
      <c r="F1184" s="116" t="str">
        <f aca="false">IF($A1184="","",'Agences &amp; Après-vente'!$E386)</f>
        <v/>
      </c>
      <c r="G1184" s="116" t="str">
        <f aca="false">IF($A1184="","",'Agences &amp; Après-vente'!$F386)</f>
        <v/>
      </c>
      <c r="H1184" s="0" t="str">
        <f aca="true">IF($A1184="","",IFERROR(MAX(0,NETWORKDAYS(TODAY(),'Agences &amp; Après-vente'!$F386)),""))</f>
        <v/>
      </c>
      <c r="I1184" s="0" t="str">
        <f aca="false">IF($A1184="","",'Agences &amp; Après-vente'!$I386)</f>
        <v/>
      </c>
      <c r="K1184" s="104" t="n">
        <f aca="false">IF(A1184="",0,IF(IFERROR(VLOOKUP(A1184,Skills!$A:$M,13,FALSE()),"")="COS",0,IF(OR(I1184="En cours",I1184="À venir",I1184="À planifier"),IF(AND(OR($C$3="Tous",$C$3="",C1184=$C$3),OR($E$3="Tous",$E$3="",I1184=$E$3)),1,0),0)))</f>
        <v>0</v>
      </c>
      <c r="L1184" s="104" t="n">
        <f aca="false">L1183+K1184</f>
        <v>17</v>
      </c>
    </row>
    <row r="1185" customFormat="false" ht="15" hidden="true" customHeight="true" outlineLevel="0" collapsed="false">
      <c r="A1185" s="0" t="str">
        <f aca="false">IF('Agences &amp; Après-vente'!$A387="","",'Agences &amp; Après-vente'!$A387)</f>
        <v/>
      </c>
      <c r="B1185" s="0" t="str">
        <f aca="false">IF($A1185="","",'Agences &amp; Après-vente'!$B387)</f>
        <v/>
      </c>
      <c r="C1185" s="0" t="str">
        <f aca="false">IF($A1185="","",'Agences &amp; Après-vente'!$C387)</f>
        <v/>
      </c>
      <c r="D1185" s="0" t="str">
        <f aca="false">IF($A1185="","","Nouvelle compétence")</f>
        <v/>
      </c>
      <c r="E1185" s="0" t="str">
        <f aca="false">IF($A1185="","",'Agences &amp; Après-vente'!$D387)</f>
        <v/>
      </c>
      <c r="F1185" s="116" t="str">
        <f aca="false">IF($A1185="","",'Agences &amp; Après-vente'!$E387)</f>
        <v/>
      </c>
      <c r="G1185" s="116" t="str">
        <f aca="false">IF($A1185="","",'Agences &amp; Après-vente'!$F387)</f>
        <v/>
      </c>
      <c r="H1185" s="0" t="str">
        <f aca="true">IF($A1185="","",IFERROR(MAX(0,NETWORKDAYS(TODAY(),'Agences &amp; Après-vente'!$F387)),""))</f>
        <v/>
      </c>
      <c r="I1185" s="0" t="str">
        <f aca="false">IF($A1185="","",'Agences &amp; Après-vente'!$I387)</f>
        <v/>
      </c>
      <c r="K1185" s="104" t="n">
        <f aca="false">IF(A1185="",0,IF(IFERROR(VLOOKUP(A1185,Skills!$A:$M,13,FALSE()),"")="COS",0,IF(OR(I1185="En cours",I1185="À venir",I1185="À planifier"),IF(AND(OR($C$3="Tous",$C$3="",C1185=$C$3),OR($E$3="Tous",$E$3="",I1185=$E$3)),1,0),0)))</f>
        <v>0</v>
      </c>
      <c r="L1185" s="104" t="n">
        <f aca="false">L1184+K1185</f>
        <v>17</v>
      </c>
    </row>
    <row r="1186" customFormat="false" ht="15" hidden="true" customHeight="true" outlineLevel="0" collapsed="false">
      <c r="A1186" s="0" t="str">
        <f aca="false">IF('Agences &amp; Après-vente'!$A388="","",'Agences &amp; Après-vente'!$A388)</f>
        <v/>
      </c>
      <c r="B1186" s="0" t="str">
        <f aca="false">IF($A1186="","",'Agences &amp; Après-vente'!$B388)</f>
        <v/>
      </c>
      <c r="C1186" s="0" t="str">
        <f aca="false">IF($A1186="","",'Agences &amp; Après-vente'!$C388)</f>
        <v/>
      </c>
      <c r="D1186" s="0" t="str">
        <f aca="false">IF($A1186="","","Nouvelle compétence")</f>
        <v/>
      </c>
      <c r="E1186" s="0" t="str">
        <f aca="false">IF($A1186="","",'Agences &amp; Après-vente'!$D388)</f>
        <v/>
      </c>
      <c r="F1186" s="116" t="str">
        <f aca="false">IF($A1186="","",'Agences &amp; Après-vente'!$E388)</f>
        <v/>
      </c>
      <c r="G1186" s="116" t="str">
        <f aca="false">IF($A1186="","",'Agences &amp; Après-vente'!$F388)</f>
        <v/>
      </c>
      <c r="H1186" s="0" t="str">
        <f aca="true">IF($A1186="","",IFERROR(MAX(0,NETWORKDAYS(TODAY(),'Agences &amp; Après-vente'!$F388)),""))</f>
        <v/>
      </c>
      <c r="I1186" s="0" t="str">
        <f aca="false">IF($A1186="","",'Agences &amp; Après-vente'!$I388)</f>
        <v/>
      </c>
      <c r="K1186" s="104" t="n">
        <f aca="false">IF(A1186="",0,IF(IFERROR(VLOOKUP(A1186,Skills!$A:$M,13,FALSE()),"")="COS",0,IF(OR(I1186="En cours",I1186="À venir",I1186="À planifier"),IF(AND(OR($C$3="Tous",$C$3="",C1186=$C$3),OR($E$3="Tous",$E$3="",I1186=$E$3)),1,0),0)))</f>
        <v>0</v>
      </c>
      <c r="L1186" s="104" t="n">
        <f aca="false">L1185+K1186</f>
        <v>17</v>
      </c>
    </row>
    <row r="1187" customFormat="false" ht="15" hidden="true" customHeight="true" outlineLevel="0" collapsed="false">
      <c r="A1187" s="0" t="str">
        <f aca="false">IF('Agences &amp; Après-vente'!$A389="","",'Agences &amp; Après-vente'!$A389)</f>
        <v/>
      </c>
      <c r="B1187" s="0" t="str">
        <f aca="false">IF($A1187="","",'Agences &amp; Après-vente'!$B389)</f>
        <v/>
      </c>
      <c r="C1187" s="0" t="str">
        <f aca="false">IF($A1187="","",'Agences &amp; Après-vente'!$C389)</f>
        <v/>
      </c>
      <c r="D1187" s="0" t="str">
        <f aca="false">IF($A1187="","","Nouvelle compétence")</f>
        <v/>
      </c>
      <c r="E1187" s="0" t="str">
        <f aca="false">IF($A1187="","",'Agences &amp; Après-vente'!$D389)</f>
        <v/>
      </c>
      <c r="F1187" s="116" t="str">
        <f aca="false">IF($A1187="","",'Agences &amp; Après-vente'!$E389)</f>
        <v/>
      </c>
      <c r="G1187" s="116" t="str">
        <f aca="false">IF($A1187="","",'Agences &amp; Après-vente'!$F389)</f>
        <v/>
      </c>
      <c r="H1187" s="0" t="str">
        <f aca="true">IF($A1187="","",IFERROR(MAX(0,NETWORKDAYS(TODAY(),'Agences &amp; Après-vente'!$F389)),""))</f>
        <v/>
      </c>
      <c r="I1187" s="0" t="str">
        <f aca="false">IF($A1187="","",'Agences &amp; Après-vente'!$I389)</f>
        <v/>
      </c>
      <c r="K1187" s="104" t="n">
        <f aca="false">IF(A1187="",0,IF(IFERROR(VLOOKUP(A1187,Skills!$A:$M,13,FALSE()),"")="COS",0,IF(OR(I1187="En cours",I1187="À venir",I1187="À planifier"),IF(AND(OR($C$3="Tous",$C$3="",C1187=$C$3),OR($E$3="Tous",$E$3="",I1187=$E$3)),1,0),0)))</f>
        <v>0</v>
      </c>
      <c r="L1187" s="104" t="n">
        <f aca="false">L1186+K1187</f>
        <v>17</v>
      </c>
    </row>
    <row r="1188" customFormat="false" ht="15" hidden="true" customHeight="true" outlineLevel="0" collapsed="false">
      <c r="A1188" s="0" t="str">
        <f aca="false">IF('Agences &amp; Après-vente'!$A390="","",'Agences &amp; Après-vente'!$A390)</f>
        <v/>
      </c>
      <c r="B1188" s="0" t="str">
        <f aca="false">IF($A1188="","",'Agences &amp; Après-vente'!$B390)</f>
        <v/>
      </c>
      <c r="C1188" s="0" t="str">
        <f aca="false">IF($A1188="","",'Agences &amp; Après-vente'!$C390)</f>
        <v/>
      </c>
      <c r="D1188" s="0" t="str">
        <f aca="false">IF($A1188="","","Nouvelle compétence")</f>
        <v/>
      </c>
      <c r="E1188" s="0" t="str">
        <f aca="false">IF($A1188="","",'Agences &amp; Après-vente'!$D390)</f>
        <v/>
      </c>
      <c r="F1188" s="116" t="str">
        <f aca="false">IF($A1188="","",'Agences &amp; Après-vente'!$E390)</f>
        <v/>
      </c>
      <c r="G1188" s="116" t="str">
        <f aca="false">IF($A1188="","",'Agences &amp; Après-vente'!$F390)</f>
        <v/>
      </c>
      <c r="H1188" s="0" t="str">
        <f aca="true">IF($A1188="","",IFERROR(MAX(0,NETWORKDAYS(TODAY(),'Agences &amp; Après-vente'!$F390)),""))</f>
        <v/>
      </c>
      <c r="I1188" s="0" t="str">
        <f aca="false">IF($A1188="","",'Agences &amp; Après-vente'!$I390)</f>
        <v/>
      </c>
      <c r="K1188" s="104" t="n">
        <f aca="false">IF(A1188="",0,IF(IFERROR(VLOOKUP(A1188,Skills!$A:$M,13,FALSE()),"")="COS",0,IF(OR(I1188="En cours",I1188="À venir",I1188="À planifier"),IF(AND(OR($C$3="Tous",$C$3="",C1188=$C$3),OR($E$3="Tous",$E$3="",I1188=$E$3)),1,0),0)))</f>
        <v>0</v>
      </c>
      <c r="L1188" s="104" t="n">
        <f aca="false">L1187+K1188</f>
        <v>17</v>
      </c>
    </row>
    <row r="1189" customFormat="false" ht="15" hidden="true" customHeight="true" outlineLevel="0" collapsed="false">
      <c r="A1189" s="0" t="str">
        <f aca="false">IF('Agences &amp; Après-vente'!$A391="","",'Agences &amp; Après-vente'!$A391)</f>
        <v/>
      </c>
      <c r="B1189" s="0" t="str">
        <f aca="false">IF($A1189="","",'Agences &amp; Après-vente'!$B391)</f>
        <v/>
      </c>
      <c r="C1189" s="0" t="str">
        <f aca="false">IF($A1189="","",'Agences &amp; Après-vente'!$C391)</f>
        <v/>
      </c>
      <c r="D1189" s="0" t="str">
        <f aca="false">IF($A1189="","","Nouvelle compétence")</f>
        <v/>
      </c>
      <c r="E1189" s="0" t="str">
        <f aca="false">IF($A1189="","",'Agences &amp; Après-vente'!$D391)</f>
        <v/>
      </c>
      <c r="F1189" s="116" t="str">
        <f aca="false">IF($A1189="","",'Agences &amp; Après-vente'!$E391)</f>
        <v/>
      </c>
      <c r="G1189" s="116" t="str">
        <f aca="false">IF($A1189="","",'Agences &amp; Après-vente'!$F391)</f>
        <v/>
      </c>
      <c r="H1189" s="0" t="str">
        <f aca="true">IF($A1189="","",IFERROR(MAX(0,NETWORKDAYS(TODAY(),'Agences &amp; Après-vente'!$F391)),""))</f>
        <v/>
      </c>
      <c r="I1189" s="0" t="str">
        <f aca="false">IF($A1189="","",'Agences &amp; Après-vente'!$I391)</f>
        <v/>
      </c>
      <c r="K1189" s="104" t="n">
        <f aca="false">IF(A1189="",0,IF(IFERROR(VLOOKUP(A1189,Skills!$A:$M,13,FALSE()),"")="COS",0,IF(OR(I1189="En cours",I1189="À venir",I1189="À planifier"),IF(AND(OR($C$3="Tous",$C$3="",C1189=$C$3),OR($E$3="Tous",$E$3="",I1189=$E$3)),1,0),0)))</f>
        <v>0</v>
      </c>
      <c r="L1189" s="104" t="n">
        <f aca="false">L1188+K1189</f>
        <v>17</v>
      </c>
    </row>
    <row r="1190" customFormat="false" ht="15" hidden="true" customHeight="true" outlineLevel="0" collapsed="false">
      <c r="A1190" s="0" t="str">
        <f aca="false">IF('Agences &amp; Après-vente'!$A392="","",'Agences &amp; Après-vente'!$A392)</f>
        <v/>
      </c>
      <c r="B1190" s="0" t="str">
        <f aca="false">IF($A1190="","",'Agences &amp; Après-vente'!$B392)</f>
        <v/>
      </c>
      <c r="C1190" s="0" t="str">
        <f aca="false">IF($A1190="","",'Agences &amp; Après-vente'!$C392)</f>
        <v/>
      </c>
      <c r="D1190" s="0" t="str">
        <f aca="false">IF($A1190="","","Nouvelle compétence")</f>
        <v/>
      </c>
      <c r="E1190" s="0" t="str">
        <f aca="false">IF($A1190="","",'Agences &amp; Après-vente'!$D392)</f>
        <v/>
      </c>
      <c r="F1190" s="116" t="str">
        <f aca="false">IF($A1190="","",'Agences &amp; Après-vente'!$E392)</f>
        <v/>
      </c>
      <c r="G1190" s="116" t="str">
        <f aca="false">IF($A1190="","",'Agences &amp; Après-vente'!$F392)</f>
        <v/>
      </c>
      <c r="H1190" s="0" t="str">
        <f aca="true">IF($A1190="","",IFERROR(MAX(0,NETWORKDAYS(TODAY(),'Agences &amp; Après-vente'!$F392)),""))</f>
        <v/>
      </c>
      <c r="I1190" s="0" t="str">
        <f aca="false">IF($A1190="","",'Agences &amp; Après-vente'!$I392)</f>
        <v/>
      </c>
      <c r="K1190" s="104" t="n">
        <f aca="false">IF(A1190="",0,IF(IFERROR(VLOOKUP(A1190,Skills!$A:$M,13,FALSE()),"")="COS",0,IF(OR(I1190="En cours",I1190="À venir",I1190="À planifier"),IF(AND(OR($C$3="Tous",$C$3="",C1190=$C$3),OR($E$3="Tous",$E$3="",I1190=$E$3)),1,0),0)))</f>
        <v>0</v>
      </c>
      <c r="L1190" s="104" t="n">
        <f aca="false">L1189+K1190</f>
        <v>17</v>
      </c>
    </row>
    <row r="1191" customFormat="false" ht="15" hidden="true" customHeight="true" outlineLevel="0" collapsed="false">
      <c r="A1191" s="0" t="str">
        <f aca="false">IF('Agences &amp; Après-vente'!$A393="","",'Agences &amp; Après-vente'!$A393)</f>
        <v/>
      </c>
      <c r="B1191" s="0" t="str">
        <f aca="false">IF($A1191="","",'Agences &amp; Après-vente'!$B393)</f>
        <v/>
      </c>
      <c r="C1191" s="0" t="str">
        <f aca="false">IF($A1191="","",'Agences &amp; Après-vente'!$C393)</f>
        <v/>
      </c>
      <c r="D1191" s="0" t="str">
        <f aca="false">IF($A1191="","","Nouvelle compétence")</f>
        <v/>
      </c>
      <c r="E1191" s="0" t="str">
        <f aca="false">IF($A1191="","",'Agences &amp; Après-vente'!$D393)</f>
        <v/>
      </c>
      <c r="F1191" s="116" t="str">
        <f aca="false">IF($A1191="","",'Agences &amp; Après-vente'!$E393)</f>
        <v/>
      </c>
      <c r="G1191" s="116" t="str">
        <f aca="false">IF($A1191="","",'Agences &amp; Après-vente'!$F393)</f>
        <v/>
      </c>
      <c r="H1191" s="0" t="str">
        <f aca="true">IF($A1191="","",IFERROR(MAX(0,NETWORKDAYS(TODAY(),'Agences &amp; Après-vente'!$F393)),""))</f>
        <v/>
      </c>
      <c r="I1191" s="0" t="str">
        <f aca="false">IF($A1191="","",'Agences &amp; Après-vente'!$I393)</f>
        <v/>
      </c>
      <c r="K1191" s="104" t="n">
        <f aca="false">IF(A1191="",0,IF(IFERROR(VLOOKUP(A1191,Skills!$A:$M,13,FALSE()),"")="COS",0,IF(OR(I1191="En cours",I1191="À venir",I1191="À planifier"),IF(AND(OR($C$3="Tous",$C$3="",C1191=$C$3),OR($E$3="Tous",$E$3="",I1191=$E$3)),1,0),0)))</f>
        <v>0</v>
      </c>
      <c r="L1191" s="104" t="n">
        <f aca="false">L1190+K1191</f>
        <v>17</v>
      </c>
    </row>
    <row r="1192" customFormat="false" ht="15" hidden="true" customHeight="true" outlineLevel="0" collapsed="false">
      <c r="A1192" s="0" t="str">
        <f aca="false">IF('Agences &amp; Après-vente'!$A394="","",'Agences &amp; Après-vente'!$A394)</f>
        <v/>
      </c>
      <c r="B1192" s="0" t="str">
        <f aca="false">IF($A1192="","",'Agences &amp; Après-vente'!$B394)</f>
        <v/>
      </c>
      <c r="C1192" s="0" t="str">
        <f aca="false">IF($A1192="","",'Agences &amp; Après-vente'!$C394)</f>
        <v/>
      </c>
      <c r="D1192" s="0" t="str">
        <f aca="false">IF($A1192="","","Nouvelle compétence")</f>
        <v/>
      </c>
      <c r="E1192" s="0" t="str">
        <f aca="false">IF($A1192="","",'Agences &amp; Après-vente'!$D394)</f>
        <v/>
      </c>
      <c r="F1192" s="116" t="str">
        <f aca="false">IF($A1192="","",'Agences &amp; Après-vente'!$E394)</f>
        <v/>
      </c>
      <c r="G1192" s="116" t="str">
        <f aca="false">IF($A1192="","",'Agences &amp; Après-vente'!$F394)</f>
        <v/>
      </c>
      <c r="H1192" s="0" t="str">
        <f aca="true">IF($A1192="","",IFERROR(MAX(0,NETWORKDAYS(TODAY(),'Agences &amp; Après-vente'!$F394)),""))</f>
        <v/>
      </c>
      <c r="I1192" s="0" t="str">
        <f aca="false">IF($A1192="","",'Agences &amp; Après-vente'!$I394)</f>
        <v/>
      </c>
      <c r="K1192" s="104" t="n">
        <f aca="false">IF(A1192="",0,IF(IFERROR(VLOOKUP(A1192,Skills!$A:$M,13,FALSE()),"")="COS",0,IF(OR(I1192="En cours",I1192="À venir",I1192="À planifier"),IF(AND(OR($C$3="Tous",$C$3="",C1192=$C$3),OR($E$3="Tous",$E$3="",I1192=$E$3)),1,0),0)))</f>
        <v>0</v>
      </c>
      <c r="L1192" s="104" t="n">
        <f aca="false">L1191+K1192</f>
        <v>17</v>
      </c>
    </row>
    <row r="1193" customFormat="false" ht="15" hidden="true" customHeight="true" outlineLevel="0" collapsed="false">
      <c r="A1193" s="0" t="str">
        <f aca="false">IF('Agences &amp; Après-vente'!$A395="","",'Agences &amp; Après-vente'!$A395)</f>
        <v/>
      </c>
      <c r="B1193" s="0" t="str">
        <f aca="false">IF($A1193="","",'Agences &amp; Après-vente'!$B395)</f>
        <v/>
      </c>
      <c r="C1193" s="0" t="str">
        <f aca="false">IF($A1193="","",'Agences &amp; Après-vente'!$C395)</f>
        <v/>
      </c>
      <c r="D1193" s="0" t="str">
        <f aca="false">IF($A1193="","","Nouvelle compétence")</f>
        <v/>
      </c>
      <c r="E1193" s="0" t="str">
        <f aca="false">IF($A1193="","",'Agences &amp; Après-vente'!$D395)</f>
        <v/>
      </c>
      <c r="F1193" s="116" t="str">
        <f aca="false">IF($A1193="","",'Agences &amp; Après-vente'!$E395)</f>
        <v/>
      </c>
      <c r="G1193" s="116" t="str">
        <f aca="false">IF($A1193="","",'Agences &amp; Après-vente'!$F395)</f>
        <v/>
      </c>
      <c r="H1193" s="0" t="str">
        <f aca="true">IF($A1193="","",IFERROR(MAX(0,NETWORKDAYS(TODAY(),'Agences &amp; Après-vente'!$F395)),""))</f>
        <v/>
      </c>
      <c r="I1193" s="0" t="str">
        <f aca="false">IF($A1193="","",'Agences &amp; Après-vente'!$I395)</f>
        <v/>
      </c>
      <c r="K1193" s="104" t="n">
        <f aca="false">IF(A1193="",0,IF(IFERROR(VLOOKUP(A1193,Skills!$A:$M,13,FALSE()),"")="COS",0,IF(OR(I1193="En cours",I1193="À venir",I1193="À planifier"),IF(AND(OR($C$3="Tous",$C$3="",C1193=$C$3),OR($E$3="Tous",$E$3="",I1193=$E$3)),1,0),0)))</f>
        <v>0</v>
      </c>
      <c r="L1193" s="104" t="n">
        <f aca="false">L1192+K1193</f>
        <v>17</v>
      </c>
    </row>
    <row r="1194" customFormat="false" ht="15" hidden="true" customHeight="true" outlineLevel="0" collapsed="false">
      <c r="A1194" s="0" t="str">
        <f aca="false">IF('Agences &amp; Après-vente'!$A396="","",'Agences &amp; Après-vente'!$A396)</f>
        <v/>
      </c>
      <c r="B1194" s="0" t="str">
        <f aca="false">IF($A1194="","",'Agences &amp; Après-vente'!$B396)</f>
        <v/>
      </c>
      <c r="C1194" s="0" t="str">
        <f aca="false">IF($A1194="","",'Agences &amp; Après-vente'!$C396)</f>
        <v/>
      </c>
      <c r="D1194" s="0" t="str">
        <f aca="false">IF($A1194="","","Nouvelle compétence")</f>
        <v/>
      </c>
      <c r="E1194" s="0" t="str">
        <f aca="false">IF($A1194="","",'Agences &amp; Après-vente'!$D396)</f>
        <v/>
      </c>
      <c r="F1194" s="116" t="str">
        <f aca="false">IF($A1194="","",'Agences &amp; Après-vente'!$E396)</f>
        <v/>
      </c>
      <c r="G1194" s="116" t="str">
        <f aca="false">IF($A1194="","",'Agences &amp; Après-vente'!$F396)</f>
        <v/>
      </c>
      <c r="H1194" s="0" t="str">
        <f aca="true">IF($A1194="","",IFERROR(MAX(0,NETWORKDAYS(TODAY(),'Agences &amp; Après-vente'!$F396)),""))</f>
        <v/>
      </c>
      <c r="I1194" s="0" t="str">
        <f aca="false">IF($A1194="","",'Agences &amp; Après-vente'!$I396)</f>
        <v/>
      </c>
      <c r="K1194" s="104" t="n">
        <f aca="false">IF(A1194="",0,IF(IFERROR(VLOOKUP(A1194,Skills!$A:$M,13,FALSE()),"")="COS",0,IF(OR(I1194="En cours",I1194="À venir",I1194="À planifier"),IF(AND(OR($C$3="Tous",$C$3="",C1194=$C$3),OR($E$3="Tous",$E$3="",I1194=$E$3)),1,0),0)))</f>
        <v>0</v>
      </c>
      <c r="L1194" s="104" t="n">
        <f aca="false">L1193+K1194</f>
        <v>17</v>
      </c>
    </row>
    <row r="1195" customFormat="false" ht="15" hidden="true" customHeight="true" outlineLevel="0" collapsed="false">
      <c r="A1195" s="0" t="str">
        <f aca="false">IF('Agences &amp; Après-vente'!$A397="","",'Agences &amp; Après-vente'!$A397)</f>
        <v/>
      </c>
      <c r="B1195" s="0" t="str">
        <f aca="false">IF($A1195="","",'Agences &amp; Après-vente'!$B397)</f>
        <v/>
      </c>
      <c r="C1195" s="0" t="str">
        <f aca="false">IF($A1195="","",'Agences &amp; Après-vente'!$C397)</f>
        <v/>
      </c>
      <c r="D1195" s="0" t="str">
        <f aca="false">IF($A1195="","","Nouvelle compétence")</f>
        <v/>
      </c>
      <c r="E1195" s="0" t="str">
        <f aca="false">IF($A1195="","",'Agences &amp; Après-vente'!$D397)</f>
        <v/>
      </c>
      <c r="F1195" s="116" t="str">
        <f aca="false">IF($A1195="","",'Agences &amp; Après-vente'!$E397)</f>
        <v/>
      </c>
      <c r="G1195" s="116" t="str">
        <f aca="false">IF($A1195="","",'Agences &amp; Après-vente'!$F397)</f>
        <v/>
      </c>
      <c r="H1195" s="0" t="str">
        <f aca="true">IF($A1195="","",IFERROR(MAX(0,NETWORKDAYS(TODAY(),'Agences &amp; Après-vente'!$F397)),""))</f>
        <v/>
      </c>
      <c r="I1195" s="0" t="str">
        <f aca="false">IF($A1195="","",'Agences &amp; Après-vente'!$I397)</f>
        <v/>
      </c>
      <c r="K1195" s="104" t="n">
        <f aca="false">IF(A1195="",0,IF(IFERROR(VLOOKUP(A1195,Skills!$A:$M,13,FALSE()),"")="COS",0,IF(OR(I1195="En cours",I1195="À venir",I1195="À planifier"),IF(AND(OR($C$3="Tous",$C$3="",C1195=$C$3),OR($E$3="Tous",$E$3="",I1195=$E$3)),1,0),0)))</f>
        <v>0</v>
      </c>
      <c r="L1195" s="104" t="n">
        <f aca="false">L1194+K1195</f>
        <v>17</v>
      </c>
    </row>
    <row r="1196" customFormat="false" ht="15" hidden="true" customHeight="true" outlineLevel="0" collapsed="false">
      <c r="A1196" s="0" t="str">
        <f aca="false">IF('Agences &amp; Après-vente'!$A398="","",'Agences &amp; Après-vente'!$A398)</f>
        <v/>
      </c>
      <c r="B1196" s="0" t="str">
        <f aca="false">IF($A1196="","",'Agences &amp; Après-vente'!$B398)</f>
        <v/>
      </c>
      <c r="C1196" s="0" t="str">
        <f aca="false">IF($A1196="","",'Agences &amp; Après-vente'!$C398)</f>
        <v/>
      </c>
      <c r="D1196" s="0" t="str">
        <f aca="false">IF($A1196="","","Nouvelle compétence")</f>
        <v/>
      </c>
      <c r="E1196" s="0" t="str">
        <f aca="false">IF($A1196="","",'Agences &amp; Après-vente'!$D398)</f>
        <v/>
      </c>
      <c r="F1196" s="116" t="str">
        <f aca="false">IF($A1196="","",'Agences &amp; Après-vente'!$E398)</f>
        <v/>
      </c>
      <c r="G1196" s="116" t="str">
        <f aca="false">IF($A1196="","",'Agences &amp; Après-vente'!$F398)</f>
        <v/>
      </c>
      <c r="H1196" s="0" t="str">
        <f aca="true">IF($A1196="","",IFERROR(MAX(0,NETWORKDAYS(TODAY(),'Agences &amp; Après-vente'!$F398)),""))</f>
        <v/>
      </c>
      <c r="I1196" s="0" t="str">
        <f aca="false">IF($A1196="","",'Agences &amp; Après-vente'!$I398)</f>
        <v/>
      </c>
      <c r="K1196" s="104" t="n">
        <f aca="false">IF(A1196="",0,IF(IFERROR(VLOOKUP(A1196,Skills!$A:$M,13,FALSE()),"")="COS",0,IF(OR(I1196="En cours",I1196="À venir",I1196="À planifier"),IF(AND(OR($C$3="Tous",$C$3="",C1196=$C$3),OR($E$3="Tous",$E$3="",I1196=$E$3)),1,0),0)))</f>
        <v>0</v>
      </c>
      <c r="L1196" s="104" t="n">
        <f aca="false">L1195+K1196</f>
        <v>17</v>
      </c>
    </row>
    <row r="1197" customFormat="false" ht="15" hidden="true" customHeight="true" outlineLevel="0" collapsed="false">
      <c r="A1197" s="0" t="str">
        <f aca="false">IF('Agences &amp; Après-vente'!$A399="","",'Agences &amp; Après-vente'!$A399)</f>
        <v/>
      </c>
      <c r="B1197" s="0" t="str">
        <f aca="false">IF($A1197="","",'Agences &amp; Après-vente'!$B399)</f>
        <v/>
      </c>
      <c r="C1197" s="0" t="str">
        <f aca="false">IF($A1197="","",'Agences &amp; Après-vente'!$C399)</f>
        <v/>
      </c>
      <c r="D1197" s="0" t="str">
        <f aca="false">IF($A1197="","","Nouvelle compétence")</f>
        <v/>
      </c>
      <c r="E1197" s="0" t="str">
        <f aca="false">IF($A1197="","",'Agences &amp; Après-vente'!$D399)</f>
        <v/>
      </c>
      <c r="F1197" s="116" t="str">
        <f aca="false">IF($A1197="","",'Agences &amp; Après-vente'!$E399)</f>
        <v/>
      </c>
      <c r="G1197" s="116" t="str">
        <f aca="false">IF($A1197="","",'Agences &amp; Après-vente'!$F399)</f>
        <v/>
      </c>
      <c r="H1197" s="0" t="str">
        <f aca="true">IF($A1197="","",IFERROR(MAX(0,NETWORKDAYS(TODAY(),'Agences &amp; Après-vente'!$F399)),""))</f>
        <v/>
      </c>
      <c r="I1197" s="0" t="str">
        <f aca="false">IF($A1197="","",'Agences &amp; Après-vente'!$I399)</f>
        <v/>
      </c>
      <c r="K1197" s="104" t="n">
        <f aca="false">IF(A1197="",0,IF(IFERROR(VLOOKUP(A1197,Skills!$A:$M,13,FALSE()),"")="COS",0,IF(OR(I1197="En cours",I1197="À venir",I1197="À planifier"),IF(AND(OR($C$3="Tous",$C$3="",C1197=$C$3),OR($E$3="Tous",$E$3="",I1197=$E$3)),1,0),0)))</f>
        <v>0</v>
      </c>
      <c r="L1197" s="104" t="n">
        <f aca="false">L1196+K1197</f>
        <v>17</v>
      </c>
    </row>
    <row r="1198" customFormat="false" ht="15" hidden="true" customHeight="true" outlineLevel="0" collapsed="false">
      <c r="A1198" s="0" t="str">
        <f aca="false">IF('Agences &amp; Après-vente'!$A400="","",'Agences &amp; Après-vente'!$A400)</f>
        <v/>
      </c>
      <c r="B1198" s="0" t="str">
        <f aca="false">IF($A1198="","",'Agences &amp; Après-vente'!$B400)</f>
        <v/>
      </c>
      <c r="C1198" s="0" t="str">
        <f aca="false">IF($A1198="","",'Agences &amp; Après-vente'!$C400)</f>
        <v/>
      </c>
      <c r="D1198" s="0" t="str">
        <f aca="false">IF($A1198="","","Nouvelle compétence")</f>
        <v/>
      </c>
      <c r="E1198" s="0" t="str">
        <f aca="false">IF($A1198="","",'Agences &amp; Après-vente'!$D400)</f>
        <v/>
      </c>
      <c r="F1198" s="116" t="str">
        <f aca="false">IF($A1198="","",'Agences &amp; Après-vente'!$E400)</f>
        <v/>
      </c>
      <c r="G1198" s="116" t="str">
        <f aca="false">IF($A1198="","",'Agences &amp; Après-vente'!$F400)</f>
        <v/>
      </c>
      <c r="H1198" s="0" t="str">
        <f aca="true">IF($A1198="","",IFERROR(MAX(0,NETWORKDAYS(TODAY(),'Agences &amp; Après-vente'!$F400)),""))</f>
        <v/>
      </c>
      <c r="I1198" s="0" t="str">
        <f aca="false">IF($A1198="","",'Agences &amp; Après-vente'!$I400)</f>
        <v/>
      </c>
      <c r="K1198" s="104" t="n">
        <f aca="false">IF(A1198="",0,IF(IFERROR(VLOOKUP(A1198,Skills!$A:$M,13,FALSE()),"")="COS",0,IF(OR(I1198="En cours",I1198="À venir",I1198="À planifier"),IF(AND(OR($C$3="Tous",$C$3="",C1198=$C$3),OR($E$3="Tous",$E$3="",I1198=$E$3)),1,0),0)))</f>
        <v>0</v>
      </c>
      <c r="L1198" s="104" t="n">
        <f aca="false">L1197+K1198</f>
        <v>17</v>
      </c>
    </row>
    <row r="1199" customFormat="false" ht="15" hidden="true" customHeight="true" outlineLevel="0" collapsed="false">
      <c r="A1199" s="0" t="str">
        <f aca="false">IF('Agences &amp; Après-vente'!$A401="","",'Agences &amp; Après-vente'!$A401)</f>
        <v/>
      </c>
      <c r="B1199" s="0" t="str">
        <f aca="false">IF($A1199="","",'Agences &amp; Après-vente'!$B401)</f>
        <v/>
      </c>
      <c r="C1199" s="0" t="str">
        <f aca="false">IF($A1199="","",'Agences &amp; Après-vente'!$C401)</f>
        <v/>
      </c>
      <c r="D1199" s="0" t="str">
        <f aca="false">IF($A1199="","","Nouvelle compétence")</f>
        <v/>
      </c>
      <c r="E1199" s="0" t="str">
        <f aca="false">IF($A1199="","",'Agences &amp; Après-vente'!$D401)</f>
        <v/>
      </c>
      <c r="F1199" s="116" t="str">
        <f aca="false">IF($A1199="","",'Agences &amp; Après-vente'!$E401)</f>
        <v/>
      </c>
      <c r="G1199" s="116" t="str">
        <f aca="false">IF($A1199="","",'Agences &amp; Après-vente'!$F401)</f>
        <v/>
      </c>
      <c r="H1199" s="0" t="str">
        <f aca="true">IF($A1199="","",IFERROR(MAX(0,NETWORKDAYS(TODAY(),'Agences &amp; Après-vente'!$F401)),""))</f>
        <v/>
      </c>
      <c r="I1199" s="0" t="str">
        <f aca="false">IF($A1199="","",'Agences &amp; Après-vente'!$I401)</f>
        <v/>
      </c>
      <c r="K1199" s="104" t="n">
        <f aca="false">IF(A1199="",0,IF(IFERROR(VLOOKUP(A1199,Skills!$A:$M,13,FALSE()),"")="COS",0,IF(OR(I1199="En cours",I1199="À venir",I1199="À planifier"),IF(AND(OR($C$3="Tous",$C$3="",C1199=$C$3),OR($E$3="Tous",$E$3="",I1199=$E$3)),1,0),0)))</f>
        <v>0</v>
      </c>
      <c r="L1199" s="104" t="n">
        <f aca="false">L1198+K1199</f>
        <v>17</v>
      </c>
    </row>
    <row r="1200" customFormat="false" ht="15" hidden="true" customHeight="true" outlineLevel="0" collapsed="false">
      <c r="A1200" s="0" t="str">
        <f aca="false">IF(Evermont!$A2="","",Evermont!$A2)</f>
        <v>TR074</v>
      </c>
      <c r="B1200" s="0" t="str">
        <f aca="false">IF($A1200="","",Evermont!$B2)</f>
        <v>Marsridge Holtgate</v>
      </c>
      <c r="C1200" s="0" t="str">
        <f aca="false">IF($A1200="","",Evermont!$C2)</f>
        <v>Montréal</v>
      </c>
      <c r="D1200" s="0" t="str">
        <f aca="false">IF($A1200="","","Nouvelle compétence")</f>
        <v>Nouvelle compétence</v>
      </c>
      <c r="E1200" s="0" t="str">
        <f aca="false">IF($A1200="","",Evermont!$D2)</f>
        <v>Evermont</v>
      </c>
      <c r="F1200" s="116" t="n">
        <f aca="false">IF($A1200="","",Evermont!$F2)</f>
        <v>46133</v>
      </c>
      <c r="G1200" s="116" t="n">
        <f aca="false">IF($A1200="","",Evermont!$G2)</f>
        <v>46141</v>
      </c>
      <c r="H1200" s="104" t="n">
        <f aca="false">IF($A1200="","",Evermont!$K2)</f>
        <v>0</v>
      </c>
      <c r="I1200" s="0" t="str">
        <f aca="false">IF($A1200="","",Evermont!$Q2)</f>
        <v>Terminé</v>
      </c>
      <c r="K1200" s="104" t="n">
        <f aca="false">IF(A1200="",0,IF(IFERROR(VLOOKUP(A1200,Skills!$A:$M,13,FALSE()),"")="COS",0,IF(OR(I1200="En cours",I1200="À venir",I1200="À planifier"),IF(AND(OR($C$3="Tous",$C$3="",C1200=$C$3),OR($E$3="Tous",$E$3="",I1200=$E$3)),1,0),0)))</f>
        <v>0</v>
      </c>
      <c r="L1200" s="104" t="n">
        <f aca="false">L1199+K1200</f>
        <v>17</v>
      </c>
    </row>
    <row r="1201" customFormat="false" ht="15" hidden="true" customHeight="true" outlineLevel="0" collapsed="false">
      <c r="A1201" s="0" t="str">
        <f aca="false">IF(Evermont!$A3="","",Evermont!$A3)</f>
        <v>TR007</v>
      </c>
      <c r="B1201" s="0" t="str">
        <f aca="false">IF($A1201="","",Evermont!$B3)</f>
        <v>Stelfield Dellmere Valegate</v>
      </c>
      <c r="C1201" s="0" t="str">
        <f aca="false">IF($A1201="","",Evermont!$C3)</f>
        <v>Montréal</v>
      </c>
      <c r="D1201" s="0" t="str">
        <f aca="false">IF($A1201="","","Nouvelle compétence")</f>
        <v>Nouvelle compétence</v>
      </c>
      <c r="E1201" s="0" t="str">
        <f aca="false">IF($A1201="","",Evermont!$D3)</f>
        <v>Evermont</v>
      </c>
      <c r="F1201" s="116" t="n">
        <f aca="false">IF($A1201="","",Evermont!$F3)</f>
        <v>46128</v>
      </c>
      <c r="G1201" s="116" t="n">
        <f aca="false">IF($A1201="","",Evermont!$G3)</f>
        <v>46136</v>
      </c>
      <c r="H1201" s="104" t="n">
        <f aca="false">IF($A1201="","",Evermont!$K3)</f>
        <v>0</v>
      </c>
      <c r="I1201" s="0" t="str">
        <f aca="false">IF($A1201="","",Evermont!$Q3)</f>
        <v>Terminé</v>
      </c>
      <c r="K1201" s="104" t="n">
        <f aca="false">IF(A1201="",0,IF(IFERROR(VLOOKUP(A1201,Skills!$A:$M,13,FALSE()),"")="COS",0,IF(OR(I1201="En cours",I1201="À venir",I1201="À planifier"),IF(AND(OR($C$3="Tous",$C$3="",C1201=$C$3),OR($E$3="Tous",$E$3="",I1201=$E$3)),1,0),0)))</f>
        <v>0</v>
      </c>
      <c r="L1201" s="104" t="n">
        <f aca="false">L1200+K1201</f>
        <v>17</v>
      </c>
    </row>
    <row r="1202" customFormat="false" ht="15" hidden="true" customHeight="true" outlineLevel="0" collapsed="false">
      <c r="A1202" s="0" t="str">
        <f aca="false">IF(Evermont!$A4="","",Evermont!$A4)</f>
        <v>TR098</v>
      </c>
      <c r="B1202" s="0" t="str">
        <f aca="false">IF($A1202="","",Evermont!$B4)</f>
        <v>Holtstone Gilir</v>
      </c>
      <c r="C1202" s="0" t="str">
        <f aca="false">IF($A1202="","",Evermont!$C4)</f>
        <v>Montréal</v>
      </c>
      <c r="D1202" s="0" t="str">
        <f aca="false">IF($A1202="","","Nouvelle compétence")</f>
        <v>Nouvelle compétence</v>
      </c>
      <c r="E1202" s="0" t="str">
        <f aca="false">IF($A1202="","",Evermont!$D4)</f>
        <v>Evermont</v>
      </c>
      <c r="F1202" s="116" t="n">
        <f aca="false">IF($A1202="","",Evermont!$F4)</f>
        <v>46115</v>
      </c>
      <c r="G1202" s="116" t="n">
        <f aca="false">IF($A1202="","",Evermont!$G4)</f>
        <v>46125</v>
      </c>
      <c r="H1202" s="104" t="n">
        <f aca="false">IF($A1202="","",Evermont!$K4)</f>
        <v>0</v>
      </c>
      <c r="I1202" s="0" t="str">
        <f aca="false">IF($A1202="","",Evermont!$Q4)</f>
        <v>Terminé</v>
      </c>
      <c r="K1202" s="104" t="n">
        <f aca="false">IF(A1202="",0,IF(IFERROR(VLOOKUP(A1202,Skills!$A:$M,13,FALSE()),"")="COS",0,IF(OR(I1202="En cours",I1202="À venir",I1202="À planifier"),IF(AND(OR($C$3="Tous",$C$3="",C1202=$C$3),OR($E$3="Tous",$E$3="",I1202=$E$3)),1,0),0)))</f>
        <v>0</v>
      </c>
      <c r="L1202" s="104" t="n">
        <f aca="false">L1201+K1202</f>
        <v>17</v>
      </c>
    </row>
    <row r="1203" customFormat="false" ht="15" hidden="true" customHeight="true" outlineLevel="0" collapsed="false">
      <c r="A1203" s="0" t="str">
        <f aca="false">IF(Evermont!$A5="","",Evermont!$A5)</f>
        <v>TR089</v>
      </c>
      <c r="B1203" s="0" t="str">
        <f aca="false">IF($A1203="","",Evermont!$B5)</f>
        <v>Doran Voren Voren</v>
      </c>
      <c r="C1203" s="0" t="str">
        <f aca="false">IF($A1203="","",Evermont!$C5)</f>
        <v>Montréal</v>
      </c>
      <c r="D1203" s="0" t="str">
        <f aca="false">IF($A1203="","","Nouvelle compétence")</f>
        <v>Nouvelle compétence</v>
      </c>
      <c r="E1203" s="0" t="str">
        <f aca="false">IF($A1203="","",Evermont!$D5)</f>
        <v>Evermont</v>
      </c>
      <c r="F1203" s="116" t="n">
        <f aca="false">IF($A1203="","",Evermont!$F5)</f>
        <v>46126</v>
      </c>
      <c r="G1203" s="116" t="n">
        <f aca="false">IF($A1203="","",Evermont!$G5)</f>
        <v>46134</v>
      </c>
      <c r="H1203" s="104" t="n">
        <f aca="false">IF($A1203="","",Evermont!$K5)</f>
        <v>0</v>
      </c>
      <c r="I1203" s="0" t="str">
        <f aca="false">IF($A1203="","",Evermont!$Q5)</f>
        <v>Terminé</v>
      </c>
      <c r="K1203" s="104" t="n">
        <f aca="false">IF(A1203="",0,IF(IFERROR(VLOOKUP(A1203,Skills!$A:$M,13,FALSE()),"")="COS",0,IF(OR(I1203="En cours",I1203="À venir",I1203="À planifier"),IF(AND(OR($C$3="Tous",$C$3="",C1203=$C$3),OR($E$3="Tous",$E$3="",I1203=$E$3)),1,0),0)))</f>
        <v>0</v>
      </c>
      <c r="L1203" s="104" t="n">
        <f aca="false">L1202+K1203</f>
        <v>17</v>
      </c>
    </row>
    <row r="1204" customFormat="false" ht="15" hidden="true" customHeight="true" outlineLevel="0" collapsed="false">
      <c r="A1204" s="0" t="str">
        <f aca="false">IF(Evermont!$A6="","",Evermont!$A6)</f>
        <v>TR108</v>
      </c>
      <c r="B1204" s="0" t="str">
        <f aca="false">IF($A1204="","",Evermont!$B6)</f>
        <v>Bramdale Pelum</v>
      </c>
      <c r="C1204" s="0" t="str">
        <f aca="false">IF($A1204="","",Evermont!$C6)</f>
        <v>Montréal</v>
      </c>
      <c r="D1204" s="0" t="str">
        <f aca="false">IF($A1204="","","Nouvelle compétence")</f>
        <v>Nouvelle compétence</v>
      </c>
      <c r="E1204" s="0" t="str">
        <f aca="false">IF($A1204="","",Evermont!$D6)</f>
        <v>Evermont</v>
      </c>
      <c r="F1204" s="116" t="n">
        <f aca="false">IF($A1204="","",Evermont!$F6)</f>
        <v>46128</v>
      </c>
      <c r="G1204" s="116" t="n">
        <f aca="false">IF($A1204="","",Evermont!$G6)</f>
        <v>46136</v>
      </c>
      <c r="H1204" s="104" t="n">
        <f aca="false">IF($A1204="","",Evermont!$K6)</f>
        <v>0</v>
      </c>
      <c r="I1204" s="0" t="str">
        <f aca="false">IF($A1204="","",Evermont!$Q6)</f>
        <v>Terminé</v>
      </c>
      <c r="K1204" s="104" t="n">
        <f aca="false">IF(A1204="",0,IF(IFERROR(VLOOKUP(A1204,Skills!$A:$M,13,FALSE()),"")="COS",0,IF(OR(I1204="En cours",I1204="À venir",I1204="À planifier"),IF(AND(OR($C$3="Tous",$C$3="",C1204=$C$3),OR($E$3="Tous",$E$3="",I1204=$E$3)),1,0),0)))</f>
        <v>0</v>
      </c>
      <c r="L1204" s="104" t="n">
        <f aca="false">L1203+K1204</f>
        <v>17</v>
      </c>
    </row>
    <row r="1205" customFormat="false" ht="15" hidden="true" customHeight="true" outlineLevel="0" collapsed="false">
      <c r="A1205" s="0" t="str">
        <f aca="false">IF(Evermont!$A7="","",Evermont!$A7)</f>
        <v>TR033</v>
      </c>
      <c r="B1205" s="0" t="str">
        <f aca="false">IF($A1205="","",Evermont!$B7)</f>
        <v>Fenith Calar</v>
      </c>
      <c r="C1205" s="0" t="str">
        <f aca="false">IF($A1205="","",Evermont!$C7)</f>
        <v>Montréal</v>
      </c>
      <c r="D1205" s="0" t="str">
        <f aca="false">IF($A1205="","","Nouvelle compétence")</f>
        <v>Nouvelle compétence</v>
      </c>
      <c r="E1205" s="0" t="str">
        <f aca="false">IF($A1205="","",Evermont!$D7)</f>
        <v>Evermont</v>
      </c>
      <c r="F1205" s="116" t="n">
        <f aca="false">IF($A1205="","",Evermont!$F7)</f>
        <v>46132</v>
      </c>
      <c r="G1205" s="116" t="n">
        <f aca="false">IF($A1205="","",Evermont!$G7)</f>
        <v>46140</v>
      </c>
      <c r="H1205" s="104" t="n">
        <f aca="false">IF($A1205="","",Evermont!$K7)</f>
        <v>0</v>
      </c>
      <c r="I1205" s="0" t="str">
        <f aca="false">IF($A1205="","",Evermont!$Q7)</f>
        <v>Terminé</v>
      </c>
      <c r="K1205" s="104" t="n">
        <f aca="false">IF(A1205="",0,IF(IFERROR(VLOOKUP(A1205,Skills!$A:$M,13,FALSE()),"")="COS",0,IF(OR(I1205="En cours",I1205="À venir",I1205="À planifier"),IF(AND(OR($C$3="Tous",$C$3="",C1205=$C$3),OR($E$3="Tous",$E$3="",I1205=$E$3)),1,0),0)))</f>
        <v>0</v>
      </c>
      <c r="L1205" s="104" t="n">
        <f aca="false">L1204+K1205</f>
        <v>17</v>
      </c>
    </row>
    <row r="1206" customFormat="false" ht="15" hidden="true" customHeight="true" outlineLevel="0" collapsed="false">
      <c r="A1206" s="0" t="str">
        <f aca="false">IF(Evermont!$A8="","",Evermont!$A8)</f>
        <v>TR002</v>
      </c>
      <c r="B1206" s="0" t="str">
        <f aca="false">IF($A1206="","",Evermont!$B8)</f>
        <v>Rownvale Rownmere Fenon Doric</v>
      </c>
      <c r="C1206" s="0" t="str">
        <f aca="false">IF($A1206="","",Evermont!$C8)</f>
        <v>Montréal</v>
      </c>
      <c r="D1206" s="0" t="str">
        <f aca="false">IF($A1206="","","Nouvelle compétence")</f>
        <v>Nouvelle compétence</v>
      </c>
      <c r="E1206" s="0" t="str">
        <f aca="false">IF($A1206="","",Evermont!$D8)</f>
        <v>Evermont</v>
      </c>
      <c r="F1206" s="116" t="n">
        <f aca="false">IF($A1206="","",Evermont!$F8)</f>
        <v>46122</v>
      </c>
      <c r="G1206" s="116" t="n">
        <f aca="false">IF($A1206="","",Evermont!$G8)</f>
        <v>46132</v>
      </c>
      <c r="H1206" s="104" t="n">
        <f aca="false">IF($A1206="","",Evermont!$K8)</f>
        <v>0</v>
      </c>
      <c r="I1206" s="0" t="str">
        <f aca="false">IF($A1206="","",Evermont!$Q8)</f>
        <v>Terminé</v>
      </c>
      <c r="K1206" s="104" t="n">
        <f aca="false">IF(A1206="",0,IF(IFERROR(VLOOKUP(A1206,Skills!$A:$M,13,FALSE()),"")="COS",0,IF(OR(I1206="En cours",I1206="À venir",I1206="À planifier"),IF(AND(OR($C$3="Tous",$C$3="",C1206=$C$3),OR($E$3="Tous",$E$3="",I1206=$E$3)),1,0),0)))</f>
        <v>0</v>
      </c>
      <c r="L1206" s="104" t="n">
        <f aca="false">L1205+K1206</f>
        <v>17</v>
      </c>
    </row>
    <row r="1207" customFormat="false" ht="15" hidden="true" customHeight="true" outlineLevel="0" collapsed="false">
      <c r="A1207" s="0" t="str">
        <f aca="false">IF(Evermont!$A9="","",Evermont!$A9)</f>
        <v>TR050</v>
      </c>
      <c r="B1207" s="0" t="str">
        <f aca="false">IF($A1207="","",Evermont!$B9)</f>
        <v>Kelor Stelwood</v>
      </c>
      <c r="C1207" s="0" t="str">
        <f aca="false">IF($A1207="","",Evermont!$C9)</f>
        <v>Montréal</v>
      </c>
      <c r="D1207" s="0" t="str">
        <f aca="false">IF($A1207="","","Nouvelle compétence")</f>
        <v>Nouvelle compétence</v>
      </c>
      <c r="E1207" s="0" t="str">
        <f aca="false">IF($A1207="","",Evermont!$D9)</f>
        <v>Evermont</v>
      </c>
      <c r="F1207" s="116" t="n">
        <f aca="false">IF($A1207="","",Evermont!$F9)</f>
        <v>46132</v>
      </c>
      <c r="G1207" s="116" t="n">
        <f aca="false">IF($A1207="","",Evermont!$G9)</f>
        <v>46140</v>
      </c>
      <c r="H1207" s="104" t="n">
        <f aca="false">IF($A1207="","",Evermont!$K9)</f>
        <v>0</v>
      </c>
      <c r="I1207" s="0" t="str">
        <f aca="false">IF($A1207="","",Evermont!$Q9)</f>
        <v>Terminé</v>
      </c>
      <c r="K1207" s="104" t="n">
        <f aca="false">IF(A1207="",0,IF(IFERROR(VLOOKUP(A1207,Skills!$A:$M,13,FALSE()),"")="COS",0,IF(OR(I1207="En cours",I1207="À venir",I1207="À planifier"),IF(AND(OR($C$3="Tous",$C$3="",C1207=$C$3),OR($E$3="Tous",$E$3="",I1207=$E$3)),1,0),0)))</f>
        <v>0</v>
      </c>
      <c r="L1207" s="104" t="n">
        <f aca="false">L1206+K1207</f>
        <v>17</v>
      </c>
    </row>
    <row r="1208" customFormat="false" ht="15" hidden="true" customHeight="true" outlineLevel="0" collapsed="false">
      <c r="A1208" s="0" t="str">
        <f aca="false">IF(Evermont!$A10="","",Evermont!$A10)</f>
        <v>TR105</v>
      </c>
      <c r="B1208" s="0" t="str">
        <f aca="false">IF($A1208="","",Evermont!$B10)</f>
        <v>Dellridge Larkbrook</v>
      </c>
      <c r="C1208" s="0" t="str">
        <f aca="false">IF($A1208="","",Evermont!$C10)</f>
        <v>Montréal</v>
      </c>
      <c r="D1208" s="0" t="str">
        <f aca="false">IF($A1208="","","Nouvelle compétence")</f>
        <v>Nouvelle compétence</v>
      </c>
      <c r="E1208" s="0" t="str">
        <f aca="false">IF($A1208="","",Evermont!$D10)</f>
        <v>Evermont</v>
      </c>
      <c r="F1208" s="116" t="n">
        <f aca="false">IF($A1208="","",Evermont!$F10)</f>
        <v>46121</v>
      </c>
      <c r="G1208" s="116" t="n">
        <f aca="false">IF($A1208="","",Evermont!$G10)</f>
        <v>46129</v>
      </c>
      <c r="H1208" s="104" t="n">
        <f aca="false">IF($A1208="","",Evermont!$K10)</f>
        <v>0</v>
      </c>
      <c r="I1208" s="0" t="str">
        <f aca="false">IF($A1208="","",Evermont!$Q10)</f>
        <v>Terminé</v>
      </c>
      <c r="K1208" s="104" t="n">
        <f aca="false">IF(A1208="",0,IF(IFERROR(VLOOKUP(A1208,Skills!$A:$M,13,FALSE()),"")="COS",0,IF(OR(I1208="En cours",I1208="À venir",I1208="À planifier"),IF(AND(OR($C$3="Tous",$C$3="",C1208=$C$3),OR($E$3="Tous",$E$3="",I1208=$E$3)),1,0),0)))</f>
        <v>0</v>
      </c>
      <c r="L1208" s="104" t="n">
        <f aca="false">L1207+K1208</f>
        <v>17</v>
      </c>
    </row>
    <row r="1209" customFormat="false" ht="15" hidden="true" customHeight="true" outlineLevel="0" collapsed="false">
      <c r="A1209" s="0" t="str">
        <f aca="false">IF(Evermont!$A11="","",Evermont!$A11)</f>
        <v>TR126</v>
      </c>
      <c r="B1209" s="0" t="str">
        <f aca="false">IF($A1209="","",Evermont!$B11)</f>
        <v>Pelea Yorir</v>
      </c>
      <c r="C1209" s="0" t="str">
        <f aca="false">IF($A1209="","",Evermont!$C11)</f>
        <v>Montréal</v>
      </c>
      <c r="D1209" s="0" t="str">
        <f aca="false">IF($A1209="","","Nouvelle compétence")</f>
        <v>Nouvelle compétence</v>
      </c>
      <c r="E1209" s="0" t="str">
        <f aca="false">IF($A1209="","",Evermont!$D11)</f>
        <v>Evermont</v>
      </c>
      <c r="F1209" s="116" t="n">
        <f aca="false">IF($A1209="","",Evermont!$F11)</f>
        <v>46122</v>
      </c>
      <c r="G1209" s="116" t="n">
        <f aca="false">IF($A1209="","",Evermont!$G11)</f>
        <v>46132</v>
      </c>
      <c r="H1209" s="104" t="n">
        <f aca="false">IF($A1209="","",Evermont!$K11)</f>
        <v>0</v>
      </c>
      <c r="I1209" s="0" t="str">
        <f aca="false">IF($A1209="","",Evermont!$Q11)</f>
        <v>Terminé</v>
      </c>
      <c r="K1209" s="104" t="n">
        <f aca="false">IF(A1209="",0,IF(IFERROR(VLOOKUP(A1209,Skills!$A:$M,13,FALSE()),"")="COS",0,IF(OR(I1209="En cours",I1209="À venir",I1209="À planifier"),IF(AND(OR($C$3="Tous",$C$3="",C1209=$C$3),OR($E$3="Tous",$E$3="",I1209=$E$3)),1,0),0)))</f>
        <v>0</v>
      </c>
      <c r="L1209" s="104" t="n">
        <f aca="false">L1208+K1209</f>
        <v>17</v>
      </c>
    </row>
    <row r="1210" customFormat="false" ht="15" hidden="true" customHeight="true" outlineLevel="0" collapsed="false">
      <c r="A1210" s="0" t="str">
        <f aca="false">IF(Evermont!$A12="","",Evermont!$A12)</f>
        <v>TR133</v>
      </c>
      <c r="B1210" s="0" t="str">
        <f aca="false">IF($A1210="","",Evermont!$B12)</f>
        <v>Ulmith Larkvale</v>
      </c>
      <c r="C1210" s="0" t="str">
        <f aca="false">IF($A1210="","",Evermont!$C12)</f>
        <v>Montréal</v>
      </c>
      <c r="D1210" s="0" t="str">
        <f aca="false">IF($A1210="","","Nouvelle compétence")</f>
        <v>Nouvelle compétence</v>
      </c>
      <c r="E1210" s="0" t="str">
        <f aca="false">IF($A1210="","",Evermont!$D12)</f>
        <v>Evermont</v>
      </c>
      <c r="F1210" s="116" t="n">
        <f aca="false">IF($A1210="","",Evermont!$F12)</f>
        <v>46111</v>
      </c>
      <c r="G1210" s="116" t="n">
        <f aca="false">IF($A1210="","",Evermont!$G12)</f>
        <v>46119</v>
      </c>
      <c r="H1210" s="104" t="n">
        <f aca="false">IF($A1210="","",Evermont!$K12)</f>
        <v>0</v>
      </c>
      <c r="I1210" s="0" t="str">
        <f aca="false">IF($A1210="","",Evermont!$Q12)</f>
        <v>Terminé</v>
      </c>
      <c r="K1210" s="104" t="n">
        <f aca="false">IF(A1210="",0,IF(IFERROR(VLOOKUP(A1210,Skills!$A:$M,13,FALSE()),"")="COS",0,IF(OR(I1210="En cours",I1210="À venir",I1210="À planifier"),IF(AND(OR($C$3="Tous",$C$3="",C1210=$C$3),OR($E$3="Tous",$E$3="",I1210=$E$3)),1,0),0)))</f>
        <v>0</v>
      </c>
      <c r="L1210" s="104" t="n">
        <f aca="false">L1209+K1210</f>
        <v>17</v>
      </c>
    </row>
    <row r="1211" customFormat="false" ht="15" hidden="true" customHeight="true" outlineLevel="0" collapsed="false">
      <c r="A1211" s="0" t="str">
        <f aca="false">IF(Evermont!$A13="","",Evermont!$A13)</f>
        <v>TR057</v>
      </c>
      <c r="B1211" s="0" t="str">
        <f aca="false">IF($A1211="","",Evermont!$B13)</f>
        <v>Ivercroft Corrmere</v>
      </c>
      <c r="C1211" s="0" t="str">
        <f aca="false">IF($A1211="","",Evermont!$C13)</f>
        <v>Montréal</v>
      </c>
      <c r="D1211" s="0" t="str">
        <f aca="false">IF($A1211="","","Nouvelle compétence")</f>
        <v>Nouvelle compétence</v>
      </c>
      <c r="E1211" s="0" t="str">
        <f aca="false">IF($A1211="","",Evermont!$D13)</f>
        <v>Evermont</v>
      </c>
      <c r="F1211" s="116" t="n">
        <f aca="false">IF($A1211="","",Evermont!$F13)</f>
        <v>46106</v>
      </c>
      <c r="G1211" s="116" t="n">
        <f aca="false">IF($A1211="","",Evermont!$G13)</f>
        <v>46114</v>
      </c>
      <c r="H1211" s="104" t="n">
        <f aca="false">IF($A1211="","",Evermont!$K13)</f>
        <v>0</v>
      </c>
      <c r="I1211" s="0" t="str">
        <f aca="false">IF($A1211="","",Evermont!$Q13)</f>
        <v>Terminé</v>
      </c>
      <c r="K1211" s="104" t="n">
        <f aca="false">IF(A1211="",0,IF(IFERROR(VLOOKUP(A1211,Skills!$A:$M,13,FALSE()),"")="COS",0,IF(OR(I1211="En cours",I1211="À venir",I1211="À planifier"),IF(AND(OR($C$3="Tous",$C$3="",C1211=$C$3),OR($E$3="Tous",$E$3="",I1211=$E$3)),1,0),0)))</f>
        <v>0</v>
      </c>
      <c r="L1211" s="104" t="n">
        <f aca="false">L1210+K1211</f>
        <v>17</v>
      </c>
    </row>
    <row r="1212" customFormat="false" ht="15" hidden="true" customHeight="true" outlineLevel="0" collapsed="false">
      <c r="A1212" s="0" t="str">
        <f aca="false">IF(Evermont!$A14="","",Evermont!$A14)</f>
        <v>TR139</v>
      </c>
      <c r="B1212" s="0" t="str">
        <f aca="false">IF($A1212="","",Evermont!$B14)</f>
        <v>Faircroft Fenir</v>
      </c>
      <c r="C1212" s="0" t="str">
        <f aca="false">IF($A1212="","",Evermont!$C14)</f>
        <v>Montréal</v>
      </c>
      <c r="D1212" s="0" t="str">
        <f aca="false">IF($A1212="","","Nouvelle compétence")</f>
        <v>Nouvelle compétence</v>
      </c>
      <c r="E1212" s="0" t="str">
        <f aca="false">IF($A1212="","",Evermont!$D14)</f>
        <v>Evermont</v>
      </c>
      <c r="F1212" s="116" t="n">
        <f aca="false">IF($A1212="","",Evermont!$F14)</f>
        <v>46106</v>
      </c>
      <c r="G1212" s="116" t="n">
        <f aca="false">IF($A1212="","",Evermont!$G14)</f>
        <v>46114</v>
      </c>
      <c r="H1212" s="104" t="n">
        <f aca="false">IF($A1212="","",Evermont!$K14)</f>
        <v>0</v>
      </c>
      <c r="I1212" s="0" t="str">
        <f aca="false">IF($A1212="","",Evermont!$Q14)</f>
        <v>Terminé</v>
      </c>
      <c r="K1212" s="104" t="n">
        <f aca="false">IF(A1212="",0,IF(IFERROR(VLOOKUP(A1212,Skills!$A:$M,13,FALSE()),"")="COS",0,IF(OR(I1212="En cours",I1212="À venir",I1212="À planifier"),IF(AND(OR($C$3="Tous",$C$3="",C1212=$C$3),OR($E$3="Tous",$E$3="",I1212=$E$3)),1,0),0)))</f>
        <v>0</v>
      </c>
      <c r="L1212" s="104" t="n">
        <f aca="false">L1211+K1212</f>
        <v>17</v>
      </c>
    </row>
    <row r="1213" customFormat="false" ht="15" hidden="true" customHeight="true" outlineLevel="0" collapsed="false">
      <c r="A1213" s="0" t="str">
        <f aca="false">IF(Evermont!$A15="","",Evermont!$A15)</f>
        <v>TR140</v>
      </c>
      <c r="B1213" s="0" t="str">
        <f aca="false">IF($A1213="","",Evermont!$B15)</f>
        <v>Kelen Toric</v>
      </c>
      <c r="C1213" s="0" t="str">
        <f aca="false">IF($A1213="","",Evermont!$C15)</f>
        <v>Montréal</v>
      </c>
      <c r="D1213" s="0" t="str">
        <f aca="false">IF($A1213="","","Nouvelle compétence")</f>
        <v>Nouvelle compétence</v>
      </c>
      <c r="E1213" s="0" t="str">
        <f aca="false">IF($A1213="","",Evermont!$D15)</f>
        <v>Evermont</v>
      </c>
      <c r="F1213" s="116" t="n">
        <f aca="false">IF($A1213="","",Evermont!$F15)</f>
        <v>46174</v>
      </c>
      <c r="G1213" s="116" t="n">
        <f aca="false">IF($A1213="","",Evermont!$G15)</f>
        <v>46181</v>
      </c>
      <c r="H1213" s="104" t="n">
        <f aca="false">IF($A1213="","",Evermont!$K15)</f>
        <v>0</v>
      </c>
      <c r="I1213" s="0" t="str">
        <f aca="false">IF($A1213="","",Evermont!$Q15)</f>
        <v>En cours</v>
      </c>
      <c r="K1213" s="104" t="n">
        <f aca="false">IF(A1213="",0,IF(IFERROR(VLOOKUP(A1213,Skills!$A:$M,13,FALSE()),"")="COS",0,IF(OR(I1213="En cours",I1213="À venir",I1213="À planifier"),IF(AND(OR($C$3="Tous",$C$3="",C1213=$C$3),OR($E$3="Tous",$E$3="",I1213=$E$3)),1,0),0)))</f>
        <v>1</v>
      </c>
      <c r="L1213" s="104" t="n">
        <f aca="false">L1212+K1213</f>
        <v>18</v>
      </c>
    </row>
    <row r="1214" customFormat="false" ht="15" hidden="true" customHeight="true" outlineLevel="0" collapsed="false">
      <c r="A1214" s="0" t="str">
        <f aca="false">IF(Evermont!$A16="","",Evermont!$A16)</f>
        <v>TR003</v>
      </c>
      <c r="B1214" s="0" t="str">
        <f aca="false">IF($A1214="","",Evermont!$B16)</f>
        <v>Kendfield Moran Lumith</v>
      </c>
      <c r="C1214" s="0" t="str">
        <f aca="false">IF($A1214="","",Evermont!$C16)</f>
        <v>Montréal</v>
      </c>
      <c r="D1214" s="0" t="str">
        <f aca="false">IF($A1214="","","Nouvelle compétence")</f>
        <v>Nouvelle compétence</v>
      </c>
      <c r="E1214" s="0" t="str">
        <f aca="false">IF($A1214="","",Evermont!$D16)</f>
        <v>Evermont</v>
      </c>
      <c r="F1214" s="116" t="n">
        <f aca="false">IF($A1214="","",Evermont!$F16)</f>
        <v>46174</v>
      </c>
      <c r="G1214" s="116" t="n">
        <f aca="false">IF($A1214="","",Evermont!$G16)</f>
        <v>46181</v>
      </c>
      <c r="H1214" s="104" t="n">
        <f aca="false">IF($A1214="","",Evermont!$K16)</f>
        <v>0</v>
      </c>
      <c r="I1214" s="0" t="str">
        <f aca="false">IF($A1214="","",Evermont!$Q16)</f>
        <v>Terminé</v>
      </c>
      <c r="K1214" s="104" t="n">
        <f aca="false">IF(A1214="",0,IF(IFERROR(VLOOKUP(A1214,Skills!$A:$M,13,FALSE()),"")="COS",0,IF(OR(I1214="En cours",I1214="À venir",I1214="À planifier"),IF(AND(OR($C$3="Tous",$C$3="",C1214=$C$3),OR($E$3="Tous",$E$3="",I1214=$E$3)),1,0),0)))</f>
        <v>0</v>
      </c>
      <c r="L1214" s="104" t="n">
        <f aca="false">L1213+K1214</f>
        <v>18</v>
      </c>
    </row>
    <row r="1215" customFormat="false" ht="15" hidden="true" customHeight="true" outlineLevel="0" collapsed="false">
      <c r="A1215" s="0" t="str">
        <f aca="false">IF(Evermont!$A17="","",Evermont!$A17)</f>
        <v>TR055</v>
      </c>
      <c r="B1215" s="0" t="str">
        <f aca="false">IF($A1215="","",Evermont!$B17)</f>
        <v>Quillhaven Larkworth</v>
      </c>
      <c r="C1215" s="0" t="str">
        <f aca="false">IF($A1215="","",Evermont!$C17)</f>
        <v>Montréal</v>
      </c>
      <c r="D1215" s="0" t="str">
        <f aca="false">IF($A1215="","","Nouvelle compétence")</f>
        <v>Nouvelle compétence</v>
      </c>
      <c r="E1215" s="0" t="str">
        <f aca="false">IF($A1215="","",Evermont!$D17)</f>
        <v>Evermont</v>
      </c>
      <c r="F1215" s="116" t="n">
        <f aca="false">IF($A1215="","",Evermont!$F17)</f>
        <v>46174</v>
      </c>
      <c r="G1215" s="116" t="n">
        <f aca="false">IF($A1215="","",Evermont!$G17)</f>
        <v>46181</v>
      </c>
      <c r="H1215" s="104" t="n">
        <f aca="false">IF($A1215="","",Evermont!$K17)</f>
        <v>0</v>
      </c>
      <c r="I1215" s="0" t="str">
        <f aca="false">IF($A1215="","",Evermont!$Q17)</f>
        <v>Terminé</v>
      </c>
      <c r="K1215" s="104" t="n">
        <f aca="false">IF(A1215="",0,IF(IFERROR(VLOOKUP(A1215,Skills!$A:$M,13,FALSE()),"")="COS",0,IF(OR(I1215="En cours",I1215="À venir",I1215="À planifier"),IF(AND(OR($C$3="Tous",$C$3="",C1215=$C$3),OR($E$3="Tous",$E$3="",I1215=$E$3)),1,0),0)))</f>
        <v>0</v>
      </c>
      <c r="L1215" s="104" t="n">
        <f aca="false">L1214+K1215</f>
        <v>18</v>
      </c>
    </row>
    <row r="1216" customFormat="false" ht="15" hidden="true" customHeight="true" outlineLevel="0" collapsed="false">
      <c r="A1216" s="0" t="str">
        <f aca="false">IF(Evermont!$A18="","",Evermont!$A18)</f>
        <v>TR030</v>
      </c>
      <c r="B1216" s="0" t="str">
        <f aca="false">IF($A1216="","",Evermont!$B18)</f>
        <v>Fenus Yoror</v>
      </c>
      <c r="C1216" s="0" t="str">
        <f aca="false">IF($A1216="","",Evermont!$C18)</f>
        <v>Montréal</v>
      </c>
      <c r="D1216" s="0" t="str">
        <f aca="false">IF($A1216="","","Nouvelle compétence")</f>
        <v>Nouvelle compétence</v>
      </c>
      <c r="E1216" s="0" t="str">
        <f aca="false">IF($A1216="","",Evermont!$D18)</f>
        <v>Evermont</v>
      </c>
      <c r="F1216" s="116" t="n">
        <f aca="false">IF($A1216="","",Evermont!$F18)</f>
        <v>46174</v>
      </c>
      <c r="G1216" s="116" t="n">
        <f aca="false">IF($A1216="","",Evermont!$G18)</f>
        <v>46181</v>
      </c>
      <c r="H1216" s="104" t="n">
        <f aca="false">IF($A1216="","",Evermont!$K18)</f>
        <v>0</v>
      </c>
      <c r="I1216" s="0" t="str">
        <f aca="false">IF($A1216="","",Evermont!$Q18)</f>
        <v>Terminé</v>
      </c>
      <c r="K1216" s="104" t="n">
        <f aca="false">IF(A1216="",0,IF(IFERROR(VLOOKUP(A1216,Skills!$A:$M,13,FALSE()),"")="COS",0,IF(OR(I1216="En cours",I1216="À venir",I1216="À planifier"),IF(AND(OR($C$3="Tous",$C$3="",C1216=$C$3),OR($E$3="Tous",$E$3="",I1216=$E$3)),1,0),0)))</f>
        <v>0</v>
      </c>
      <c r="L1216" s="104" t="n">
        <f aca="false">L1215+K1216</f>
        <v>18</v>
      </c>
    </row>
    <row r="1217" customFormat="false" ht="15" hidden="true" customHeight="true" outlineLevel="0" collapsed="false">
      <c r="A1217" s="0" t="str">
        <f aca="false">IF(Evermont!$A19="","",Evermont!$A19)</f>
        <v>TR063</v>
      </c>
      <c r="B1217" s="0" t="str">
        <f aca="false">IF($A1217="","",Evermont!$B19)</f>
        <v>Jorus Marsgate</v>
      </c>
      <c r="C1217" s="0" t="str">
        <f aca="false">IF($A1217="","",Evermont!$C19)</f>
        <v>Montréal</v>
      </c>
      <c r="D1217" s="0" t="str">
        <f aca="false">IF($A1217="","","Nouvelle compétence")</f>
        <v>Nouvelle compétence</v>
      </c>
      <c r="E1217" s="0" t="str">
        <f aca="false">IF($A1217="","",Evermont!$D19)</f>
        <v>Evermont</v>
      </c>
      <c r="F1217" s="116" t="n">
        <f aca="false">IF($A1217="","",Evermont!$F19)</f>
        <v>46174</v>
      </c>
      <c r="G1217" s="116" t="n">
        <f aca="false">IF($A1217="","",Evermont!$G19)</f>
        <v>46181</v>
      </c>
      <c r="H1217" s="104" t="n">
        <f aca="false">IF($A1217="","",Evermont!$K19)</f>
        <v>0</v>
      </c>
      <c r="I1217" s="0" t="str">
        <f aca="false">IF($A1217="","",Evermont!$Q19)</f>
        <v>Terminé</v>
      </c>
      <c r="K1217" s="104" t="n">
        <f aca="false">IF(A1217="",0,IF(IFERROR(VLOOKUP(A1217,Skills!$A:$M,13,FALSE()),"")="COS",0,IF(OR(I1217="En cours",I1217="À venir",I1217="À planifier"),IF(AND(OR($C$3="Tous",$C$3="",C1217=$C$3),OR($E$3="Tous",$E$3="",I1217=$E$3)),1,0),0)))</f>
        <v>0</v>
      </c>
      <c r="L1217" s="104" t="n">
        <f aca="false">L1216+K1217</f>
        <v>18</v>
      </c>
    </row>
    <row r="1218" customFormat="false" ht="15" hidden="true" customHeight="true" outlineLevel="0" collapsed="false">
      <c r="A1218" s="0" t="str">
        <f aca="false">IF(Evermont!$A20="","",Evermont!$A20)</f>
        <v>TR059</v>
      </c>
      <c r="B1218" s="0" t="str">
        <f aca="false">IF($A1218="","",Evermont!$B20)</f>
        <v>Fairmere Stelhaven</v>
      </c>
      <c r="C1218" s="0" t="str">
        <f aca="false">IF($A1218="","",Evermont!$C20)</f>
        <v>Montréal</v>
      </c>
      <c r="D1218" s="0" t="str">
        <f aca="false">IF($A1218="","","Nouvelle compétence")</f>
        <v>Nouvelle compétence</v>
      </c>
      <c r="E1218" s="0" t="str">
        <f aca="false">IF($A1218="","",Evermont!$D20)</f>
        <v>Evermont</v>
      </c>
      <c r="F1218" s="116" t="n">
        <f aca="false">IF($A1218="","",Evermont!$F20)</f>
        <v>46174</v>
      </c>
      <c r="G1218" s="116" t="n">
        <f aca="false">IF($A1218="","",Evermont!$G20)</f>
        <v>46181</v>
      </c>
      <c r="H1218" s="104" t="n">
        <f aca="false">IF($A1218="","",Evermont!$K20)</f>
        <v>0</v>
      </c>
      <c r="I1218" s="0" t="str">
        <f aca="false">IF($A1218="","",Evermont!$Q20)</f>
        <v>Terminé</v>
      </c>
      <c r="K1218" s="104" t="n">
        <f aca="false">IF(A1218="",0,IF(IFERROR(VLOOKUP(A1218,Skills!$A:$M,13,FALSE()),"")="COS",0,IF(OR(I1218="En cours",I1218="À venir",I1218="À planifier"),IF(AND(OR($C$3="Tous",$C$3="",C1218=$C$3),OR($E$3="Tous",$E$3="",I1218=$E$3)),1,0),0)))</f>
        <v>0</v>
      </c>
      <c r="L1218" s="104" t="n">
        <f aca="false">L1217+K1218</f>
        <v>18</v>
      </c>
    </row>
    <row r="1219" customFormat="false" ht="15" hidden="true" customHeight="true" outlineLevel="0" collapsed="false">
      <c r="A1219" s="0" t="str">
        <f aca="false">IF(Evermont!$A21="","",Evermont!$A21)</f>
        <v>TR048</v>
      </c>
      <c r="B1219" s="0" t="str">
        <f aca="false">IF($A1219="","",Evermont!$B21)</f>
        <v>Yoren Selon</v>
      </c>
      <c r="C1219" s="0" t="str">
        <f aca="false">IF($A1219="","",Evermont!$C21)</f>
        <v>Montréal</v>
      </c>
      <c r="D1219" s="0" t="str">
        <f aca="false">IF($A1219="","","Nouvelle compétence")</f>
        <v>Nouvelle compétence</v>
      </c>
      <c r="E1219" s="0" t="str">
        <f aca="false">IF($A1219="","",Evermont!$D21)</f>
        <v>Evermont</v>
      </c>
      <c r="F1219" s="116" t="n">
        <f aca="false">IF($A1219="","",Evermont!$F21)</f>
        <v>46182</v>
      </c>
      <c r="G1219" s="116" t="n">
        <f aca="false">IF($A1219="","",Evermont!$G21)</f>
        <v>46189</v>
      </c>
      <c r="H1219" s="104" t="n">
        <f aca="false">IF($A1219="","",Evermont!$K21)</f>
        <v>0</v>
      </c>
      <c r="I1219" s="0" t="str">
        <f aca="false">IF($A1219="","",Evermont!$Q21)</f>
        <v>Terminé</v>
      </c>
      <c r="K1219" s="104" t="n">
        <f aca="false">IF(A1219="",0,IF(IFERROR(VLOOKUP(A1219,Skills!$A:$M,13,FALSE()),"")="COS",0,IF(OR(I1219="En cours",I1219="À venir",I1219="À planifier"),IF(AND(OR($C$3="Tous",$C$3="",C1219=$C$3),OR($E$3="Tous",$E$3="",I1219=$E$3)),1,0),0)))</f>
        <v>0</v>
      </c>
      <c r="L1219" s="104" t="n">
        <f aca="false">L1218+K1219</f>
        <v>18</v>
      </c>
    </row>
    <row r="1220" customFormat="false" ht="15" hidden="true" customHeight="true" outlineLevel="0" collapsed="false">
      <c r="A1220" s="0" t="str">
        <f aca="false">IF(Evermont!$A22="","",Evermont!$A22)</f>
        <v>TR110</v>
      </c>
      <c r="B1220" s="0" t="str">
        <f aca="false">IF($A1220="","",Evermont!$B22)</f>
        <v>Everworth Voran</v>
      </c>
      <c r="C1220" s="0" t="str">
        <f aca="false">IF($A1220="","",Evermont!$C22)</f>
        <v>Montréal</v>
      </c>
      <c r="D1220" s="0" t="str">
        <f aca="false">IF($A1220="","","Nouvelle compétence")</f>
        <v>Nouvelle compétence</v>
      </c>
      <c r="E1220" s="0" t="str">
        <f aca="false">IF($A1220="","",Evermont!$D22)</f>
        <v>Evermont</v>
      </c>
      <c r="F1220" s="116" t="n">
        <f aca="false">IF($A1220="","",Evermont!$F22)</f>
        <v>46182</v>
      </c>
      <c r="G1220" s="116" t="n">
        <f aca="false">IF($A1220="","",Evermont!$G22)</f>
        <v>46189</v>
      </c>
      <c r="H1220" s="104" t="n">
        <f aca="false">IF($A1220="","",Evermont!$K22)</f>
        <v>0</v>
      </c>
      <c r="I1220" s="0" t="str">
        <f aca="false">IF($A1220="","",Evermont!$Q22)</f>
        <v>Terminé</v>
      </c>
      <c r="K1220" s="104" t="n">
        <f aca="false">IF(A1220="",0,IF(IFERROR(VLOOKUP(A1220,Skills!$A:$M,13,FALSE()),"")="COS",0,IF(OR(I1220="En cours",I1220="À venir",I1220="À planifier"),IF(AND(OR($C$3="Tous",$C$3="",C1220=$C$3),OR($E$3="Tous",$E$3="",I1220=$E$3)),1,0),0)))</f>
        <v>0</v>
      </c>
      <c r="L1220" s="104" t="n">
        <f aca="false">L1219+K1220</f>
        <v>18</v>
      </c>
    </row>
    <row r="1221" customFormat="false" ht="15" hidden="true" customHeight="true" outlineLevel="0" collapsed="false">
      <c r="A1221" s="0" t="str">
        <f aca="false">IF(Evermont!$A23="","",Evermont!$A23)</f>
        <v>TR020</v>
      </c>
      <c r="B1221" s="0" t="str">
        <f aca="false">IF($A1221="","",Evermont!$B23)</f>
        <v>Selan Dellgate</v>
      </c>
      <c r="C1221" s="0" t="str">
        <f aca="false">IF($A1221="","",Evermont!$C23)</f>
        <v>Montréal</v>
      </c>
      <c r="D1221" s="0" t="str">
        <f aca="false">IF($A1221="","","Nouvelle compétence")</f>
        <v>Nouvelle compétence</v>
      </c>
      <c r="E1221" s="0" t="str">
        <f aca="false">IF($A1221="","",Evermont!$D23)</f>
        <v>Evermont</v>
      </c>
      <c r="F1221" s="116" t="n">
        <f aca="false">IF($A1221="","",Evermont!$F23)</f>
        <v>46182</v>
      </c>
      <c r="G1221" s="116" t="n">
        <f aca="false">IF($A1221="","",Evermont!$G23)</f>
        <v>46189</v>
      </c>
      <c r="H1221" s="104" t="n">
        <f aca="false">IF($A1221="","",Evermont!$K23)</f>
        <v>0</v>
      </c>
      <c r="I1221" s="0" t="str">
        <f aca="false">IF($A1221="","",Evermont!$Q23)</f>
        <v>Terminé</v>
      </c>
      <c r="K1221" s="104" t="n">
        <f aca="false">IF(A1221="",0,IF(IFERROR(VLOOKUP(A1221,Skills!$A:$M,13,FALSE()),"")="COS",0,IF(OR(I1221="En cours",I1221="À venir",I1221="À planifier"),IF(AND(OR($C$3="Tous",$C$3="",C1221=$C$3),OR($E$3="Tous",$E$3="",I1221=$E$3)),1,0),0)))</f>
        <v>0</v>
      </c>
      <c r="L1221" s="104" t="n">
        <f aca="false">L1220+K1221</f>
        <v>18</v>
      </c>
    </row>
    <row r="1222" customFormat="false" ht="15" hidden="true" customHeight="true" outlineLevel="0" collapsed="false">
      <c r="A1222" s="0" t="str">
        <f aca="false">IF(Evermont!$A24="","",Evermont!$A24)</f>
        <v>TR118</v>
      </c>
      <c r="B1222" s="0" t="str">
        <f aca="false">IF($A1222="","",Evermont!$B24)</f>
        <v>Kelus Corrworth</v>
      </c>
      <c r="C1222" s="0" t="str">
        <f aca="false">IF($A1222="","",Evermont!$C24)</f>
        <v>Montréal</v>
      </c>
      <c r="D1222" s="0" t="str">
        <f aca="false">IF($A1222="","","Nouvelle compétence")</f>
        <v>Nouvelle compétence</v>
      </c>
      <c r="E1222" s="0" t="str">
        <f aca="false">IF($A1222="","",Evermont!$D24)</f>
        <v>Evermont</v>
      </c>
      <c r="F1222" s="116" t="n">
        <f aca="false">IF($A1222="","",Evermont!$F24)</f>
        <v>45819</v>
      </c>
      <c r="G1222" s="116" t="n">
        <f aca="false">IF($A1222="","",Evermont!$G24)</f>
        <v>45827</v>
      </c>
      <c r="H1222" s="104" t="n">
        <f aca="false">IF($A1222="","",Evermont!$K24)</f>
        <v>0</v>
      </c>
      <c r="I1222" s="0" t="str">
        <f aca="false">IF($A1222="","",Evermont!$Q24)</f>
        <v>Terminé</v>
      </c>
      <c r="K1222" s="104" t="n">
        <f aca="false">IF(A1222="",0,IF(IFERROR(VLOOKUP(A1222,Skills!$A:$M,13,FALSE()),"")="COS",0,IF(OR(I1222="En cours",I1222="À venir",I1222="À planifier"),IF(AND(OR($C$3="Tous",$C$3="",C1222=$C$3),OR($E$3="Tous",$E$3="",I1222=$E$3)),1,0),0)))</f>
        <v>0</v>
      </c>
      <c r="L1222" s="104" t="n">
        <f aca="false">L1221+K1222</f>
        <v>18</v>
      </c>
    </row>
    <row r="1223" customFormat="false" ht="15" hidden="true" customHeight="true" outlineLevel="0" collapsed="false">
      <c r="A1223" s="0" t="str">
        <f aca="false">IF(Evermont!$A25="","",Evermont!$A25)</f>
        <v>TR164</v>
      </c>
      <c r="B1223" s="0" t="str">
        <f aca="false">IF($A1223="","",Evermont!$B25)</f>
        <v>Weson Pykefield</v>
      </c>
      <c r="C1223" s="0" t="str">
        <f aca="false">IF($A1223="","",Evermont!$C25)</f>
        <v>Montréal</v>
      </c>
      <c r="D1223" s="0" t="str">
        <f aca="false">IF($A1223="","","Nouvelle compétence")</f>
        <v>Nouvelle compétence</v>
      </c>
      <c r="E1223" s="0" t="str">
        <f aca="false">IF($A1223="","",Evermont!$D25)</f>
        <v>Evermont</v>
      </c>
      <c r="F1223" s="116" t="n">
        <f aca="false">IF($A1223="","",Evermont!$F25)</f>
        <v>0</v>
      </c>
      <c r="G1223" s="116" t="str">
        <f aca="false">IF($A1223="","",Evermont!$G25)</f>
        <v/>
      </c>
      <c r="H1223" s="0" t="str">
        <f aca="false">IF($A1223="","",Evermont!$K25)</f>
        <v/>
      </c>
      <c r="I1223" s="0" t="str">
        <f aca="false">IF($A1223="","",Evermont!$Q25)</f>
        <v>À venir</v>
      </c>
      <c r="K1223" s="104" t="n">
        <f aca="false">IF(A1223="",0,IF(IFERROR(VLOOKUP(A1223,Skills!$A:$M,13,FALSE()),"")="COS",0,IF(OR(I1223="En cours",I1223="À venir",I1223="À planifier"),IF(AND(OR($C$3="Tous",$C$3="",C1223=$C$3),OR($E$3="Tous",$E$3="",I1223=$E$3)),1,0),0)))</f>
        <v>1</v>
      </c>
      <c r="L1223" s="104" t="n">
        <f aca="false">L1222+K1223</f>
        <v>19</v>
      </c>
    </row>
    <row r="1224" customFormat="false" ht="15" hidden="true" customHeight="true" outlineLevel="0" collapsed="false">
      <c r="A1224" s="0" t="str">
        <f aca="false">IF(Evermont!$A26="","",Evermont!$A26)</f>
        <v/>
      </c>
      <c r="B1224" s="0" t="str">
        <f aca="false">IF($A1224="","",Evermont!$B26)</f>
        <v/>
      </c>
      <c r="C1224" s="0" t="str">
        <f aca="false">IF($A1224="","",Evermont!$C26)</f>
        <v/>
      </c>
      <c r="D1224" s="0" t="str">
        <f aca="false">IF($A1224="","","Nouvelle compétence")</f>
        <v/>
      </c>
      <c r="E1224" s="0" t="str">
        <f aca="false">IF($A1224="","",Evermont!$D26)</f>
        <v/>
      </c>
      <c r="F1224" s="116" t="str">
        <f aca="false">IF($A1224="","",Evermont!$F26)</f>
        <v/>
      </c>
      <c r="G1224" s="116" t="str">
        <f aca="false">IF($A1224="","",Evermont!$G26)</f>
        <v/>
      </c>
      <c r="H1224" s="0" t="str">
        <f aca="false">IF($A1224="","",Evermont!$K26)</f>
        <v/>
      </c>
      <c r="I1224" s="0" t="str">
        <f aca="false">IF($A1224="","",Evermont!$Q26)</f>
        <v/>
      </c>
      <c r="K1224" s="104" t="n">
        <f aca="false">IF(A1224="",0,IF(IFERROR(VLOOKUP(A1224,Skills!$A:$M,13,FALSE()),"")="COS",0,IF(OR(I1224="En cours",I1224="À venir",I1224="À planifier"),IF(AND(OR($C$3="Tous",$C$3="",C1224=$C$3),OR($E$3="Tous",$E$3="",I1224=$E$3)),1,0),0)))</f>
        <v>0</v>
      </c>
      <c r="L1224" s="104" t="n">
        <f aca="false">L1223+K1224</f>
        <v>19</v>
      </c>
    </row>
    <row r="1225" customFormat="false" ht="15" hidden="true" customHeight="true" outlineLevel="0" collapsed="false">
      <c r="A1225" s="0" t="str">
        <f aca="false">IF(Evermont!$A27="","",Evermont!$A27)</f>
        <v/>
      </c>
      <c r="B1225" s="0" t="str">
        <f aca="false">IF($A1225="","",Evermont!$B27)</f>
        <v/>
      </c>
      <c r="C1225" s="0" t="str">
        <f aca="false">IF($A1225="","",Evermont!$C27)</f>
        <v/>
      </c>
      <c r="D1225" s="0" t="str">
        <f aca="false">IF($A1225="","","Nouvelle compétence")</f>
        <v/>
      </c>
      <c r="E1225" s="0" t="str">
        <f aca="false">IF($A1225="","",Evermont!$D27)</f>
        <v/>
      </c>
      <c r="F1225" s="116" t="str">
        <f aca="false">IF($A1225="","",Evermont!$F27)</f>
        <v/>
      </c>
      <c r="G1225" s="116" t="str">
        <f aca="false">IF($A1225="","",Evermont!$G27)</f>
        <v/>
      </c>
      <c r="H1225" s="0" t="str">
        <f aca="false">IF($A1225="","",Evermont!$K27)</f>
        <v/>
      </c>
      <c r="I1225" s="0" t="str">
        <f aca="false">IF($A1225="","",Evermont!$Q27)</f>
        <v/>
      </c>
      <c r="K1225" s="104" t="n">
        <f aca="false">IF(A1225="",0,IF(IFERROR(VLOOKUP(A1225,Skills!$A:$M,13,FALSE()),"")="COS",0,IF(OR(I1225="En cours",I1225="À venir",I1225="À planifier"),IF(AND(OR($C$3="Tous",$C$3="",C1225=$C$3),OR($E$3="Tous",$E$3="",I1225=$E$3)),1,0),0)))</f>
        <v>0</v>
      </c>
      <c r="L1225" s="104" t="n">
        <f aca="false">L1224+K1225</f>
        <v>19</v>
      </c>
    </row>
    <row r="1226" customFormat="false" ht="15" hidden="true" customHeight="true" outlineLevel="0" collapsed="false">
      <c r="A1226" s="0" t="str">
        <f aca="false">IF(Evermont!$A28="","",Evermont!$A28)</f>
        <v/>
      </c>
      <c r="B1226" s="0" t="str">
        <f aca="false">IF($A1226="","",Evermont!$B28)</f>
        <v/>
      </c>
      <c r="C1226" s="0" t="str">
        <f aca="false">IF($A1226="","",Evermont!$C28)</f>
        <v/>
      </c>
      <c r="D1226" s="0" t="str">
        <f aca="false">IF($A1226="","","Nouvelle compétence")</f>
        <v/>
      </c>
      <c r="E1226" s="0" t="str">
        <f aca="false">IF($A1226="","",Evermont!$D28)</f>
        <v/>
      </c>
      <c r="F1226" s="116" t="str">
        <f aca="false">IF($A1226="","",Evermont!$F28)</f>
        <v/>
      </c>
      <c r="G1226" s="116" t="str">
        <f aca="false">IF($A1226="","",Evermont!$G28)</f>
        <v/>
      </c>
      <c r="H1226" s="0" t="str">
        <f aca="false">IF($A1226="","",Evermont!$K28)</f>
        <v/>
      </c>
      <c r="I1226" s="0" t="str">
        <f aca="false">IF($A1226="","",Evermont!$Q28)</f>
        <v/>
      </c>
      <c r="K1226" s="104" t="n">
        <f aca="false">IF(A1226="",0,IF(IFERROR(VLOOKUP(A1226,Skills!$A:$M,13,FALSE()),"")="COS",0,IF(OR(I1226="En cours",I1226="À venir",I1226="À planifier"),IF(AND(OR($C$3="Tous",$C$3="",C1226=$C$3),OR($E$3="Tous",$E$3="",I1226=$E$3)),1,0),0)))</f>
        <v>0</v>
      </c>
      <c r="L1226" s="104" t="n">
        <f aca="false">L1225+K1226</f>
        <v>19</v>
      </c>
    </row>
    <row r="1227" customFormat="false" ht="15" hidden="true" customHeight="true" outlineLevel="0" collapsed="false">
      <c r="A1227" s="0" t="str">
        <f aca="false">IF(Evermont!$A29="","",Evermont!$A29)</f>
        <v/>
      </c>
      <c r="B1227" s="0" t="str">
        <f aca="false">IF($A1227="","",Evermont!$B29)</f>
        <v/>
      </c>
      <c r="C1227" s="0" t="str">
        <f aca="false">IF($A1227="","",Evermont!$C29)</f>
        <v/>
      </c>
      <c r="D1227" s="0" t="str">
        <f aca="false">IF($A1227="","","Nouvelle compétence")</f>
        <v/>
      </c>
      <c r="E1227" s="0" t="str">
        <f aca="false">IF($A1227="","",Evermont!$D29)</f>
        <v/>
      </c>
      <c r="F1227" s="116" t="str">
        <f aca="false">IF($A1227="","",Evermont!$F29)</f>
        <v/>
      </c>
      <c r="G1227" s="116" t="str">
        <f aca="false">IF($A1227="","",Evermont!$G29)</f>
        <v/>
      </c>
      <c r="H1227" s="0" t="str">
        <f aca="false">IF($A1227="","",Evermont!$K29)</f>
        <v/>
      </c>
      <c r="I1227" s="0" t="str">
        <f aca="false">IF($A1227="","",Evermont!$Q29)</f>
        <v/>
      </c>
      <c r="K1227" s="104" t="n">
        <f aca="false">IF(A1227="",0,IF(IFERROR(VLOOKUP(A1227,Skills!$A:$M,13,FALSE()),"")="COS",0,IF(OR(I1227="En cours",I1227="À venir",I1227="À planifier"),IF(AND(OR($C$3="Tous",$C$3="",C1227=$C$3),OR($E$3="Tous",$E$3="",I1227=$E$3)),1,0),0)))</f>
        <v>0</v>
      </c>
      <c r="L1227" s="104" t="n">
        <f aca="false">L1226+K1227</f>
        <v>19</v>
      </c>
    </row>
    <row r="1228" customFormat="false" ht="15" hidden="true" customHeight="true" outlineLevel="0" collapsed="false">
      <c r="A1228" s="0" t="str">
        <f aca="false">IF(Evermont!$A30="","",Evermont!$A30)</f>
        <v/>
      </c>
      <c r="B1228" s="0" t="str">
        <f aca="false">IF($A1228="","",Evermont!$B30)</f>
        <v/>
      </c>
      <c r="C1228" s="0" t="str">
        <f aca="false">IF($A1228="","",Evermont!$C30)</f>
        <v/>
      </c>
      <c r="D1228" s="0" t="str">
        <f aca="false">IF($A1228="","","Nouvelle compétence")</f>
        <v/>
      </c>
      <c r="E1228" s="0" t="str">
        <f aca="false">IF($A1228="","",Evermont!$D30)</f>
        <v/>
      </c>
      <c r="F1228" s="116" t="str">
        <f aca="false">IF($A1228="","",Evermont!$F30)</f>
        <v/>
      </c>
      <c r="G1228" s="116" t="str">
        <f aca="false">IF($A1228="","",Evermont!$G30)</f>
        <v/>
      </c>
      <c r="H1228" s="0" t="str">
        <f aca="false">IF($A1228="","",Evermont!$K30)</f>
        <v/>
      </c>
      <c r="I1228" s="0" t="str">
        <f aca="false">IF($A1228="","",Evermont!$Q30)</f>
        <v/>
      </c>
      <c r="K1228" s="104" t="n">
        <f aca="false">IF(A1228="",0,IF(IFERROR(VLOOKUP(A1228,Skills!$A:$M,13,FALSE()),"")="COS",0,IF(OR(I1228="En cours",I1228="À venir",I1228="À planifier"),IF(AND(OR($C$3="Tous",$C$3="",C1228=$C$3),OR($E$3="Tous",$E$3="",I1228=$E$3)),1,0),0)))</f>
        <v>0</v>
      </c>
      <c r="L1228" s="104" t="n">
        <f aca="false">L1227+K1228</f>
        <v>19</v>
      </c>
    </row>
    <row r="1229" customFormat="false" ht="15" hidden="true" customHeight="true" outlineLevel="0" collapsed="false">
      <c r="A1229" s="0" t="str">
        <f aca="false">IF(Evermont!$A31="","",Evermont!$A31)</f>
        <v/>
      </c>
      <c r="B1229" s="0" t="str">
        <f aca="false">IF($A1229="","",Evermont!$B31)</f>
        <v/>
      </c>
      <c r="C1229" s="0" t="str">
        <f aca="false">IF($A1229="","",Evermont!$C31)</f>
        <v/>
      </c>
      <c r="D1229" s="0" t="str">
        <f aca="false">IF($A1229="","","Nouvelle compétence")</f>
        <v/>
      </c>
      <c r="E1229" s="0" t="str">
        <f aca="false">IF($A1229="","",Evermont!$D31)</f>
        <v/>
      </c>
      <c r="F1229" s="116" t="str">
        <f aca="false">IF($A1229="","",Evermont!$F31)</f>
        <v/>
      </c>
      <c r="G1229" s="116" t="str">
        <f aca="false">IF($A1229="","",Evermont!$G31)</f>
        <v/>
      </c>
      <c r="H1229" s="0" t="str">
        <f aca="false">IF($A1229="","",Evermont!$K31)</f>
        <v/>
      </c>
      <c r="I1229" s="0" t="str">
        <f aca="false">IF($A1229="","",Evermont!$Q31)</f>
        <v/>
      </c>
      <c r="K1229" s="104" t="n">
        <f aca="false">IF(A1229="",0,IF(IFERROR(VLOOKUP(A1229,Skills!$A:$M,13,FALSE()),"")="COS",0,IF(OR(I1229="En cours",I1229="À venir",I1229="À planifier"),IF(AND(OR($C$3="Tous",$C$3="",C1229=$C$3),OR($E$3="Tous",$E$3="",I1229=$E$3)),1,0),0)))</f>
        <v>0</v>
      </c>
      <c r="L1229" s="104" t="n">
        <f aca="false">L1228+K1229</f>
        <v>19</v>
      </c>
    </row>
    <row r="1230" customFormat="false" ht="15" hidden="true" customHeight="true" outlineLevel="0" collapsed="false">
      <c r="A1230" s="0" t="str">
        <f aca="false">IF(Evermont!$A32="","",Evermont!$A32)</f>
        <v/>
      </c>
      <c r="B1230" s="0" t="str">
        <f aca="false">IF($A1230="","",Evermont!$B32)</f>
        <v/>
      </c>
      <c r="C1230" s="0" t="str">
        <f aca="false">IF($A1230="","",Evermont!$C32)</f>
        <v/>
      </c>
      <c r="D1230" s="0" t="str">
        <f aca="false">IF($A1230="","","Nouvelle compétence")</f>
        <v/>
      </c>
      <c r="E1230" s="0" t="str">
        <f aca="false">IF($A1230="","",Evermont!$D32)</f>
        <v/>
      </c>
      <c r="F1230" s="116" t="str">
        <f aca="false">IF($A1230="","",Evermont!$F32)</f>
        <v/>
      </c>
      <c r="G1230" s="116" t="str">
        <f aca="false">IF($A1230="","",Evermont!$G32)</f>
        <v/>
      </c>
      <c r="H1230" s="0" t="str">
        <f aca="false">IF($A1230="","",Evermont!$K32)</f>
        <v/>
      </c>
      <c r="I1230" s="0" t="str">
        <f aca="false">IF($A1230="","",Evermont!$Q32)</f>
        <v/>
      </c>
      <c r="K1230" s="104" t="n">
        <f aca="false">IF(A1230="",0,IF(IFERROR(VLOOKUP(A1230,Skills!$A:$M,13,FALSE()),"")="COS",0,IF(OR(I1230="En cours",I1230="À venir",I1230="À planifier"),IF(AND(OR($C$3="Tous",$C$3="",C1230=$C$3),OR($E$3="Tous",$E$3="",I1230=$E$3)),1,0),0)))</f>
        <v>0</v>
      </c>
      <c r="L1230" s="104" t="n">
        <f aca="false">L1229+K1230</f>
        <v>19</v>
      </c>
    </row>
    <row r="1231" customFormat="false" ht="15" hidden="true" customHeight="true" outlineLevel="0" collapsed="false">
      <c r="A1231" s="0" t="str">
        <f aca="false">IF(Evermont!$A33="","",Evermont!$A33)</f>
        <v/>
      </c>
      <c r="B1231" s="0" t="str">
        <f aca="false">IF($A1231="","",Evermont!$B33)</f>
        <v/>
      </c>
      <c r="C1231" s="0" t="str">
        <f aca="false">IF($A1231="","",Evermont!$C33)</f>
        <v/>
      </c>
      <c r="D1231" s="0" t="str">
        <f aca="false">IF($A1231="","","Nouvelle compétence")</f>
        <v/>
      </c>
      <c r="E1231" s="0" t="str">
        <f aca="false">IF($A1231="","",Evermont!$D33)</f>
        <v/>
      </c>
      <c r="F1231" s="116" t="str">
        <f aca="false">IF($A1231="","",Evermont!$F33)</f>
        <v/>
      </c>
      <c r="G1231" s="116" t="str">
        <f aca="false">IF($A1231="","",Evermont!$G33)</f>
        <v/>
      </c>
      <c r="H1231" s="0" t="str">
        <f aca="false">IF($A1231="","",Evermont!$K33)</f>
        <v/>
      </c>
      <c r="I1231" s="0" t="str">
        <f aca="false">IF($A1231="","",Evermont!$Q33)</f>
        <v/>
      </c>
      <c r="K1231" s="104" t="n">
        <f aca="false">IF(A1231="",0,IF(IFERROR(VLOOKUP(A1231,Skills!$A:$M,13,FALSE()),"")="COS",0,IF(OR(I1231="En cours",I1231="À venir",I1231="À planifier"),IF(AND(OR($C$3="Tous",$C$3="",C1231=$C$3),OR($E$3="Tous",$E$3="",I1231=$E$3)),1,0),0)))</f>
        <v>0</v>
      </c>
      <c r="L1231" s="104" t="n">
        <f aca="false">L1230+K1231</f>
        <v>19</v>
      </c>
    </row>
    <row r="1232" customFormat="false" ht="15" hidden="true" customHeight="true" outlineLevel="0" collapsed="false">
      <c r="A1232" s="0" t="str">
        <f aca="false">IF(Evermont!$A34="","",Evermont!$A34)</f>
        <v/>
      </c>
      <c r="B1232" s="0" t="str">
        <f aca="false">IF($A1232="","",Evermont!$B34)</f>
        <v/>
      </c>
      <c r="C1232" s="0" t="str">
        <f aca="false">IF($A1232="","",Evermont!$C34)</f>
        <v/>
      </c>
      <c r="D1232" s="0" t="str">
        <f aca="false">IF($A1232="","","Nouvelle compétence")</f>
        <v/>
      </c>
      <c r="E1232" s="0" t="str">
        <f aca="false">IF($A1232="","",Evermont!$D34)</f>
        <v/>
      </c>
      <c r="F1232" s="116" t="str">
        <f aca="false">IF($A1232="","",Evermont!$F34)</f>
        <v/>
      </c>
      <c r="G1232" s="116" t="str">
        <f aca="false">IF($A1232="","",Evermont!$G34)</f>
        <v/>
      </c>
      <c r="H1232" s="0" t="str">
        <f aca="false">IF($A1232="","",Evermont!$K34)</f>
        <v/>
      </c>
      <c r="I1232" s="0" t="str">
        <f aca="false">IF($A1232="","",Evermont!$Q34)</f>
        <v/>
      </c>
      <c r="K1232" s="104" t="n">
        <f aca="false">IF(A1232="",0,IF(IFERROR(VLOOKUP(A1232,Skills!$A:$M,13,FALSE()),"")="COS",0,IF(OR(I1232="En cours",I1232="À venir",I1232="À planifier"),IF(AND(OR($C$3="Tous",$C$3="",C1232=$C$3),OR($E$3="Tous",$E$3="",I1232=$E$3)),1,0),0)))</f>
        <v>0</v>
      </c>
      <c r="L1232" s="104" t="n">
        <f aca="false">L1231+K1232</f>
        <v>19</v>
      </c>
    </row>
    <row r="1233" customFormat="false" ht="15" hidden="true" customHeight="true" outlineLevel="0" collapsed="false">
      <c r="A1233" s="0" t="str">
        <f aca="false">IF(Evermont!$A35="","",Evermont!$A35)</f>
        <v/>
      </c>
      <c r="B1233" s="0" t="str">
        <f aca="false">IF($A1233="","",Evermont!$B35)</f>
        <v/>
      </c>
      <c r="C1233" s="0" t="str">
        <f aca="false">IF($A1233="","",Evermont!$C35)</f>
        <v/>
      </c>
      <c r="D1233" s="0" t="str">
        <f aca="false">IF($A1233="","","Nouvelle compétence")</f>
        <v/>
      </c>
      <c r="E1233" s="0" t="str">
        <f aca="false">IF($A1233="","",Evermont!$D35)</f>
        <v/>
      </c>
      <c r="F1233" s="116" t="str">
        <f aca="false">IF($A1233="","",Evermont!$F35)</f>
        <v/>
      </c>
      <c r="G1233" s="116" t="str">
        <f aca="false">IF($A1233="","",Evermont!$G35)</f>
        <v/>
      </c>
      <c r="H1233" s="0" t="str">
        <f aca="false">IF($A1233="","",Evermont!$K35)</f>
        <v/>
      </c>
      <c r="I1233" s="0" t="str">
        <f aca="false">IF($A1233="","",Evermont!$Q35)</f>
        <v/>
      </c>
      <c r="K1233" s="104" t="n">
        <f aca="false">IF(A1233="",0,IF(IFERROR(VLOOKUP(A1233,Skills!$A:$M,13,FALSE()),"")="COS",0,IF(OR(I1233="En cours",I1233="À venir",I1233="À planifier"),IF(AND(OR($C$3="Tous",$C$3="",C1233=$C$3),OR($E$3="Tous",$E$3="",I1233=$E$3)),1,0),0)))</f>
        <v>0</v>
      </c>
      <c r="L1233" s="104" t="n">
        <f aca="false">L1232+K1233</f>
        <v>19</v>
      </c>
    </row>
    <row r="1234" customFormat="false" ht="15" hidden="true" customHeight="true" outlineLevel="0" collapsed="false">
      <c r="A1234" s="0" t="str">
        <f aca="false">IF(Evermont!$A36="","",Evermont!$A36)</f>
        <v/>
      </c>
      <c r="B1234" s="0" t="str">
        <f aca="false">IF($A1234="","",Evermont!$B36)</f>
        <v/>
      </c>
      <c r="C1234" s="0" t="str">
        <f aca="false">IF($A1234="","",Evermont!$C36)</f>
        <v/>
      </c>
      <c r="D1234" s="0" t="str">
        <f aca="false">IF($A1234="","","Nouvelle compétence")</f>
        <v/>
      </c>
      <c r="E1234" s="0" t="str">
        <f aca="false">IF($A1234="","",Evermont!$D36)</f>
        <v/>
      </c>
      <c r="F1234" s="116" t="str">
        <f aca="false">IF($A1234="","",Evermont!$F36)</f>
        <v/>
      </c>
      <c r="G1234" s="116" t="str">
        <f aca="false">IF($A1234="","",Evermont!$G36)</f>
        <v/>
      </c>
      <c r="H1234" s="0" t="str">
        <f aca="false">IF($A1234="","",Evermont!$K36)</f>
        <v/>
      </c>
      <c r="I1234" s="0" t="str">
        <f aca="false">IF($A1234="","",Evermont!$Q36)</f>
        <v/>
      </c>
      <c r="K1234" s="104" t="n">
        <f aca="false">IF(A1234="",0,IF(IFERROR(VLOOKUP(A1234,Skills!$A:$M,13,FALSE()),"")="COS",0,IF(OR(I1234="En cours",I1234="À venir",I1234="À planifier"),IF(AND(OR($C$3="Tous",$C$3="",C1234=$C$3),OR($E$3="Tous",$E$3="",I1234=$E$3)),1,0),0)))</f>
        <v>0</v>
      </c>
      <c r="L1234" s="104" t="n">
        <f aca="false">L1233+K1234</f>
        <v>19</v>
      </c>
    </row>
    <row r="1235" customFormat="false" ht="15" hidden="true" customHeight="true" outlineLevel="0" collapsed="false">
      <c r="A1235" s="0" t="str">
        <f aca="false">IF(Evermont!$A37="","",Evermont!$A37)</f>
        <v/>
      </c>
      <c r="B1235" s="0" t="str">
        <f aca="false">IF($A1235="","",Evermont!$B37)</f>
        <v/>
      </c>
      <c r="C1235" s="0" t="str">
        <f aca="false">IF($A1235="","",Evermont!$C37)</f>
        <v/>
      </c>
      <c r="D1235" s="0" t="str">
        <f aca="false">IF($A1235="","","Nouvelle compétence")</f>
        <v/>
      </c>
      <c r="E1235" s="0" t="str">
        <f aca="false">IF($A1235="","",Evermont!$D37)</f>
        <v/>
      </c>
      <c r="F1235" s="116" t="str">
        <f aca="false">IF($A1235="","",Evermont!$F37)</f>
        <v/>
      </c>
      <c r="G1235" s="116" t="str">
        <f aca="false">IF($A1235="","",Evermont!$G37)</f>
        <v/>
      </c>
      <c r="H1235" s="0" t="str">
        <f aca="false">IF($A1235="","",Evermont!$K37)</f>
        <v/>
      </c>
      <c r="I1235" s="0" t="str">
        <f aca="false">IF($A1235="","",Evermont!$Q37)</f>
        <v/>
      </c>
      <c r="K1235" s="104" t="n">
        <f aca="false">IF(A1235="",0,IF(IFERROR(VLOOKUP(A1235,Skills!$A:$M,13,FALSE()),"")="COS",0,IF(OR(I1235="En cours",I1235="À venir",I1235="À planifier"),IF(AND(OR($C$3="Tous",$C$3="",C1235=$C$3),OR($E$3="Tous",$E$3="",I1235=$E$3)),1,0),0)))</f>
        <v>0</v>
      </c>
      <c r="L1235" s="104" t="n">
        <f aca="false">L1234+K1235</f>
        <v>19</v>
      </c>
    </row>
    <row r="1236" customFormat="false" ht="15" hidden="true" customHeight="true" outlineLevel="0" collapsed="false">
      <c r="A1236" s="0" t="str">
        <f aca="false">IF(Evermont!$A38="","",Evermont!$A38)</f>
        <v/>
      </c>
      <c r="B1236" s="0" t="str">
        <f aca="false">IF($A1236="","",Evermont!$B38)</f>
        <v/>
      </c>
      <c r="C1236" s="0" t="str">
        <f aca="false">IF($A1236="","",Evermont!$C38)</f>
        <v/>
      </c>
      <c r="D1236" s="0" t="str">
        <f aca="false">IF($A1236="","","Nouvelle compétence")</f>
        <v/>
      </c>
      <c r="E1236" s="0" t="str">
        <f aca="false">IF($A1236="","",Evermont!$D38)</f>
        <v/>
      </c>
      <c r="F1236" s="116" t="str">
        <f aca="false">IF($A1236="","",Evermont!$F38)</f>
        <v/>
      </c>
      <c r="G1236" s="116" t="str">
        <f aca="false">IF($A1236="","",Evermont!$G38)</f>
        <v/>
      </c>
      <c r="H1236" s="0" t="str">
        <f aca="false">IF($A1236="","",Evermont!$K38)</f>
        <v/>
      </c>
      <c r="I1236" s="0" t="str">
        <f aca="false">IF($A1236="","",Evermont!$Q38)</f>
        <v/>
      </c>
      <c r="K1236" s="104" t="n">
        <f aca="false">IF(A1236="",0,IF(IFERROR(VLOOKUP(A1236,Skills!$A:$M,13,FALSE()),"")="COS",0,IF(OR(I1236="En cours",I1236="À venir",I1236="À planifier"),IF(AND(OR($C$3="Tous",$C$3="",C1236=$C$3),OR($E$3="Tous",$E$3="",I1236=$E$3)),1,0),0)))</f>
        <v>0</v>
      </c>
      <c r="L1236" s="104" t="n">
        <f aca="false">L1235+K1236</f>
        <v>19</v>
      </c>
    </row>
    <row r="1237" customFormat="false" ht="15" hidden="true" customHeight="true" outlineLevel="0" collapsed="false">
      <c r="A1237" s="0" t="str">
        <f aca="false">IF(Evermont!$A39="","",Evermont!$A39)</f>
        <v/>
      </c>
      <c r="B1237" s="0" t="str">
        <f aca="false">IF($A1237="","",Evermont!$B39)</f>
        <v/>
      </c>
      <c r="C1237" s="0" t="str">
        <f aca="false">IF($A1237="","",Evermont!$C39)</f>
        <v/>
      </c>
      <c r="D1237" s="0" t="str">
        <f aca="false">IF($A1237="","","Nouvelle compétence")</f>
        <v/>
      </c>
      <c r="E1237" s="0" t="str">
        <f aca="false">IF($A1237="","",Evermont!$D39)</f>
        <v/>
      </c>
      <c r="F1237" s="116" t="str">
        <f aca="false">IF($A1237="","",Evermont!$F39)</f>
        <v/>
      </c>
      <c r="G1237" s="116" t="str">
        <f aca="false">IF($A1237="","",Evermont!$G39)</f>
        <v/>
      </c>
      <c r="H1237" s="0" t="str">
        <f aca="false">IF($A1237="","",Evermont!$K39)</f>
        <v/>
      </c>
      <c r="I1237" s="0" t="str">
        <f aca="false">IF($A1237="","",Evermont!$Q39)</f>
        <v/>
      </c>
      <c r="K1237" s="104" t="n">
        <f aca="false">IF(A1237="",0,IF(IFERROR(VLOOKUP(A1237,Skills!$A:$M,13,FALSE()),"")="COS",0,IF(OR(I1237="En cours",I1237="À venir",I1237="À planifier"),IF(AND(OR($C$3="Tous",$C$3="",C1237=$C$3),OR($E$3="Tous",$E$3="",I1237=$E$3)),1,0),0)))</f>
        <v>0</v>
      </c>
      <c r="L1237" s="104" t="n">
        <f aca="false">L1236+K1237</f>
        <v>19</v>
      </c>
    </row>
    <row r="1238" customFormat="false" ht="15" hidden="true" customHeight="true" outlineLevel="0" collapsed="false">
      <c r="A1238" s="0" t="str">
        <f aca="false">IF(Evermont!$A40="","",Evermont!$A40)</f>
        <v/>
      </c>
      <c r="B1238" s="0" t="str">
        <f aca="false">IF($A1238="","",Evermont!$B40)</f>
        <v/>
      </c>
      <c r="C1238" s="0" t="str">
        <f aca="false">IF($A1238="","",Evermont!$C40)</f>
        <v/>
      </c>
      <c r="D1238" s="0" t="str">
        <f aca="false">IF($A1238="","","Nouvelle compétence")</f>
        <v/>
      </c>
      <c r="E1238" s="0" t="str">
        <f aca="false">IF($A1238="","",Evermont!$D40)</f>
        <v/>
      </c>
      <c r="F1238" s="116" t="str">
        <f aca="false">IF($A1238="","",Evermont!$F40)</f>
        <v/>
      </c>
      <c r="G1238" s="116" t="str">
        <f aca="false">IF($A1238="","",Evermont!$G40)</f>
        <v/>
      </c>
      <c r="H1238" s="0" t="str">
        <f aca="false">IF($A1238="","",Evermont!$K40)</f>
        <v/>
      </c>
      <c r="I1238" s="0" t="str">
        <f aca="false">IF($A1238="","",Evermont!$Q40)</f>
        <v/>
      </c>
      <c r="K1238" s="104" t="n">
        <f aca="false">IF(A1238="",0,IF(IFERROR(VLOOKUP(A1238,Skills!$A:$M,13,FALSE()),"")="COS",0,IF(OR(I1238="En cours",I1238="À venir",I1238="À planifier"),IF(AND(OR($C$3="Tous",$C$3="",C1238=$C$3),OR($E$3="Tous",$E$3="",I1238=$E$3)),1,0),0)))</f>
        <v>0</v>
      </c>
      <c r="L1238" s="104" t="n">
        <f aca="false">L1237+K1238</f>
        <v>19</v>
      </c>
    </row>
    <row r="1239" customFormat="false" ht="15" hidden="true" customHeight="true" outlineLevel="0" collapsed="false">
      <c r="A1239" s="0" t="str">
        <f aca="false">IF(Evermont!$A41="","",Evermont!$A41)</f>
        <v/>
      </c>
      <c r="B1239" s="0" t="str">
        <f aca="false">IF($A1239="","",Evermont!$B41)</f>
        <v/>
      </c>
      <c r="C1239" s="0" t="str">
        <f aca="false">IF($A1239="","",Evermont!$C41)</f>
        <v/>
      </c>
      <c r="D1239" s="0" t="str">
        <f aca="false">IF($A1239="","","Nouvelle compétence")</f>
        <v/>
      </c>
      <c r="E1239" s="0" t="str">
        <f aca="false">IF($A1239="","",Evermont!$D41)</f>
        <v/>
      </c>
      <c r="F1239" s="116" t="str">
        <f aca="false">IF($A1239="","",Evermont!$F41)</f>
        <v/>
      </c>
      <c r="G1239" s="116" t="str">
        <f aca="false">IF($A1239="","",Evermont!$G41)</f>
        <v/>
      </c>
      <c r="H1239" s="0" t="str">
        <f aca="false">IF($A1239="","",Evermont!$K41)</f>
        <v/>
      </c>
      <c r="I1239" s="0" t="str">
        <f aca="false">IF($A1239="","",Evermont!$Q41)</f>
        <v/>
      </c>
      <c r="K1239" s="104" t="n">
        <f aca="false">IF(A1239="",0,IF(IFERROR(VLOOKUP(A1239,Skills!$A:$M,13,FALSE()),"")="COS",0,IF(OR(I1239="En cours",I1239="À venir",I1239="À planifier"),IF(AND(OR($C$3="Tous",$C$3="",C1239=$C$3),OR($E$3="Tous",$E$3="",I1239=$E$3)),1,0),0)))</f>
        <v>0</v>
      </c>
      <c r="L1239" s="104" t="n">
        <f aca="false">L1238+K1239</f>
        <v>19</v>
      </c>
    </row>
    <row r="1240" customFormat="false" ht="15" hidden="true" customHeight="true" outlineLevel="0" collapsed="false">
      <c r="A1240" s="0" t="str">
        <f aca="false">IF(Evermont!$A42="","",Evermont!$A42)</f>
        <v/>
      </c>
      <c r="B1240" s="0" t="str">
        <f aca="false">IF($A1240="","",Evermont!$B42)</f>
        <v/>
      </c>
      <c r="C1240" s="0" t="str">
        <f aca="false">IF($A1240="","",Evermont!$C42)</f>
        <v/>
      </c>
      <c r="D1240" s="0" t="str">
        <f aca="false">IF($A1240="","","Nouvelle compétence")</f>
        <v/>
      </c>
      <c r="E1240" s="0" t="str">
        <f aca="false">IF($A1240="","",Evermont!$D42)</f>
        <v/>
      </c>
      <c r="F1240" s="116" t="str">
        <f aca="false">IF($A1240="","",Evermont!$F42)</f>
        <v/>
      </c>
      <c r="G1240" s="116" t="str">
        <f aca="false">IF($A1240="","",Evermont!$G42)</f>
        <v/>
      </c>
      <c r="H1240" s="0" t="str">
        <f aca="false">IF($A1240="","",Evermont!$K42)</f>
        <v/>
      </c>
      <c r="I1240" s="0" t="str">
        <f aca="false">IF($A1240="","",Evermont!$Q42)</f>
        <v/>
      </c>
      <c r="K1240" s="104" t="n">
        <f aca="false">IF(A1240="",0,IF(IFERROR(VLOOKUP(A1240,Skills!$A:$M,13,FALSE()),"")="COS",0,IF(OR(I1240="En cours",I1240="À venir",I1240="À planifier"),IF(AND(OR($C$3="Tous",$C$3="",C1240=$C$3),OR($E$3="Tous",$E$3="",I1240=$E$3)),1,0),0)))</f>
        <v>0</v>
      </c>
      <c r="L1240" s="104" t="n">
        <f aca="false">L1239+K1240</f>
        <v>19</v>
      </c>
    </row>
    <row r="1241" customFormat="false" ht="15" hidden="true" customHeight="true" outlineLevel="0" collapsed="false">
      <c r="A1241" s="0" t="str">
        <f aca="false">IF(Evermont!$A43="","",Evermont!$A43)</f>
        <v/>
      </c>
      <c r="B1241" s="0" t="str">
        <f aca="false">IF($A1241="","",Evermont!$B43)</f>
        <v/>
      </c>
      <c r="C1241" s="0" t="str">
        <f aca="false">IF($A1241="","",Evermont!$C43)</f>
        <v/>
      </c>
      <c r="D1241" s="0" t="str">
        <f aca="false">IF($A1241="","","Nouvelle compétence")</f>
        <v/>
      </c>
      <c r="E1241" s="0" t="str">
        <f aca="false">IF($A1241="","",Evermont!$D43)</f>
        <v/>
      </c>
      <c r="F1241" s="116" t="str">
        <f aca="false">IF($A1241="","",Evermont!$F43)</f>
        <v/>
      </c>
      <c r="G1241" s="116" t="str">
        <f aca="false">IF($A1241="","",Evermont!$G43)</f>
        <v/>
      </c>
      <c r="H1241" s="0" t="str">
        <f aca="false">IF($A1241="","",Evermont!$K43)</f>
        <v/>
      </c>
      <c r="I1241" s="0" t="str">
        <f aca="false">IF($A1241="","",Evermont!$Q43)</f>
        <v/>
      </c>
      <c r="K1241" s="104" t="n">
        <f aca="false">IF(A1241="",0,IF(IFERROR(VLOOKUP(A1241,Skills!$A:$M,13,FALSE()),"")="COS",0,IF(OR(I1241="En cours",I1241="À venir",I1241="À planifier"),IF(AND(OR($C$3="Tous",$C$3="",C1241=$C$3),OR($E$3="Tous",$E$3="",I1241=$E$3)),1,0),0)))</f>
        <v>0</v>
      </c>
      <c r="L1241" s="104" t="n">
        <f aca="false">L1240+K1241</f>
        <v>19</v>
      </c>
    </row>
    <row r="1242" customFormat="false" ht="15" hidden="true" customHeight="true" outlineLevel="0" collapsed="false">
      <c r="A1242" s="0" t="str">
        <f aca="false">IF(Evermont!$A44="","",Evermont!$A44)</f>
        <v/>
      </c>
      <c r="B1242" s="0" t="str">
        <f aca="false">IF($A1242="","",Evermont!$B44)</f>
        <v/>
      </c>
      <c r="C1242" s="0" t="str">
        <f aca="false">IF($A1242="","",Evermont!$C44)</f>
        <v/>
      </c>
      <c r="D1242" s="0" t="str">
        <f aca="false">IF($A1242="","","Nouvelle compétence")</f>
        <v/>
      </c>
      <c r="E1242" s="0" t="str">
        <f aca="false">IF($A1242="","",Evermont!$D44)</f>
        <v/>
      </c>
      <c r="F1242" s="116" t="str">
        <f aca="false">IF($A1242="","",Evermont!$F44)</f>
        <v/>
      </c>
      <c r="G1242" s="116" t="str">
        <f aca="false">IF($A1242="","",Evermont!$G44)</f>
        <v/>
      </c>
      <c r="H1242" s="0" t="str">
        <f aca="false">IF($A1242="","",Evermont!$K44)</f>
        <v/>
      </c>
      <c r="I1242" s="0" t="str">
        <f aca="false">IF($A1242="","",Evermont!$Q44)</f>
        <v/>
      </c>
      <c r="K1242" s="104" t="n">
        <f aca="false">IF(A1242="",0,IF(IFERROR(VLOOKUP(A1242,Skills!$A:$M,13,FALSE()),"")="COS",0,IF(OR(I1242="En cours",I1242="À venir",I1242="À planifier"),IF(AND(OR($C$3="Tous",$C$3="",C1242=$C$3),OR($E$3="Tous",$E$3="",I1242=$E$3)),1,0),0)))</f>
        <v>0</v>
      </c>
      <c r="L1242" s="104" t="n">
        <f aca="false">L1241+K1242</f>
        <v>19</v>
      </c>
    </row>
    <row r="1243" customFormat="false" ht="15" hidden="true" customHeight="true" outlineLevel="0" collapsed="false">
      <c r="A1243" s="0" t="str">
        <f aca="false">IF(Evermont!$A45="","",Evermont!$A45)</f>
        <v/>
      </c>
      <c r="B1243" s="0" t="str">
        <f aca="false">IF($A1243="","",Evermont!$B45)</f>
        <v/>
      </c>
      <c r="C1243" s="0" t="str">
        <f aca="false">IF($A1243="","",Evermont!$C45)</f>
        <v/>
      </c>
      <c r="D1243" s="0" t="str">
        <f aca="false">IF($A1243="","","Nouvelle compétence")</f>
        <v/>
      </c>
      <c r="E1243" s="0" t="str">
        <f aca="false">IF($A1243="","",Evermont!$D45)</f>
        <v/>
      </c>
      <c r="F1243" s="116" t="str">
        <f aca="false">IF($A1243="","",Evermont!$F45)</f>
        <v/>
      </c>
      <c r="G1243" s="116" t="str">
        <f aca="false">IF($A1243="","",Evermont!$G45)</f>
        <v/>
      </c>
      <c r="H1243" s="0" t="str">
        <f aca="false">IF($A1243="","",Evermont!$K45)</f>
        <v/>
      </c>
      <c r="I1243" s="0" t="str">
        <f aca="false">IF($A1243="","",Evermont!$Q45)</f>
        <v/>
      </c>
      <c r="K1243" s="104" t="n">
        <f aca="false">IF(A1243="",0,IF(IFERROR(VLOOKUP(A1243,Skills!$A:$M,13,FALSE()),"")="COS",0,IF(OR(I1243="En cours",I1243="À venir",I1243="À planifier"),IF(AND(OR($C$3="Tous",$C$3="",C1243=$C$3),OR($E$3="Tous",$E$3="",I1243=$E$3)),1,0),0)))</f>
        <v>0</v>
      </c>
      <c r="L1243" s="104" t="n">
        <f aca="false">L1242+K1243</f>
        <v>19</v>
      </c>
    </row>
    <row r="1244" customFormat="false" ht="15" hidden="true" customHeight="true" outlineLevel="0" collapsed="false">
      <c r="A1244" s="0" t="str">
        <f aca="false">IF(Evermont!$A46="","",Evermont!$A46)</f>
        <v/>
      </c>
      <c r="B1244" s="0" t="str">
        <f aca="false">IF($A1244="","",Evermont!$B46)</f>
        <v/>
      </c>
      <c r="C1244" s="0" t="str">
        <f aca="false">IF($A1244="","",Evermont!$C46)</f>
        <v/>
      </c>
      <c r="D1244" s="0" t="str">
        <f aca="false">IF($A1244="","","Nouvelle compétence")</f>
        <v/>
      </c>
      <c r="E1244" s="0" t="str">
        <f aca="false">IF($A1244="","",Evermont!$D46)</f>
        <v/>
      </c>
      <c r="F1244" s="116" t="str">
        <f aca="false">IF($A1244="","",Evermont!$F46)</f>
        <v/>
      </c>
      <c r="G1244" s="116" t="str">
        <f aca="false">IF($A1244="","",Evermont!$G46)</f>
        <v/>
      </c>
      <c r="H1244" s="0" t="str">
        <f aca="false">IF($A1244="","",Evermont!$K46)</f>
        <v/>
      </c>
      <c r="I1244" s="0" t="str">
        <f aca="false">IF($A1244="","",Evermont!$Q46)</f>
        <v/>
      </c>
      <c r="K1244" s="104" t="n">
        <f aca="false">IF(A1244="",0,IF(IFERROR(VLOOKUP(A1244,Skills!$A:$M,13,FALSE()),"")="COS",0,IF(OR(I1244="En cours",I1244="À venir",I1244="À planifier"),IF(AND(OR($C$3="Tous",$C$3="",C1244=$C$3),OR($E$3="Tous",$E$3="",I1244=$E$3)),1,0),0)))</f>
        <v>0</v>
      </c>
      <c r="L1244" s="104" t="n">
        <f aca="false">L1243+K1244</f>
        <v>19</v>
      </c>
    </row>
    <row r="1245" customFormat="false" ht="15" hidden="true" customHeight="true" outlineLevel="0" collapsed="false">
      <c r="A1245" s="0" t="str">
        <f aca="false">IF(Evermont!$A47="","",Evermont!$A47)</f>
        <v/>
      </c>
      <c r="B1245" s="0" t="str">
        <f aca="false">IF($A1245="","",Evermont!$B47)</f>
        <v/>
      </c>
      <c r="C1245" s="0" t="str">
        <f aca="false">IF($A1245="","",Evermont!$C47)</f>
        <v/>
      </c>
      <c r="D1245" s="0" t="str">
        <f aca="false">IF($A1245="","","Nouvelle compétence")</f>
        <v/>
      </c>
      <c r="E1245" s="0" t="str">
        <f aca="false">IF($A1245="","",Evermont!$D47)</f>
        <v/>
      </c>
      <c r="F1245" s="116" t="str">
        <f aca="false">IF($A1245="","",Evermont!$F47)</f>
        <v/>
      </c>
      <c r="G1245" s="116" t="str">
        <f aca="false">IF($A1245="","",Evermont!$G47)</f>
        <v/>
      </c>
      <c r="H1245" s="0" t="str">
        <f aca="false">IF($A1245="","",Evermont!$K47)</f>
        <v/>
      </c>
      <c r="I1245" s="0" t="str">
        <f aca="false">IF($A1245="","",Evermont!$Q47)</f>
        <v/>
      </c>
      <c r="K1245" s="104" t="n">
        <f aca="false">IF(A1245="",0,IF(IFERROR(VLOOKUP(A1245,Skills!$A:$M,13,FALSE()),"")="COS",0,IF(OR(I1245="En cours",I1245="À venir",I1245="À planifier"),IF(AND(OR($C$3="Tous",$C$3="",C1245=$C$3),OR($E$3="Tous",$E$3="",I1245=$E$3)),1,0),0)))</f>
        <v>0</v>
      </c>
      <c r="L1245" s="104" t="n">
        <f aca="false">L1244+K1245</f>
        <v>19</v>
      </c>
    </row>
    <row r="1246" customFormat="false" ht="15" hidden="true" customHeight="true" outlineLevel="0" collapsed="false">
      <c r="A1246" s="0" t="str">
        <f aca="false">IF(Evermont!$A48="","",Evermont!$A48)</f>
        <v/>
      </c>
      <c r="B1246" s="0" t="str">
        <f aca="false">IF($A1246="","",Evermont!$B48)</f>
        <v/>
      </c>
      <c r="C1246" s="0" t="str">
        <f aca="false">IF($A1246="","",Evermont!$C48)</f>
        <v/>
      </c>
      <c r="D1246" s="0" t="str">
        <f aca="false">IF($A1246="","","Nouvelle compétence")</f>
        <v/>
      </c>
      <c r="E1246" s="0" t="str">
        <f aca="false">IF($A1246="","",Evermont!$D48)</f>
        <v/>
      </c>
      <c r="F1246" s="116" t="str">
        <f aca="false">IF($A1246="","",Evermont!$F48)</f>
        <v/>
      </c>
      <c r="G1246" s="116" t="str">
        <f aca="false">IF($A1246="","",Evermont!$G48)</f>
        <v/>
      </c>
      <c r="H1246" s="0" t="str">
        <f aca="false">IF($A1246="","",Evermont!$K48)</f>
        <v/>
      </c>
      <c r="I1246" s="0" t="str">
        <f aca="false">IF($A1246="","",Evermont!$Q48)</f>
        <v/>
      </c>
      <c r="K1246" s="104" t="n">
        <f aca="false">IF(A1246="",0,IF(IFERROR(VLOOKUP(A1246,Skills!$A:$M,13,FALSE()),"")="COS",0,IF(OR(I1246="En cours",I1246="À venir",I1246="À planifier"),IF(AND(OR($C$3="Tous",$C$3="",C1246=$C$3),OR($E$3="Tous",$E$3="",I1246=$E$3)),1,0),0)))</f>
        <v>0</v>
      </c>
      <c r="L1246" s="104" t="n">
        <f aca="false">L1245+K1246</f>
        <v>19</v>
      </c>
    </row>
    <row r="1247" customFormat="false" ht="15" hidden="true" customHeight="true" outlineLevel="0" collapsed="false">
      <c r="A1247" s="0" t="str">
        <f aca="false">IF(Evermont!$A49="","",Evermont!$A49)</f>
        <v/>
      </c>
      <c r="B1247" s="0" t="str">
        <f aca="false">IF($A1247="","",Evermont!$B49)</f>
        <v/>
      </c>
      <c r="C1247" s="0" t="str">
        <f aca="false">IF($A1247="","",Evermont!$C49)</f>
        <v/>
      </c>
      <c r="D1247" s="0" t="str">
        <f aca="false">IF($A1247="","","Nouvelle compétence")</f>
        <v/>
      </c>
      <c r="E1247" s="0" t="str">
        <f aca="false">IF($A1247="","",Evermont!$D49)</f>
        <v/>
      </c>
      <c r="F1247" s="116" t="str">
        <f aca="false">IF($A1247="","",Evermont!$F49)</f>
        <v/>
      </c>
      <c r="G1247" s="116" t="str">
        <f aca="false">IF($A1247="","",Evermont!$G49)</f>
        <v/>
      </c>
      <c r="H1247" s="0" t="str">
        <f aca="false">IF($A1247="","",Evermont!$K49)</f>
        <v/>
      </c>
      <c r="I1247" s="0" t="str">
        <f aca="false">IF($A1247="","",Evermont!$Q49)</f>
        <v/>
      </c>
      <c r="K1247" s="104" t="n">
        <f aca="false">IF(A1247="",0,IF(IFERROR(VLOOKUP(A1247,Skills!$A:$M,13,FALSE()),"")="COS",0,IF(OR(I1247="En cours",I1247="À venir",I1247="À planifier"),IF(AND(OR($C$3="Tous",$C$3="",C1247=$C$3),OR($E$3="Tous",$E$3="",I1247=$E$3)),1,0),0)))</f>
        <v>0</v>
      </c>
      <c r="L1247" s="104" t="n">
        <f aca="false">L1246+K1247</f>
        <v>19</v>
      </c>
    </row>
    <row r="1248" customFormat="false" ht="15" hidden="true" customHeight="true" outlineLevel="0" collapsed="false">
      <c r="A1248" s="0" t="str">
        <f aca="false">IF(Evermont!$A50="","",Evermont!$A50)</f>
        <v/>
      </c>
      <c r="B1248" s="0" t="str">
        <f aca="false">IF($A1248="","",Evermont!$B50)</f>
        <v/>
      </c>
      <c r="C1248" s="0" t="str">
        <f aca="false">IF($A1248="","",Evermont!$C50)</f>
        <v/>
      </c>
      <c r="D1248" s="0" t="str">
        <f aca="false">IF($A1248="","","Nouvelle compétence")</f>
        <v/>
      </c>
      <c r="E1248" s="0" t="str">
        <f aca="false">IF($A1248="","",Evermont!$D50)</f>
        <v/>
      </c>
      <c r="F1248" s="116" t="str">
        <f aca="false">IF($A1248="","",Evermont!$F50)</f>
        <v/>
      </c>
      <c r="G1248" s="116" t="str">
        <f aca="false">IF($A1248="","",Evermont!$G50)</f>
        <v/>
      </c>
      <c r="H1248" s="0" t="str">
        <f aca="false">IF($A1248="","",Evermont!$K50)</f>
        <v/>
      </c>
      <c r="I1248" s="0" t="str">
        <f aca="false">IF($A1248="","",Evermont!$Q50)</f>
        <v/>
      </c>
      <c r="K1248" s="104" t="n">
        <f aca="false">IF(A1248="",0,IF(IFERROR(VLOOKUP(A1248,Skills!$A:$M,13,FALSE()),"")="COS",0,IF(OR(I1248="En cours",I1248="À venir",I1248="À planifier"),IF(AND(OR($C$3="Tous",$C$3="",C1248=$C$3),OR($E$3="Tous",$E$3="",I1248=$E$3)),1,0),0)))</f>
        <v>0</v>
      </c>
      <c r="L1248" s="104" t="n">
        <f aca="false">L1247+K1248</f>
        <v>19</v>
      </c>
    </row>
    <row r="1249" customFormat="false" ht="15" hidden="true" customHeight="true" outlineLevel="0" collapsed="false">
      <c r="A1249" s="0" t="str">
        <f aca="false">IF(Evermont!$A51="","",Evermont!$A51)</f>
        <v/>
      </c>
      <c r="B1249" s="0" t="str">
        <f aca="false">IF($A1249="","",Evermont!$B51)</f>
        <v/>
      </c>
      <c r="C1249" s="0" t="str">
        <f aca="false">IF($A1249="","",Evermont!$C51)</f>
        <v/>
      </c>
      <c r="D1249" s="0" t="str">
        <f aca="false">IF($A1249="","","Nouvelle compétence")</f>
        <v/>
      </c>
      <c r="E1249" s="0" t="str">
        <f aca="false">IF($A1249="","",Evermont!$D51)</f>
        <v/>
      </c>
      <c r="F1249" s="116" t="str">
        <f aca="false">IF($A1249="","",Evermont!$F51)</f>
        <v/>
      </c>
      <c r="G1249" s="116" t="str">
        <f aca="false">IF($A1249="","",Evermont!$G51)</f>
        <v/>
      </c>
      <c r="H1249" s="0" t="str">
        <f aca="false">IF($A1249="","",Evermont!$K51)</f>
        <v/>
      </c>
      <c r="I1249" s="0" t="str">
        <f aca="false">IF($A1249="","",Evermont!$Q51)</f>
        <v/>
      </c>
      <c r="K1249" s="104" t="n">
        <f aca="false">IF(A1249="",0,IF(IFERROR(VLOOKUP(A1249,Skills!$A:$M,13,FALSE()),"")="COS",0,IF(OR(I1249="En cours",I1249="À venir",I1249="À planifier"),IF(AND(OR($C$3="Tous",$C$3="",C1249=$C$3),OR($E$3="Tous",$E$3="",I1249=$E$3)),1,0),0)))</f>
        <v>0</v>
      </c>
      <c r="L1249" s="104" t="n">
        <f aca="false">L1248+K1249</f>
        <v>19</v>
      </c>
    </row>
    <row r="1250" customFormat="false" ht="15" hidden="true" customHeight="true" outlineLevel="0" collapsed="false">
      <c r="A1250" s="0" t="str">
        <f aca="false">IF(Evermont!$A52="","",Evermont!$A52)</f>
        <v/>
      </c>
      <c r="B1250" s="0" t="str">
        <f aca="false">IF($A1250="","",Evermont!$B52)</f>
        <v/>
      </c>
      <c r="C1250" s="0" t="str">
        <f aca="false">IF($A1250="","",Evermont!$C52)</f>
        <v/>
      </c>
      <c r="D1250" s="0" t="str">
        <f aca="false">IF($A1250="","","Nouvelle compétence")</f>
        <v/>
      </c>
      <c r="E1250" s="0" t="str">
        <f aca="false">IF($A1250="","",Evermont!$D52)</f>
        <v/>
      </c>
      <c r="F1250" s="116" t="str">
        <f aca="false">IF($A1250="","",Evermont!$F52)</f>
        <v/>
      </c>
      <c r="G1250" s="116" t="str">
        <f aca="false">IF($A1250="","",Evermont!$G52)</f>
        <v/>
      </c>
      <c r="H1250" s="0" t="str">
        <f aca="false">IF($A1250="","",Evermont!$K52)</f>
        <v/>
      </c>
      <c r="I1250" s="0" t="str">
        <f aca="false">IF($A1250="","",Evermont!$Q52)</f>
        <v/>
      </c>
      <c r="K1250" s="104" t="n">
        <f aca="false">IF(A1250="",0,IF(IFERROR(VLOOKUP(A1250,Skills!$A:$M,13,FALSE()),"")="COS",0,IF(OR(I1250="En cours",I1250="À venir",I1250="À planifier"),IF(AND(OR($C$3="Tous",$C$3="",C1250=$C$3),OR($E$3="Tous",$E$3="",I1250=$E$3)),1,0),0)))</f>
        <v>0</v>
      </c>
      <c r="L1250" s="104" t="n">
        <f aca="false">L1249+K1250</f>
        <v>19</v>
      </c>
    </row>
    <row r="1251" customFormat="false" ht="15" hidden="true" customHeight="true" outlineLevel="0" collapsed="false">
      <c r="A1251" s="0" t="str">
        <f aca="false">IF(Evermont!$A53="","",Evermont!$A53)</f>
        <v/>
      </c>
      <c r="B1251" s="0" t="str">
        <f aca="false">IF($A1251="","",Evermont!$B53)</f>
        <v/>
      </c>
      <c r="C1251" s="0" t="str">
        <f aca="false">IF($A1251="","",Evermont!$C53)</f>
        <v/>
      </c>
      <c r="D1251" s="0" t="str">
        <f aca="false">IF($A1251="","","Nouvelle compétence")</f>
        <v/>
      </c>
      <c r="E1251" s="0" t="str">
        <f aca="false">IF($A1251="","",Evermont!$D53)</f>
        <v/>
      </c>
      <c r="F1251" s="116" t="str">
        <f aca="false">IF($A1251="","",Evermont!$F53)</f>
        <v/>
      </c>
      <c r="G1251" s="116" t="str">
        <f aca="false">IF($A1251="","",Evermont!$G53)</f>
        <v/>
      </c>
      <c r="H1251" s="0" t="str">
        <f aca="false">IF($A1251="","",Evermont!$K53)</f>
        <v/>
      </c>
      <c r="I1251" s="0" t="str">
        <f aca="false">IF($A1251="","",Evermont!$Q53)</f>
        <v/>
      </c>
      <c r="K1251" s="104" t="n">
        <f aca="false">IF(A1251="",0,IF(IFERROR(VLOOKUP(A1251,Skills!$A:$M,13,FALSE()),"")="COS",0,IF(OR(I1251="En cours",I1251="À venir",I1251="À planifier"),IF(AND(OR($C$3="Tous",$C$3="",C1251=$C$3),OR($E$3="Tous",$E$3="",I1251=$E$3)),1,0),0)))</f>
        <v>0</v>
      </c>
      <c r="L1251" s="104" t="n">
        <f aca="false">L1250+K1251</f>
        <v>19</v>
      </c>
    </row>
    <row r="1252" customFormat="false" ht="15" hidden="true" customHeight="true" outlineLevel="0" collapsed="false">
      <c r="A1252" s="0" t="str">
        <f aca="false">IF(Evermont!$A54="","",Evermont!$A54)</f>
        <v/>
      </c>
      <c r="B1252" s="0" t="str">
        <f aca="false">IF($A1252="","",Evermont!$B54)</f>
        <v/>
      </c>
      <c r="C1252" s="0" t="str">
        <f aca="false">IF($A1252="","",Evermont!$C54)</f>
        <v/>
      </c>
      <c r="D1252" s="0" t="str">
        <f aca="false">IF($A1252="","","Nouvelle compétence")</f>
        <v/>
      </c>
      <c r="E1252" s="0" t="str">
        <f aca="false">IF($A1252="","",Evermont!$D54)</f>
        <v/>
      </c>
      <c r="F1252" s="116" t="str">
        <f aca="false">IF($A1252="","",Evermont!$F54)</f>
        <v/>
      </c>
      <c r="G1252" s="116" t="str">
        <f aca="false">IF($A1252="","",Evermont!$G54)</f>
        <v/>
      </c>
      <c r="H1252" s="0" t="str">
        <f aca="false">IF($A1252="","",Evermont!$K54)</f>
        <v/>
      </c>
      <c r="I1252" s="0" t="str">
        <f aca="false">IF($A1252="","",Evermont!$Q54)</f>
        <v/>
      </c>
      <c r="K1252" s="104" t="n">
        <f aca="false">IF(A1252="",0,IF(IFERROR(VLOOKUP(A1252,Skills!$A:$M,13,FALSE()),"")="COS",0,IF(OR(I1252="En cours",I1252="À venir",I1252="À planifier"),IF(AND(OR($C$3="Tous",$C$3="",C1252=$C$3),OR($E$3="Tous",$E$3="",I1252=$E$3)),1,0),0)))</f>
        <v>0</v>
      </c>
      <c r="L1252" s="104" t="n">
        <f aca="false">L1251+K1252</f>
        <v>19</v>
      </c>
    </row>
    <row r="1253" customFormat="false" ht="15" hidden="true" customHeight="true" outlineLevel="0" collapsed="false">
      <c r="A1253" s="0" t="str">
        <f aca="false">IF(Evermont!$A55="","",Evermont!$A55)</f>
        <v/>
      </c>
      <c r="B1253" s="0" t="str">
        <f aca="false">IF($A1253="","",Evermont!$B55)</f>
        <v/>
      </c>
      <c r="C1253" s="0" t="str">
        <f aca="false">IF($A1253="","",Evermont!$C55)</f>
        <v/>
      </c>
      <c r="D1253" s="0" t="str">
        <f aca="false">IF($A1253="","","Nouvelle compétence")</f>
        <v/>
      </c>
      <c r="E1253" s="0" t="str">
        <f aca="false">IF($A1253="","",Evermont!$D55)</f>
        <v/>
      </c>
      <c r="F1253" s="116" t="str">
        <f aca="false">IF($A1253="","",Evermont!$F55)</f>
        <v/>
      </c>
      <c r="G1253" s="116" t="str">
        <f aca="false">IF($A1253="","",Evermont!$G55)</f>
        <v/>
      </c>
      <c r="H1253" s="0" t="str">
        <f aca="false">IF($A1253="","",Evermont!$K55)</f>
        <v/>
      </c>
      <c r="I1253" s="0" t="str">
        <f aca="false">IF($A1253="","",Evermont!$Q55)</f>
        <v/>
      </c>
      <c r="K1253" s="104" t="n">
        <f aca="false">IF(A1253="",0,IF(IFERROR(VLOOKUP(A1253,Skills!$A:$M,13,FALSE()),"")="COS",0,IF(OR(I1253="En cours",I1253="À venir",I1253="À planifier"),IF(AND(OR($C$3="Tous",$C$3="",C1253=$C$3),OR($E$3="Tous",$E$3="",I1253=$E$3)),1,0),0)))</f>
        <v>0</v>
      </c>
      <c r="L1253" s="104" t="n">
        <f aca="false">L1252+K1253</f>
        <v>19</v>
      </c>
    </row>
    <row r="1254" customFormat="false" ht="15" hidden="true" customHeight="true" outlineLevel="0" collapsed="false">
      <c r="A1254" s="0" t="str">
        <f aca="false">IF(Evermont!$A56="","",Evermont!$A56)</f>
        <v/>
      </c>
      <c r="B1254" s="0" t="str">
        <f aca="false">IF($A1254="","",Evermont!$B56)</f>
        <v/>
      </c>
      <c r="C1254" s="0" t="str">
        <f aca="false">IF($A1254="","",Evermont!$C56)</f>
        <v/>
      </c>
      <c r="D1254" s="0" t="str">
        <f aca="false">IF($A1254="","","Nouvelle compétence")</f>
        <v/>
      </c>
      <c r="E1254" s="0" t="str">
        <f aca="false">IF($A1254="","",Evermont!$D56)</f>
        <v/>
      </c>
      <c r="F1254" s="116" t="str">
        <f aca="false">IF($A1254="","",Evermont!$F56)</f>
        <v/>
      </c>
      <c r="G1254" s="116" t="str">
        <f aca="false">IF($A1254="","",Evermont!$G56)</f>
        <v/>
      </c>
      <c r="H1254" s="0" t="str">
        <f aca="false">IF($A1254="","",Evermont!$K56)</f>
        <v/>
      </c>
      <c r="I1254" s="0" t="str">
        <f aca="false">IF($A1254="","",Evermont!$Q56)</f>
        <v/>
      </c>
      <c r="K1254" s="104" t="n">
        <f aca="false">IF(A1254="",0,IF(IFERROR(VLOOKUP(A1254,Skills!$A:$M,13,FALSE()),"")="COS",0,IF(OR(I1254="En cours",I1254="À venir",I1254="À planifier"),IF(AND(OR($C$3="Tous",$C$3="",C1254=$C$3),OR($E$3="Tous",$E$3="",I1254=$E$3)),1,0),0)))</f>
        <v>0</v>
      </c>
      <c r="L1254" s="104" t="n">
        <f aca="false">L1253+K1254</f>
        <v>19</v>
      </c>
    </row>
    <row r="1255" customFormat="false" ht="15" hidden="true" customHeight="true" outlineLevel="0" collapsed="false">
      <c r="A1255" s="0" t="str">
        <f aca="false">IF(Evermont!$A57="","",Evermont!$A57)</f>
        <v/>
      </c>
      <c r="B1255" s="0" t="str">
        <f aca="false">IF($A1255="","",Evermont!$B57)</f>
        <v/>
      </c>
      <c r="C1255" s="0" t="str">
        <f aca="false">IF($A1255="","",Evermont!$C57)</f>
        <v/>
      </c>
      <c r="D1255" s="0" t="str">
        <f aca="false">IF($A1255="","","Nouvelle compétence")</f>
        <v/>
      </c>
      <c r="E1255" s="0" t="str">
        <f aca="false">IF($A1255="","",Evermont!$D57)</f>
        <v/>
      </c>
      <c r="F1255" s="116" t="str">
        <f aca="false">IF($A1255="","",Evermont!$F57)</f>
        <v/>
      </c>
      <c r="G1255" s="116" t="str">
        <f aca="false">IF($A1255="","",Evermont!$G57)</f>
        <v/>
      </c>
      <c r="H1255" s="0" t="str">
        <f aca="false">IF($A1255="","",Evermont!$K57)</f>
        <v/>
      </c>
      <c r="I1255" s="0" t="str">
        <f aca="false">IF($A1255="","",Evermont!$Q57)</f>
        <v/>
      </c>
      <c r="K1255" s="104" t="n">
        <f aca="false">IF(A1255="",0,IF(IFERROR(VLOOKUP(A1255,Skills!$A:$M,13,FALSE()),"")="COS",0,IF(OR(I1255="En cours",I1255="À venir",I1255="À planifier"),IF(AND(OR($C$3="Tous",$C$3="",C1255=$C$3),OR($E$3="Tous",$E$3="",I1255=$E$3)),1,0),0)))</f>
        <v>0</v>
      </c>
      <c r="L1255" s="104" t="n">
        <f aca="false">L1254+K1255</f>
        <v>19</v>
      </c>
    </row>
    <row r="1256" customFormat="false" ht="15" hidden="true" customHeight="true" outlineLevel="0" collapsed="false">
      <c r="A1256" s="0" t="str">
        <f aca="false">IF(Evermont!$A58="","",Evermont!$A58)</f>
        <v/>
      </c>
      <c r="B1256" s="0" t="str">
        <f aca="false">IF($A1256="","",Evermont!$B58)</f>
        <v/>
      </c>
      <c r="C1256" s="0" t="str">
        <f aca="false">IF($A1256="","",Evermont!$C58)</f>
        <v/>
      </c>
      <c r="D1256" s="0" t="str">
        <f aca="false">IF($A1256="","","Nouvelle compétence")</f>
        <v/>
      </c>
      <c r="E1256" s="0" t="str">
        <f aca="false">IF($A1256="","",Evermont!$D58)</f>
        <v/>
      </c>
      <c r="F1256" s="116" t="str">
        <f aca="false">IF($A1256="","",Evermont!$F58)</f>
        <v/>
      </c>
      <c r="G1256" s="116" t="str">
        <f aca="false">IF($A1256="","",Evermont!$G58)</f>
        <v/>
      </c>
      <c r="H1256" s="0" t="str">
        <f aca="false">IF($A1256="","",Evermont!$K58)</f>
        <v/>
      </c>
      <c r="I1256" s="0" t="str">
        <f aca="false">IF($A1256="","",Evermont!$Q58)</f>
        <v/>
      </c>
      <c r="K1256" s="104" t="n">
        <f aca="false">IF(A1256="",0,IF(IFERROR(VLOOKUP(A1256,Skills!$A:$M,13,FALSE()),"")="COS",0,IF(OR(I1256="En cours",I1256="À venir",I1256="À planifier"),IF(AND(OR($C$3="Tous",$C$3="",C1256=$C$3),OR($E$3="Tous",$E$3="",I1256=$E$3)),1,0),0)))</f>
        <v>0</v>
      </c>
      <c r="L1256" s="104" t="n">
        <f aca="false">L1255+K1256</f>
        <v>19</v>
      </c>
    </row>
    <row r="1257" customFormat="false" ht="15" hidden="true" customHeight="true" outlineLevel="0" collapsed="false">
      <c r="A1257" s="0" t="str">
        <f aca="false">IF(Evermont!$A59="","",Evermont!$A59)</f>
        <v/>
      </c>
      <c r="B1257" s="0" t="str">
        <f aca="false">IF($A1257="","",Evermont!$B59)</f>
        <v/>
      </c>
      <c r="C1257" s="0" t="str">
        <f aca="false">IF($A1257="","",Evermont!$C59)</f>
        <v/>
      </c>
      <c r="D1257" s="0" t="str">
        <f aca="false">IF($A1257="","","Nouvelle compétence")</f>
        <v/>
      </c>
      <c r="E1257" s="0" t="str">
        <f aca="false">IF($A1257="","",Evermont!$D59)</f>
        <v/>
      </c>
      <c r="F1257" s="116" t="str">
        <f aca="false">IF($A1257="","",Evermont!$F59)</f>
        <v/>
      </c>
      <c r="G1257" s="116" t="str">
        <f aca="false">IF($A1257="","",Evermont!$G59)</f>
        <v/>
      </c>
      <c r="H1257" s="0" t="str">
        <f aca="false">IF($A1257="","",Evermont!$K59)</f>
        <v/>
      </c>
      <c r="I1257" s="0" t="str">
        <f aca="false">IF($A1257="","",Evermont!$Q59)</f>
        <v/>
      </c>
      <c r="K1257" s="104" t="n">
        <f aca="false">IF(A1257="",0,IF(IFERROR(VLOOKUP(A1257,Skills!$A:$M,13,FALSE()),"")="COS",0,IF(OR(I1257="En cours",I1257="À venir",I1257="À planifier"),IF(AND(OR($C$3="Tous",$C$3="",C1257=$C$3),OR($E$3="Tous",$E$3="",I1257=$E$3)),1,0),0)))</f>
        <v>0</v>
      </c>
      <c r="L1257" s="104" t="n">
        <f aca="false">L1256+K1257</f>
        <v>19</v>
      </c>
    </row>
    <row r="1258" customFormat="false" ht="15" hidden="true" customHeight="true" outlineLevel="0" collapsed="false">
      <c r="A1258" s="0" t="str">
        <f aca="false">IF(Evermont!$A60="","",Evermont!$A60)</f>
        <v/>
      </c>
      <c r="B1258" s="0" t="str">
        <f aca="false">IF($A1258="","",Evermont!$B60)</f>
        <v/>
      </c>
      <c r="C1258" s="0" t="str">
        <f aca="false">IF($A1258="","",Evermont!$C60)</f>
        <v/>
      </c>
      <c r="D1258" s="0" t="str">
        <f aca="false">IF($A1258="","","Nouvelle compétence")</f>
        <v/>
      </c>
      <c r="E1258" s="0" t="str">
        <f aca="false">IF($A1258="","",Evermont!$D60)</f>
        <v/>
      </c>
      <c r="F1258" s="116" t="str">
        <f aca="false">IF($A1258="","",Evermont!$F60)</f>
        <v/>
      </c>
      <c r="G1258" s="116" t="str">
        <f aca="false">IF($A1258="","",Evermont!$G60)</f>
        <v/>
      </c>
      <c r="H1258" s="0" t="str">
        <f aca="false">IF($A1258="","",Evermont!$K60)</f>
        <v/>
      </c>
      <c r="I1258" s="0" t="str">
        <f aca="false">IF($A1258="","",Evermont!$Q60)</f>
        <v/>
      </c>
      <c r="K1258" s="104" t="n">
        <f aca="false">IF(A1258="",0,IF(IFERROR(VLOOKUP(A1258,Skills!$A:$M,13,FALSE()),"")="COS",0,IF(OR(I1258="En cours",I1258="À venir",I1258="À planifier"),IF(AND(OR($C$3="Tous",$C$3="",C1258=$C$3),OR($E$3="Tous",$E$3="",I1258=$E$3)),1,0),0)))</f>
        <v>0</v>
      </c>
      <c r="L1258" s="104" t="n">
        <f aca="false">L1257+K1258</f>
        <v>19</v>
      </c>
    </row>
    <row r="1259" customFormat="false" ht="15" hidden="true" customHeight="true" outlineLevel="0" collapsed="false">
      <c r="A1259" s="0" t="str">
        <f aca="false">IF(Evermont!$A61="","",Evermont!$A61)</f>
        <v/>
      </c>
      <c r="B1259" s="0" t="str">
        <f aca="false">IF($A1259="","",Evermont!$B61)</f>
        <v/>
      </c>
      <c r="C1259" s="0" t="str">
        <f aca="false">IF($A1259="","",Evermont!$C61)</f>
        <v/>
      </c>
      <c r="D1259" s="0" t="str">
        <f aca="false">IF($A1259="","","Nouvelle compétence")</f>
        <v/>
      </c>
      <c r="E1259" s="0" t="str">
        <f aca="false">IF($A1259="","",Evermont!$D61)</f>
        <v/>
      </c>
      <c r="F1259" s="116" t="str">
        <f aca="false">IF($A1259="","",Evermont!$F61)</f>
        <v/>
      </c>
      <c r="G1259" s="116" t="str">
        <f aca="false">IF($A1259="","",Evermont!$G61)</f>
        <v/>
      </c>
      <c r="H1259" s="0" t="str">
        <f aca="false">IF($A1259="","",Evermont!$K61)</f>
        <v/>
      </c>
      <c r="I1259" s="0" t="str">
        <f aca="false">IF($A1259="","",Evermont!$Q61)</f>
        <v/>
      </c>
      <c r="K1259" s="104" t="n">
        <f aca="false">IF(A1259="",0,IF(IFERROR(VLOOKUP(A1259,Skills!$A:$M,13,FALSE()),"")="COS",0,IF(OR(I1259="En cours",I1259="À venir",I1259="À planifier"),IF(AND(OR($C$3="Tous",$C$3="",C1259=$C$3),OR($E$3="Tous",$E$3="",I1259=$E$3)),1,0),0)))</f>
        <v>0</v>
      </c>
      <c r="L1259" s="104" t="n">
        <f aca="false">L1258+K1259</f>
        <v>19</v>
      </c>
    </row>
    <row r="1260" customFormat="false" ht="15" hidden="true" customHeight="true" outlineLevel="0" collapsed="false">
      <c r="A1260" s="0" t="str">
        <f aca="false">IF(Evermont!$A62="","",Evermont!$A62)</f>
        <v/>
      </c>
      <c r="B1260" s="0" t="str">
        <f aca="false">IF($A1260="","",Evermont!$B62)</f>
        <v/>
      </c>
      <c r="C1260" s="0" t="str">
        <f aca="false">IF($A1260="","",Evermont!$C62)</f>
        <v/>
      </c>
      <c r="D1260" s="0" t="str">
        <f aca="false">IF($A1260="","","Nouvelle compétence")</f>
        <v/>
      </c>
      <c r="E1260" s="0" t="str">
        <f aca="false">IF($A1260="","",Evermont!$D62)</f>
        <v/>
      </c>
      <c r="F1260" s="116" t="str">
        <f aca="false">IF($A1260="","",Evermont!$F62)</f>
        <v/>
      </c>
      <c r="G1260" s="116" t="str">
        <f aca="false">IF($A1260="","",Evermont!$G62)</f>
        <v/>
      </c>
      <c r="H1260" s="0" t="str">
        <f aca="false">IF($A1260="","",Evermont!$K62)</f>
        <v/>
      </c>
      <c r="I1260" s="0" t="str">
        <f aca="false">IF($A1260="","",Evermont!$Q62)</f>
        <v/>
      </c>
      <c r="K1260" s="104" t="n">
        <f aca="false">IF(A1260="",0,IF(IFERROR(VLOOKUP(A1260,Skills!$A:$M,13,FALSE()),"")="COS",0,IF(OR(I1260="En cours",I1260="À venir",I1260="À planifier"),IF(AND(OR($C$3="Tous",$C$3="",C1260=$C$3),OR($E$3="Tous",$E$3="",I1260=$E$3)),1,0),0)))</f>
        <v>0</v>
      </c>
      <c r="L1260" s="104" t="n">
        <f aca="false">L1259+K1260</f>
        <v>19</v>
      </c>
    </row>
    <row r="1261" customFormat="false" ht="15" hidden="true" customHeight="true" outlineLevel="0" collapsed="false">
      <c r="A1261" s="0" t="str">
        <f aca="false">IF(Evermont!$A63="","",Evermont!$A63)</f>
        <v/>
      </c>
      <c r="B1261" s="0" t="str">
        <f aca="false">IF($A1261="","",Evermont!$B63)</f>
        <v/>
      </c>
      <c r="C1261" s="0" t="str">
        <f aca="false">IF($A1261="","",Evermont!$C63)</f>
        <v/>
      </c>
      <c r="D1261" s="0" t="str">
        <f aca="false">IF($A1261="","","Nouvelle compétence")</f>
        <v/>
      </c>
      <c r="E1261" s="0" t="str">
        <f aca="false">IF($A1261="","",Evermont!$D63)</f>
        <v/>
      </c>
      <c r="F1261" s="116" t="str">
        <f aca="false">IF($A1261="","",Evermont!$F63)</f>
        <v/>
      </c>
      <c r="G1261" s="116" t="str">
        <f aca="false">IF($A1261="","",Evermont!$G63)</f>
        <v/>
      </c>
      <c r="H1261" s="0" t="str">
        <f aca="false">IF($A1261="","",Evermont!$K63)</f>
        <v/>
      </c>
      <c r="I1261" s="0" t="str">
        <f aca="false">IF($A1261="","",Evermont!$Q63)</f>
        <v/>
      </c>
      <c r="K1261" s="104" t="n">
        <f aca="false">IF(A1261="",0,IF(IFERROR(VLOOKUP(A1261,Skills!$A:$M,13,FALSE()),"")="COS",0,IF(OR(I1261="En cours",I1261="À venir",I1261="À planifier"),IF(AND(OR($C$3="Tous",$C$3="",C1261=$C$3),OR($E$3="Tous",$E$3="",I1261=$E$3)),1,0),0)))</f>
        <v>0</v>
      </c>
      <c r="L1261" s="104" t="n">
        <f aca="false">L1260+K1261</f>
        <v>19</v>
      </c>
    </row>
    <row r="1262" customFormat="false" ht="15" hidden="true" customHeight="true" outlineLevel="0" collapsed="false">
      <c r="A1262" s="0" t="str">
        <f aca="false">IF(Evermont!$A64="","",Evermont!$A64)</f>
        <v/>
      </c>
      <c r="B1262" s="0" t="str">
        <f aca="false">IF($A1262="","",Evermont!$B64)</f>
        <v/>
      </c>
      <c r="C1262" s="0" t="str">
        <f aca="false">IF($A1262="","",Evermont!$C64)</f>
        <v/>
      </c>
      <c r="D1262" s="0" t="str">
        <f aca="false">IF($A1262="","","Nouvelle compétence")</f>
        <v/>
      </c>
      <c r="E1262" s="0" t="str">
        <f aca="false">IF($A1262="","",Evermont!$D64)</f>
        <v/>
      </c>
      <c r="F1262" s="116" t="str">
        <f aca="false">IF($A1262="","",Evermont!$F64)</f>
        <v/>
      </c>
      <c r="G1262" s="116" t="str">
        <f aca="false">IF($A1262="","",Evermont!$G64)</f>
        <v/>
      </c>
      <c r="H1262" s="0" t="str">
        <f aca="false">IF($A1262="","",Evermont!$K64)</f>
        <v/>
      </c>
      <c r="I1262" s="0" t="str">
        <f aca="false">IF($A1262="","",Evermont!$Q64)</f>
        <v/>
      </c>
      <c r="K1262" s="104" t="n">
        <f aca="false">IF(A1262="",0,IF(IFERROR(VLOOKUP(A1262,Skills!$A:$M,13,FALSE()),"")="COS",0,IF(OR(I1262="En cours",I1262="À venir",I1262="À planifier"),IF(AND(OR($C$3="Tous",$C$3="",C1262=$C$3),OR($E$3="Tous",$E$3="",I1262=$E$3)),1,0),0)))</f>
        <v>0</v>
      </c>
      <c r="L1262" s="104" t="n">
        <f aca="false">L1261+K1262</f>
        <v>19</v>
      </c>
    </row>
    <row r="1263" customFormat="false" ht="15" hidden="true" customHeight="true" outlineLevel="0" collapsed="false">
      <c r="A1263" s="0" t="str">
        <f aca="false">IF(Evermont!$A65="","",Evermont!$A65)</f>
        <v/>
      </c>
      <c r="B1263" s="0" t="str">
        <f aca="false">IF($A1263="","",Evermont!$B65)</f>
        <v/>
      </c>
      <c r="C1263" s="0" t="str">
        <f aca="false">IF($A1263="","",Evermont!$C65)</f>
        <v/>
      </c>
      <c r="D1263" s="0" t="str">
        <f aca="false">IF($A1263="","","Nouvelle compétence")</f>
        <v/>
      </c>
      <c r="E1263" s="0" t="str">
        <f aca="false">IF($A1263="","",Evermont!$D65)</f>
        <v/>
      </c>
      <c r="F1263" s="116" t="str">
        <f aca="false">IF($A1263="","",Evermont!$F65)</f>
        <v/>
      </c>
      <c r="G1263" s="116" t="str">
        <f aca="false">IF($A1263="","",Evermont!$G65)</f>
        <v/>
      </c>
      <c r="H1263" s="0" t="str">
        <f aca="false">IF($A1263="","",Evermont!$K65)</f>
        <v/>
      </c>
      <c r="I1263" s="0" t="str">
        <f aca="false">IF($A1263="","",Evermont!$Q65)</f>
        <v/>
      </c>
      <c r="K1263" s="104" t="n">
        <f aca="false">IF(A1263="",0,IF(IFERROR(VLOOKUP(A1263,Skills!$A:$M,13,FALSE()),"")="COS",0,IF(OR(I1263="En cours",I1263="À venir",I1263="À planifier"),IF(AND(OR($C$3="Tous",$C$3="",C1263=$C$3),OR($E$3="Tous",$E$3="",I1263=$E$3)),1,0),0)))</f>
        <v>0</v>
      </c>
      <c r="L1263" s="104" t="n">
        <f aca="false">L1262+K1263</f>
        <v>19</v>
      </c>
    </row>
    <row r="1264" customFormat="false" ht="15" hidden="true" customHeight="true" outlineLevel="0" collapsed="false">
      <c r="A1264" s="0" t="str">
        <f aca="false">IF(Evermont!$A66="","",Evermont!$A66)</f>
        <v/>
      </c>
      <c r="B1264" s="0" t="str">
        <f aca="false">IF($A1264="","",Evermont!$B66)</f>
        <v/>
      </c>
      <c r="C1264" s="0" t="str">
        <f aca="false">IF($A1264="","",Evermont!$C66)</f>
        <v/>
      </c>
      <c r="D1264" s="0" t="str">
        <f aca="false">IF($A1264="","","Nouvelle compétence")</f>
        <v/>
      </c>
      <c r="E1264" s="0" t="str">
        <f aca="false">IF($A1264="","",Evermont!$D66)</f>
        <v/>
      </c>
      <c r="F1264" s="116" t="str">
        <f aca="false">IF($A1264="","",Evermont!$F66)</f>
        <v/>
      </c>
      <c r="G1264" s="116" t="str">
        <f aca="false">IF($A1264="","",Evermont!$G66)</f>
        <v/>
      </c>
      <c r="H1264" s="0" t="str">
        <f aca="false">IF($A1264="","",Evermont!$K66)</f>
        <v/>
      </c>
      <c r="I1264" s="0" t="str">
        <f aca="false">IF($A1264="","",Evermont!$Q66)</f>
        <v/>
      </c>
      <c r="K1264" s="104" t="n">
        <f aca="false">IF(A1264="",0,IF(IFERROR(VLOOKUP(A1264,Skills!$A:$M,13,FALSE()),"")="COS",0,IF(OR(I1264="En cours",I1264="À venir",I1264="À planifier"),IF(AND(OR($C$3="Tous",$C$3="",C1264=$C$3),OR($E$3="Tous",$E$3="",I1264=$E$3)),1,0),0)))</f>
        <v>0</v>
      </c>
      <c r="L1264" s="104" t="n">
        <f aca="false">L1263+K1264</f>
        <v>19</v>
      </c>
    </row>
    <row r="1265" customFormat="false" ht="15" hidden="true" customHeight="true" outlineLevel="0" collapsed="false">
      <c r="A1265" s="0" t="str">
        <f aca="false">IF(Evermont!$A67="","",Evermont!$A67)</f>
        <v/>
      </c>
      <c r="B1265" s="0" t="str">
        <f aca="false">IF($A1265="","",Evermont!$B67)</f>
        <v/>
      </c>
      <c r="C1265" s="0" t="str">
        <f aca="false">IF($A1265="","",Evermont!$C67)</f>
        <v/>
      </c>
      <c r="D1265" s="0" t="str">
        <f aca="false">IF($A1265="","","Nouvelle compétence")</f>
        <v/>
      </c>
      <c r="E1265" s="0" t="str">
        <f aca="false">IF($A1265="","",Evermont!$D67)</f>
        <v/>
      </c>
      <c r="F1265" s="116" t="str">
        <f aca="false">IF($A1265="","",Evermont!$F67)</f>
        <v/>
      </c>
      <c r="G1265" s="116" t="str">
        <f aca="false">IF($A1265="","",Evermont!$G67)</f>
        <v/>
      </c>
      <c r="H1265" s="0" t="str">
        <f aca="false">IF($A1265="","",Evermont!$K67)</f>
        <v/>
      </c>
      <c r="I1265" s="0" t="str">
        <f aca="false">IF($A1265="","",Evermont!$Q67)</f>
        <v/>
      </c>
      <c r="K1265" s="104" t="n">
        <f aca="false">IF(A1265="",0,IF(IFERROR(VLOOKUP(A1265,Skills!$A:$M,13,FALSE()),"")="COS",0,IF(OR(I1265="En cours",I1265="À venir",I1265="À planifier"),IF(AND(OR($C$3="Tous",$C$3="",C1265=$C$3),OR($E$3="Tous",$E$3="",I1265=$E$3)),1,0),0)))</f>
        <v>0</v>
      </c>
      <c r="L1265" s="104" t="n">
        <f aca="false">L1264+K1265</f>
        <v>19</v>
      </c>
    </row>
    <row r="1266" customFormat="false" ht="15" hidden="true" customHeight="true" outlineLevel="0" collapsed="false">
      <c r="A1266" s="0" t="str">
        <f aca="false">IF(Evermont!$A68="","",Evermont!$A68)</f>
        <v/>
      </c>
      <c r="B1266" s="0" t="str">
        <f aca="false">IF($A1266="","",Evermont!$B68)</f>
        <v/>
      </c>
      <c r="C1266" s="0" t="str">
        <f aca="false">IF($A1266="","",Evermont!$C68)</f>
        <v/>
      </c>
      <c r="D1266" s="0" t="str">
        <f aca="false">IF($A1266="","","Nouvelle compétence")</f>
        <v/>
      </c>
      <c r="E1266" s="0" t="str">
        <f aca="false">IF($A1266="","",Evermont!$D68)</f>
        <v/>
      </c>
      <c r="F1266" s="116" t="str">
        <f aca="false">IF($A1266="","",Evermont!$F68)</f>
        <v/>
      </c>
      <c r="G1266" s="116" t="str">
        <f aca="false">IF($A1266="","",Evermont!$G68)</f>
        <v/>
      </c>
      <c r="H1266" s="0" t="str">
        <f aca="false">IF($A1266="","",Evermont!$K68)</f>
        <v/>
      </c>
      <c r="I1266" s="0" t="str">
        <f aca="false">IF($A1266="","",Evermont!$Q68)</f>
        <v/>
      </c>
      <c r="K1266" s="104" t="n">
        <f aca="false">IF(A1266="",0,IF(IFERROR(VLOOKUP(A1266,Skills!$A:$M,13,FALSE()),"")="COS",0,IF(OR(I1266="En cours",I1266="À venir",I1266="À planifier"),IF(AND(OR($C$3="Tous",$C$3="",C1266=$C$3),OR($E$3="Tous",$E$3="",I1266=$E$3)),1,0),0)))</f>
        <v>0</v>
      </c>
      <c r="L1266" s="104" t="n">
        <f aca="false">L1265+K1266</f>
        <v>19</v>
      </c>
    </row>
    <row r="1267" customFormat="false" ht="15" hidden="true" customHeight="true" outlineLevel="0" collapsed="false">
      <c r="A1267" s="0" t="str">
        <f aca="false">IF(Evermont!$A69="","",Evermont!$A69)</f>
        <v/>
      </c>
      <c r="B1267" s="0" t="str">
        <f aca="false">IF($A1267="","",Evermont!$B69)</f>
        <v/>
      </c>
      <c r="C1267" s="0" t="str">
        <f aca="false">IF($A1267="","",Evermont!$C69)</f>
        <v/>
      </c>
      <c r="D1267" s="0" t="str">
        <f aca="false">IF($A1267="","","Nouvelle compétence")</f>
        <v/>
      </c>
      <c r="E1267" s="0" t="str">
        <f aca="false">IF($A1267="","",Evermont!$D69)</f>
        <v/>
      </c>
      <c r="F1267" s="116" t="str">
        <f aca="false">IF($A1267="","",Evermont!$F69)</f>
        <v/>
      </c>
      <c r="G1267" s="116" t="str">
        <f aca="false">IF($A1267="","",Evermont!$G69)</f>
        <v/>
      </c>
      <c r="H1267" s="0" t="str">
        <f aca="false">IF($A1267="","",Evermont!$K69)</f>
        <v/>
      </c>
      <c r="I1267" s="0" t="str">
        <f aca="false">IF($A1267="","",Evermont!$Q69)</f>
        <v/>
      </c>
      <c r="K1267" s="104" t="n">
        <f aca="false">IF(A1267="",0,IF(IFERROR(VLOOKUP(A1267,Skills!$A:$M,13,FALSE()),"")="COS",0,IF(OR(I1267="En cours",I1267="À venir",I1267="À planifier"),IF(AND(OR($C$3="Tous",$C$3="",C1267=$C$3),OR($E$3="Tous",$E$3="",I1267=$E$3)),1,0),0)))</f>
        <v>0</v>
      </c>
      <c r="L1267" s="104" t="n">
        <f aca="false">L1266+K1267</f>
        <v>19</v>
      </c>
    </row>
    <row r="1268" customFormat="false" ht="15" hidden="true" customHeight="true" outlineLevel="0" collapsed="false">
      <c r="A1268" s="0" t="str">
        <f aca="false">IF(Evermont!$A70="","",Evermont!$A70)</f>
        <v/>
      </c>
      <c r="B1268" s="0" t="str">
        <f aca="false">IF($A1268="","",Evermont!$B70)</f>
        <v/>
      </c>
      <c r="C1268" s="0" t="str">
        <f aca="false">IF($A1268="","",Evermont!$C70)</f>
        <v/>
      </c>
      <c r="D1268" s="0" t="str">
        <f aca="false">IF($A1268="","","Nouvelle compétence")</f>
        <v/>
      </c>
      <c r="E1268" s="0" t="str">
        <f aca="false">IF($A1268="","",Evermont!$D70)</f>
        <v/>
      </c>
      <c r="F1268" s="116" t="str">
        <f aca="false">IF($A1268="","",Evermont!$F70)</f>
        <v/>
      </c>
      <c r="G1268" s="116" t="str">
        <f aca="false">IF($A1268="","",Evermont!$G70)</f>
        <v/>
      </c>
      <c r="H1268" s="0" t="str">
        <f aca="false">IF($A1268="","",Evermont!$K70)</f>
        <v/>
      </c>
      <c r="I1268" s="0" t="str">
        <f aca="false">IF($A1268="","",Evermont!$Q70)</f>
        <v/>
      </c>
      <c r="K1268" s="104" t="n">
        <f aca="false">IF(A1268="",0,IF(IFERROR(VLOOKUP(A1268,Skills!$A:$M,13,FALSE()),"")="COS",0,IF(OR(I1268="En cours",I1268="À venir",I1268="À planifier"),IF(AND(OR($C$3="Tous",$C$3="",C1268=$C$3),OR($E$3="Tous",$E$3="",I1268=$E$3)),1,0),0)))</f>
        <v>0</v>
      </c>
      <c r="L1268" s="104" t="n">
        <f aca="false">L1267+K1268</f>
        <v>19</v>
      </c>
    </row>
    <row r="1269" customFormat="false" ht="15" hidden="true" customHeight="true" outlineLevel="0" collapsed="false">
      <c r="A1269" s="0" t="str">
        <f aca="false">IF(Evermont!$A71="","",Evermont!$A71)</f>
        <v/>
      </c>
      <c r="B1269" s="0" t="str">
        <f aca="false">IF($A1269="","",Evermont!$B71)</f>
        <v/>
      </c>
      <c r="C1269" s="0" t="str">
        <f aca="false">IF($A1269="","",Evermont!$C71)</f>
        <v/>
      </c>
      <c r="D1269" s="0" t="str">
        <f aca="false">IF($A1269="","","Nouvelle compétence")</f>
        <v/>
      </c>
      <c r="E1269" s="0" t="str">
        <f aca="false">IF($A1269="","",Evermont!$D71)</f>
        <v/>
      </c>
      <c r="F1269" s="116" t="str">
        <f aca="false">IF($A1269="","",Evermont!$F71)</f>
        <v/>
      </c>
      <c r="G1269" s="116" t="str">
        <f aca="false">IF($A1269="","",Evermont!$G71)</f>
        <v/>
      </c>
      <c r="H1269" s="0" t="str">
        <f aca="false">IF($A1269="","",Evermont!$K71)</f>
        <v/>
      </c>
      <c r="I1269" s="0" t="str">
        <f aca="false">IF($A1269="","",Evermont!$Q71)</f>
        <v/>
      </c>
      <c r="K1269" s="104" t="n">
        <f aca="false">IF(A1269="",0,IF(IFERROR(VLOOKUP(A1269,Skills!$A:$M,13,FALSE()),"")="COS",0,IF(OR(I1269="En cours",I1269="À venir",I1269="À planifier"),IF(AND(OR($C$3="Tous",$C$3="",C1269=$C$3),OR($E$3="Tous",$E$3="",I1269=$E$3)),1,0),0)))</f>
        <v>0</v>
      </c>
      <c r="L1269" s="104" t="n">
        <f aca="false">L1268+K1269</f>
        <v>19</v>
      </c>
    </row>
    <row r="1270" customFormat="false" ht="15" hidden="true" customHeight="true" outlineLevel="0" collapsed="false">
      <c r="A1270" s="0" t="str">
        <f aca="false">IF(Evermont!$A72="","",Evermont!$A72)</f>
        <v/>
      </c>
      <c r="B1270" s="0" t="str">
        <f aca="false">IF($A1270="","",Evermont!$B72)</f>
        <v/>
      </c>
      <c r="C1270" s="0" t="str">
        <f aca="false">IF($A1270="","",Evermont!$C72)</f>
        <v/>
      </c>
      <c r="D1270" s="0" t="str">
        <f aca="false">IF($A1270="","","Nouvelle compétence")</f>
        <v/>
      </c>
      <c r="E1270" s="0" t="str">
        <f aca="false">IF($A1270="","",Evermont!$D72)</f>
        <v/>
      </c>
      <c r="F1270" s="116" t="str">
        <f aca="false">IF($A1270="","",Evermont!$F72)</f>
        <v/>
      </c>
      <c r="G1270" s="116" t="str">
        <f aca="false">IF($A1270="","",Evermont!$G72)</f>
        <v/>
      </c>
      <c r="H1270" s="0" t="str">
        <f aca="false">IF($A1270="","",Evermont!$K72)</f>
        <v/>
      </c>
      <c r="I1270" s="0" t="str">
        <f aca="false">IF($A1270="","",Evermont!$Q72)</f>
        <v/>
      </c>
      <c r="K1270" s="104" t="n">
        <f aca="false">IF(A1270="",0,IF(IFERROR(VLOOKUP(A1270,Skills!$A:$M,13,FALSE()),"")="COS",0,IF(OR(I1270="En cours",I1270="À venir",I1270="À planifier"),IF(AND(OR($C$3="Tous",$C$3="",C1270=$C$3),OR($E$3="Tous",$E$3="",I1270=$E$3)),1,0),0)))</f>
        <v>0</v>
      </c>
      <c r="L1270" s="104" t="n">
        <f aca="false">L1269+K1270</f>
        <v>19</v>
      </c>
    </row>
    <row r="1271" customFormat="false" ht="15" hidden="true" customHeight="true" outlineLevel="0" collapsed="false">
      <c r="A1271" s="0" t="str">
        <f aca="false">IF(Evermont!$A73="","",Evermont!$A73)</f>
        <v/>
      </c>
      <c r="B1271" s="0" t="str">
        <f aca="false">IF($A1271="","",Evermont!$B73)</f>
        <v/>
      </c>
      <c r="C1271" s="0" t="str">
        <f aca="false">IF($A1271="","",Evermont!$C73)</f>
        <v/>
      </c>
      <c r="D1271" s="0" t="str">
        <f aca="false">IF($A1271="","","Nouvelle compétence")</f>
        <v/>
      </c>
      <c r="E1271" s="0" t="str">
        <f aca="false">IF($A1271="","",Evermont!$D73)</f>
        <v/>
      </c>
      <c r="F1271" s="116" t="str">
        <f aca="false">IF($A1271="","",Evermont!$F73)</f>
        <v/>
      </c>
      <c r="G1271" s="116" t="str">
        <f aca="false">IF($A1271="","",Evermont!$G73)</f>
        <v/>
      </c>
      <c r="H1271" s="0" t="str">
        <f aca="false">IF($A1271="","",Evermont!$K73)</f>
        <v/>
      </c>
      <c r="I1271" s="0" t="str">
        <f aca="false">IF($A1271="","",Evermont!$Q73)</f>
        <v/>
      </c>
      <c r="K1271" s="104" t="n">
        <f aca="false">IF(A1271="",0,IF(IFERROR(VLOOKUP(A1271,Skills!$A:$M,13,FALSE()),"")="COS",0,IF(OR(I1271="En cours",I1271="À venir",I1271="À planifier"),IF(AND(OR($C$3="Tous",$C$3="",C1271=$C$3),OR($E$3="Tous",$E$3="",I1271=$E$3)),1,0),0)))</f>
        <v>0</v>
      </c>
      <c r="L1271" s="104" t="n">
        <f aca="false">L1270+K1271</f>
        <v>19</v>
      </c>
    </row>
    <row r="1272" customFormat="false" ht="15" hidden="true" customHeight="true" outlineLevel="0" collapsed="false">
      <c r="A1272" s="0" t="str">
        <f aca="false">IF(Evermont!$A74="","",Evermont!$A74)</f>
        <v/>
      </c>
      <c r="B1272" s="0" t="str">
        <f aca="false">IF($A1272="","",Evermont!$B74)</f>
        <v/>
      </c>
      <c r="C1272" s="0" t="str">
        <f aca="false">IF($A1272="","",Evermont!$C74)</f>
        <v/>
      </c>
      <c r="D1272" s="0" t="str">
        <f aca="false">IF($A1272="","","Nouvelle compétence")</f>
        <v/>
      </c>
      <c r="E1272" s="0" t="str">
        <f aca="false">IF($A1272="","",Evermont!$D74)</f>
        <v/>
      </c>
      <c r="F1272" s="116" t="str">
        <f aca="false">IF($A1272="","",Evermont!$F74)</f>
        <v/>
      </c>
      <c r="G1272" s="116" t="str">
        <f aca="false">IF($A1272="","",Evermont!$G74)</f>
        <v/>
      </c>
      <c r="H1272" s="0" t="str">
        <f aca="false">IF($A1272="","",Evermont!$K74)</f>
        <v/>
      </c>
      <c r="I1272" s="0" t="str">
        <f aca="false">IF($A1272="","",Evermont!$Q74)</f>
        <v/>
      </c>
      <c r="K1272" s="104" t="n">
        <f aca="false">IF(A1272="",0,IF(IFERROR(VLOOKUP(A1272,Skills!$A:$M,13,FALSE()),"")="COS",0,IF(OR(I1272="En cours",I1272="À venir",I1272="À planifier"),IF(AND(OR($C$3="Tous",$C$3="",C1272=$C$3),OR($E$3="Tous",$E$3="",I1272=$E$3)),1,0),0)))</f>
        <v>0</v>
      </c>
      <c r="L1272" s="104" t="n">
        <f aca="false">L1271+K1272</f>
        <v>19</v>
      </c>
    </row>
    <row r="1273" customFormat="false" ht="15" hidden="true" customHeight="true" outlineLevel="0" collapsed="false">
      <c r="A1273" s="0" t="str">
        <f aca="false">IF(Evermont!$A75="","",Evermont!$A75)</f>
        <v/>
      </c>
      <c r="B1273" s="0" t="str">
        <f aca="false">IF($A1273="","",Evermont!$B75)</f>
        <v/>
      </c>
      <c r="C1273" s="0" t="str">
        <f aca="false">IF($A1273="","",Evermont!$C75)</f>
        <v/>
      </c>
      <c r="D1273" s="0" t="str">
        <f aca="false">IF($A1273="","","Nouvelle compétence")</f>
        <v/>
      </c>
      <c r="E1273" s="0" t="str">
        <f aca="false">IF($A1273="","",Evermont!$D75)</f>
        <v/>
      </c>
      <c r="F1273" s="116" t="str">
        <f aca="false">IF($A1273="","",Evermont!$F75)</f>
        <v/>
      </c>
      <c r="G1273" s="116" t="str">
        <f aca="false">IF($A1273="","",Evermont!$G75)</f>
        <v/>
      </c>
      <c r="H1273" s="0" t="str">
        <f aca="false">IF($A1273="","",Evermont!$K75)</f>
        <v/>
      </c>
      <c r="I1273" s="0" t="str">
        <f aca="false">IF($A1273="","",Evermont!$Q75)</f>
        <v/>
      </c>
      <c r="K1273" s="104" t="n">
        <f aca="false">IF(A1273="",0,IF(IFERROR(VLOOKUP(A1273,Skills!$A:$M,13,FALSE()),"")="COS",0,IF(OR(I1273="En cours",I1273="À venir",I1273="À planifier"),IF(AND(OR($C$3="Tous",$C$3="",C1273=$C$3),OR($E$3="Tous",$E$3="",I1273=$E$3)),1,0),0)))</f>
        <v>0</v>
      </c>
      <c r="L1273" s="104" t="n">
        <f aca="false">L1272+K1273</f>
        <v>19</v>
      </c>
    </row>
    <row r="1274" customFormat="false" ht="15" hidden="true" customHeight="true" outlineLevel="0" collapsed="false">
      <c r="A1274" s="0" t="str">
        <f aca="false">IF(Evermont!$A76="","",Evermont!$A76)</f>
        <v/>
      </c>
      <c r="B1274" s="0" t="str">
        <f aca="false">IF($A1274="","",Evermont!$B76)</f>
        <v/>
      </c>
      <c r="C1274" s="0" t="str">
        <f aca="false">IF($A1274="","",Evermont!$C76)</f>
        <v/>
      </c>
      <c r="D1274" s="0" t="str">
        <f aca="false">IF($A1274="","","Nouvelle compétence")</f>
        <v/>
      </c>
      <c r="E1274" s="0" t="str">
        <f aca="false">IF($A1274="","",Evermont!$D76)</f>
        <v/>
      </c>
      <c r="F1274" s="116" t="str">
        <f aca="false">IF($A1274="","",Evermont!$F76)</f>
        <v/>
      </c>
      <c r="G1274" s="116" t="str">
        <f aca="false">IF($A1274="","",Evermont!$G76)</f>
        <v/>
      </c>
      <c r="H1274" s="0" t="str">
        <f aca="false">IF($A1274="","",Evermont!$K76)</f>
        <v/>
      </c>
      <c r="I1274" s="0" t="str">
        <f aca="false">IF($A1274="","",Evermont!$Q76)</f>
        <v/>
      </c>
      <c r="K1274" s="104" t="n">
        <f aca="false">IF(A1274="",0,IF(IFERROR(VLOOKUP(A1274,Skills!$A:$M,13,FALSE()),"")="COS",0,IF(OR(I1274="En cours",I1274="À venir",I1274="À planifier"),IF(AND(OR($C$3="Tous",$C$3="",C1274=$C$3),OR($E$3="Tous",$E$3="",I1274=$E$3)),1,0),0)))</f>
        <v>0</v>
      </c>
      <c r="L1274" s="104" t="n">
        <f aca="false">L1273+K1274</f>
        <v>19</v>
      </c>
    </row>
    <row r="1275" customFormat="false" ht="15" hidden="true" customHeight="true" outlineLevel="0" collapsed="false">
      <c r="A1275" s="0" t="str">
        <f aca="false">IF(Evermont!$A77="","",Evermont!$A77)</f>
        <v/>
      </c>
      <c r="B1275" s="0" t="str">
        <f aca="false">IF($A1275="","",Evermont!$B77)</f>
        <v/>
      </c>
      <c r="C1275" s="0" t="str">
        <f aca="false">IF($A1275="","",Evermont!$C77)</f>
        <v/>
      </c>
      <c r="D1275" s="0" t="str">
        <f aca="false">IF($A1275="","","Nouvelle compétence")</f>
        <v/>
      </c>
      <c r="E1275" s="0" t="str">
        <f aca="false">IF($A1275="","",Evermont!$D77)</f>
        <v/>
      </c>
      <c r="F1275" s="116" t="str">
        <f aca="false">IF($A1275="","",Evermont!$F77)</f>
        <v/>
      </c>
      <c r="G1275" s="116" t="str">
        <f aca="false">IF($A1275="","",Evermont!$G77)</f>
        <v/>
      </c>
      <c r="H1275" s="0" t="str">
        <f aca="false">IF($A1275="","",Evermont!$K77)</f>
        <v/>
      </c>
      <c r="I1275" s="0" t="str">
        <f aca="false">IF($A1275="","",Evermont!$Q77)</f>
        <v/>
      </c>
      <c r="K1275" s="104" t="n">
        <f aca="false">IF(A1275="",0,IF(IFERROR(VLOOKUP(A1275,Skills!$A:$M,13,FALSE()),"")="COS",0,IF(OR(I1275="En cours",I1275="À venir",I1275="À planifier"),IF(AND(OR($C$3="Tous",$C$3="",C1275=$C$3),OR($E$3="Tous",$E$3="",I1275=$E$3)),1,0),0)))</f>
        <v>0</v>
      </c>
      <c r="L1275" s="104" t="n">
        <f aca="false">L1274+K1275</f>
        <v>19</v>
      </c>
    </row>
    <row r="1276" customFormat="false" ht="15" hidden="true" customHeight="true" outlineLevel="0" collapsed="false">
      <c r="A1276" s="0" t="str">
        <f aca="false">IF(Evermont!$A78="","",Evermont!$A78)</f>
        <v/>
      </c>
      <c r="B1276" s="0" t="str">
        <f aca="false">IF($A1276="","",Evermont!$B78)</f>
        <v/>
      </c>
      <c r="C1276" s="0" t="str">
        <f aca="false">IF($A1276="","",Evermont!$C78)</f>
        <v/>
      </c>
      <c r="D1276" s="0" t="str">
        <f aca="false">IF($A1276="","","Nouvelle compétence")</f>
        <v/>
      </c>
      <c r="E1276" s="0" t="str">
        <f aca="false">IF($A1276="","",Evermont!$D78)</f>
        <v/>
      </c>
      <c r="F1276" s="116" t="str">
        <f aca="false">IF($A1276="","",Evermont!$F78)</f>
        <v/>
      </c>
      <c r="G1276" s="116" t="str">
        <f aca="false">IF($A1276="","",Evermont!$G78)</f>
        <v/>
      </c>
      <c r="H1276" s="0" t="str">
        <f aca="false">IF($A1276="","",Evermont!$K78)</f>
        <v/>
      </c>
      <c r="I1276" s="0" t="str">
        <f aca="false">IF($A1276="","",Evermont!$Q78)</f>
        <v/>
      </c>
      <c r="K1276" s="104" t="n">
        <f aca="false">IF(A1276="",0,IF(IFERROR(VLOOKUP(A1276,Skills!$A:$M,13,FALSE()),"")="COS",0,IF(OR(I1276="En cours",I1276="À venir",I1276="À planifier"),IF(AND(OR($C$3="Tous",$C$3="",C1276=$C$3),OR($E$3="Tous",$E$3="",I1276=$E$3)),1,0),0)))</f>
        <v>0</v>
      </c>
      <c r="L1276" s="104" t="n">
        <f aca="false">L1275+K1276</f>
        <v>19</v>
      </c>
    </row>
    <row r="1277" customFormat="false" ht="15" hidden="true" customHeight="true" outlineLevel="0" collapsed="false">
      <c r="A1277" s="0" t="str">
        <f aca="false">IF(Evermont!$A79="","",Evermont!$A79)</f>
        <v/>
      </c>
      <c r="B1277" s="0" t="str">
        <f aca="false">IF($A1277="","",Evermont!$B79)</f>
        <v/>
      </c>
      <c r="C1277" s="0" t="str">
        <f aca="false">IF($A1277="","",Evermont!$C79)</f>
        <v/>
      </c>
      <c r="D1277" s="0" t="str">
        <f aca="false">IF($A1277="","","Nouvelle compétence")</f>
        <v/>
      </c>
      <c r="E1277" s="0" t="str">
        <f aca="false">IF($A1277="","",Evermont!$D79)</f>
        <v/>
      </c>
      <c r="F1277" s="116" t="str">
        <f aca="false">IF($A1277="","",Evermont!$F79)</f>
        <v/>
      </c>
      <c r="G1277" s="116" t="str">
        <f aca="false">IF($A1277="","",Evermont!$G79)</f>
        <v/>
      </c>
      <c r="H1277" s="0" t="str">
        <f aca="false">IF($A1277="","",Evermont!$K79)</f>
        <v/>
      </c>
      <c r="I1277" s="0" t="str">
        <f aca="false">IF($A1277="","",Evermont!$Q79)</f>
        <v/>
      </c>
      <c r="K1277" s="104" t="n">
        <f aca="false">IF(A1277="",0,IF(IFERROR(VLOOKUP(A1277,Skills!$A:$M,13,FALSE()),"")="COS",0,IF(OR(I1277="En cours",I1277="À venir",I1277="À planifier"),IF(AND(OR($C$3="Tous",$C$3="",C1277=$C$3),OR($E$3="Tous",$E$3="",I1277=$E$3)),1,0),0)))</f>
        <v>0</v>
      </c>
      <c r="L1277" s="104" t="n">
        <f aca="false">L1276+K1277</f>
        <v>19</v>
      </c>
    </row>
    <row r="1278" customFormat="false" ht="15" hidden="true" customHeight="true" outlineLevel="0" collapsed="false">
      <c r="A1278" s="0" t="str">
        <f aca="false">IF(Evermont!$A80="","",Evermont!$A80)</f>
        <v/>
      </c>
      <c r="B1278" s="0" t="str">
        <f aca="false">IF($A1278="","",Evermont!$B80)</f>
        <v/>
      </c>
      <c r="C1278" s="0" t="str">
        <f aca="false">IF($A1278="","",Evermont!$C80)</f>
        <v/>
      </c>
      <c r="D1278" s="0" t="str">
        <f aca="false">IF($A1278="","","Nouvelle compétence")</f>
        <v/>
      </c>
      <c r="E1278" s="0" t="str">
        <f aca="false">IF($A1278="","",Evermont!$D80)</f>
        <v/>
      </c>
      <c r="F1278" s="116" t="str">
        <f aca="false">IF($A1278="","",Evermont!$F80)</f>
        <v/>
      </c>
      <c r="G1278" s="116" t="str">
        <f aca="false">IF($A1278="","",Evermont!$G80)</f>
        <v/>
      </c>
      <c r="H1278" s="0" t="str">
        <f aca="false">IF($A1278="","",Evermont!$K80)</f>
        <v/>
      </c>
      <c r="I1278" s="0" t="str">
        <f aca="false">IF($A1278="","",Evermont!$Q80)</f>
        <v/>
      </c>
      <c r="K1278" s="104" t="n">
        <f aca="false">IF(A1278="",0,IF(IFERROR(VLOOKUP(A1278,Skills!$A:$M,13,FALSE()),"")="COS",0,IF(OR(I1278="En cours",I1278="À venir",I1278="À planifier"),IF(AND(OR($C$3="Tous",$C$3="",C1278=$C$3),OR($E$3="Tous",$E$3="",I1278=$E$3)),1,0),0)))</f>
        <v>0</v>
      </c>
      <c r="L1278" s="104" t="n">
        <f aca="false">L1277+K1278</f>
        <v>19</v>
      </c>
    </row>
    <row r="1279" customFormat="false" ht="15" hidden="true" customHeight="true" outlineLevel="0" collapsed="false">
      <c r="A1279" s="0" t="str">
        <f aca="false">IF(Evermont!$A81="","",Evermont!$A81)</f>
        <v/>
      </c>
      <c r="B1279" s="0" t="str">
        <f aca="false">IF($A1279="","",Evermont!$B81)</f>
        <v/>
      </c>
      <c r="C1279" s="0" t="str">
        <f aca="false">IF($A1279="","",Evermont!$C81)</f>
        <v/>
      </c>
      <c r="D1279" s="0" t="str">
        <f aca="false">IF($A1279="","","Nouvelle compétence")</f>
        <v/>
      </c>
      <c r="E1279" s="0" t="str">
        <f aca="false">IF($A1279="","",Evermont!$D81)</f>
        <v/>
      </c>
      <c r="F1279" s="116" t="str">
        <f aca="false">IF($A1279="","",Evermont!$F81)</f>
        <v/>
      </c>
      <c r="G1279" s="116" t="str">
        <f aca="false">IF($A1279="","",Evermont!$G81)</f>
        <v/>
      </c>
      <c r="H1279" s="0" t="str">
        <f aca="false">IF($A1279="","",Evermont!$K81)</f>
        <v/>
      </c>
      <c r="I1279" s="0" t="str">
        <f aca="false">IF($A1279="","",Evermont!$Q81)</f>
        <v/>
      </c>
      <c r="K1279" s="104" t="n">
        <f aca="false">IF(A1279="",0,IF(IFERROR(VLOOKUP(A1279,Skills!$A:$M,13,FALSE()),"")="COS",0,IF(OR(I1279="En cours",I1279="À venir",I1279="À planifier"),IF(AND(OR($C$3="Tous",$C$3="",C1279=$C$3),OR($E$3="Tous",$E$3="",I1279=$E$3)),1,0),0)))</f>
        <v>0</v>
      </c>
      <c r="L1279" s="104" t="n">
        <f aca="false">L1278+K1279</f>
        <v>19</v>
      </c>
    </row>
    <row r="1280" customFormat="false" ht="15" hidden="true" customHeight="true" outlineLevel="0" collapsed="false">
      <c r="A1280" s="0" t="str">
        <f aca="false">IF(Evermont!$A82="","",Evermont!$A82)</f>
        <v/>
      </c>
      <c r="B1280" s="0" t="str">
        <f aca="false">IF($A1280="","",Evermont!$B82)</f>
        <v/>
      </c>
      <c r="C1280" s="0" t="str">
        <f aca="false">IF($A1280="","",Evermont!$C82)</f>
        <v/>
      </c>
      <c r="D1280" s="0" t="str">
        <f aca="false">IF($A1280="","","Nouvelle compétence")</f>
        <v/>
      </c>
      <c r="E1280" s="0" t="str">
        <f aca="false">IF($A1280="","",Evermont!$D82)</f>
        <v/>
      </c>
      <c r="F1280" s="116" t="str">
        <f aca="false">IF($A1280="","",Evermont!$F82)</f>
        <v/>
      </c>
      <c r="G1280" s="116" t="str">
        <f aca="false">IF($A1280="","",Evermont!$G82)</f>
        <v/>
      </c>
      <c r="H1280" s="0" t="str">
        <f aca="false">IF($A1280="","",Evermont!$K82)</f>
        <v/>
      </c>
      <c r="I1280" s="0" t="str">
        <f aca="false">IF($A1280="","",Evermont!$Q82)</f>
        <v/>
      </c>
      <c r="K1280" s="104" t="n">
        <f aca="false">IF(A1280="",0,IF(IFERROR(VLOOKUP(A1280,Skills!$A:$M,13,FALSE()),"")="COS",0,IF(OR(I1280="En cours",I1280="À venir",I1280="À planifier"),IF(AND(OR($C$3="Tous",$C$3="",C1280=$C$3),OR($E$3="Tous",$E$3="",I1280=$E$3)),1,0),0)))</f>
        <v>0</v>
      </c>
      <c r="L1280" s="104" t="n">
        <f aca="false">L1279+K1280</f>
        <v>19</v>
      </c>
    </row>
    <row r="1281" customFormat="false" ht="15" hidden="true" customHeight="true" outlineLevel="0" collapsed="false">
      <c r="A1281" s="0" t="str">
        <f aca="false">IF(Evermont!$A83="","",Evermont!$A83)</f>
        <v/>
      </c>
      <c r="B1281" s="0" t="str">
        <f aca="false">IF($A1281="","",Evermont!$B83)</f>
        <v/>
      </c>
      <c r="C1281" s="0" t="str">
        <f aca="false">IF($A1281="","",Evermont!$C83)</f>
        <v/>
      </c>
      <c r="D1281" s="0" t="str">
        <f aca="false">IF($A1281="","","Nouvelle compétence")</f>
        <v/>
      </c>
      <c r="E1281" s="0" t="str">
        <f aca="false">IF($A1281="","",Evermont!$D83)</f>
        <v/>
      </c>
      <c r="F1281" s="116" t="str">
        <f aca="false">IF($A1281="","",Evermont!$F83)</f>
        <v/>
      </c>
      <c r="G1281" s="116" t="str">
        <f aca="false">IF($A1281="","",Evermont!$G83)</f>
        <v/>
      </c>
      <c r="H1281" s="0" t="str">
        <f aca="false">IF($A1281="","",Evermont!$K83)</f>
        <v/>
      </c>
      <c r="I1281" s="0" t="str">
        <f aca="false">IF($A1281="","",Evermont!$Q83)</f>
        <v/>
      </c>
      <c r="K1281" s="104" t="n">
        <f aca="false">IF(A1281="",0,IF(IFERROR(VLOOKUP(A1281,Skills!$A:$M,13,FALSE()),"")="COS",0,IF(OR(I1281="En cours",I1281="À venir",I1281="À planifier"),IF(AND(OR($C$3="Tous",$C$3="",C1281=$C$3),OR($E$3="Tous",$E$3="",I1281=$E$3)),1,0),0)))</f>
        <v>0</v>
      </c>
      <c r="L1281" s="104" t="n">
        <f aca="false">L1280+K1281</f>
        <v>19</v>
      </c>
    </row>
    <row r="1282" customFormat="false" ht="15" hidden="true" customHeight="true" outlineLevel="0" collapsed="false">
      <c r="A1282" s="0" t="str">
        <f aca="false">IF(Evermont!$A84="","",Evermont!$A84)</f>
        <v/>
      </c>
      <c r="B1282" s="0" t="str">
        <f aca="false">IF($A1282="","",Evermont!$B84)</f>
        <v/>
      </c>
      <c r="C1282" s="0" t="str">
        <f aca="false">IF($A1282="","",Evermont!$C84)</f>
        <v/>
      </c>
      <c r="D1282" s="0" t="str">
        <f aca="false">IF($A1282="","","Nouvelle compétence")</f>
        <v/>
      </c>
      <c r="E1282" s="0" t="str">
        <f aca="false">IF($A1282="","",Evermont!$D84)</f>
        <v/>
      </c>
      <c r="F1282" s="116" t="str">
        <f aca="false">IF($A1282="","",Evermont!$F84)</f>
        <v/>
      </c>
      <c r="G1282" s="116" t="str">
        <f aca="false">IF($A1282="","",Evermont!$G84)</f>
        <v/>
      </c>
      <c r="H1282" s="0" t="str">
        <f aca="false">IF($A1282="","",Evermont!$K84)</f>
        <v/>
      </c>
      <c r="I1282" s="0" t="str">
        <f aca="false">IF($A1282="","",Evermont!$Q84)</f>
        <v/>
      </c>
      <c r="K1282" s="104" t="n">
        <f aca="false">IF(A1282="",0,IF(IFERROR(VLOOKUP(A1282,Skills!$A:$M,13,FALSE()),"")="COS",0,IF(OR(I1282="En cours",I1282="À venir",I1282="À planifier"),IF(AND(OR($C$3="Tous",$C$3="",C1282=$C$3),OR($E$3="Tous",$E$3="",I1282=$E$3)),1,0),0)))</f>
        <v>0</v>
      </c>
      <c r="L1282" s="104" t="n">
        <f aca="false">L1281+K1282</f>
        <v>19</v>
      </c>
    </row>
    <row r="1283" customFormat="false" ht="15" hidden="true" customHeight="true" outlineLevel="0" collapsed="false">
      <c r="A1283" s="0" t="str">
        <f aca="false">IF(Evermont!$A85="","",Evermont!$A85)</f>
        <v/>
      </c>
      <c r="B1283" s="0" t="str">
        <f aca="false">IF($A1283="","",Evermont!$B85)</f>
        <v/>
      </c>
      <c r="C1283" s="0" t="str">
        <f aca="false">IF($A1283="","",Evermont!$C85)</f>
        <v/>
      </c>
      <c r="D1283" s="0" t="str">
        <f aca="false">IF($A1283="","","Nouvelle compétence")</f>
        <v/>
      </c>
      <c r="E1283" s="0" t="str">
        <f aca="false">IF($A1283="","",Evermont!$D85)</f>
        <v/>
      </c>
      <c r="F1283" s="116" t="str">
        <f aca="false">IF($A1283="","",Evermont!$F85)</f>
        <v/>
      </c>
      <c r="G1283" s="116" t="str">
        <f aca="false">IF($A1283="","",Evermont!$G85)</f>
        <v/>
      </c>
      <c r="H1283" s="0" t="str">
        <f aca="false">IF($A1283="","",Evermont!$K85)</f>
        <v/>
      </c>
      <c r="I1283" s="0" t="str">
        <f aca="false">IF($A1283="","",Evermont!$Q85)</f>
        <v/>
      </c>
      <c r="K1283" s="104" t="n">
        <f aca="false">IF(A1283="",0,IF(IFERROR(VLOOKUP(A1283,Skills!$A:$M,13,FALSE()),"")="COS",0,IF(OR(I1283="En cours",I1283="À venir",I1283="À planifier"),IF(AND(OR($C$3="Tous",$C$3="",C1283=$C$3),OR($E$3="Tous",$E$3="",I1283=$E$3)),1,0),0)))</f>
        <v>0</v>
      </c>
      <c r="L1283" s="104" t="n">
        <f aca="false">L1282+K1283</f>
        <v>19</v>
      </c>
    </row>
    <row r="1284" customFormat="false" ht="15" hidden="true" customHeight="true" outlineLevel="0" collapsed="false">
      <c r="A1284" s="0" t="str">
        <f aca="false">IF(Evermont!$A86="","",Evermont!$A86)</f>
        <v/>
      </c>
      <c r="B1284" s="0" t="str">
        <f aca="false">IF($A1284="","",Evermont!$B86)</f>
        <v/>
      </c>
      <c r="C1284" s="0" t="str">
        <f aca="false">IF($A1284="","",Evermont!$C86)</f>
        <v/>
      </c>
      <c r="D1284" s="0" t="str">
        <f aca="false">IF($A1284="","","Nouvelle compétence")</f>
        <v/>
      </c>
      <c r="E1284" s="0" t="str">
        <f aca="false">IF($A1284="","",Evermont!$D86)</f>
        <v/>
      </c>
      <c r="F1284" s="116" t="str">
        <f aca="false">IF($A1284="","",Evermont!$F86)</f>
        <v/>
      </c>
      <c r="G1284" s="116" t="str">
        <f aca="false">IF($A1284="","",Evermont!$G86)</f>
        <v/>
      </c>
      <c r="H1284" s="0" t="str">
        <f aca="false">IF($A1284="","",Evermont!$K86)</f>
        <v/>
      </c>
      <c r="I1284" s="0" t="str">
        <f aca="false">IF($A1284="","",Evermont!$Q86)</f>
        <v/>
      </c>
      <c r="K1284" s="104" t="n">
        <f aca="false">IF(A1284="",0,IF(IFERROR(VLOOKUP(A1284,Skills!$A:$M,13,FALSE()),"")="COS",0,IF(OR(I1284="En cours",I1284="À venir",I1284="À planifier"),IF(AND(OR($C$3="Tous",$C$3="",C1284=$C$3),OR($E$3="Tous",$E$3="",I1284=$E$3)),1,0),0)))</f>
        <v>0</v>
      </c>
      <c r="L1284" s="104" t="n">
        <f aca="false">L1283+K1284</f>
        <v>19</v>
      </c>
    </row>
    <row r="1285" customFormat="false" ht="15" hidden="true" customHeight="true" outlineLevel="0" collapsed="false">
      <c r="A1285" s="0" t="str">
        <f aca="false">IF(Evermont!$A87="","",Evermont!$A87)</f>
        <v/>
      </c>
      <c r="B1285" s="0" t="str">
        <f aca="false">IF($A1285="","",Evermont!$B87)</f>
        <v/>
      </c>
      <c r="C1285" s="0" t="str">
        <f aca="false">IF($A1285="","",Evermont!$C87)</f>
        <v/>
      </c>
      <c r="D1285" s="0" t="str">
        <f aca="false">IF($A1285="","","Nouvelle compétence")</f>
        <v/>
      </c>
      <c r="E1285" s="0" t="str">
        <f aca="false">IF($A1285="","",Evermont!$D87)</f>
        <v/>
      </c>
      <c r="F1285" s="116" t="str">
        <f aca="false">IF($A1285="","",Evermont!$F87)</f>
        <v/>
      </c>
      <c r="G1285" s="116" t="str">
        <f aca="false">IF($A1285="","",Evermont!$G87)</f>
        <v/>
      </c>
      <c r="H1285" s="0" t="str">
        <f aca="false">IF($A1285="","",Evermont!$K87)</f>
        <v/>
      </c>
      <c r="I1285" s="0" t="str">
        <f aca="false">IF($A1285="","",Evermont!$Q87)</f>
        <v/>
      </c>
      <c r="K1285" s="104" t="n">
        <f aca="false">IF(A1285="",0,IF(IFERROR(VLOOKUP(A1285,Skills!$A:$M,13,FALSE()),"")="COS",0,IF(OR(I1285="En cours",I1285="À venir",I1285="À planifier"),IF(AND(OR($C$3="Tous",$C$3="",C1285=$C$3),OR($E$3="Tous",$E$3="",I1285=$E$3)),1,0),0)))</f>
        <v>0</v>
      </c>
      <c r="L1285" s="104" t="n">
        <f aca="false">L1284+K1285</f>
        <v>19</v>
      </c>
    </row>
    <row r="1286" customFormat="false" ht="15" hidden="true" customHeight="true" outlineLevel="0" collapsed="false">
      <c r="A1286" s="0" t="str">
        <f aca="false">IF(Evermont!$A88="","",Evermont!$A88)</f>
        <v/>
      </c>
      <c r="B1286" s="0" t="str">
        <f aca="false">IF($A1286="","",Evermont!$B88)</f>
        <v/>
      </c>
      <c r="C1286" s="0" t="str">
        <f aca="false">IF($A1286="","",Evermont!$C88)</f>
        <v/>
      </c>
      <c r="D1286" s="0" t="str">
        <f aca="false">IF($A1286="","","Nouvelle compétence")</f>
        <v/>
      </c>
      <c r="E1286" s="0" t="str">
        <f aca="false">IF($A1286="","",Evermont!$D88)</f>
        <v/>
      </c>
      <c r="F1286" s="116" t="str">
        <f aca="false">IF($A1286="","",Evermont!$F88)</f>
        <v/>
      </c>
      <c r="G1286" s="116" t="str">
        <f aca="false">IF($A1286="","",Evermont!$G88)</f>
        <v/>
      </c>
      <c r="H1286" s="0" t="str">
        <f aca="false">IF($A1286="","",Evermont!$K88)</f>
        <v/>
      </c>
      <c r="I1286" s="0" t="str">
        <f aca="false">IF($A1286="","",Evermont!$Q88)</f>
        <v/>
      </c>
      <c r="K1286" s="104" t="n">
        <f aca="false">IF(A1286="",0,IF(IFERROR(VLOOKUP(A1286,Skills!$A:$M,13,FALSE()),"")="COS",0,IF(OR(I1286="En cours",I1286="À venir",I1286="À planifier"),IF(AND(OR($C$3="Tous",$C$3="",C1286=$C$3),OR($E$3="Tous",$E$3="",I1286=$E$3)),1,0),0)))</f>
        <v>0</v>
      </c>
      <c r="L1286" s="104" t="n">
        <f aca="false">L1285+K1286</f>
        <v>19</v>
      </c>
    </row>
    <row r="1287" customFormat="false" ht="15" hidden="true" customHeight="true" outlineLevel="0" collapsed="false">
      <c r="A1287" s="0" t="str">
        <f aca="false">IF(Evermont!$A89="","",Evermont!$A89)</f>
        <v/>
      </c>
      <c r="B1287" s="0" t="str">
        <f aca="false">IF($A1287="","",Evermont!$B89)</f>
        <v/>
      </c>
      <c r="C1287" s="0" t="str">
        <f aca="false">IF($A1287="","",Evermont!$C89)</f>
        <v/>
      </c>
      <c r="D1287" s="0" t="str">
        <f aca="false">IF($A1287="","","Nouvelle compétence")</f>
        <v/>
      </c>
      <c r="E1287" s="0" t="str">
        <f aca="false">IF($A1287="","",Evermont!$D89)</f>
        <v/>
      </c>
      <c r="F1287" s="116" t="str">
        <f aca="false">IF($A1287="","",Evermont!$F89)</f>
        <v/>
      </c>
      <c r="G1287" s="116" t="str">
        <f aca="false">IF($A1287="","",Evermont!$G89)</f>
        <v/>
      </c>
      <c r="H1287" s="0" t="str">
        <f aca="false">IF($A1287="","",Evermont!$K89)</f>
        <v/>
      </c>
      <c r="I1287" s="0" t="str">
        <f aca="false">IF($A1287="","",Evermont!$Q89)</f>
        <v/>
      </c>
      <c r="K1287" s="104" t="n">
        <f aca="false">IF(A1287="",0,IF(IFERROR(VLOOKUP(A1287,Skills!$A:$M,13,FALSE()),"")="COS",0,IF(OR(I1287="En cours",I1287="À venir",I1287="À planifier"),IF(AND(OR($C$3="Tous",$C$3="",C1287=$C$3),OR($E$3="Tous",$E$3="",I1287=$E$3)),1,0),0)))</f>
        <v>0</v>
      </c>
      <c r="L1287" s="104" t="n">
        <f aca="false">L1286+K1287</f>
        <v>19</v>
      </c>
    </row>
    <row r="1288" customFormat="false" ht="15" hidden="true" customHeight="true" outlineLevel="0" collapsed="false">
      <c r="A1288" s="0" t="str">
        <f aca="false">IF(Evermont!$A90="","",Evermont!$A90)</f>
        <v/>
      </c>
      <c r="B1288" s="0" t="str">
        <f aca="false">IF($A1288="","",Evermont!$B90)</f>
        <v/>
      </c>
      <c r="C1288" s="0" t="str">
        <f aca="false">IF($A1288="","",Evermont!$C90)</f>
        <v/>
      </c>
      <c r="D1288" s="0" t="str">
        <f aca="false">IF($A1288="","","Nouvelle compétence")</f>
        <v/>
      </c>
      <c r="E1288" s="0" t="str">
        <f aca="false">IF($A1288="","",Evermont!$D90)</f>
        <v/>
      </c>
      <c r="F1288" s="116" t="str">
        <f aca="false">IF($A1288="","",Evermont!$F90)</f>
        <v/>
      </c>
      <c r="G1288" s="116" t="str">
        <f aca="false">IF($A1288="","",Evermont!$G90)</f>
        <v/>
      </c>
      <c r="H1288" s="0" t="str">
        <f aca="false">IF($A1288="","",Evermont!$K90)</f>
        <v/>
      </c>
      <c r="I1288" s="0" t="str">
        <f aca="false">IF($A1288="","",Evermont!$Q90)</f>
        <v/>
      </c>
      <c r="K1288" s="104" t="n">
        <f aca="false">IF(A1288="",0,IF(IFERROR(VLOOKUP(A1288,Skills!$A:$M,13,FALSE()),"")="COS",0,IF(OR(I1288="En cours",I1288="À venir",I1288="À planifier"),IF(AND(OR($C$3="Tous",$C$3="",C1288=$C$3),OR($E$3="Tous",$E$3="",I1288=$E$3)),1,0),0)))</f>
        <v>0</v>
      </c>
      <c r="L1288" s="104" t="n">
        <f aca="false">L1287+K1288</f>
        <v>19</v>
      </c>
    </row>
    <row r="1289" customFormat="false" ht="15" hidden="true" customHeight="true" outlineLevel="0" collapsed="false">
      <c r="A1289" s="0" t="str">
        <f aca="false">IF(Evermont!$A91="","",Evermont!$A91)</f>
        <v/>
      </c>
      <c r="B1289" s="0" t="str">
        <f aca="false">IF($A1289="","",Evermont!$B91)</f>
        <v/>
      </c>
      <c r="C1289" s="0" t="str">
        <f aca="false">IF($A1289="","",Evermont!$C91)</f>
        <v/>
      </c>
      <c r="D1289" s="0" t="str">
        <f aca="false">IF($A1289="","","Nouvelle compétence")</f>
        <v/>
      </c>
      <c r="E1289" s="0" t="str">
        <f aca="false">IF($A1289="","",Evermont!$D91)</f>
        <v/>
      </c>
      <c r="F1289" s="116" t="str">
        <f aca="false">IF($A1289="","",Evermont!$F91)</f>
        <v/>
      </c>
      <c r="G1289" s="116" t="str">
        <f aca="false">IF($A1289="","",Evermont!$G91)</f>
        <v/>
      </c>
      <c r="H1289" s="0" t="str">
        <f aca="false">IF($A1289="","",Evermont!$K91)</f>
        <v/>
      </c>
      <c r="I1289" s="0" t="str">
        <f aca="false">IF($A1289="","",Evermont!$Q91)</f>
        <v/>
      </c>
      <c r="K1289" s="104" t="n">
        <f aca="false">IF(A1289="",0,IF(IFERROR(VLOOKUP(A1289,Skills!$A:$M,13,FALSE()),"")="COS",0,IF(OR(I1289="En cours",I1289="À venir",I1289="À planifier"),IF(AND(OR($C$3="Tous",$C$3="",C1289=$C$3),OR($E$3="Tous",$E$3="",I1289=$E$3)),1,0),0)))</f>
        <v>0</v>
      </c>
      <c r="L1289" s="104" t="n">
        <f aca="false">L1288+K1289</f>
        <v>19</v>
      </c>
    </row>
    <row r="1290" customFormat="false" ht="15" hidden="true" customHeight="true" outlineLevel="0" collapsed="false">
      <c r="A1290" s="0" t="str">
        <f aca="false">IF(Evermont!$A92="","",Evermont!$A92)</f>
        <v/>
      </c>
      <c r="B1290" s="0" t="str">
        <f aca="false">IF($A1290="","",Evermont!$B92)</f>
        <v/>
      </c>
      <c r="C1290" s="0" t="str">
        <f aca="false">IF($A1290="","",Evermont!$C92)</f>
        <v/>
      </c>
      <c r="D1290" s="0" t="str">
        <f aca="false">IF($A1290="","","Nouvelle compétence")</f>
        <v/>
      </c>
      <c r="E1290" s="0" t="str">
        <f aca="false">IF($A1290="","",Evermont!$D92)</f>
        <v/>
      </c>
      <c r="F1290" s="116" t="str">
        <f aca="false">IF($A1290="","",Evermont!$F92)</f>
        <v/>
      </c>
      <c r="G1290" s="116" t="str">
        <f aca="false">IF($A1290="","",Evermont!$G92)</f>
        <v/>
      </c>
      <c r="H1290" s="0" t="str">
        <f aca="false">IF($A1290="","",Evermont!$K92)</f>
        <v/>
      </c>
      <c r="I1290" s="0" t="str">
        <f aca="false">IF($A1290="","",Evermont!$Q92)</f>
        <v/>
      </c>
      <c r="K1290" s="104" t="n">
        <f aca="false">IF(A1290="",0,IF(IFERROR(VLOOKUP(A1290,Skills!$A:$M,13,FALSE()),"")="COS",0,IF(OR(I1290="En cours",I1290="À venir",I1290="À planifier"),IF(AND(OR($C$3="Tous",$C$3="",C1290=$C$3),OR($E$3="Tous",$E$3="",I1290=$E$3)),1,0),0)))</f>
        <v>0</v>
      </c>
      <c r="L1290" s="104" t="n">
        <f aca="false">L1289+K1290</f>
        <v>19</v>
      </c>
    </row>
    <row r="1291" customFormat="false" ht="15" hidden="true" customHeight="true" outlineLevel="0" collapsed="false">
      <c r="A1291" s="0" t="str">
        <f aca="false">IF(Evermont!$A93="","",Evermont!$A93)</f>
        <v/>
      </c>
      <c r="B1291" s="0" t="str">
        <f aca="false">IF($A1291="","",Evermont!$B93)</f>
        <v/>
      </c>
      <c r="C1291" s="0" t="str">
        <f aca="false">IF($A1291="","",Evermont!$C93)</f>
        <v/>
      </c>
      <c r="D1291" s="0" t="str">
        <f aca="false">IF($A1291="","","Nouvelle compétence")</f>
        <v/>
      </c>
      <c r="E1291" s="0" t="str">
        <f aca="false">IF($A1291="","",Evermont!$D93)</f>
        <v/>
      </c>
      <c r="F1291" s="116" t="str">
        <f aca="false">IF($A1291="","",Evermont!$F93)</f>
        <v/>
      </c>
      <c r="G1291" s="116" t="str">
        <f aca="false">IF($A1291="","",Evermont!$G93)</f>
        <v/>
      </c>
      <c r="H1291" s="0" t="str">
        <f aca="false">IF($A1291="","",Evermont!$K93)</f>
        <v/>
      </c>
      <c r="I1291" s="0" t="str">
        <f aca="false">IF($A1291="","",Evermont!$Q93)</f>
        <v/>
      </c>
      <c r="K1291" s="104" t="n">
        <f aca="false">IF(A1291="",0,IF(IFERROR(VLOOKUP(A1291,Skills!$A:$M,13,FALSE()),"")="COS",0,IF(OR(I1291="En cours",I1291="À venir",I1291="À planifier"),IF(AND(OR($C$3="Tous",$C$3="",C1291=$C$3),OR($E$3="Tous",$E$3="",I1291=$E$3)),1,0),0)))</f>
        <v>0</v>
      </c>
      <c r="L1291" s="104" t="n">
        <f aca="false">L1290+K1291</f>
        <v>19</v>
      </c>
    </row>
    <row r="1292" customFormat="false" ht="15" hidden="true" customHeight="true" outlineLevel="0" collapsed="false">
      <c r="A1292" s="0" t="str">
        <f aca="false">IF(Evermont!$A94="","",Evermont!$A94)</f>
        <v/>
      </c>
      <c r="B1292" s="0" t="str">
        <f aca="false">IF($A1292="","",Evermont!$B94)</f>
        <v/>
      </c>
      <c r="C1292" s="0" t="str">
        <f aca="false">IF($A1292="","",Evermont!$C94)</f>
        <v/>
      </c>
      <c r="D1292" s="0" t="str">
        <f aca="false">IF($A1292="","","Nouvelle compétence")</f>
        <v/>
      </c>
      <c r="E1292" s="0" t="str">
        <f aca="false">IF($A1292="","",Evermont!$D94)</f>
        <v/>
      </c>
      <c r="F1292" s="116" t="str">
        <f aca="false">IF($A1292="","",Evermont!$F94)</f>
        <v/>
      </c>
      <c r="G1292" s="116" t="str">
        <f aca="false">IF($A1292="","",Evermont!$G94)</f>
        <v/>
      </c>
      <c r="H1292" s="0" t="str">
        <f aca="false">IF($A1292="","",Evermont!$K94)</f>
        <v/>
      </c>
      <c r="I1292" s="0" t="str">
        <f aca="false">IF($A1292="","",Evermont!$Q94)</f>
        <v/>
      </c>
      <c r="K1292" s="104" t="n">
        <f aca="false">IF(A1292="",0,IF(IFERROR(VLOOKUP(A1292,Skills!$A:$M,13,FALSE()),"")="COS",0,IF(OR(I1292="En cours",I1292="À venir",I1292="À planifier"),IF(AND(OR($C$3="Tous",$C$3="",C1292=$C$3),OR($E$3="Tous",$E$3="",I1292=$E$3)),1,0),0)))</f>
        <v>0</v>
      </c>
      <c r="L1292" s="104" t="n">
        <f aca="false">L1291+K1292</f>
        <v>19</v>
      </c>
    </row>
    <row r="1293" customFormat="false" ht="15" hidden="true" customHeight="true" outlineLevel="0" collapsed="false">
      <c r="A1293" s="0" t="str">
        <f aca="false">IF(Evermont!$A95="","",Evermont!$A95)</f>
        <v/>
      </c>
      <c r="B1293" s="0" t="str">
        <f aca="false">IF($A1293="","",Evermont!$B95)</f>
        <v/>
      </c>
      <c r="C1293" s="0" t="str">
        <f aca="false">IF($A1293="","",Evermont!$C95)</f>
        <v/>
      </c>
      <c r="D1293" s="0" t="str">
        <f aca="false">IF($A1293="","","Nouvelle compétence")</f>
        <v/>
      </c>
      <c r="E1293" s="0" t="str">
        <f aca="false">IF($A1293="","",Evermont!$D95)</f>
        <v/>
      </c>
      <c r="F1293" s="116" t="str">
        <f aca="false">IF($A1293="","",Evermont!$F95)</f>
        <v/>
      </c>
      <c r="G1293" s="116" t="str">
        <f aca="false">IF($A1293="","",Evermont!$G95)</f>
        <v/>
      </c>
      <c r="H1293" s="0" t="str">
        <f aca="false">IF($A1293="","",Evermont!$K95)</f>
        <v/>
      </c>
      <c r="I1293" s="0" t="str">
        <f aca="false">IF($A1293="","",Evermont!$Q95)</f>
        <v/>
      </c>
      <c r="K1293" s="104" t="n">
        <f aca="false">IF(A1293="",0,IF(IFERROR(VLOOKUP(A1293,Skills!$A:$M,13,FALSE()),"")="COS",0,IF(OR(I1293="En cours",I1293="À venir",I1293="À planifier"),IF(AND(OR($C$3="Tous",$C$3="",C1293=$C$3),OR($E$3="Tous",$E$3="",I1293=$E$3)),1,0),0)))</f>
        <v>0</v>
      </c>
      <c r="L1293" s="104" t="n">
        <f aca="false">L1292+K1293</f>
        <v>19</v>
      </c>
    </row>
    <row r="1294" customFormat="false" ht="15" hidden="true" customHeight="true" outlineLevel="0" collapsed="false">
      <c r="A1294" s="0" t="str">
        <f aca="false">IF(Evermont!$A96="","",Evermont!$A96)</f>
        <v/>
      </c>
      <c r="B1294" s="0" t="str">
        <f aca="false">IF($A1294="","",Evermont!$B96)</f>
        <v/>
      </c>
      <c r="C1294" s="0" t="str">
        <f aca="false">IF($A1294="","",Evermont!$C96)</f>
        <v/>
      </c>
      <c r="D1294" s="0" t="str">
        <f aca="false">IF($A1294="","","Nouvelle compétence")</f>
        <v/>
      </c>
      <c r="E1294" s="0" t="str">
        <f aca="false">IF($A1294="","",Evermont!$D96)</f>
        <v/>
      </c>
      <c r="F1294" s="116" t="str">
        <f aca="false">IF($A1294="","",Evermont!$F96)</f>
        <v/>
      </c>
      <c r="G1294" s="116" t="str">
        <f aca="false">IF($A1294="","",Evermont!$G96)</f>
        <v/>
      </c>
      <c r="H1294" s="0" t="str">
        <f aca="false">IF($A1294="","",Evermont!$K96)</f>
        <v/>
      </c>
      <c r="I1294" s="0" t="str">
        <f aca="false">IF($A1294="","",Evermont!$Q96)</f>
        <v/>
      </c>
      <c r="K1294" s="104" t="n">
        <f aca="false">IF(A1294="",0,IF(IFERROR(VLOOKUP(A1294,Skills!$A:$M,13,FALSE()),"")="COS",0,IF(OR(I1294="En cours",I1294="À venir",I1294="À planifier"),IF(AND(OR($C$3="Tous",$C$3="",C1294=$C$3),OR($E$3="Tous",$E$3="",I1294=$E$3)),1,0),0)))</f>
        <v>0</v>
      </c>
      <c r="L1294" s="104" t="n">
        <f aca="false">L1293+K1294</f>
        <v>19</v>
      </c>
    </row>
    <row r="1295" customFormat="false" ht="15" hidden="true" customHeight="true" outlineLevel="0" collapsed="false">
      <c r="A1295" s="0" t="str">
        <f aca="false">IF(Evermont!$A97="","",Evermont!$A97)</f>
        <v/>
      </c>
      <c r="B1295" s="0" t="str">
        <f aca="false">IF($A1295="","",Evermont!$B97)</f>
        <v/>
      </c>
      <c r="C1295" s="0" t="str">
        <f aca="false">IF($A1295="","",Evermont!$C97)</f>
        <v/>
      </c>
      <c r="D1295" s="0" t="str">
        <f aca="false">IF($A1295="","","Nouvelle compétence")</f>
        <v/>
      </c>
      <c r="E1295" s="0" t="str">
        <f aca="false">IF($A1295="","",Evermont!$D97)</f>
        <v/>
      </c>
      <c r="F1295" s="116" t="str">
        <f aca="false">IF($A1295="","",Evermont!$F97)</f>
        <v/>
      </c>
      <c r="G1295" s="116" t="str">
        <f aca="false">IF($A1295="","",Evermont!$G97)</f>
        <v/>
      </c>
      <c r="H1295" s="0" t="str">
        <f aca="false">IF($A1295="","",Evermont!$K97)</f>
        <v/>
      </c>
      <c r="I1295" s="0" t="str">
        <f aca="false">IF($A1295="","",Evermont!$Q97)</f>
        <v/>
      </c>
      <c r="K1295" s="104" t="n">
        <f aca="false">IF(A1295="",0,IF(IFERROR(VLOOKUP(A1295,Skills!$A:$M,13,FALSE()),"")="COS",0,IF(OR(I1295="En cours",I1295="À venir",I1295="À planifier"),IF(AND(OR($C$3="Tous",$C$3="",C1295=$C$3),OR($E$3="Tous",$E$3="",I1295=$E$3)),1,0),0)))</f>
        <v>0</v>
      </c>
      <c r="L1295" s="104" t="n">
        <f aca="false">L1294+K1295</f>
        <v>19</v>
      </c>
    </row>
    <row r="1296" customFormat="false" ht="15" hidden="true" customHeight="true" outlineLevel="0" collapsed="false">
      <c r="A1296" s="0" t="str">
        <f aca="false">IF(Evermont!$A98="","",Evermont!$A98)</f>
        <v/>
      </c>
      <c r="B1296" s="0" t="str">
        <f aca="false">IF($A1296="","",Evermont!$B98)</f>
        <v/>
      </c>
      <c r="C1296" s="0" t="str">
        <f aca="false">IF($A1296="","",Evermont!$C98)</f>
        <v/>
      </c>
      <c r="D1296" s="0" t="str">
        <f aca="false">IF($A1296="","","Nouvelle compétence")</f>
        <v/>
      </c>
      <c r="E1296" s="0" t="str">
        <f aca="false">IF($A1296="","",Evermont!$D98)</f>
        <v/>
      </c>
      <c r="F1296" s="116" t="str">
        <f aca="false">IF($A1296="","",Evermont!$F98)</f>
        <v/>
      </c>
      <c r="G1296" s="116" t="str">
        <f aca="false">IF($A1296="","",Evermont!$G98)</f>
        <v/>
      </c>
      <c r="H1296" s="0" t="str">
        <f aca="false">IF($A1296="","",Evermont!$K98)</f>
        <v/>
      </c>
      <c r="I1296" s="0" t="str">
        <f aca="false">IF($A1296="","",Evermont!$Q98)</f>
        <v/>
      </c>
      <c r="K1296" s="104" t="n">
        <f aca="false">IF(A1296="",0,IF(IFERROR(VLOOKUP(A1296,Skills!$A:$M,13,FALSE()),"")="COS",0,IF(OR(I1296="En cours",I1296="À venir",I1296="À planifier"),IF(AND(OR($C$3="Tous",$C$3="",C1296=$C$3),OR($E$3="Tous",$E$3="",I1296=$E$3)),1,0),0)))</f>
        <v>0</v>
      </c>
      <c r="L1296" s="104" t="n">
        <f aca="false">L1295+K1296</f>
        <v>19</v>
      </c>
    </row>
    <row r="1297" customFormat="false" ht="15" hidden="true" customHeight="true" outlineLevel="0" collapsed="false">
      <c r="A1297" s="0" t="str">
        <f aca="false">IF(Evermont!$A99="","",Evermont!$A99)</f>
        <v/>
      </c>
      <c r="B1297" s="0" t="str">
        <f aca="false">IF($A1297="","",Evermont!$B99)</f>
        <v/>
      </c>
      <c r="C1297" s="0" t="str">
        <f aca="false">IF($A1297="","",Evermont!$C99)</f>
        <v/>
      </c>
      <c r="D1297" s="0" t="str">
        <f aca="false">IF($A1297="","","Nouvelle compétence")</f>
        <v/>
      </c>
      <c r="E1297" s="0" t="str">
        <f aca="false">IF($A1297="","",Evermont!$D99)</f>
        <v/>
      </c>
      <c r="F1297" s="116" t="str">
        <f aca="false">IF($A1297="","",Evermont!$F99)</f>
        <v/>
      </c>
      <c r="G1297" s="116" t="str">
        <f aca="false">IF($A1297="","",Evermont!$G99)</f>
        <v/>
      </c>
      <c r="H1297" s="0" t="str">
        <f aca="false">IF($A1297="","",Evermont!$K99)</f>
        <v/>
      </c>
      <c r="I1297" s="0" t="str">
        <f aca="false">IF($A1297="","",Evermont!$Q99)</f>
        <v/>
      </c>
      <c r="K1297" s="104" t="n">
        <f aca="false">IF(A1297="",0,IF(IFERROR(VLOOKUP(A1297,Skills!$A:$M,13,FALSE()),"")="COS",0,IF(OR(I1297="En cours",I1297="À venir",I1297="À planifier"),IF(AND(OR($C$3="Tous",$C$3="",C1297=$C$3),OR($E$3="Tous",$E$3="",I1297=$E$3)),1,0),0)))</f>
        <v>0</v>
      </c>
      <c r="L1297" s="104" t="n">
        <f aca="false">L1296+K1297</f>
        <v>19</v>
      </c>
    </row>
    <row r="1298" customFormat="false" ht="15" hidden="true" customHeight="true" outlineLevel="0" collapsed="false">
      <c r="A1298" s="0" t="str">
        <f aca="false">IF(Evermont!$A100="","",Evermont!$A100)</f>
        <v/>
      </c>
      <c r="B1298" s="0" t="str">
        <f aca="false">IF($A1298="","",Evermont!$B100)</f>
        <v/>
      </c>
      <c r="C1298" s="0" t="str">
        <f aca="false">IF($A1298="","",Evermont!$C100)</f>
        <v/>
      </c>
      <c r="D1298" s="0" t="str">
        <f aca="false">IF($A1298="","","Nouvelle compétence")</f>
        <v/>
      </c>
      <c r="E1298" s="0" t="str">
        <f aca="false">IF($A1298="","",Evermont!$D100)</f>
        <v/>
      </c>
      <c r="F1298" s="116" t="str">
        <f aca="false">IF($A1298="","",Evermont!$F100)</f>
        <v/>
      </c>
      <c r="G1298" s="116" t="str">
        <f aca="false">IF($A1298="","",Evermont!$G100)</f>
        <v/>
      </c>
      <c r="H1298" s="0" t="str">
        <f aca="false">IF($A1298="","",Evermont!$K100)</f>
        <v/>
      </c>
      <c r="I1298" s="0" t="str">
        <f aca="false">IF($A1298="","",Evermont!$Q100)</f>
        <v/>
      </c>
      <c r="K1298" s="104" t="n">
        <f aca="false">IF(A1298="",0,IF(IFERROR(VLOOKUP(A1298,Skills!$A:$M,13,FALSE()),"")="COS",0,IF(OR(I1298="En cours",I1298="À venir",I1298="À planifier"),IF(AND(OR($C$3="Tous",$C$3="",C1298=$C$3),OR($E$3="Tous",$E$3="",I1298=$E$3)),1,0),0)))</f>
        <v>0</v>
      </c>
      <c r="L1298" s="104" t="n">
        <f aca="false">L1297+K1298</f>
        <v>19</v>
      </c>
    </row>
    <row r="1299" customFormat="false" ht="15" hidden="true" customHeight="true" outlineLevel="0" collapsed="false">
      <c r="A1299" s="0" t="str">
        <f aca="false">IF(Evermont!$A101="","",Evermont!$A101)</f>
        <v/>
      </c>
      <c r="B1299" s="0" t="str">
        <f aca="false">IF($A1299="","",Evermont!$B101)</f>
        <v/>
      </c>
      <c r="C1299" s="0" t="str">
        <f aca="false">IF($A1299="","",Evermont!$C101)</f>
        <v/>
      </c>
      <c r="D1299" s="0" t="str">
        <f aca="false">IF($A1299="","","Nouvelle compétence")</f>
        <v/>
      </c>
      <c r="E1299" s="0" t="str">
        <f aca="false">IF($A1299="","",Evermont!$D101)</f>
        <v/>
      </c>
      <c r="F1299" s="116" t="str">
        <f aca="false">IF($A1299="","",Evermont!$F101)</f>
        <v/>
      </c>
      <c r="G1299" s="116" t="str">
        <f aca="false">IF($A1299="","",Evermont!$G101)</f>
        <v/>
      </c>
      <c r="H1299" s="0" t="str">
        <f aca="false">IF($A1299="","",Evermont!$K101)</f>
        <v/>
      </c>
      <c r="I1299" s="0" t="str">
        <f aca="false">IF($A1299="","",Evermont!$Q101)</f>
        <v/>
      </c>
      <c r="K1299" s="104" t="n">
        <f aca="false">IF(A1299="",0,IF(IFERROR(VLOOKUP(A1299,Skills!$A:$M,13,FALSE()),"")="COS",0,IF(OR(I1299="En cours",I1299="À venir",I1299="À planifier"),IF(AND(OR($C$3="Tous",$C$3="",C1299=$C$3),OR($E$3="Tous",$E$3="",I1299=$E$3)),1,0),0)))</f>
        <v>0</v>
      </c>
      <c r="L1299" s="104" t="n">
        <f aca="false">L1298+K1299</f>
        <v>19</v>
      </c>
    </row>
    <row r="1300" customFormat="false" ht="15" hidden="true" customHeight="true" outlineLevel="0" collapsed="false">
      <c r="A1300" s="0" t="str">
        <f aca="false">IF(Evermont!$A102="","",Evermont!$A102)</f>
        <v/>
      </c>
      <c r="B1300" s="0" t="str">
        <f aca="false">IF($A1300="","",Evermont!$B102)</f>
        <v/>
      </c>
      <c r="C1300" s="0" t="str">
        <f aca="false">IF($A1300="","",Evermont!$C102)</f>
        <v/>
      </c>
      <c r="D1300" s="0" t="str">
        <f aca="false">IF($A1300="","","Nouvelle compétence")</f>
        <v/>
      </c>
      <c r="E1300" s="0" t="str">
        <f aca="false">IF($A1300="","",Evermont!$D102)</f>
        <v/>
      </c>
      <c r="F1300" s="116" t="str">
        <f aca="false">IF($A1300="","",Evermont!$F102)</f>
        <v/>
      </c>
      <c r="G1300" s="116" t="str">
        <f aca="false">IF($A1300="","",Evermont!$G102)</f>
        <v/>
      </c>
      <c r="H1300" s="0" t="str">
        <f aca="false">IF($A1300="","",Evermont!$K102)</f>
        <v/>
      </c>
      <c r="I1300" s="0" t="str">
        <f aca="false">IF($A1300="","",Evermont!$Q102)</f>
        <v/>
      </c>
      <c r="K1300" s="104" t="n">
        <f aca="false">IF(A1300="",0,IF(IFERROR(VLOOKUP(A1300,Skills!$A:$M,13,FALSE()),"")="COS",0,IF(OR(I1300="En cours",I1300="À venir",I1300="À planifier"),IF(AND(OR($C$3="Tous",$C$3="",C1300=$C$3),OR($E$3="Tous",$E$3="",I1300=$E$3)),1,0),0)))</f>
        <v>0</v>
      </c>
      <c r="L1300" s="104" t="n">
        <f aca="false">L1299+K1300</f>
        <v>19</v>
      </c>
    </row>
    <row r="1301" customFormat="false" ht="15" hidden="true" customHeight="true" outlineLevel="0" collapsed="false">
      <c r="A1301" s="0" t="str">
        <f aca="false">IF(Evermont!$A103="","",Evermont!$A103)</f>
        <v/>
      </c>
      <c r="B1301" s="0" t="str">
        <f aca="false">IF($A1301="","",Evermont!$B103)</f>
        <v/>
      </c>
      <c r="C1301" s="0" t="str">
        <f aca="false">IF($A1301="","",Evermont!$C103)</f>
        <v/>
      </c>
      <c r="D1301" s="0" t="str">
        <f aca="false">IF($A1301="","","Nouvelle compétence")</f>
        <v/>
      </c>
      <c r="E1301" s="0" t="str">
        <f aca="false">IF($A1301="","",Evermont!$D103)</f>
        <v/>
      </c>
      <c r="F1301" s="116" t="str">
        <f aca="false">IF($A1301="","",Evermont!$F103)</f>
        <v/>
      </c>
      <c r="G1301" s="116" t="str">
        <f aca="false">IF($A1301="","",Evermont!$G103)</f>
        <v/>
      </c>
      <c r="H1301" s="0" t="str">
        <f aca="false">IF($A1301="","",Evermont!$K103)</f>
        <v/>
      </c>
      <c r="I1301" s="0" t="str">
        <f aca="false">IF($A1301="","",Evermont!$Q103)</f>
        <v/>
      </c>
      <c r="K1301" s="104" t="n">
        <f aca="false">IF(A1301="",0,IF(IFERROR(VLOOKUP(A1301,Skills!$A:$M,13,FALSE()),"")="COS",0,IF(OR(I1301="En cours",I1301="À venir",I1301="À planifier"),IF(AND(OR($C$3="Tous",$C$3="",C1301=$C$3),OR($E$3="Tous",$E$3="",I1301=$E$3)),1,0),0)))</f>
        <v>0</v>
      </c>
      <c r="L1301" s="104" t="n">
        <f aca="false">L1300+K1301</f>
        <v>19</v>
      </c>
    </row>
    <row r="1302" customFormat="false" ht="15" hidden="true" customHeight="true" outlineLevel="0" collapsed="false">
      <c r="A1302" s="0" t="str">
        <f aca="false">IF(Evermont!$A104="","",Evermont!$A104)</f>
        <v/>
      </c>
      <c r="B1302" s="0" t="str">
        <f aca="false">IF($A1302="","",Evermont!$B104)</f>
        <v/>
      </c>
      <c r="C1302" s="0" t="str">
        <f aca="false">IF($A1302="","",Evermont!$C104)</f>
        <v/>
      </c>
      <c r="D1302" s="0" t="str">
        <f aca="false">IF($A1302="","","Nouvelle compétence")</f>
        <v/>
      </c>
      <c r="E1302" s="0" t="str">
        <f aca="false">IF($A1302="","",Evermont!$D104)</f>
        <v/>
      </c>
      <c r="F1302" s="116" t="str">
        <f aca="false">IF($A1302="","",Evermont!$F104)</f>
        <v/>
      </c>
      <c r="G1302" s="116" t="str">
        <f aca="false">IF($A1302="","",Evermont!$G104)</f>
        <v/>
      </c>
      <c r="H1302" s="0" t="str">
        <f aca="false">IF($A1302="","",Evermont!$K104)</f>
        <v/>
      </c>
      <c r="I1302" s="0" t="str">
        <f aca="false">IF($A1302="","",Evermont!$Q104)</f>
        <v/>
      </c>
      <c r="K1302" s="104" t="n">
        <f aca="false">IF(A1302="",0,IF(IFERROR(VLOOKUP(A1302,Skills!$A:$M,13,FALSE()),"")="COS",0,IF(OR(I1302="En cours",I1302="À venir",I1302="À planifier"),IF(AND(OR($C$3="Tous",$C$3="",C1302=$C$3),OR($E$3="Tous",$E$3="",I1302=$E$3)),1,0),0)))</f>
        <v>0</v>
      </c>
      <c r="L1302" s="104" t="n">
        <f aca="false">L1301+K1302</f>
        <v>19</v>
      </c>
    </row>
    <row r="1303" customFormat="false" ht="15" hidden="true" customHeight="true" outlineLevel="0" collapsed="false">
      <c r="A1303" s="0" t="str">
        <f aca="false">IF(Evermont!$A105="","",Evermont!$A105)</f>
        <v/>
      </c>
      <c r="B1303" s="0" t="str">
        <f aca="false">IF($A1303="","",Evermont!$B105)</f>
        <v/>
      </c>
      <c r="C1303" s="0" t="str">
        <f aca="false">IF($A1303="","",Evermont!$C105)</f>
        <v/>
      </c>
      <c r="D1303" s="0" t="str">
        <f aca="false">IF($A1303="","","Nouvelle compétence")</f>
        <v/>
      </c>
      <c r="E1303" s="0" t="str">
        <f aca="false">IF($A1303="","",Evermont!$D105)</f>
        <v/>
      </c>
      <c r="F1303" s="116" t="str">
        <f aca="false">IF($A1303="","",Evermont!$F105)</f>
        <v/>
      </c>
      <c r="G1303" s="116" t="str">
        <f aca="false">IF($A1303="","",Evermont!$G105)</f>
        <v/>
      </c>
      <c r="H1303" s="0" t="str">
        <f aca="false">IF($A1303="","",Evermont!$K105)</f>
        <v/>
      </c>
      <c r="I1303" s="0" t="str">
        <f aca="false">IF($A1303="","",Evermont!$Q105)</f>
        <v/>
      </c>
      <c r="K1303" s="104" t="n">
        <f aca="false">IF(A1303="",0,IF(IFERROR(VLOOKUP(A1303,Skills!$A:$M,13,FALSE()),"")="COS",0,IF(OR(I1303="En cours",I1303="À venir",I1303="À planifier"),IF(AND(OR($C$3="Tous",$C$3="",C1303=$C$3),OR($E$3="Tous",$E$3="",I1303=$E$3)),1,0),0)))</f>
        <v>0</v>
      </c>
      <c r="L1303" s="104" t="n">
        <f aca="false">L1302+K1303</f>
        <v>19</v>
      </c>
    </row>
    <row r="1304" customFormat="false" ht="15" hidden="true" customHeight="true" outlineLevel="0" collapsed="false">
      <c r="A1304" s="0" t="str">
        <f aca="false">IF(Evermont!$A106="","",Evermont!$A106)</f>
        <v/>
      </c>
      <c r="B1304" s="0" t="str">
        <f aca="false">IF($A1304="","",Evermont!$B106)</f>
        <v/>
      </c>
      <c r="C1304" s="0" t="str">
        <f aca="false">IF($A1304="","",Evermont!$C106)</f>
        <v/>
      </c>
      <c r="D1304" s="0" t="str">
        <f aca="false">IF($A1304="","","Nouvelle compétence")</f>
        <v/>
      </c>
      <c r="E1304" s="0" t="str">
        <f aca="false">IF($A1304="","",Evermont!$D106)</f>
        <v/>
      </c>
      <c r="F1304" s="116" t="str">
        <f aca="false">IF($A1304="","",Evermont!$F106)</f>
        <v/>
      </c>
      <c r="G1304" s="116" t="str">
        <f aca="false">IF($A1304="","",Evermont!$G106)</f>
        <v/>
      </c>
      <c r="H1304" s="0" t="str">
        <f aca="false">IF($A1304="","",Evermont!$K106)</f>
        <v/>
      </c>
      <c r="I1304" s="0" t="str">
        <f aca="false">IF($A1304="","",Evermont!$Q106)</f>
        <v/>
      </c>
      <c r="K1304" s="104" t="n">
        <f aca="false">IF(A1304="",0,IF(IFERROR(VLOOKUP(A1304,Skills!$A:$M,13,FALSE()),"")="COS",0,IF(OR(I1304="En cours",I1304="À venir",I1304="À planifier"),IF(AND(OR($C$3="Tous",$C$3="",C1304=$C$3),OR($E$3="Tous",$E$3="",I1304=$E$3)),1,0),0)))</f>
        <v>0</v>
      </c>
      <c r="L1304" s="104" t="n">
        <f aca="false">L1303+K1304</f>
        <v>19</v>
      </c>
    </row>
    <row r="1305" customFormat="false" ht="15" hidden="true" customHeight="true" outlineLevel="0" collapsed="false">
      <c r="A1305" s="0" t="str">
        <f aca="false">IF(Evermont!$A107="","",Evermont!$A107)</f>
        <v/>
      </c>
      <c r="B1305" s="0" t="str">
        <f aca="false">IF($A1305="","",Evermont!$B107)</f>
        <v/>
      </c>
      <c r="C1305" s="0" t="str">
        <f aca="false">IF($A1305="","",Evermont!$C107)</f>
        <v/>
      </c>
      <c r="D1305" s="0" t="str">
        <f aca="false">IF($A1305="","","Nouvelle compétence")</f>
        <v/>
      </c>
      <c r="E1305" s="0" t="str">
        <f aca="false">IF($A1305="","",Evermont!$D107)</f>
        <v/>
      </c>
      <c r="F1305" s="116" t="str">
        <f aca="false">IF($A1305="","",Evermont!$F107)</f>
        <v/>
      </c>
      <c r="G1305" s="116" t="str">
        <f aca="false">IF($A1305="","",Evermont!$G107)</f>
        <v/>
      </c>
      <c r="H1305" s="0" t="str">
        <f aca="false">IF($A1305="","",Evermont!$K107)</f>
        <v/>
      </c>
      <c r="I1305" s="0" t="str">
        <f aca="false">IF($A1305="","",Evermont!$Q107)</f>
        <v/>
      </c>
      <c r="K1305" s="104" t="n">
        <f aca="false">IF(A1305="",0,IF(IFERROR(VLOOKUP(A1305,Skills!$A:$M,13,FALSE()),"")="COS",0,IF(OR(I1305="En cours",I1305="À venir",I1305="À planifier"),IF(AND(OR($C$3="Tous",$C$3="",C1305=$C$3),OR($E$3="Tous",$E$3="",I1305=$E$3)),1,0),0)))</f>
        <v>0</v>
      </c>
      <c r="L1305" s="104" t="n">
        <f aca="false">L1304+K1305</f>
        <v>19</v>
      </c>
    </row>
    <row r="1306" customFormat="false" ht="15" hidden="true" customHeight="true" outlineLevel="0" collapsed="false">
      <c r="A1306" s="0" t="str">
        <f aca="false">IF(Evermont!$A108="","",Evermont!$A108)</f>
        <v/>
      </c>
      <c r="B1306" s="0" t="str">
        <f aca="false">IF($A1306="","",Evermont!$B108)</f>
        <v/>
      </c>
      <c r="C1306" s="0" t="str">
        <f aca="false">IF($A1306="","",Evermont!$C108)</f>
        <v/>
      </c>
      <c r="D1306" s="0" t="str">
        <f aca="false">IF($A1306="","","Nouvelle compétence")</f>
        <v/>
      </c>
      <c r="E1306" s="0" t="str">
        <f aca="false">IF($A1306="","",Evermont!$D108)</f>
        <v/>
      </c>
      <c r="F1306" s="116" t="str">
        <f aca="false">IF($A1306="","",Evermont!$F108)</f>
        <v/>
      </c>
      <c r="G1306" s="116" t="str">
        <f aca="false">IF($A1306="","",Evermont!$G108)</f>
        <v/>
      </c>
      <c r="H1306" s="0" t="str">
        <f aca="false">IF($A1306="","",Evermont!$K108)</f>
        <v/>
      </c>
      <c r="I1306" s="0" t="str">
        <f aca="false">IF($A1306="","",Evermont!$Q108)</f>
        <v/>
      </c>
      <c r="K1306" s="104" t="n">
        <f aca="false">IF(A1306="",0,IF(IFERROR(VLOOKUP(A1306,Skills!$A:$M,13,FALSE()),"")="COS",0,IF(OR(I1306="En cours",I1306="À venir",I1306="À planifier"),IF(AND(OR($C$3="Tous",$C$3="",C1306=$C$3),OR($E$3="Tous",$E$3="",I1306=$E$3)),1,0),0)))</f>
        <v>0</v>
      </c>
      <c r="L1306" s="104" t="n">
        <f aca="false">L1305+K1306</f>
        <v>19</v>
      </c>
    </row>
    <row r="1307" customFormat="false" ht="15" hidden="true" customHeight="true" outlineLevel="0" collapsed="false">
      <c r="A1307" s="0" t="str">
        <f aca="false">IF(Evermont!$A109="","",Evermont!$A109)</f>
        <v/>
      </c>
      <c r="B1307" s="0" t="str">
        <f aca="false">IF($A1307="","",Evermont!$B109)</f>
        <v/>
      </c>
      <c r="C1307" s="0" t="str">
        <f aca="false">IF($A1307="","",Evermont!$C109)</f>
        <v/>
      </c>
      <c r="D1307" s="0" t="str">
        <f aca="false">IF($A1307="","","Nouvelle compétence")</f>
        <v/>
      </c>
      <c r="E1307" s="0" t="str">
        <f aca="false">IF($A1307="","",Evermont!$D109)</f>
        <v/>
      </c>
      <c r="F1307" s="116" t="str">
        <f aca="false">IF($A1307="","",Evermont!$F109)</f>
        <v/>
      </c>
      <c r="G1307" s="116" t="str">
        <f aca="false">IF($A1307="","",Evermont!$G109)</f>
        <v/>
      </c>
      <c r="H1307" s="0" t="str">
        <f aca="false">IF($A1307="","",Evermont!$K109)</f>
        <v/>
      </c>
      <c r="I1307" s="0" t="str">
        <f aca="false">IF($A1307="","",Evermont!$Q109)</f>
        <v/>
      </c>
      <c r="K1307" s="104" t="n">
        <f aca="false">IF(A1307="",0,IF(IFERROR(VLOOKUP(A1307,Skills!$A:$M,13,FALSE()),"")="COS",0,IF(OR(I1307="En cours",I1307="À venir",I1307="À planifier"),IF(AND(OR($C$3="Tous",$C$3="",C1307=$C$3),OR($E$3="Tous",$E$3="",I1307=$E$3)),1,0),0)))</f>
        <v>0</v>
      </c>
      <c r="L1307" s="104" t="n">
        <f aca="false">L1306+K1307</f>
        <v>19</v>
      </c>
    </row>
    <row r="1308" customFormat="false" ht="15" hidden="true" customHeight="true" outlineLevel="0" collapsed="false">
      <c r="A1308" s="0" t="str">
        <f aca="false">IF(Evermont!$A110="","",Evermont!$A110)</f>
        <v/>
      </c>
      <c r="B1308" s="0" t="str">
        <f aca="false">IF($A1308="","",Evermont!$B110)</f>
        <v/>
      </c>
      <c r="C1308" s="0" t="str">
        <f aca="false">IF($A1308="","",Evermont!$C110)</f>
        <v/>
      </c>
      <c r="D1308" s="0" t="str">
        <f aca="false">IF($A1308="","","Nouvelle compétence")</f>
        <v/>
      </c>
      <c r="E1308" s="0" t="str">
        <f aca="false">IF($A1308="","",Evermont!$D110)</f>
        <v/>
      </c>
      <c r="F1308" s="116" t="str">
        <f aca="false">IF($A1308="","",Evermont!$F110)</f>
        <v/>
      </c>
      <c r="G1308" s="116" t="str">
        <f aca="false">IF($A1308="","",Evermont!$G110)</f>
        <v/>
      </c>
      <c r="H1308" s="0" t="str">
        <f aca="false">IF($A1308="","",Evermont!$K110)</f>
        <v/>
      </c>
      <c r="I1308" s="0" t="str">
        <f aca="false">IF($A1308="","",Evermont!$Q110)</f>
        <v/>
      </c>
      <c r="K1308" s="104" t="n">
        <f aca="false">IF(A1308="",0,IF(IFERROR(VLOOKUP(A1308,Skills!$A:$M,13,FALSE()),"")="COS",0,IF(OR(I1308="En cours",I1308="À venir",I1308="À planifier"),IF(AND(OR($C$3="Tous",$C$3="",C1308=$C$3),OR($E$3="Tous",$E$3="",I1308=$E$3)),1,0),0)))</f>
        <v>0</v>
      </c>
      <c r="L1308" s="104" t="n">
        <f aca="false">L1307+K1308</f>
        <v>19</v>
      </c>
    </row>
    <row r="1309" customFormat="false" ht="15" hidden="true" customHeight="true" outlineLevel="0" collapsed="false">
      <c r="A1309" s="0" t="str">
        <f aca="false">IF(Evermont!$A111="","",Evermont!$A111)</f>
        <v/>
      </c>
      <c r="B1309" s="0" t="str">
        <f aca="false">IF($A1309="","",Evermont!$B111)</f>
        <v/>
      </c>
      <c r="C1309" s="0" t="str">
        <f aca="false">IF($A1309="","",Evermont!$C111)</f>
        <v/>
      </c>
      <c r="D1309" s="0" t="str">
        <f aca="false">IF($A1309="","","Nouvelle compétence")</f>
        <v/>
      </c>
      <c r="E1309" s="0" t="str">
        <f aca="false">IF($A1309="","",Evermont!$D111)</f>
        <v/>
      </c>
      <c r="F1309" s="116" t="str">
        <f aca="false">IF($A1309="","",Evermont!$F111)</f>
        <v/>
      </c>
      <c r="G1309" s="116" t="str">
        <f aca="false">IF($A1309="","",Evermont!$G111)</f>
        <v/>
      </c>
      <c r="H1309" s="0" t="str">
        <f aca="false">IF($A1309="","",Evermont!$K111)</f>
        <v/>
      </c>
      <c r="I1309" s="0" t="str">
        <f aca="false">IF($A1309="","",Evermont!$Q111)</f>
        <v/>
      </c>
      <c r="K1309" s="104" t="n">
        <f aca="false">IF(A1309="",0,IF(IFERROR(VLOOKUP(A1309,Skills!$A:$M,13,FALSE()),"")="COS",0,IF(OR(I1309="En cours",I1309="À venir",I1309="À planifier"),IF(AND(OR($C$3="Tous",$C$3="",C1309=$C$3),OR($E$3="Tous",$E$3="",I1309=$E$3)),1,0),0)))</f>
        <v>0</v>
      </c>
      <c r="L1309" s="104" t="n">
        <f aca="false">L1308+K1309</f>
        <v>19</v>
      </c>
    </row>
    <row r="1310" customFormat="false" ht="15" hidden="true" customHeight="true" outlineLevel="0" collapsed="false">
      <c r="A1310" s="0" t="str">
        <f aca="false">IF(Evermont!$A112="","",Evermont!$A112)</f>
        <v/>
      </c>
      <c r="B1310" s="0" t="str">
        <f aca="false">IF($A1310="","",Evermont!$B112)</f>
        <v/>
      </c>
      <c r="C1310" s="0" t="str">
        <f aca="false">IF($A1310="","",Evermont!$C112)</f>
        <v/>
      </c>
      <c r="D1310" s="0" t="str">
        <f aca="false">IF($A1310="","","Nouvelle compétence")</f>
        <v/>
      </c>
      <c r="E1310" s="0" t="str">
        <f aca="false">IF($A1310="","",Evermont!$D112)</f>
        <v/>
      </c>
      <c r="F1310" s="116" t="str">
        <f aca="false">IF($A1310="","",Evermont!$F112)</f>
        <v/>
      </c>
      <c r="G1310" s="116" t="str">
        <f aca="false">IF($A1310="","",Evermont!$G112)</f>
        <v/>
      </c>
      <c r="H1310" s="0" t="str">
        <f aca="false">IF($A1310="","",Evermont!$K112)</f>
        <v/>
      </c>
      <c r="I1310" s="0" t="str">
        <f aca="false">IF($A1310="","",Evermont!$Q112)</f>
        <v/>
      </c>
      <c r="K1310" s="104" t="n">
        <f aca="false">IF(A1310="",0,IF(IFERROR(VLOOKUP(A1310,Skills!$A:$M,13,FALSE()),"")="COS",0,IF(OR(I1310="En cours",I1310="À venir",I1310="À planifier"),IF(AND(OR($C$3="Tous",$C$3="",C1310=$C$3),OR($E$3="Tous",$E$3="",I1310=$E$3)),1,0),0)))</f>
        <v>0</v>
      </c>
      <c r="L1310" s="104" t="n">
        <f aca="false">L1309+K1310</f>
        <v>19</v>
      </c>
    </row>
    <row r="1311" customFormat="false" ht="15" hidden="true" customHeight="true" outlineLevel="0" collapsed="false">
      <c r="A1311" s="0" t="str">
        <f aca="false">IF(Evermont!$A113="","",Evermont!$A113)</f>
        <v/>
      </c>
      <c r="B1311" s="0" t="str">
        <f aca="false">IF($A1311="","",Evermont!$B113)</f>
        <v/>
      </c>
      <c r="C1311" s="0" t="str">
        <f aca="false">IF($A1311="","",Evermont!$C113)</f>
        <v/>
      </c>
      <c r="D1311" s="0" t="str">
        <f aca="false">IF($A1311="","","Nouvelle compétence")</f>
        <v/>
      </c>
      <c r="E1311" s="0" t="str">
        <f aca="false">IF($A1311="","",Evermont!$D113)</f>
        <v/>
      </c>
      <c r="F1311" s="116" t="str">
        <f aca="false">IF($A1311="","",Evermont!$F113)</f>
        <v/>
      </c>
      <c r="G1311" s="116" t="str">
        <f aca="false">IF($A1311="","",Evermont!$G113)</f>
        <v/>
      </c>
      <c r="H1311" s="0" t="str">
        <f aca="false">IF($A1311="","",Evermont!$K113)</f>
        <v/>
      </c>
      <c r="I1311" s="0" t="str">
        <f aca="false">IF($A1311="","",Evermont!$Q113)</f>
        <v/>
      </c>
      <c r="K1311" s="104" t="n">
        <f aca="false">IF(A1311="",0,IF(IFERROR(VLOOKUP(A1311,Skills!$A:$M,13,FALSE()),"")="COS",0,IF(OR(I1311="En cours",I1311="À venir",I1311="À planifier"),IF(AND(OR($C$3="Tous",$C$3="",C1311=$C$3),OR($E$3="Tous",$E$3="",I1311=$E$3)),1,0),0)))</f>
        <v>0</v>
      </c>
      <c r="L1311" s="104" t="n">
        <f aca="false">L1310+K1311</f>
        <v>19</v>
      </c>
    </row>
    <row r="1312" customFormat="false" ht="15" hidden="true" customHeight="true" outlineLevel="0" collapsed="false">
      <c r="A1312" s="0" t="str">
        <f aca="false">IF(Evermont!$A114="","",Evermont!$A114)</f>
        <v/>
      </c>
      <c r="B1312" s="0" t="str">
        <f aca="false">IF($A1312="","",Evermont!$B114)</f>
        <v/>
      </c>
      <c r="C1312" s="0" t="str">
        <f aca="false">IF($A1312="","",Evermont!$C114)</f>
        <v/>
      </c>
      <c r="D1312" s="0" t="str">
        <f aca="false">IF($A1312="","","Nouvelle compétence")</f>
        <v/>
      </c>
      <c r="E1312" s="0" t="str">
        <f aca="false">IF($A1312="","",Evermont!$D114)</f>
        <v/>
      </c>
      <c r="F1312" s="116" t="str">
        <f aca="false">IF($A1312="","",Evermont!$F114)</f>
        <v/>
      </c>
      <c r="G1312" s="116" t="str">
        <f aca="false">IF($A1312="","",Evermont!$G114)</f>
        <v/>
      </c>
      <c r="H1312" s="0" t="str">
        <f aca="false">IF($A1312="","",Evermont!$K114)</f>
        <v/>
      </c>
      <c r="I1312" s="0" t="str">
        <f aca="false">IF($A1312="","",Evermont!$Q114)</f>
        <v/>
      </c>
      <c r="K1312" s="104" t="n">
        <f aca="false">IF(A1312="",0,IF(IFERROR(VLOOKUP(A1312,Skills!$A:$M,13,FALSE()),"")="COS",0,IF(OR(I1312="En cours",I1312="À venir",I1312="À planifier"),IF(AND(OR($C$3="Tous",$C$3="",C1312=$C$3),OR($E$3="Tous",$E$3="",I1312=$E$3)),1,0),0)))</f>
        <v>0</v>
      </c>
      <c r="L1312" s="104" t="n">
        <f aca="false">L1311+K1312</f>
        <v>19</v>
      </c>
    </row>
    <row r="1313" customFormat="false" ht="15" hidden="true" customHeight="true" outlineLevel="0" collapsed="false">
      <c r="A1313" s="0" t="str">
        <f aca="false">IF(Evermont!$A115="","",Evermont!$A115)</f>
        <v/>
      </c>
      <c r="B1313" s="0" t="str">
        <f aca="false">IF($A1313="","",Evermont!$B115)</f>
        <v/>
      </c>
      <c r="C1313" s="0" t="str">
        <f aca="false">IF($A1313="","",Evermont!$C115)</f>
        <v/>
      </c>
      <c r="D1313" s="0" t="str">
        <f aca="false">IF($A1313="","","Nouvelle compétence")</f>
        <v/>
      </c>
      <c r="E1313" s="0" t="str">
        <f aca="false">IF($A1313="","",Evermont!$D115)</f>
        <v/>
      </c>
      <c r="F1313" s="116" t="str">
        <f aca="false">IF($A1313="","",Evermont!$F115)</f>
        <v/>
      </c>
      <c r="G1313" s="116" t="str">
        <f aca="false">IF($A1313="","",Evermont!$G115)</f>
        <v/>
      </c>
      <c r="H1313" s="0" t="str">
        <f aca="false">IF($A1313="","",Evermont!$K115)</f>
        <v/>
      </c>
      <c r="I1313" s="0" t="str">
        <f aca="false">IF($A1313="","",Evermont!$Q115)</f>
        <v/>
      </c>
      <c r="K1313" s="104" t="n">
        <f aca="false">IF(A1313="",0,IF(IFERROR(VLOOKUP(A1313,Skills!$A:$M,13,FALSE()),"")="COS",0,IF(OR(I1313="En cours",I1313="À venir",I1313="À planifier"),IF(AND(OR($C$3="Tous",$C$3="",C1313=$C$3),OR($E$3="Tous",$E$3="",I1313=$E$3)),1,0),0)))</f>
        <v>0</v>
      </c>
      <c r="L1313" s="104" t="n">
        <f aca="false">L1312+K1313</f>
        <v>19</v>
      </c>
    </row>
    <row r="1314" customFormat="false" ht="15" hidden="true" customHeight="true" outlineLevel="0" collapsed="false">
      <c r="A1314" s="0" t="str">
        <f aca="false">IF(Evermont!$A116="","",Evermont!$A116)</f>
        <v/>
      </c>
      <c r="B1314" s="0" t="str">
        <f aca="false">IF($A1314="","",Evermont!$B116)</f>
        <v/>
      </c>
      <c r="C1314" s="0" t="str">
        <f aca="false">IF($A1314="","",Evermont!$C116)</f>
        <v/>
      </c>
      <c r="D1314" s="0" t="str">
        <f aca="false">IF($A1314="","","Nouvelle compétence")</f>
        <v/>
      </c>
      <c r="E1314" s="0" t="str">
        <f aca="false">IF($A1314="","",Evermont!$D116)</f>
        <v/>
      </c>
      <c r="F1314" s="116" t="str">
        <f aca="false">IF($A1314="","",Evermont!$F116)</f>
        <v/>
      </c>
      <c r="G1314" s="116" t="str">
        <f aca="false">IF($A1314="","",Evermont!$G116)</f>
        <v/>
      </c>
      <c r="H1314" s="0" t="str">
        <f aca="false">IF($A1314="","",Evermont!$K116)</f>
        <v/>
      </c>
      <c r="I1314" s="0" t="str">
        <f aca="false">IF($A1314="","",Evermont!$Q116)</f>
        <v/>
      </c>
      <c r="K1314" s="104" t="n">
        <f aca="false">IF(A1314="",0,IF(IFERROR(VLOOKUP(A1314,Skills!$A:$M,13,FALSE()),"")="COS",0,IF(OR(I1314="En cours",I1314="À venir",I1314="À planifier"),IF(AND(OR($C$3="Tous",$C$3="",C1314=$C$3),OR($E$3="Tous",$E$3="",I1314=$E$3)),1,0),0)))</f>
        <v>0</v>
      </c>
      <c r="L1314" s="104" t="n">
        <f aca="false">L1313+K1314</f>
        <v>19</v>
      </c>
    </row>
    <row r="1315" customFormat="false" ht="15" hidden="true" customHeight="true" outlineLevel="0" collapsed="false">
      <c r="A1315" s="0" t="str">
        <f aca="false">IF(Evermont!$A117="","",Evermont!$A117)</f>
        <v/>
      </c>
      <c r="B1315" s="0" t="str">
        <f aca="false">IF($A1315="","",Evermont!$B117)</f>
        <v/>
      </c>
      <c r="C1315" s="0" t="str">
        <f aca="false">IF($A1315="","",Evermont!$C117)</f>
        <v/>
      </c>
      <c r="D1315" s="0" t="str">
        <f aca="false">IF($A1315="","","Nouvelle compétence")</f>
        <v/>
      </c>
      <c r="E1315" s="0" t="str">
        <f aca="false">IF($A1315="","",Evermont!$D117)</f>
        <v/>
      </c>
      <c r="F1315" s="116" t="str">
        <f aca="false">IF($A1315="","",Evermont!$F117)</f>
        <v/>
      </c>
      <c r="G1315" s="116" t="str">
        <f aca="false">IF($A1315="","",Evermont!$G117)</f>
        <v/>
      </c>
      <c r="H1315" s="0" t="str">
        <f aca="false">IF($A1315="","",Evermont!$K117)</f>
        <v/>
      </c>
      <c r="I1315" s="0" t="str">
        <f aca="false">IF($A1315="","",Evermont!$Q117)</f>
        <v/>
      </c>
      <c r="K1315" s="104" t="n">
        <f aca="false">IF(A1315="",0,IF(IFERROR(VLOOKUP(A1315,Skills!$A:$M,13,FALSE()),"")="COS",0,IF(OR(I1315="En cours",I1315="À venir",I1315="À planifier"),IF(AND(OR($C$3="Tous",$C$3="",C1315=$C$3),OR($E$3="Tous",$E$3="",I1315=$E$3)),1,0),0)))</f>
        <v>0</v>
      </c>
      <c r="L1315" s="104" t="n">
        <f aca="false">L1314+K1315</f>
        <v>19</v>
      </c>
    </row>
    <row r="1316" customFormat="false" ht="15" hidden="true" customHeight="true" outlineLevel="0" collapsed="false">
      <c r="A1316" s="0" t="str">
        <f aca="false">IF(Evermont!$A118="","",Evermont!$A118)</f>
        <v/>
      </c>
      <c r="B1316" s="0" t="str">
        <f aca="false">IF($A1316="","",Evermont!$B118)</f>
        <v/>
      </c>
      <c r="C1316" s="0" t="str">
        <f aca="false">IF($A1316="","",Evermont!$C118)</f>
        <v/>
      </c>
      <c r="D1316" s="0" t="str">
        <f aca="false">IF($A1316="","","Nouvelle compétence")</f>
        <v/>
      </c>
      <c r="E1316" s="0" t="str">
        <f aca="false">IF($A1316="","",Evermont!$D118)</f>
        <v/>
      </c>
      <c r="F1316" s="116" t="str">
        <f aca="false">IF($A1316="","",Evermont!$F118)</f>
        <v/>
      </c>
      <c r="G1316" s="116" t="str">
        <f aca="false">IF($A1316="","",Evermont!$G118)</f>
        <v/>
      </c>
      <c r="H1316" s="0" t="str">
        <f aca="false">IF($A1316="","",Evermont!$K118)</f>
        <v/>
      </c>
      <c r="I1316" s="0" t="str">
        <f aca="false">IF($A1316="","",Evermont!$Q118)</f>
        <v/>
      </c>
      <c r="K1316" s="104" t="n">
        <f aca="false">IF(A1316="",0,IF(IFERROR(VLOOKUP(A1316,Skills!$A:$M,13,FALSE()),"")="COS",0,IF(OR(I1316="En cours",I1316="À venir",I1316="À planifier"),IF(AND(OR($C$3="Tous",$C$3="",C1316=$C$3),OR($E$3="Tous",$E$3="",I1316=$E$3)),1,0),0)))</f>
        <v>0</v>
      </c>
      <c r="L1316" s="104" t="n">
        <f aca="false">L1315+K1316</f>
        <v>19</v>
      </c>
    </row>
    <row r="1317" customFormat="false" ht="15" hidden="true" customHeight="true" outlineLevel="0" collapsed="false">
      <c r="A1317" s="0" t="str">
        <f aca="false">IF(Evermont!$A119="","",Evermont!$A119)</f>
        <v/>
      </c>
      <c r="B1317" s="0" t="str">
        <f aca="false">IF($A1317="","",Evermont!$B119)</f>
        <v/>
      </c>
      <c r="C1317" s="0" t="str">
        <f aca="false">IF($A1317="","",Evermont!$C119)</f>
        <v/>
      </c>
      <c r="D1317" s="0" t="str">
        <f aca="false">IF($A1317="","","Nouvelle compétence")</f>
        <v/>
      </c>
      <c r="E1317" s="0" t="str">
        <f aca="false">IF($A1317="","",Evermont!$D119)</f>
        <v/>
      </c>
      <c r="F1317" s="116" t="str">
        <f aca="false">IF($A1317="","",Evermont!$F119)</f>
        <v/>
      </c>
      <c r="G1317" s="116" t="str">
        <f aca="false">IF($A1317="","",Evermont!$G119)</f>
        <v/>
      </c>
      <c r="H1317" s="0" t="str">
        <f aca="false">IF($A1317="","",Evermont!$K119)</f>
        <v/>
      </c>
      <c r="I1317" s="0" t="str">
        <f aca="false">IF($A1317="","",Evermont!$Q119)</f>
        <v/>
      </c>
      <c r="K1317" s="104" t="n">
        <f aca="false">IF(A1317="",0,IF(IFERROR(VLOOKUP(A1317,Skills!$A:$M,13,FALSE()),"")="COS",0,IF(OR(I1317="En cours",I1317="À venir",I1317="À planifier"),IF(AND(OR($C$3="Tous",$C$3="",C1317=$C$3),OR($E$3="Tous",$E$3="",I1317=$E$3)),1,0),0)))</f>
        <v>0</v>
      </c>
      <c r="L1317" s="104" t="n">
        <f aca="false">L1316+K1317</f>
        <v>19</v>
      </c>
    </row>
    <row r="1318" customFormat="false" ht="15" hidden="true" customHeight="true" outlineLevel="0" collapsed="false">
      <c r="A1318" s="0" t="str">
        <f aca="false">IF(Evermont!$A120="","",Evermont!$A120)</f>
        <v/>
      </c>
      <c r="B1318" s="0" t="str">
        <f aca="false">IF($A1318="","",Evermont!$B120)</f>
        <v/>
      </c>
      <c r="C1318" s="0" t="str">
        <f aca="false">IF($A1318="","",Evermont!$C120)</f>
        <v/>
      </c>
      <c r="D1318" s="0" t="str">
        <f aca="false">IF($A1318="","","Nouvelle compétence")</f>
        <v/>
      </c>
      <c r="E1318" s="0" t="str">
        <f aca="false">IF($A1318="","",Evermont!$D120)</f>
        <v/>
      </c>
      <c r="F1318" s="116" t="str">
        <f aca="false">IF($A1318="","",Evermont!$F120)</f>
        <v/>
      </c>
      <c r="G1318" s="116" t="str">
        <f aca="false">IF($A1318="","",Evermont!$G120)</f>
        <v/>
      </c>
      <c r="H1318" s="0" t="str">
        <f aca="false">IF($A1318="","",Evermont!$K120)</f>
        <v/>
      </c>
      <c r="I1318" s="0" t="str">
        <f aca="false">IF($A1318="","",Evermont!$Q120)</f>
        <v/>
      </c>
      <c r="K1318" s="104" t="n">
        <f aca="false">IF(A1318="",0,IF(IFERROR(VLOOKUP(A1318,Skills!$A:$M,13,FALSE()),"")="COS",0,IF(OR(I1318="En cours",I1318="À venir",I1318="À planifier"),IF(AND(OR($C$3="Tous",$C$3="",C1318=$C$3),OR($E$3="Tous",$E$3="",I1318=$E$3)),1,0),0)))</f>
        <v>0</v>
      </c>
      <c r="L1318" s="104" t="n">
        <f aca="false">L1317+K1318</f>
        <v>19</v>
      </c>
    </row>
    <row r="1319" customFormat="false" ht="15" hidden="true" customHeight="true" outlineLevel="0" collapsed="false">
      <c r="A1319" s="0" t="str">
        <f aca="false">IF(Evermont!$A121="","",Evermont!$A121)</f>
        <v/>
      </c>
      <c r="B1319" s="0" t="str">
        <f aca="false">IF($A1319="","",Evermont!$B121)</f>
        <v/>
      </c>
      <c r="C1319" s="0" t="str">
        <f aca="false">IF($A1319="","",Evermont!$C121)</f>
        <v/>
      </c>
      <c r="D1319" s="0" t="str">
        <f aca="false">IF($A1319="","","Nouvelle compétence")</f>
        <v/>
      </c>
      <c r="E1319" s="0" t="str">
        <f aca="false">IF($A1319="","",Evermont!$D121)</f>
        <v/>
      </c>
      <c r="F1319" s="116" t="str">
        <f aca="false">IF($A1319="","",Evermont!$F121)</f>
        <v/>
      </c>
      <c r="G1319" s="116" t="str">
        <f aca="false">IF($A1319="","",Evermont!$G121)</f>
        <v/>
      </c>
      <c r="H1319" s="0" t="str">
        <f aca="false">IF($A1319="","",Evermont!$K121)</f>
        <v/>
      </c>
      <c r="I1319" s="0" t="str">
        <f aca="false">IF($A1319="","",Evermont!$Q121)</f>
        <v/>
      </c>
      <c r="K1319" s="104" t="n">
        <f aca="false">IF(A1319="",0,IF(IFERROR(VLOOKUP(A1319,Skills!$A:$M,13,FALSE()),"")="COS",0,IF(OR(I1319="En cours",I1319="À venir",I1319="À planifier"),IF(AND(OR($C$3="Tous",$C$3="",C1319=$C$3),OR($E$3="Tous",$E$3="",I1319=$E$3)),1,0),0)))</f>
        <v>0</v>
      </c>
      <c r="L1319" s="104" t="n">
        <f aca="false">L1318+K1319</f>
        <v>19</v>
      </c>
    </row>
    <row r="1320" customFormat="false" ht="15" hidden="true" customHeight="true" outlineLevel="0" collapsed="false">
      <c r="A1320" s="0" t="str">
        <f aca="false">IF(Evermont!$A122="","",Evermont!$A122)</f>
        <v/>
      </c>
      <c r="B1320" s="0" t="str">
        <f aca="false">IF($A1320="","",Evermont!$B122)</f>
        <v/>
      </c>
      <c r="C1320" s="0" t="str">
        <f aca="false">IF($A1320="","",Evermont!$C122)</f>
        <v/>
      </c>
      <c r="D1320" s="0" t="str">
        <f aca="false">IF($A1320="","","Nouvelle compétence")</f>
        <v/>
      </c>
      <c r="E1320" s="0" t="str">
        <f aca="false">IF($A1320="","",Evermont!$D122)</f>
        <v/>
      </c>
      <c r="F1320" s="116" t="str">
        <f aca="false">IF($A1320="","",Evermont!$F122)</f>
        <v/>
      </c>
      <c r="G1320" s="116" t="str">
        <f aca="false">IF($A1320="","",Evermont!$G122)</f>
        <v/>
      </c>
      <c r="H1320" s="0" t="str">
        <f aca="false">IF($A1320="","",Evermont!$K122)</f>
        <v/>
      </c>
      <c r="I1320" s="0" t="str">
        <f aca="false">IF($A1320="","",Evermont!$Q122)</f>
        <v/>
      </c>
      <c r="K1320" s="104" t="n">
        <f aca="false">IF(A1320="",0,IF(IFERROR(VLOOKUP(A1320,Skills!$A:$M,13,FALSE()),"")="COS",0,IF(OR(I1320="En cours",I1320="À venir",I1320="À planifier"),IF(AND(OR($C$3="Tous",$C$3="",C1320=$C$3),OR($E$3="Tous",$E$3="",I1320=$E$3)),1,0),0)))</f>
        <v>0</v>
      </c>
      <c r="L1320" s="104" t="n">
        <f aca="false">L1319+K1320</f>
        <v>19</v>
      </c>
    </row>
    <row r="1321" customFormat="false" ht="15" hidden="true" customHeight="true" outlineLevel="0" collapsed="false">
      <c r="A1321" s="0" t="str">
        <f aca="false">IF(Evermont!$A123="","",Evermont!$A123)</f>
        <v/>
      </c>
      <c r="B1321" s="0" t="str">
        <f aca="false">IF($A1321="","",Evermont!$B123)</f>
        <v/>
      </c>
      <c r="C1321" s="0" t="str">
        <f aca="false">IF($A1321="","",Evermont!$C123)</f>
        <v/>
      </c>
      <c r="D1321" s="0" t="str">
        <f aca="false">IF($A1321="","","Nouvelle compétence")</f>
        <v/>
      </c>
      <c r="E1321" s="0" t="str">
        <f aca="false">IF($A1321="","",Evermont!$D123)</f>
        <v/>
      </c>
      <c r="F1321" s="116" t="str">
        <f aca="false">IF($A1321="","",Evermont!$F123)</f>
        <v/>
      </c>
      <c r="G1321" s="116" t="str">
        <f aca="false">IF($A1321="","",Evermont!$G123)</f>
        <v/>
      </c>
      <c r="H1321" s="0" t="str">
        <f aca="false">IF($A1321="","",Evermont!$K123)</f>
        <v/>
      </c>
      <c r="I1321" s="0" t="str">
        <f aca="false">IF($A1321="","",Evermont!$Q123)</f>
        <v/>
      </c>
      <c r="K1321" s="104" t="n">
        <f aca="false">IF(A1321="",0,IF(IFERROR(VLOOKUP(A1321,Skills!$A:$M,13,FALSE()),"")="COS",0,IF(OR(I1321="En cours",I1321="À venir",I1321="À planifier"),IF(AND(OR($C$3="Tous",$C$3="",C1321=$C$3),OR($E$3="Tous",$E$3="",I1321=$E$3)),1,0),0)))</f>
        <v>0</v>
      </c>
      <c r="L1321" s="104" t="n">
        <f aca="false">L1320+K1321</f>
        <v>19</v>
      </c>
    </row>
    <row r="1322" customFormat="false" ht="15" hidden="true" customHeight="true" outlineLevel="0" collapsed="false">
      <c r="A1322" s="0" t="str">
        <f aca="false">IF(Evermont!$A124="","",Evermont!$A124)</f>
        <v/>
      </c>
      <c r="B1322" s="0" t="str">
        <f aca="false">IF($A1322="","",Evermont!$B124)</f>
        <v/>
      </c>
      <c r="C1322" s="0" t="str">
        <f aca="false">IF($A1322="","",Evermont!$C124)</f>
        <v/>
      </c>
      <c r="D1322" s="0" t="str">
        <f aca="false">IF($A1322="","","Nouvelle compétence")</f>
        <v/>
      </c>
      <c r="E1322" s="0" t="str">
        <f aca="false">IF($A1322="","",Evermont!$D124)</f>
        <v/>
      </c>
      <c r="F1322" s="116" t="str">
        <f aca="false">IF($A1322="","",Evermont!$F124)</f>
        <v/>
      </c>
      <c r="G1322" s="116" t="str">
        <f aca="false">IF($A1322="","",Evermont!$G124)</f>
        <v/>
      </c>
      <c r="H1322" s="0" t="str">
        <f aca="false">IF($A1322="","",Evermont!$K124)</f>
        <v/>
      </c>
      <c r="I1322" s="0" t="str">
        <f aca="false">IF($A1322="","",Evermont!$Q124)</f>
        <v/>
      </c>
      <c r="K1322" s="104" t="n">
        <f aca="false">IF(A1322="",0,IF(IFERROR(VLOOKUP(A1322,Skills!$A:$M,13,FALSE()),"")="COS",0,IF(OR(I1322="En cours",I1322="À venir",I1322="À planifier"),IF(AND(OR($C$3="Tous",$C$3="",C1322=$C$3),OR($E$3="Tous",$E$3="",I1322=$E$3)),1,0),0)))</f>
        <v>0</v>
      </c>
      <c r="L1322" s="104" t="n">
        <f aca="false">L1321+K1322</f>
        <v>19</v>
      </c>
    </row>
    <row r="1323" customFormat="false" ht="15" hidden="true" customHeight="true" outlineLevel="0" collapsed="false">
      <c r="A1323" s="0" t="str">
        <f aca="false">IF(Evermont!$A125="","",Evermont!$A125)</f>
        <v/>
      </c>
      <c r="B1323" s="0" t="str">
        <f aca="false">IF($A1323="","",Evermont!$B125)</f>
        <v/>
      </c>
      <c r="C1323" s="0" t="str">
        <f aca="false">IF($A1323="","",Evermont!$C125)</f>
        <v/>
      </c>
      <c r="D1323" s="0" t="str">
        <f aca="false">IF($A1323="","","Nouvelle compétence")</f>
        <v/>
      </c>
      <c r="E1323" s="0" t="str">
        <f aca="false">IF($A1323="","",Evermont!$D125)</f>
        <v/>
      </c>
      <c r="F1323" s="116" t="str">
        <f aca="false">IF($A1323="","",Evermont!$F125)</f>
        <v/>
      </c>
      <c r="G1323" s="116" t="str">
        <f aca="false">IF($A1323="","",Evermont!$G125)</f>
        <v/>
      </c>
      <c r="H1323" s="0" t="str">
        <f aca="false">IF($A1323="","",Evermont!$K125)</f>
        <v/>
      </c>
      <c r="I1323" s="0" t="str">
        <f aca="false">IF($A1323="","",Evermont!$Q125)</f>
        <v/>
      </c>
      <c r="K1323" s="104" t="n">
        <f aca="false">IF(A1323="",0,IF(IFERROR(VLOOKUP(A1323,Skills!$A:$M,13,FALSE()),"")="COS",0,IF(OR(I1323="En cours",I1323="À venir",I1323="À planifier"),IF(AND(OR($C$3="Tous",$C$3="",C1323=$C$3),OR($E$3="Tous",$E$3="",I1323=$E$3)),1,0),0)))</f>
        <v>0</v>
      </c>
      <c r="L1323" s="104" t="n">
        <f aca="false">L1322+K1323</f>
        <v>19</v>
      </c>
    </row>
    <row r="1324" customFormat="false" ht="15" hidden="true" customHeight="true" outlineLevel="0" collapsed="false">
      <c r="A1324" s="0" t="str">
        <f aca="false">IF(Evermont!$A126="","",Evermont!$A126)</f>
        <v/>
      </c>
      <c r="B1324" s="0" t="str">
        <f aca="false">IF($A1324="","",Evermont!$B126)</f>
        <v/>
      </c>
      <c r="C1324" s="0" t="str">
        <f aca="false">IF($A1324="","",Evermont!$C126)</f>
        <v/>
      </c>
      <c r="D1324" s="0" t="str">
        <f aca="false">IF($A1324="","","Nouvelle compétence")</f>
        <v/>
      </c>
      <c r="E1324" s="0" t="str">
        <f aca="false">IF($A1324="","",Evermont!$D126)</f>
        <v/>
      </c>
      <c r="F1324" s="116" t="str">
        <f aca="false">IF($A1324="","",Evermont!$F126)</f>
        <v/>
      </c>
      <c r="G1324" s="116" t="str">
        <f aca="false">IF($A1324="","",Evermont!$G126)</f>
        <v/>
      </c>
      <c r="H1324" s="0" t="str">
        <f aca="false">IF($A1324="","",Evermont!$K126)</f>
        <v/>
      </c>
      <c r="I1324" s="0" t="str">
        <f aca="false">IF($A1324="","",Evermont!$Q126)</f>
        <v/>
      </c>
      <c r="K1324" s="104" t="n">
        <f aca="false">IF(A1324="",0,IF(IFERROR(VLOOKUP(A1324,Skills!$A:$M,13,FALSE()),"")="COS",0,IF(OR(I1324="En cours",I1324="À venir",I1324="À planifier"),IF(AND(OR($C$3="Tous",$C$3="",C1324=$C$3),OR($E$3="Tous",$E$3="",I1324=$E$3)),1,0),0)))</f>
        <v>0</v>
      </c>
      <c r="L1324" s="104" t="n">
        <f aca="false">L1323+K1324</f>
        <v>19</v>
      </c>
    </row>
    <row r="1325" customFormat="false" ht="15" hidden="true" customHeight="true" outlineLevel="0" collapsed="false">
      <c r="A1325" s="0" t="str">
        <f aca="false">IF(Evermont!$A127="","",Evermont!$A127)</f>
        <v/>
      </c>
      <c r="B1325" s="0" t="str">
        <f aca="false">IF($A1325="","",Evermont!$B127)</f>
        <v/>
      </c>
      <c r="C1325" s="0" t="str">
        <f aca="false">IF($A1325="","",Evermont!$C127)</f>
        <v/>
      </c>
      <c r="D1325" s="0" t="str">
        <f aca="false">IF($A1325="","","Nouvelle compétence")</f>
        <v/>
      </c>
      <c r="E1325" s="0" t="str">
        <f aca="false">IF($A1325="","",Evermont!$D127)</f>
        <v/>
      </c>
      <c r="F1325" s="116" t="str">
        <f aca="false">IF($A1325="","",Evermont!$F127)</f>
        <v/>
      </c>
      <c r="G1325" s="116" t="str">
        <f aca="false">IF($A1325="","",Evermont!$G127)</f>
        <v/>
      </c>
      <c r="H1325" s="0" t="str">
        <f aca="false">IF($A1325="","",Evermont!$K127)</f>
        <v/>
      </c>
      <c r="I1325" s="0" t="str">
        <f aca="false">IF($A1325="","",Evermont!$Q127)</f>
        <v/>
      </c>
      <c r="K1325" s="104" t="n">
        <f aca="false">IF(A1325="",0,IF(IFERROR(VLOOKUP(A1325,Skills!$A:$M,13,FALSE()),"")="COS",0,IF(OR(I1325="En cours",I1325="À venir",I1325="À planifier"),IF(AND(OR($C$3="Tous",$C$3="",C1325=$C$3),OR($E$3="Tous",$E$3="",I1325=$E$3)),1,0),0)))</f>
        <v>0</v>
      </c>
      <c r="L1325" s="104" t="n">
        <f aca="false">L1324+K1325</f>
        <v>19</v>
      </c>
    </row>
    <row r="1326" customFormat="false" ht="15" hidden="true" customHeight="true" outlineLevel="0" collapsed="false">
      <c r="A1326" s="0" t="str">
        <f aca="false">IF(Evermont!$A128="","",Evermont!$A128)</f>
        <v/>
      </c>
      <c r="B1326" s="0" t="str">
        <f aca="false">IF($A1326="","",Evermont!$B128)</f>
        <v/>
      </c>
      <c r="C1326" s="0" t="str">
        <f aca="false">IF($A1326="","",Evermont!$C128)</f>
        <v/>
      </c>
      <c r="D1326" s="0" t="str">
        <f aca="false">IF($A1326="","","Nouvelle compétence")</f>
        <v/>
      </c>
      <c r="E1326" s="0" t="str">
        <f aca="false">IF($A1326="","",Evermont!$D128)</f>
        <v/>
      </c>
      <c r="F1326" s="116" t="str">
        <f aca="false">IF($A1326="","",Evermont!$F128)</f>
        <v/>
      </c>
      <c r="G1326" s="116" t="str">
        <f aca="false">IF($A1326="","",Evermont!$G128)</f>
        <v/>
      </c>
      <c r="H1326" s="0" t="str">
        <f aca="false">IF($A1326="","",Evermont!$K128)</f>
        <v/>
      </c>
      <c r="I1326" s="0" t="str">
        <f aca="false">IF($A1326="","",Evermont!$Q128)</f>
        <v/>
      </c>
      <c r="K1326" s="104" t="n">
        <f aca="false">IF(A1326="",0,IF(IFERROR(VLOOKUP(A1326,Skills!$A:$M,13,FALSE()),"")="COS",0,IF(OR(I1326="En cours",I1326="À venir",I1326="À planifier"),IF(AND(OR($C$3="Tous",$C$3="",C1326=$C$3),OR($E$3="Tous",$E$3="",I1326=$E$3)),1,0),0)))</f>
        <v>0</v>
      </c>
      <c r="L1326" s="104" t="n">
        <f aca="false">L1325+K1326</f>
        <v>19</v>
      </c>
    </row>
    <row r="1327" customFormat="false" ht="15" hidden="true" customHeight="true" outlineLevel="0" collapsed="false">
      <c r="A1327" s="0" t="str">
        <f aca="false">IF(Evermont!$A129="","",Evermont!$A129)</f>
        <v/>
      </c>
      <c r="B1327" s="0" t="str">
        <f aca="false">IF($A1327="","",Evermont!$B129)</f>
        <v/>
      </c>
      <c r="C1327" s="0" t="str">
        <f aca="false">IF($A1327="","",Evermont!$C129)</f>
        <v/>
      </c>
      <c r="D1327" s="0" t="str">
        <f aca="false">IF($A1327="","","Nouvelle compétence")</f>
        <v/>
      </c>
      <c r="E1327" s="0" t="str">
        <f aca="false">IF($A1327="","",Evermont!$D129)</f>
        <v/>
      </c>
      <c r="F1327" s="116" t="str">
        <f aca="false">IF($A1327="","",Evermont!$F129)</f>
        <v/>
      </c>
      <c r="G1327" s="116" t="str">
        <f aca="false">IF($A1327="","",Evermont!$G129)</f>
        <v/>
      </c>
      <c r="H1327" s="0" t="str">
        <f aca="false">IF($A1327="","",Evermont!$K129)</f>
        <v/>
      </c>
      <c r="I1327" s="0" t="str">
        <f aca="false">IF($A1327="","",Evermont!$Q129)</f>
        <v/>
      </c>
      <c r="K1327" s="104" t="n">
        <f aca="false">IF(A1327="",0,IF(IFERROR(VLOOKUP(A1327,Skills!$A:$M,13,FALSE()),"")="COS",0,IF(OR(I1327="En cours",I1327="À venir",I1327="À planifier"),IF(AND(OR($C$3="Tous",$C$3="",C1327=$C$3),OR($E$3="Tous",$E$3="",I1327=$E$3)),1,0),0)))</f>
        <v>0</v>
      </c>
      <c r="L1327" s="104" t="n">
        <f aca="false">L1326+K1327</f>
        <v>19</v>
      </c>
    </row>
    <row r="1328" customFormat="false" ht="15" hidden="true" customHeight="true" outlineLevel="0" collapsed="false">
      <c r="A1328" s="0" t="str">
        <f aca="false">IF(Evermont!$A130="","",Evermont!$A130)</f>
        <v/>
      </c>
      <c r="B1328" s="0" t="str">
        <f aca="false">IF($A1328="","",Evermont!$B130)</f>
        <v/>
      </c>
      <c r="C1328" s="0" t="str">
        <f aca="false">IF($A1328="","",Evermont!$C130)</f>
        <v/>
      </c>
      <c r="D1328" s="0" t="str">
        <f aca="false">IF($A1328="","","Nouvelle compétence")</f>
        <v/>
      </c>
      <c r="E1328" s="0" t="str">
        <f aca="false">IF($A1328="","",Evermont!$D130)</f>
        <v/>
      </c>
      <c r="F1328" s="116" t="str">
        <f aca="false">IF($A1328="","",Evermont!$F130)</f>
        <v/>
      </c>
      <c r="G1328" s="116" t="str">
        <f aca="false">IF($A1328="","",Evermont!$G130)</f>
        <v/>
      </c>
      <c r="H1328" s="0" t="str">
        <f aca="false">IF($A1328="","",Evermont!$K130)</f>
        <v/>
      </c>
      <c r="I1328" s="0" t="str">
        <f aca="false">IF($A1328="","",Evermont!$Q130)</f>
        <v/>
      </c>
      <c r="K1328" s="104" t="n">
        <f aca="false">IF(A1328="",0,IF(IFERROR(VLOOKUP(A1328,Skills!$A:$M,13,FALSE()),"")="COS",0,IF(OR(I1328="En cours",I1328="À venir",I1328="À planifier"),IF(AND(OR($C$3="Tous",$C$3="",C1328=$C$3),OR($E$3="Tous",$E$3="",I1328=$E$3)),1,0),0)))</f>
        <v>0</v>
      </c>
      <c r="L1328" s="104" t="n">
        <f aca="false">L1327+K1328</f>
        <v>19</v>
      </c>
    </row>
    <row r="1329" customFormat="false" ht="15" hidden="true" customHeight="true" outlineLevel="0" collapsed="false">
      <c r="A1329" s="0" t="str">
        <f aca="false">IF(Evermont!$A131="","",Evermont!$A131)</f>
        <v/>
      </c>
      <c r="B1329" s="0" t="str">
        <f aca="false">IF($A1329="","",Evermont!$B131)</f>
        <v/>
      </c>
      <c r="C1329" s="0" t="str">
        <f aca="false">IF($A1329="","",Evermont!$C131)</f>
        <v/>
      </c>
      <c r="D1329" s="0" t="str">
        <f aca="false">IF($A1329="","","Nouvelle compétence")</f>
        <v/>
      </c>
      <c r="E1329" s="0" t="str">
        <f aca="false">IF($A1329="","",Evermont!$D131)</f>
        <v/>
      </c>
      <c r="F1329" s="116" t="str">
        <f aca="false">IF($A1329="","",Evermont!$F131)</f>
        <v/>
      </c>
      <c r="G1329" s="116" t="str">
        <f aca="false">IF($A1329="","",Evermont!$G131)</f>
        <v/>
      </c>
      <c r="H1329" s="0" t="str">
        <f aca="false">IF($A1329="","",Evermont!$K131)</f>
        <v/>
      </c>
      <c r="I1329" s="0" t="str">
        <f aca="false">IF($A1329="","",Evermont!$Q131)</f>
        <v/>
      </c>
      <c r="K1329" s="104" t="n">
        <f aca="false">IF(A1329="",0,IF(IFERROR(VLOOKUP(A1329,Skills!$A:$M,13,FALSE()),"")="COS",0,IF(OR(I1329="En cours",I1329="À venir",I1329="À planifier"),IF(AND(OR($C$3="Tous",$C$3="",C1329=$C$3),OR($E$3="Tous",$E$3="",I1329=$E$3)),1,0),0)))</f>
        <v>0</v>
      </c>
      <c r="L1329" s="104" t="n">
        <f aca="false">L1328+K1329</f>
        <v>19</v>
      </c>
    </row>
    <row r="1330" customFormat="false" ht="15" hidden="true" customHeight="true" outlineLevel="0" collapsed="false">
      <c r="A1330" s="0" t="str">
        <f aca="false">IF(Evermont!$A132="","",Evermont!$A132)</f>
        <v/>
      </c>
      <c r="B1330" s="0" t="str">
        <f aca="false">IF($A1330="","",Evermont!$B132)</f>
        <v/>
      </c>
      <c r="C1330" s="0" t="str">
        <f aca="false">IF($A1330="","",Evermont!$C132)</f>
        <v/>
      </c>
      <c r="D1330" s="0" t="str">
        <f aca="false">IF($A1330="","","Nouvelle compétence")</f>
        <v/>
      </c>
      <c r="E1330" s="0" t="str">
        <f aca="false">IF($A1330="","",Evermont!$D132)</f>
        <v/>
      </c>
      <c r="F1330" s="116" t="str">
        <f aca="false">IF($A1330="","",Evermont!$F132)</f>
        <v/>
      </c>
      <c r="G1330" s="116" t="str">
        <f aca="false">IF($A1330="","",Evermont!$G132)</f>
        <v/>
      </c>
      <c r="H1330" s="0" t="str">
        <f aca="false">IF($A1330="","",Evermont!$K132)</f>
        <v/>
      </c>
      <c r="I1330" s="0" t="str">
        <f aca="false">IF($A1330="","",Evermont!$Q132)</f>
        <v/>
      </c>
      <c r="K1330" s="104" t="n">
        <f aca="false">IF(A1330="",0,IF(IFERROR(VLOOKUP(A1330,Skills!$A:$M,13,FALSE()),"")="COS",0,IF(OR(I1330="En cours",I1330="À venir",I1330="À planifier"),IF(AND(OR($C$3="Tous",$C$3="",C1330=$C$3),OR($E$3="Tous",$E$3="",I1330=$E$3)),1,0),0)))</f>
        <v>0</v>
      </c>
      <c r="L1330" s="104" t="n">
        <f aca="false">L1329+K1330</f>
        <v>19</v>
      </c>
    </row>
    <row r="1331" customFormat="false" ht="15" hidden="true" customHeight="true" outlineLevel="0" collapsed="false">
      <c r="A1331" s="0" t="str">
        <f aca="false">IF(Evermont!$A133="","",Evermont!$A133)</f>
        <v/>
      </c>
      <c r="B1331" s="0" t="str">
        <f aca="false">IF($A1331="","",Evermont!$B133)</f>
        <v/>
      </c>
      <c r="C1331" s="0" t="str">
        <f aca="false">IF($A1331="","",Evermont!$C133)</f>
        <v/>
      </c>
      <c r="D1331" s="0" t="str">
        <f aca="false">IF($A1331="","","Nouvelle compétence")</f>
        <v/>
      </c>
      <c r="E1331" s="0" t="str">
        <f aca="false">IF($A1331="","",Evermont!$D133)</f>
        <v/>
      </c>
      <c r="F1331" s="116" t="str">
        <f aca="false">IF($A1331="","",Evermont!$F133)</f>
        <v/>
      </c>
      <c r="G1331" s="116" t="str">
        <f aca="false">IF($A1331="","",Evermont!$G133)</f>
        <v/>
      </c>
      <c r="H1331" s="0" t="str">
        <f aca="false">IF($A1331="","",Evermont!$K133)</f>
        <v/>
      </c>
      <c r="I1331" s="0" t="str">
        <f aca="false">IF($A1331="","",Evermont!$Q133)</f>
        <v/>
      </c>
      <c r="K1331" s="104" t="n">
        <f aca="false">IF(A1331="",0,IF(IFERROR(VLOOKUP(A1331,Skills!$A:$M,13,FALSE()),"")="COS",0,IF(OR(I1331="En cours",I1331="À venir",I1331="À planifier"),IF(AND(OR($C$3="Tous",$C$3="",C1331=$C$3),OR($E$3="Tous",$E$3="",I1331=$E$3)),1,0),0)))</f>
        <v>0</v>
      </c>
      <c r="L1331" s="104" t="n">
        <f aca="false">L1330+K1331</f>
        <v>19</v>
      </c>
    </row>
    <row r="1332" customFormat="false" ht="15" hidden="true" customHeight="true" outlineLevel="0" collapsed="false">
      <c r="A1332" s="0" t="str">
        <f aca="false">IF(Evermont!$A134="","",Evermont!$A134)</f>
        <v/>
      </c>
      <c r="B1332" s="0" t="str">
        <f aca="false">IF($A1332="","",Evermont!$B134)</f>
        <v/>
      </c>
      <c r="C1332" s="0" t="str">
        <f aca="false">IF($A1332="","",Evermont!$C134)</f>
        <v/>
      </c>
      <c r="D1332" s="0" t="str">
        <f aca="false">IF($A1332="","","Nouvelle compétence")</f>
        <v/>
      </c>
      <c r="E1332" s="0" t="str">
        <f aca="false">IF($A1332="","",Evermont!$D134)</f>
        <v/>
      </c>
      <c r="F1332" s="116" t="str">
        <f aca="false">IF($A1332="","",Evermont!$F134)</f>
        <v/>
      </c>
      <c r="G1332" s="116" t="str">
        <f aca="false">IF($A1332="","",Evermont!$G134)</f>
        <v/>
      </c>
      <c r="H1332" s="0" t="str">
        <f aca="false">IF($A1332="","",Evermont!$K134)</f>
        <v/>
      </c>
      <c r="I1332" s="0" t="str">
        <f aca="false">IF($A1332="","",Evermont!$Q134)</f>
        <v/>
      </c>
      <c r="K1332" s="104" t="n">
        <f aca="false">IF(A1332="",0,IF(IFERROR(VLOOKUP(A1332,Skills!$A:$M,13,FALSE()),"")="COS",0,IF(OR(I1332="En cours",I1332="À venir",I1332="À planifier"),IF(AND(OR($C$3="Tous",$C$3="",C1332=$C$3),OR($E$3="Tous",$E$3="",I1332=$E$3)),1,0),0)))</f>
        <v>0</v>
      </c>
      <c r="L1332" s="104" t="n">
        <f aca="false">L1331+K1332</f>
        <v>19</v>
      </c>
    </row>
    <row r="1333" customFormat="false" ht="15" hidden="true" customHeight="true" outlineLevel="0" collapsed="false">
      <c r="A1333" s="0" t="str">
        <f aca="false">IF(Evermont!$A135="","",Evermont!$A135)</f>
        <v/>
      </c>
      <c r="B1333" s="0" t="str">
        <f aca="false">IF($A1333="","",Evermont!$B135)</f>
        <v/>
      </c>
      <c r="C1333" s="0" t="str">
        <f aca="false">IF($A1333="","",Evermont!$C135)</f>
        <v/>
      </c>
      <c r="D1333" s="0" t="str">
        <f aca="false">IF($A1333="","","Nouvelle compétence")</f>
        <v/>
      </c>
      <c r="E1333" s="0" t="str">
        <f aca="false">IF($A1333="","",Evermont!$D135)</f>
        <v/>
      </c>
      <c r="F1333" s="116" t="str">
        <f aca="false">IF($A1333="","",Evermont!$F135)</f>
        <v/>
      </c>
      <c r="G1333" s="116" t="str">
        <f aca="false">IF($A1333="","",Evermont!$G135)</f>
        <v/>
      </c>
      <c r="H1333" s="0" t="str">
        <f aca="false">IF($A1333="","",Evermont!$K135)</f>
        <v/>
      </c>
      <c r="I1333" s="0" t="str">
        <f aca="false">IF($A1333="","",Evermont!$Q135)</f>
        <v/>
      </c>
      <c r="K1333" s="104" t="n">
        <f aca="false">IF(A1333="",0,IF(IFERROR(VLOOKUP(A1333,Skills!$A:$M,13,FALSE()),"")="COS",0,IF(OR(I1333="En cours",I1333="À venir",I1333="À planifier"),IF(AND(OR($C$3="Tous",$C$3="",C1333=$C$3),OR($E$3="Tous",$E$3="",I1333=$E$3)),1,0),0)))</f>
        <v>0</v>
      </c>
      <c r="L1333" s="104" t="n">
        <f aca="false">L1332+K1333</f>
        <v>19</v>
      </c>
    </row>
    <row r="1334" customFormat="false" ht="15" hidden="true" customHeight="true" outlineLevel="0" collapsed="false">
      <c r="A1334" s="0" t="str">
        <f aca="false">IF(Evermont!$A136="","",Evermont!$A136)</f>
        <v/>
      </c>
      <c r="B1334" s="0" t="str">
        <f aca="false">IF($A1334="","",Evermont!$B136)</f>
        <v/>
      </c>
      <c r="C1334" s="0" t="str">
        <f aca="false">IF($A1334="","",Evermont!$C136)</f>
        <v/>
      </c>
      <c r="D1334" s="0" t="str">
        <f aca="false">IF($A1334="","","Nouvelle compétence")</f>
        <v/>
      </c>
      <c r="E1334" s="0" t="str">
        <f aca="false">IF($A1334="","",Evermont!$D136)</f>
        <v/>
      </c>
      <c r="F1334" s="116" t="str">
        <f aca="false">IF($A1334="","",Evermont!$F136)</f>
        <v/>
      </c>
      <c r="G1334" s="116" t="str">
        <f aca="false">IF($A1334="","",Evermont!$G136)</f>
        <v/>
      </c>
      <c r="H1334" s="0" t="str">
        <f aca="false">IF($A1334="","",Evermont!$K136)</f>
        <v/>
      </c>
      <c r="I1334" s="0" t="str">
        <f aca="false">IF($A1334="","",Evermont!$Q136)</f>
        <v/>
      </c>
      <c r="K1334" s="104" t="n">
        <f aca="false">IF(A1334="",0,IF(IFERROR(VLOOKUP(A1334,Skills!$A:$M,13,FALSE()),"")="COS",0,IF(OR(I1334="En cours",I1334="À venir",I1334="À planifier"),IF(AND(OR($C$3="Tous",$C$3="",C1334=$C$3),OR($E$3="Tous",$E$3="",I1334=$E$3)),1,0),0)))</f>
        <v>0</v>
      </c>
      <c r="L1334" s="104" t="n">
        <f aca="false">L1333+K1334</f>
        <v>19</v>
      </c>
    </row>
    <row r="1335" customFormat="false" ht="15" hidden="true" customHeight="true" outlineLevel="0" collapsed="false">
      <c r="A1335" s="0" t="str">
        <f aca="false">IF(Evermont!$A137="","",Evermont!$A137)</f>
        <v/>
      </c>
      <c r="B1335" s="0" t="str">
        <f aca="false">IF($A1335="","",Evermont!$B137)</f>
        <v/>
      </c>
      <c r="C1335" s="0" t="str">
        <f aca="false">IF($A1335="","",Evermont!$C137)</f>
        <v/>
      </c>
      <c r="D1335" s="0" t="str">
        <f aca="false">IF($A1335="","","Nouvelle compétence")</f>
        <v/>
      </c>
      <c r="E1335" s="0" t="str">
        <f aca="false">IF($A1335="","",Evermont!$D137)</f>
        <v/>
      </c>
      <c r="F1335" s="116" t="str">
        <f aca="false">IF($A1335="","",Evermont!$F137)</f>
        <v/>
      </c>
      <c r="G1335" s="116" t="str">
        <f aca="false">IF($A1335="","",Evermont!$G137)</f>
        <v/>
      </c>
      <c r="H1335" s="0" t="str">
        <f aca="false">IF($A1335="","",Evermont!$K137)</f>
        <v/>
      </c>
      <c r="I1335" s="0" t="str">
        <f aca="false">IF($A1335="","",Evermont!$Q137)</f>
        <v/>
      </c>
      <c r="K1335" s="104" t="n">
        <f aca="false">IF(A1335="",0,IF(IFERROR(VLOOKUP(A1335,Skills!$A:$M,13,FALSE()),"")="COS",0,IF(OR(I1335="En cours",I1335="À venir",I1335="À planifier"),IF(AND(OR($C$3="Tous",$C$3="",C1335=$C$3),OR($E$3="Tous",$E$3="",I1335=$E$3)),1,0),0)))</f>
        <v>0</v>
      </c>
      <c r="L1335" s="104" t="n">
        <f aca="false">L1334+K1335</f>
        <v>19</v>
      </c>
    </row>
    <row r="1336" customFormat="false" ht="15" hidden="true" customHeight="true" outlineLevel="0" collapsed="false">
      <c r="A1336" s="0" t="str">
        <f aca="false">IF(Evermont!$A138="","",Evermont!$A138)</f>
        <v/>
      </c>
      <c r="B1336" s="0" t="str">
        <f aca="false">IF($A1336="","",Evermont!$B138)</f>
        <v/>
      </c>
      <c r="C1336" s="0" t="str">
        <f aca="false">IF($A1336="","",Evermont!$C138)</f>
        <v/>
      </c>
      <c r="D1336" s="0" t="str">
        <f aca="false">IF($A1336="","","Nouvelle compétence")</f>
        <v/>
      </c>
      <c r="E1336" s="0" t="str">
        <f aca="false">IF($A1336="","",Evermont!$D138)</f>
        <v/>
      </c>
      <c r="F1336" s="116" t="str">
        <f aca="false">IF($A1336="","",Evermont!$F138)</f>
        <v/>
      </c>
      <c r="G1336" s="116" t="str">
        <f aca="false">IF($A1336="","",Evermont!$G138)</f>
        <v/>
      </c>
      <c r="H1336" s="0" t="str">
        <f aca="false">IF($A1336="","",Evermont!$K138)</f>
        <v/>
      </c>
      <c r="I1336" s="0" t="str">
        <f aca="false">IF($A1336="","",Evermont!$Q138)</f>
        <v/>
      </c>
      <c r="K1336" s="104" t="n">
        <f aca="false">IF(A1336="",0,IF(IFERROR(VLOOKUP(A1336,Skills!$A:$M,13,FALSE()),"")="COS",0,IF(OR(I1336="En cours",I1336="À venir",I1336="À planifier"),IF(AND(OR($C$3="Tous",$C$3="",C1336=$C$3),OR($E$3="Tous",$E$3="",I1336=$E$3)),1,0),0)))</f>
        <v>0</v>
      </c>
      <c r="L1336" s="104" t="n">
        <f aca="false">L1335+K1336</f>
        <v>19</v>
      </c>
    </row>
    <row r="1337" customFormat="false" ht="15" hidden="true" customHeight="true" outlineLevel="0" collapsed="false">
      <c r="A1337" s="0" t="str">
        <f aca="false">IF(Evermont!$A139="","",Evermont!$A139)</f>
        <v/>
      </c>
      <c r="B1337" s="0" t="str">
        <f aca="false">IF($A1337="","",Evermont!$B139)</f>
        <v/>
      </c>
      <c r="C1337" s="0" t="str">
        <f aca="false">IF($A1337="","",Evermont!$C139)</f>
        <v/>
      </c>
      <c r="D1337" s="0" t="str">
        <f aca="false">IF($A1337="","","Nouvelle compétence")</f>
        <v/>
      </c>
      <c r="E1337" s="0" t="str">
        <f aca="false">IF($A1337="","",Evermont!$D139)</f>
        <v/>
      </c>
      <c r="F1337" s="116" t="str">
        <f aca="false">IF($A1337="","",Evermont!$F139)</f>
        <v/>
      </c>
      <c r="G1337" s="116" t="str">
        <f aca="false">IF($A1337="","",Evermont!$G139)</f>
        <v/>
      </c>
      <c r="H1337" s="0" t="str">
        <f aca="false">IF($A1337="","",Evermont!$K139)</f>
        <v/>
      </c>
      <c r="I1337" s="0" t="str">
        <f aca="false">IF($A1337="","",Evermont!$Q139)</f>
        <v/>
      </c>
      <c r="K1337" s="104" t="n">
        <f aca="false">IF(A1337="",0,IF(IFERROR(VLOOKUP(A1337,Skills!$A:$M,13,FALSE()),"")="COS",0,IF(OR(I1337="En cours",I1337="À venir",I1337="À planifier"),IF(AND(OR($C$3="Tous",$C$3="",C1337=$C$3),OR($E$3="Tous",$E$3="",I1337=$E$3)),1,0),0)))</f>
        <v>0</v>
      </c>
      <c r="L1337" s="104" t="n">
        <f aca="false">L1336+K1337</f>
        <v>19</v>
      </c>
    </row>
    <row r="1338" customFormat="false" ht="15" hidden="true" customHeight="true" outlineLevel="0" collapsed="false">
      <c r="A1338" s="0" t="str">
        <f aca="false">IF(Evermont!$A140="","",Evermont!$A140)</f>
        <v/>
      </c>
      <c r="B1338" s="0" t="str">
        <f aca="false">IF($A1338="","",Evermont!$B140)</f>
        <v/>
      </c>
      <c r="C1338" s="0" t="str">
        <f aca="false">IF($A1338="","",Evermont!$C140)</f>
        <v/>
      </c>
      <c r="D1338" s="0" t="str">
        <f aca="false">IF($A1338="","","Nouvelle compétence")</f>
        <v/>
      </c>
      <c r="E1338" s="0" t="str">
        <f aca="false">IF($A1338="","",Evermont!$D140)</f>
        <v/>
      </c>
      <c r="F1338" s="116" t="str">
        <f aca="false">IF($A1338="","",Evermont!$F140)</f>
        <v/>
      </c>
      <c r="G1338" s="116" t="str">
        <f aca="false">IF($A1338="","",Evermont!$G140)</f>
        <v/>
      </c>
      <c r="H1338" s="0" t="str">
        <f aca="false">IF($A1338="","",Evermont!$K140)</f>
        <v/>
      </c>
      <c r="I1338" s="0" t="str">
        <f aca="false">IF($A1338="","",Evermont!$Q140)</f>
        <v/>
      </c>
      <c r="K1338" s="104" t="n">
        <f aca="false">IF(A1338="",0,IF(IFERROR(VLOOKUP(A1338,Skills!$A:$M,13,FALSE()),"")="COS",0,IF(OR(I1338="En cours",I1338="À venir",I1338="À planifier"),IF(AND(OR($C$3="Tous",$C$3="",C1338=$C$3),OR($E$3="Tous",$E$3="",I1338=$E$3)),1,0),0)))</f>
        <v>0</v>
      </c>
      <c r="L1338" s="104" t="n">
        <f aca="false">L1337+K1338</f>
        <v>19</v>
      </c>
    </row>
    <row r="1339" customFormat="false" ht="15" hidden="true" customHeight="true" outlineLevel="0" collapsed="false">
      <c r="A1339" s="0" t="str">
        <f aca="false">IF(Evermont!$A141="","",Evermont!$A141)</f>
        <v/>
      </c>
      <c r="B1339" s="0" t="str">
        <f aca="false">IF($A1339="","",Evermont!$B141)</f>
        <v/>
      </c>
      <c r="C1339" s="0" t="str">
        <f aca="false">IF($A1339="","",Evermont!$C141)</f>
        <v/>
      </c>
      <c r="D1339" s="0" t="str">
        <f aca="false">IF($A1339="","","Nouvelle compétence")</f>
        <v/>
      </c>
      <c r="E1339" s="0" t="str">
        <f aca="false">IF($A1339="","",Evermont!$D141)</f>
        <v/>
      </c>
      <c r="F1339" s="116" t="str">
        <f aca="false">IF($A1339="","",Evermont!$F141)</f>
        <v/>
      </c>
      <c r="G1339" s="116" t="str">
        <f aca="false">IF($A1339="","",Evermont!$G141)</f>
        <v/>
      </c>
      <c r="H1339" s="0" t="str">
        <f aca="false">IF($A1339="","",Evermont!$K141)</f>
        <v/>
      </c>
      <c r="I1339" s="0" t="str">
        <f aca="false">IF($A1339="","",Evermont!$Q141)</f>
        <v/>
      </c>
      <c r="K1339" s="104" t="n">
        <f aca="false">IF(A1339="",0,IF(IFERROR(VLOOKUP(A1339,Skills!$A:$M,13,FALSE()),"")="COS",0,IF(OR(I1339="En cours",I1339="À venir",I1339="À planifier"),IF(AND(OR($C$3="Tous",$C$3="",C1339=$C$3),OR($E$3="Tous",$E$3="",I1339=$E$3)),1,0),0)))</f>
        <v>0</v>
      </c>
      <c r="L1339" s="104" t="n">
        <f aca="false">L1338+K1339</f>
        <v>19</v>
      </c>
    </row>
    <row r="1340" customFormat="false" ht="15" hidden="true" customHeight="true" outlineLevel="0" collapsed="false">
      <c r="A1340" s="0" t="str">
        <f aca="false">IF(Evermont!$A142="","",Evermont!$A142)</f>
        <v/>
      </c>
      <c r="B1340" s="0" t="str">
        <f aca="false">IF($A1340="","",Evermont!$B142)</f>
        <v/>
      </c>
      <c r="C1340" s="0" t="str">
        <f aca="false">IF($A1340="","",Evermont!$C142)</f>
        <v/>
      </c>
      <c r="D1340" s="0" t="str">
        <f aca="false">IF($A1340="","","Nouvelle compétence")</f>
        <v/>
      </c>
      <c r="E1340" s="0" t="str">
        <f aca="false">IF($A1340="","",Evermont!$D142)</f>
        <v/>
      </c>
      <c r="F1340" s="116" t="str">
        <f aca="false">IF($A1340="","",Evermont!$F142)</f>
        <v/>
      </c>
      <c r="G1340" s="116" t="str">
        <f aca="false">IF($A1340="","",Evermont!$G142)</f>
        <v/>
      </c>
      <c r="H1340" s="0" t="str">
        <f aca="false">IF($A1340="","",Evermont!$K142)</f>
        <v/>
      </c>
      <c r="I1340" s="0" t="str">
        <f aca="false">IF($A1340="","",Evermont!$Q142)</f>
        <v/>
      </c>
      <c r="K1340" s="104" t="n">
        <f aca="false">IF(A1340="",0,IF(IFERROR(VLOOKUP(A1340,Skills!$A:$M,13,FALSE()),"")="COS",0,IF(OR(I1340="En cours",I1340="À venir",I1340="À planifier"),IF(AND(OR($C$3="Tous",$C$3="",C1340=$C$3),OR($E$3="Tous",$E$3="",I1340=$E$3)),1,0),0)))</f>
        <v>0</v>
      </c>
      <c r="L1340" s="104" t="n">
        <f aca="false">L1339+K1340</f>
        <v>19</v>
      </c>
    </row>
    <row r="1341" customFormat="false" ht="15" hidden="true" customHeight="true" outlineLevel="0" collapsed="false">
      <c r="A1341" s="0" t="str">
        <f aca="false">IF(Evermont!$A143="","",Evermont!$A143)</f>
        <v/>
      </c>
      <c r="B1341" s="0" t="str">
        <f aca="false">IF($A1341="","",Evermont!$B143)</f>
        <v/>
      </c>
      <c r="C1341" s="0" t="str">
        <f aca="false">IF($A1341="","",Evermont!$C143)</f>
        <v/>
      </c>
      <c r="D1341" s="0" t="str">
        <f aca="false">IF($A1341="","","Nouvelle compétence")</f>
        <v/>
      </c>
      <c r="E1341" s="0" t="str">
        <f aca="false">IF($A1341="","",Evermont!$D143)</f>
        <v/>
      </c>
      <c r="F1341" s="116" t="str">
        <f aca="false">IF($A1341="","",Evermont!$F143)</f>
        <v/>
      </c>
      <c r="G1341" s="116" t="str">
        <f aca="false">IF($A1341="","",Evermont!$G143)</f>
        <v/>
      </c>
      <c r="H1341" s="0" t="str">
        <f aca="false">IF($A1341="","",Evermont!$K143)</f>
        <v/>
      </c>
      <c r="I1341" s="0" t="str">
        <f aca="false">IF($A1341="","",Evermont!$Q143)</f>
        <v/>
      </c>
      <c r="K1341" s="104" t="n">
        <f aca="false">IF(A1341="",0,IF(IFERROR(VLOOKUP(A1341,Skills!$A:$M,13,FALSE()),"")="COS",0,IF(OR(I1341="En cours",I1341="À venir",I1341="À planifier"),IF(AND(OR($C$3="Tous",$C$3="",C1341=$C$3),OR($E$3="Tous",$E$3="",I1341=$E$3)),1,0),0)))</f>
        <v>0</v>
      </c>
      <c r="L1341" s="104" t="n">
        <f aca="false">L1340+K1341</f>
        <v>19</v>
      </c>
    </row>
    <row r="1342" customFormat="false" ht="15" hidden="true" customHeight="true" outlineLevel="0" collapsed="false">
      <c r="A1342" s="0" t="str">
        <f aca="false">IF(Evermont!$A144="","",Evermont!$A144)</f>
        <v/>
      </c>
      <c r="B1342" s="0" t="str">
        <f aca="false">IF($A1342="","",Evermont!$B144)</f>
        <v/>
      </c>
      <c r="C1342" s="0" t="str">
        <f aca="false">IF($A1342="","",Evermont!$C144)</f>
        <v/>
      </c>
      <c r="D1342" s="0" t="str">
        <f aca="false">IF($A1342="","","Nouvelle compétence")</f>
        <v/>
      </c>
      <c r="E1342" s="0" t="str">
        <f aca="false">IF($A1342="","",Evermont!$D144)</f>
        <v/>
      </c>
      <c r="F1342" s="116" t="str">
        <f aca="false">IF($A1342="","",Evermont!$F144)</f>
        <v/>
      </c>
      <c r="G1342" s="116" t="str">
        <f aca="false">IF($A1342="","",Evermont!$G144)</f>
        <v/>
      </c>
      <c r="H1342" s="0" t="str">
        <f aca="false">IF($A1342="","",Evermont!$K144)</f>
        <v/>
      </c>
      <c r="I1342" s="0" t="str">
        <f aca="false">IF($A1342="","",Evermont!$Q144)</f>
        <v/>
      </c>
      <c r="K1342" s="104" t="n">
        <f aca="false">IF(A1342="",0,IF(IFERROR(VLOOKUP(A1342,Skills!$A:$M,13,FALSE()),"")="COS",0,IF(OR(I1342="En cours",I1342="À venir",I1342="À planifier"),IF(AND(OR($C$3="Tous",$C$3="",C1342=$C$3),OR($E$3="Tous",$E$3="",I1342=$E$3)),1,0),0)))</f>
        <v>0</v>
      </c>
      <c r="L1342" s="104" t="n">
        <f aca="false">L1341+K1342</f>
        <v>19</v>
      </c>
    </row>
    <row r="1343" customFormat="false" ht="15" hidden="true" customHeight="true" outlineLevel="0" collapsed="false">
      <c r="A1343" s="0" t="str">
        <f aca="false">IF(Evermont!$A145="","",Evermont!$A145)</f>
        <v/>
      </c>
      <c r="B1343" s="0" t="str">
        <f aca="false">IF($A1343="","",Evermont!$B145)</f>
        <v/>
      </c>
      <c r="C1343" s="0" t="str">
        <f aca="false">IF($A1343="","",Evermont!$C145)</f>
        <v/>
      </c>
      <c r="D1343" s="0" t="str">
        <f aca="false">IF($A1343="","","Nouvelle compétence")</f>
        <v/>
      </c>
      <c r="E1343" s="0" t="str">
        <f aca="false">IF($A1343="","",Evermont!$D145)</f>
        <v/>
      </c>
      <c r="F1343" s="116" t="str">
        <f aca="false">IF($A1343="","",Evermont!$F145)</f>
        <v/>
      </c>
      <c r="G1343" s="116" t="str">
        <f aca="false">IF($A1343="","",Evermont!$G145)</f>
        <v/>
      </c>
      <c r="H1343" s="0" t="str">
        <f aca="false">IF($A1343="","",Evermont!$K145)</f>
        <v/>
      </c>
      <c r="I1343" s="0" t="str">
        <f aca="false">IF($A1343="","",Evermont!$Q145)</f>
        <v/>
      </c>
      <c r="K1343" s="104" t="n">
        <f aca="false">IF(A1343="",0,IF(IFERROR(VLOOKUP(A1343,Skills!$A:$M,13,FALSE()),"")="COS",0,IF(OR(I1343="En cours",I1343="À venir",I1343="À planifier"),IF(AND(OR($C$3="Tous",$C$3="",C1343=$C$3),OR($E$3="Tous",$E$3="",I1343=$E$3)),1,0),0)))</f>
        <v>0</v>
      </c>
      <c r="L1343" s="104" t="n">
        <f aca="false">L1342+K1343</f>
        <v>19</v>
      </c>
    </row>
    <row r="1344" customFormat="false" ht="15" hidden="true" customHeight="true" outlineLevel="0" collapsed="false">
      <c r="A1344" s="0" t="str">
        <f aca="false">IF(Evermont!$A146="","",Evermont!$A146)</f>
        <v/>
      </c>
      <c r="B1344" s="0" t="str">
        <f aca="false">IF($A1344="","",Evermont!$B146)</f>
        <v/>
      </c>
      <c r="C1344" s="0" t="str">
        <f aca="false">IF($A1344="","",Evermont!$C146)</f>
        <v/>
      </c>
      <c r="D1344" s="0" t="str">
        <f aca="false">IF($A1344="","","Nouvelle compétence")</f>
        <v/>
      </c>
      <c r="E1344" s="0" t="str">
        <f aca="false">IF($A1344="","",Evermont!$D146)</f>
        <v/>
      </c>
      <c r="F1344" s="116" t="str">
        <f aca="false">IF($A1344="","",Evermont!$F146)</f>
        <v/>
      </c>
      <c r="G1344" s="116" t="str">
        <f aca="false">IF($A1344="","",Evermont!$G146)</f>
        <v/>
      </c>
      <c r="H1344" s="0" t="str">
        <f aca="false">IF($A1344="","",Evermont!$K146)</f>
        <v/>
      </c>
      <c r="I1344" s="0" t="str">
        <f aca="false">IF($A1344="","",Evermont!$Q146)</f>
        <v/>
      </c>
      <c r="K1344" s="104" t="n">
        <f aca="false">IF(A1344="",0,IF(IFERROR(VLOOKUP(A1344,Skills!$A:$M,13,FALSE()),"")="COS",0,IF(OR(I1344="En cours",I1344="À venir",I1344="À planifier"),IF(AND(OR($C$3="Tous",$C$3="",C1344=$C$3),OR($E$3="Tous",$E$3="",I1344=$E$3)),1,0),0)))</f>
        <v>0</v>
      </c>
      <c r="L1344" s="104" t="n">
        <f aca="false">L1343+K1344</f>
        <v>19</v>
      </c>
    </row>
    <row r="1345" customFormat="false" ht="15" hidden="true" customHeight="true" outlineLevel="0" collapsed="false">
      <c r="A1345" s="0" t="str">
        <f aca="false">IF(Evermont!$A147="","",Evermont!$A147)</f>
        <v/>
      </c>
      <c r="B1345" s="0" t="str">
        <f aca="false">IF($A1345="","",Evermont!$B147)</f>
        <v/>
      </c>
      <c r="C1345" s="0" t="str">
        <f aca="false">IF($A1345="","",Evermont!$C147)</f>
        <v/>
      </c>
      <c r="D1345" s="0" t="str">
        <f aca="false">IF($A1345="","","Nouvelle compétence")</f>
        <v/>
      </c>
      <c r="E1345" s="0" t="str">
        <f aca="false">IF($A1345="","",Evermont!$D147)</f>
        <v/>
      </c>
      <c r="F1345" s="116" t="str">
        <f aca="false">IF($A1345="","",Evermont!$F147)</f>
        <v/>
      </c>
      <c r="G1345" s="116" t="str">
        <f aca="false">IF($A1345="","",Evermont!$G147)</f>
        <v/>
      </c>
      <c r="H1345" s="0" t="str">
        <f aca="false">IF($A1345="","",Evermont!$K147)</f>
        <v/>
      </c>
      <c r="I1345" s="0" t="str">
        <f aca="false">IF($A1345="","",Evermont!$Q147)</f>
        <v/>
      </c>
      <c r="K1345" s="104" t="n">
        <f aca="false">IF(A1345="",0,IF(IFERROR(VLOOKUP(A1345,Skills!$A:$M,13,FALSE()),"")="COS",0,IF(OR(I1345="En cours",I1345="À venir",I1345="À planifier"),IF(AND(OR($C$3="Tous",$C$3="",C1345=$C$3),OR($E$3="Tous",$E$3="",I1345=$E$3)),1,0),0)))</f>
        <v>0</v>
      </c>
      <c r="L1345" s="104" t="n">
        <f aca="false">L1344+K1345</f>
        <v>19</v>
      </c>
    </row>
    <row r="1346" customFormat="false" ht="15" hidden="true" customHeight="true" outlineLevel="0" collapsed="false">
      <c r="A1346" s="0" t="str">
        <f aca="false">IF(Evermont!$A148="","",Evermont!$A148)</f>
        <v/>
      </c>
      <c r="B1346" s="0" t="str">
        <f aca="false">IF($A1346="","",Evermont!$B148)</f>
        <v/>
      </c>
      <c r="C1346" s="0" t="str">
        <f aca="false">IF($A1346="","",Evermont!$C148)</f>
        <v/>
      </c>
      <c r="D1346" s="0" t="str">
        <f aca="false">IF($A1346="","","Nouvelle compétence")</f>
        <v/>
      </c>
      <c r="E1346" s="0" t="str">
        <f aca="false">IF($A1346="","",Evermont!$D148)</f>
        <v/>
      </c>
      <c r="F1346" s="116" t="str">
        <f aca="false">IF($A1346="","",Evermont!$F148)</f>
        <v/>
      </c>
      <c r="G1346" s="116" t="str">
        <f aca="false">IF($A1346="","",Evermont!$G148)</f>
        <v/>
      </c>
      <c r="H1346" s="0" t="str">
        <f aca="false">IF($A1346="","",Evermont!$K148)</f>
        <v/>
      </c>
      <c r="I1346" s="0" t="str">
        <f aca="false">IF($A1346="","",Evermont!$Q148)</f>
        <v/>
      </c>
      <c r="K1346" s="104" t="n">
        <f aca="false">IF(A1346="",0,IF(IFERROR(VLOOKUP(A1346,Skills!$A:$M,13,FALSE()),"")="COS",0,IF(OR(I1346="En cours",I1346="À venir",I1346="À planifier"),IF(AND(OR($C$3="Tous",$C$3="",C1346=$C$3),OR($E$3="Tous",$E$3="",I1346=$E$3)),1,0),0)))</f>
        <v>0</v>
      </c>
      <c r="L1346" s="104" t="n">
        <f aca="false">L1345+K1346</f>
        <v>19</v>
      </c>
    </row>
    <row r="1347" customFormat="false" ht="15" hidden="true" customHeight="true" outlineLevel="0" collapsed="false">
      <c r="A1347" s="0" t="str">
        <f aca="false">IF(Evermont!$A149="","",Evermont!$A149)</f>
        <v/>
      </c>
      <c r="B1347" s="0" t="str">
        <f aca="false">IF($A1347="","",Evermont!$B149)</f>
        <v/>
      </c>
      <c r="C1347" s="0" t="str">
        <f aca="false">IF($A1347="","",Evermont!$C149)</f>
        <v/>
      </c>
      <c r="D1347" s="0" t="str">
        <f aca="false">IF($A1347="","","Nouvelle compétence")</f>
        <v/>
      </c>
      <c r="E1347" s="0" t="str">
        <f aca="false">IF($A1347="","",Evermont!$D149)</f>
        <v/>
      </c>
      <c r="F1347" s="116" t="str">
        <f aca="false">IF($A1347="","",Evermont!$F149)</f>
        <v/>
      </c>
      <c r="G1347" s="116" t="str">
        <f aca="false">IF($A1347="","",Evermont!$G149)</f>
        <v/>
      </c>
      <c r="H1347" s="0" t="str">
        <f aca="false">IF($A1347="","",Evermont!$K149)</f>
        <v/>
      </c>
      <c r="I1347" s="0" t="str">
        <f aca="false">IF($A1347="","",Evermont!$Q149)</f>
        <v/>
      </c>
      <c r="K1347" s="104" t="n">
        <f aca="false">IF(A1347="",0,IF(IFERROR(VLOOKUP(A1347,Skills!$A:$M,13,FALSE()),"")="COS",0,IF(OR(I1347="En cours",I1347="À venir",I1347="À planifier"),IF(AND(OR($C$3="Tous",$C$3="",C1347=$C$3),OR($E$3="Tous",$E$3="",I1347=$E$3)),1,0),0)))</f>
        <v>0</v>
      </c>
      <c r="L1347" s="104" t="n">
        <f aca="false">L1346+K1347</f>
        <v>19</v>
      </c>
    </row>
    <row r="1348" customFormat="false" ht="15" hidden="true" customHeight="true" outlineLevel="0" collapsed="false">
      <c r="A1348" s="0" t="str">
        <f aca="false">IF(Evermont!$A150="","",Evermont!$A150)</f>
        <v/>
      </c>
      <c r="B1348" s="0" t="str">
        <f aca="false">IF($A1348="","",Evermont!$B150)</f>
        <v/>
      </c>
      <c r="C1348" s="0" t="str">
        <f aca="false">IF($A1348="","",Evermont!$C150)</f>
        <v/>
      </c>
      <c r="D1348" s="0" t="str">
        <f aca="false">IF($A1348="","","Nouvelle compétence")</f>
        <v/>
      </c>
      <c r="E1348" s="0" t="str">
        <f aca="false">IF($A1348="","",Evermont!$D150)</f>
        <v/>
      </c>
      <c r="F1348" s="116" t="str">
        <f aca="false">IF($A1348="","",Evermont!$F150)</f>
        <v/>
      </c>
      <c r="G1348" s="116" t="str">
        <f aca="false">IF($A1348="","",Evermont!$G150)</f>
        <v/>
      </c>
      <c r="H1348" s="0" t="str">
        <f aca="false">IF($A1348="","",Evermont!$K150)</f>
        <v/>
      </c>
      <c r="I1348" s="0" t="str">
        <f aca="false">IF($A1348="","",Evermont!$Q150)</f>
        <v/>
      </c>
      <c r="K1348" s="104" t="n">
        <f aca="false">IF(A1348="",0,IF(IFERROR(VLOOKUP(A1348,Skills!$A:$M,13,FALSE()),"")="COS",0,IF(OR(I1348="En cours",I1348="À venir",I1348="À planifier"),IF(AND(OR($C$3="Tous",$C$3="",C1348=$C$3),OR($E$3="Tous",$E$3="",I1348=$E$3)),1,0),0)))</f>
        <v>0</v>
      </c>
      <c r="L1348" s="104" t="n">
        <f aca="false">L1347+K1348</f>
        <v>19</v>
      </c>
    </row>
    <row r="1349" customFormat="false" ht="15" hidden="true" customHeight="true" outlineLevel="0" collapsed="false">
      <c r="A1349" s="0" t="str">
        <f aca="false">IF(Evermont!$A151="","",Evermont!$A151)</f>
        <v/>
      </c>
      <c r="B1349" s="0" t="str">
        <f aca="false">IF($A1349="","",Evermont!$B151)</f>
        <v/>
      </c>
      <c r="C1349" s="0" t="str">
        <f aca="false">IF($A1349="","",Evermont!$C151)</f>
        <v/>
      </c>
      <c r="D1349" s="0" t="str">
        <f aca="false">IF($A1349="","","Nouvelle compétence")</f>
        <v/>
      </c>
      <c r="E1349" s="0" t="str">
        <f aca="false">IF($A1349="","",Evermont!$D151)</f>
        <v/>
      </c>
      <c r="F1349" s="116" t="str">
        <f aca="false">IF($A1349="","",Evermont!$F151)</f>
        <v/>
      </c>
      <c r="G1349" s="116" t="str">
        <f aca="false">IF($A1349="","",Evermont!$G151)</f>
        <v/>
      </c>
      <c r="H1349" s="0" t="str">
        <f aca="false">IF($A1349="","",Evermont!$K151)</f>
        <v/>
      </c>
      <c r="I1349" s="0" t="str">
        <f aca="false">IF($A1349="","",Evermont!$Q151)</f>
        <v/>
      </c>
      <c r="K1349" s="104" t="n">
        <f aca="false">IF(A1349="",0,IF(IFERROR(VLOOKUP(A1349,Skills!$A:$M,13,FALSE()),"")="COS",0,IF(OR(I1349="En cours",I1349="À venir",I1349="À planifier"),IF(AND(OR($C$3="Tous",$C$3="",C1349=$C$3),OR($E$3="Tous",$E$3="",I1349=$E$3)),1,0),0)))</f>
        <v>0</v>
      </c>
      <c r="L1349" s="104" t="n">
        <f aca="false">L1348+K1349</f>
        <v>19</v>
      </c>
    </row>
    <row r="1350" customFormat="false" ht="15" hidden="true" customHeight="true" outlineLevel="0" collapsed="false">
      <c r="A1350" s="0" t="str">
        <f aca="false">IF(Evermont!$A152="","",Evermont!$A152)</f>
        <v/>
      </c>
      <c r="B1350" s="0" t="str">
        <f aca="false">IF($A1350="","",Evermont!$B152)</f>
        <v/>
      </c>
      <c r="C1350" s="0" t="str">
        <f aca="false">IF($A1350="","",Evermont!$C152)</f>
        <v/>
      </c>
      <c r="D1350" s="0" t="str">
        <f aca="false">IF($A1350="","","Nouvelle compétence")</f>
        <v/>
      </c>
      <c r="E1350" s="0" t="str">
        <f aca="false">IF($A1350="","",Evermont!$D152)</f>
        <v/>
      </c>
      <c r="F1350" s="116" t="str">
        <f aca="false">IF($A1350="","",Evermont!$F152)</f>
        <v/>
      </c>
      <c r="G1350" s="116" t="str">
        <f aca="false">IF($A1350="","",Evermont!$G152)</f>
        <v/>
      </c>
      <c r="H1350" s="0" t="str">
        <f aca="false">IF($A1350="","",Evermont!$K152)</f>
        <v/>
      </c>
      <c r="I1350" s="0" t="str">
        <f aca="false">IF($A1350="","",Evermont!$Q152)</f>
        <v/>
      </c>
      <c r="K1350" s="104" t="n">
        <f aca="false">IF(A1350="",0,IF(IFERROR(VLOOKUP(A1350,Skills!$A:$M,13,FALSE()),"")="COS",0,IF(OR(I1350="En cours",I1350="À venir",I1350="À planifier"),IF(AND(OR($C$3="Tous",$C$3="",C1350=$C$3),OR($E$3="Tous",$E$3="",I1350=$E$3)),1,0),0)))</f>
        <v>0</v>
      </c>
      <c r="L1350" s="104" t="n">
        <f aca="false">L1349+K1350</f>
        <v>19</v>
      </c>
    </row>
    <row r="1351" customFormat="false" ht="15" hidden="true" customHeight="true" outlineLevel="0" collapsed="false">
      <c r="A1351" s="0" t="str">
        <f aca="false">IF(Evermont!$A153="","",Evermont!$A153)</f>
        <v/>
      </c>
      <c r="B1351" s="0" t="str">
        <f aca="false">IF($A1351="","",Evermont!$B153)</f>
        <v/>
      </c>
      <c r="C1351" s="0" t="str">
        <f aca="false">IF($A1351="","",Evermont!$C153)</f>
        <v/>
      </c>
      <c r="D1351" s="0" t="str">
        <f aca="false">IF($A1351="","","Nouvelle compétence")</f>
        <v/>
      </c>
      <c r="E1351" s="0" t="str">
        <f aca="false">IF($A1351="","",Evermont!$D153)</f>
        <v/>
      </c>
      <c r="F1351" s="116" t="str">
        <f aca="false">IF($A1351="","",Evermont!$F153)</f>
        <v/>
      </c>
      <c r="G1351" s="116" t="str">
        <f aca="false">IF($A1351="","",Evermont!$G153)</f>
        <v/>
      </c>
      <c r="H1351" s="0" t="str">
        <f aca="false">IF($A1351="","",Evermont!$K153)</f>
        <v/>
      </c>
      <c r="I1351" s="0" t="str">
        <f aca="false">IF($A1351="","",Evermont!$Q153)</f>
        <v/>
      </c>
      <c r="K1351" s="104" t="n">
        <f aca="false">IF(A1351="",0,IF(IFERROR(VLOOKUP(A1351,Skills!$A:$M,13,FALSE()),"")="COS",0,IF(OR(I1351="En cours",I1351="À venir",I1351="À planifier"),IF(AND(OR($C$3="Tous",$C$3="",C1351=$C$3),OR($E$3="Tous",$E$3="",I1351=$E$3)),1,0),0)))</f>
        <v>0</v>
      </c>
      <c r="L1351" s="104" t="n">
        <f aca="false">L1350+K1351</f>
        <v>19</v>
      </c>
    </row>
    <row r="1352" customFormat="false" ht="15" hidden="true" customHeight="true" outlineLevel="0" collapsed="false">
      <c r="A1352" s="0" t="str">
        <f aca="false">IF(Evermont!$A154="","",Evermont!$A154)</f>
        <v/>
      </c>
      <c r="B1352" s="0" t="str">
        <f aca="false">IF($A1352="","",Evermont!$B154)</f>
        <v/>
      </c>
      <c r="C1352" s="0" t="str">
        <f aca="false">IF($A1352="","",Evermont!$C154)</f>
        <v/>
      </c>
      <c r="D1352" s="0" t="str">
        <f aca="false">IF($A1352="","","Nouvelle compétence")</f>
        <v/>
      </c>
      <c r="E1352" s="0" t="str">
        <f aca="false">IF($A1352="","",Evermont!$D154)</f>
        <v/>
      </c>
      <c r="F1352" s="116" t="str">
        <f aca="false">IF($A1352="","",Evermont!$F154)</f>
        <v/>
      </c>
      <c r="G1352" s="116" t="str">
        <f aca="false">IF($A1352="","",Evermont!$G154)</f>
        <v/>
      </c>
      <c r="H1352" s="0" t="str">
        <f aca="false">IF($A1352="","",Evermont!$K154)</f>
        <v/>
      </c>
      <c r="I1352" s="0" t="str">
        <f aca="false">IF($A1352="","",Evermont!$Q154)</f>
        <v/>
      </c>
      <c r="K1352" s="104" t="n">
        <f aca="false">IF(A1352="",0,IF(IFERROR(VLOOKUP(A1352,Skills!$A:$M,13,FALSE()),"")="COS",0,IF(OR(I1352="En cours",I1352="À venir",I1352="À planifier"),IF(AND(OR($C$3="Tous",$C$3="",C1352=$C$3),OR($E$3="Tous",$E$3="",I1352=$E$3)),1,0),0)))</f>
        <v>0</v>
      </c>
      <c r="L1352" s="104" t="n">
        <f aca="false">L1351+K1352</f>
        <v>19</v>
      </c>
    </row>
    <row r="1353" customFormat="false" ht="15" hidden="true" customHeight="true" outlineLevel="0" collapsed="false">
      <c r="A1353" s="0" t="str">
        <f aca="false">IF(Evermont!$A155="","",Evermont!$A155)</f>
        <v/>
      </c>
      <c r="B1353" s="0" t="str">
        <f aca="false">IF($A1353="","",Evermont!$B155)</f>
        <v/>
      </c>
      <c r="C1353" s="0" t="str">
        <f aca="false">IF($A1353="","",Evermont!$C155)</f>
        <v/>
      </c>
      <c r="D1353" s="0" t="str">
        <f aca="false">IF($A1353="","","Nouvelle compétence")</f>
        <v/>
      </c>
      <c r="E1353" s="0" t="str">
        <f aca="false">IF($A1353="","",Evermont!$D155)</f>
        <v/>
      </c>
      <c r="F1353" s="116" t="str">
        <f aca="false">IF($A1353="","",Evermont!$F155)</f>
        <v/>
      </c>
      <c r="G1353" s="116" t="str">
        <f aca="false">IF($A1353="","",Evermont!$G155)</f>
        <v/>
      </c>
      <c r="H1353" s="0" t="str">
        <f aca="false">IF($A1353="","",Evermont!$K155)</f>
        <v/>
      </c>
      <c r="I1353" s="0" t="str">
        <f aca="false">IF($A1353="","",Evermont!$Q155)</f>
        <v/>
      </c>
      <c r="K1353" s="104" t="n">
        <f aca="false">IF(A1353="",0,IF(IFERROR(VLOOKUP(A1353,Skills!$A:$M,13,FALSE()),"")="COS",0,IF(OR(I1353="En cours",I1353="À venir",I1353="À planifier"),IF(AND(OR($C$3="Tous",$C$3="",C1353=$C$3),OR($E$3="Tous",$E$3="",I1353=$E$3)),1,0),0)))</f>
        <v>0</v>
      </c>
      <c r="L1353" s="104" t="n">
        <f aca="false">L1352+K1353</f>
        <v>19</v>
      </c>
    </row>
    <row r="1354" customFormat="false" ht="15" hidden="true" customHeight="true" outlineLevel="0" collapsed="false">
      <c r="A1354" s="0" t="str">
        <f aca="false">IF(Evermont!$A156="","",Evermont!$A156)</f>
        <v/>
      </c>
      <c r="B1354" s="0" t="str">
        <f aca="false">IF($A1354="","",Evermont!$B156)</f>
        <v/>
      </c>
      <c r="C1354" s="0" t="str">
        <f aca="false">IF($A1354="","",Evermont!$C156)</f>
        <v/>
      </c>
      <c r="D1354" s="0" t="str">
        <f aca="false">IF($A1354="","","Nouvelle compétence")</f>
        <v/>
      </c>
      <c r="E1354" s="0" t="str">
        <f aca="false">IF($A1354="","",Evermont!$D156)</f>
        <v/>
      </c>
      <c r="F1354" s="116" t="str">
        <f aca="false">IF($A1354="","",Evermont!$F156)</f>
        <v/>
      </c>
      <c r="G1354" s="116" t="str">
        <f aca="false">IF($A1354="","",Evermont!$G156)</f>
        <v/>
      </c>
      <c r="H1354" s="0" t="str">
        <f aca="false">IF($A1354="","",Evermont!$K156)</f>
        <v/>
      </c>
      <c r="I1354" s="0" t="str">
        <f aca="false">IF($A1354="","",Evermont!$Q156)</f>
        <v/>
      </c>
      <c r="K1354" s="104" t="n">
        <f aca="false">IF(A1354="",0,IF(IFERROR(VLOOKUP(A1354,Skills!$A:$M,13,FALSE()),"")="COS",0,IF(OR(I1354="En cours",I1354="À venir",I1354="À planifier"),IF(AND(OR($C$3="Tous",$C$3="",C1354=$C$3),OR($E$3="Tous",$E$3="",I1354=$E$3)),1,0),0)))</f>
        <v>0</v>
      </c>
      <c r="L1354" s="104" t="n">
        <f aca="false">L1353+K1354</f>
        <v>19</v>
      </c>
    </row>
    <row r="1355" customFormat="false" ht="15" hidden="true" customHeight="true" outlineLevel="0" collapsed="false">
      <c r="A1355" s="0" t="str">
        <f aca="false">IF(Evermont!$A157="","",Evermont!$A157)</f>
        <v/>
      </c>
      <c r="B1355" s="0" t="str">
        <f aca="false">IF($A1355="","",Evermont!$B157)</f>
        <v/>
      </c>
      <c r="C1355" s="0" t="str">
        <f aca="false">IF($A1355="","",Evermont!$C157)</f>
        <v/>
      </c>
      <c r="D1355" s="0" t="str">
        <f aca="false">IF($A1355="","","Nouvelle compétence")</f>
        <v/>
      </c>
      <c r="E1355" s="0" t="str">
        <f aca="false">IF($A1355="","",Evermont!$D157)</f>
        <v/>
      </c>
      <c r="F1355" s="116" t="str">
        <f aca="false">IF($A1355="","",Evermont!$F157)</f>
        <v/>
      </c>
      <c r="G1355" s="116" t="str">
        <f aca="false">IF($A1355="","",Evermont!$G157)</f>
        <v/>
      </c>
      <c r="H1355" s="0" t="str">
        <f aca="false">IF($A1355="","",Evermont!$K157)</f>
        <v/>
      </c>
      <c r="I1355" s="0" t="str">
        <f aca="false">IF($A1355="","",Evermont!$Q157)</f>
        <v/>
      </c>
      <c r="K1355" s="104" t="n">
        <f aca="false">IF(A1355="",0,IF(IFERROR(VLOOKUP(A1355,Skills!$A:$M,13,FALSE()),"")="COS",0,IF(OR(I1355="En cours",I1355="À venir",I1355="À planifier"),IF(AND(OR($C$3="Tous",$C$3="",C1355=$C$3),OR($E$3="Tous",$E$3="",I1355=$E$3)),1,0),0)))</f>
        <v>0</v>
      </c>
      <c r="L1355" s="104" t="n">
        <f aca="false">L1354+K1355</f>
        <v>19</v>
      </c>
    </row>
    <row r="1356" customFormat="false" ht="15" hidden="true" customHeight="true" outlineLevel="0" collapsed="false">
      <c r="A1356" s="0" t="str">
        <f aca="false">IF(Evermont!$A158="","",Evermont!$A158)</f>
        <v/>
      </c>
      <c r="B1356" s="0" t="str">
        <f aca="false">IF($A1356="","",Evermont!$B158)</f>
        <v/>
      </c>
      <c r="C1356" s="0" t="str">
        <f aca="false">IF($A1356="","",Evermont!$C158)</f>
        <v/>
      </c>
      <c r="D1356" s="0" t="str">
        <f aca="false">IF($A1356="","","Nouvelle compétence")</f>
        <v/>
      </c>
      <c r="E1356" s="0" t="str">
        <f aca="false">IF($A1356="","",Evermont!$D158)</f>
        <v/>
      </c>
      <c r="F1356" s="116" t="str">
        <f aca="false">IF($A1356="","",Evermont!$F158)</f>
        <v/>
      </c>
      <c r="G1356" s="116" t="str">
        <f aca="false">IF($A1356="","",Evermont!$G158)</f>
        <v/>
      </c>
      <c r="H1356" s="0" t="str">
        <f aca="false">IF($A1356="","",Evermont!$K158)</f>
        <v/>
      </c>
      <c r="I1356" s="0" t="str">
        <f aca="false">IF($A1356="","",Evermont!$Q158)</f>
        <v/>
      </c>
      <c r="K1356" s="104" t="n">
        <f aca="false">IF(A1356="",0,IF(IFERROR(VLOOKUP(A1356,Skills!$A:$M,13,FALSE()),"")="COS",0,IF(OR(I1356="En cours",I1356="À venir",I1356="À planifier"),IF(AND(OR($C$3="Tous",$C$3="",C1356=$C$3),OR($E$3="Tous",$E$3="",I1356=$E$3)),1,0),0)))</f>
        <v>0</v>
      </c>
      <c r="L1356" s="104" t="n">
        <f aca="false">L1355+K1356</f>
        <v>19</v>
      </c>
    </row>
    <row r="1357" customFormat="false" ht="15" hidden="true" customHeight="true" outlineLevel="0" collapsed="false">
      <c r="A1357" s="0" t="str">
        <f aca="false">IF(Evermont!$A159="","",Evermont!$A159)</f>
        <v/>
      </c>
      <c r="B1357" s="0" t="str">
        <f aca="false">IF($A1357="","",Evermont!$B159)</f>
        <v/>
      </c>
      <c r="C1357" s="0" t="str">
        <f aca="false">IF($A1357="","",Evermont!$C159)</f>
        <v/>
      </c>
      <c r="D1357" s="0" t="str">
        <f aca="false">IF($A1357="","","Nouvelle compétence")</f>
        <v/>
      </c>
      <c r="E1357" s="0" t="str">
        <f aca="false">IF($A1357="","",Evermont!$D159)</f>
        <v/>
      </c>
      <c r="F1357" s="116" t="str">
        <f aca="false">IF($A1357="","",Evermont!$F159)</f>
        <v/>
      </c>
      <c r="G1357" s="116" t="str">
        <f aca="false">IF($A1357="","",Evermont!$G159)</f>
        <v/>
      </c>
      <c r="H1357" s="0" t="str">
        <f aca="false">IF($A1357="","",Evermont!$K159)</f>
        <v/>
      </c>
      <c r="I1357" s="0" t="str">
        <f aca="false">IF($A1357="","",Evermont!$Q159)</f>
        <v/>
      </c>
      <c r="K1357" s="104" t="n">
        <f aca="false">IF(A1357="",0,IF(IFERROR(VLOOKUP(A1357,Skills!$A:$M,13,FALSE()),"")="COS",0,IF(OR(I1357="En cours",I1357="À venir",I1357="À planifier"),IF(AND(OR($C$3="Tous",$C$3="",C1357=$C$3),OR($E$3="Tous",$E$3="",I1357=$E$3)),1,0),0)))</f>
        <v>0</v>
      </c>
      <c r="L1357" s="104" t="n">
        <f aca="false">L1356+K1357</f>
        <v>19</v>
      </c>
    </row>
    <row r="1358" customFormat="false" ht="15" hidden="true" customHeight="true" outlineLevel="0" collapsed="false">
      <c r="A1358" s="0" t="str">
        <f aca="false">IF(Evermont!$A160="","",Evermont!$A160)</f>
        <v/>
      </c>
      <c r="B1358" s="0" t="str">
        <f aca="false">IF($A1358="","",Evermont!$B160)</f>
        <v/>
      </c>
      <c r="C1358" s="0" t="str">
        <f aca="false">IF($A1358="","",Evermont!$C160)</f>
        <v/>
      </c>
      <c r="D1358" s="0" t="str">
        <f aca="false">IF($A1358="","","Nouvelle compétence")</f>
        <v/>
      </c>
      <c r="E1358" s="0" t="str">
        <f aca="false">IF($A1358="","",Evermont!$D160)</f>
        <v/>
      </c>
      <c r="F1358" s="116" t="str">
        <f aca="false">IF($A1358="","",Evermont!$F160)</f>
        <v/>
      </c>
      <c r="G1358" s="116" t="str">
        <f aca="false">IF($A1358="","",Evermont!$G160)</f>
        <v/>
      </c>
      <c r="H1358" s="0" t="str">
        <f aca="false">IF($A1358="","",Evermont!$K160)</f>
        <v/>
      </c>
      <c r="I1358" s="0" t="str">
        <f aca="false">IF($A1358="","",Evermont!$Q160)</f>
        <v/>
      </c>
      <c r="K1358" s="104" t="n">
        <f aca="false">IF(A1358="",0,IF(IFERROR(VLOOKUP(A1358,Skills!$A:$M,13,FALSE()),"")="COS",0,IF(OR(I1358="En cours",I1358="À venir",I1358="À planifier"),IF(AND(OR($C$3="Tous",$C$3="",C1358=$C$3),OR($E$3="Tous",$E$3="",I1358=$E$3)),1,0),0)))</f>
        <v>0</v>
      </c>
      <c r="L1358" s="104" t="n">
        <f aca="false">L1357+K1358</f>
        <v>19</v>
      </c>
    </row>
    <row r="1359" customFormat="false" ht="15" hidden="true" customHeight="true" outlineLevel="0" collapsed="false">
      <c r="A1359" s="0" t="str">
        <f aca="false">IF(Evermont!$A161="","",Evermont!$A161)</f>
        <v/>
      </c>
      <c r="B1359" s="0" t="str">
        <f aca="false">IF($A1359="","",Evermont!$B161)</f>
        <v/>
      </c>
      <c r="C1359" s="0" t="str">
        <f aca="false">IF($A1359="","",Evermont!$C161)</f>
        <v/>
      </c>
      <c r="D1359" s="0" t="str">
        <f aca="false">IF($A1359="","","Nouvelle compétence")</f>
        <v/>
      </c>
      <c r="E1359" s="0" t="str">
        <f aca="false">IF($A1359="","",Evermont!$D161)</f>
        <v/>
      </c>
      <c r="F1359" s="116" t="str">
        <f aca="false">IF($A1359="","",Evermont!$F161)</f>
        <v/>
      </c>
      <c r="G1359" s="116" t="str">
        <f aca="false">IF($A1359="","",Evermont!$G161)</f>
        <v/>
      </c>
      <c r="H1359" s="0" t="str">
        <f aca="false">IF($A1359="","",Evermont!$K161)</f>
        <v/>
      </c>
      <c r="I1359" s="0" t="str">
        <f aca="false">IF($A1359="","",Evermont!$Q161)</f>
        <v/>
      </c>
      <c r="K1359" s="104" t="n">
        <f aca="false">IF(A1359="",0,IF(IFERROR(VLOOKUP(A1359,Skills!$A:$M,13,FALSE()),"")="COS",0,IF(OR(I1359="En cours",I1359="À venir",I1359="À planifier"),IF(AND(OR($C$3="Tous",$C$3="",C1359=$C$3),OR($E$3="Tous",$E$3="",I1359=$E$3)),1,0),0)))</f>
        <v>0</v>
      </c>
      <c r="L1359" s="104" t="n">
        <f aca="false">L1358+K1359</f>
        <v>19</v>
      </c>
    </row>
    <row r="1360" customFormat="false" ht="15" hidden="true" customHeight="true" outlineLevel="0" collapsed="false">
      <c r="A1360" s="0" t="str">
        <f aca="false">IF(Evermont!$A162="","",Evermont!$A162)</f>
        <v/>
      </c>
      <c r="B1360" s="0" t="str">
        <f aca="false">IF($A1360="","",Evermont!$B162)</f>
        <v/>
      </c>
      <c r="C1360" s="0" t="str">
        <f aca="false">IF($A1360="","",Evermont!$C162)</f>
        <v/>
      </c>
      <c r="D1360" s="0" t="str">
        <f aca="false">IF($A1360="","","Nouvelle compétence")</f>
        <v/>
      </c>
      <c r="E1360" s="0" t="str">
        <f aca="false">IF($A1360="","",Evermont!$D162)</f>
        <v/>
      </c>
      <c r="F1360" s="116" t="str">
        <f aca="false">IF($A1360="","",Evermont!$F162)</f>
        <v/>
      </c>
      <c r="G1360" s="116" t="str">
        <f aca="false">IF($A1360="","",Evermont!$G162)</f>
        <v/>
      </c>
      <c r="H1360" s="0" t="str">
        <f aca="false">IF($A1360="","",Evermont!$K162)</f>
        <v/>
      </c>
      <c r="I1360" s="0" t="str">
        <f aca="false">IF($A1360="","",Evermont!$Q162)</f>
        <v/>
      </c>
      <c r="K1360" s="104" t="n">
        <f aca="false">IF(A1360="",0,IF(IFERROR(VLOOKUP(A1360,Skills!$A:$M,13,FALSE()),"")="COS",0,IF(OR(I1360="En cours",I1360="À venir",I1360="À planifier"),IF(AND(OR($C$3="Tous",$C$3="",C1360=$C$3),OR($E$3="Tous",$E$3="",I1360=$E$3)),1,0),0)))</f>
        <v>0</v>
      </c>
      <c r="L1360" s="104" t="n">
        <f aca="false">L1359+K1360</f>
        <v>19</v>
      </c>
    </row>
    <row r="1361" customFormat="false" ht="15" hidden="true" customHeight="true" outlineLevel="0" collapsed="false">
      <c r="A1361" s="0" t="str">
        <f aca="false">IF(Evermont!$A163="","",Evermont!$A163)</f>
        <v/>
      </c>
      <c r="B1361" s="0" t="str">
        <f aca="false">IF($A1361="","",Evermont!$B163)</f>
        <v/>
      </c>
      <c r="C1361" s="0" t="str">
        <f aca="false">IF($A1361="","",Evermont!$C163)</f>
        <v/>
      </c>
      <c r="D1361" s="0" t="str">
        <f aca="false">IF($A1361="","","Nouvelle compétence")</f>
        <v/>
      </c>
      <c r="E1361" s="0" t="str">
        <f aca="false">IF($A1361="","",Evermont!$D163)</f>
        <v/>
      </c>
      <c r="F1361" s="116" t="str">
        <f aca="false">IF($A1361="","",Evermont!$F163)</f>
        <v/>
      </c>
      <c r="G1361" s="116" t="str">
        <f aca="false">IF($A1361="","",Evermont!$G163)</f>
        <v/>
      </c>
      <c r="H1361" s="0" t="str">
        <f aca="false">IF($A1361="","",Evermont!$K163)</f>
        <v/>
      </c>
      <c r="I1361" s="0" t="str">
        <f aca="false">IF($A1361="","",Evermont!$Q163)</f>
        <v/>
      </c>
      <c r="K1361" s="104" t="n">
        <f aca="false">IF(A1361="",0,IF(IFERROR(VLOOKUP(A1361,Skills!$A:$M,13,FALSE()),"")="COS",0,IF(OR(I1361="En cours",I1361="À venir",I1361="À planifier"),IF(AND(OR($C$3="Tous",$C$3="",C1361=$C$3),OR($E$3="Tous",$E$3="",I1361=$E$3)),1,0),0)))</f>
        <v>0</v>
      </c>
      <c r="L1361" s="104" t="n">
        <f aca="false">L1360+K1361</f>
        <v>19</v>
      </c>
    </row>
    <row r="1362" customFormat="false" ht="15" hidden="true" customHeight="true" outlineLevel="0" collapsed="false">
      <c r="A1362" s="0" t="str">
        <f aca="false">IF(Evermont!$A164="","",Evermont!$A164)</f>
        <v/>
      </c>
      <c r="B1362" s="0" t="str">
        <f aca="false">IF($A1362="","",Evermont!$B164)</f>
        <v/>
      </c>
      <c r="C1362" s="0" t="str">
        <f aca="false">IF($A1362="","",Evermont!$C164)</f>
        <v/>
      </c>
      <c r="D1362" s="0" t="str">
        <f aca="false">IF($A1362="","","Nouvelle compétence")</f>
        <v/>
      </c>
      <c r="E1362" s="0" t="str">
        <f aca="false">IF($A1362="","",Evermont!$D164)</f>
        <v/>
      </c>
      <c r="F1362" s="116" t="str">
        <f aca="false">IF($A1362="","",Evermont!$F164)</f>
        <v/>
      </c>
      <c r="G1362" s="116" t="str">
        <f aca="false">IF($A1362="","",Evermont!$G164)</f>
        <v/>
      </c>
      <c r="H1362" s="0" t="str">
        <f aca="false">IF($A1362="","",Evermont!$K164)</f>
        <v/>
      </c>
      <c r="I1362" s="0" t="str">
        <f aca="false">IF($A1362="","",Evermont!$Q164)</f>
        <v/>
      </c>
      <c r="K1362" s="104" t="n">
        <f aca="false">IF(A1362="",0,IF(IFERROR(VLOOKUP(A1362,Skills!$A:$M,13,FALSE()),"")="COS",0,IF(OR(I1362="En cours",I1362="À venir",I1362="À planifier"),IF(AND(OR($C$3="Tous",$C$3="",C1362=$C$3),OR($E$3="Tous",$E$3="",I1362=$E$3)),1,0),0)))</f>
        <v>0</v>
      </c>
      <c r="L1362" s="104" t="n">
        <f aca="false">L1361+K1362</f>
        <v>19</v>
      </c>
    </row>
    <row r="1363" customFormat="false" ht="15" hidden="true" customHeight="true" outlineLevel="0" collapsed="false">
      <c r="A1363" s="0" t="str">
        <f aca="false">IF(Evermont!$A165="","",Evermont!$A165)</f>
        <v/>
      </c>
      <c r="B1363" s="0" t="str">
        <f aca="false">IF($A1363="","",Evermont!$B165)</f>
        <v/>
      </c>
      <c r="C1363" s="0" t="str">
        <f aca="false">IF($A1363="","",Evermont!$C165)</f>
        <v/>
      </c>
      <c r="D1363" s="0" t="str">
        <f aca="false">IF($A1363="","","Nouvelle compétence")</f>
        <v/>
      </c>
      <c r="E1363" s="0" t="str">
        <f aca="false">IF($A1363="","",Evermont!$D165)</f>
        <v/>
      </c>
      <c r="F1363" s="116" t="str">
        <f aca="false">IF($A1363="","",Evermont!$F165)</f>
        <v/>
      </c>
      <c r="G1363" s="116" t="str">
        <f aca="false">IF($A1363="","",Evermont!$G165)</f>
        <v/>
      </c>
      <c r="H1363" s="0" t="str">
        <f aca="false">IF($A1363="","",Evermont!$K165)</f>
        <v/>
      </c>
      <c r="I1363" s="0" t="str">
        <f aca="false">IF($A1363="","",Evermont!$Q165)</f>
        <v/>
      </c>
      <c r="K1363" s="104" t="n">
        <f aca="false">IF(A1363="",0,IF(IFERROR(VLOOKUP(A1363,Skills!$A:$M,13,FALSE()),"")="COS",0,IF(OR(I1363="En cours",I1363="À venir",I1363="À planifier"),IF(AND(OR($C$3="Tous",$C$3="",C1363=$C$3),OR($E$3="Tous",$E$3="",I1363=$E$3)),1,0),0)))</f>
        <v>0</v>
      </c>
      <c r="L1363" s="104" t="n">
        <f aca="false">L1362+K1363</f>
        <v>19</v>
      </c>
    </row>
    <row r="1364" customFormat="false" ht="15" hidden="true" customHeight="true" outlineLevel="0" collapsed="false">
      <c r="A1364" s="0" t="str">
        <f aca="false">IF(Evermont!$A166="","",Evermont!$A166)</f>
        <v/>
      </c>
      <c r="B1364" s="0" t="str">
        <f aca="false">IF($A1364="","",Evermont!$B166)</f>
        <v/>
      </c>
      <c r="C1364" s="0" t="str">
        <f aca="false">IF($A1364="","",Evermont!$C166)</f>
        <v/>
      </c>
      <c r="D1364" s="0" t="str">
        <f aca="false">IF($A1364="","","Nouvelle compétence")</f>
        <v/>
      </c>
      <c r="E1364" s="0" t="str">
        <f aca="false">IF($A1364="","",Evermont!$D166)</f>
        <v/>
      </c>
      <c r="F1364" s="116" t="str">
        <f aca="false">IF($A1364="","",Evermont!$F166)</f>
        <v/>
      </c>
      <c r="G1364" s="116" t="str">
        <f aca="false">IF($A1364="","",Evermont!$G166)</f>
        <v/>
      </c>
      <c r="H1364" s="0" t="str">
        <f aca="false">IF($A1364="","",Evermont!$K166)</f>
        <v/>
      </c>
      <c r="I1364" s="0" t="str">
        <f aca="false">IF($A1364="","",Evermont!$Q166)</f>
        <v/>
      </c>
      <c r="K1364" s="104" t="n">
        <f aca="false">IF(A1364="",0,IF(IFERROR(VLOOKUP(A1364,Skills!$A:$M,13,FALSE()),"")="COS",0,IF(OR(I1364="En cours",I1364="À venir",I1364="À planifier"),IF(AND(OR($C$3="Tous",$C$3="",C1364=$C$3),OR($E$3="Tous",$E$3="",I1364=$E$3)),1,0),0)))</f>
        <v>0</v>
      </c>
      <c r="L1364" s="104" t="n">
        <f aca="false">L1363+K1364</f>
        <v>19</v>
      </c>
    </row>
    <row r="1365" customFormat="false" ht="15" hidden="true" customHeight="true" outlineLevel="0" collapsed="false">
      <c r="A1365" s="0" t="str">
        <f aca="false">IF(Evermont!$A167="","",Evermont!$A167)</f>
        <v/>
      </c>
      <c r="B1365" s="0" t="str">
        <f aca="false">IF($A1365="","",Evermont!$B167)</f>
        <v/>
      </c>
      <c r="C1365" s="0" t="str">
        <f aca="false">IF($A1365="","",Evermont!$C167)</f>
        <v/>
      </c>
      <c r="D1365" s="0" t="str">
        <f aca="false">IF($A1365="","","Nouvelle compétence")</f>
        <v/>
      </c>
      <c r="E1365" s="0" t="str">
        <f aca="false">IF($A1365="","",Evermont!$D167)</f>
        <v/>
      </c>
      <c r="F1365" s="116" t="str">
        <f aca="false">IF($A1365="","",Evermont!$F167)</f>
        <v/>
      </c>
      <c r="G1365" s="116" t="str">
        <f aca="false">IF($A1365="","",Evermont!$G167)</f>
        <v/>
      </c>
      <c r="H1365" s="0" t="str">
        <f aca="false">IF($A1365="","",Evermont!$K167)</f>
        <v/>
      </c>
      <c r="I1365" s="0" t="str">
        <f aca="false">IF($A1365="","",Evermont!$Q167)</f>
        <v/>
      </c>
      <c r="K1365" s="104" t="n">
        <f aca="false">IF(A1365="",0,IF(IFERROR(VLOOKUP(A1365,Skills!$A:$M,13,FALSE()),"")="COS",0,IF(OR(I1365="En cours",I1365="À venir",I1365="À planifier"),IF(AND(OR($C$3="Tous",$C$3="",C1365=$C$3),OR($E$3="Tous",$E$3="",I1365=$E$3)),1,0),0)))</f>
        <v>0</v>
      </c>
      <c r="L1365" s="104" t="n">
        <f aca="false">L1364+K1365</f>
        <v>19</v>
      </c>
    </row>
    <row r="1366" customFormat="false" ht="15" hidden="true" customHeight="true" outlineLevel="0" collapsed="false">
      <c r="A1366" s="0" t="str">
        <f aca="false">IF(Evermont!$A168="","",Evermont!$A168)</f>
        <v/>
      </c>
      <c r="B1366" s="0" t="str">
        <f aca="false">IF($A1366="","",Evermont!$B168)</f>
        <v/>
      </c>
      <c r="C1366" s="0" t="str">
        <f aca="false">IF($A1366="","",Evermont!$C168)</f>
        <v/>
      </c>
      <c r="D1366" s="0" t="str">
        <f aca="false">IF($A1366="","","Nouvelle compétence")</f>
        <v/>
      </c>
      <c r="E1366" s="0" t="str">
        <f aca="false">IF($A1366="","",Evermont!$D168)</f>
        <v/>
      </c>
      <c r="F1366" s="116" t="str">
        <f aca="false">IF($A1366="","",Evermont!$F168)</f>
        <v/>
      </c>
      <c r="G1366" s="116" t="str">
        <f aca="false">IF($A1366="","",Evermont!$G168)</f>
        <v/>
      </c>
      <c r="H1366" s="0" t="str">
        <f aca="false">IF($A1366="","",Evermont!$K168)</f>
        <v/>
      </c>
      <c r="I1366" s="0" t="str">
        <f aca="false">IF($A1366="","",Evermont!$Q168)</f>
        <v/>
      </c>
      <c r="K1366" s="104" t="n">
        <f aca="false">IF(A1366="",0,IF(IFERROR(VLOOKUP(A1366,Skills!$A:$M,13,FALSE()),"")="COS",0,IF(OR(I1366="En cours",I1366="À venir",I1366="À planifier"),IF(AND(OR($C$3="Tous",$C$3="",C1366=$C$3),OR($E$3="Tous",$E$3="",I1366=$E$3)),1,0),0)))</f>
        <v>0</v>
      </c>
      <c r="L1366" s="104" t="n">
        <f aca="false">L1365+K1366</f>
        <v>19</v>
      </c>
    </row>
    <row r="1367" customFormat="false" ht="15" hidden="true" customHeight="true" outlineLevel="0" collapsed="false">
      <c r="A1367" s="0" t="str">
        <f aca="false">IF(Evermont!$A169="","",Evermont!$A169)</f>
        <v/>
      </c>
      <c r="B1367" s="0" t="str">
        <f aca="false">IF($A1367="","",Evermont!$B169)</f>
        <v/>
      </c>
      <c r="C1367" s="0" t="str">
        <f aca="false">IF($A1367="","",Evermont!$C169)</f>
        <v/>
      </c>
      <c r="D1367" s="0" t="str">
        <f aca="false">IF($A1367="","","Nouvelle compétence")</f>
        <v/>
      </c>
      <c r="E1367" s="0" t="str">
        <f aca="false">IF($A1367="","",Evermont!$D169)</f>
        <v/>
      </c>
      <c r="F1367" s="116" t="str">
        <f aca="false">IF($A1367="","",Evermont!$F169)</f>
        <v/>
      </c>
      <c r="G1367" s="116" t="str">
        <f aca="false">IF($A1367="","",Evermont!$G169)</f>
        <v/>
      </c>
      <c r="H1367" s="0" t="str">
        <f aca="false">IF($A1367="","",Evermont!$K169)</f>
        <v/>
      </c>
      <c r="I1367" s="0" t="str">
        <f aca="false">IF($A1367="","",Evermont!$Q169)</f>
        <v/>
      </c>
      <c r="K1367" s="104" t="n">
        <f aca="false">IF(A1367="",0,IF(IFERROR(VLOOKUP(A1367,Skills!$A:$M,13,FALSE()),"")="COS",0,IF(OR(I1367="En cours",I1367="À venir",I1367="À planifier"),IF(AND(OR($C$3="Tous",$C$3="",C1367=$C$3),OR($E$3="Tous",$E$3="",I1367=$E$3)),1,0),0)))</f>
        <v>0</v>
      </c>
      <c r="L1367" s="104" t="n">
        <f aca="false">L1366+K1367</f>
        <v>19</v>
      </c>
    </row>
    <row r="1368" customFormat="false" ht="15" hidden="true" customHeight="true" outlineLevel="0" collapsed="false">
      <c r="A1368" s="0" t="str">
        <f aca="false">IF(Evermont!$A170="","",Evermont!$A170)</f>
        <v/>
      </c>
      <c r="B1368" s="0" t="str">
        <f aca="false">IF($A1368="","",Evermont!$B170)</f>
        <v/>
      </c>
      <c r="C1368" s="0" t="str">
        <f aca="false">IF($A1368="","",Evermont!$C170)</f>
        <v/>
      </c>
      <c r="D1368" s="0" t="str">
        <f aca="false">IF($A1368="","","Nouvelle compétence")</f>
        <v/>
      </c>
      <c r="E1368" s="0" t="str">
        <f aca="false">IF($A1368="","",Evermont!$D170)</f>
        <v/>
      </c>
      <c r="F1368" s="116" t="str">
        <f aca="false">IF($A1368="","",Evermont!$F170)</f>
        <v/>
      </c>
      <c r="G1368" s="116" t="str">
        <f aca="false">IF($A1368="","",Evermont!$G170)</f>
        <v/>
      </c>
      <c r="H1368" s="0" t="str">
        <f aca="false">IF($A1368="","",Evermont!$K170)</f>
        <v/>
      </c>
      <c r="I1368" s="0" t="str">
        <f aca="false">IF($A1368="","",Evermont!$Q170)</f>
        <v/>
      </c>
      <c r="K1368" s="104" t="n">
        <f aca="false">IF(A1368="",0,IF(IFERROR(VLOOKUP(A1368,Skills!$A:$M,13,FALSE()),"")="COS",0,IF(OR(I1368="En cours",I1368="À venir",I1368="À planifier"),IF(AND(OR($C$3="Tous",$C$3="",C1368=$C$3),OR($E$3="Tous",$E$3="",I1368=$E$3)),1,0),0)))</f>
        <v>0</v>
      </c>
      <c r="L1368" s="104" t="n">
        <f aca="false">L1367+K1368</f>
        <v>19</v>
      </c>
    </row>
    <row r="1369" customFormat="false" ht="15" hidden="true" customHeight="true" outlineLevel="0" collapsed="false">
      <c r="A1369" s="0" t="str">
        <f aca="false">IF(Evermont!$A171="","",Evermont!$A171)</f>
        <v/>
      </c>
      <c r="B1369" s="0" t="str">
        <f aca="false">IF($A1369="","",Evermont!$B171)</f>
        <v/>
      </c>
      <c r="C1369" s="0" t="str">
        <f aca="false">IF($A1369="","",Evermont!$C171)</f>
        <v/>
      </c>
      <c r="D1369" s="0" t="str">
        <f aca="false">IF($A1369="","","Nouvelle compétence")</f>
        <v/>
      </c>
      <c r="E1369" s="0" t="str">
        <f aca="false">IF($A1369="","",Evermont!$D171)</f>
        <v/>
      </c>
      <c r="F1369" s="116" t="str">
        <f aca="false">IF($A1369="","",Evermont!$F171)</f>
        <v/>
      </c>
      <c r="G1369" s="116" t="str">
        <f aca="false">IF($A1369="","",Evermont!$G171)</f>
        <v/>
      </c>
      <c r="H1369" s="0" t="str">
        <f aca="false">IF($A1369="","",Evermont!$K171)</f>
        <v/>
      </c>
      <c r="I1369" s="0" t="str">
        <f aca="false">IF($A1369="","",Evermont!$Q171)</f>
        <v/>
      </c>
      <c r="K1369" s="104" t="n">
        <f aca="false">IF(A1369="",0,IF(IFERROR(VLOOKUP(A1369,Skills!$A:$M,13,FALSE()),"")="COS",0,IF(OR(I1369="En cours",I1369="À venir",I1369="À planifier"),IF(AND(OR($C$3="Tous",$C$3="",C1369=$C$3),OR($E$3="Tous",$E$3="",I1369=$E$3)),1,0),0)))</f>
        <v>0</v>
      </c>
      <c r="L1369" s="104" t="n">
        <f aca="false">L1368+K1369</f>
        <v>19</v>
      </c>
    </row>
    <row r="1370" customFormat="false" ht="15" hidden="true" customHeight="true" outlineLevel="0" collapsed="false">
      <c r="A1370" s="0" t="str">
        <f aca="false">IF(Evermont!$A172="","",Evermont!$A172)</f>
        <v/>
      </c>
      <c r="B1370" s="0" t="str">
        <f aca="false">IF($A1370="","",Evermont!$B172)</f>
        <v/>
      </c>
      <c r="C1370" s="0" t="str">
        <f aca="false">IF($A1370="","",Evermont!$C172)</f>
        <v/>
      </c>
      <c r="D1370" s="0" t="str">
        <f aca="false">IF($A1370="","","Nouvelle compétence")</f>
        <v/>
      </c>
      <c r="E1370" s="0" t="str">
        <f aca="false">IF($A1370="","",Evermont!$D172)</f>
        <v/>
      </c>
      <c r="F1370" s="116" t="str">
        <f aca="false">IF($A1370="","",Evermont!$F172)</f>
        <v/>
      </c>
      <c r="G1370" s="116" t="str">
        <f aca="false">IF($A1370="","",Evermont!$G172)</f>
        <v/>
      </c>
      <c r="H1370" s="0" t="str">
        <f aca="false">IF($A1370="","",Evermont!$K172)</f>
        <v/>
      </c>
      <c r="I1370" s="0" t="str">
        <f aca="false">IF($A1370="","",Evermont!$Q172)</f>
        <v/>
      </c>
      <c r="K1370" s="104" t="n">
        <f aca="false">IF(A1370="",0,IF(IFERROR(VLOOKUP(A1370,Skills!$A:$M,13,FALSE()),"")="COS",0,IF(OR(I1370="En cours",I1370="À venir",I1370="À planifier"),IF(AND(OR($C$3="Tous",$C$3="",C1370=$C$3),OR($E$3="Tous",$E$3="",I1370=$E$3)),1,0),0)))</f>
        <v>0</v>
      </c>
      <c r="L1370" s="104" t="n">
        <f aca="false">L1369+K1370</f>
        <v>19</v>
      </c>
    </row>
    <row r="1371" customFormat="false" ht="15" hidden="true" customHeight="true" outlineLevel="0" collapsed="false">
      <c r="A1371" s="0" t="str">
        <f aca="false">IF(Evermont!$A173="","",Evermont!$A173)</f>
        <v/>
      </c>
      <c r="B1371" s="0" t="str">
        <f aca="false">IF($A1371="","",Evermont!$B173)</f>
        <v/>
      </c>
      <c r="C1371" s="0" t="str">
        <f aca="false">IF($A1371="","",Evermont!$C173)</f>
        <v/>
      </c>
      <c r="D1371" s="0" t="str">
        <f aca="false">IF($A1371="","","Nouvelle compétence")</f>
        <v/>
      </c>
      <c r="E1371" s="0" t="str">
        <f aca="false">IF($A1371="","",Evermont!$D173)</f>
        <v/>
      </c>
      <c r="F1371" s="116" t="str">
        <f aca="false">IF($A1371="","",Evermont!$F173)</f>
        <v/>
      </c>
      <c r="G1371" s="116" t="str">
        <f aca="false">IF($A1371="","",Evermont!$G173)</f>
        <v/>
      </c>
      <c r="H1371" s="0" t="str">
        <f aca="false">IF($A1371="","",Evermont!$K173)</f>
        <v/>
      </c>
      <c r="I1371" s="0" t="str">
        <f aca="false">IF($A1371="","",Evermont!$Q173)</f>
        <v/>
      </c>
      <c r="K1371" s="104" t="n">
        <f aca="false">IF(A1371="",0,IF(IFERROR(VLOOKUP(A1371,Skills!$A:$M,13,FALSE()),"")="COS",0,IF(OR(I1371="En cours",I1371="À venir",I1371="À planifier"),IF(AND(OR($C$3="Tous",$C$3="",C1371=$C$3),OR($E$3="Tous",$E$3="",I1371=$E$3)),1,0),0)))</f>
        <v>0</v>
      </c>
      <c r="L1371" s="104" t="n">
        <f aca="false">L1370+K1371</f>
        <v>19</v>
      </c>
    </row>
    <row r="1372" customFormat="false" ht="15" hidden="true" customHeight="true" outlineLevel="0" collapsed="false">
      <c r="A1372" s="0" t="str">
        <f aca="false">IF(Evermont!$A174="","",Evermont!$A174)</f>
        <v/>
      </c>
      <c r="B1372" s="0" t="str">
        <f aca="false">IF($A1372="","",Evermont!$B174)</f>
        <v/>
      </c>
      <c r="C1372" s="0" t="str">
        <f aca="false">IF($A1372="","",Evermont!$C174)</f>
        <v/>
      </c>
      <c r="D1372" s="0" t="str">
        <f aca="false">IF($A1372="","","Nouvelle compétence")</f>
        <v/>
      </c>
      <c r="E1372" s="0" t="str">
        <f aca="false">IF($A1372="","",Evermont!$D174)</f>
        <v/>
      </c>
      <c r="F1372" s="116" t="str">
        <f aca="false">IF($A1372="","",Evermont!$F174)</f>
        <v/>
      </c>
      <c r="G1372" s="116" t="str">
        <f aca="false">IF($A1372="","",Evermont!$G174)</f>
        <v/>
      </c>
      <c r="H1372" s="0" t="str">
        <f aca="false">IF($A1372="","",Evermont!$K174)</f>
        <v/>
      </c>
      <c r="I1372" s="0" t="str">
        <f aca="false">IF($A1372="","",Evermont!$Q174)</f>
        <v/>
      </c>
      <c r="K1372" s="104" t="n">
        <f aca="false">IF(A1372="",0,IF(IFERROR(VLOOKUP(A1372,Skills!$A:$M,13,FALSE()),"")="COS",0,IF(OR(I1372="En cours",I1372="À venir",I1372="À planifier"),IF(AND(OR($C$3="Tous",$C$3="",C1372=$C$3),OR($E$3="Tous",$E$3="",I1372=$E$3)),1,0),0)))</f>
        <v>0</v>
      </c>
      <c r="L1372" s="104" t="n">
        <f aca="false">L1371+K1372</f>
        <v>19</v>
      </c>
    </row>
    <row r="1373" customFormat="false" ht="15" hidden="true" customHeight="true" outlineLevel="0" collapsed="false">
      <c r="A1373" s="0" t="str">
        <f aca="false">IF(Evermont!$A175="","",Evermont!$A175)</f>
        <v/>
      </c>
      <c r="B1373" s="0" t="str">
        <f aca="false">IF($A1373="","",Evermont!$B175)</f>
        <v/>
      </c>
      <c r="C1373" s="0" t="str">
        <f aca="false">IF($A1373="","",Evermont!$C175)</f>
        <v/>
      </c>
      <c r="D1373" s="0" t="str">
        <f aca="false">IF($A1373="","","Nouvelle compétence")</f>
        <v/>
      </c>
      <c r="E1373" s="0" t="str">
        <f aca="false">IF($A1373="","",Evermont!$D175)</f>
        <v/>
      </c>
      <c r="F1373" s="116" t="str">
        <f aca="false">IF($A1373="","",Evermont!$F175)</f>
        <v/>
      </c>
      <c r="G1373" s="116" t="str">
        <f aca="false">IF($A1373="","",Evermont!$G175)</f>
        <v/>
      </c>
      <c r="H1373" s="0" t="str">
        <f aca="false">IF($A1373="","",Evermont!$K175)</f>
        <v/>
      </c>
      <c r="I1373" s="0" t="str">
        <f aca="false">IF($A1373="","",Evermont!$Q175)</f>
        <v/>
      </c>
      <c r="K1373" s="104" t="n">
        <f aca="false">IF(A1373="",0,IF(IFERROR(VLOOKUP(A1373,Skills!$A:$M,13,FALSE()),"")="COS",0,IF(OR(I1373="En cours",I1373="À venir",I1373="À planifier"),IF(AND(OR($C$3="Tous",$C$3="",C1373=$C$3),OR($E$3="Tous",$E$3="",I1373=$E$3)),1,0),0)))</f>
        <v>0</v>
      </c>
      <c r="L1373" s="104" t="n">
        <f aca="false">L1372+K1373</f>
        <v>19</v>
      </c>
    </row>
    <row r="1374" customFormat="false" ht="15" hidden="true" customHeight="true" outlineLevel="0" collapsed="false">
      <c r="A1374" s="0" t="str">
        <f aca="false">IF(Evermont!$A176="","",Evermont!$A176)</f>
        <v/>
      </c>
      <c r="B1374" s="0" t="str">
        <f aca="false">IF($A1374="","",Evermont!$B176)</f>
        <v/>
      </c>
      <c r="C1374" s="0" t="str">
        <f aca="false">IF($A1374="","",Evermont!$C176)</f>
        <v/>
      </c>
      <c r="D1374" s="0" t="str">
        <f aca="false">IF($A1374="","","Nouvelle compétence")</f>
        <v/>
      </c>
      <c r="E1374" s="0" t="str">
        <f aca="false">IF($A1374="","",Evermont!$D176)</f>
        <v/>
      </c>
      <c r="F1374" s="116" t="str">
        <f aca="false">IF($A1374="","",Evermont!$F176)</f>
        <v/>
      </c>
      <c r="G1374" s="116" t="str">
        <f aca="false">IF($A1374="","",Evermont!$G176)</f>
        <v/>
      </c>
      <c r="H1374" s="0" t="str">
        <f aca="false">IF($A1374="","",Evermont!$K176)</f>
        <v/>
      </c>
      <c r="I1374" s="0" t="str">
        <f aca="false">IF($A1374="","",Evermont!$Q176)</f>
        <v/>
      </c>
      <c r="K1374" s="104" t="n">
        <f aca="false">IF(A1374="",0,IF(IFERROR(VLOOKUP(A1374,Skills!$A:$M,13,FALSE()),"")="COS",0,IF(OR(I1374="En cours",I1374="À venir",I1374="À planifier"),IF(AND(OR($C$3="Tous",$C$3="",C1374=$C$3),OR($E$3="Tous",$E$3="",I1374=$E$3)),1,0),0)))</f>
        <v>0</v>
      </c>
      <c r="L1374" s="104" t="n">
        <f aca="false">L1373+K1374</f>
        <v>19</v>
      </c>
    </row>
    <row r="1375" customFormat="false" ht="15" hidden="true" customHeight="true" outlineLevel="0" collapsed="false">
      <c r="A1375" s="0" t="str">
        <f aca="false">IF(Evermont!$A177="","",Evermont!$A177)</f>
        <v/>
      </c>
      <c r="B1375" s="0" t="str">
        <f aca="false">IF($A1375="","",Evermont!$B177)</f>
        <v/>
      </c>
      <c r="C1375" s="0" t="str">
        <f aca="false">IF($A1375="","",Evermont!$C177)</f>
        <v/>
      </c>
      <c r="D1375" s="0" t="str">
        <f aca="false">IF($A1375="","","Nouvelle compétence")</f>
        <v/>
      </c>
      <c r="E1375" s="0" t="str">
        <f aca="false">IF($A1375="","",Evermont!$D177)</f>
        <v/>
      </c>
      <c r="F1375" s="116" t="str">
        <f aca="false">IF($A1375="","",Evermont!$F177)</f>
        <v/>
      </c>
      <c r="G1375" s="116" t="str">
        <f aca="false">IF($A1375="","",Evermont!$G177)</f>
        <v/>
      </c>
      <c r="H1375" s="0" t="str">
        <f aca="false">IF($A1375="","",Evermont!$K177)</f>
        <v/>
      </c>
      <c r="I1375" s="0" t="str">
        <f aca="false">IF($A1375="","",Evermont!$Q177)</f>
        <v/>
      </c>
      <c r="K1375" s="104" t="n">
        <f aca="false">IF(A1375="",0,IF(IFERROR(VLOOKUP(A1375,Skills!$A:$M,13,FALSE()),"")="COS",0,IF(OR(I1375="En cours",I1375="À venir",I1375="À planifier"),IF(AND(OR($C$3="Tous",$C$3="",C1375=$C$3),OR($E$3="Tous",$E$3="",I1375=$E$3)),1,0),0)))</f>
        <v>0</v>
      </c>
      <c r="L1375" s="104" t="n">
        <f aca="false">L1374+K1375</f>
        <v>19</v>
      </c>
    </row>
    <row r="1376" customFormat="false" ht="15" hidden="true" customHeight="true" outlineLevel="0" collapsed="false">
      <c r="A1376" s="0" t="str">
        <f aca="false">IF(Evermont!$A178="","",Evermont!$A178)</f>
        <v/>
      </c>
      <c r="B1376" s="0" t="str">
        <f aca="false">IF($A1376="","",Evermont!$B178)</f>
        <v/>
      </c>
      <c r="C1376" s="0" t="str">
        <f aca="false">IF($A1376="","",Evermont!$C178)</f>
        <v/>
      </c>
      <c r="D1376" s="0" t="str">
        <f aca="false">IF($A1376="","","Nouvelle compétence")</f>
        <v/>
      </c>
      <c r="E1376" s="0" t="str">
        <f aca="false">IF($A1376="","",Evermont!$D178)</f>
        <v/>
      </c>
      <c r="F1376" s="116" t="str">
        <f aca="false">IF($A1376="","",Evermont!$F178)</f>
        <v/>
      </c>
      <c r="G1376" s="116" t="str">
        <f aca="false">IF($A1376="","",Evermont!$G178)</f>
        <v/>
      </c>
      <c r="H1376" s="0" t="str">
        <f aca="false">IF($A1376="","",Evermont!$K178)</f>
        <v/>
      </c>
      <c r="I1376" s="0" t="str">
        <f aca="false">IF($A1376="","",Evermont!$Q178)</f>
        <v/>
      </c>
      <c r="K1376" s="104" t="n">
        <f aca="false">IF(A1376="",0,IF(IFERROR(VLOOKUP(A1376,Skills!$A:$M,13,FALSE()),"")="COS",0,IF(OR(I1376="En cours",I1376="À venir",I1376="À planifier"),IF(AND(OR($C$3="Tous",$C$3="",C1376=$C$3),OR($E$3="Tous",$E$3="",I1376=$E$3)),1,0),0)))</f>
        <v>0</v>
      </c>
      <c r="L1376" s="104" t="n">
        <f aca="false">L1375+K1376</f>
        <v>19</v>
      </c>
    </row>
    <row r="1377" customFormat="false" ht="15" hidden="true" customHeight="true" outlineLevel="0" collapsed="false">
      <c r="A1377" s="0" t="str">
        <f aca="false">IF(Evermont!$A179="","",Evermont!$A179)</f>
        <v/>
      </c>
      <c r="B1377" s="0" t="str">
        <f aca="false">IF($A1377="","",Evermont!$B179)</f>
        <v/>
      </c>
      <c r="C1377" s="0" t="str">
        <f aca="false">IF($A1377="","",Evermont!$C179)</f>
        <v/>
      </c>
      <c r="D1377" s="0" t="str">
        <f aca="false">IF($A1377="","","Nouvelle compétence")</f>
        <v/>
      </c>
      <c r="E1377" s="0" t="str">
        <f aca="false">IF($A1377="","",Evermont!$D179)</f>
        <v/>
      </c>
      <c r="F1377" s="116" t="str">
        <f aca="false">IF($A1377="","",Evermont!$F179)</f>
        <v/>
      </c>
      <c r="G1377" s="116" t="str">
        <f aca="false">IF($A1377="","",Evermont!$G179)</f>
        <v/>
      </c>
      <c r="H1377" s="0" t="str">
        <f aca="false">IF($A1377="","",Evermont!$K179)</f>
        <v/>
      </c>
      <c r="I1377" s="0" t="str">
        <f aca="false">IF($A1377="","",Evermont!$Q179)</f>
        <v/>
      </c>
      <c r="K1377" s="104" t="n">
        <f aca="false">IF(A1377="",0,IF(IFERROR(VLOOKUP(A1377,Skills!$A:$M,13,FALSE()),"")="COS",0,IF(OR(I1377="En cours",I1377="À venir",I1377="À planifier"),IF(AND(OR($C$3="Tous",$C$3="",C1377=$C$3),OR($E$3="Tous",$E$3="",I1377=$E$3)),1,0),0)))</f>
        <v>0</v>
      </c>
      <c r="L1377" s="104" t="n">
        <f aca="false">L1376+K1377</f>
        <v>19</v>
      </c>
    </row>
    <row r="1378" customFormat="false" ht="15" hidden="true" customHeight="true" outlineLevel="0" collapsed="false">
      <c r="A1378" s="0" t="str">
        <f aca="false">IF(Evermont!$A180="","",Evermont!$A180)</f>
        <v/>
      </c>
      <c r="B1378" s="0" t="str">
        <f aca="false">IF($A1378="","",Evermont!$B180)</f>
        <v/>
      </c>
      <c r="C1378" s="0" t="str">
        <f aca="false">IF($A1378="","",Evermont!$C180)</f>
        <v/>
      </c>
      <c r="D1378" s="0" t="str">
        <f aca="false">IF($A1378="","","Nouvelle compétence")</f>
        <v/>
      </c>
      <c r="E1378" s="0" t="str">
        <f aca="false">IF($A1378="","",Evermont!$D180)</f>
        <v/>
      </c>
      <c r="F1378" s="116" t="str">
        <f aca="false">IF($A1378="","",Evermont!$F180)</f>
        <v/>
      </c>
      <c r="G1378" s="116" t="str">
        <f aca="false">IF($A1378="","",Evermont!$G180)</f>
        <v/>
      </c>
      <c r="H1378" s="0" t="str">
        <f aca="false">IF($A1378="","",Evermont!$K180)</f>
        <v/>
      </c>
      <c r="I1378" s="0" t="str">
        <f aca="false">IF($A1378="","",Evermont!$Q180)</f>
        <v/>
      </c>
      <c r="K1378" s="104" t="n">
        <f aca="false">IF(A1378="",0,IF(IFERROR(VLOOKUP(A1378,Skills!$A:$M,13,FALSE()),"")="COS",0,IF(OR(I1378="En cours",I1378="À venir",I1378="À planifier"),IF(AND(OR($C$3="Tous",$C$3="",C1378=$C$3),OR($E$3="Tous",$E$3="",I1378=$E$3)),1,0),0)))</f>
        <v>0</v>
      </c>
      <c r="L1378" s="104" t="n">
        <f aca="false">L1377+K1378</f>
        <v>19</v>
      </c>
    </row>
    <row r="1379" customFormat="false" ht="15" hidden="true" customHeight="true" outlineLevel="0" collapsed="false">
      <c r="A1379" s="0" t="str">
        <f aca="false">IF(Evermont!$A181="","",Evermont!$A181)</f>
        <v/>
      </c>
      <c r="B1379" s="0" t="str">
        <f aca="false">IF($A1379="","",Evermont!$B181)</f>
        <v/>
      </c>
      <c r="C1379" s="0" t="str">
        <f aca="false">IF($A1379="","",Evermont!$C181)</f>
        <v/>
      </c>
      <c r="D1379" s="0" t="str">
        <f aca="false">IF($A1379="","","Nouvelle compétence")</f>
        <v/>
      </c>
      <c r="E1379" s="0" t="str">
        <f aca="false">IF($A1379="","",Evermont!$D181)</f>
        <v/>
      </c>
      <c r="F1379" s="116" t="str">
        <f aca="false">IF($A1379="","",Evermont!$F181)</f>
        <v/>
      </c>
      <c r="G1379" s="116" t="str">
        <f aca="false">IF($A1379="","",Evermont!$G181)</f>
        <v/>
      </c>
      <c r="H1379" s="0" t="str">
        <f aca="false">IF($A1379="","",Evermont!$K181)</f>
        <v/>
      </c>
      <c r="I1379" s="0" t="str">
        <f aca="false">IF($A1379="","",Evermont!$Q181)</f>
        <v/>
      </c>
      <c r="K1379" s="104" t="n">
        <f aca="false">IF(A1379="",0,IF(IFERROR(VLOOKUP(A1379,Skills!$A:$M,13,FALSE()),"")="COS",0,IF(OR(I1379="En cours",I1379="À venir",I1379="À planifier"),IF(AND(OR($C$3="Tous",$C$3="",C1379=$C$3),OR($E$3="Tous",$E$3="",I1379=$E$3)),1,0),0)))</f>
        <v>0</v>
      </c>
      <c r="L1379" s="104" t="n">
        <f aca="false">L1378+K1379</f>
        <v>19</v>
      </c>
    </row>
    <row r="1380" customFormat="false" ht="15" hidden="true" customHeight="true" outlineLevel="0" collapsed="false">
      <c r="A1380" s="0" t="str">
        <f aca="false">IF(Evermont!$A182="","",Evermont!$A182)</f>
        <v/>
      </c>
      <c r="B1380" s="0" t="str">
        <f aca="false">IF($A1380="","",Evermont!$B182)</f>
        <v/>
      </c>
      <c r="C1380" s="0" t="str">
        <f aca="false">IF($A1380="","",Evermont!$C182)</f>
        <v/>
      </c>
      <c r="D1380" s="0" t="str">
        <f aca="false">IF($A1380="","","Nouvelle compétence")</f>
        <v/>
      </c>
      <c r="E1380" s="0" t="str">
        <f aca="false">IF($A1380="","",Evermont!$D182)</f>
        <v/>
      </c>
      <c r="F1380" s="116" t="str">
        <f aca="false">IF($A1380="","",Evermont!$F182)</f>
        <v/>
      </c>
      <c r="G1380" s="116" t="str">
        <f aca="false">IF($A1380="","",Evermont!$G182)</f>
        <v/>
      </c>
      <c r="H1380" s="0" t="str">
        <f aca="false">IF($A1380="","",Evermont!$K182)</f>
        <v/>
      </c>
      <c r="I1380" s="0" t="str">
        <f aca="false">IF($A1380="","",Evermont!$Q182)</f>
        <v/>
      </c>
      <c r="K1380" s="104" t="n">
        <f aca="false">IF(A1380="",0,IF(IFERROR(VLOOKUP(A1380,Skills!$A:$M,13,FALSE()),"")="COS",0,IF(OR(I1380="En cours",I1380="À venir",I1380="À planifier"),IF(AND(OR($C$3="Tous",$C$3="",C1380=$C$3),OR($E$3="Tous",$E$3="",I1380=$E$3)),1,0),0)))</f>
        <v>0</v>
      </c>
      <c r="L1380" s="104" t="n">
        <f aca="false">L1379+K1380</f>
        <v>19</v>
      </c>
    </row>
    <row r="1381" customFormat="false" ht="15" hidden="true" customHeight="true" outlineLevel="0" collapsed="false">
      <c r="A1381" s="0" t="str">
        <f aca="false">IF(Evermont!$A183="","",Evermont!$A183)</f>
        <v/>
      </c>
      <c r="B1381" s="0" t="str">
        <f aca="false">IF($A1381="","",Evermont!$B183)</f>
        <v/>
      </c>
      <c r="C1381" s="0" t="str">
        <f aca="false">IF($A1381="","",Evermont!$C183)</f>
        <v/>
      </c>
      <c r="D1381" s="0" t="str">
        <f aca="false">IF($A1381="","","Nouvelle compétence")</f>
        <v/>
      </c>
      <c r="E1381" s="0" t="str">
        <f aca="false">IF($A1381="","",Evermont!$D183)</f>
        <v/>
      </c>
      <c r="F1381" s="116" t="str">
        <f aca="false">IF($A1381="","",Evermont!$F183)</f>
        <v/>
      </c>
      <c r="G1381" s="116" t="str">
        <f aca="false">IF($A1381="","",Evermont!$G183)</f>
        <v/>
      </c>
      <c r="H1381" s="0" t="str">
        <f aca="false">IF($A1381="","",Evermont!$K183)</f>
        <v/>
      </c>
      <c r="I1381" s="0" t="str">
        <f aca="false">IF($A1381="","",Evermont!$Q183)</f>
        <v/>
      </c>
      <c r="K1381" s="104" t="n">
        <f aca="false">IF(A1381="",0,IF(IFERROR(VLOOKUP(A1381,Skills!$A:$M,13,FALSE()),"")="COS",0,IF(OR(I1381="En cours",I1381="À venir",I1381="À planifier"),IF(AND(OR($C$3="Tous",$C$3="",C1381=$C$3),OR($E$3="Tous",$E$3="",I1381=$E$3)),1,0),0)))</f>
        <v>0</v>
      </c>
      <c r="L1381" s="104" t="n">
        <f aca="false">L1380+K1381</f>
        <v>19</v>
      </c>
    </row>
    <row r="1382" customFormat="false" ht="15" hidden="true" customHeight="true" outlineLevel="0" collapsed="false">
      <c r="A1382" s="0" t="str">
        <f aca="false">IF(Evermont!$A184="","",Evermont!$A184)</f>
        <v/>
      </c>
      <c r="B1382" s="0" t="str">
        <f aca="false">IF($A1382="","",Evermont!$B184)</f>
        <v/>
      </c>
      <c r="C1382" s="0" t="str">
        <f aca="false">IF($A1382="","",Evermont!$C184)</f>
        <v/>
      </c>
      <c r="D1382" s="0" t="str">
        <f aca="false">IF($A1382="","","Nouvelle compétence")</f>
        <v/>
      </c>
      <c r="E1382" s="0" t="str">
        <f aca="false">IF($A1382="","",Evermont!$D184)</f>
        <v/>
      </c>
      <c r="F1382" s="116" t="str">
        <f aca="false">IF($A1382="","",Evermont!$F184)</f>
        <v/>
      </c>
      <c r="G1382" s="116" t="str">
        <f aca="false">IF($A1382="","",Evermont!$G184)</f>
        <v/>
      </c>
      <c r="H1382" s="0" t="str">
        <f aca="false">IF($A1382="","",Evermont!$K184)</f>
        <v/>
      </c>
      <c r="I1382" s="0" t="str">
        <f aca="false">IF($A1382="","",Evermont!$Q184)</f>
        <v/>
      </c>
      <c r="K1382" s="104" t="n">
        <f aca="false">IF(A1382="",0,IF(IFERROR(VLOOKUP(A1382,Skills!$A:$M,13,FALSE()),"")="COS",0,IF(OR(I1382="En cours",I1382="À venir",I1382="À planifier"),IF(AND(OR($C$3="Tous",$C$3="",C1382=$C$3),OR($E$3="Tous",$E$3="",I1382=$E$3)),1,0),0)))</f>
        <v>0</v>
      </c>
      <c r="L1382" s="104" t="n">
        <f aca="false">L1381+K1382</f>
        <v>19</v>
      </c>
    </row>
    <row r="1383" customFormat="false" ht="15" hidden="true" customHeight="true" outlineLevel="0" collapsed="false">
      <c r="A1383" s="0" t="str">
        <f aca="false">IF(Evermont!$A185="","",Evermont!$A185)</f>
        <v/>
      </c>
      <c r="B1383" s="0" t="str">
        <f aca="false">IF($A1383="","",Evermont!$B185)</f>
        <v/>
      </c>
      <c r="C1383" s="0" t="str">
        <f aca="false">IF($A1383="","",Evermont!$C185)</f>
        <v/>
      </c>
      <c r="D1383" s="0" t="str">
        <f aca="false">IF($A1383="","","Nouvelle compétence")</f>
        <v/>
      </c>
      <c r="E1383" s="0" t="str">
        <f aca="false">IF($A1383="","",Evermont!$D185)</f>
        <v/>
      </c>
      <c r="F1383" s="116" t="str">
        <f aca="false">IF($A1383="","",Evermont!$F185)</f>
        <v/>
      </c>
      <c r="G1383" s="116" t="str">
        <f aca="false">IF($A1383="","",Evermont!$G185)</f>
        <v/>
      </c>
      <c r="H1383" s="0" t="str">
        <f aca="false">IF($A1383="","",Evermont!$K185)</f>
        <v/>
      </c>
      <c r="I1383" s="0" t="str">
        <f aca="false">IF($A1383="","",Evermont!$Q185)</f>
        <v/>
      </c>
      <c r="K1383" s="104" t="n">
        <f aca="false">IF(A1383="",0,IF(IFERROR(VLOOKUP(A1383,Skills!$A:$M,13,FALSE()),"")="COS",0,IF(OR(I1383="En cours",I1383="À venir",I1383="À planifier"),IF(AND(OR($C$3="Tous",$C$3="",C1383=$C$3),OR($E$3="Tous",$E$3="",I1383=$E$3)),1,0),0)))</f>
        <v>0</v>
      </c>
      <c r="L1383" s="104" t="n">
        <f aca="false">L1382+K1383</f>
        <v>19</v>
      </c>
    </row>
    <row r="1384" customFormat="false" ht="15" hidden="true" customHeight="true" outlineLevel="0" collapsed="false">
      <c r="A1384" s="0" t="str">
        <f aca="false">IF(Evermont!$A186="","",Evermont!$A186)</f>
        <v/>
      </c>
      <c r="B1384" s="0" t="str">
        <f aca="false">IF($A1384="","",Evermont!$B186)</f>
        <v/>
      </c>
      <c r="C1384" s="0" t="str">
        <f aca="false">IF($A1384="","",Evermont!$C186)</f>
        <v/>
      </c>
      <c r="D1384" s="0" t="str">
        <f aca="false">IF($A1384="","","Nouvelle compétence")</f>
        <v/>
      </c>
      <c r="E1384" s="0" t="str">
        <f aca="false">IF($A1384="","",Evermont!$D186)</f>
        <v/>
      </c>
      <c r="F1384" s="116" t="str">
        <f aca="false">IF($A1384="","",Evermont!$F186)</f>
        <v/>
      </c>
      <c r="G1384" s="116" t="str">
        <f aca="false">IF($A1384="","",Evermont!$G186)</f>
        <v/>
      </c>
      <c r="H1384" s="0" t="str">
        <f aca="false">IF($A1384="","",Evermont!$K186)</f>
        <v/>
      </c>
      <c r="I1384" s="0" t="str">
        <f aca="false">IF($A1384="","",Evermont!$Q186)</f>
        <v/>
      </c>
      <c r="K1384" s="104" t="n">
        <f aca="false">IF(A1384="",0,IF(IFERROR(VLOOKUP(A1384,Skills!$A:$M,13,FALSE()),"")="COS",0,IF(OR(I1384="En cours",I1384="À venir",I1384="À planifier"),IF(AND(OR($C$3="Tous",$C$3="",C1384=$C$3),OR($E$3="Tous",$E$3="",I1384=$E$3)),1,0),0)))</f>
        <v>0</v>
      </c>
      <c r="L1384" s="104" t="n">
        <f aca="false">L1383+K1384</f>
        <v>19</v>
      </c>
    </row>
    <row r="1385" customFormat="false" ht="15" hidden="true" customHeight="true" outlineLevel="0" collapsed="false">
      <c r="A1385" s="0" t="str">
        <f aca="false">IF(Evermont!$A187="","",Evermont!$A187)</f>
        <v/>
      </c>
      <c r="B1385" s="0" t="str">
        <f aca="false">IF($A1385="","",Evermont!$B187)</f>
        <v/>
      </c>
      <c r="C1385" s="0" t="str">
        <f aca="false">IF($A1385="","",Evermont!$C187)</f>
        <v/>
      </c>
      <c r="D1385" s="0" t="str">
        <f aca="false">IF($A1385="","","Nouvelle compétence")</f>
        <v/>
      </c>
      <c r="E1385" s="0" t="str">
        <f aca="false">IF($A1385="","",Evermont!$D187)</f>
        <v/>
      </c>
      <c r="F1385" s="116" t="str">
        <f aca="false">IF($A1385="","",Evermont!$F187)</f>
        <v/>
      </c>
      <c r="G1385" s="116" t="str">
        <f aca="false">IF($A1385="","",Evermont!$G187)</f>
        <v/>
      </c>
      <c r="H1385" s="0" t="str">
        <f aca="false">IF($A1385="","",Evermont!$K187)</f>
        <v/>
      </c>
      <c r="I1385" s="0" t="str">
        <f aca="false">IF($A1385="","",Evermont!$Q187)</f>
        <v/>
      </c>
      <c r="K1385" s="104" t="n">
        <f aca="false">IF(A1385="",0,IF(IFERROR(VLOOKUP(A1385,Skills!$A:$M,13,FALSE()),"")="COS",0,IF(OR(I1385="En cours",I1385="À venir",I1385="À planifier"),IF(AND(OR($C$3="Tous",$C$3="",C1385=$C$3),OR($E$3="Tous",$E$3="",I1385=$E$3)),1,0),0)))</f>
        <v>0</v>
      </c>
      <c r="L1385" s="104" t="n">
        <f aca="false">L1384+K1385</f>
        <v>19</v>
      </c>
    </row>
    <row r="1386" customFormat="false" ht="15" hidden="true" customHeight="true" outlineLevel="0" collapsed="false">
      <c r="A1386" s="0" t="str">
        <f aca="false">IF(Evermont!$A188="","",Evermont!$A188)</f>
        <v/>
      </c>
      <c r="B1386" s="0" t="str">
        <f aca="false">IF($A1386="","",Evermont!$B188)</f>
        <v/>
      </c>
      <c r="C1386" s="0" t="str">
        <f aca="false">IF($A1386="","",Evermont!$C188)</f>
        <v/>
      </c>
      <c r="D1386" s="0" t="str">
        <f aca="false">IF($A1386="","","Nouvelle compétence")</f>
        <v/>
      </c>
      <c r="E1386" s="0" t="str">
        <f aca="false">IF($A1386="","",Evermont!$D188)</f>
        <v/>
      </c>
      <c r="F1386" s="116" t="str">
        <f aca="false">IF($A1386="","",Evermont!$F188)</f>
        <v/>
      </c>
      <c r="G1386" s="116" t="str">
        <f aca="false">IF($A1386="","",Evermont!$G188)</f>
        <v/>
      </c>
      <c r="H1386" s="0" t="str">
        <f aca="false">IF($A1386="","",Evermont!$K188)</f>
        <v/>
      </c>
      <c r="I1386" s="0" t="str">
        <f aca="false">IF($A1386="","",Evermont!$Q188)</f>
        <v/>
      </c>
      <c r="K1386" s="104" t="n">
        <f aca="false">IF(A1386="",0,IF(IFERROR(VLOOKUP(A1386,Skills!$A:$M,13,FALSE()),"")="COS",0,IF(OR(I1386="En cours",I1386="À venir",I1386="À planifier"),IF(AND(OR($C$3="Tous",$C$3="",C1386=$C$3),OR($E$3="Tous",$E$3="",I1386=$E$3)),1,0),0)))</f>
        <v>0</v>
      </c>
      <c r="L1386" s="104" t="n">
        <f aca="false">L1385+K1386</f>
        <v>19</v>
      </c>
    </row>
    <row r="1387" customFormat="false" ht="15" hidden="true" customHeight="true" outlineLevel="0" collapsed="false">
      <c r="A1387" s="0" t="str">
        <f aca="false">IF(Evermont!$A189="","",Evermont!$A189)</f>
        <v/>
      </c>
      <c r="B1387" s="0" t="str">
        <f aca="false">IF($A1387="","",Evermont!$B189)</f>
        <v/>
      </c>
      <c r="C1387" s="0" t="str">
        <f aca="false">IF($A1387="","",Evermont!$C189)</f>
        <v/>
      </c>
      <c r="D1387" s="0" t="str">
        <f aca="false">IF($A1387="","","Nouvelle compétence")</f>
        <v/>
      </c>
      <c r="E1387" s="0" t="str">
        <f aca="false">IF($A1387="","",Evermont!$D189)</f>
        <v/>
      </c>
      <c r="F1387" s="116" t="str">
        <f aca="false">IF($A1387="","",Evermont!$F189)</f>
        <v/>
      </c>
      <c r="G1387" s="116" t="str">
        <f aca="false">IF($A1387="","",Evermont!$G189)</f>
        <v/>
      </c>
      <c r="H1387" s="0" t="str">
        <f aca="false">IF($A1387="","",Evermont!$K189)</f>
        <v/>
      </c>
      <c r="I1387" s="0" t="str">
        <f aca="false">IF($A1387="","",Evermont!$Q189)</f>
        <v/>
      </c>
      <c r="K1387" s="104" t="n">
        <f aca="false">IF(A1387="",0,IF(IFERROR(VLOOKUP(A1387,Skills!$A:$M,13,FALSE()),"")="COS",0,IF(OR(I1387="En cours",I1387="À venir",I1387="À planifier"),IF(AND(OR($C$3="Tous",$C$3="",C1387=$C$3),OR($E$3="Tous",$E$3="",I1387=$E$3)),1,0),0)))</f>
        <v>0</v>
      </c>
      <c r="L1387" s="104" t="n">
        <f aca="false">L1386+K1387</f>
        <v>19</v>
      </c>
    </row>
    <row r="1388" customFormat="false" ht="15" hidden="true" customHeight="true" outlineLevel="0" collapsed="false">
      <c r="A1388" s="0" t="str">
        <f aca="false">IF(Evermont!$A190="","",Evermont!$A190)</f>
        <v/>
      </c>
      <c r="B1388" s="0" t="str">
        <f aca="false">IF($A1388="","",Evermont!$B190)</f>
        <v/>
      </c>
      <c r="C1388" s="0" t="str">
        <f aca="false">IF($A1388="","",Evermont!$C190)</f>
        <v/>
      </c>
      <c r="D1388" s="0" t="str">
        <f aca="false">IF($A1388="","","Nouvelle compétence")</f>
        <v/>
      </c>
      <c r="E1388" s="0" t="str">
        <f aca="false">IF($A1388="","",Evermont!$D190)</f>
        <v/>
      </c>
      <c r="F1388" s="116" t="str">
        <f aca="false">IF($A1388="","",Evermont!$F190)</f>
        <v/>
      </c>
      <c r="G1388" s="116" t="str">
        <f aca="false">IF($A1388="","",Evermont!$G190)</f>
        <v/>
      </c>
      <c r="H1388" s="0" t="str">
        <f aca="false">IF($A1388="","",Evermont!$K190)</f>
        <v/>
      </c>
      <c r="I1388" s="0" t="str">
        <f aca="false">IF($A1388="","",Evermont!$Q190)</f>
        <v/>
      </c>
      <c r="K1388" s="104" t="n">
        <f aca="false">IF(A1388="",0,IF(IFERROR(VLOOKUP(A1388,Skills!$A:$M,13,FALSE()),"")="COS",0,IF(OR(I1388="En cours",I1388="À venir",I1388="À planifier"),IF(AND(OR($C$3="Tous",$C$3="",C1388=$C$3),OR($E$3="Tous",$E$3="",I1388=$E$3)),1,0),0)))</f>
        <v>0</v>
      </c>
      <c r="L1388" s="104" t="n">
        <f aca="false">L1387+K1388</f>
        <v>19</v>
      </c>
    </row>
    <row r="1389" customFormat="false" ht="15" hidden="true" customHeight="true" outlineLevel="0" collapsed="false">
      <c r="A1389" s="0" t="str">
        <f aca="false">IF(Evermont!$A191="","",Evermont!$A191)</f>
        <v/>
      </c>
      <c r="B1389" s="0" t="str">
        <f aca="false">IF($A1389="","",Evermont!$B191)</f>
        <v/>
      </c>
      <c r="C1389" s="0" t="str">
        <f aca="false">IF($A1389="","",Evermont!$C191)</f>
        <v/>
      </c>
      <c r="D1389" s="0" t="str">
        <f aca="false">IF($A1389="","","Nouvelle compétence")</f>
        <v/>
      </c>
      <c r="E1389" s="0" t="str">
        <f aca="false">IF($A1389="","",Evermont!$D191)</f>
        <v/>
      </c>
      <c r="F1389" s="116" t="str">
        <f aca="false">IF($A1389="","",Evermont!$F191)</f>
        <v/>
      </c>
      <c r="G1389" s="116" t="str">
        <f aca="false">IF($A1389="","",Evermont!$G191)</f>
        <v/>
      </c>
      <c r="H1389" s="0" t="str">
        <f aca="false">IF($A1389="","",Evermont!$K191)</f>
        <v/>
      </c>
      <c r="I1389" s="0" t="str">
        <f aca="false">IF($A1389="","",Evermont!$Q191)</f>
        <v/>
      </c>
      <c r="K1389" s="104" t="n">
        <f aca="false">IF(A1389="",0,IF(IFERROR(VLOOKUP(A1389,Skills!$A:$M,13,FALSE()),"")="COS",0,IF(OR(I1389="En cours",I1389="À venir",I1389="À planifier"),IF(AND(OR($C$3="Tous",$C$3="",C1389=$C$3),OR($E$3="Tous",$E$3="",I1389=$E$3)),1,0),0)))</f>
        <v>0</v>
      </c>
      <c r="L1389" s="104" t="n">
        <f aca="false">L1388+K1389</f>
        <v>19</v>
      </c>
    </row>
    <row r="1390" customFormat="false" ht="15" hidden="true" customHeight="true" outlineLevel="0" collapsed="false">
      <c r="A1390" s="0" t="str">
        <f aca="false">IF(Evermont!$A192="","",Evermont!$A192)</f>
        <v/>
      </c>
      <c r="B1390" s="0" t="str">
        <f aca="false">IF($A1390="","",Evermont!$B192)</f>
        <v/>
      </c>
      <c r="C1390" s="0" t="str">
        <f aca="false">IF($A1390="","",Evermont!$C192)</f>
        <v/>
      </c>
      <c r="D1390" s="0" t="str">
        <f aca="false">IF($A1390="","","Nouvelle compétence")</f>
        <v/>
      </c>
      <c r="E1390" s="0" t="str">
        <f aca="false">IF($A1390="","",Evermont!$D192)</f>
        <v/>
      </c>
      <c r="F1390" s="116" t="str">
        <f aca="false">IF($A1390="","",Evermont!$F192)</f>
        <v/>
      </c>
      <c r="G1390" s="116" t="str">
        <f aca="false">IF($A1390="","",Evermont!$G192)</f>
        <v/>
      </c>
      <c r="H1390" s="0" t="str">
        <f aca="false">IF($A1390="","",Evermont!$K192)</f>
        <v/>
      </c>
      <c r="I1390" s="0" t="str">
        <f aca="false">IF($A1390="","",Evermont!$Q192)</f>
        <v/>
      </c>
      <c r="K1390" s="104" t="n">
        <f aca="false">IF(A1390="",0,IF(IFERROR(VLOOKUP(A1390,Skills!$A:$M,13,FALSE()),"")="COS",0,IF(OR(I1390="En cours",I1390="À venir",I1390="À planifier"),IF(AND(OR($C$3="Tous",$C$3="",C1390=$C$3),OR($E$3="Tous",$E$3="",I1390=$E$3)),1,0),0)))</f>
        <v>0</v>
      </c>
      <c r="L1390" s="104" t="n">
        <f aca="false">L1389+K1390</f>
        <v>19</v>
      </c>
    </row>
    <row r="1391" customFormat="false" ht="15" hidden="true" customHeight="true" outlineLevel="0" collapsed="false">
      <c r="A1391" s="0" t="str">
        <f aca="false">IF(Evermont!$A193="","",Evermont!$A193)</f>
        <v/>
      </c>
      <c r="B1391" s="0" t="str">
        <f aca="false">IF($A1391="","",Evermont!$B193)</f>
        <v/>
      </c>
      <c r="C1391" s="0" t="str">
        <f aca="false">IF($A1391="","",Evermont!$C193)</f>
        <v/>
      </c>
      <c r="D1391" s="0" t="str">
        <f aca="false">IF($A1391="","","Nouvelle compétence")</f>
        <v/>
      </c>
      <c r="E1391" s="0" t="str">
        <f aca="false">IF($A1391="","",Evermont!$D193)</f>
        <v/>
      </c>
      <c r="F1391" s="116" t="str">
        <f aca="false">IF($A1391="","",Evermont!$F193)</f>
        <v/>
      </c>
      <c r="G1391" s="116" t="str">
        <f aca="false">IF($A1391="","",Evermont!$G193)</f>
        <v/>
      </c>
      <c r="H1391" s="0" t="str">
        <f aca="false">IF($A1391="","",Evermont!$K193)</f>
        <v/>
      </c>
      <c r="I1391" s="0" t="str">
        <f aca="false">IF($A1391="","",Evermont!$Q193)</f>
        <v/>
      </c>
      <c r="K1391" s="104" t="n">
        <f aca="false">IF(A1391="",0,IF(IFERROR(VLOOKUP(A1391,Skills!$A:$M,13,FALSE()),"")="COS",0,IF(OR(I1391="En cours",I1391="À venir",I1391="À planifier"),IF(AND(OR($C$3="Tous",$C$3="",C1391=$C$3),OR($E$3="Tous",$E$3="",I1391=$E$3)),1,0),0)))</f>
        <v>0</v>
      </c>
      <c r="L1391" s="104" t="n">
        <f aca="false">L1390+K1391</f>
        <v>19</v>
      </c>
    </row>
    <row r="1392" customFormat="false" ht="15" hidden="true" customHeight="true" outlineLevel="0" collapsed="false">
      <c r="A1392" s="0" t="str">
        <f aca="false">IF(Evermont!$A194="","",Evermont!$A194)</f>
        <v/>
      </c>
      <c r="B1392" s="0" t="str">
        <f aca="false">IF($A1392="","",Evermont!$B194)</f>
        <v/>
      </c>
      <c r="C1392" s="0" t="str">
        <f aca="false">IF($A1392="","",Evermont!$C194)</f>
        <v/>
      </c>
      <c r="D1392" s="0" t="str">
        <f aca="false">IF($A1392="","","Nouvelle compétence")</f>
        <v/>
      </c>
      <c r="E1392" s="0" t="str">
        <f aca="false">IF($A1392="","",Evermont!$D194)</f>
        <v/>
      </c>
      <c r="F1392" s="116" t="str">
        <f aca="false">IF($A1392="","",Evermont!$F194)</f>
        <v/>
      </c>
      <c r="G1392" s="116" t="str">
        <f aca="false">IF($A1392="","",Evermont!$G194)</f>
        <v/>
      </c>
      <c r="H1392" s="0" t="str">
        <f aca="false">IF($A1392="","",Evermont!$K194)</f>
        <v/>
      </c>
      <c r="I1392" s="0" t="str">
        <f aca="false">IF($A1392="","",Evermont!$Q194)</f>
        <v/>
      </c>
      <c r="K1392" s="104" t="n">
        <f aca="false">IF(A1392="",0,IF(IFERROR(VLOOKUP(A1392,Skills!$A:$M,13,FALSE()),"")="COS",0,IF(OR(I1392="En cours",I1392="À venir",I1392="À planifier"),IF(AND(OR($C$3="Tous",$C$3="",C1392=$C$3),OR($E$3="Tous",$E$3="",I1392=$E$3)),1,0),0)))</f>
        <v>0</v>
      </c>
      <c r="L1392" s="104" t="n">
        <f aca="false">L1391+K1392</f>
        <v>19</v>
      </c>
    </row>
    <row r="1393" customFormat="false" ht="15" hidden="true" customHeight="true" outlineLevel="0" collapsed="false">
      <c r="A1393" s="0" t="str">
        <f aca="false">IF(Evermont!$A195="","",Evermont!$A195)</f>
        <v/>
      </c>
      <c r="B1393" s="0" t="str">
        <f aca="false">IF($A1393="","",Evermont!$B195)</f>
        <v/>
      </c>
      <c r="C1393" s="0" t="str">
        <f aca="false">IF($A1393="","",Evermont!$C195)</f>
        <v/>
      </c>
      <c r="D1393" s="0" t="str">
        <f aca="false">IF($A1393="","","Nouvelle compétence")</f>
        <v/>
      </c>
      <c r="E1393" s="0" t="str">
        <f aca="false">IF($A1393="","",Evermont!$D195)</f>
        <v/>
      </c>
      <c r="F1393" s="116" t="str">
        <f aca="false">IF($A1393="","",Evermont!$F195)</f>
        <v/>
      </c>
      <c r="G1393" s="116" t="str">
        <f aca="false">IF($A1393="","",Evermont!$G195)</f>
        <v/>
      </c>
      <c r="H1393" s="0" t="str">
        <f aca="false">IF($A1393="","",Evermont!$K195)</f>
        <v/>
      </c>
      <c r="I1393" s="0" t="str">
        <f aca="false">IF($A1393="","",Evermont!$Q195)</f>
        <v/>
      </c>
      <c r="K1393" s="104" t="n">
        <f aca="false">IF(A1393="",0,IF(IFERROR(VLOOKUP(A1393,Skills!$A:$M,13,FALSE()),"")="COS",0,IF(OR(I1393="En cours",I1393="À venir",I1393="À planifier"),IF(AND(OR($C$3="Tous",$C$3="",C1393=$C$3),OR($E$3="Tous",$E$3="",I1393=$E$3)),1,0),0)))</f>
        <v>0</v>
      </c>
      <c r="L1393" s="104" t="n">
        <f aca="false">L1392+K1393</f>
        <v>19</v>
      </c>
    </row>
    <row r="1394" customFormat="false" ht="15" hidden="true" customHeight="true" outlineLevel="0" collapsed="false">
      <c r="A1394" s="0" t="str">
        <f aca="false">IF(Evermont!$A196="","",Evermont!$A196)</f>
        <v/>
      </c>
      <c r="B1394" s="0" t="str">
        <f aca="false">IF($A1394="","",Evermont!$B196)</f>
        <v/>
      </c>
      <c r="C1394" s="0" t="str">
        <f aca="false">IF($A1394="","",Evermont!$C196)</f>
        <v/>
      </c>
      <c r="D1394" s="0" t="str">
        <f aca="false">IF($A1394="","","Nouvelle compétence")</f>
        <v/>
      </c>
      <c r="E1394" s="0" t="str">
        <f aca="false">IF($A1394="","",Evermont!$D196)</f>
        <v/>
      </c>
      <c r="F1394" s="116" t="str">
        <f aca="false">IF($A1394="","",Evermont!$F196)</f>
        <v/>
      </c>
      <c r="G1394" s="116" t="str">
        <f aca="false">IF($A1394="","",Evermont!$G196)</f>
        <v/>
      </c>
      <c r="H1394" s="0" t="str">
        <f aca="false">IF($A1394="","",Evermont!$K196)</f>
        <v/>
      </c>
      <c r="I1394" s="0" t="str">
        <f aca="false">IF($A1394="","",Evermont!$Q196)</f>
        <v/>
      </c>
      <c r="K1394" s="104" t="n">
        <f aca="false">IF(A1394="",0,IF(IFERROR(VLOOKUP(A1394,Skills!$A:$M,13,FALSE()),"")="COS",0,IF(OR(I1394="En cours",I1394="À venir",I1394="À planifier"),IF(AND(OR($C$3="Tous",$C$3="",C1394=$C$3),OR($E$3="Tous",$E$3="",I1394=$E$3)),1,0),0)))</f>
        <v>0</v>
      </c>
      <c r="L1394" s="104" t="n">
        <f aca="false">L1393+K1394</f>
        <v>19</v>
      </c>
    </row>
    <row r="1395" customFormat="false" ht="15" hidden="true" customHeight="true" outlineLevel="0" collapsed="false">
      <c r="A1395" s="0" t="str">
        <f aca="false">IF(Evermont!$A197="","",Evermont!$A197)</f>
        <v/>
      </c>
      <c r="B1395" s="0" t="str">
        <f aca="false">IF($A1395="","",Evermont!$B197)</f>
        <v/>
      </c>
      <c r="C1395" s="0" t="str">
        <f aca="false">IF($A1395="","",Evermont!$C197)</f>
        <v/>
      </c>
      <c r="D1395" s="0" t="str">
        <f aca="false">IF($A1395="","","Nouvelle compétence")</f>
        <v/>
      </c>
      <c r="E1395" s="0" t="str">
        <f aca="false">IF($A1395="","",Evermont!$D197)</f>
        <v/>
      </c>
      <c r="F1395" s="116" t="str">
        <f aca="false">IF($A1395="","",Evermont!$F197)</f>
        <v/>
      </c>
      <c r="G1395" s="116" t="str">
        <f aca="false">IF($A1395="","",Evermont!$G197)</f>
        <v/>
      </c>
      <c r="H1395" s="0" t="str">
        <f aca="false">IF($A1395="","",Evermont!$K197)</f>
        <v/>
      </c>
      <c r="I1395" s="0" t="str">
        <f aca="false">IF($A1395="","",Evermont!$Q197)</f>
        <v/>
      </c>
      <c r="K1395" s="104" t="n">
        <f aca="false">IF(A1395="",0,IF(IFERROR(VLOOKUP(A1395,Skills!$A:$M,13,FALSE()),"")="COS",0,IF(OR(I1395="En cours",I1395="À venir",I1395="À planifier"),IF(AND(OR($C$3="Tous",$C$3="",C1395=$C$3),OR($E$3="Tous",$E$3="",I1395=$E$3)),1,0),0)))</f>
        <v>0</v>
      </c>
      <c r="L1395" s="104" t="n">
        <f aca="false">L1394+K1395</f>
        <v>19</v>
      </c>
    </row>
    <row r="1396" customFormat="false" ht="15" hidden="true" customHeight="true" outlineLevel="0" collapsed="false">
      <c r="A1396" s="0" t="str">
        <f aca="false">IF(Evermont!$A198="","",Evermont!$A198)</f>
        <v/>
      </c>
      <c r="B1396" s="0" t="str">
        <f aca="false">IF($A1396="","",Evermont!$B198)</f>
        <v/>
      </c>
      <c r="C1396" s="0" t="str">
        <f aca="false">IF($A1396="","",Evermont!$C198)</f>
        <v/>
      </c>
      <c r="D1396" s="0" t="str">
        <f aca="false">IF($A1396="","","Nouvelle compétence")</f>
        <v/>
      </c>
      <c r="E1396" s="0" t="str">
        <f aca="false">IF($A1396="","",Evermont!$D198)</f>
        <v/>
      </c>
      <c r="F1396" s="116" t="str">
        <f aca="false">IF($A1396="","",Evermont!$F198)</f>
        <v/>
      </c>
      <c r="G1396" s="116" t="str">
        <f aca="false">IF($A1396="","",Evermont!$G198)</f>
        <v/>
      </c>
      <c r="H1396" s="0" t="str">
        <f aca="false">IF($A1396="","",Evermont!$K198)</f>
        <v/>
      </c>
      <c r="I1396" s="0" t="str">
        <f aca="false">IF($A1396="","",Evermont!$Q198)</f>
        <v/>
      </c>
      <c r="K1396" s="104" t="n">
        <f aca="false">IF(A1396="",0,IF(IFERROR(VLOOKUP(A1396,Skills!$A:$M,13,FALSE()),"")="COS",0,IF(OR(I1396="En cours",I1396="À venir",I1396="À planifier"),IF(AND(OR($C$3="Tous",$C$3="",C1396=$C$3),OR($E$3="Tous",$E$3="",I1396=$E$3)),1,0),0)))</f>
        <v>0</v>
      </c>
      <c r="L1396" s="104" t="n">
        <f aca="false">L1395+K1396</f>
        <v>19</v>
      </c>
    </row>
    <row r="1397" customFormat="false" ht="15" hidden="true" customHeight="true" outlineLevel="0" collapsed="false">
      <c r="A1397" s="0" t="str">
        <f aca="false">IF(Evermont!$A199="","",Evermont!$A199)</f>
        <v/>
      </c>
      <c r="B1397" s="0" t="str">
        <f aca="false">IF($A1397="","",Evermont!$B199)</f>
        <v/>
      </c>
      <c r="C1397" s="0" t="str">
        <f aca="false">IF($A1397="","",Evermont!$C199)</f>
        <v/>
      </c>
      <c r="D1397" s="0" t="str">
        <f aca="false">IF($A1397="","","Nouvelle compétence")</f>
        <v/>
      </c>
      <c r="E1397" s="0" t="str">
        <f aca="false">IF($A1397="","",Evermont!$D199)</f>
        <v/>
      </c>
      <c r="F1397" s="116" t="str">
        <f aca="false">IF($A1397="","",Evermont!$F199)</f>
        <v/>
      </c>
      <c r="G1397" s="116" t="str">
        <f aca="false">IF($A1397="","",Evermont!$G199)</f>
        <v/>
      </c>
      <c r="H1397" s="0" t="str">
        <f aca="false">IF($A1397="","",Evermont!$K199)</f>
        <v/>
      </c>
      <c r="I1397" s="0" t="str">
        <f aca="false">IF($A1397="","",Evermont!$Q199)</f>
        <v/>
      </c>
      <c r="K1397" s="104" t="n">
        <f aca="false">IF(A1397="",0,IF(IFERROR(VLOOKUP(A1397,Skills!$A:$M,13,FALSE()),"")="COS",0,IF(OR(I1397="En cours",I1397="À venir",I1397="À planifier"),IF(AND(OR($C$3="Tous",$C$3="",C1397=$C$3),OR($E$3="Tous",$E$3="",I1397=$E$3)),1,0),0)))</f>
        <v>0</v>
      </c>
      <c r="L1397" s="104" t="n">
        <f aca="false">L1396+K1397</f>
        <v>19</v>
      </c>
    </row>
    <row r="1398" customFormat="false" ht="15" hidden="true" customHeight="true" outlineLevel="0" collapsed="false">
      <c r="A1398" s="0" t="str">
        <f aca="false">IF(Evermont!$A200="","",Evermont!$A200)</f>
        <v/>
      </c>
      <c r="B1398" s="0" t="str">
        <f aca="false">IF($A1398="","",Evermont!$B200)</f>
        <v/>
      </c>
      <c r="C1398" s="0" t="str">
        <f aca="false">IF($A1398="","",Evermont!$C200)</f>
        <v/>
      </c>
      <c r="D1398" s="0" t="str">
        <f aca="false">IF($A1398="","","Nouvelle compétence")</f>
        <v/>
      </c>
      <c r="E1398" s="0" t="str">
        <f aca="false">IF($A1398="","",Evermont!$D200)</f>
        <v/>
      </c>
      <c r="F1398" s="116" t="str">
        <f aca="false">IF($A1398="","",Evermont!$F200)</f>
        <v/>
      </c>
      <c r="G1398" s="116" t="str">
        <f aca="false">IF($A1398="","",Evermont!$G200)</f>
        <v/>
      </c>
      <c r="H1398" s="0" t="str">
        <f aca="false">IF($A1398="","",Evermont!$K200)</f>
        <v/>
      </c>
      <c r="I1398" s="0" t="str">
        <f aca="false">IF($A1398="","",Evermont!$Q200)</f>
        <v/>
      </c>
      <c r="K1398" s="104" t="n">
        <f aca="false">IF(A1398="",0,IF(IFERROR(VLOOKUP(A1398,Skills!$A:$M,13,FALSE()),"")="COS",0,IF(OR(I1398="En cours",I1398="À venir",I1398="À planifier"),IF(AND(OR($C$3="Tous",$C$3="",C1398=$C$3),OR($E$3="Tous",$E$3="",I1398=$E$3)),1,0),0)))</f>
        <v>0</v>
      </c>
      <c r="L1398" s="104" t="n">
        <f aca="false">L1397+K1398</f>
        <v>19</v>
      </c>
    </row>
    <row r="1399" customFormat="false" ht="15" hidden="true" customHeight="true" outlineLevel="0" collapsed="false">
      <c r="A1399" s="0" t="str">
        <f aca="false">IF(Evermont!$A201="","",Evermont!$A201)</f>
        <v/>
      </c>
      <c r="B1399" s="0" t="str">
        <f aca="false">IF($A1399="","",Evermont!$B201)</f>
        <v/>
      </c>
      <c r="C1399" s="0" t="str">
        <f aca="false">IF($A1399="","",Evermont!$C201)</f>
        <v/>
      </c>
      <c r="D1399" s="0" t="str">
        <f aca="false">IF($A1399="","","Nouvelle compétence")</f>
        <v/>
      </c>
      <c r="E1399" s="0" t="str">
        <f aca="false">IF($A1399="","",Evermont!$D201)</f>
        <v/>
      </c>
      <c r="F1399" s="116" t="str">
        <f aca="false">IF($A1399="","",Evermont!$F201)</f>
        <v/>
      </c>
      <c r="G1399" s="116" t="str">
        <f aca="false">IF($A1399="","",Evermont!$G201)</f>
        <v/>
      </c>
      <c r="H1399" s="0" t="str">
        <f aca="false">IF($A1399="","",Evermont!$K201)</f>
        <v/>
      </c>
      <c r="I1399" s="0" t="str">
        <f aca="false">IF($A1399="","",Evermont!$Q201)</f>
        <v/>
      </c>
      <c r="K1399" s="104" t="n">
        <f aca="false">IF(A1399="",0,IF(IFERROR(VLOOKUP(A1399,Skills!$A:$M,13,FALSE()),"")="COS",0,IF(OR(I1399="En cours",I1399="À venir",I1399="À planifier"),IF(AND(OR($C$3="Tous",$C$3="",C1399=$C$3),OR($E$3="Tous",$E$3="",I1399=$E$3)),1,0),0)))</f>
        <v>0</v>
      </c>
      <c r="L1399" s="104" t="n">
        <f aca="false">L1398+K1399</f>
        <v>19</v>
      </c>
    </row>
    <row r="1400" customFormat="false" ht="15" hidden="true" customHeight="true" outlineLevel="0" collapsed="false">
      <c r="A1400" s="0" t="str">
        <f aca="false">IF(Evermont!$A202="","",Evermont!$A202)</f>
        <v/>
      </c>
      <c r="B1400" s="0" t="str">
        <f aca="false">IF($A1400="","",Evermont!$B202)</f>
        <v/>
      </c>
      <c r="C1400" s="0" t="str">
        <f aca="false">IF($A1400="","",Evermont!$C202)</f>
        <v/>
      </c>
      <c r="D1400" s="0" t="str">
        <f aca="false">IF($A1400="","","Nouvelle compétence")</f>
        <v/>
      </c>
      <c r="E1400" s="0" t="str">
        <f aca="false">IF($A1400="","",Evermont!$D202)</f>
        <v/>
      </c>
      <c r="F1400" s="116" t="str">
        <f aca="false">IF($A1400="","",Evermont!$F202)</f>
        <v/>
      </c>
      <c r="G1400" s="116" t="str">
        <f aca="false">IF($A1400="","",Evermont!$G202)</f>
        <v/>
      </c>
      <c r="H1400" s="0" t="str">
        <f aca="false">IF($A1400="","",Evermont!$K202)</f>
        <v/>
      </c>
      <c r="I1400" s="0" t="str">
        <f aca="false">IF($A1400="","",Evermont!$Q202)</f>
        <v/>
      </c>
      <c r="K1400" s="104" t="n">
        <f aca="false">IF(A1400="",0,IF(IFERROR(VLOOKUP(A1400,Skills!$A:$M,13,FALSE()),"")="COS",0,IF(OR(I1400="En cours",I1400="À venir",I1400="À planifier"),IF(AND(OR($C$3="Tous",$C$3="",C1400=$C$3),OR($E$3="Tous",$E$3="",I1400=$E$3)),1,0),0)))</f>
        <v>0</v>
      </c>
      <c r="L1400" s="104" t="n">
        <f aca="false">L1399+K1400</f>
        <v>19</v>
      </c>
    </row>
    <row r="1401" customFormat="false" ht="15" hidden="true" customHeight="true" outlineLevel="0" collapsed="false">
      <c r="A1401" s="0" t="str">
        <f aca="false">IF(Evermont!$A203="","",Evermont!$A203)</f>
        <v/>
      </c>
      <c r="B1401" s="0" t="str">
        <f aca="false">IF($A1401="","",Evermont!$B203)</f>
        <v/>
      </c>
      <c r="C1401" s="0" t="str">
        <f aca="false">IF($A1401="","",Evermont!$C203)</f>
        <v/>
      </c>
      <c r="D1401" s="0" t="str">
        <f aca="false">IF($A1401="","","Nouvelle compétence")</f>
        <v/>
      </c>
      <c r="E1401" s="0" t="str">
        <f aca="false">IF($A1401="","",Evermont!$D203)</f>
        <v/>
      </c>
      <c r="F1401" s="116" t="str">
        <f aca="false">IF($A1401="","",Evermont!$F203)</f>
        <v/>
      </c>
      <c r="G1401" s="116" t="str">
        <f aca="false">IF($A1401="","",Evermont!$G203)</f>
        <v/>
      </c>
      <c r="H1401" s="0" t="str">
        <f aca="false">IF($A1401="","",Evermont!$K203)</f>
        <v/>
      </c>
      <c r="I1401" s="0" t="str">
        <f aca="false">IF($A1401="","",Evermont!$Q203)</f>
        <v/>
      </c>
      <c r="K1401" s="104" t="n">
        <f aca="false">IF(A1401="",0,IF(IFERROR(VLOOKUP(A1401,Skills!$A:$M,13,FALSE()),"")="COS",0,IF(OR(I1401="En cours",I1401="À venir",I1401="À planifier"),IF(AND(OR($C$3="Tous",$C$3="",C1401=$C$3),OR($E$3="Tous",$E$3="",I1401=$E$3)),1,0),0)))</f>
        <v>0</v>
      </c>
      <c r="L1401" s="104" t="n">
        <f aca="false">L1400+K1401</f>
        <v>19</v>
      </c>
    </row>
    <row r="1402" customFormat="false" ht="15" hidden="true" customHeight="true" outlineLevel="0" collapsed="false">
      <c r="A1402" s="0" t="str">
        <f aca="false">IF(Evermont!$A204="","",Evermont!$A204)</f>
        <v/>
      </c>
      <c r="B1402" s="0" t="str">
        <f aca="false">IF($A1402="","",Evermont!$B204)</f>
        <v/>
      </c>
      <c r="C1402" s="0" t="str">
        <f aca="false">IF($A1402="","",Evermont!$C204)</f>
        <v/>
      </c>
      <c r="D1402" s="0" t="str">
        <f aca="false">IF($A1402="","","Nouvelle compétence")</f>
        <v/>
      </c>
      <c r="E1402" s="0" t="str">
        <f aca="false">IF($A1402="","",Evermont!$D204)</f>
        <v/>
      </c>
      <c r="F1402" s="116" t="str">
        <f aca="false">IF($A1402="","",Evermont!$F204)</f>
        <v/>
      </c>
      <c r="G1402" s="116" t="str">
        <f aca="false">IF($A1402="","",Evermont!$G204)</f>
        <v/>
      </c>
      <c r="H1402" s="0" t="str">
        <f aca="false">IF($A1402="","",Evermont!$K204)</f>
        <v/>
      </c>
      <c r="I1402" s="0" t="str">
        <f aca="false">IF($A1402="","",Evermont!$Q204)</f>
        <v/>
      </c>
      <c r="K1402" s="104" t="n">
        <f aca="false">IF(A1402="",0,IF(IFERROR(VLOOKUP(A1402,Skills!$A:$M,13,FALSE()),"")="COS",0,IF(OR(I1402="En cours",I1402="À venir",I1402="À planifier"),IF(AND(OR($C$3="Tous",$C$3="",C1402=$C$3),OR($E$3="Tous",$E$3="",I1402=$E$3)),1,0),0)))</f>
        <v>0</v>
      </c>
      <c r="L1402" s="104" t="n">
        <f aca="false">L1401+K1402</f>
        <v>19</v>
      </c>
    </row>
    <row r="1403" customFormat="false" ht="15" hidden="true" customHeight="true" outlineLevel="0" collapsed="false">
      <c r="A1403" s="0" t="str">
        <f aca="false">IF(Evermont!$A205="","",Evermont!$A205)</f>
        <v/>
      </c>
      <c r="B1403" s="0" t="str">
        <f aca="false">IF($A1403="","",Evermont!$B205)</f>
        <v/>
      </c>
      <c r="C1403" s="0" t="str">
        <f aca="false">IF($A1403="","",Evermont!$C205)</f>
        <v/>
      </c>
      <c r="D1403" s="0" t="str">
        <f aca="false">IF($A1403="","","Nouvelle compétence")</f>
        <v/>
      </c>
      <c r="E1403" s="0" t="str">
        <f aca="false">IF($A1403="","",Evermont!$D205)</f>
        <v/>
      </c>
      <c r="F1403" s="116" t="str">
        <f aca="false">IF($A1403="","",Evermont!$F205)</f>
        <v/>
      </c>
      <c r="G1403" s="116" t="str">
        <f aca="false">IF($A1403="","",Evermont!$G205)</f>
        <v/>
      </c>
      <c r="H1403" s="0" t="str">
        <f aca="false">IF($A1403="","",Evermont!$K205)</f>
        <v/>
      </c>
      <c r="I1403" s="0" t="str">
        <f aca="false">IF($A1403="","",Evermont!$Q205)</f>
        <v/>
      </c>
      <c r="K1403" s="104" t="n">
        <f aca="false">IF(A1403="",0,IF(IFERROR(VLOOKUP(A1403,Skills!$A:$M,13,FALSE()),"")="COS",0,IF(OR(I1403="En cours",I1403="À venir",I1403="À planifier"),IF(AND(OR($C$3="Tous",$C$3="",C1403=$C$3),OR($E$3="Tous",$E$3="",I1403=$E$3)),1,0),0)))</f>
        <v>0</v>
      </c>
      <c r="L1403" s="104" t="n">
        <f aca="false">L1402+K1403</f>
        <v>19</v>
      </c>
    </row>
    <row r="1404" customFormat="false" ht="15" hidden="true" customHeight="true" outlineLevel="0" collapsed="false">
      <c r="A1404" s="0" t="str">
        <f aca="false">IF(Evermont!$A206="","",Evermont!$A206)</f>
        <v/>
      </c>
      <c r="B1404" s="0" t="str">
        <f aca="false">IF($A1404="","",Evermont!$B206)</f>
        <v/>
      </c>
      <c r="C1404" s="0" t="str">
        <f aca="false">IF($A1404="","",Evermont!$C206)</f>
        <v/>
      </c>
      <c r="D1404" s="0" t="str">
        <f aca="false">IF($A1404="","","Nouvelle compétence")</f>
        <v/>
      </c>
      <c r="E1404" s="0" t="str">
        <f aca="false">IF($A1404="","",Evermont!$D206)</f>
        <v/>
      </c>
      <c r="F1404" s="116" t="str">
        <f aca="false">IF($A1404="","",Evermont!$F206)</f>
        <v/>
      </c>
      <c r="G1404" s="116" t="str">
        <f aca="false">IF($A1404="","",Evermont!$G206)</f>
        <v/>
      </c>
      <c r="H1404" s="0" t="str">
        <f aca="false">IF($A1404="","",Evermont!$K206)</f>
        <v/>
      </c>
      <c r="I1404" s="0" t="str">
        <f aca="false">IF($A1404="","",Evermont!$Q206)</f>
        <v/>
      </c>
      <c r="K1404" s="104" t="n">
        <f aca="false">IF(A1404="",0,IF(IFERROR(VLOOKUP(A1404,Skills!$A:$M,13,FALSE()),"")="COS",0,IF(OR(I1404="En cours",I1404="À venir",I1404="À planifier"),IF(AND(OR($C$3="Tous",$C$3="",C1404=$C$3),OR($E$3="Tous",$E$3="",I1404=$E$3)),1,0),0)))</f>
        <v>0</v>
      </c>
      <c r="L1404" s="104" t="n">
        <f aca="false">L1403+K1404</f>
        <v>19</v>
      </c>
    </row>
    <row r="1405" customFormat="false" ht="15" hidden="true" customHeight="true" outlineLevel="0" collapsed="false">
      <c r="A1405" s="0" t="str">
        <f aca="false">IF(Evermont!$A207="","",Evermont!$A207)</f>
        <v/>
      </c>
      <c r="B1405" s="0" t="str">
        <f aca="false">IF($A1405="","",Evermont!$B207)</f>
        <v/>
      </c>
      <c r="C1405" s="0" t="str">
        <f aca="false">IF($A1405="","",Evermont!$C207)</f>
        <v/>
      </c>
      <c r="D1405" s="0" t="str">
        <f aca="false">IF($A1405="","","Nouvelle compétence")</f>
        <v/>
      </c>
      <c r="E1405" s="0" t="str">
        <f aca="false">IF($A1405="","",Evermont!$D207)</f>
        <v/>
      </c>
      <c r="F1405" s="116" t="str">
        <f aca="false">IF($A1405="","",Evermont!$F207)</f>
        <v/>
      </c>
      <c r="G1405" s="116" t="str">
        <f aca="false">IF($A1405="","",Evermont!$G207)</f>
        <v/>
      </c>
      <c r="H1405" s="0" t="str">
        <f aca="false">IF($A1405="","",Evermont!$K207)</f>
        <v/>
      </c>
      <c r="I1405" s="0" t="str">
        <f aca="false">IF($A1405="","",Evermont!$Q207)</f>
        <v/>
      </c>
      <c r="K1405" s="104" t="n">
        <f aca="false">IF(A1405="",0,IF(IFERROR(VLOOKUP(A1405,Skills!$A:$M,13,FALSE()),"")="COS",0,IF(OR(I1405="En cours",I1405="À venir",I1405="À planifier"),IF(AND(OR($C$3="Tous",$C$3="",C1405=$C$3),OR($E$3="Tous",$E$3="",I1405=$E$3)),1,0),0)))</f>
        <v>0</v>
      </c>
      <c r="L1405" s="104" t="n">
        <f aca="false">L1404+K1405</f>
        <v>19</v>
      </c>
    </row>
    <row r="1406" customFormat="false" ht="15" hidden="true" customHeight="true" outlineLevel="0" collapsed="false">
      <c r="A1406" s="0" t="str">
        <f aca="false">IF(Evermont!$A208="","",Evermont!$A208)</f>
        <v/>
      </c>
      <c r="B1406" s="0" t="str">
        <f aca="false">IF($A1406="","",Evermont!$B208)</f>
        <v/>
      </c>
      <c r="C1406" s="0" t="str">
        <f aca="false">IF($A1406="","",Evermont!$C208)</f>
        <v/>
      </c>
      <c r="D1406" s="0" t="str">
        <f aca="false">IF($A1406="","","Nouvelle compétence")</f>
        <v/>
      </c>
      <c r="E1406" s="0" t="str">
        <f aca="false">IF($A1406="","",Evermont!$D208)</f>
        <v/>
      </c>
      <c r="F1406" s="116" t="str">
        <f aca="false">IF($A1406="","",Evermont!$F208)</f>
        <v/>
      </c>
      <c r="G1406" s="116" t="str">
        <f aca="false">IF($A1406="","",Evermont!$G208)</f>
        <v/>
      </c>
      <c r="H1406" s="0" t="str">
        <f aca="false">IF($A1406="","",Evermont!$K208)</f>
        <v/>
      </c>
      <c r="I1406" s="0" t="str">
        <f aca="false">IF($A1406="","",Evermont!$Q208)</f>
        <v/>
      </c>
      <c r="K1406" s="104" t="n">
        <f aca="false">IF(A1406="",0,IF(IFERROR(VLOOKUP(A1406,Skills!$A:$M,13,FALSE()),"")="COS",0,IF(OR(I1406="En cours",I1406="À venir",I1406="À planifier"),IF(AND(OR($C$3="Tous",$C$3="",C1406=$C$3),OR($E$3="Tous",$E$3="",I1406=$E$3)),1,0),0)))</f>
        <v>0</v>
      </c>
      <c r="L1406" s="104" t="n">
        <f aca="false">L1405+K1406</f>
        <v>19</v>
      </c>
    </row>
    <row r="1407" customFormat="false" ht="15" hidden="true" customHeight="true" outlineLevel="0" collapsed="false">
      <c r="A1407" s="0" t="str">
        <f aca="false">IF(Evermont!$A209="","",Evermont!$A209)</f>
        <v/>
      </c>
      <c r="B1407" s="0" t="str">
        <f aca="false">IF($A1407="","",Evermont!$B209)</f>
        <v/>
      </c>
      <c r="C1407" s="0" t="str">
        <f aca="false">IF($A1407="","",Evermont!$C209)</f>
        <v/>
      </c>
      <c r="D1407" s="0" t="str">
        <f aca="false">IF($A1407="","","Nouvelle compétence")</f>
        <v/>
      </c>
      <c r="E1407" s="0" t="str">
        <f aca="false">IF($A1407="","",Evermont!$D209)</f>
        <v/>
      </c>
      <c r="F1407" s="116" t="str">
        <f aca="false">IF($A1407="","",Evermont!$F209)</f>
        <v/>
      </c>
      <c r="G1407" s="116" t="str">
        <f aca="false">IF($A1407="","",Evermont!$G209)</f>
        <v/>
      </c>
      <c r="H1407" s="0" t="str">
        <f aca="false">IF($A1407="","",Evermont!$K209)</f>
        <v/>
      </c>
      <c r="I1407" s="0" t="str">
        <f aca="false">IF($A1407="","",Evermont!$Q209)</f>
        <v/>
      </c>
      <c r="K1407" s="104" t="n">
        <f aca="false">IF(A1407="",0,IF(IFERROR(VLOOKUP(A1407,Skills!$A:$M,13,FALSE()),"")="COS",0,IF(OR(I1407="En cours",I1407="À venir",I1407="À planifier"),IF(AND(OR($C$3="Tous",$C$3="",C1407=$C$3),OR($E$3="Tous",$E$3="",I1407=$E$3)),1,0),0)))</f>
        <v>0</v>
      </c>
      <c r="L1407" s="104" t="n">
        <f aca="false">L1406+K1407</f>
        <v>19</v>
      </c>
    </row>
    <row r="1408" customFormat="false" ht="15" hidden="true" customHeight="true" outlineLevel="0" collapsed="false">
      <c r="A1408" s="0" t="str">
        <f aca="false">IF(Evermont!$A210="","",Evermont!$A210)</f>
        <v/>
      </c>
      <c r="B1408" s="0" t="str">
        <f aca="false">IF($A1408="","",Evermont!$B210)</f>
        <v/>
      </c>
      <c r="C1408" s="0" t="str">
        <f aca="false">IF($A1408="","",Evermont!$C210)</f>
        <v/>
      </c>
      <c r="D1408" s="0" t="str">
        <f aca="false">IF($A1408="","","Nouvelle compétence")</f>
        <v/>
      </c>
      <c r="E1408" s="0" t="str">
        <f aca="false">IF($A1408="","",Evermont!$D210)</f>
        <v/>
      </c>
      <c r="F1408" s="116" t="str">
        <f aca="false">IF($A1408="","",Evermont!$F210)</f>
        <v/>
      </c>
      <c r="G1408" s="116" t="str">
        <f aca="false">IF($A1408="","",Evermont!$G210)</f>
        <v/>
      </c>
      <c r="H1408" s="0" t="str">
        <f aca="false">IF($A1408="","",Evermont!$K210)</f>
        <v/>
      </c>
      <c r="I1408" s="0" t="str">
        <f aca="false">IF($A1408="","",Evermont!$Q210)</f>
        <v/>
      </c>
      <c r="K1408" s="104" t="n">
        <f aca="false">IF(A1408="",0,IF(IFERROR(VLOOKUP(A1408,Skills!$A:$M,13,FALSE()),"")="COS",0,IF(OR(I1408="En cours",I1408="À venir",I1408="À planifier"),IF(AND(OR($C$3="Tous",$C$3="",C1408=$C$3),OR($E$3="Tous",$E$3="",I1408=$E$3)),1,0),0)))</f>
        <v>0</v>
      </c>
      <c r="L1408" s="104" t="n">
        <f aca="false">L1407+K1408</f>
        <v>19</v>
      </c>
    </row>
    <row r="1409" customFormat="false" ht="15" hidden="true" customHeight="true" outlineLevel="0" collapsed="false">
      <c r="A1409" s="0" t="str">
        <f aca="false">IF(Evermont!$A211="","",Evermont!$A211)</f>
        <v/>
      </c>
      <c r="B1409" s="0" t="str">
        <f aca="false">IF($A1409="","",Evermont!$B211)</f>
        <v/>
      </c>
      <c r="C1409" s="0" t="str">
        <f aca="false">IF($A1409="","",Evermont!$C211)</f>
        <v/>
      </c>
      <c r="D1409" s="0" t="str">
        <f aca="false">IF($A1409="","","Nouvelle compétence")</f>
        <v/>
      </c>
      <c r="E1409" s="0" t="str">
        <f aca="false">IF($A1409="","",Evermont!$D211)</f>
        <v/>
      </c>
      <c r="F1409" s="116" t="str">
        <f aca="false">IF($A1409="","",Evermont!$F211)</f>
        <v/>
      </c>
      <c r="G1409" s="116" t="str">
        <f aca="false">IF($A1409="","",Evermont!$G211)</f>
        <v/>
      </c>
      <c r="H1409" s="0" t="str">
        <f aca="false">IF($A1409="","",Evermont!$K211)</f>
        <v/>
      </c>
      <c r="I1409" s="0" t="str">
        <f aca="false">IF($A1409="","",Evermont!$Q211)</f>
        <v/>
      </c>
      <c r="K1409" s="104" t="n">
        <f aca="false">IF(A1409="",0,IF(IFERROR(VLOOKUP(A1409,Skills!$A:$M,13,FALSE()),"")="COS",0,IF(OR(I1409="En cours",I1409="À venir",I1409="À planifier"),IF(AND(OR($C$3="Tous",$C$3="",C1409=$C$3),OR($E$3="Tous",$E$3="",I1409=$E$3)),1,0),0)))</f>
        <v>0</v>
      </c>
      <c r="L1409" s="104" t="n">
        <f aca="false">L1408+K1409</f>
        <v>19</v>
      </c>
    </row>
    <row r="1410" customFormat="false" ht="15" hidden="true" customHeight="true" outlineLevel="0" collapsed="false">
      <c r="A1410" s="0" t="str">
        <f aca="false">IF(Evermont!$A212="","",Evermont!$A212)</f>
        <v/>
      </c>
      <c r="B1410" s="0" t="str">
        <f aca="false">IF($A1410="","",Evermont!$B212)</f>
        <v/>
      </c>
      <c r="C1410" s="0" t="str">
        <f aca="false">IF($A1410="","",Evermont!$C212)</f>
        <v/>
      </c>
      <c r="D1410" s="0" t="str">
        <f aca="false">IF($A1410="","","Nouvelle compétence")</f>
        <v/>
      </c>
      <c r="E1410" s="0" t="str">
        <f aca="false">IF($A1410="","",Evermont!$D212)</f>
        <v/>
      </c>
      <c r="F1410" s="116" t="str">
        <f aca="false">IF($A1410="","",Evermont!$F212)</f>
        <v/>
      </c>
      <c r="G1410" s="116" t="str">
        <f aca="false">IF($A1410="","",Evermont!$G212)</f>
        <v/>
      </c>
      <c r="H1410" s="0" t="str">
        <f aca="false">IF($A1410="","",Evermont!$K212)</f>
        <v/>
      </c>
      <c r="I1410" s="0" t="str">
        <f aca="false">IF($A1410="","",Evermont!$Q212)</f>
        <v/>
      </c>
      <c r="K1410" s="104" t="n">
        <f aca="false">IF(A1410="",0,IF(IFERROR(VLOOKUP(A1410,Skills!$A:$M,13,FALSE()),"")="COS",0,IF(OR(I1410="En cours",I1410="À venir",I1410="À planifier"),IF(AND(OR($C$3="Tous",$C$3="",C1410=$C$3),OR($E$3="Tous",$E$3="",I1410=$E$3)),1,0),0)))</f>
        <v>0</v>
      </c>
      <c r="L1410" s="104" t="n">
        <f aca="false">L1409+K1410</f>
        <v>19</v>
      </c>
    </row>
    <row r="1411" customFormat="false" ht="15" hidden="true" customHeight="true" outlineLevel="0" collapsed="false">
      <c r="A1411" s="0" t="str">
        <f aca="false">IF(Evermont!$A213="","",Evermont!$A213)</f>
        <v/>
      </c>
      <c r="B1411" s="0" t="str">
        <f aca="false">IF($A1411="","",Evermont!$B213)</f>
        <v/>
      </c>
      <c r="C1411" s="0" t="str">
        <f aca="false">IF($A1411="","",Evermont!$C213)</f>
        <v/>
      </c>
      <c r="D1411" s="0" t="str">
        <f aca="false">IF($A1411="","","Nouvelle compétence")</f>
        <v/>
      </c>
      <c r="E1411" s="0" t="str">
        <f aca="false">IF($A1411="","",Evermont!$D213)</f>
        <v/>
      </c>
      <c r="F1411" s="116" t="str">
        <f aca="false">IF($A1411="","",Evermont!$F213)</f>
        <v/>
      </c>
      <c r="G1411" s="116" t="str">
        <f aca="false">IF($A1411="","",Evermont!$G213)</f>
        <v/>
      </c>
      <c r="H1411" s="0" t="str">
        <f aca="false">IF($A1411="","",Evermont!$K213)</f>
        <v/>
      </c>
      <c r="I1411" s="0" t="str">
        <f aca="false">IF($A1411="","",Evermont!$Q213)</f>
        <v/>
      </c>
      <c r="K1411" s="104" t="n">
        <f aca="false">IF(A1411="",0,IF(IFERROR(VLOOKUP(A1411,Skills!$A:$M,13,FALSE()),"")="COS",0,IF(OR(I1411="En cours",I1411="À venir",I1411="À planifier"),IF(AND(OR($C$3="Tous",$C$3="",C1411=$C$3),OR($E$3="Tous",$E$3="",I1411=$E$3)),1,0),0)))</f>
        <v>0</v>
      </c>
      <c r="L1411" s="104" t="n">
        <f aca="false">L1410+K1411</f>
        <v>19</v>
      </c>
    </row>
    <row r="1412" customFormat="false" ht="15" hidden="true" customHeight="true" outlineLevel="0" collapsed="false">
      <c r="A1412" s="0" t="str">
        <f aca="false">IF(Evermont!$A214="","",Evermont!$A214)</f>
        <v/>
      </c>
      <c r="B1412" s="0" t="str">
        <f aca="false">IF($A1412="","",Evermont!$B214)</f>
        <v/>
      </c>
      <c r="C1412" s="0" t="str">
        <f aca="false">IF($A1412="","",Evermont!$C214)</f>
        <v/>
      </c>
      <c r="D1412" s="0" t="str">
        <f aca="false">IF($A1412="","","Nouvelle compétence")</f>
        <v/>
      </c>
      <c r="E1412" s="0" t="str">
        <f aca="false">IF($A1412="","",Evermont!$D214)</f>
        <v/>
      </c>
      <c r="F1412" s="116" t="str">
        <f aca="false">IF($A1412="","",Evermont!$F214)</f>
        <v/>
      </c>
      <c r="G1412" s="116" t="str">
        <f aca="false">IF($A1412="","",Evermont!$G214)</f>
        <v/>
      </c>
      <c r="H1412" s="0" t="str">
        <f aca="false">IF($A1412="","",Evermont!$K214)</f>
        <v/>
      </c>
      <c r="I1412" s="0" t="str">
        <f aca="false">IF($A1412="","",Evermont!$Q214)</f>
        <v/>
      </c>
      <c r="K1412" s="104" t="n">
        <f aca="false">IF(A1412="",0,IF(IFERROR(VLOOKUP(A1412,Skills!$A:$M,13,FALSE()),"")="COS",0,IF(OR(I1412="En cours",I1412="À venir",I1412="À planifier"),IF(AND(OR($C$3="Tous",$C$3="",C1412=$C$3),OR($E$3="Tous",$E$3="",I1412=$E$3)),1,0),0)))</f>
        <v>0</v>
      </c>
      <c r="L1412" s="104" t="n">
        <f aca="false">L1411+K1412</f>
        <v>19</v>
      </c>
    </row>
    <row r="1413" customFormat="false" ht="15" hidden="true" customHeight="true" outlineLevel="0" collapsed="false">
      <c r="A1413" s="0" t="str">
        <f aca="false">IF(Evermont!$A215="","",Evermont!$A215)</f>
        <v/>
      </c>
      <c r="B1413" s="0" t="str">
        <f aca="false">IF($A1413="","",Evermont!$B215)</f>
        <v/>
      </c>
      <c r="C1413" s="0" t="str">
        <f aca="false">IF($A1413="","",Evermont!$C215)</f>
        <v/>
      </c>
      <c r="D1413" s="0" t="str">
        <f aca="false">IF($A1413="","","Nouvelle compétence")</f>
        <v/>
      </c>
      <c r="E1413" s="0" t="str">
        <f aca="false">IF($A1413="","",Evermont!$D215)</f>
        <v/>
      </c>
      <c r="F1413" s="116" t="str">
        <f aca="false">IF($A1413="","",Evermont!$F215)</f>
        <v/>
      </c>
      <c r="G1413" s="116" t="str">
        <f aca="false">IF($A1413="","",Evermont!$G215)</f>
        <v/>
      </c>
      <c r="H1413" s="0" t="str">
        <f aca="false">IF($A1413="","",Evermont!$K215)</f>
        <v/>
      </c>
      <c r="I1413" s="0" t="str">
        <f aca="false">IF($A1413="","",Evermont!$Q215)</f>
        <v/>
      </c>
      <c r="K1413" s="104" t="n">
        <f aca="false">IF(A1413="",0,IF(IFERROR(VLOOKUP(A1413,Skills!$A:$M,13,FALSE()),"")="COS",0,IF(OR(I1413="En cours",I1413="À venir",I1413="À planifier"),IF(AND(OR($C$3="Tous",$C$3="",C1413=$C$3),OR($E$3="Tous",$E$3="",I1413=$E$3)),1,0),0)))</f>
        <v>0</v>
      </c>
      <c r="L1413" s="104" t="n">
        <f aca="false">L1412+K1413</f>
        <v>19</v>
      </c>
    </row>
    <row r="1414" customFormat="false" ht="15" hidden="true" customHeight="true" outlineLevel="0" collapsed="false">
      <c r="A1414" s="0" t="str">
        <f aca="false">IF(Evermont!$A216="","",Evermont!$A216)</f>
        <v/>
      </c>
      <c r="B1414" s="0" t="str">
        <f aca="false">IF($A1414="","",Evermont!$B216)</f>
        <v/>
      </c>
      <c r="C1414" s="0" t="str">
        <f aca="false">IF($A1414="","",Evermont!$C216)</f>
        <v/>
      </c>
      <c r="D1414" s="0" t="str">
        <f aca="false">IF($A1414="","","Nouvelle compétence")</f>
        <v/>
      </c>
      <c r="E1414" s="0" t="str">
        <f aca="false">IF($A1414="","",Evermont!$D216)</f>
        <v/>
      </c>
      <c r="F1414" s="116" t="str">
        <f aca="false">IF($A1414="","",Evermont!$F216)</f>
        <v/>
      </c>
      <c r="G1414" s="116" t="str">
        <f aca="false">IF($A1414="","",Evermont!$G216)</f>
        <v/>
      </c>
      <c r="H1414" s="0" t="str">
        <f aca="false">IF($A1414="","",Evermont!$K216)</f>
        <v/>
      </c>
      <c r="I1414" s="0" t="str">
        <f aca="false">IF($A1414="","",Evermont!$Q216)</f>
        <v/>
      </c>
      <c r="K1414" s="104" t="n">
        <f aca="false">IF(A1414="",0,IF(IFERROR(VLOOKUP(A1414,Skills!$A:$M,13,FALSE()),"")="COS",0,IF(OR(I1414="En cours",I1414="À venir",I1414="À planifier"),IF(AND(OR($C$3="Tous",$C$3="",C1414=$C$3),OR($E$3="Tous",$E$3="",I1414=$E$3)),1,0),0)))</f>
        <v>0</v>
      </c>
      <c r="L1414" s="104" t="n">
        <f aca="false">L1413+K1414</f>
        <v>19</v>
      </c>
    </row>
    <row r="1415" customFormat="false" ht="15" hidden="true" customHeight="true" outlineLevel="0" collapsed="false">
      <c r="A1415" s="0" t="str">
        <f aca="false">IF(Evermont!$A217="","",Evermont!$A217)</f>
        <v/>
      </c>
      <c r="B1415" s="0" t="str">
        <f aca="false">IF($A1415="","",Evermont!$B217)</f>
        <v/>
      </c>
      <c r="C1415" s="0" t="str">
        <f aca="false">IF($A1415="","",Evermont!$C217)</f>
        <v/>
      </c>
      <c r="D1415" s="0" t="str">
        <f aca="false">IF($A1415="","","Nouvelle compétence")</f>
        <v/>
      </c>
      <c r="E1415" s="0" t="str">
        <f aca="false">IF($A1415="","",Evermont!$D217)</f>
        <v/>
      </c>
      <c r="F1415" s="116" t="str">
        <f aca="false">IF($A1415="","",Evermont!$F217)</f>
        <v/>
      </c>
      <c r="G1415" s="116" t="str">
        <f aca="false">IF($A1415="","",Evermont!$G217)</f>
        <v/>
      </c>
      <c r="H1415" s="0" t="str">
        <f aca="false">IF($A1415="","",Evermont!$K217)</f>
        <v/>
      </c>
      <c r="I1415" s="0" t="str">
        <f aca="false">IF($A1415="","",Evermont!$Q217)</f>
        <v/>
      </c>
      <c r="K1415" s="104" t="n">
        <f aca="false">IF(A1415="",0,IF(IFERROR(VLOOKUP(A1415,Skills!$A:$M,13,FALSE()),"")="COS",0,IF(OR(I1415="En cours",I1415="À venir",I1415="À planifier"),IF(AND(OR($C$3="Tous",$C$3="",C1415=$C$3),OR($E$3="Tous",$E$3="",I1415=$E$3)),1,0),0)))</f>
        <v>0</v>
      </c>
      <c r="L1415" s="104" t="n">
        <f aca="false">L1414+K1415</f>
        <v>19</v>
      </c>
    </row>
    <row r="1416" customFormat="false" ht="15" hidden="true" customHeight="true" outlineLevel="0" collapsed="false">
      <c r="A1416" s="0" t="str">
        <f aca="false">IF(Evermont!$A218="","",Evermont!$A218)</f>
        <v/>
      </c>
      <c r="B1416" s="0" t="str">
        <f aca="false">IF($A1416="","",Evermont!$B218)</f>
        <v/>
      </c>
      <c r="C1416" s="0" t="str">
        <f aca="false">IF($A1416="","",Evermont!$C218)</f>
        <v/>
      </c>
      <c r="D1416" s="0" t="str">
        <f aca="false">IF($A1416="","","Nouvelle compétence")</f>
        <v/>
      </c>
      <c r="E1416" s="0" t="str">
        <f aca="false">IF($A1416="","",Evermont!$D218)</f>
        <v/>
      </c>
      <c r="F1416" s="116" t="str">
        <f aca="false">IF($A1416="","",Evermont!$F218)</f>
        <v/>
      </c>
      <c r="G1416" s="116" t="str">
        <f aca="false">IF($A1416="","",Evermont!$G218)</f>
        <v/>
      </c>
      <c r="H1416" s="0" t="str">
        <f aca="false">IF($A1416="","",Evermont!$K218)</f>
        <v/>
      </c>
      <c r="I1416" s="0" t="str">
        <f aca="false">IF($A1416="","",Evermont!$Q218)</f>
        <v/>
      </c>
      <c r="K1416" s="104" t="n">
        <f aca="false">IF(A1416="",0,IF(IFERROR(VLOOKUP(A1416,Skills!$A:$M,13,FALSE()),"")="COS",0,IF(OR(I1416="En cours",I1416="À venir",I1416="À planifier"),IF(AND(OR($C$3="Tous",$C$3="",C1416=$C$3),OR($E$3="Tous",$E$3="",I1416=$E$3)),1,0),0)))</f>
        <v>0</v>
      </c>
      <c r="L1416" s="104" t="n">
        <f aca="false">L1415+K1416</f>
        <v>19</v>
      </c>
    </row>
    <row r="1417" customFormat="false" ht="15" hidden="true" customHeight="true" outlineLevel="0" collapsed="false">
      <c r="A1417" s="0" t="str">
        <f aca="false">IF(Evermont!$A219="","",Evermont!$A219)</f>
        <v/>
      </c>
      <c r="B1417" s="0" t="str">
        <f aca="false">IF($A1417="","",Evermont!$B219)</f>
        <v/>
      </c>
      <c r="C1417" s="0" t="str">
        <f aca="false">IF($A1417="","",Evermont!$C219)</f>
        <v/>
      </c>
      <c r="D1417" s="0" t="str">
        <f aca="false">IF($A1417="","","Nouvelle compétence")</f>
        <v/>
      </c>
      <c r="E1417" s="0" t="str">
        <f aca="false">IF($A1417="","",Evermont!$D219)</f>
        <v/>
      </c>
      <c r="F1417" s="116" t="str">
        <f aca="false">IF($A1417="","",Evermont!$F219)</f>
        <v/>
      </c>
      <c r="G1417" s="116" t="str">
        <f aca="false">IF($A1417="","",Evermont!$G219)</f>
        <v/>
      </c>
      <c r="H1417" s="0" t="str">
        <f aca="false">IF($A1417="","",Evermont!$K219)</f>
        <v/>
      </c>
      <c r="I1417" s="0" t="str">
        <f aca="false">IF($A1417="","",Evermont!$Q219)</f>
        <v/>
      </c>
      <c r="K1417" s="104" t="n">
        <f aca="false">IF(A1417="",0,IF(IFERROR(VLOOKUP(A1417,Skills!$A:$M,13,FALSE()),"")="COS",0,IF(OR(I1417="En cours",I1417="À venir",I1417="À planifier"),IF(AND(OR($C$3="Tous",$C$3="",C1417=$C$3),OR($E$3="Tous",$E$3="",I1417=$E$3)),1,0),0)))</f>
        <v>0</v>
      </c>
      <c r="L1417" s="104" t="n">
        <f aca="false">L1416+K1417</f>
        <v>19</v>
      </c>
    </row>
    <row r="1418" customFormat="false" ht="15" hidden="true" customHeight="true" outlineLevel="0" collapsed="false">
      <c r="A1418" s="0" t="str">
        <f aca="false">IF(Evermont!$A220="","",Evermont!$A220)</f>
        <v/>
      </c>
      <c r="B1418" s="0" t="str">
        <f aca="false">IF($A1418="","",Evermont!$B220)</f>
        <v/>
      </c>
      <c r="C1418" s="0" t="str">
        <f aca="false">IF($A1418="","",Evermont!$C220)</f>
        <v/>
      </c>
      <c r="D1418" s="0" t="str">
        <f aca="false">IF($A1418="","","Nouvelle compétence")</f>
        <v/>
      </c>
      <c r="E1418" s="0" t="str">
        <f aca="false">IF($A1418="","",Evermont!$D220)</f>
        <v/>
      </c>
      <c r="F1418" s="116" t="str">
        <f aca="false">IF($A1418="","",Evermont!$F220)</f>
        <v/>
      </c>
      <c r="G1418" s="116" t="str">
        <f aca="false">IF($A1418="","",Evermont!$G220)</f>
        <v/>
      </c>
      <c r="H1418" s="0" t="str">
        <f aca="false">IF($A1418="","",Evermont!$K220)</f>
        <v/>
      </c>
      <c r="I1418" s="0" t="str">
        <f aca="false">IF($A1418="","",Evermont!$Q220)</f>
        <v/>
      </c>
      <c r="K1418" s="104" t="n">
        <f aca="false">IF(A1418="",0,IF(IFERROR(VLOOKUP(A1418,Skills!$A:$M,13,FALSE()),"")="COS",0,IF(OR(I1418="En cours",I1418="À venir",I1418="À planifier"),IF(AND(OR($C$3="Tous",$C$3="",C1418=$C$3),OR($E$3="Tous",$E$3="",I1418=$E$3)),1,0),0)))</f>
        <v>0</v>
      </c>
      <c r="L1418" s="104" t="n">
        <f aca="false">L1417+K1418</f>
        <v>19</v>
      </c>
    </row>
    <row r="1419" customFormat="false" ht="15" hidden="true" customHeight="true" outlineLevel="0" collapsed="false">
      <c r="A1419" s="0" t="str">
        <f aca="false">IF(Evermont!$A221="","",Evermont!$A221)</f>
        <v/>
      </c>
      <c r="B1419" s="0" t="str">
        <f aca="false">IF($A1419="","",Evermont!$B221)</f>
        <v/>
      </c>
      <c r="C1419" s="0" t="str">
        <f aca="false">IF($A1419="","",Evermont!$C221)</f>
        <v/>
      </c>
      <c r="D1419" s="0" t="str">
        <f aca="false">IF($A1419="","","Nouvelle compétence")</f>
        <v/>
      </c>
      <c r="E1419" s="0" t="str">
        <f aca="false">IF($A1419="","",Evermont!$D221)</f>
        <v/>
      </c>
      <c r="F1419" s="116" t="str">
        <f aca="false">IF($A1419="","",Evermont!$F221)</f>
        <v/>
      </c>
      <c r="G1419" s="116" t="str">
        <f aca="false">IF($A1419="","",Evermont!$G221)</f>
        <v/>
      </c>
      <c r="H1419" s="0" t="str">
        <f aca="false">IF($A1419="","",Evermont!$K221)</f>
        <v/>
      </c>
      <c r="I1419" s="0" t="str">
        <f aca="false">IF($A1419="","",Evermont!$Q221)</f>
        <v/>
      </c>
      <c r="K1419" s="104" t="n">
        <f aca="false">IF(A1419="",0,IF(IFERROR(VLOOKUP(A1419,Skills!$A:$M,13,FALSE()),"")="COS",0,IF(OR(I1419="En cours",I1419="À venir",I1419="À planifier"),IF(AND(OR($C$3="Tous",$C$3="",C1419=$C$3),OR($E$3="Tous",$E$3="",I1419=$E$3)),1,0),0)))</f>
        <v>0</v>
      </c>
      <c r="L1419" s="104" t="n">
        <f aca="false">L1418+K1419</f>
        <v>19</v>
      </c>
    </row>
    <row r="1420" customFormat="false" ht="15" hidden="true" customHeight="true" outlineLevel="0" collapsed="false">
      <c r="A1420" s="0" t="str">
        <f aca="false">IF(Evermont!$A222="","",Evermont!$A222)</f>
        <v/>
      </c>
      <c r="B1420" s="0" t="str">
        <f aca="false">IF($A1420="","",Evermont!$B222)</f>
        <v/>
      </c>
      <c r="C1420" s="0" t="str">
        <f aca="false">IF($A1420="","",Evermont!$C222)</f>
        <v/>
      </c>
      <c r="D1420" s="0" t="str">
        <f aca="false">IF($A1420="","","Nouvelle compétence")</f>
        <v/>
      </c>
      <c r="E1420" s="0" t="str">
        <f aca="false">IF($A1420="","",Evermont!$D222)</f>
        <v/>
      </c>
      <c r="F1420" s="116" t="str">
        <f aca="false">IF($A1420="","",Evermont!$F222)</f>
        <v/>
      </c>
      <c r="G1420" s="116" t="str">
        <f aca="false">IF($A1420="","",Evermont!$G222)</f>
        <v/>
      </c>
      <c r="H1420" s="0" t="str">
        <f aca="false">IF($A1420="","",Evermont!$K222)</f>
        <v/>
      </c>
      <c r="I1420" s="0" t="str">
        <f aca="false">IF($A1420="","",Evermont!$Q222)</f>
        <v/>
      </c>
      <c r="K1420" s="104" t="n">
        <f aca="false">IF(A1420="",0,IF(IFERROR(VLOOKUP(A1420,Skills!$A:$M,13,FALSE()),"")="COS",0,IF(OR(I1420="En cours",I1420="À venir",I1420="À planifier"),IF(AND(OR($C$3="Tous",$C$3="",C1420=$C$3),OR($E$3="Tous",$E$3="",I1420=$E$3)),1,0),0)))</f>
        <v>0</v>
      </c>
      <c r="L1420" s="104" t="n">
        <f aca="false">L1419+K1420</f>
        <v>19</v>
      </c>
    </row>
    <row r="1421" customFormat="false" ht="15" hidden="true" customHeight="true" outlineLevel="0" collapsed="false">
      <c r="A1421" s="0" t="str">
        <f aca="false">IF(Evermont!$A223="","",Evermont!$A223)</f>
        <v/>
      </c>
      <c r="B1421" s="0" t="str">
        <f aca="false">IF($A1421="","",Evermont!$B223)</f>
        <v/>
      </c>
      <c r="C1421" s="0" t="str">
        <f aca="false">IF($A1421="","",Evermont!$C223)</f>
        <v/>
      </c>
      <c r="D1421" s="0" t="str">
        <f aca="false">IF($A1421="","","Nouvelle compétence")</f>
        <v/>
      </c>
      <c r="E1421" s="0" t="str">
        <f aca="false">IF($A1421="","",Evermont!$D223)</f>
        <v/>
      </c>
      <c r="F1421" s="116" t="str">
        <f aca="false">IF($A1421="","",Evermont!$F223)</f>
        <v/>
      </c>
      <c r="G1421" s="116" t="str">
        <f aca="false">IF($A1421="","",Evermont!$G223)</f>
        <v/>
      </c>
      <c r="H1421" s="0" t="str">
        <f aca="false">IF($A1421="","",Evermont!$K223)</f>
        <v/>
      </c>
      <c r="I1421" s="0" t="str">
        <f aca="false">IF($A1421="","",Evermont!$Q223)</f>
        <v/>
      </c>
      <c r="K1421" s="104" t="n">
        <f aca="false">IF(A1421="",0,IF(IFERROR(VLOOKUP(A1421,Skills!$A:$M,13,FALSE()),"")="COS",0,IF(OR(I1421="En cours",I1421="À venir",I1421="À planifier"),IF(AND(OR($C$3="Tous",$C$3="",C1421=$C$3),OR($E$3="Tous",$E$3="",I1421=$E$3)),1,0),0)))</f>
        <v>0</v>
      </c>
      <c r="L1421" s="104" t="n">
        <f aca="false">L1420+K1421</f>
        <v>19</v>
      </c>
    </row>
    <row r="1422" customFormat="false" ht="15" hidden="true" customHeight="true" outlineLevel="0" collapsed="false">
      <c r="A1422" s="0" t="str">
        <f aca="false">IF(Evermont!$A224="","",Evermont!$A224)</f>
        <v/>
      </c>
      <c r="B1422" s="0" t="str">
        <f aca="false">IF($A1422="","",Evermont!$B224)</f>
        <v/>
      </c>
      <c r="C1422" s="0" t="str">
        <f aca="false">IF($A1422="","",Evermont!$C224)</f>
        <v/>
      </c>
      <c r="D1422" s="0" t="str">
        <f aca="false">IF($A1422="","","Nouvelle compétence")</f>
        <v/>
      </c>
      <c r="E1422" s="0" t="str">
        <f aca="false">IF($A1422="","",Evermont!$D224)</f>
        <v/>
      </c>
      <c r="F1422" s="116" t="str">
        <f aca="false">IF($A1422="","",Evermont!$F224)</f>
        <v/>
      </c>
      <c r="G1422" s="116" t="str">
        <f aca="false">IF($A1422="","",Evermont!$G224)</f>
        <v/>
      </c>
      <c r="H1422" s="0" t="str">
        <f aca="false">IF($A1422="","",Evermont!$K224)</f>
        <v/>
      </c>
      <c r="I1422" s="0" t="str">
        <f aca="false">IF($A1422="","",Evermont!$Q224)</f>
        <v/>
      </c>
      <c r="K1422" s="104" t="n">
        <f aca="false">IF(A1422="",0,IF(IFERROR(VLOOKUP(A1422,Skills!$A:$M,13,FALSE()),"")="COS",0,IF(OR(I1422="En cours",I1422="À venir",I1422="À planifier"),IF(AND(OR($C$3="Tous",$C$3="",C1422=$C$3),OR($E$3="Tous",$E$3="",I1422=$E$3)),1,0),0)))</f>
        <v>0</v>
      </c>
      <c r="L1422" s="104" t="n">
        <f aca="false">L1421+K1422</f>
        <v>19</v>
      </c>
    </row>
    <row r="1423" customFormat="false" ht="15" hidden="true" customHeight="true" outlineLevel="0" collapsed="false">
      <c r="A1423" s="0" t="str">
        <f aca="false">IF(Evermont!$A225="","",Evermont!$A225)</f>
        <v/>
      </c>
      <c r="B1423" s="0" t="str">
        <f aca="false">IF($A1423="","",Evermont!$B225)</f>
        <v/>
      </c>
      <c r="C1423" s="0" t="str">
        <f aca="false">IF($A1423="","",Evermont!$C225)</f>
        <v/>
      </c>
      <c r="D1423" s="0" t="str">
        <f aca="false">IF($A1423="","","Nouvelle compétence")</f>
        <v/>
      </c>
      <c r="E1423" s="0" t="str">
        <f aca="false">IF($A1423="","",Evermont!$D225)</f>
        <v/>
      </c>
      <c r="F1423" s="116" t="str">
        <f aca="false">IF($A1423="","",Evermont!$F225)</f>
        <v/>
      </c>
      <c r="G1423" s="116" t="str">
        <f aca="false">IF($A1423="","",Evermont!$G225)</f>
        <v/>
      </c>
      <c r="H1423" s="0" t="str">
        <f aca="false">IF($A1423="","",Evermont!$K225)</f>
        <v/>
      </c>
      <c r="I1423" s="0" t="str">
        <f aca="false">IF($A1423="","",Evermont!$Q225)</f>
        <v/>
      </c>
      <c r="K1423" s="104" t="n">
        <f aca="false">IF(A1423="",0,IF(IFERROR(VLOOKUP(A1423,Skills!$A:$M,13,FALSE()),"")="COS",0,IF(OR(I1423="En cours",I1423="À venir",I1423="À planifier"),IF(AND(OR($C$3="Tous",$C$3="",C1423=$C$3),OR($E$3="Tous",$E$3="",I1423=$E$3)),1,0),0)))</f>
        <v>0</v>
      </c>
      <c r="L1423" s="104" t="n">
        <f aca="false">L1422+K1423</f>
        <v>19</v>
      </c>
    </row>
    <row r="1424" customFormat="false" ht="15" hidden="true" customHeight="true" outlineLevel="0" collapsed="false">
      <c r="A1424" s="0" t="str">
        <f aca="false">IF(Evermont!$A226="","",Evermont!$A226)</f>
        <v/>
      </c>
      <c r="B1424" s="0" t="str">
        <f aca="false">IF($A1424="","",Evermont!$B226)</f>
        <v/>
      </c>
      <c r="C1424" s="0" t="str">
        <f aca="false">IF($A1424="","",Evermont!$C226)</f>
        <v/>
      </c>
      <c r="D1424" s="0" t="str">
        <f aca="false">IF($A1424="","","Nouvelle compétence")</f>
        <v/>
      </c>
      <c r="E1424" s="0" t="str">
        <f aca="false">IF($A1424="","",Evermont!$D226)</f>
        <v/>
      </c>
      <c r="F1424" s="116" t="str">
        <f aca="false">IF($A1424="","",Evermont!$F226)</f>
        <v/>
      </c>
      <c r="G1424" s="116" t="str">
        <f aca="false">IF($A1424="","",Evermont!$G226)</f>
        <v/>
      </c>
      <c r="H1424" s="0" t="str">
        <f aca="false">IF($A1424="","",Evermont!$K226)</f>
        <v/>
      </c>
      <c r="I1424" s="0" t="str">
        <f aca="false">IF($A1424="","",Evermont!$Q226)</f>
        <v/>
      </c>
      <c r="K1424" s="104" t="n">
        <f aca="false">IF(A1424="",0,IF(IFERROR(VLOOKUP(A1424,Skills!$A:$M,13,FALSE()),"")="COS",0,IF(OR(I1424="En cours",I1424="À venir",I1424="À planifier"),IF(AND(OR($C$3="Tous",$C$3="",C1424=$C$3),OR($E$3="Tous",$E$3="",I1424=$E$3)),1,0),0)))</f>
        <v>0</v>
      </c>
      <c r="L1424" s="104" t="n">
        <f aca="false">L1423+K1424</f>
        <v>19</v>
      </c>
    </row>
    <row r="1425" customFormat="false" ht="15" hidden="true" customHeight="true" outlineLevel="0" collapsed="false">
      <c r="A1425" s="0" t="str">
        <f aca="false">IF(Evermont!$A227="","",Evermont!$A227)</f>
        <v/>
      </c>
      <c r="B1425" s="0" t="str">
        <f aca="false">IF($A1425="","",Evermont!$B227)</f>
        <v/>
      </c>
      <c r="C1425" s="0" t="str">
        <f aca="false">IF($A1425="","",Evermont!$C227)</f>
        <v/>
      </c>
      <c r="D1425" s="0" t="str">
        <f aca="false">IF($A1425="","","Nouvelle compétence")</f>
        <v/>
      </c>
      <c r="E1425" s="0" t="str">
        <f aca="false">IF($A1425="","",Evermont!$D227)</f>
        <v/>
      </c>
      <c r="F1425" s="116" t="str">
        <f aca="false">IF($A1425="","",Evermont!$F227)</f>
        <v/>
      </c>
      <c r="G1425" s="116" t="str">
        <f aca="false">IF($A1425="","",Evermont!$G227)</f>
        <v/>
      </c>
      <c r="H1425" s="0" t="str">
        <f aca="false">IF($A1425="","",Evermont!$K227)</f>
        <v/>
      </c>
      <c r="I1425" s="0" t="str">
        <f aca="false">IF($A1425="","",Evermont!$Q227)</f>
        <v/>
      </c>
      <c r="K1425" s="104" t="n">
        <f aca="false">IF(A1425="",0,IF(IFERROR(VLOOKUP(A1425,Skills!$A:$M,13,FALSE()),"")="COS",0,IF(OR(I1425="En cours",I1425="À venir",I1425="À planifier"),IF(AND(OR($C$3="Tous",$C$3="",C1425=$C$3),OR($E$3="Tous",$E$3="",I1425=$E$3)),1,0),0)))</f>
        <v>0</v>
      </c>
      <c r="L1425" s="104" t="n">
        <f aca="false">L1424+K1425</f>
        <v>19</v>
      </c>
    </row>
    <row r="1426" customFormat="false" ht="15" hidden="true" customHeight="true" outlineLevel="0" collapsed="false">
      <c r="A1426" s="0" t="str">
        <f aca="false">IF(Evermont!$A228="","",Evermont!$A228)</f>
        <v/>
      </c>
      <c r="B1426" s="0" t="str">
        <f aca="false">IF($A1426="","",Evermont!$B228)</f>
        <v/>
      </c>
      <c r="C1426" s="0" t="str">
        <f aca="false">IF($A1426="","",Evermont!$C228)</f>
        <v/>
      </c>
      <c r="D1426" s="0" t="str">
        <f aca="false">IF($A1426="","","Nouvelle compétence")</f>
        <v/>
      </c>
      <c r="E1426" s="0" t="str">
        <f aca="false">IF($A1426="","",Evermont!$D228)</f>
        <v/>
      </c>
      <c r="F1426" s="116" t="str">
        <f aca="false">IF($A1426="","",Evermont!$F228)</f>
        <v/>
      </c>
      <c r="G1426" s="116" t="str">
        <f aca="false">IF($A1426="","",Evermont!$G228)</f>
        <v/>
      </c>
      <c r="H1426" s="0" t="str">
        <f aca="false">IF($A1426="","",Evermont!$K228)</f>
        <v/>
      </c>
      <c r="I1426" s="0" t="str">
        <f aca="false">IF($A1426="","",Evermont!$Q228)</f>
        <v/>
      </c>
      <c r="K1426" s="104" t="n">
        <f aca="false">IF(A1426="",0,IF(IFERROR(VLOOKUP(A1426,Skills!$A:$M,13,FALSE()),"")="COS",0,IF(OR(I1426="En cours",I1426="À venir",I1426="À planifier"),IF(AND(OR($C$3="Tous",$C$3="",C1426=$C$3),OR($E$3="Tous",$E$3="",I1426=$E$3)),1,0),0)))</f>
        <v>0</v>
      </c>
      <c r="L1426" s="104" t="n">
        <f aca="false">L1425+K1426</f>
        <v>19</v>
      </c>
    </row>
    <row r="1427" customFormat="false" ht="15" hidden="true" customHeight="true" outlineLevel="0" collapsed="false">
      <c r="A1427" s="0" t="str">
        <f aca="false">IF(Evermont!$A229="","",Evermont!$A229)</f>
        <v/>
      </c>
      <c r="B1427" s="0" t="str">
        <f aca="false">IF($A1427="","",Evermont!$B229)</f>
        <v/>
      </c>
      <c r="C1427" s="0" t="str">
        <f aca="false">IF($A1427="","",Evermont!$C229)</f>
        <v/>
      </c>
      <c r="D1427" s="0" t="str">
        <f aca="false">IF($A1427="","","Nouvelle compétence")</f>
        <v/>
      </c>
      <c r="E1427" s="0" t="str">
        <f aca="false">IF($A1427="","",Evermont!$D229)</f>
        <v/>
      </c>
      <c r="F1427" s="116" t="str">
        <f aca="false">IF($A1427="","",Evermont!$F229)</f>
        <v/>
      </c>
      <c r="G1427" s="116" t="str">
        <f aca="false">IF($A1427="","",Evermont!$G229)</f>
        <v/>
      </c>
      <c r="H1427" s="0" t="str">
        <f aca="false">IF($A1427="","",Evermont!$K229)</f>
        <v/>
      </c>
      <c r="I1427" s="0" t="str">
        <f aca="false">IF($A1427="","",Evermont!$Q229)</f>
        <v/>
      </c>
      <c r="K1427" s="104" t="n">
        <f aca="false">IF(A1427="",0,IF(IFERROR(VLOOKUP(A1427,Skills!$A:$M,13,FALSE()),"")="COS",0,IF(OR(I1427="En cours",I1427="À venir",I1427="À planifier"),IF(AND(OR($C$3="Tous",$C$3="",C1427=$C$3),OR($E$3="Tous",$E$3="",I1427=$E$3)),1,0),0)))</f>
        <v>0</v>
      </c>
      <c r="L1427" s="104" t="n">
        <f aca="false">L1426+K1427</f>
        <v>19</v>
      </c>
    </row>
    <row r="1428" customFormat="false" ht="15" hidden="true" customHeight="true" outlineLevel="0" collapsed="false">
      <c r="A1428" s="0" t="str">
        <f aca="false">IF(Evermont!$A230="","",Evermont!$A230)</f>
        <v/>
      </c>
      <c r="B1428" s="0" t="str">
        <f aca="false">IF($A1428="","",Evermont!$B230)</f>
        <v/>
      </c>
      <c r="C1428" s="0" t="str">
        <f aca="false">IF($A1428="","",Evermont!$C230)</f>
        <v/>
      </c>
      <c r="D1428" s="0" t="str">
        <f aca="false">IF($A1428="","","Nouvelle compétence")</f>
        <v/>
      </c>
      <c r="E1428" s="0" t="str">
        <f aca="false">IF($A1428="","",Evermont!$D230)</f>
        <v/>
      </c>
      <c r="F1428" s="116" t="str">
        <f aca="false">IF($A1428="","",Evermont!$F230)</f>
        <v/>
      </c>
      <c r="G1428" s="116" t="str">
        <f aca="false">IF($A1428="","",Evermont!$G230)</f>
        <v/>
      </c>
      <c r="H1428" s="0" t="str">
        <f aca="false">IF($A1428="","",Evermont!$K230)</f>
        <v/>
      </c>
      <c r="I1428" s="0" t="str">
        <f aca="false">IF($A1428="","",Evermont!$Q230)</f>
        <v/>
      </c>
      <c r="K1428" s="104" t="n">
        <f aca="false">IF(A1428="",0,IF(IFERROR(VLOOKUP(A1428,Skills!$A:$M,13,FALSE()),"")="COS",0,IF(OR(I1428="En cours",I1428="À venir",I1428="À planifier"),IF(AND(OR($C$3="Tous",$C$3="",C1428=$C$3),OR($E$3="Tous",$E$3="",I1428=$E$3)),1,0),0)))</f>
        <v>0</v>
      </c>
      <c r="L1428" s="104" t="n">
        <f aca="false">L1427+K1428</f>
        <v>19</v>
      </c>
    </row>
    <row r="1429" customFormat="false" ht="15" hidden="true" customHeight="true" outlineLevel="0" collapsed="false">
      <c r="A1429" s="0" t="str">
        <f aca="false">IF(Evermont!$A231="","",Evermont!$A231)</f>
        <v/>
      </c>
      <c r="B1429" s="0" t="str">
        <f aca="false">IF($A1429="","",Evermont!$B231)</f>
        <v/>
      </c>
      <c r="C1429" s="0" t="str">
        <f aca="false">IF($A1429="","",Evermont!$C231)</f>
        <v/>
      </c>
      <c r="D1429" s="0" t="str">
        <f aca="false">IF($A1429="","","Nouvelle compétence")</f>
        <v/>
      </c>
      <c r="E1429" s="0" t="str">
        <f aca="false">IF($A1429="","",Evermont!$D231)</f>
        <v/>
      </c>
      <c r="F1429" s="116" t="str">
        <f aca="false">IF($A1429="","",Evermont!$F231)</f>
        <v/>
      </c>
      <c r="G1429" s="116" t="str">
        <f aca="false">IF($A1429="","",Evermont!$G231)</f>
        <v/>
      </c>
      <c r="H1429" s="0" t="str">
        <f aca="false">IF($A1429="","",Evermont!$K231)</f>
        <v/>
      </c>
      <c r="I1429" s="0" t="str">
        <f aca="false">IF($A1429="","",Evermont!$Q231)</f>
        <v/>
      </c>
      <c r="K1429" s="104" t="n">
        <f aca="false">IF(A1429="",0,IF(IFERROR(VLOOKUP(A1429,Skills!$A:$M,13,FALSE()),"")="COS",0,IF(OR(I1429="En cours",I1429="À venir",I1429="À planifier"),IF(AND(OR($C$3="Tous",$C$3="",C1429=$C$3),OR($E$3="Tous",$E$3="",I1429=$E$3)),1,0),0)))</f>
        <v>0</v>
      </c>
      <c r="L1429" s="104" t="n">
        <f aca="false">L1428+K1429</f>
        <v>19</v>
      </c>
    </row>
    <row r="1430" customFormat="false" ht="15" hidden="true" customHeight="true" outlineLevel="0" collapsed="false">
      <c r="A1430" s="0" t="str">
        <f aca="false">IF(Evermont!$A232="","",Evermont!$A232)</f>
        <v/>
      </c>
      <c r="B1430" s="0" t="str">
        <f aca="false">IF($A1430="","",Evermont!$B232)</f>
        <v/>
      </c>
      <c r="C1430" s="0" t="str">
        <f aca="false">IF($A1430="","",Evermont!$C232)</f>
        <v/>
      </c>
      <c r="D1430" s="0" t="str">
        <f aca="false">IF($A1430="","","Nouvelle compétence")</f>
        <v/>
      </c>
      <c r="E1430" s="0" t="str">
        <f aca="false">IF($A1430="","",Evermont!$D232)</f>
        <v/>
      </c>
      <c r="F1430" s="116" t="str">
        <f aca="false">IF($A1430="","",Evermont!$F232)</f>
        <v/>
      </c>
      <c r="G1430" s="116" t="str">
        <f aca="false">IF($A1430="","",Evermont!$G232)</f>
        <v/>
      </c>
      <c r="H1430" s="0" t="str">
        <f aca="false">IF($A1430="","",Evermont!$K232)</f>
        <v/>
      </c>
      <c r="I1430" s="0" t="str">
        <f aca="false">IF($A1430="","",Evermont!$Q232)</f>
        <v/>
      </c>
      <c r="K1430" s="104" t="n">
        <f aca="false">IF(A1430="",0,IF(IFERROR(VLOOKUP(A1430,Skills!$A:$M,13,FALSE()),"")="COS",0,IF(OR(I1430="En cours",I1430="À venir",I1430="À planifier"),IF(AND(OR($C$3="Tous",$C$3="",C1430=$C$3),OR($E$3="Tous",$E$3="",I1430=$E$3)),1,0),0)))</f>
        <v>0</v>
      </c>
      <c r="L1430" s="104" t="n">
        <f aca="false">L1429+K1430</f>
        <v>19</v>
      </c>
    </row>
    <row r="1431" customFormat="false" ht="15" hidden="true" customHeight="true" outlineLevel="0" collapsed="false">
      <c r="A1431" s="0" t="str">
        <f aca="false">IF(Evermont!$A233="","",Evermont!$A233)</f>
        <v/>
      </c>
      <c r="B1431" s="0" t="str">
        <f aca="false">IF($A1431="","",Evermont!$B233)</f>
        <v/>
      </c>
      <c r="C1431" s="0" t="str">
        <f aca="false">IF($A1431="","",Evermont!$C233)</f>
        <v/>
      </c>
      <c r="D1431" s="0" t="str">
        <f aca="false">IF($A1431="","","Nouvelle compétence")</f>
        <v/>
      </c>
      <c r="E1431" s="0" t="str">
        <f aca="false">IF($A1431="","",Evermont!$D233)</f>
        <v/>
      </c>
      <c r="F1431" s="116" t="str">
        <f aca="false">IF($A1431="","",Evermont!$F233)</f>
        <v/>
      </c>
      <c r="G1431" s="116" t="str">
        <f aca="false">IF($A1431="","",Evermont!$G233)</f>
        <v/>
      </c>
      <c r="H1431" s="0" t="str">
        <f aca="false">IF($A1431="","",Evermont!$K233)</f>
        <v/>
      </c>
      <c r="I1431" s="0" t="str">
        <f aca="false">IF($A1431="","",Evermont!$Q233)</f>
        <v/>
      </c>
      <c r="K1431" s="104" t="n">
        <f aca="false">IF(A1431="",0,IF(IFERROR(VLOOKUP(A1431,Skills!$A:$M,13,FALSE()),"")="COS",0,IF(OR(I1431="En cours",I1431="À venir",I1431="À planifier"),IF(AND(OR($C$3="Tous",$C$3="",C1431=$C$3),OR($E$3="Tous",$E$3="",I1431=$E$3)),1,0),0)))</f>
        <v>0</v>
      </c>
      <c r="L1431" s="104" t="n">
        <f aca="false">L1430+K1431</f>
        <v>19</v>
      </c>
    </row>
    <row r="1432" customFormat="false" ht="15" hidden="true" customHeight="true" outlineLevel="0" collapsed="false">
      <c r="A1432" s="0" t="str">
        <f aca="false">IF(Evermont!$A234="","",Evermont!$A234)</f>
        <v/>
      </c>
      <c r="B1432" s="0" t="str">
        <f aca="false">IF($A1432="","",Evermont!$B234)</f>
        <v/>
      </c>
      <c r="C1432" s="0" t="str">
        <f aca="false">IF($A1432="","",Evermont!$C234)</f>
        <v/>
      </c>
      <c r="D1432" s="0" t="str">
        <f aca="false">IF($A1432="","","Nouvelle compétence")</f>
        <v/>
      </c>
      <c r="E1432" s="0" t="str">
        <f aca="false">IF($A1432="","",Evermont!$D234)</f>
        <v/>
      </c>
      <c r="F1432" s="116" t="str">
        <f aca="false">IF($A1432="","",Evermont!$F234)</f>
        <v/>
      </c>
      <c r="G1432" s="116" t="str">
        <f aca="false">IF($A1432="","",Evermont!$G234)</f>
        <v/>
      </c>
      <c r="H1432" s="0" t="str">
        <f aca="false">IF($A1432="","",Evermont!$K234)</f>
        <v/>
      </c>
      <c r="I1432" s="0" t="str">
        <f aca="false">IF($A1432="","",Evermont!$Q234)</f>
        <v/>
      </c>
      <c r="K1432" s="104" t="n">
        <f aca="false">IF(A1432="",0,IF(IFERROR(VLOOKUP(A1432,Skills!$A:$M,13,FALSE()),"")="COS",0,IF(OR(I1432="En cours",I1432="À venir",I1432="À planifier"),IF(AND(OR($C$3="Tous",$C$3="",C1432=$C$3),OR($E$3="Tous",$E$3="",I1432=$E$3)),1,0),0)))</f>
        <v>0</v>
      </c>
      <c r="L1432" s="104" t="n">
        <f aca="false">L1431+K1432</f>
        <v>19</v>
      </c>
    </row>
    <row r="1433" customFormat="false" ht="15" hidden="true" customHeight="true" outlineLevel="0" collapsed="false">
      <c r="A1433" s="0" t="str">
        <f aca="false">IF(Evermont!$A235="","",Evermont!$A235)</f>
        <v/>
      </c>
      <c r="B1433" s="0" t="str">
        <f aca="false">IF($A1433="","",Evermont!$B235)</f>
        <v/>
      </c>
      <c r="C1433" s="0" t="str">
        <f aca="false">IF($A1433="","",Evermont!$C235)</f>
        <v/>
      </c>
      <c r="D1433" s="0" t="str">
        <f aca="false">IF($A1433="","","Nouvelle compétence")</f>
        <v/>
      </c>
      <c r="E1433" s="0" t="str">
        <f aca="false">IF($A1433="","",Evermont!$D235)</f>
        <v/>
      </c>
      <c r="F1433" s="116" t="str">
        <f aca="false">IF($A1433="","",Evermont!$F235)</f>
        <v/>
      </c>
      <c r="G1433" s="116" t="str">
        <f aca="false">IF($A1433="","",Evermont!$G235)</f>
        <v/>
      </c>
      <c r="H1433" s="0" t="str">
        <f aca="false">IF($A1433="","",Evermont!$K235)</f>
        <v/>
      </c>
      <c r="I1433" s="0" t="str">
        <f aca="false">IF($A1433="","",Evermont!$Q235)</f>
        <v/>
      </c>
      <c r="K1433" s="104" t="n">
        <f aca="false">IF(A1433="",0,IF(IFERROR(VLOOKUP(A1433,Skills!$A:$M,13,FALSE()),"")="COS",0,IF(OR(I1433="En cours",I1433="À venir",I1433="À planifier"),IF(AND(OR($C$3="Tous",$C$3="",C1433=$C$3),OR($E$3="Tous",$E$3="",I1433=$E$3)),1,0),0)))</f>
        <v>0</v>
      </c>
      <c r="L1433" s="104" t="n">
        <f aca="false">L1432+K1433</f>
        <v>19</v>
      </c>
    </row>
    <row r="1434" customFormat="false" ht="15" hidden="true" customHeight="true" outlineLevel="0" collapsed="false">
      <c r="A1434" s="0" t="str">
        <f aca="false">IF(Evermont!$A236="","",Evermont!$A236)</f>
        <v/>
      </c>
      <c r="B1434" s="0" t="str">
        <f aca="false">IF($A1434="","",Evermont!$B236)</f>
        <v/>
      </c>
      <c r="C1434" s="0" t="str">
        <f aca="false">IF($A1434="","",Evermont!$C236)</f>
        <v/>
      </c>
      <c r="D1434" s="0" t="str">
        <f aca="false">IF($A1434="","","Nouvelle compétence")</f>
        <v/>
      </c>
      <c r="E1434" s="0" t="str">
        <f aca="false">IF($A1434="","",Evermont!$D236)</f>
        <v/>
      </c>
      <c r="F1434" s="116" t="str">
        <f aca="false">IF($A1434="","",Evermont!$F236)</f>
        <v/>
      </c>
      <c r="G1434" s="116" t="str">
        <f aca="false">IF($A1434="","",Evermont!$G236)</f>
        <v/>
      </c>
      <c r="H1434" s="0" t="str">
        <f aca="false">IF($A1434="","",Evermont!$K236)</f>
        <v/>
      </c>
      <c r="I1434" s="0" t="str">
        <f aca="false">IF($A1434="","",Evermont!$Q236)</f>
        <v/>
      </c>
      <c r="K1434" s="104" t="n">
        <f aca="false">IF(A1434="",0,IF(IFERROR(VLOOKUP(A1434,Skills!$A:$M,13,FALSE()),"")="COS",0,IF(OR(I1434="En cours",I1434="À venir",I1434="À planifier"),IF(AND(OR($C$3="Tous",$C$3="",C1434=$C$3),OR($E$3="Tous",$E$3="",I1434=$E$3)),1,0),0)))</f>
        <v>0</v>
      </c>
      <c r="L1434" s="104" t="n">
        <f aca="false">L1433+K1434</f>
        <v>19</v>
      </c>
    </row>
    <row r="1435" customFormat="false" ht="15" hidden="true" customHeight="true" outlineLevel="0" collapsed="false">
      <c r="A1435" s="0" t="str">
        <f aca="false">IF(Evermont!$A237="","",Evermont!$A237)</f>
        <v/>
      </c>
      <c r="B1435" s="0" t="str">
        <f aca="false">IF($A1435="","",Evermont!$B237)</f>
        <v/>
      </c>
      <c r="C1435" s="0" t="str">
        <f aca="false">IF($A1435="","",Evermont!$C237)</f>
        <v/>
      </c>
      <c r="D1435" s="0" t="str">
        <f aca="false">IF($A1435="","","Nouvelle compétence")</f>
        <v/>
      </c>
      <c r="E1435" s="0" t="str">
        <f aca="false">IF($A1435="","",Evermont!$D237)</f>
        <v/>
      </c>
      <c r="F1435" s="116" t="str">
        <f aca="false">IF($A1435="","",Evermont!$F237)</f>
        <v/>
      </c>
      <c r="G1435" s="116" t="str">
        <f aca="false">IF($A1435="","",Evermont!$G237)</f>
        <v/>
      </c>
      <c r="H1435" s="0" t="str">
        <f aca="false">IF($A1435="","",Evermont!$K237)</f>
        <v/>
      </c>
      <c r="I1435" s="0" t="str">
        <f aca="false">IF($A1435="","",Evermont!$Q237)</f>
        <v/>
      </c>
      <c r="K1435" s="104" t="n">
        <f aca="false">IF(A1435="",0,IF(IFERROR(VLOOKUP(A1435,Skills!$A:$M,13,FALSE()),"")="COS",0,IF(OR(I1435="En cours",I1435="À venir",I1435="À planifier"),IF(AND(OR($C$3="Tous",$C$3="",C1435=$C$3),OR($E$3="Tous",$E$3="",I1435=$E$3)),1,0),0)))</f>
        <v>0</v>
      </c>
      <c r="L1435" s="104" t="n">
        <f aca="false">L1434+K1435</f>
        <v>19</v>
      </c>
    </row>
    <row r="1436" customFormat="false" ht="15" hidden="true" customHeight="true" outlineLevel="0" collapsed="false">
      <c r="A1436" s="0" t="str">
        <f aca="false">IF(Evermont!$A238="","",Evermont!$A238)</f>
        <v/>
      </c>
      <c r="B1436" s="0" t="str">
        <f aca="false">IF($A1436="","",Evermont!$B238)</f>
        <v/>
      </c>
      <c r="C1436" s="0" t="str">
        <f aca="false">IF($A1436="","",Evermont!$C238)</f>
        <v/>
      </c>
      <c r="D1436" s="0" t="str">
        <f aca="false">IF($A1436="","","Nouvelle compétence")</f>
        <v/>
      </c>
      <c r="E1436" s="0" t="str">
        <f aca="false">IF($A1436="","",Evermont!$D238)</f>
        <v/>
      </c>
      <c r="F1436" s="116" t="str">
        <f aca="false">IF($A1436="","",Evermont!$F238)</f>
        <v/>
      </c>
      <c r="G1436" s="116" t="str">
        <f aca="false">IF($A1436="","",Evermont!$G238)</f>
        <v/>
      </c>
      <c r="H1436" s="0" t="str">
        <f aca="false">IF($A1436="","",Evermont!$K238)</f>
        <v/>
      </c>
      <c r="I1436" s="0" t="str">
        <f aca="false">IF($A1436="","",Evermont!$Q238)</f>
        <v/>
      </c>
      <c r="K1436" s="104" t="n">
        <f aca="false">IF(A1436="",0,IF(IFERROR(VLOOKUP(A1436,Skills!$A:$M,13,FALSE()),"")="COS",0,IF(OR(I1436="En cours",I1436="À venir",I1436="À planifier"),IF(AND(OR($C$3="Tous",$C$3="",C1436=$C$3),OR($E$3="Tous",$E$3="",I1436=$E$3)),1,0),0)))</f>
        <v>0</v>
      </c>
      <c r="L1436" s="104" t="n">
        <f aca="false">L1435+K1436</f>
        <v>19</v>
      </c>
    </row>
    <row r="1437" customFormat="false" ht="15" hidden="true" customHeight="true" outlineLevel="0" collapsed="false">
      <c r="A1437" s="0" t="str">
        <f aca="false">IF(Evermont!$A239="","",Evermont!$A239)</f>
        <v/>
      </c>
      <c r="B1437" s="0" t="str">
        <f aca="false">IF($A1437="","",Evermont!$B239)</f>
        <v/>
      </c>
      <c r="C1437" s="0" t="str">
        <f aca="false">IF($A1437="","",Evermont!$C239)</f>
        <v/>
      </c>
      <c r="D1437" s="0" t="str">
        <f aca="false">IF($A1437="","","Nouvelle compétence")</f>
        <v/>
      </c>
      <c r="E1437" s="0" t="str">
        <f aca="false">IF($A1437="","",Evermont!$D239)</f>
        <v/>
      </c>
      <c r="F1437" s="116" t="str">
        <f aca="false">IF($A1437="","",Evermont!$F239)</f>
        <v/>
      </c>
      <c r="G1437" s="116" t="str">
        <f aca="false">IF($A1437="","",Evermont!$G239)</f>
        <v/>
      </c>
      <c r="H1437" s="0" t="str">
        <f aca="false">IF($A1437="","",Evermont!$K239)</f>
        <v/>
      </c>
      <c r="I1437" s="0" t="str">
        <f aca="false">IF($A1437="","",Evermont!$Q239)</f>
        <v/>
      </c>
      <c r="K1437" s="104" t="n">
        <f aca="false">IF(A1437="",0,IF(IFERROR(VLOOKUP(A1437,Skills!$A:$M,13,FALSE()),"")="COS",0,IF(OR(I1437="En cours",I1437="À venir",I1437="À planifier"),IF(AND(OR($C$3="Tous",$C$3="",C1437=$C$3),OR($E$3="Tous",$E$3="",I1437=$E$3)),1,0),0)))</f>
        <v>0</v>
      </c>
      <c r="L1437" s="104" t="n">
        <f aca="false">L1436+K1437</f>
        <v>19</v>
      </c>
    </row>
    <row r="1438" customFormat="false" ht="15" hidden="true" customHeight="true" outlineLevel="0" collapsed="false">
      <c r="A1438" s="0" t="str">
        <f aca="false">IF(Evermont!$A240="","",Evermont!$A240)</f>
        <v/>
      </c>
      <c r="B1438" s="0" t="str">
        <f aca="false">IF($A1438="","",Evermont!$B240)</f>
        <v/>
      </c>
      <c r="C1438" s="0" t="str">
        <f aca="false">IF($A1438="","",Evermont!$C240)</f>
        <v/>
      </c>
      <c r="D1438" s="0" t="str">
        <f aca="false">IF($A1438="","","Nouvelle compétence")</f>
        <v/>
      </c>
      <c r="E1438" s="0" t="str">
        <f aca="false">IF($A1438="","",Evermont!$D240)</f>
        <v/>
      </c>
      <c r="F1438" s="116" t="str">
        <f aca="false">IF($A1438="","",Evermont!$F240)</f>
        <v/>
      </c>
      <c r="G1438" s="116" t="str">
        <f aca="false">IF($A1438="","",Evermont!$G240)</f>
        <v/>
      </c>
      <c r="H1438" s="0" t="str">
        <f aca="false">IF($A1438="","",Evermont!$K240)</f>
        <v/>
      </c>
      <c r="I1438" s="0" t="str">
        <f aca="false">IF($A1438="","",Evermont!$Q240)</f>
        <v/>
      </c>
      <c r="K1438" s="104" t="n">
        <f aca="false">IF(A1438="",0,IF(IFERROR(VLOOKUP(A1438,Skills!$A:$M,13,FALSE()),"")="COS",0,IF(OR(I1438="En cours",I1438="À venir",I1438="À planifier"),IF(AND(OR($C$3="Tous",$C$3="",C1438=$C$3),OR($E$3="Tous",$E$3="",I1438=$E$3)),1,0),0)))</f>
        <v>0</v>
      </c>
      <c r="L1438" s="104" t="n">
        <f aca="false">L1437+K1438</f>
        <v>19</v>
      </c>
    </row>
    <row r="1439" customFormat="false" ht="15" hidden="true" customHeight="true" outlineLevel="0" collapsed="false">
      <c r="A1439" s="0" t="str">
        <f aca="false">IF(Evermont!$A241="","",Evermont!$A241)</f>
        <v/>
      </c>
      <c r="B1439" s="0" t="str">
        <f aca="false">IF($A1439="","",Evermont!$B241)</f>
        <v/>
      </c>
      <c r="C1439" s="0" t="str">
        <f aca="false">IF($A1439="","",Evermont!$C241)</f>
        <v/>
      </c>
      <c r="D1439" s="0" t="str">
        <f aca="false">IF($A1439="","","Nouvelle compétence")</f>
        <v/>
      </c>
      <c r="E1439" s="0" t="str">
        <f aca="false">IF($A1439="","",Evermont!$D241)</f>
        <v/>
      </c>
      <c r="F1439" s="116" t="str">
        <f aca="false">IF($A1439="","",Evermont!$F241)</f>
        <v/>
      </c>
      <c r="G1439" s="116" t="str">
        <f aca="false">IF($A1439="","",Evermont!$G241)</f>
        <v/>
      </c>
      <c r="H1439" s="0" t="str">
        <f aca="false">IF($A1439="","",Evermont!$K241)</f>
        <v/>
      </c>
      <c r="I1439" s="0" t="str">
        <f aca="false">IF($A1439="","",Evermont!$Q241)</f>
        <v/>
      </c>
      <c r="K1439" s="104" t="n">
        <f aca="false">IF(A1439="",0,IF(IFERROR(VLOOKUP(A1439,Skills!$A:$M,13,FALSE()),"")="COS",0,IF(OR(I1439="En cours",I1439="À venir",I1439="À planifier"),IF(AND(OR($C$3="Tous",$C$3="",C1439=$C$3),OR($E$3="Tous",$E$3="",I1439=$E$3)),1,0),0)))</f>
        <v>0</v>
      </c>
      <c r="L1439" s="104" t="n">
        <f aca="false">L1438+K1439</f>
        <v>19</v>
      </c>
    </row>
    <row r="1440" customFormat="false" ht="15" hidden="true" customHeight="true" outlineLevel="0" collapsed="false">
      <c r="A1440" s="0" t="str">
        <f aca="false">IF(Evermont!$A242="","",Evermont!$A242)</f>
        <v/>
      </c>
      <c r="B1440" s="0" t="str">
        <f aca="false">IF($A1440="","",Evermont!$B242)</f>
        <v/>
      </c>
      <c r="C1440" s="0" t="str">
        <f aca="false">IF($A1440="","",Evermont!$C242)</f>
        <v/>
      </c>
      <c r="D1440" s="0" t="str">
        <f aca="false">IF($A1440="","","Nouvelle compétence")</f>
        <v/>
      </c>
      <c r="E1440" s="0" t="str">
        <f aca="false">IF($A1440="","",Evermont!$D242)</f>
        <v/>
      </c>
      <c r="F1440" s="116" t="str">
        <f aca="false">IF($A1440="","",Evermont!$F242)</f>
        <v/>
      </c>
      <c r="G1440" s="116" t="str">
        <f aca="false">IF($A1440="","",Evermont!$G242)</f>
        <v/>
      </c>
      <c r="H1440" s="0" t="str">
        <f aca="false">IF($A1440="","",Evermont!$K242)</f>
        <v/>
      </c>
      <c r="I1440" s="0" t="str">
        <f aca="false">IF($A1440="","",Evermont!$Q242)</f>
        <v/>
      </c>
      <c r="K1440" s="104" t="n">
        <f aca="false">IF(A1440="",0,IF(IFERROR(VLOOKUP(A1440,Skills!$A:$M,13,FALSE()),"")="COS",0,IF(OR(I1440="En cours",I1440="À venir",I1440="À planifier"),IF(AND(OR($C$3="Tous",$C$3="",C1440=$C$3),OR($E$3="Tous",$E$3="",I1440=$E$3)),1,0),0)))</f>
        <v>0</v>
      </c>
      <c r="L1440" s="104" t="n">
        <f aca="false">L1439+K1440</f>
        <v>19</v>
      </c>
    </row>
    <row r="1441" customFormat="false" ht="15" hidden="true" customHeight="true" outlineLevel="0" collapsed="false">
      <c r="A1441" s="0" t="str">
        <f aca="false">IF(Evermont!$A243="","",Evermont!$A243)</f>
        <v/>
      </c>
      <c r="B1441" s="0" t="str">
        <f aca="false">IF($A1441="","",Evermont!$B243)</f>
        <v/>
      </c>
      <c r="C1441" s="0" t="str">
        <f aca="false">IF($A1441="","",Evermont!$C243)</f>
        <v/>
      </c>
      <c r="D1441" s="0" t="str">
        <f aca="false">IF($A1441="","","Nouvelle compétence")</f>
        <v/>
      </c>
      <c r="E1441" s="0" t="str">
        <f aca="false">IF($A1441="","",Evermont!$D243)</f>
        <v/>
      </c>
      <c r="F1441" s="116" t="str">
        <f aca="false">IF($A1441="","",Evermont!$F243)</f>
        <v/>
      </c>
      <c r="G1441" s="116" t="str">
        <f aca="false">IF($A1441="","",Evermont!$G243)</f>
        <v/>
      </c>
      <c r="H1441" s="0" t="str">
        <f aca="false">IF($A1441="","",Evermont!$K243)</f>
        <v/>
      </c>
      <c r="I1441" s="0" t="str">
        <f aca="false">IF($A1441="","",Evermont!$Q243)</f>
        <v/>
      </c>
      <c r="K1441" s="104" t="n">
        <f aca="false">IF(A1441="",0,IF(IFERROR(VLOOKUP(A1441,Skills!$A:$M,13,FALSE()),"")="COS",0,IF(OR(I1441="En cours",I1441="À venir",I1441="À planifier"),IF(AND(OR($C$3="Tous",$C$3="",C1441=$C$3),OR($E$3="Tous",$E$3="",I1441=$E$3)),1,0),0)))</f>
        <v>0</v>
      </c>
      <c r="L1441" s="104" t="n">
        <f aca="false">L1440+K1441</f>
        <v>19</v>
      </c>
    </row>
    <row r="1442" customFormat="false" ht="15" hidden="true" customHeight="true" outlineLevel="0" collapsed="false">
      <c r="A1442" s="0" t="str">
        <f aca="false">IF(Evermont!$A244="","",Evermont!$A244)</f>
        <v/>
      </c>
      <c r="B1442" s="0" t="str">
        <f aca="false">IF($A1442="","",Evermont!$B244)</f>
        <v/>
      </c>
      <c r="C1442" s="0" t="str">
        <f aca="false">IF($A1442="","",Evermont!$C244)</f>
        <v/>
      </c>
      <c r="D1442" s="0" t="str">
        <f aca="false">IF($A1442="","","Nouvelle compétence")</f>
        <v/>
      </c>
      <c r="E1442" s="0" t="str">
        <f aca="false">IF($A1442="","",Evermont!$D244)</f>
        <v/>
      </c>
      <c r="F1442" s="116" t="str">
        <f aca="false">IF($A1442="","",Evermont!$F244)</f>
        <v/>
      </c>
      <c r="G1442" s="116" t="str">
        <f aca="false">IF($A1442="","",Evermont!$G244)</f>
        <v/>
      </c>
      <c r="H1442" s="0" t="str">
        <f aca="false">IF($A1442="","",Evermont!$K244)</f>
        <v/>
      </c>
      <c r="I1442" s="0" t="str">
        <f aca="false">IF($A1442="","",Evermont!$Q244)</f>
        <v/>
      </c>
      <c r="K1442" s="104" t="n">
        <f aca="false">IF(A1442="",0,IF(IFERROR(VLOOKUP(A1442,Skills!$A:$M,13,FALSE()),"")="COS",0,IF(OR(I1442="En cours",I1442="À venir",I1442="À planifier"),IF(AND(OR($C$3="Tous",$C$3="",C1442=$C$3),OR($E$3="Tous",$E$3="",I1442=$E$3)),1,0),0)))</f>
        <v>0</v>
      </c>
      <c r="L1442" s="104" t="n">
        <f aca="false">L1441+K1442</f>
        <v>19</v>
      </c>
    </row>
    <row r="1443" customFormat="false" ht="15" hidden="true" customHeight="true" outlineLevel="0" collapsed="false">
      <c r="A1443" s="0" t="str">
        <f aca="false">IF(Evermont!$A245="","",Evermont!$A245)</f>
        <v/>
      </c>
      <c r="B1443" s="0" t="str">
        <f aca="false">IF($A1443="","",Evermont!$B245)</f>
        <v/>
      </c>
      <c r="C1443" s="0" t="str">
        <f aca="false">IF($A1443="","",Evermont!$C245)</f>
        <v/>
      </c>
      <c r="D1443" s="0" t="str">
        <f aca="false">IF($A1443="","","Nouvelle compétence")</f>
        <v/>
      </c>
      <c r="E1443" s="0" t="str">
        <f aca="false">IF($A1443="","",Evermont!$D245)</f>
        <v/>
      </c>
      <c r="F1443" s="116" t="str">
        <f aca="false">IF($A1443="","",Evermont!$F245)</f>
        <v/>
      </c>
      <c r="G1443" s="116" t="str">
        <f aca="false">IF($A1443="","",Evermont!$G245)</f>
        <v/>
      </c>
      <c r="H1443" s="0" t="str">
        <f aca="false">IF($A1443="","",Evermont!$K245)</f>
        <v/>
      </c>
      <c r="I1443" s="0" t="str">
        <f aca="false">IF($A1443="","",Evermont!$Q245)</f>
        <v/>
      </c>
      <c r="K1443" s="104" t="n">
        <f aca="false">IF(A1443="",0,IF(IFERROR(VLOOKUP(A1443,Skills!$A:$M,13,FALSE()),"")="COS",0,IF(OR(I1443="En cours",I1443="À venir",I1443="À planifier"),IF(AND(OR($C$3="Tous",$C$3="",C1443=$C$3),OR($E$3="Tous",$E$3="",I1443=$E$3)),1,0),0)))</f>
        <v>0</v>
      </c>
      <c r="L1443" s="104" t="n">
        <f aca="false">L1442+K1443</f>
        <v>19</v>
      </c>
    </row>
    <row r="1444" customFormat="false" ht="15" hidden="true" customHeight="true" outlineLevel="0" collapsed="false">
      <c r="A1444" s="0" t="str">
        <f aca="false">IF(Evermont!$A246="","",Evermont!$A246)</f>
        <v/>
      </c>
      <c r="B1444" s="0" t="str">
        <f aca="false">IF($A1444="","",Evermont!$B246)</f>
        <v/>
      </c>
      <c r="C1444" s="0" t="str">
        <f aca="false">IF($A1444="","",Evermont!$C246)</f>
        <v/>
      </c>
      <c r="D1444" s="0" t="str">
        <f aca="false">IF($A1444="","","Nouvelle compétence")</f>
        <v/>
      </c>
      <c r="E1444" s="0" t="str">
        <f aca="false">IF($A1444="","",Evermont!$D246)</f>
        <v/>
      </c>
      <c r="F1444" s="116" t="str">
        <f aca="false">IF($A1444="","",Evermont!$F246)</f>
        <v/>
      </c>
      <c r="G1444" s="116" t="str">
        <f aca="false">IF($A1444="","",Evermont!$G246)</f>
        <v/>
      </c>
      <c r="H1444" s="0" t="str">
        <f aca="false">IF($A1444="","",Evermont!$K246)</f>
        <v/>
      </c>
      <c r="I1444" s="0" t="str">
        <f aca="false">IF($A1444="","",Evermont!$Q246)</f>
        <v/>
      </c>
      <c r="K1444" s="104" t="n">
        <f aca="false">IF(A1444="",0,IF(IFERROR(VLOOKUP(A1444,Skills!$A:$M,13,FALSE()),"")="COS",0,IF(OR(I1444="En cours",I1444="À venir",I1444="À planifier"),IF(AND(OR($C$3="Tous",$C$3="",C1444=$C$3),OR($E$3="Tous",$E$3="",I1444=$E$3)),1,0),0)))</f>
        <v>0</v>
      </c>
      <c r="L1444" s="104" t="n">
        <f aca="false">L1443+K1444</f>
        <v>19</v>
      </c>
    </row>
    <row r="1445" customFormat="false" ht="15" hidden="true" customHeight="true" outlineLevel="0" collapsed="false">
      <c r="A1445" s="0" t="str">
        <f aca="false">IF(Evermont!$A247="","",Evermont!$A247)</f>
        <v/>
      </c>
      <c r="B1445" s="0" t="str">
        <f aca="false">IF($A1445="","",Evermont!$B247)</f>
        <v/>
      </c>
      <c r="C1445" s="0" t="str">
        <f aca="false">IF($A1445="","",Evermont!$C247)</f>
        <v/>
      </c>
      <c r="D1445" s="0" t="str">
        <f aca="false">IF($A1445="","","Nouvelle compétence")</f>
        <v/>
      </c>
      <c r="E1445" s="0" t="str">
        <f aca="false">IF($A1445="","",Evermont!$D247)</f>
        <v/>
      </c>
      <c r="F1445" s="116" t="str">
        <f aca="false">IF($A1445="","",Evermont!$F247)</f>
        <v/>
      </c>
      <c r="G1445" s="116" t="str">
        <f aca="false">IF($A1445="","",Evermont!$G247)</f>
        <v/>
      </c>
      <c r="H1445" s="0" t="str">
        <f aca="false">IF($A1445="","",Evermont!$K247)</f>
        <v/>
      </c>
      <c r="I1445" s="0" t="str">
        <f aca="false">IF($A1445="","",Evermont!$Q247)</f>
        <v/>
      </c>
      <c r="K1445" s="104" t="n">
        <f aca="false">IF(A1445="",0,IF(IFERROR(VLOOKUP(A1445,Skills!$A:$M,13,FALSE()),"")="COS",0,IF(OR(I1445="En cours",I1445="À venir",I1445="À planifier"),IF(AND(OR($C$3="Tous",$C$3="",C1445=$C$3),OR($E$3="Tous",$E$3="",I1445=$E$3)),1,0),0)))</f>
        <v>0</v>
      </c>
      <c r="L1445" s="104" t="n">
        <f aca="false">L1444+K1445</f>
        <v>19</v>
      </c>
    </row>
    <row r="1446" customFormat="false" ht="15" hidden="true" customHeight="true" outlineLevel="0" collapsed="false">
      <c r="A1446" s="0" t="str">
        <f aca="false">IF(Evermont!$A248="","",Evermont!$A248)</f>
        <v/>
      </c>
      <c r="B1446" s="0" t="str">
        <f aca="false">IF($A1446="","",Evermont!$B248)</f>
        <v/>
      </c>
      <c r="C1446" s="0" t="str">
        <f aca="false">IF($A1446="","",Evermont!$C248)</f>
        <v/>
      </c>
      <c r="D1446" s="0" t="str">
        <f aca="false">IF($A1446="","","Nouvelle compétence")</f>
        <v/>
      </c>
      <c r="E1446" s="0" t="str">
        <f aca="false">IF($A1446="","",Evermont!$D248)</f>
        <v/>
      </c>
      <c r="F1446" s="116" t="str">
        <f aca="false">IF($A1446="","",Evermont!$F248)</f>
        <v/>
      </c>
      <c r="G1446" s="116" t="str">
        <f aca="false">IF($A1446="","",Evermont!$G248)</f>
        <v/>
      </c>
      <c r="H1446" s="0" t="str">
        <f aca="false">IF($A1446="","",Evermont!$K248)</f>
        <v/>
      </c>
      <c r="I1446" s="0" t="str">
        <f aca="false">IF($A1446="","",Evermont!$Q248)</f>
        <v/>
      </c>
      <c r="K1446" s="104" t="n">
        <f aca="false">IF(A1446="",0,IF(IFERROR(VLOOKUP(A1446,Skills!$A:$M,13,FALSE()),"")="COS",0,IF(OR(I1446="En cours",I1446="À venir",I1446="À planifier"),IF(AND(OR($C$3="Tous",$C$3="",C1446=$C$3),OR($E$3="Tous",$E$3="",I1446=$E$3)),1,0),0)))</f>
        <v>0</v>
      </c>
      <c r="L1446" s="104" t="n">
        <f aca="false">L1445+K1446</f>
        <v>19</v>
      </c>
    </row>
    <row r="1447" customFormat="false" ht="15" hidden="true" customHeight="true" outlineLevel="0" collapsed="false">
      <c r="A1447" s="0" t="str">
        <f aca="false">IF(Evermont!$A249="","",Evermont!$A249)</f>
        <v/>
      </c>
      <c r="B1447" s="0" t="str">
        <f aca="false">IF($A1447="","",Evermont!$B249)</f>
        <v/>
      </c>
      <c r="C1447" s="0" t="str">
        <f aca="false">IF($A1447="","",Evermont!$C249)</f>
        <v/>
      </c>
      <c r="D1447" s="0" t="str">
        <f aca="false">IF($A1447="","","Nouvelle compétence")</f>
        <v/>
      </c>
      <c r="E1447" s="0" t="str">
        <f aca="false">IF($A1447="","",Evermont!$D249)</f>
        <v/>
      </c>
      <c r="F1447" s="116" t="str">
        <f aca="false">IF($A1447="","",Evermont!$F249)</f>
        <v/>
      </c>
      <c r="G1447" s="116" t="str">
        <f aca="false">IF($A1447="","",Evermont!$G249)</f>
        <v/>
      </c>
      <c r="H1447" s="0" t="str">
        <f aca="false">IF($A1447="","",Evermont!$K249)</f>
        <v/>
      </c>
      <c r="I1447" s="0" t="str">
        <f aca="false">IF($A1447="","",Evermont!$Q249)</f>
        <v/>
      </c>
      <c r="K1447" s="104" t="n">
        <f aca="false">IF(A1447="",0,IF(IFERROR(VLOOKUP(A1447,Skills!$A:$M,13,FALSE()),"")="COS",0,IF(OR(I1447="En cours",I1447="À venir",I1447="À planifier"),IF(AND(OR($C$3="Tous",$C$3="",C1447=$C$3),OR($E$3="Tous",$E$3="",I1447=$E$3)),1,0),0)))</f>
        <v>0</v>
      </c>
      <c r="L1447" s="104" t="n">
        <f aca="false">L1446+K1447</f>
        <v>19</v>
      </c>
    </row>
    <row r="1448" customFormat="false" ht="15" hidden="true" customHeight="true" outlineLevel="0" collapsed="false">
      <c r="A1448" s="0" t="str">
        <f aca="false">IF(Evermont!$A250="","",Evermont!$A250)</f>
        <v/>
      </c>
      <c r="B1448" s="0" t="str">
        <f aca="false">IF($A1448="","",Evermont!$B250)</f>
        <v/>
      </c>
      <c r="C1448" s="0" t="str">
        <f aca="false">IF($A1448="","",Evermont!$C250)</f>
        <v/>
      </c>
      <c r="D1448" s="0" t="str">
        <f aca="false">IF($A1448="","","Nouvelle compétence")</f>
        <v/>
      </c>
      <c r="E1448" s="0" t="str">
        <f aca="false">IF($A1448="","",Evermont!$D250)</f>
        <v/>
      </c>
      <c r="F1448" s="116" t="str">
        <f aca="false">IF($A1448="","",Evermont!$F250)</f>
        <v/>
      </c>
      <c r="G1448" s="116" t="str">
        <f aca="false">IF($A1448="","",Evermont!$G250)</f>
        <v/>
      </c>
      <c r="H1448" s="0" t="str">
        <f aca="false">IF($A1448="","",Evermont!$K250)</f>
        <v/>
      </c>
      <c r="I1448" s="0" t="str">
        <f aca="false">IF($A1448="","",Evermont!$Q250)</f>
        <v/>
      </c>
      <c r="K1448" s="104" t="n">
        <f aca="false">IF(A1448="",0,IF(IFERROR(VLOOKUP(A1448,Skills!$A:$M,13,FALSE()),"")="COS",0,IF(OR(I1448="En cours",I1448="À venir",I1448="À planifier"),IF(AND(OR($C$3="Tous",$C$3="",C1448=$C$3),OR($E$3="Tous",$E$3="",I1448=$E$3)),1,0),0)))</f>
        <v>0</v>
      </c>
      <c r="L1448" s="104" t="n">
        <f aca="false">L1447+K1448</f>
        <v>19</v>
      </c>
    </row>
    <row r="1449" customFormat="false" ht="15" hidden="true" customHeight="true" outlineLevel="0" collapsed="false">
      <c r="A1449" s="0" t="str">
        <f aca="false">IF(Evermont!$A251="","",Evermont!$A251)</f>
        <v/>
      </c>
      <c r="B1449" s="0" t="str">
        <f aca="false">IF($A1449="","",Evermont!$B251)</f>
        <v/>
      </c>
      <c r="C1449" s="0" t="str">
        <f aca="false">IF($A1449="","",Evermont!$C251)</f>
        <v/>
      </c>
      <c r="D1449" s="0" t="str">
        <f aca="false">IF($A1449="","","Nouvelle compétence")</f>
        <v/>
      </c>
      <c r="E1449" s="0" t="str">
        <f aca="false">IF($A1449="","",Evermont!$D251)</f>
        <v/>
      </c>
      <c r="F1449" s="116" t="str">
        <f aca="false">IF($A1449="","",Evermont!$F251)</f>
        <v/>
      </c>
      <c r="G1449" s="116" t="str">
        <f aca="false">IF($A1449="","",Evermont!$G251)</f>
        <v/>
      </c>
      <c r="H1449" s="0" t="str">
        <f aca="false">IF($A1449="","",Evermont!$K251)</f>
        <v/>
      </c>
      <c r="I1449" s="0" t="str">
        <f aca="false">IF($A1449="","",Evermont!$Q251)</f>
        <v/>
      </c>
      <c r="K1449" s="104" t="n">
        <f aca="false">IF(A1449="",0,IF(IFERROR(VLOOKUP(A1449,Skills!$A:$M,13,FALSE()),"")="COS",0,IF(OR(I1449="En cours",I1449="À venir",I1449="À planifier"),IF(AND(OR($C$3="Tous",$C$3="",C1449=$C$3),OR($E$3="Tous",$E$3="",I1449=$E$3)),1,0),0)))</f>
        <v>0</v>
      </c>
      <c r="L1449" s="104" t="n">
        <f aca="false">L1448+K1449</f>
        <v>19</v>
      </c>
    </row>
    <row r="1450" customFormat="false" ht="15" hidden="true" customHeight="true" outlineLevel="0" collapsed="false">
      <c r="A1450" s="0" t="str">
        <f aca="false">IF(Evermont!$A252="","",Evermont!$A252)</f>
        <v/>
      </c>
      <c r="B1450" s="0" t="str">
        <f aca="false">IF($A1450="","",Evermont!$B252)</f>
        <v/>
      </c>
      <c r="C1450" s="0" t="str">
        <f aca="false">IF($A1450="","",Evermont!$C252)</f>
        <v/>
      </c>
      <c r="D1450" s="0" t="str">
        <f aca="false">IF($A1450="","","Nouvelle compétence")</f>
        <v/>
      </c>
      <c r="E1450" s="0" t="str">
        <f aca="false">IF($A1450="","",Evermont!$D252)</f>
        <v/>
      </c>
      <c r="F1450" s="116" t="str">
        <f aca="false">IF($A1450="","",Evermont!$F252)</f>
        <v/>
      </c>
      <c r="G1450" s="116" t="str">
        <f aca="false">IF($A1450="","",Evermont!$G252)</f>
        <v/>
      </c>
      <c r="H1450" s="0" t="str">
        <f aca="false">IF($A1450="","",Evermont!$K252)</f>
        <v/>
      </c>
      <c r="I1450" s="0" t="str">
        <f aca="false">IF($A1450="","",Evermont!$Q252)</f>
        <v/>
      </c>
      <c r="K1450" s="104" t="n">
        <f aca="false">IF(A1450="",0,IF(IFERROR(VLOOKUP(A1450,Skills!$A:$M,13,FALSE()),"")="COS",0,IF(OR(I1450="En cours",I1450="À venir",I1450="À planifier"),IF(AND(OR($C$3="Tous",$C$3="",C1450=$C$3),OR($E$3="Tous",$E$3="",I1450=$E$3)),1,0),0)))</f>
        <v>0</v>
      </c>
      <c r="L1450" s="104" t="n">
        <f aca="false">L1449+K1450</f>
        <v>19</v>
      </c>
    </row>
    <row r="1451" customFormat="false" ht="15" hidden="true" customHeight="true" outlineLevel="0" collapsed="false">
      <c r="A1451" s="0" t="str">
        <f aca="false">IF(Evermont!$A253="","",Evermont!$A253)</f>
        <v/>
      </c>
      <c r="B1451" s="0" t="str">
        <f aca="false">IF($A1451="","",Evermont!$B253)</f>
        <v/>
      </c>
      <c r="C1451" s="0" t="str">
        <f aca="false">IF($A1451="","",Evermont!$C253)</f>
        <v/>
      </c>
      <c r="D1451" s="0" t="str">
        <f aca="false">IF($A1451="","","Nouvelle compétence")</f>
        <v/>
      </c>
      <c r="E1451" s="0" t="str">
        <f aca="false">IF($A1451="","",Evermont!$D253)</f>
        <v/>
      </c>
      <c r="F1451" s="116" t="str">
        <f aca="false">IF($A1451="","",Evermont!$F253)</f>
        <v/>
      </c>
      <c r="G1451" s="116" t="str">
        <f aca="false">IF($A1451="","",Evermont!$G253)</f>
        <v/>
      </c>
      <c r="H1451" s="0" t="str">
        <f aca="false">IF($A1451="","",Evermont!$K253)</f>
        <v/>
      </c>
      <c r="I1451" s="0" t="str">
        <f aca="false">IF($A1451="","",Evermont!$Q253)</f>
        <v/>
      </c>
      <c r="K1451" s="104" t="n">
        <f aca="false">IF(A1451="",0,IF(IFERROR(VLOOKUP(A1451,Skills!$A:$M,13,FALSE()),"")="COS",0,IF(OR(I1451="En cours",I1451="À venir",I1451="À planifier"),IF(AND(OR($C$3="Tous",$C$3="",C1451=$C$3),OR($E$3="Tous",$E$3="",I1451=$E$3)),1,0),0)))</f>
        <v>0</v>
      </c>
      <c r="L1451" s="104" t="n">
        <f aca="false">L1450+K1451</f>
        <v>19</v>
      </c>
    </row>
    <row r="1452" customFormat="false" ht="15" hidden="true" customHeight="true" outlineLevel="0" collapsed="false">
      <c r="A1452" s="0" t="str">
        <f aca="false">IF(Evermont!$A254="","",Evermont!$A254)</f>
        <v/>
      </c>
      <c r="B1452" s="0" t="str">
        <f aca="false">IF($A1452="","",Evermont!$B254)</f>
        <v/>
      </c>
      <c r="C1452" s="0" t="str">
        <f aca="false">IF($A1452="","",Evermont!$C254)</f>
        <v/>
      </c>
      <c r="D1452" s="0" t="str">
        <f aca="false">IF($A1452="","","Nouvelle compétence")</f>
        <v/>
      </c>
      <c r="E1452" s="0" t="str">
        <f aca="false">IF($A1452="","",Evermont!$D254)</f>
        <v/>
      </c>
      <c r="F1452" s="116" t="str">
        <f aca="false">IF($A1452="","",Evermont!$F254)</f>
        <v/>
      </c>
      <c r="G1452" s="116" t="str">
        <f aca="false">IF($A1452="","",Evermont!$G254)</f>
        <v/>
      </c>
      <c r="H1452" s="0" t="str">
        <f aca="false">IF($A1452="","",Evermont!$K254)</f>
        <v/>
      </c>
      <c r="I1452" s="0" t="str">
        <f aca="false">IF($A1452="","",Evermont!$Q254)</f>
        <v/>
      </c>
      <c r="K1452" s="104" t="n">
        <f aca="false">IF(A1452="",0,IF(IFERROR(VLOOKUP(A1452,Skills!$A:$M,13,FALSE()),"")="COS",0,IF(OR(I1452="En cours",I1452="À venir",I1452="À planifier"),IF(AND(OR($C$3="Tous",$C$3="",C1452=$C$3),OR($E$3="Tous",$E$3="",I1452=$E$3)),1,0),0)))</f>
        <v>0</v>
      </c>
      <c r="L1452" s="104" t="n">
        <f aca="false">L1451+K1452</f>
        <v>19</v>
      </c>
    </row>
    <row r="1453" customFormat="false" ht="15" hidden="true" customHeight="true" outlineLevel="0" collapsed="false">
      <c r="A1453" s="0" t="str">
        <f aca="false">IF(Evermont!$A255="","",Evermont!$A255)</f>
        <v/>
      </c>
      <c r="B1453" s="0" t="str">
        <f aca="false">IF($A1453="","",Evermont!$B255)</f>
        <v/>
      </c>
      <c r="C1453" s="0" t="str">
        <f aca="false">IF($A1453="","",Evermont!$C255)</f>
        <v/>
      </c>
      <c r="D1453" s="0" t="str">
        <f aca="false">IF($A1453="","","Nouvelle compétence")</f>
        <v/>
      </c>
      <c r="E1453" s="0" t="str">
        <f aca="false">IF($A1453="","",Evermont!$D255)</f>
        <v/>
      </c>
      <c r="F1453" s="116" t="str">
        <f aca="false">IF($A1453="","",Evermont!$F255)</f>
        <v/>
      </c>
      <c r="G1453" s="116" t="str">
        <f aca="false">IF($A1453="","",Evermont!$G255)</f>
        <v/>
      </c>
      <c r="H1453" s="0" t="str">
        <f aca="false">IF($A1453="","",Evermont!$K255)</f>
        <v/>
      </c>
      <c r="I1453" s="0" t="str">
        <f aca="false">IF($A1453="","",Evermont!$Q255)</f>
        <v/>
      </c>
      <c r="K1453" s="104" t="n">
        <f aca="false">IF(A1453="",0,IF(IFERROR(VLOOKUP(A1453,Skills!$A:$M,13,FALSE()),"")="COS",0,IF(OR(I1453="En cours",I1453="À venir",I1453="À planifier"),IF(AND(OR($C$3="Tous",$C$3="",C1453=$C$3),OR($E$3="Tous",$E$3="",I1453=$E$3)),1,0),0)))</f>
        <v>0</v>
      </c>
      <c r="L1453" s="104" t="n">
        <f aca="false">L1452+K1453</f>
        <v>19</v>
      </c>
    </row>
    <row r="1454" customFormat="false" ht="15" hidden="true" customHeight="true" outlineLevel="0" collapsed="false">
      <c r="A1454" s="0" t="str">
        <f aca="false">IF(Evermont!$A256="","",Evermont!$A256)</f>
        <v/>
      </c>
      <c r="B1454" s="0" t="str">
        <f aca="false">IF($A1454="","",Evermont!$B256)</f>
        <v/>
      </c>
      <c r="C1454" s="0" t="str">
        <f aca="false">IF($A1454="","",Evermont!$C256)</f>
        <v/>
      </c>
      <c r="D1454" s="0" t="str">
        <f aca="false">IF($A1454="","","Nouvelle compétence")</f>
        <v/>
      </c>
      <c r="E1454" s="0" t="str">
        <f aca="false">IF($A1454="","",Evermont!$D256)</f>
        <v/>
      </c>
      <c r="F1454" s="116" t="str">
        <f aca="false">IF($A1454="","",Evermont!$F256)</f>
        <v/>
      </c>
      <c r="G1454" s="116" t="str">
        <f aca="false">IF($A1454="","",Evermont!$G256)</f>
        <v/>
      </c>
      <c r="H1454" s="0" t="str">
        <f aca="false">IF($A1454="","",Evermont!$K256)</f>
        <v/>
      </c>
      <c r="I1454" s="0" t="str">
        <f aca="false">IF($A1454="","",Evermont!$Q256)</f>
        <v/>
      </c>
      <c r="K1454" s="104" t="n">
        <f aca="false">IF(A1454="",0,IF(IFERROR(VLOOKUP(A1454,Skills!$A:$M,13,FALSE()),"")="COS",0,IF(OR(I1454="En cours",I1454="À venir",I1454="À planifier"),IF(AND(OR($C$3="Tous",$C$3="",C1454=$C$3),OR($E$3="Tous",$E$3="",I1454=$E$3)),1,0),0)))</f>
        <v>0</v>
      </c>
      <c r="L1454" s="104" t="n">
        <f aca="false">L1453+K1454</f>
        <v>19</v>
      </c>
    </row>
    <row r="1455" customFormat="false" ht="15" hidden="true" customHeight="true" outlineLevel="0" collapsed="false">
      <c r="A1455" s="0" t="str">
        <f aca="false">IF(Evermont!$A257="","",Evermont!$A257)</f>
        <v/>
      </c>
      <c r="B1455" s="0" t="str">
        <f aca="false">IF($A1455="","",Evermont!$B257)</f>
        <v/>
      </c>
      <c r="C1455" s="0" t="str">
        <f aca="false">IF($A1455="","",Evermont!$C257)</f>
        <v/>
      </c>
      <c r="D1455" s="0" t="str">
        <f aca="false">IF($A1455="","","Nouvelle compétence")</f>
        <v/>
      </c>
      <c r="E1455" s="0" t="str">
        <f aca="false">IF($A1455="","",Evermont!$D257)</f>
        <v/>
      </c>
      <c r="F1455" s="116" t="str">
        <f aca="false">IF($A1455="","",Evermont!$F257)</f>
        <v/>
      </c>
      <c r="G1455" s="116" t="str">
        <f aca="false">IF($A1455="","",Evermont!$G257)</f>
        <v/>
      </c>
      <c r="H1455" s="0" t="str">
        <f aca="false">IF($A1455="","",Evermont!$K257)</f>
        <v/>
      </c>
      <c r="I1455" s="0" t="str">
        <f aca="false">IF($A1455="","",Evermont!$Q257)</f>
        <v/>
      </c>
      <c r="K1455" s="104" t="n">
        <f aca="false">IF(A1455="",0,IF(IFERROR(VLOOKUP(A1455,Skills!$A:$M,13,FALSE()),"")="COS",0,IF(OR(I1455="En cours",I1455="À venir",I1455="À planifier"),IF(AND(OR($C$3="Tous",$C$3="",C1455=$C$3),OR($E$3="Tous",$E$3="",I1455=$E$3)),1,0),0)))</f>
        <v>0</v>
      </c>
      <c r="L1455" s="104" t="n">
        <f aca="false">L1454+K1455</f>
        <v>19</v>
      </c>
    </row>
    <row r="1456" customFormat="false" ht="15" hidden="true" customHeight="true" outlineLevel="0" collapsed="false">
      <c r="A1456" s="0" t="str">
        <f aca="false">IF(Evermont!$A258="","",Evermont!$A258)</f>
        <v/>
      </c>
      <c r="B1456" s="0" t="str">
        <f aca="false">IF($A1456="","",Evermont!$B258)</f>
        <v/>
      </c>
      <c r="C1456" s="0" t="str">
        <f aca="false">IF($A1456="","",Evermont!$C258)</f>
        <v/>
      </c>
      <c r="D1456" s="0" t="str">
        <f aca="false">IF($A1456="","","Nouvelle compétence")</f>
        <v/>
      </c>
      <c r="E1456" s="0" t="str">
        <f aca="false">IF($A1456="","",Evermont!$D258)</f>
        <v/>
      </c>
      <c r="F1456" s="116" t="str">
        <f aca="false">IF($A1456="","",Evermont!$F258)</f>
        <v/>
      </c>
      <c r="G1456" s="116" t="str">
        <f aca="false">IF($A1456="","",Evermont!$G258)</f>
        <v/>
      </c>
      <c r="H1456" s="0" t="str">
        <f aca="false">IF($A1456="","",Evermont!$K258)</f>
        <v/>
      </c>
      <c r="I1456" s="0" t="str">
        <f aca="false">IF($A1456="","",Evermont!$Q258)</f>
        <v/>
      </c>
      <c r="K1456" s="104" t="n">
        <f aca="false">IF(A1456="",0,IF(IFERROR(VLOOKUP(A1456,Skills!$A:$M,13,FALSE()),"")="COS",0,IF(OR(I1456="En cours",I1456="À venir",I1456="À planifier"),IF(AND(OR($C$3="Tous",$C$3="",C1456=$C$3),OR($E$3="Tous",$E$3="",I1456=$E$3)),1,0),0)))</f>
        <v>0</v>
      </c>
      <c r="L1456" s="104" t="n">
        <f aca="false">L1455+K1456</f>
        <v>19</v>
      </c>
    </row>
    <row r="1457" customFormat="false" ht="15" hidden="true" customHeight="true" outlineLevel="0" collapsed="false">
      <c r="A1457" s="0" t="str">
        <f aca="false">IF(Evermont!$A259="","",Evermont!$A259)</f>
        <v/>
      </c>
      <c r="B1457" s="0" t="str">
        <f aca="false">IF($A1457="","",Evermont!$B259)</f>
        <v/>
      </c>
      <c r="C1457" s="0" t="str">
        <f aca="false">IF($A1457="","",Evermont!$C259)</f>
        <v/>
      </c>
      <c r="D1457" s="0" t="str">
        <f aca="false">IF($A1457="","","Nouvelle compétence")</f>
        <v/>
      </c>
      <c r="E1457" s="0" t="str">
        <f aca="false">IF($A1457="","",Evermont!$D259)</f>
        <v/>
      </c>
      <c r="F1457" s="116" t="str">
        <f aca="false">IF($A1457="","",Evermont!$F259)</f>
        <v/>
      </c>
      <c r="G1457" s="116" t="str">
        <f aca="false">IF($A1457="","",Evermont!$G259)</f>
        <v/>
      </c>
      <c r="H1457" s="0" t="str">
        <f aca="false">IF($A1457="","",Evermont!$K259)</f>
        <v/>
      </c>
      <c r="I1457" s="0" t="str">
        <f aca="false">IF($A1457="","",Evermont!$Q259)</f>
        <v/>
      </c>
      <c r="K1457" s="104" t="n">
        <f aca="false">IF(A1457="",0,IF(IFERROR(VLOOKUP(A1457,Skills!$A:$M,13,FALSE()),"")="COS",0,IF(OR(I1457="En cours",I1457="À venir",I1457="À planifier"),IF(AND(OR($C$3="Tous",$C$3="",C1457=$C$3),OR($E$3="Tous",$E$3="",I1457=$E$3)),1,0),0)))</f>
        <v>0</v>
      </c>
      <c r="L1457" s="104" t="n">
        <f aca="false">L1456+K1457</f>
        <v>19</v>
      </c>
    </row>
    <row r="1458" customFormat="false" ht="15" hidden="true" customHeight="true" outlineLevel="0" collapsed="false">
      <c r="A1458" s="0" t="str">
        <f aca="false">IF(Evermont!$A260="","",Evermont!$A260)</f>
        <v/>
      </c>
      <c r="B1458" s="0" t="str">
        <f aca="false">IF($A1458="","",Evermont!$B260)</f>
        <v/>
      </c>
      <c r="C1458" s="0" t="str">
        <f aca="false">IF($A1458="","",Evermont!$C260)</f>
        <v/>
      </c>
      <c r="D1458" s="0" t="str">
        <f aca="false">IF($A1458="","","Nouvelle compétence")</f>
        <v/>
      </c>
      <c r="E1458" s="0" t="str">
        <f aca="false">IF($A1458="","",Evermont!$D260)</f>
        <v/>
      </c>
      <c r="F1458" s="116" t="str">
        <f aca="false">IF($A1458="","",Evermont!$F260)</f>
        <v/>
      </c>
      <c r="G1458" s="116" t="str">
        <f aca="false">IF($A1458="","",Evermont!$G260)</f>
        <v/>
      </c>
      <c r="H1458" s="0" t="str">
        <f aca="false">IF($A1458="","",Evermont!$K260)</f>
        <v/>
      </c>
      <c r="I1458" s="0" t="str">
        <f aca="false">IF($A1458="","",Evermont!$Q260)</f>
        <v/>
      </c>
      <c r="K1458" s="104" t="n">
        <f aca="false">IF(A1458="",0,IF(IFERROR(VLOOKUP(A1458,Skills!$A:$M,13,FALSE()),"")="COS",0,IF(OR(I1458="En cours",I1458="À venir",I1458="À planifier"),IF(AND(OR($C$3="Tous",$C$3="",C1458=$C$3),OR($E$3="Tous",$E$3="",I1458=$E$3)),1,0),0)))</f>
        <v>0</v>
      </c>
      <c r="L1458" s="104" t="n">
        <f aca="false">L1457+K1458</f>
        <v>19</v>
      </c>
    </row>
    <row r="1459" customFormat="false" ht="15" hidden="true" customHeight="true" outlineLevel="0" collapsed="false">
      <c r="A1459" s="0" t="str">
        <f aca="false">IF(Evermont!$A261="","",Evermont!$A261)</f>
        <v/>
      </c>
      <c r="B1459" s="0" t="str">
        <f aca="false">IF($A1459="","",Evermont!$B261)</f>
        <v/>
      </c>
      <c r="C1459" s="0" t="str">
        <f aca="false">IF($A1459="","",Evermont!$C261)</f>
        <v/>
      </c>
      <c r="D1459" s="0" t="str">
        <f aca="false">IF($A1459="","","Nouvelle compétence")</f>
        <v/>
      </c>
      <c r="E1459" s="0" t="str">
        <f aca="false">IF($A1459="","",Evermont!$D261)</f>
        <v/>
      </c>
      <c r="F1459" s="116" t="str">
        <f aca="false">IF($A1459="","",Evermont!$F261)</f>
        <v/>
      </c>
      <c r="G1459" s="116" t="str">
        <f aca="false">IF($A1459="","",Evermont!$G261)</f>
        <v/>
      </c>
      <c r="H1459" s="0" t="str">
        <f aca="false">IF($A1459="","",Evermont!$K261)</f>
        <v/>
      </c>
      <c r="I1459" s="0" t="str">
        <f aca="false">IF($A1459="","",Evermont!$Q261)</f>
        <v/>
      </c>
      <c r="K1459" s="104" t="n">
        <f aca="false">IF(A1459="",0,IF(IFERROR(VLOOKUP(A1459,Skills!$A:$M,13,FALSE()),"")="COS",0,IF(OR(I1459="En cours",I1459="À venir",I1459="À planifier"),IF(AND(OR($C$3="Tous",$C$3="",C1459=$C$3),OR($E$3="Tous",$E$3="",I1459=$E$3)),1,0),0)))</f>
        <v>0</v>
      </c>
      <c r="L1459" s="104" t="n">
        <f aca="false">L1458+K1459</f>
        <v>19</v>
      </c>
    </row>
    <row r="1460" customFormat="false" ht="15" hidden="true" customHeight="true" outlineLevel="0" collapsed="false">
      <c r="A1460" s="0" t="str">
        <f aca="false">IF(Evermont!$A262="","",Evermont!$A262)</f>
        <v/>
      </c>
      <c r="B1460" s="0" t="str">
        <f aca="false">IF($A1460="","",Evermont!$B262)</f>
        <v/>
      </c>
      <c r="C1460" s="0" t="str">
        <f aca="false">IF($A1460="","",Evermont!$C262)</f>
        <v/>
      </c>
      <c r="D1460" s="0" t="str">
        <f aca="false">IF($A1460="","","Nouvelle compétence")</f>
        <v/>
      </c>
      <c r="E1460" s="0" t="str">
        <f aca="false">IF($A1460="","",Evermont!$D262)</f>
        <v/>
      </c>
      <c r="F1460" s="116" t="str">
        <f aca="false">IF($A1460="","",Evermont!$F262)</f>
        <v/>
      </c>
      <c r="G1460" s="116" t="str">
        <f aca="false">IF($A1460="","",Evermont!$G262)</f>
        <v/>
      </c>
      <c r="H1460" s="0" t="str">
        <f aca="false">IF($A1460="","",Evermont!$K262)</f>
        <v/>
      </c>
      <c r="I1460" s="0" t="str">
        <f aca="false">IF($A1460="","",Evermont!$Q262)</f>
        <v/>
      </c>
      <c r="K1460" s="104" t="n">
        <f aca="false">IF(A1460="",0,IF(IFERROR(VLOOKUP(A1460,Skills!$A:$M,13,FALSE()),"")="COS",0,IF(OR(I1460="En cours",I1460="À venir",I1460="À planifier"),IF(AND(OR($C$3="Tous",$C$3="",C1460=$C$3),OR($E$3="Tous",$E$3="",I1460=$E$3)),1,0),0)))</f>
        <v>0</v>
      </c>
      <c r="L1460" s="104" t="n">
        <f aca="false">L1459+K1460</f>
        <v>19</v>
      </c>
    </row>
    <row r="1461" customFormat="false" ht="15" hidden="true" customHeight="true" outlineLevel="0" collapsed="false">
      <c r="A1461" s="0" t="str">
        <f aca="false">IF(Evermont!$A263="","",Evermont!$A263)</f>
        <v/>
      </c>
      <c r="B1461" s="0" t="str">
        <f aca="false">IF($A1461="","",Evermont!$B263)</f>
        <v/>
      </c>
      <c r="C1461" s="0" t="str">
        <f aca="false">IF($A1461="","",Evermont!$C263)</f>
        <v/>
      </c>
      <c r="D1461" s="0" t="str">
        <f aca="false">IF($A1461="","","Nouvelle compétence")</f>
        <v/>
      </c>
      <c r="E1461" s="0" t="str">
        <f aca="false">IF($A1461="","",Evermont!$D263)</f>
        <v/>
      </c>
      <c r="F1461" s="116" t="str">
        <f aca="false">IF($A1461="","",Evermont!$F263)</f>
        <v/>
      </c>
      <c r="G1461" s="116" t="str">
        <f aca="false">IF($A1461="","",Evermont!$G263)</f>
        <v/>
      </c>
      <c r="H1461" s="0" t="str">
        <f aca="false">IF($A1461="","",Evermont!$K263)</f>
        <v/>
      </c>
      <c r="I1461" s="0" t="str">
        <f aca="false">IF($A1461="","",Evermont!$Q263)</f>
        <v/>
      </c>
      <c r="K1461" s="104" t="n">
        <f aca="false">IF(A1461="",0,IF(IFERROR(VLOOKUP(A1461,Skills!$A:$M,13,FALSE()),"")="COS",0,IF(OR(I1461="En cours",I1461="À venir",I1461="À planifier"),IF(AND(OR($C$3="Tous",$C$3="",C1461=$C$3),OR($E$3="Tous",$E$3="",I1461=$E$3)),1,0),0)))</f>
        <v>0</v>
      </c>
      <c r="L1461" s="104" t="n">
        <f aca="false">L1460+K1461</f>
        <v>19</v>
      </c>
    </row>
    <row r="1462" customFormat="false" ht="15" hidden="true" customHeight="true" outlineLevel="0" collapsed="false">
      <c r="A1462" s="0" t="str">
        <f aca="false">IF(Evermont!$A264="","",Evermont!$A264)</f>
        <v/>
      </c>
      <c r="B1462" s="0" t="str">
        <f aca="false">IF($A1462="","",Evermont!$B264)</f>
        <v/>
      </c>
      <c r="C1462" s="0" t="str">
        <f aca="false">IF($A1462="","",Evermont!$C264)</f>
        <v/>
      </c>
      <c r="D1462" s="0" t="str">
        <f aca="false">IF($A1462="","","Nouvelle compétence")</f>
        <v/>
      </c>
      <c r="E1462" s="0" t="str">
        <f aca="false">IF($A1462="","",Evermont!$D264)</f>
        <v/>
      </c>
      <c r="F1462" s="116" t="str">
        <f aca="false">IF($A1462="","",Evermont!$F264)</f>
        <v/>
      </c>
      <c r="G1462" s="116" t="str">
        <f aca="false">IF($A1462="","",Evermont!$G264)</f>
        <v/>
      </c>
      <c r="H1462" s="0" t="str">
        <f aca="false">IF($A1462="","",Evermont!$K264)</f>
        <v/>
      </c>
      <c r="I1462" s="0" t="str">
        <f aca="false">IF($A1462="","",Evermont!$Q264)</f>
        <v/>
      </c>
      <c r="K1462" s="104" t="n">
        <f aca="false">IF(A1462="",0,IF(IFERROR(VLOOKUP(A1462,Skills!$A:$M,13,FALSE()),"")="COS",0,IF(OR(I1462="En cours",I1462="À venir",I1462="À planifier"),IF(AND(OR($C$3="Tous",$C$3="",C1462=$C$3),OR($E$3="Tous",$E$3="",I1462=$E$3)),1,0),0)))</f>
        <v>0</v>
      </c>
      <c r="L1462" s="104" t="n">
        <f aca="false">L1461+K1462</f>
        <v>19</v>
      </c>
    </row>
    <row r="1463" customFormat="false" ht="15" hidden="true" customHeight="true" outlineLevel="0" collapsed="false">
      <c r="A1463" s="0" t="str">
        <f aca="false">IF(Evermont!$A265="","",Evermont!$A265)</f>
        <v/>
      </c>
      <c r="B1463" s="0" t="str">
        <f aca="false">IF($A1463="","",Evermont!$B265)</f>
        <v/>
      </c>
      <c r="C1463" s="0" t="str">
        <f aca="false">IF($A1463="","",Evermont!$C265)</f>
        <v/>
      </c>
      <c r="D1463" s="0" t="str">
        <f aca="false">IF($A1463="","","Nouvelle compétence")</f>
        <v/>
      </c>
      <c r="E1463" s="0" t="str">
        <f aca="false">IF($A1463="","",Evermont!$D265)</f>
        <v/>
      </c>
      <c r="F1463" s="116" t="str">
        <f aca="false">IF($A1463="","",Evermont!$F265)</f>
        <v/>
      </c>
      <c r="G1463" s="116" t="str">
        <f aca="false">IF($A1463="","",Evermont!$G265)</f>
        <v/>
      </c>
      <c r="H1463" s="0" t="str">
        <f aca="false">IF($A1463="","",Evermont!$K265)</f>
        <v/>
      </c>
      <c r="I1463" s="0" t="str">
        <f aca="false">IF($A1463="","",Evermont!$Q265)</f>
        <v/>
      </c>
      <c r="K1463" s="104" t="n">
        <f aca="false">IF(A1463="",0,IF(IFERROR(VLOOKUP(A1463,Skills!$A:$M,13,FALSE()),"")="COS",0,IF(OR(I1463="En cours",I1463="À venir",I1463="À planifier"),IF(AND(OR($C$3="Tous",$C$3="",C1463=$C$3),OR($E$3="Tous",$E$3="",I1463=$E$3)),1,0),0)))</f>
        <v>0</v>
      </c>
      <c r="L1463" s="104" t="n">
        <f aca="false">L1462+K1463</f>
        <v>19</v>
      </c>
    </row>
    <row r="1464" customFormat="false" ht="15" hidden="true" customHeight="true" outlineLevel="0" collapsed="false">
      <c r="A1464" s="0" t="str">
        <f aca="false">IF(Evermont!$A266="","",Evermont!$A266)</f>
        <v/>
      </c>
      <c r="B1464" s="0" t="str">
        <f aca="false">IF($A1464="","",Evermont!$B266)</f>
        <v/>
      </c>
      <c r="C1464" s="0" t="str">
        <f aca="false">IF($A1464="","",Evermont!$C266)</f>
        <v/>
      </c>
      <c r="D1464" s="0" t="str">
        <f aca="false">IF($A1464="","","Nouvelle compétence")</f>
        <v/>
      </c>
      <c r="E1464" s="0" t="str">
        <f aca="false">IF($A1464="","",Evermont!$D266)</f>
        <v/>
      </c>
      <c r="F1464" s="116" t="str">
        <f aca="false">IF($A1464="","",Evermont!$F266)</f>
        <v/>
      </c>
      <c r="G1464" s="116" t="str">
        <f aca="false">IF($A1464="","",Evermont!$G266)</f>
        <v/>
      </c>
      <c r="H1464" s="0" t="str">
        <f aca="false">IF($A1464="","",Evermont!$K266)</f>
        <v/>
      </c>
      <c r="I1464" s="0" t="str">
        <f aca="false">IF($A1464="","",Evermont!$Q266)</f>
        <v/>
      </c>
      <c r="K1464" s="104" t="n">
        <f aca="false">IF(A1464="",0,IF(IFERROR(VLOOKUP(A1464,Skills!$A:$M,13,FALSE()),"")="COS",0,IF(OR(I1464="En cours",I1464="À venir",I1464="À planifier"),IF(AND(OR($C$3="Tous",$C$3="",C1464=$C$3),OR($E$3="Tous",$E$3="",I1464=$E$3)),1,0),0)))</f>
        <v>0</v>
      </c>
      <c r="L1464" s="104" t="n">
        <f aca="false">L1463+K1464</f>
        <v>19</v>
      </c>
    </row>
    <row r="1465" customFormat="false" ht="15" hidden="true" customHeight="true" outlineLevel="0" collapsed="false">
      <c r="A1465" s="0" t="str">
        <f aca="false">IF(Evermont!$A267="","",Evermont!$A267)</f>
        <v/>
      </c>
      <c r="B1465" s="0" t="str">
        <f aca="false">IF($A1465="","",Evermont!$B267)</f>
        <v/>
      </c>
      <c r="C1465" s="0" t="str">
        <f aca="false">IF($A1465="","",Evermont!$C267)</f>
        <v/>
      </c>
      <c r="D1465" s="0" t="str">
        <f aca="false">IF($A1465="","","Nouvelle compétence")</f>
        <v/>
      </c>
      <c r="E1465" s="0" t="str">
        <f aca="false">IF($A1465="","",Evermont!$D267)</f>
        <v/>
      </c>
      <c r="F1465" s="116" t="str">
        <f aca="false">IF($A1465="","",Evermont!$F267)</f>
        <v/>
      </c>
      <c r="G1465" s="116" t="str">
        <f aca="false">IF($A1465="","",Evermont!$G267)</f>
        <v/>
      </c>
      <c r="H1465" s="0" t="str">
        <f aca="false">IF($A1465="","",Evermont!$K267)</f>
        <v/>
      </c>
      <c r="I1465" s="0" t="str">
        <f aca="false">IF($A1465="","",Evermont!$Q267)</f>
        <v/>
      </c>
      <c r="K1465" s="104" t="n">
        <f aca="false">IF(A1465="",0,IF(IFERROR(VLOOKUP(A1465,Skills!$A:$M,13,FALSE()),"")="COS",0,IF(OR(I1465="En cours",I1465="À venir",I1465="À planifier"),IF(AND(OR($C$3="Tous",$C$3="",C1465=$C$3),OR($E$3="Tous",$E$3="",I1465=$E$3)),1,0),0)))</f>
        <v>0</v>
      </c>
      <c r="L1465" s="104" t="n">
        <f aca="false">L1464+K1465</f>
        <v>19</v>
      </c>
    </row>
    <row r="1466" customFormat="false" ht="15" hidden="true" customHeight="true" outlineLevel="0" collapsed="false">
      <c r="A1466" s="0" t="str">
        <f aca="false">IF(Evermont!$A268="","",Evermont!$A268)</f>
        <v/>
      </c>
      <c r="B1466" s="0" t="str">
        <f aca="false">IF($A1466="","",Evermont!$B268)</f>
        <v/>
      </c>
      <c r="C1466" s="0" t="str">
        <f aca="false">IF($A1466="","",Evermont!$C268)</f>
        <v/>
      </c>
      <c r="D1466" s="0" t="str">
        <f aca="false">IF($A1466="","","Nouvelle compétence")</f>
        <v/>
      </c>
      <c r="E1466" s="0" t="str">
        <f aca="false">IF($A1466="","",Evermont!$D268)</f>
        <v/>
      </c>
      <c r="F1466" s="116" t="str">
        <f aca="false">IF($A1466="","",Evermont!$F268)</f>
        <v/>
      </c>
      <c r="G1466" s="116" t="str">
        <f aca="false">IF($A1466="","",Evermont!$G268)</f>
        <v/>
      </c>
      <c r="H1466" s="0" t="str">
        <f aca="false">IF($A1466="","",Evermont!$K268)</f>
        <v/>
      </c>
      <c r="I1466" s="0" t="str">
        <f aca="false">IF($A1466="","",Evermont!$Q268)</f>
        <v/>
      </c>
      <c r="K1466" s="104" t="n">
        <f aca="false">IF(A1466="",0,IF(IFERROR(VLOOKUP(A1466,Skills!$A:$M,13,FALSE()),"")="COS",0,IF(OR(I1466="En cours",I1466="À venir",I1466="À planifier"),IF(AND(OR($C$3="Tous",$C$3="",C1466=$C$3),OR($E$3="Tous",$E$3="",I1466=$E$3)),1,0),0)))</f>
        <v>0</v>
      </c>
      <c r="L1466" s="104" t="n">
        <f aca="false">L1465+K1466</f>
        <v>19</v>
      </c>
    </row>
    <row r="1467" customFormat="false" ht="15" hidden="true" customHeight="true" outlineLevel="0" collapsed="false">
      <c r="A1467" s="0" t="str">
        <f aca="false">IF(Evermont!$A269="","",Evermont!$A269)</f>
        <v/>
      </c>
      <c r="B1467" s="0" t="str">
        <f aca="false">IF($A1467="","",Evermont!$B269)</f>
        <v/>
      </c>
      <c r="C1467" s="0" t="str">
        <f aca="false">IF($A1467="","",Evermont!$C269)</f>
        <v/>
      </c>
      <c r="D1467" s="0" t="str">
        <f aca="false">IF($A1467="","","Nouvelle compétence")</f>
        <v/>
      </c>
      <c r="E1467" s="0" t="str">
        <f aca="false">IF($A1467="","",Evermont!$D269)</f>
        <v/>
      </c>
      <c r="F1467" s="116" t="str">
        <f aca="false">IF($A1467="","",Evermont!$F269)</f>
        <v/>
      </c>
      <c r="G1467" s="116" t="str">
        <f aca="false">IF($A1467="","",Evermont!$G269)</f>
        <v/>
      </c>
      <c r="H1467" s="0" t="str">
        <f aca="false">IF($A1467="","",Evermont!$K269)</f>
        <v/>
      </c>
      <c r="I1467" s="0" t="str">
        <f aca="false">IF($A1467="","",Evermont!$Q269)</f>
        <v/>
      </c>
      <c r="K1467" s="104" t="n">
        <f aca="false">IF(A1467="",0,IF(IFERROR(VLOOKUP(A1467,Skills!$A:$M,13,FALSE()),"")="COS",0,IF(OR(I1467="En cours",I1467="À venir",I1467="À planifier"),IF(AND(OR($C$3="Tous",$C$3="",C1467=$C$3),OR($E$3="Tous",$E$3="",I1467=$E$3)),1,0),0)))</f>
        <v>0</v>
      </c>
      <c r="L1467" s="104" t="n">
        <f aca="false">L1466+K1467</f>
        <v>19</v>
      </c>
    </row>
    <row r="1468" customFormat="false" ht="15" hidden="true" customHeight="true" outlineLevel="0" collapsed="false">
      <c r="A1468" s="0" t="str">
        <f aca="false">IF(Evermont!$A270="","",Evermont!$A270)</f>
        <v/>
      </c>
      <c r="B1468" s="0" t="str">
        <f aca="false">IF($A1468="","",Evermont!$B270)</f>
        <v/>
      </c>
      <c r="C1468" s="0" t="str">
        <f aca="false">IF($A1468="","",Evermont!$C270)</f>
        <v/>
      </c>
      <c r="D1468" s="0" t="str">
        <f aca="false">IF($A1468="","","Nouvelle compétence")</f>
        <v/>
      </c>
      <c r="E1468" s="0" t="str">
        <f aca="false">IF($A1468="","",Evermont!$D270)</f>
        <v/>
      </c>
      <c r="F1468" s="116" t="str">
        <f aca="false">IF($A1468="","",Evermont!$F270)</f>
        <v/>
      </c>
      <c r="G1468" s="116" t="str">
        <f aca="false">IF($A1468="","",Evermont!$G270)</f>
        <v/>
      </c>
      <c r="H1468" s="0" t="str">
        <f aca="false">IF($A1468="","",Evermont!$K270)</f>
        <v/>
      </c>
      <c r="I1468" s="0" t="str">
        <f aca="false">IF($A1468="","",Evermont!$Q270)</f>
        <v/>
      </c>
      <c r="K1468" s="104" t="n">
        <f aca="false">IF(A1468="",0,IF(IFERROR(VLOOKUP(A1468,Skills!$A:$M,13,FALSE()),"")="COS",0,IF(OR(I1468="En cours",I1468="À venir",I1468="À planifier"),IF(AND(OR($C$3="Tous",$C$3="",C1468=$C$3),OR($E$3="Tous",$E$3="",I1468=$E$3)),1,0),0)))</f>
        <v>0</v>
      </c>
      <c r="L1468" s="104" t="n">
        <f aca="false">L1467+K1468</f>
        <v>19</v>
      </c>
    </row>
    <row r="1469" customFormat="false" ht="15" hidden="true" customHeight="true" outlineLevel="0" collapsed="false">
      <c r="A1469" s="0" t="str">
        <f aca="false">IF(Evermont!$A271="","",Evermont!$A271)</f>
        <v/>
      </c>
      <c r="B1469" s="0" t="str">
        <f aca="false">IF($A1469="","",Evermont!$B271)</f>
        <v/>
      </c>
      <c r="C1469" s="0" t="str">
        <f aca="false">IF($A1469="","",Evermont!$C271)</f>
        <v/>
      </c>
      <c r="D1469" s="0" t="str">
        <f aca="false">IF($A1469="","","Nouvelle compétence")</f>
        <v/>
      </c>
      <c r="E1469" s="0" t="str">
        <f aca="false">IF($A1469="","",Evermont!$D271)</f>
        <v/>
      </c>
      <c r="F1469" s="116" t="str">
        <f aca="false">IF($A1469="","",Evermont!$F271)</f>
        <v/>
      </c>
      <c r="G1469" s="116" t="str">
        <f aca="false">IF($A1469="","",Evermont!$G271)</f>
        <v/>
      </c>
      <c r="H1469" s="0" t="str">
        <f aca="false">IF($A1469="","",Evermont!$K271)</f>
        <v/>
      </c>
      <c r="I1469" s="0" t="str">
        <f aca="false">IF($A1469="","",Evermont!$Q271)</f>
        <v/>
      </c>
      <c r="K1469" s="104" t="n">
        <f aca="false">IF(A1469="",0,IF(IFERROR(VLOOKUP(A1469,Skills!$A:$M,13,FALSE()),"")="COS",0,IF(OR(I1469="En cours",I1469="À venir",I1469="À planifier"),IF(AND(OR($C$3="Tous",$C$3="",C1469=$C$3),OR($E$3="Tous",$E$3="",I1469=$E$3)),1,0),0)))</f>
        <v>0</v>
      </c>
      <c r="L1469" s="104" t="n">
        <f aca="false">L1468+K1469</f>
        <v>19</v>
      </c>
    </row>
    <row r="1470" customFormat="false" ht="15" hidden="true" customHeight="true" outlineLevel="0" collapsed="false">
      <c r="A1470" s="0" t="str">
        <f aca="false">IF(Evermont!$A272="","",Evermont!$A272)</f>
        <v/>
      </c>
      <c r="B1470" s="0" t="str">
        <f aca="false">IF($A1470="","",Evermont!$B272)</f>
        <v/>
      </c>
      <c r="C1470" s="0" t="str">
        <f aca="false">IF($A1470="","",Evermont!$C272)</f>
        <v/>
      </c>
      <c r="D1470" s="0" t="str">
        <f aca="false">IF($A1470="","","Nouvelle compétence")</f>
        <v/>
      </c>
      <c r="E1470" s="0" t="str">
        <f aca="false">IF($A1470="","",Evermont!$D272)</f>
        <v/>
      </c>
      <c r="F1470" s="116" t="str">
        <f aca="false">IF($A1470="","",Evermont!$F272)</f>
        <v/>
      </c>
      <c r="G1470" s="116" t="str">
        <f aca="false">IF($A1470="","",Evermont!$G272)</f>
        <v/>
      </c>
      <c r="H1470" s="0" t="str">
        <f aca="false">IF($A1470="","",Evermont!$K272)</f>
        <v/>
      </c>
      <c r="I1470" s="0" t="str">
        <f aca="false">IF($A1470="","",Evermont!$Q272)</f>
        <v/>
      </c>
      <c r="K1470" s="104" t="n">
        <f aca="false">IF(A1470="",0,IF(IFERROR(VLOOKUP(A1470,Skills!$A:$M,13,FALSE()),"")="COS",0,IF(OR(I1470="En cours",I1470="À venir",I1470="À planifier"),IF(AND(OR($C$3="Tous",$C$3="",C1470=$C$3),OR($E$3="Tous",$E$3="",I1470=$E$3)),1,0),0)))</f>
        <v>0</v>
      </c>
      <c r="L1470" s="104" t="n">
        <f aca="false">L1469+K1470</f>
        <v>19</v>
      </c>
    </row>
    <row r="1471" customFormat="false" ht="15" hidden="true" customHeight="true" outlineLevel="0" collapsed="false">
      <c r="A1471" s="0" t="str">
        <f aca="false">IF(Evermont!$A273="","",Evermont!$A273)</f>
        <v/>
      </c>
      <c r="B1471" s="0" t="str">
        <f aca="false">IF($A1471="","",Evermont!$B273)</f>
        <v/>
      </c>
      <c r="C1471" s="0" t="str">
        <f aca="false">IF($A1471="","",Evermont!$C273)</f>
        <v/>
      </c>
      <c r="D1471" s="0" t="str">
        <f aca="false">IF($A1471="","","Nouvelle compétence")</f>
        <v/>
      </c>
      <c r="E1471" s="0" t="str">
        <f aca="false">IF($A1471="","",Evermont!$D273)</f>
        <v/>
      </c>
      <c r="F1471" s="116" t="str">
        <f aca="false">IF($A1471="","",Evermont!$F273)</f>
        <v/>
      </c>
      <c r="G1471" s="116" t="str">
        <f aca="false">IF($A1471="","",Evermont!$G273)</f>
        <v/>
      </c>
      <c r="H1471" s="0" t="str">
        <f aca="false">IF($A1471="","",Evermont!$K273)</f>
        <v/>
      </c>
      <c r="I1471" s="0" t="str">
        <f aca="false">IF($A1471="","",Evermont!$Q273)</f>
        <v/>
      </c>
      <c r="K1471" s="104" t="n">
        <f aca="false">IF(A1471="",0,IF(IFERROR(VLOOKUP(A1471,Skills!$A:$M,13,FALSE()),"")="COS",0,IF(OR(I1471="En cours",I1471="À venir",I1471="À planifier"),IF(AND(OR($C$3="Tous",$C$3="",C1471=$C$3),OR($E$3="Tous",$E$3="",I1471=$E$3)),1,0),0)))</f>
        <v>0</v>
      </c>
      <c r="L1471" s="104" t="n">
        <f aca="false">L1470+K1471</f>
        <v>19</v>
      </c>
    </row>
    <row r="1472" customFormat="false" ht="15" hidden="true" customHeight="true" outlineLevel="0" collapsed="false">
      <c r="A1472" s="0" t="str">
        <f aca="false">IF(Evermont!$A274="","",Evermont!$A274)</f>
        <v/>
      </c>
      <c r="B1472" s="0" t="str">
        <f aca="false">IF($A1472="","",Evermont!$B274)</f>
        <v/>
      </c>
      <c r="C1472" s="0" t="str">
        <f aca="false">IF($A1472="","",Evermont!$C274)</f>
        <v/>
      </c>
      <c r="D1472" s="0" t="str">
        <f aca="false">IF($A1472="","","Nouvelle compétence")</f>
        <v/>
      </c>
      <c r="E1472" s="0" t="str">
        <f aca="false">IF($A1472="","",Evermont!$D274)</f>
        <v/>
      </c>
      <c r="F1472" s="116" t="str">
        <f aca="false">IF($A1472="","",Evermont!$F274)</f>
        <v/>
      </c>
      <c r="G1472" s="116" t="str">
        <f aca="false">IF($A1472="","",Evermont!$G274)</f>
        <v/>
      </c>
      <c r="H1472" s="0" t="str">
        <f aca="false">IF($A1472="","",Evermont!$K274)</f>
        <v/>
      </c>
      <c r="I1472" s="0" t="str">
        <f aca="false">IF($A1472="","",Evermont!$Q274)</f>
        <v/>
      </c>
      <c r="K1472" s="104" t="n">
        <f aca="false">IF(A1472="",0,IF(IFERROR(VLOOKUP(A1472,Skills!$A:$M,13,FALSE()),"")="COS",0,IF(OR(I1472="En cours",I1472="À venir",I1472="À planifier"),IF(AND(OR($C$3="Tous",$C$3="",C1472=$C$3),OR($E$3="Tous",$E$3="",I1472=$E$3)),1,0),0)))</f>
        <v>0</v>
      </c>
      <c r="L1472" s="104" t="n">
        <f aca="false">L1471+K1472</f>
        <v>19</v>
      </c>
    </row>
    <row r="1473" customFormat="false" ht="15" hidden="true" customHeight="true" outlineLevel="0" collapsed="false">
      <c r="A1473" s="0" t="str">
        <f aca="false">IF(Evermont!$A275="","",Evermont!$A275)</f>
        <v/>
      </c>
      <c r="B1473" s="0" t="str">
        <f aca="false">IF($A1473="","",Evermont!$B275)</f>
        <v/>
      </c>
      <c r="C1473" s="0" t="str">
        <f aca="false">IF($A1473="","",Evermont!$C275)</f>
        <v/>
      </c>
      <c r="D1473" s="0" t="str">
        <f aca="false">IF($A1473="","","Nouvelle compétence")</f>
        <v/>
      </c>
      <c r="E1473" s="0" t="str">
        <f aca="false">IF($A1473="","",Evermont!$D275)</f>
        <v/>
      </c>
      <c r="F1473" s="116" t="str">
        <f aca="false">IF($A1473="","",Evermont!$F275)</f>
        <v/>
      </c>
      <c r="G1473" s="116" t="str">
        <f aca="false">IF($A1473="","",Evermont!$G275)</f>
        <v/>
      </c>
      <c r="H1473" s="0" t="str">
        <f aca="false">IF($A1473="","",Evermont!$K275)</f>
        <v/>
      </c>
      <c r="I1473" s="0" t="str">
        <f aca="false">IF($A1473="","",Evermont!$Q275)</f>
        <v/>
      </c>
      <c r="K1473" s="104" t="n">
        <f aca="false">IF(A1473="",0,IF(IFERROR(VLOOKUP(A1473,Skills!$A:$M,13,FALSE()),"")="COS",0,IF(OR(I1473="En cours",I1473="À venir",I1473="À planifier"),IF(AND(OR($C$3="Tous",$C$3="",C1473=$C$3),OR($E$3="Tous",$E$3="",I1473=$E$3)),1,0),0)))</f>
        <v>0</v>
      </c>
      <c r="L1473" s="104" t="n">
        <f aca="false">L1472+K1473</f>
        <v>19</v>
      </c>
    </row>
    <row r="1474" customFormat="false" ht="15" hidden="true" customHeight="true" outlineLevel="0" collapsed="false">
      <c r="A1474" s="0" t="str">
        <f aca="false">IF(Evermont!$A276="","",Evermont!$A276)</f>
        <v/>
      </c>
      <c r="B1474" s="0" t="str">
        <f aca="false">IF($A1474="","",Evermont!$B276)</f>
        <v/>
      </c>
      <c r="C1474" s="0" t="str">
        <f aca="false">IF($A1474="","",Evermont!$C276)</f>
        <v/>
      </c>
      <c r="D1474" s="0" t="str">
        <f aca="false">IF($A1474="","","Nouvelle compétence")</f>
        <v/>
      </c>
      <c r="E1474" s="0" t="str">
        <f aca="false">IF($A1474="","",Evermont!$D276)</f>
        <v/>
      </c>
      <c r="F1474" s="116" t="str">
        <f aca="false">IF($A1474="","",Evermont!$F276)</f>
        <v/>
      </c>
      <c r="G1474" s="116" t="str">
        <f aca="false">IF($A1474="","",Evermont!$G276)</f>
        <v/>
      </c>
      <c r="H1474" s="0" t="str">
        <f aca="false">IF($A1474="","",Evermont!$K276)</f>
        <v/>
      </c>
      <c r="I1474" s="0" t="str">
        <f aca="false">IF($A1474="","",Evermont!$Q276)</f>
        <v/>
      </c>
      <c r="K1474" s="104" t="n">
        <f aca="false">IF(A1474="",0,IF(IFERROR(VLOOKUP(A1474,Skills!$A:$M,13,FALSE()),"")="COS",0,IF(OR(I1474="En cours",I1474="À venir",I1474="À planifier"),IF(AND(OR($C$3="Tous",$C$3="",C1474=$C$3),OR($E$3="Tous",$E$3="",I1474=$E$3)),1,0),0)))</f>
        <v>0</v>
      </c>
      <c r="L1474" s="104" t="n">
        <f aca="false">L1473+K1474</f>
        <v>19</v>
      </c>
    </row>
    <row r="1475" customFormat="false" ht="15" hidden="true" customHeight="true" outlineLevel="0" collapsed="false">
      <c r="A1475" s="0" t="str">
        <f aca="false">IF(Evermont!$A277="","",Evermont!$A277)</f>
        <v/>
      </c>
      <c r="B1475" s="0" t="str">
        <f aca="false">IF($A1475="","",Evermont!$B277)</f>
        <v/>
      </c>
      <c r="C1475" s="0" t="str">
        <f aca="false">IF($A1475="","",Evermont!$C277)</f>
        <v/>
      </c>
      <c r="D1475" s="0" t="str">
        <f aca="false">IF($A1475="","","Nouvelle compétence")</f>
        <v/>
      </c>
      <c r="E1475" s="0" t="str">
        <f aca="false">IF($A1475="","",Evermont!$D277)</f>
        <v/>
      </c>
      <c r="F1475" s="116" t="str">
        <f aca="false">IF($A1475="","",Evermont!$F277)</f>
        <v/>
      </c>
      <c r="G1475" s="116" t="str">
        <f aca="false">IF($A1475="","",Evermont!$G277)</f>
        <v/>
      </c>
      <c r="H1475" s="0" t="str">
        <f aca="false">IF($A1475="","",Evermont!$K277)</f>
        <v/>
      </c>
      <c r="I1475" s="0" t="str">
        <f aca="false">IF($A1475="","",Evermont!$Q277)</f>
        <v/>
      </c>
      <c r="K1475" s="104" t="n">
        <f aca="false">IF(A1475="",0,IF(IFERROR(VLOOKUP(A1475,Skills!$A:$M,13,FALSE()),"")="COS",0,IF(OR(I1475="En cours",I1475="À venir",I1475="À planifier"),IF(AND(OR($C$3="Tous",$C$3="",C1475=$C$3),OR($E$3="Tous",$E$3="",I1475=$E$3)),1,0),0)))</f>
        <v>0</v>
      </c>
      <c r="L1475" s="104" t="n">
        <f aca="false">L1474+K1475</f>
        <v>19</v>
      </c>
    </row>
    <row r="1476" customFormat="false" ht="15" hidden="true" customHeight="true" outlineLevel="0" collapsed="false">
      <c r="A1476" s="0" t="str">
        <f aca="false">IF(Evermont!$A278="","",Evermont!$A278)</f>
        <v/>
      </c>
      <c r="B1476" s="0" t="str">
        <f aca="false">IF($A1476="","",Evermont!$B278)</f>
        <v/>
      </c>
      <c r="C1476" s="0" t="str">
        <f aca="false">IF($A1476="","",Evermont!$C278)</f>
        <v/>
      </c>
      <c r="D1476" s="0" t="str">
        <f aca="false">IF($A1476="","","Nouvelle compétence")</f>
        <v/>
      </c>
      <c r="E1476" s="0" t="str">
        <f aca="false">IF($A1476="","",Evermont!$D278)</f>
        <v/>
      </c>
      <c r="F1476" s="116" t="str">
        <f aca="false">IF($A1476="","",Evermont!$F278)</f>
        <v/>
      </c>
      <c r="G1476" s="116" t="str">
        <f aca="false">IF($A1476="","",Evermont!$G278)</f>
        <v/>
      </c>
      <c r="H1476" s="0" t="str">
        <f aca="false">IF($A1476="","",Evermont!$K278)</f>
        <v/>
      </c>
      <c r="I1476" s="0" t="str">
        <f aca="false">IF($A1476="","",Evermont!$Q278)</f>
        <v/>
      </c>
      <c r="K1476" s="104" t="n">
        <f aca="false">IF(A1476="",0,IF(IFERROR(VLOOKUP(A1476,Skills!$A:$M,13,FALSE()),"")="COS",0,IF(OR(I1476="En cours",I1476="À venir",I1476="À planifier"),IF(AND(OR($C$3="Tous",$C$3="",C1476=$C$3),OR($E$3="Tous",$E$3="",I1476=$E$3)),1,0),0)))</f>
        <v>0</v>
      </c>
      <c r="L1476" s="104" t="n">
        <f aca="false">L1475+K1476</f>
        <v>19</v>
      </c>
    </row>
    <row r="1477" customFormat="false" ht="15" hidden="true" customHeight="true" outlineLevel="0" collapsed="false">
      <c r="A1477" s="0" t="str">
        <f aca="false">IF(Evermont!$A279="","",Evermont!$A279)</f>
        <v/>
      </c>
      <c r="B1477" s="0" t="str">
        <f aca="false">IF($A1477="","",Evermont!$B279)</f>
        <v/>
      </c>
      <c r="C1477" s="0" t="str">
        <f aca="false">IF($A1477="","",Evermont!$C279)</f>
        <v/>
      </c>
      <c r="D1477" s="0" t="str">
        <f aca="false">IF($A1477="","","Nouvelle compétence")</f>
        <v/>
      </c>
      <c r="E1477" s="0" t="str">
        <f aca="false">IF($A1477="","",Evermont!$D279)</f>
        <v/>
      </c>
      <c r="F1477" s="116" t="str">
        <f aca="false">IF($A1477="","",Evermont!$F279)</f>
        <v/>
      </c>
      <c r="G1477" s="116" t="str">
        <f aca="false">IF($A1477="","",Evermont!$G279)</f>
        <v/>
      </c>
      <c r="H1477" s="0" t="str">
        <f aca="false">IF($A1477="","",Evermont!$K279)</f>
        <v/>
      </c>
      <c r="I1477" s="0" t="str">
        <f aca="false">IF($A1477="","",Evermont!$Q279)</f>
        <v/>
      </c>
      <c r="K1477" s="104" t="n">
        <f aca="false">IF(A1477="",0,IF(IFERROR(VLOOKUP(A1477,Skills!$A:$M,13,FALSE()),"")="COS",0,IF(OR(I1477="En cours",I1477="À venir",I1477="À planifier"),IF(AND(OR($C$3="Tous",$C$3="",C1477=$C$3),OR($E$3="Tous",$E$3="",I1477=$E$3)),1,0),0)))</f>
        <v>0</v>
      </c>
      <c r="L1477" s="104" t="n">
        <f aca="false">L1476+K1477</f>
        <v>19</v>
      </c>
    </row>
    <row r="1478" customFormat="false" ht="15" hidden="true" customHeight="true" outlineLevel="0" collapsed="false">
      <c r="A1478" s="0" t="str">
        <f aca="false">IF(Evermont!$A280="","",Evermont!$A280)</f>
        <v/>
      </c>
      <c r="B1478" s="0" t="str">
        <f aca="false">IF($A1478="","",Evermont!$B280)</f>
        <v/>
      </c>
      <c r="C1478" s="0" t="str">
        <f aca="false">IF($A1478="","",Evermont!$C280)</f>
        <v/>
      </c>
      <c r="D1478" s="0" t="str">
        <f aca="false">IF($A1478="","","Nouvelle compétence")</f>
        <v/>
      </c>
      <c r="E1478" s="0" t="str">
        <f aca="false">IF($A1478="","",Evermont!$D280)</f>
        <v/>
      </c>
      <c r="F1478" s="116" t="str">
        <f aca="false">IF($A1478="","",Evermont!$F280)</f>
        <v/>
      </c>
      <c r="G1478" s="116" t="str">
        <f aca="false">IF($A1478="","",Evermont!$G280)</f>
        <v/>
      </c>
      <c r="H1478" s="0" t="str">
        <f aca="false">IF($A1478="","",Evermont!$K280)</f>
        <v/>
      </c>
      <c r="I1478" s="0" t="str">
        <f aca="false">IF($A1478="","",Evermont!$Q280)</f>
        <v/>
      </c>
      <c r="K1478" s="104" t="n">
        <f aca="false">IF(A1478="",0,IF(IFERROR(VLOOKUP(A1478,Skills!$A:$M,13,FALSE()),"")="COS",0,IF(OR(I1478="En cours",I1478="À venir",I1478="À planifier"),IF(AND(OR($C$3="Tous",$C$3="",C1478=$C$3),OR($E$3="Tous",$E$3="",I1478=$E$3)),1,0),0)))</f>
        <v>0</v>
      </c>
      <c r="L1478" s="104" t="n">
        <f aca="false">L1477+K1478</f>
        <v>19</v>
      </c>
    </row>
    <row r="1479" customFormat="false" ht="15" hidden="true" customHeight="true" outlineLevel="0" collapsed="false">
      <c r="A1479" s="0" t="str">
        <f aca="false">IF(Evermont!$A281="","",Evermont!$A281)</f>
        <v/>
      </c>
      <c r="B1479" s="0" t="str">
        <f aca="false">IF($A1479="","",Evermont!$B281)</f>
        <v/>
      </c>
      <c r="C1479" s="0" t="str">
        <f aca="false">IF($A1479="","",Evermont!$C281)</f>
        <v/>
      </c>
      <c r="D1479" s="0" t="str">
        <f aca="false">IF($A1479="","","Nouvelle compétence")</f>
        <v/>
      </c>
      <c r="E1479" s="0" t="str">
        <f aca="false">IF($A1479="","",Evermont!$D281)</f>
        <v/>
      </c>
      <c r="F1479" s="116" t="str">
        <f aca="false">IF($A1479="","",Evermont!$F281)</f>
        <v/>
      </c>
      <c r="G1479" s="116" t="str">
        <f aca="false">IF($A1479="","",Evermont!$G281)</f>
        <v/>
      </c>
      <c r="H1479" s="0" t="str">
        <f aca="false">IF($A1479="","",Evermont!$K281)</f>
        <v/>
      </c>
      <c r="I1479" s="0" t="str">
        <f aca="false">IF($A1479="","",Evermont!$Q281)</f>
        <v/>
      </c>
      <c r="K1479" s="104" t="n">
        <f aca="false">IF(A1479="",0,IF(IFERROR(VLOOKUP(A1479,Skills!$A:$M,13,FALSE()),"")="COS",0,IF(OR(I1479="En cours",I1479="À venir",I1479="À planifier"),IF(AND(OR($C$3="Tous",$C$3="",C1479=$C$3),OR($E$3="Tous",$E$3="",I1479=$E$3)),1,0),0)))</f>
        <v>0</v>
      </c>
      <c r="L1479" s="104" t="n">
        <f aca="false">L1478+K1479</f>
        <v>19</v>
      </c>
    </row>
    <row r="1480" customFormat="false" ht="15" hidden="true" customHeight="true" outlineLevel="0" collapsed="false">
      <c r="A1480" s="0" t="str">
        <f aca="false">IF(Evermont!$A282="","",Evermont!$A282)</f>
        <v/>
      </c>
      <c r="B1480" s="0" t="str">
        <f aca="false">IF($A1480="","",Evermont!$B282)</f>
        <v/>
      </c>
      <c r="C1480" s="0" t="str">
        <f aca="false">IF($A1480="","",Evermont!$C282)</f>
        <v/>
      </c>
      <c r="D1480" s="0" t="str">
        <f aca="false">IF($A1480="","","Nouvelle compétence")</f>
        <v/>
      </c>
      <c r="E1480" s="0" t="str">
        <f aca="false">IF($A1480="","",Evermont!$D282)</f>
        <v/>
      </c>
      <c r="F1480" s="116" t="str">
        <f aca="false">IF($A1480="","",Evermont!$F282)</f>
        <v/>
      </c>
      <c r="G1480" s="116" t="str">
        <f aca="false">IF($A1480="","",Evermont!$G282)</f>
        <v/>
      </c>
      <c r="H1480" s="0" t="str">
        <f aca="false">IF($A1480="","",Evermont!$K282)</f>
        <v/>
      </c>
      <c r="I1480" s="0" t="str">
        <f aca="false">IF($A1480="","",Evermont!$Q282)</f>
        <v/>
      </c>
      <c r="K1480" s="104" t="n">
        <f aca="false">IF(A1480="",0,IF(IFERROR(VLOOKUP(A1480,Skills!$A:$M,13,FALSE()),"")="COS",0,IF(OR(I1480="En cours",I1480="À venir",I1480="À planifier"),IF(AND(OR($C$3="Tous",$C$3="",C1480=$C$3),OR($E$3="Tous",$E$3="",I1480=$E$3)),1,0),0)))</f>
        <v>0</v>
      </c>
      <c r="L1480" s="104" t="n">
        <f aca="false">L1479+K1480</f>
        <v>19</v>
      </c>
    </row>
    <row r="1481" customFormat="false" ht="15" hidden="true" customHeight="true" outlineLevel="0" collapsed="false">
      <c r="A1481" s="0" t="str">
        <f aca="false">IF(Evermont!$A283="","",Evermont!$A283)</f>
        <v/>
      </c>
      <c r="B1481" s="0" t="str">
        <f aca="false">IF($A1481="","",Evermont!$B283)</f>
        <v/>
      </c>
      <c r="C1481" s="0" t="str">
        <f aca="false">IF($A1481="","",Evermont!$C283)</f>
        <v/>
      </c>
      <c r="D1481" s="0" t="str">
        <f aca="false">IF($A1481="","","Nouvelle compétence")</f>
        <v/>
      </c>
      <c r="E1481" s="0" t="str">
        <f aca="false">IF($A1481="","",Evermont!$D283)</f>
        <v/>
      </c>
      <c r="F1481" s="116" t="str">
        <f aca="false">IF($A1481="","",Evermont!$F283)</f>
        <v/>
      </c>
      <c r="G1481" s="116" t="str">
        <f aca="false">IF($A1481="","",Evermont!$G283)</f>
        <v/>
      </c>
      <c r="H1481" s="0" t="str">
        <f aca="false">IF($A1481="","",Evermont!$K283)</f>
        <v/>
      </c>
      <c r="I1481" s="0" t="str">
        <f aca="false">IF($A1481="","",Evermont!$Q283)</f>
        <v/>
      </c>
      <c r="K1481" s="104" t="n">
        <f aca="false">IF(A1481="",0,IF(IFERROR(VLOOKUP(A1481,Skills!$A:$M,13,FALSE()),"")="COS",0,IF(OR(I1481="En cours",I1481="À venir",I1481="À planifier"),IF(AND(OR($C$3="Tous",$C$3="",C1481=$C$3),OR($E$3="Tous",$E$3="",I1481=$E$3)),1,0),0)))</f>
        <v>0</v>
      </c>
      <c r="L1481" s="104" t="n">
        <f aca="false">L1480+K1481</f>
        <v>19</v>
      </c>
    </row>
    <row r="1482" customFormat="false" ht="15" hidden="true" customHeight="true" outlineLevel="0" collapsed="false">
      <c r="A1482" s="0" t="str">
        <f aca="false">IF(Evermont!$A284="","",Evermont!$A284)</f>
        <v/>
      </c>
      <c r="B1482" s="0" t="str">
        <f aca="false">IF($A1482="","",Evermont!$B284)</f>
        <v/>
      </c>
      <c r="C1482" s="0" t="str">
        <f aca="false">IF($A1482="","",Evermont!$C284)</f>
        <v/>
      </c>
      <c r="D1482" s="0" t="str">
        <f aca="false">IF($A1482="","","Nouvelle compétence")</f>
        <v/>
      </c>
      <c r="E1482" s="0" t="str">
        <f aca="false">IF($A1482="","",Evermont!$D284)</f>
        <v/>
      </c>
      <c r="F1482" s="116" t="str">
        <f aca="false">IF($A1482="","",Evermont!$F284)</f>
        <v/>
      </c>
      <c r="G1482" s="116" t="str">
        <f aca="false">IF($A1482="","",Evermont!$G284)</f>
        <v/>
      </c>
      <c r="H1482" s="0" t="str">
        <f aca="false">IF($A1482="","",Evermont!$K284)</f>
        <v/>
      </c>
      <c r="I1482" s="0" t="str">
        <f aca="false">IF($A1482="","",Evermont!$Q284)</f>
        <v/>
      </c>
      <c r="K1482" s="104" t="n">
        <f aca="false">IF(A1482="",0,IF(IFERROR(VLOOKUP(A1482,Skills!$A:$M,13,FALSE()),"")="COS",0,IF(OR(I1482="En cours",I1482="À venir",I1482="À planifier"),IF(AND(OR($C$3="Tous",$C$3="",C1482=$C$3),OR($E$3="Tous",$E$3="",I1482=$E$3)),1,0),0)))</f>
        <v>0</v>
      </c>
      <c r="L1482" s="104" t="n">
        <f aca="false">L1481+K1482</f>
        <v>19</v>
      </c>
    </row>
    <row r="1483" customFormat="false" ht="15" hidden="true" customHeight="true" outlineLevel="0" collapsed="false">
      <c r="A1483" s="0" t="str">
        <f aca="false">IF(Evermont!$A285="","",Evermont!$A285)</f>
        <v/>
      </c>
      <c r="B1483" s="0" t="str">
        <f aca="false">IF($A1483="","",Evermont!$B285)</f>
        <v/>
      </c>
      <c r="C1483" s="0" t="str">
        <f aca="false">IF($A1483="","",Evermont!$C285)</f>
        <v/>
      </c>
      <c r="D1483" s="0" t="str">
        <f aca="false">IF($A1483="","","Nouvelle compétence")</f>
        <v/>
      </c>
      <c r="E1483" s="0" t="str">
        <f aca="false">IF($A1483="","",Evermont!$D285)</f>
        <v/>
      </c>
      <c r="F1483" s="116" t="str">
        <f aca="false">IF($A1483="","",Evermont!$F285)</f>
        <v/>
      </c>
      <c r="G1483" s="116" t="str">
        <f aca="false">IF($A1483="","",Evermont!$G285)</f>
        <v/>
      </c>
      <c r="H1483" s="0" t="str">
        <f aca="false">IF($A1483="","",Evermont!$K285)</f>
        <v/>
      </c>
      <c r="I1483" s="0" t="str">
        <f aca="false">IF($A1483="","",Evermont!$Q285)</f>
        <v/>
      </c>
      <c r="K1483" s="104" t="n">
        <f aca="false">IF(A1483="",0,IF(IFERROR(VLOOKUP(A1483,Skills!$A:$M,13,FALSE()),"")="COS",0,IF(OR(I1483="En cours",I1483="À venir",I1483="À planifier"),IF(AND(OR($C$3="Tous",$C$3="",C1483=$C$3),OR($E$3="Tous",$E$3="",I1483=$E$3)),1,0),0)))</f>
        <v>0</v>
      </c>
      <c r="L1483" s="104" t="n">
        <f aca="false">L1482+K1483</f>
        <v>19</v>
      </c>
    </row>
    <row r="1484" customFormat="false" ht="15" hidden="true" customHeight="true" outlineLevel="0" collapsed="false">
      <c r="A1484" s="0" t="str">
        <f aca="false">IF(Evermont!$A286="","",Evermont!$A286)</f>
        <v/>
      </c>
      <c r="B1484" s="0" t="str">
        <f aca="false">IF($A1484="","",Evermont!$B286)</f>
        <v/>
      </c>
      <c r="C1484" s="0" t="str">
        <f aca="false">IF($A1484="","",Evermont!$C286)</f>
        <v/>
      </c>
      <c r="D1484" s="0" t="str">
        <f aca="false">IF($A1484="","","Nouvelle compétence")</f>
        <v/>
      </c>
      <c r="E1484" s="0" t="str">
        <f aca="false">IF($A1484="","",Evermont!$D286)</f>
        <v/>
      </c>
      <c r="F1484" s="116" t="str">
        <f aca="false">IF($A1484="","",Evermont!$F286)</f>
        <v/>
      </c>
      <c r="G1484" s="116" t="str">
        <f aca="false">IF($A1484="","",Evermont!$G286)</f>
        <v/>
      </c>
      <c r="H1484" s="0" t="str">
        <f aca="false">IF($A1484="","",Evermont!$K286)</f>
        <v/>
      </c>
      <c r="I1484" s="0" t="str">
        <f aca="false">IF($A1484="","",Evermont!$Q286)</f>
        <v/>
      </c>
      <c r="K1484" s="104" t="n">
        <f aca="false">IF(A1484="",0,IF(IFERROR(VLOOKUP(A1484,Skills!$A:$M,13,FALSE()),"")="COS",0,IF(OR(I1484="En cours",I1484="À venir",I1484="À planifier"),IF(AND(OR($C$3="Tous",$C$3="",C1484=$C$3),OR($E$3="Tous",$E$3="",I1484=$E$3)),1,0),0)))</f>
        <v>0</v>
      </c>
      <c r="L1484" s="104" t="n">
        <f aca="false">L1483+K1484</f>
        <v>19</v>
      </c>
    </row>
    <row r="1485" customFormat="false" ht="15" hidden="true" customHeight="true" outlineLevel="0" collapsed="false">
      <c r="A1485" s="0" t="str">
        <f aca="false">IF(Evermont!$A287="","",Evermont!$A287)</f>
        <v/>
      </c>
      <c r="B1485" s="0" t="str">
        <f aca="false">IF($A1485="","",Evermont!$B287)</f>
        <v/>
      </c>
      <c r="C1485" s="0" t="str">
        <f aca="false">IF($A1485="","",Evermont!$C287)</f>
        <v/>
      </c>
      <c r="D1485" s="0" t="str">
        <f aca="false">IF($A1485="","","Nouvelle compétence")</f>
        <v/>
      </c>
      <c r="E1485" s="0" t="str">
        <f aca="false">IF($A1485="","",Evermont!$D287)</f>
        <v/>
      </c>
      <c r="F1485" s="116" t="str">
        <f aca="false">IF($A1485="","",Evermont!$F287)</f>
        <v/>
      </c>
      <c r="G1485" s="116" t="str">
        <f aca="false">IF($A1485="","",Evermont!$G287)</f>
        <v/>
      </c>
      <c r="H1485" s="0" t="str">
        <f aca="false">IF($A1485="","",Evermont!$K287)</f>
        <v/>
      </c>
      <c r="I1485" s="0" t="str">
        <f aca="false">IF($A1485="","",Evermont!$Q287)</f>
        <v/>
      </c>
      <c r="K1485" s="104" t="n">
        <f aca="false">IF(A1485="",0,IF(IFERROR(VLOOKUP(A1485,Skills!$A:$M,13,FALSE()),"")="COS",0,IF(OR(I1485="En cours",I1485="À venir",I1485="À planifier"),IF(AND(OR($C$3="Tous",$C$3="",C1485=$C$3),OR($E$3="Tous",$E$3="",I1485=$E$3)),1,0),0)))</f>
        <v>0</v>
      </c>
      <c r="L1485" s="104" t="n">
        <f aca="false">L1484+K1485</f>
        <v>19</v>
      </c>
    </row>
    <row r="1486" customFormat="false" ht="15" hidden="true" customHeight="true" outlineLevel="0" collapsed="false">
      <c r="A1486" s="0" t="str">
        <f aca="false">IF(Evermont!$A288="","",Evermont!$A288)</f>
        <v/>
      </c>
      <c r="B1486" s="0" t="str">
        <f aca="false">IF($A1486="","",Evermont!$B288)</f>
        <v/>
      </c>
      <c r="C1486" s="0" t="str">
        <f aca="false">IF($A1486="","",Evermont!$C288)</f>
        <v/>
      </c>
      <c r="D1486" s="0" t="str">
        <f aca="false">IF($A1486="","","Nouvelle compétence")</f>
        <v/>
      </c>
      <c r="E1486" s="0" t="str">
        <f aca="false">IF($A1486="","",Evermont!$D288)</f>
        <v/>
      </c>
      <c r="F1486" s="116" t="str">
        <f aca="false">IF($A1486="","",Evermont!$F288)</f>
        <v/>
      </c>
      <c r="G1486" s="116" t="str">
        <f aca="false">IF($A1486="","",Evermont!$G288)</f>
        <v/>
      </c>
      <c r="H1486" s="0" t="str">
        <f aca="false">IF($A1486="","",Evermont!$K288)</f>
        <v/>
      </c>
      <c r="I1486" s="0" t="str">
        <f aca="false">IF($A1486="","",Evermont!$Q288)</f>
        <v/>
      </c>
      <c r="K1486" s="104" t="n">
        <f aca="false">IF(A1486="",0,IF(IFERROR(VLOOKUP(A1486,Skills!$A:$M,13,FALSE()),"")="COS",0,IF(OR(I1486="En cours",I1486="À venir",I1486="À planifier"),IF(AND(OR($C$3="Tous",$C$3="",C1486=$C$3),OR($E$3="Tous",$E$3="",I1486=$E$3)),1,0),0)))</f>
        <v>0</v>
      </c>
      <c r="L1486" s="104" t="n">
        <f aca="false">L1485+K1486</f>
        <v>19</v>
      </c>
    </row>
    <row r="1487" customFormat="false" ht="15" hidden="true" customHeight="true" outlineLevel="0" collapsed="false">
      <c r="A1487" s="0" t="str">
        <f aca="false">IF(Evermont!$A289="","",Evermont!$A289)</f>
        <v/>
      </c>
      <c r="B1487" s="0" t="str">
        <f aca="false">IF($A1487="","",Evermont!$B289)</f>
        <v/>
      </c>
      <c r="C1487" s="0" t="str">
        <f aca="false">IF($A1487="","",Evermont!$C289)</f>
        <v/>
      </c>
      <c r="D1487" s="0" t="str">
        <f aca="false">IF($A1487="","","Nouvelle compétence")</f>
        <v/>
      </c>
      <c r="E1487" s="0" t="str">
        <f aca="false">IF($A1487="","",Evermont!$D289)</f>
        <v/>
      </c>
      <c r="F1487" s="116" t="str">
        <f aca="false">IF($A1487="","",Evermont!$F289)</f>
        <v/>
      </c>
      <c r="G1487" s="116" t="str">
        <f aca="false">IF($A1487="","",Evermont!$G289)</f>
        <v/>
      </c>
      <c r="H1487" s="0" t="str">
        <f aca="false">IF($A1487="","",Evermont!$K289)</f>
        <v/>
      </c>
      <c r="I1487" s="0" t="str">
        <f aca="false">IF($A1487="","",Evermont!$Q289)</f>
        <v/>
      </c>
      <c r="K1487" s="104" t="n">
        <f aca="false">IF(A1487="",0,IF(IFERROR(VLOOKUP(A1487,Skills!$A:$M,13,FALSE()),"")="COS",0,IF(OR(I1487="En cours",I1487="À venir",I1487="À planifier"),IF(AND(OR($C$3="Tous",$C$3="",C1487=$C$3),OR($E$3="Tous",$E$3="",I1487=$E$3)),1,0),0)))</f>
        <v>0</v>
      </c>
      <c r="L1487" s="104" t="n">
        <f aca="false">L1486+K1487</f>
        <v>19</v>
      </c>
    </row>
    <row r="1488" customFormat="false" ht="15" hidden="true" customHeight="true" outlineLevel="0" collapsed="false">
      <c r="A1488" s="0" t="str">
        <f aca="false">IF(Evermont!$A290="","",Evermont!$A290)</f>
        <v/>
      </c>
      <c r="B1488" s="0" t="str">
        <f aca="false">IF($A1488="","",Evermont!$B290)</f>
        <v/>
      </c>
      <c r="C1488" s="0" t="str">
        <f aca="false">IF($A1488="","",Evermont!$C290)</f>
        <v/>
      </c>
      <c r="D1488" s="0" t="str">
        <f aca="false">IF($A1488="","","Nouvelle compétence")</f>
        <v/>
      </c>
      <c r="E1488" s="0" t="str">
        <f aca="false">IF($A1488="","",Evermont!$D290)</f>
        <v/>
      </c>
      <c r="F1488" s="116" t="str">
        <f aca="false">IF($A1488="","",Evermont!$F290)</f>
        <v/>
      </c>
      <c r="G1488" s="116" t="str">
        <f aca="false">IF($A1488="","",Evermont!$G290)</f>
        <v/>
      </c>
      <c r="H1488" s="0" t="str">
        <f aca="false">IF($A1488="","",Evermont!$K290)</f>
        <v/>
      </c>
      <c r="I1488" s="0" t="str">
        <f aca="false">IF($A1488="","",Evermont!$Q290)</f>
        <v/>
      </c>
      <c r="K1488" s="104" t="n">
        <f aca="false">IF(A1488="",0,IF(IFERROR(VLOOKUP(A1488,Skills!$A:$M,13,FALSE()),"")="COS",0,IF(OR(I1488="En cours",I1488="À venir",I1488="À planifier"),IF(AND(OR($C$3="Tous",$C$3="",C1488=$C$3),OR($E$3="Tous",$E$3="",I1488=$E$3)),1,0),0)))</f>
        <v>0</v>
      </c>
      <c r="L1488" s="104" t="n">
        <f aca="false">L1487+K1488</f>
        <v>19</v>
      </c>
    </row>
    <row r="1489" customFormat="false" ht="15" hidden="true" customHeight="true" outlineLevel="0" collapsed="false">
      <c r="A1489" s="0" t="str">
        <f aca="false">IF(Evermont!$A291="","",Evermont!$A291)</f>
        <v/>
      </c>
      <c r="B1489" s="0" t="str">
        <f aca="false">IF($A1489="","",Evermont!$B291)</f>
        <v/>
      </c>
      <c r="C1489" s="0" t="str">
        <f aca="false">IF($A1489="","",Evermont!$C291)</f>
        <v/>
      </c>
      <c r="D1489" s="0" t="str">
        <f aca="false">IF($A1489="","","Nouvelle compétence")</f>
        <v/>
      </c>
      <c r="E1489" s="0" t="str">
        <f aca="false">IF($A1489="","",Evermont!$D291)</f>
        <v/>
      </c>
      <c r="F1489" s="116" t="str">
        <f aca="false">IF($A1489="","",Evermont!$F291)</f>
        <v/>
      </c>
      <c r="G1489" s="116" t="str">
        <f aca="false">IF($A1489="","",Evermont!$G291)</f>
        <v/>
      </c>
      <c r="H1489" s="0" t="str">
        <f aca="false">IF($A1489="","",Evermont!$K291)</f>
        <v/>
      </c>
      <c r="I1489" s="0" t="str">
        <f aca="false">IF($A1489="","",Evermont!$Q291)</f>
        <v/>
      </c>
      <c r="K1489" s="104" t="n">
        <f aca="false">IF(A1489="",0,IF(IFERROR(VLOOKUP(A1489,Skills!$A:$M,13,FALSE()),"")="COS",0,IF(OR(I1489="En cours",I1489="À venir",I1489="À planifier"),IF(AND(OR($C$3="Tous",$C$3="",C1489=$C$3),OR($E$3="Tous",$E$3="",I1489=$E$3)),1,0),0)))</f>
        <v>0</v>
      </c>
      <c r="L1489" s="104" t="n">
        <f aca="false">L1488+K1489</f>
        <v>19</v>
      </c>
    </row>
    <row r="1490" customFormat="false" ht="15" hidden="true" customHeight="true" outlineLevel="0" collapsed="false">
      <c r="A1490" s="0" t="str">
        <f aca="false">IF(Evermont!$A292="","",Evermont!$A292)</f>
        <v/>
      </c>
      <c r="B1490" s="0" t="str">
        <f aca="false">IF($A1490="","",Evermont!$B292)</f>
        <v/>
      </c>
      <c r="C1490" s="0" t="str">
        <f aca="false">IF($A1490="","",Evermont!$C292)</f>
        <v/>
      </c>
      <c r="D1490" s="0" t="str">
        <f aca="false">IF($A1490="","","Nouvelle compétence")</f>
        <v/>
      </c>
      <c r="E1490" s="0" t="str">
        <f aca="false">IF($A1490="","",Evermont!$D292)</f>
        <v/>
      </c>
      <c r="F1490" s="116" t="str">
        <f aca="false">IF($A1490="","",Evermont!$F292)</f>
        <v/>
      </c>
      <c r="G1490" s="116" t="str">
        <f aca="false">IF($A1490="","",Evermont!$G292)</f>
        <v/>
      </c>
      <c r="H1490" s="0" t="str">
        <f aca="false">IF($A1490="","",Evermont!$K292)</f>
        <v/>
      </c>
      <c r="I1490" s="0" t="str">
        <f aca="false">IF($A1490="","",Evermont!$Q292)</f>
        <v/>
      </c>
      <c r="K1490" s="104" t="n">
        <f aca="false">IF(A1490="",0,IF(IFERROR(VLOOKUP(A1490,Skills!$A:$M,13,FALSE()),"")="COS",0,IF(OR(I1490="En cours",I1490="À venir",I1490="À planifier"),IF(AND(OR($C$3="Tous",$C$3="",C1490=$C$3),OR($E$3="Tous",$E$3="",I1490=$E$3)),1,0),0)))</f>
        <v>0</v>
      </c>
      <c r="L1490" s="104" t="n">
        <f aca="false">L1489+K1490</f>
        <v>19</v>
      </c>
    </row>
    <row r="1491" customFormat="false" ht="15" hidden="true" customHeight="true" outlineLevel="0" collapsed="false">
      <c r="A1491" s="0" t="str">
        <f aca="false">IF(Evermont!$A293="","",Evermont!$A293)</f>
        <v/>
      </c>
      <c r="B1491" s="0" t="str">
        <f aca="false">IF($A1491="","",Evermont!$B293)</f>
        <v/>
      </c>
      <c r="C1491" s="0" t="str">
        <f aca="false">IF($A1491="","",Evermont!$C293)</f>
        <v/>
      </c>
      <c r="D1491" s="0" t="str">
        <f aca="false">IF($A1491="","","Nouvelle compétence")</f>
        <v/>
      </c>
      <c r="E1491" s="0" t="str">
        <f aca="false">IF($A1491="","",Evermont!$D293)</f>
        <v/>
      </c>
      <c r="F1491" s="116" t="str">
        <f aca="false">IF($A1491="","",Evermont!$F293)</f>
        <v/>
      </c>
      <c r="G1491" s="116" t="str">
        <f aca="false">IF($A1491="","",Evermont!$G293)</f>
        <v/>
      </c>
      <c r="H1491" s="0" t="str">
        <f aca="false">IF($A1491="","",Evermont!$K293)</f>
        <v/>
      </c>
      <c r="I1491" s="0" t="str">
        <f aca="false">IF($A1491="","",Evermont!$Q293)</f>
        <v/>
      </c>
      <c r="K1491" s="104" t="n">
        <f aca="false">IF(A1491="",0,IF(IFERROR(VLOOKUP(A1491,Skills!$A:$M,13,FALSE()),"")="COS",0,IF(OR(I1491="En cours",I1491="À venir",I1491="À planifier"),IF(AND(OR($C$3="Tous",$C$3="",C1491=$C$3),OR($E$3="Tous",$E$3="",I1491=$E$3)),1,0),0)))</f>
        <v>0</v>
      </c>
      <c r="L1491" s="104" t="n">
        <f aca="false">L1490+K1491</f>
        <v>19</v>
      </c>
    </row>
    <row r="1492" customFormat="false" ht="15" hidden="true" customHeight="true" outlineLevel="0" collapsed="false">
      <c r="A1492" s="0" t="str">
        <f aca="false">IF(Evermont!$A294="","",Evermont!$A294)</f>
        <v/>
      </c>
      <c r="B1492" s="0" t="str">
        <f aca="false">IF($A1492="","",Evermont!$B294)</f>
        <v/>
      </c>
      <c r="C1492" s="0" t="str">
        <f aca="false">IF($A1492="","",Evermont!$C294)</f>
        <v/>
      </c>
      <c r="D1492" s="0" t="str">
        <f aca="false">IF($A1492="","","Nouvelle compétence")</f>
        <v/>
      </c>
      <c r="E1492" s="0" t="str">
        <f aca="false">IF($A1492="","",Evermont!$D294)</f>
        <v/>
      </c>
      <c r="F1492" s="116" t="str">
        <f aca="false">IF($A1492="","",Evermont!$F294)</f>
        <v/>
      </c>
      <c r="G1492" s="116" t="str">
        <f aca="false">IF($A1492="","",Evermont!$G294)</f>
        <v/>
      </c>
      <c r="H1492" s="0" t="str">
        <f aca="false">IF($A1492="","",Evermont!$K294)</f>
        <v/>
      </c>
      <c r="I1492" s="0" t="str">
        <f aca="false">IF($A1492="","",Evermont!$Q294)</f>
        <v/>
      </c>
      <c r="K1492" s="104" t="n">
        <f aca="false">IF(A1492="",0,IF(IFERROR(VLOOKUP(A1492,Skills!$A:$M,13,FALSE()),"")="COS",0,IF(OR(I1492="En cours",I1492="À venir",I1492="À planifier"),IF(AND(OR($C$3="Tous",$C$3="",C1492=$C$3),OR($E$3="Tous",$E$3="",I1492=$E$3)),1,0),0)))</f>
        <v>0</v>
      </c>
      <c r="L1492" s="104" t="n">
        <f aca="false">L1491+K1492</f>
        <v>19</v>
      </c>
    </row>
    <row r="1493" customFormat="false" ht="15" hidden="true" customHeight="true" outlineLevel="0" collapsed="false">
      <c r="A1493" s="0" t="str">
        <f aca="false">IF(Evermont!$A295="","",Evermont!$A295)</f>
        <v/>
      </c>
      <c r="B1493" s="0" t="str">
        <f aca="false">IF($A1493="","",Evermont!$B295)</f>
        <v/>
      </c>
      <c r="C1493" s="0" t="str">
        <f aca="false">IF($A1493="","",Evermont!$C295)</f>
        <v/>
      </c>
      <c r="D1493" s="0" t="str">
        <f aca="false">IF($A1493="","","Nouvelle compétence")</f>
        <v/>
      </c>
      <c r="E1493" s="0" t="str">
        <f aca="false">IF($A1493="","",Evermont!$D295)</f>
        <v/>
      </c>
      <c r="F1493" s="116" t="str">
        <f aca="false">IF($A1493="","",Evermont!$F295)</f>
        <v/>
      </c>
      <c r="G1493" s="116" t="str">
        <f aca="false">IF($A1493="","",Evermont!$G295)</f>
        <v/>
      </c>
      <c r="H1493" s="0" t="str">
        <f aca="false">IF($A1493="","",Evermont!$K295)</f>
        <v/>
      </c>
      <c r="I1493" s="0" t="str">
        <f aca="false">IF($A1493="","",Evermont!$Q295)</f>
        <v/>
      </c>
      <c r="K1493" s="104" t="n">
        <f aca="false">IF(A1493="",0,IF(IFERROR(VLOOKUP(A1493,Skills!$A:$M,13,FALSE()),"")="COS",0,IF(OR(I1493="En cours",I1493="À venir",I1493="À planifier"),IF(AND(OR($C$3="Tous",$C$3="",C1493=$C$3),OR($E$3="Tous",$E$3="",I1493=$E$3)),1,0),0)))</f>
        <v>0</v>
      </c>
      <c r="L1493" s="104" t="n">
        <f aca="false">L1492+K1493</f>
        <v>19</v>
      </c>
    </row>
    <row r="1494" customFormat="false" ht="15" hidden="true" customHeight="true" outlineLevel="0" collapsed="false">
      <c r="A1494" s="0" t="str">
        <f aca="false">IF(Evermont!$A296="","",Evermont!$A296)</f>
        <v/>
      </c>
      <c r="B1494" s="0" t="str">
        <f aca="false">IF($A1494="","",Evermont!$B296)</f>
        <v/>
      </c>
      <c r="C1494" s="0" t="str">
        <f aca="false">IF($A1494="","",Evermont!$C296)</f>
        <v/>
      </c>
      <c r="D1494" s="0" t="str">
        <f aca="false">IF($A1494="","","Nouvelle compétence")</f>
        <v/>
      </c>
      <c r="E1494" s="0" t="str">
        <f aca="false">IF($A1494="","",Evermont!$D296)</f>
        <v/>
      </c>
      <c r="F1494" s="116" t="str">
        <f aca="false">IF($A1494="","",Evermont!$F296)</f>
        <v/>
      </c>
      <c r="G1494" s="116" t="str">
        <f aca="false">IF($A1494="","",Evermont!$G296)</f>
        <v/>
      </c>
      <c r="H1494" s="0" t="str">
        <f aca="false">IF($A1494="","",Evermont!$K296)</f>
        <v/>
      </c>
      <c r="I1494" s="0" t="str">
        <f aca="false">IF($A1494="","",Evermont!$Q296)</f>
        <v/>
      </c>
      <c r="K1494" s="104" t="n">
        <f aca="false">IF(A1494="",0,IF(IFERROR(VLOOKUP(A1494,Skills!$A:$M,13,FALSE()),"")="COS",0,IF(OR(I1494="En cours",I1494="À venir",I1494="À planifier"),IF(AND(OR($C$3="Tous",$C$3="",C1494=$C$3),OR($E$3="Tous",$E$3="",I1494=$E$3)),1,0),0)))</f>
        <v>0</v>
      </c>
      <c r="L1494" s="104" t="n">
        <f aca="false">L1493+K1494</f>
        <v>19</v>
      </c>
    </row>
    <row r="1495" customFormat="false" ht="15" hidden="true" customHeight="true" outlineLevel="0" collapsed="false">
      <c r="A1495" s="0" t="str">
        <f aca="false">IF(Evermont!$A297="","",Evermont!$A297)</f>
        <v/>
      </c>
      <c r="B1495" s="0" t="str">
        <f aca="false">IF($A1495="","",Evermont!$B297)</f>
        <v/>
      </c>
      <c r="C1495" s="0" t="str">
        <f aca="false">IF($A1495="","",Evermont!$C297)</f>
        <v/>
      </c>
      <c r="D1495" s="0" t="str">
        <f aca="false">IF($A1495="","","Nouvelle compétence")</f>
        <v/>
      </c>
      <c r="E1495" s="0" t="str">
        <f aca="false">IF($A1495="","",Evermont!$D297)</f>
        <v/>
      </c>
      <c r="F1495" s="116" t="str">
        <f aca="false">IF($A1495="","",Evermont!$F297)</f>
        <v/>
      </c>
      <c r="G1495" s="116" t="str">
        <f aca="false">IF($A1495="","",Evermont!$G297)</f>
        <v/>
      </c>
      <c r="H1495" s="0" t="str">
        <f aca="false">IF($A1495="","",Evermont!$K297)</f>
        <v/>
      </c>
      <c r="I1495" s="0" t="str">
        <f aca="false">IF($A1495="","",Evermont!$Q297)</f>
        <v/>
      </c>
      <c r="K1495" s="104" t="n">
        <f aca="false">IF(A1495="",0,IF(IFERROR(VLOOKUP(A1495,Skills!$A:$M,13,FALSE()),"")="COS",0,IF(OR(I1495="En cours",I1495="À venir",I1495="À planifier"),IF(AND(OR($C$3="Tous",$C$3="",C1495=$C$3),OR($E$3="Tous",$E$3="",I1495=$E$3)),1,0),0)))</f>
        <v>0</v>
      </c>
      <c r="L1495" s="104" t="n">
        <f aca="false">L1494+K1495</f>
        <v>19</v>
      </c>
    </row>
    <row r="1496" customFormat="false" ht="15" hidden="true" customHeight="true" outlineLevel="0" collapsed="false">
      <c r="A1496" s="0" t="str">
        <f aca="false">IF(Evermont!$A298="","",Evermont!$A298)</f>
        <v/>
      </c>
      <c r="B1496" s="0" t="str">
        <f aca="false">IF($A1496="","",Evermont!$B298)</f>
        <v/>
      </c>
      <c r="C1496" s="0" t="str">
        <f aca="false">IF($A1496="","",Evermont!$C298)</f>
        <v/>
      </c>
      <c r="D1496" s="0" t="str">
        <f aca="false">IF($A1496="","","Nouvelle compétence")</f>
        <v/>
      </c>
      <c r="E1496" s="0" t="str">
        <f aca="false">IF($A1496="","",Evermont!$D298)</f>
        <v/>
      </c>
      <c r="F1496" s="116" t="str">
        <f aca="false">IF($A1496="","",Evermont!$F298)</f>
        <v/>
      </c>
      <c r="G1496" s="116" t="str">
        <f aca="false">IF($A1496="","",Evermont!$G298)</f>
        <v/>
      </c>
      <c r="H1496" s="0" t="str">
        <f aca="false">IF($A1496="","",Evermont!$K298)</f>
        <v/>
      </c>
      <c r="I1496" s="0" t="str">
        <f aca="false">IF($A1496="","",Evermont!$Q298)</f>
        <v/>
      </c>
      <c r="K1496" s="104" t="n">
        <f aca="false">IF(A1496="",0,IF(IFERROR(VLOOKUP(A1496,Skills!$A:$M,13,FALSE()),"")="COS",0,IF(OR(I1496="En cours",I1496="À venir",I1496="À planifier"),IF(AND(OR($C$3="Tous",$C$3="",C1496=$C$3),OR($E$3="Tous",$E$3="",I1496=$E$3)),1,0),0)))</f>
        <v>0</v>
      </c>
      <c r="L1496" s="104" t="n">
        <f aca="false">L1495+K1496</f>
        <v>19</v>
      </c>
    </row>
    <row r="1497" customFormat="false" ht="15" hidden="true" customHeight="true" outlineLevel="0" collapsed="false">
      <c r="A1497" s="0" t="str">
        <f aca="false">IF(Evermont!$A299="","",Evermont!$A299)</f>
        <v/>
      </c>
      <c r="B1497" s="0" t="str">
        <f aca="false">IF($A1497="","",Evermont!$B299)</f>
        <v/>
      </c>
      <c r="C1497" s="0" t="str">
        <f aca="false">IF($A1497="","",Evermont!$C299)</f>
        <v/>
      </c>
      <c r="D1497" s="0" t="str">
        <f aca="false">IF($A1497="","","Nouvelle compétence")</f>
        <v/>
      </c>
      <c r="E1497" s="0" t="str">
        <f aca="false">IF($A1497="","",Evermont!$D299)</f>
        <v/>
      </c>
      <c r="F1497" s="116" t="str">
        <f aca="false">IF($A1497="","",Evermont!$F299)</f>
        <v/>
      </c>
      <c r="G1497" s="116" t="str">
        <f aca="false">IF($A1497="","",Evermont!$G299)</f>
        <v/>
      </c>
      <c r="H1497" s="0" t="str">
        <f aca="false">IF($A1497="","",Evermont!$K299)</f>
        <v/>
      </c>
      <c r="I1497" s="0" t="str">
        <f aca="false">IF($A1497="","",Evermont!$Q299)</f>
        <v/>
      </c>
      <c r="K1497" s="104" t="n">
        <f aca="false">IF(A1497="",0,IF(IFERROR(VLOOKUP(A1497,Skills!$A:$M,13,FALSE()),"")="COS",0,IF(OR(I1497="En cours",I1497="À venir",I1497="À planifier"),IF(AND(OR($C$3="Tous",$C$3="",C1497=$C$3),OR($E$3="Tous",$E$3="",I1497=$E$3)),1,0),0)))</f>
        <v>0</v>
      </c>
      <c r="L1497" s="104" t="n">
        <f aca="false">L1496+K1497</f>
        <v>19</v>
      </c>
    </row>
    <row r="1498" customFormat="false" ht="15" hidden="true" customHeight="true" outlineLevel="0" collapsed="false">
      <c r="A1498" s="0" t="str">
        <f aca="false">IF(Evermont!$A300="","",Evermont!$A300)</f>
        <v/>
      </c>
      <c r="B1498" s="0" t="str">
        <f aca="false">IF($A1498="","",Evermont!$B300)</f>
        <v/>
      </c>
      <c r="C1498" s="0" t="str">
        <f aca="false">IF($A1498="","",Evermont!$C300)</f>
        <v/>
      </c>
      <c r="D1498" s="0" t="str">
        <f aca="false">IF($A1498="","","Nouvelle compétence")</f>
        <v/>
      </c>
      <c r="E1498" s="0" t="str">
        <f aca="false">IF($A1498="","",Evermont!$D300)</f>
        <v/>
      </c>
      <c r="F1498" s="116" t="str">
        <f aca="false">IF($A1498="","",Evermont!$F300)</f>
        <v/>
      </c>
      <c r="G1498" s="116" t="str">
        <f aca="false">IF($A1498="","",Evermont!$G300)</f>
        <v/>
      </c>
      <c r="H1498" s="0" t="str">
        <f aca="false">IF($A1498="","",Evermont!$K300)</f>
        <v/>
      </c>
      <c r="I1498" s="0" t="str">
        <f aca="false">IF($A1498="","",Evermont!$Q300)</f>
        <v/>
      </c>
      <c r="K1498" s="104" t="n">
        <f aca="false">IF(A1498="",0,IF(IFERROR(VLOOKUP(A1498,Skills!$A:$M,13,FALSE()),"")="COS",0,IF(OR(I1498="En cours",I1498="À venir",I1498="À planifier"),IF(AND(OR($C$3="Tous",$C$3="",C1498=$C$3),OR($E$3="Tous",$E$3="",I1498=$E$3)),1,0),0)))</f>
        <v>0</v>
      </c>
      <c r="L1498" s="104" t="n">
        <f aca="false">L1497+K1498</f>
        <v>19</v>
      </c>
    </row>
    <row r="1499" customFormat="false" ht="15" hidden="true" customHeight="true" outlineLevel="0" collapsed="false">
      <c r="A1499" s="0" t="str">
        <f aca="false">IF(Evermont!$A301="","",Evermont!$A301)</f>
        <v/>
      </c>
      <c r="B1499" s="0" t="str">
        <f aca="false">IF($A1499="","",Evermont!$B301)</f>
        <v/>
      </c>
      <c r="C1499" s="0" t="str">
        <f aca="false">IF($A1499="","",Evermont!$C301)</f>
        <v/>
      </c>
      <c r="D1499" s="0" t="str">
        <f aca="false">IF($A1499="","","Nouvelle compétence")</f>
        <v/>
      </c>
      <c r="E1499" s="0" t="str">
        <f aca="false">IF($A1499="","",Evermont!$D301)</f>
        <v/>
      </c>
      <c r="F1499" s="116" t="str">
        <f aca="false">IF($A1499="","",Evermont!$F301)</f>
        <v/>
      </c>
      <c r="G1499" s="116" t="str">
        <f aca="false">IF($A1499="","",Evermont!$G301)</f>
        <v/>
      </c>
      <c r="H1499" s="0" t="str">
        <f aca="false">IF($A1499="","",Evermont!$K301)</f>
        <v/>
      </c>
      <c r="I1499" s="0" t="str">
        <f aca="false">IF($A1499="","",Evermont!$Q301)</f>
        <v/>
      </c>
      <c r="K1499" s="104" t="n">
        <f aca="false">IF(A1499="",0,IF(IFERROR(VLOOKUP(A1499,Skills!$A:$M,13,FALSE()),"")="COS",0,IF(OR(I1499="En cours",I1499="À venir",I1499="À planifier"),IF(AND(OR($C$3="Tous",$C$3="",C1499=$C$3),OR($E$3="Tous",$E$3="",I1499=$E$3)),1,0),0)))</f>
        <v>0</v>
      </c>
      <c r="L1499" s="104" t="n">
        <f aca="false">L1498+K1499</f>
        <v>19</v>
      </c>
    </row>
    <row r="1500" customFormat="false" ht="15" hidden="true" customHeight="true" outlineLevel="0" collapsed="false">
      <c r="A1500" s="0" t="str">
        <f aca="false">IF(Evermont!$A302="","",Evermont!$A302)</f>
        <v/>
      </c>
      <c r="B1500" s="0" t="str">
        <f aca="false">IF($A1500="","",Evermont!$B302)</f>
        <v/>
      </c>
      <c r="C1500" s="0" t="str">
        <f aca="false">IF($A1500="","",Evermont!$C302)</f>
        <v/>
      </c>
      <c r="D1500" s="0" t="str">
        <f aca="false">IF($A1500="","","Nouvelle compétence")</f>
        <v/>
      </c>
      <c r="E1500" s="0" t="str">
        <f aca="false">IF($A1500="","",Evermont!$D302)</f>
        <v/>
      </c>
      <c r="F1500" s="116" t="str">
        <f aca="false">IF($A1500="","",Evermont!$F302)</f>
        <v/>
      </c>
      <c r="G1500" s="116" t="str">
        <f aca="false">IF($A1500="","",Evermont!$G302)</f>
        <v/>
      </c>
      <c r="H1500" s="0" t="str">
        <f aca="false">IF($A1500="","",Evermont!$K302)</f>
        <v/>
      </c>
      <c r="I1500" s="0" t="str">
        <f aca="false">IF($A1500="","",Evermont!$Q302)</f>
        <v/>
      </c>
      <c r="K1500" s="104" t="n">
        <f aca="false">IF(A1500="",0,IF(IFERROR(VLOOKUP(A1500,Skills!$A:$M,13,FALSE()),"")="COS",0,IF(OR(I1500="En cours",I1500="À venir",I1500="À planifier"),IF(AND(OR($C$3="Tous",$C$3="",C1500=$C$3),OR($E$3="Tous",$E$3="",I1500=$E$3)),1,0),0)))</f>
        <v>0</v>
      </c>
      <c r="L1500" s="104" t="n">
        <f aca="false">L1499+K1500</f>
        <v>19</v>
      </c>
    </row>
    <row r="1501" customFormat="false" ht="15" hidden="true" customHeight="true" outlineLevel="0" collapsed="false">
      <c r="A1501" s="0" t="str">
        <f aca="false">IF(Evermont!$A303="","",Evermont!$A303)</f>
        <v/>
      </c>
      <c r="B1501" s="0" t="str">
        <f aca="false">IF($A1501="","",Evermont!$B303)</f>
        <v/>
      </c>
      <c r="C1501" s="0" t="str">
        <f aca="false">IF($A1501="","",Evermont!$C303)</f>
        <v/>
      </c>
      <c r="D1501" s="0" t="str">
        <f aca="false">IF($A1501="","","Nouvelle compétence")</f>
        <v/>
      </c>
      <c r="E1501" s="0" t="str">
        <f aca="false">IF($A1501="","",Evermont!$D303)</f>
        <v/>
      </c>
      <c r="F1501" s="116" t="str">
        <f aca="false">IF($A1501="","",Evermont!$F303)</f>
        <v/>
      </c>
      <c r="G1501" s="116" t="str">
        <f aca="false">IF($A1501="","",Evermont!$G303)</f>
        <v/>
      </c>
      <c r="H1501" s="0" t="str">
        <f aca="false">IF($A1501="","",Evermont!$K303)</f>
        <v/>
      </c>
      <c r="I1501" s="0" t="str">
        <f aca="false">IF($A1501="","",Evermont!$Q303)</f>
        <v/>
      </c>
      <c r="K1501" s="104" t="n">
        <f aca="false">IF(A1501="",0,IF(IFERROR(VLOOKUP(A1501,Skills!$A:$M,13,FALSE()),"")="COS",0,IF(OR(I1501="En cours",I1501="À venir",I1501="À planifier"),IF(AND(OR($C$3="Tous",$C$3="",C1501=$C$3),OR($E$3="Tous",$E$3="",I1501=$E$3)),1,0),0)))</f>
        <v>0</v>
      </c>
      <c r="L1501" s="104" t="n">
        <f aca="false">L1500+K1501</f>
        <v>19</v>
      </c>
    </row>
    <row r="1502" customFormat="false" ht="15" hidden="true" customHeight="true" outlineLevel="0" collapsed="false">
      <c r="A1502" s="0" t="str">
        <f aca="false">IF(Evermont!$A304="","",Evermont!$A304)</f>
        <v/>
      </c>
      <c r="B1502" s="0" t="str">
        <f aca="false">IF($A1502="","",Evermont!$B304)</f>
        <v/>
      </c>
      <c r="C1502" s="0" t="str">
        <f aca="false">IF($A1502="","",Evermont!$C304)</f>
        <v/>
      </c>
      <c r="D1502" s="0" t="str">
        <f aca="false">IF($A1502="","","Nouvelle compétence")</f>
        <v/>
      </c>
      <c r="E1502" s="0" t="str">
        <f aca="false">IF($A1502="","",Evermont!$D304)</f>
        <v/>
      </c>
      <c r="F1502" s="116" t="str">
        <f aca="false">IF($A1502="","",Evermont!$F304)</f>
        <v/>
      </c>
      <c r="G1502" s="116" t="str">
        <f aca="false">IF($A1502="","",Evermont!$G304)</f>
        <v/>
      </c>
      <c r="H1502" s="0" t="str">
        <f aca="false">IF($A1502="","",Evermont!$K304)</f>
        <v/>
      </c>
      <c r="I1502" s="0" t="str">
        <f aca="false">IF($A1502="","",Evermont!$Q304)</f>
        <v/>
      </c>
      <c r="K1502" s="104" t="n">
        <f aca="false">IF(A1502="",0,IF(IFERROR(VLOOKUP(A1502,Skills!$A:$M,13,FALSE()),"")="COS",0,IF(OR(I1502="En cours",I1502="À venir",I1502="À planifier"),IF(AND(OR($C$3="Tous",$C$3="",C1502=$C$3),OR($E$3="Tous",$E$3="",I1502=$E$3)),1,0),0)))</f>
        <v>0</v>
      </c>
      <c r="L1502" s="104" t="n">
        <f aca="false">L1501+K1502</f>
        <v>19</v>
      </c>
    </row>
    <row r="1503" customFormat="false" ht="15" hidden="true" customHeight="true" outlineLevel="0" collapsed="false">
      <c r="A1503" s="0" t="str">
        <f aca="false">IF(Evermont!$A305="","",Evermont!$A305)</f>
        <v/>
      </c>
      <c r="B1503" s="0" t="str">
        <f aca="false">IF($A1503="","",Evermont!$B305)</f>
        <v/>
      </c>
      <c r="C1503" s="0" t="str">
        <f aca="false">IF($A1503="","",Evermont!$C305)</f>
        <v/>
      </c>
      <c r="D1503" s="0" t="str">
        <f aca="false">IF($A1503="","","Nouvelle compétence")</f>
        <v/>
      </c>
      <c r="E1503" s="0" t="str">
        <f aca="false">IF($A1503="","",Evermont!$D305)</f>
        <v/>
      </c>
      <c r="F1503" s="116" t="str">
        <f aca="false">IF($A1503="","",Evermont!$F305)</f>
        <v/>
      </c>
      <c r="G1503" s="116" t="str">
        <f aca="false">IF($A1503="","",Evermont!$G305)</f>
        <v/>
      </c>
      <c r="H1503" s="0" t="str">
        <f aca="false">IF($A1503="","",Evermont!$K305)</f>
        <v/>
      </c>
      <c r="I1503" s="0" t="str">
        <f aca="false">IF($A1503="","",Evermont!$Q305)</f>
        <v/>
      </c>
      <c r="K1503" s="104" t="n">
        <f aca="false">IF(A1503="",0,IF(IFERROR(VLOOKUP(A1503,Skills!$A:$M,13,FALSE()),"")="COS",0,IF(OR(I1503="En cours",I1503="À venir",I1503="À planifier"),IF(AND(OR($C$3="Tous",$C$3="",C1503=$C$3),OR($E$3="Tous",$E$3="",I1503=$E$3)),1,0),0)))</f>
        <v>0</v>
      </c>
      <c r="L1503" s="104" t="n">
        <f aca="false">L1502+K1503</f>
        <v>19</v>
      </c>
    </row>
    <row r="1504" customFormat="false" ht="15" hidden="true" customHeight="true" outlineLevel="0" collapsed="false">
      <c r="A1504" s="0" t="str">
        <f aca="false">IF(Evermont!$A306="","",Evermont!$A306)</f>
        <v/>
      </c>
      <c r="B1504" s="0" t="str">
        <f aca="false">IF($A1504="","",Evermont!$B306)</f>
        <v/>
      </c>
      <c r="C1504" s="0" t="str">
        <f aca="false">IF($A1504="","",Evermont!$C306)</f>
        <v/>
      </c>
      <c r="D1504" s="0" t="str">
        <f aca="false">IF($A1504="","","Nouvelle compétence")</f>
        <v/>
      </c>
      <c r="E1504" s="0" t="str">
        <f aca="false">IF($A1504="","",Evermont!$D306)</f>
        <v/>
      </c>
      <c r="F1504" s="116" t="str">
        <f aca="false">IF($A1504="","",Evermont!$F306)</f>
        <v/>
      </c>
      <c r="G1504" s="116" t="str">
        <f aca="false">IF($A1504="","",Evermont!$G306)</f>
        <v/>
      </c>
      <c r="H1504" s="0" t="str">
        <f aca="false">IF($A1504="","",Evermont!$K306)</f>
        <v/>
      </c>
      <c r="I1504" s="0" t="str">
        <f aca="false">IF($A1504="","",Evermont!$Q306)</f>
        <v/>
      </c>
      <c r="K1504" s="104" t="n">
        <f aca="false">IF(A1504="",0,IF(IFERROR(VLOOKUP(A1504,Skills!$A:$M,13,FALSE()),"")="COS",0,IF(OR(I1504="En cours",I1504="À venir",I1504="À planifier"),IF(AND(OR($C$3="Tous",$C$3="",C1504=$C$3),OR($E$3="Tous",$E$3="",I1504=$E$3)),1,0),0)))</f>
        <v>0</v>
      </c>
      <c r="L1504" s="104" t="n">
        <f aca="false">L1503+K1504</f>
        <v>19</v>
      </c>
    </row>
    <row r="1505" customFormat="false" ht="15" hidden="true" customHeight="true" outlineLevel="0" collapsed="false">
      <c r="A1505" s="0" t="str">
        <f aca="false">IF(Evermont!$A307="","",Evermont!$A307)</f>
        <v/>
      </c>
      <c r="B1505" s="0" t="str">
        <f aca="false">IF($A1505="","",Evermont!$B307)</f>
        <v/>
      </c>
      <c r="C1505" s="0" t="str">
        <f aca="false">IF($A1505="","",Evermont!$C307)</f>
        <v/>
      </c>
      <c r="D1505" s="0" t="str">
        <f aca="false">IF($A1505="","","Nouvelle compétence")</f>
        <v/>
      </c>
      <c r="E1505" s="0" t="str">
        <f aca="false">IF($A1505="","",Evermont!$D307)</f>
        <v/>
      </c>
      <c r="F1505" s="116" t="str">
        <f aca="false">IF($A1505="","",Evermont!$F307)</f>
        <v/>
      </c>
      <c r="G1505" s="116" t="str">
        <f aca="false">IF($A1505="","",Evermont!$G307)</f>
        <v/>
      </c>
      <c r="H1505" s="0" t="str">
        <f aca="false">IF($A1505="","",Evermont!$K307)</f>
        <v/>
      </c>
      <c r="I1505" s="0" t="str">
        <f aca="false">IF($A1505="","",Evermont!$Q307)</f>
        <v/>
      </c>
      <c r="K1505" s="104" t="n">
        <f aca="false">IF(A1505="",0,IF(IFERROR(VLOOKUP(A1505,Skills!$A:$M,13,FALSE()),"")="COS",0,IF(OR(I1505="En cours",I1505="À venir",I1505="À planifier"),IF(AND(OR($C$3="Tous",$C$3="",C1505=$C$3),OR($E$3="Tous",$E$3="",I1505=$E$3)),1,0),0)))</f>
        <v>0</v>
      </c>
      <c r="L1505" s="104" t="n">
        <f aca="false">L1504+K1505</f>
        <v>19</v>
      </c>
    </row>
    <row r="1506" customFormat="false" ht="15" hidden="true" customHeight="true" outlineLevel="0" collapsed="false">
      <c r="A1506" s="0" t="str">
        <f aca="false">IF(Evermont!$A308="","",Evermont!$A308)</f>
        <v/>
      </c>
      <c r="B1506" s="0" t="str">
        <f aca="false">IF($A1506="","",Evermont!$B308)</f>
        <v/>
      </c>
      <c r="C1506" s="0" t="str">
        <f aca="false">IF($A1506="","",Evermont!$C308)</f>
        <v/>
      </c>
      <c r="D1506" s="0" t="str">
        <f aca="false">IF($A1506="","","Nouvelle compétence")</f>
        <v/>
      </c>
      <c r="E1506" s="0" t="str">
        <f aca="false">IF($A1506="","",Evermont!$D308)</f>
        <v/>
      </c>
      <c r="F1506" s="116" t="str">
        <f aca="false">IF($A1506="","",Evermont!$F308)</f>
        <v/>
      </c>
      <c r="G1506" s="116" t="str">
        <f aca="false">IF($A1506="","",Evermont!$G308)</f>
        <v/>
      </c>
      <c r="H1506" s="0" t="str">
        <f aca="false">IF($A1506="","",Evermont!$K308)</f>
        <v/>
      </c>
      <c r="I1506" s="0" t="str">
        <f aca="false">IF($A1506="","",Evermont!$Q308)</f>
        <v/>
      </c>
      <c r="K1506" s="104" t="n">
        <f aca="false">IF(A1506="",0,IF(IFERROR(VLOOKUP(A1506,Skills!$A:$M,13,FALSE()),"")="COS",0,IF(OR(I1506="En cours",I1506="À venir",I1506="À planifier"),IF(AND(OR($C$3="Tous",$C$3="",C1506=$C$3),OR($E$3="Tous",$E$3="",I1506=$E$3)),1,0),0)))</f>
        <v>0</v>
      </c>
      <c r="L1506" s="104" t="n">
        <f aca="false">L1505+K1506</f>
        <v>19</v>
      </c>
    </row>
    <row r="1507" customFormat="false" ht="15" hidden="true" customHeight="true" outlineLevel="0" collapsed="false">
      <c r="A1507" s="0" t="str">
        <f aca="false">IF(Evermont!$A309="","",Evermont!$A309)</f>
        <v/>
      </c>
      <c r="B1507" s="0" t="str">
        <f aca="false">IF($A1507="","",Evermont!$B309)</f>
        <v/>
      </c>
      <c r="C1507" s="0" t="str">
        <f aca="false">IF($A1507="","",Evermont!$C309)</f>
        <v/>
      </c>
      <c r="D1507" s="0" t="str">
        <f aca="false">IF($A1507="","","Nouvelle compétence")</f>
        <v/>
      </c>
      <c r="E1507" s="0" t="str">
        <f aca="false">IF($A1507="","",Evermont!$D309)</f>
        <v/>
      </c>
      <c r="F1507" s="116" t="str">
        <f aca="false">IF($A1507="","",Evermont!$F309)</f>
        <v/>
      </c>
      <c r="G1507" s="116" t="str">
        <f aca="false">IF($A1507="","",Evermont!$G309)</f>
        <v/>
      </c>
      <c r="H1507" s="0" t="str">
        <f aca="false">IF($A1507="","",Evermont!$K309)</f>
        <v/>
      </c>
      <c r="I1507" s="0" t="str">
        <f aca="false">IF($A1507="","",Evermont!$Q309)</f>
        <v/>
      </c>
      <c r="K1507" s="104" t="n">
        <f aca="false">IF(A1507="",0,IF(IFERROR(VLOOKUP(A1507,Skills!$A:$M,13,FALSE()),"")="COS",0,IF(OR(I1507="En cours",I1507="À venir",I1507="À planifier"),IF(AND(OR($C$3="Tous",$C$3="",C1507=$C$3),OR($E$3="Tous",$E$3="",I1507=$E$3)),1,0),0)))</f>
        <v>0</v>
      </c>
      <c r="L1507" s="104" t="n">
        <f aca="false">L1506+K1507</f>
        <v>19</v>
      </c>
    </row>
    <row r="1508" customFormat="false" ht="15" hidden="true" customHeight="true" outlineLevel="0" collapsed="false">
      <c r="A1508" s="0" t="str">
        <f aca="false">IF(Evermont!$A310="","",Evermont!$A310)</f>
        <v/>
      </c>
      <c r="B1508" s="0" t="str">
        <f aca="false">IF($A1508="","",Evermont!$B310)</f>
        <v/>
      </c>
      <c r="C1508" s="0" t="str">
        <f aca="false">IF($A1508="","",Evermont!$C310)</f>
        <v/>
      </c>
      <c r="D1508" s="0" t="str">
        <f aca="false">IF($A1508="","","Nouvelle compétence")</f>
        <v/>
      </c>
      <c r="E1508" s="0" t="str">
        <f aca="false">IF($A1508="","",Evermont!$D310)</f>
        <v/>
      </c>
      <c r="F1508" s="116" t="str">
        <f aca="false">IF($A1508="","",Evermont!$F310)</f>
        <v/>
      </c>
      <c r="G1508" s="116" t="str">
        <f aca="false">IF($A1508="","",Evermont!$G310)</f>
        <v/>
      </c>
      <c r="H1508" s="0" t="str">
        <f aca="false">IF($A1508="","",Evermont!$K310)</f>
        <v/>
      </c>
      <c r="I1508" s="0" t="str">
        <f aca="false">IF($A1508="","",Evermont!$Q310)</f>
        <v/>
      </c>
      <c r="K1508" s="104" t="n">
        <f aca="false">IF(A1508="",0,IF(IFERROR(VLOOKUP(A1508,Skills!$A:$M,13,FALSE()),"")="COS",0,IF(OR(I1508="En cours",I1508="À venir",I1508="À planifier"),IF(AND(OR($C$3="Tous",$C$3="",C1508=$C$3),OR($E$3="Tous",$E$3="",I1508=$E$3)),1,0),0)))</f>
        <v>0</v>
      </c>
      <c r="L1508" s="104" t="n">
        <f aca="false">L1507+K1508</f>
        <v>19</v>
      </c>
    </row>
    <row r="1509" customFormat="false" ht="15" hidden="true" customHeight="true" outlineLevel="0" collapsed="false">
      <c r="A1509" s="0" t="str">
        <f aca="false">IF(Evermont!$A311="","",Evermont!$A311)</f>
        <v/>
      </c>
      <c r="B1509" s="0" t="str">
        <f aca="false">IF($A1509="","",Evermont!$B311)</f>
        <v/>
      </c>
      <c r="C1509" s="0" t="str">
        <f aca="false">IF($A1509="","",Evermont!$C311)</f>
        <v/>
      </c>
      <c r="D1509" s="0" t="str">
        <f aca="false">IF($A1509="","","Nouvelle compétence")</f>
        <v/>
      </c>
      <c r="E1509" s="0" t="str">
        <f aca="false">IF($A1509="","",Evermont!$D311)</f>
        <v/>
      </c>
      <c r="F1509" s="116" t="str">
        <f aca="false">IF($A1509="","",Evermont!$F311)</f>
        <v/>
      </c>
      <c r="G1509" s="116" t="str">
        <f aca="false">IF($A1509="","",Evermont!$G311)</f>
        <v/>
      </c>
      <c r="H1509" s="0" t="str">
        <f aca="false">IF($A1509="","",Evermont!$K311)</f>
        <v/>
      </c>
      <c r="I1509" s="0" t="str">
        <f aca="false">IF($A1509="","",Evermont!$Q311)</f>
        <v/>
      </c>
      <c r="K1509" s="104" t="n">
        <f aca="false">IF(A1509="",0,IF(IFERROR(VLOOKUP(A1509,Skills!$A:$M,13,FALSE()),"")="COS",0,IF(OR(I1509="En cours",I1509="À venir",I1509="À planifier"),IF(AND(OR($C$3="Tous",$C$3="",C1509=$C$3),OR($E$3="Tous",$E$3="",I1509=$E$3)),1,0),0)))</f>
        <v>0</v>
      </c>
      <c r="L1509" s="104" t="n">
        <f aca="false">L1508+K1509</f>
        <v>19</v>
      </c>
    </row>
    <row r="1510" customFormat="false" ht="15" hidden="true" customHeight="true" outlineLevel="0" collapsed="false">
      <c r="A1510" s="0" t="str">
        <f aca="false">IF(Evermont!$A312="","",Evermont!$A312)</f>
        <v/>
      </c>
      <c r="B1510" s="0" t="str">
        <f aca="false">IF($A1510="","",Evermont!$B312)</f>
        <v/>
      </c>
      <c r="C1510" s="0" t="str">
        <f aca="false">IF($A1510="","",Evermont!$C312)</f>
        <v/>
      </c>
      <c r="D1510" s="0" t="str">
        <f aca="false">IF($A1510="","","Nouvelle compétence")</f>
        <v/>
      </c>
      <c r="E1510" s="0" t="str">
        <f aca="false">IF($A1510="","",Evermont!$D312)</f>
        <v/>
      </c>
      <c r="F1510" s="116" t="str">
        <f aca="false">IF($A1510="","",Evermont!$F312)</f>
        <v/>
      </c>
      <c r="G1510" s="116" t="str">
        <f aca="false">IF($A1510="","",Evermont!$G312)</f>
        <v/>
      </c>
      <c r="H1510" s="0" t="str">
        <f aca="false">IF($A1510="","",Evermont!$K312)</f>
        <v/>
      </c>
      <c r="I1510" s="0" t="str">
        <f aca="false">IF($A1510="","",Evermont!$Q312)</f>
        <v/>
      </c>
      <c r="K1510" s="104" t="n">
        <f aca="false">IF(A1510="",0,IF(IFERROR(VLOOKUP(A1510,Skills!$A:$M,13,FALSE()),"")="COS",0,IF(OR(I1510="En cours",I1510="À venir",I1510="À planifier"),IF(AND(OR($C$3="Tous",$C$3="",C1510=$C$3),OR($E$3="Tous",$E$3="",I1510=$E$3)),1,0),0)))</f>
        <v>0</v>
      </c>
      <c r="L1510" s="104" t="n">
        <f aca="false">L1509+K1510</f>
        <v>19</v>
      </c>
    </row>
    <row r="1511" customFormat="false" ht="15" hidden="true" customHeight="true" outlineLevel="0" collapsed="false">
      <c r="A1511" s="0" t="str">
        <f aca="false">IF(Evermont!$A313="","",Evermont!$A313)</f>
        <v/>
      </c>
      <c r="B1511" s="0" t="str">
        <f aca="false">IF($A1511="","",Evermont!$B313)</f>
        <v/>
      </c>
      <c r="C1511" s="0" t="str">
        <f aca="false">IF($A1511="","",Evermont!$C313)</f>
        <v/>
      </c>
      <c r="D1511" s="0" t="str">
        <f aca="false">IF($A1511="","","Nouvelle compétence")</f>
        <v/>
      </c>
      <c r="E1511" s="0" t="str">
        <f aca="false">IF($A1511="","",Evermont!$D313)</f>
        <v/>
      </c>
      <c r="F1511" s="116" t="str">
        <f aca="false">IF($A1511="","",Evermont!$F313)</f>
        <v/>
      </c>
      <c r="G1511" s="116" t="str">
        <f aca="false">IF($A1511="","",Evermont!$G313)</f>
        <v/>
      </c>
      <c r="H1511" s="0" t="str">
        <f aca="false">IF($A1511="","",Evermont!$K313)</f>
        <v/>
      </c>
      <c r="I1511" s="0" t="str">
        <f aca="false">IF($A1511="","",Evermont!$Q313)</f>
        <v/>
      </c>
      <c r="K1511" s="104" t="n">
        <f aca="false">IF(A1511="",0,IF(IFERROR(VLOOKUP(A1511,Skills!$A:$M,13,FALSE()),"")="COS",0,IF(OR(I1511="En cours",I1511="À venir",I1511="À planifier"),IF(AND(OR($C$3="Tous",$C$3="",C1511=$C$3),OR($E$3="Tous",$E$3="",I1511=$E$3)),1,0),0)))</f>
        <v>0</v>
      </c>
      <c r="L1511" s="104" t="n">
        <f aca="false">L1510+K1511</f>
        <v>19</v>
      </c>
    </row>
    <row r="1512" customFormat="false" ht="15" hidden="true" customHeight="true" outlineLevel="0" collapsed="false">
      <c r="A1512" s="0" t="str">
        <f aca="false">IF(Evermont!$A314="","",Evermont!$A314)</f>
        <v/>
      </c>
      <c r="B1512" s="0" t="str">
        <f aca="false">IF($A1512="","",Evermont!$B314)</f>
        <v/>
      </c>
      <c r="C1512" s="0" t="str">
        <f aca="false">IF($A1512="","",Evermont!$C314)</f>
        <v/>
      </c>
      <c r="D1512" s="0" t="str">
        <f aca="false">IF($A1512="","","Nouvelle compétence")</f>
        <v/>
      </c>
      <c r="E1512" s="0" t="str">
        <f aca="false">IF($A1512="","",Evermont!$D314)</f>
        <v/>
      </c>
      <c r="F1512" s="116" t="str">
        <f aca="false">IF($A1512="","",Evermont!$F314)</f>
        <v/>
      </c>
      <c r="G1512" s="116" t="str">
        <f aca="false">IF($A1512="","",Evermont!$G314)</f>
        <v/>
      </c>
      <c r="H1512" s="0" t="str">
        <f aca="false">IF($A1512="","",Evermont!$K314)</f>
        <v/>
      </c>
      <c r="I1512" s="0" t="str">
        <f aca="false">IF($A1512="","",Evermont!$Q314)</f>
        <v/>
      </c>
      <c r="K1512" s="104" t="n">
        <f aca="false">IF(A1512="",0,IF(IFERROR(VLOOKUP(A1512,Skills!$A:$M,13,FALSE()),"")="COS",0,IF(OR(I1512="En cours",I1512="À venir",I1512="À planifier"),IF(AND(OR($C$3="Tous",$C$3="",C1512=$C$3),OR($E$3="Tous",$E$3="",I1512=$E$3)),1,0),0)))</f>
        <v>0</v>
      </c>
      <c r="L1512" s="104" t="n">
        <f aca="false">L1511+K1512</f>
        <v>19</v>
      </c>
    </row>
    <row r="1513" customFormat="false" ht="15" hidden="true" customHeight="true" outlineLevel="0" collapsed="false">
      <c r="A1513" s="0" t="str">
        <f aca="false">IF(Evermont!$A315="","",Evermont!$A315)</f>
        <v/>
      </c>
      <c r="B1513" s="0" t="str">
        <f aca="false">IF($A1513="","",Evermont!$B315)</f>
        <v/>
      </c>
      <c r="C1513" s="0" t="str">
        <f aca="false">IF($A1513="","",Evermont!$C315)</f>
        <v/>
      </c>
      <c r="D1513" s="0" t="str">
        <f aca="false">IF($A1513="","","Nouvelle compétence")</f>
        <v/>
      </c>
      <c r="E1513" s="0" t="str">
        <f aca="false">IF($A1513="","",Evermont!$D315)</f>
        <v/>
      </c>
      <c r="F1513" s="116" t="str">
        <f aca="false">IF($A1513="","",Evermont!$F315)</f>
        <v/>
      </c>
      <c r="G1513" s="116" t="str">
        <f aca="false">IF($A1513="","",Evermont!$G315)</f>
        <v/>
      </c>
      <c r="H1513" s="0" t="str">
        <f aca="false">IF($A1513="","",Evermont!$K315)</f>
        <v/>
      </c>
      <c r="I1513" s="0" t="str">
        <f aca="false">IF($A1513="","",Evermont!$Q315)</f>
        <v/>
      </c>
      <c r="K1513" s="104" t="n">
        <f aca="false">IF(A1513="",0,IF(IFERROR(VLOOKUP(A1513,Skills!$A:$M,13,FALSE()),"")="COS",0,IF(OR(I1513="En cours",I1513="À venir",I1513="À planifier"),IF(AND(OR($C$3="Tous",$C$3="",C1513=$C$3),OR($E$3="Tous",$E$3="",I1513=$E$3)),1,0),0)))</f>
        <v>0</v>
      </c>
      <c r="L1513" s="104" t="n">
        <f aca="false">L1512+K1513</f>
        <v>19</v>
      </c>
    </row>
    <row r="1514" customFormat="false" ht="15" hidden="true" customHeight="true" outlineLevel="0" collapsed="false">
      <c r="A1514" s="0" t="str">
        <f aca="false">IF(Evermont!$A316="","",Evermont!$A316)</f>
        <v/>
      </c>
      <c r="B1514" s="0" t="str">
        <f aca="false">IF($A1514="","",Evermont!$B316)</f>
        <v/>
      </c>
      <c r="C1514" s="0" t="str">
        <f aca="false">IF($A1514="","",Evermont!$C316)</f>
        <v/>
      </c>
      <c r="D1514" s="0" t="str">
        <f aca="false">IF($A1514="","","Nouvelle compétence")</f>
        <v/>
      </c>
      <c r="E1514" s="0" t="str">
        <f aca="false">IF($A1514="","",Evermont!$D316)</f>
        <v/>
      </c>
      <c r="F1514" s="116" t="str">
        <f aca="false">IF($A1514="","",Evermont!$F316)</f>
        <v/>
      </c>
      <c r="G1514" s="116" t="str">
        <f aca="false">IF($A1514="","",Evermont!$G316)</f>
        <v/>
      </c>
      <c r="H1514" s="0" t="str">
        <f aca="false">IF($A1514="","",Evermont!$K316)</f>
        <v/>
      </c>
      <c r="I1514" s="0" t="str">
        <f aca="false">IF($A1514="","",Evermont!$Q316)</f>
        <v/>
      </c>
      <c r="K1514" s="104" t="n">
        <f aca="false">IF(A1514="",0,IF(IFERROR(VLOOKUP(A1514,Skills!$A:$M,13,FALSE()),"")="COS",0,IF(OR(I1514="En cours",I1514="À venir",I1514="À planifier"),IF(AND(OR($C$3="Tous",$C$3="",C1514=$C$3),OR($E$3="Tous",$E$3="",I1514=$E$3)),1,0),0)))</f>
        <v>0</v>
      </c>
      <c r="L1514" s="104" t="n">
        <f aca="false">L1513+K1514</f>
        <v>19</v>
      </c>
    </row>
    <row r="1515" customFormat="false" ht="15" hidden="true" customHeight="true" outlineLevel="0" collapsed="false">
      <c r="A1515" s="0" t="str">
        <f aca="false">IF(Evermont!$A317="","",Evermont!$A317)</f>
        <v/>
      </c>
      <c r="B1515" s="0" t="str">
        <f aca="false">IF($A1515="","",Evermont!$B317)</f>
        <v/>
      </c>
      <c r="C1515" s="0" t="str">
        <f aca="false">IF($A1515="","",Evermont!$C317)</f>
        <v/>
      </c>
      <c r="D1515" s="0" t="str">
        <f aca="false">IF($A1515="","","Nouvelle compétence")</f>
        <v/>
      </c>
      <c r="E1515" s="0" t="str">
        <f aca="false">IF($A1515="","",Evermont!$D317)</f>
        <v/>
      </c>
      <c r="F1515" s="116" t="str">
        <f aca="false">IF($A1515="","",Evermont!$F317)</f>
        <v/>
      </c>
      <c r="G1515" s="116" t="str">
        <f aca="false">IF($A1515="","",Evermont!$G317)</f>
        <v/>
      </c>
      <c r="H1515" s="0" t="str">
        <f aca="false">IF($A1515="","",Evermont!$K317)</f>
        <v/>
      </c>
      <c r="I1515" s="0" t="str">
        <f aca="false">IF($A1515="","",Evermont!$Q317)</f>
        <v/>
      </c>
      <c r="K1515" s="104" t="n">
        <f aca="false">IF(A1515="",0,IF(IFERROR(VLOOKUP(A1515,Skills!$A:$M,13,FALSE()),"")="COS",0,IF(OR(I1515="En cours",I1515="À venir",I1515="À planifier"),IF(AND(OR($C$3="Tous",$C$3="",C1515=$C$3),OR($E$3="Tous",$E$3="",I1515=$E$3)),1,0),0)))</f>
        <v>0</v>
      </c>
      <c r="L1515" s="104" t="n">
        <f aca="false">L1514+K1515</f>
        <v>19</v>
      </c>
    </row>
    <row r="1516" customFormat="false" ht="15" hidden="true" customHeight="true" outlineLevel="0" collapsed="false">
      <c r="A1516" s="0" t="str">
        <f aca="false">IF(Evermont!$A318="","",Evermont!$A318)</f>
        <v/>
      </c>
      <c r="B1516" s="0" t="str">
        <f aca="false">IF($A1516="","",Evermont!$B318)</f>
        <v/>
      </c>
      <c r="C1516" s="0" t="str">
        <f aca="false">IF($A1516="","",Evermont!$C318)</f>
        <v/>
      </c>
      <c r="D1516" s="0" t="str">
        <f aca="false">IF($A1516="","","Nouvelle compétence")</f>
        <v/>
      </c>
      <c r="E1516" s="0" t="str">
        <f aca="false">IF($A1516="","",Evermont!$D318)</f>
        <v/>
      </c>
      <c r="F1516" s="116" t="str">
        <f aca="false">IF($A1516="","",Evermont!$F318)</f>
        <v/>
      </c>
      <c r="G1516" s="116" t="str">
        <f aca="false">IF($A1516="","",Evermont!$G318)</f>
        <v/>
      </c>
      <c r="H1516" s="0" t="str">
        <f aca="false">IF($A1516="","",Evermont!$K318)</f>
        <v/>
      </c>
      <c r="I1516" s="0" t="str">
        <f aca="false">IF($A1516="","",Evermont!$Q318)</f>
        <v/>
      </c>
      <c r="K1516" s="104" t="n">
        <f aca="false">IF(A1516="",0,IF(IFERROR(VLOOKUP(A1516,Skills!$A:$M,13,FALSE()),"")="COS",0,IF(OR(I1516="En cours",I1516="À venir",I1516="À planifier"),IF(AND(OR($C$3="Tous",$C$3="",C1516=$C$3),OR($E$3="Tous",$E$3="",I1516=$E$3)),1,0),0)))</f>
        <v>0</v>
      </c>
      <c r="L1516" s="104" t="n">
        <f aca="false">L1515+K1516</f>
        <v>19</v>
      </c>
    </row>
    <row r="1517" customFormat="false" ht="15" hidden="true" customHeight="true" outlineLevel="0" collapsed="false">
      <c r="A1517" s="0" t="str">
        <f aca="false">IF(Evermont!$A319="","",Evermont!$A319)</f>
        <v/>
      </c>
      <c r="B1517" s="0" t="str">
        <f aca="false">IF($A1517="","",Evermont!$B319)</f>
        <v/>
      </c>
      <c r="C1517" s="0" t="str">
        <f aca="false">IF($A1517="","",Evermont!$C319)</f>
        <v/>
      </c>
      <c r="D1517" s="0" t="str">
        <f aca="false">IF($A1517="","","Nouvelle compétence")</f>
        <v/>
      </c>
      <c r="E1517" s="0" t="str">
        <f aca="false">IF($A1517="","",Evermont!$D319)</f>
        <v/>
      </c>
      <c r="F1517" s="116" t="str">
        <f aca="false">IF($A1517="","",Evermont!$F319)</f>
        <v/>
      </c>
      <c r="G1517" s="116" t="str">
        <f aca="false">IF($A1517="","",Evermont!$G319)</f>
        <v/>
      </c>
      <c r="H1517" s="0" t="str">
        <f aca="false">IF($A1517="","",Evermont!$K319)</f>
        <v/>
      </c>
      <c r="I1517" s="0" t="str">
        <f aca="false">IF($A1517="","",Evermont!$Q319)</f>
        <v/>
      </c>
      <c r="K1517" s="104" t="n">
        <f aca="false">IF(A1517="",0,IF(IFERROR(VLOOKUP(A1517,Skills!$A:$M,13,FALSE()),"")="COS",0,IF(OR(I1517="En cours",I1517="À venir",I1517="À planifier"),IF(AND(OR($C$3="Tous",$C$3="",C1517=$C$3),OR($E$3="Tous",$E$3="",I1517=$E$3)),1,0),0)))</f>
        <v>0</v>
      </c>
      <c r="L1517" s="104" t="n">
        <f aca="false">L1516+K1517</f>
        <v>19</v>
      </c>
    </row>
    <row r="1518" customFormat="false" ht="15" hidden="true" customHeight="true" outlineLevel="0" collapsed="false">
      <c r="A1518" s="0" t="str">
        <f aca="false">IF(Evermont!$A320="","",Evermont!$A320)</f>
        <v/>
      </c>
      <c r="B1518" s="0" t="str">
        <f aca="false">IF($A1518="","",Evermont!$B320)</f>
        <v/>
      </c>
      <c r="C1518" s="0" t="str">
        <f aca="false">IF($A1518="","",Evermont!$C320)</f>
        <v/>
      </c>
      <c r="D1518" s="0" t="str">
        <f aca="false">IF($A1518="","","Nouvelle compétence")</f>
        <v/>
      </c>
      <c r="E1518" s="0" t="str">
        <f aca="false">IF($A1518="","",Evermont!$D320)</f>
        <v/>
      </c>
      <c r="F1518" s="116" t="str">
        <f aca="false">IF($A1518="","",Evermont!$F320)</f>
        <v/>
      </c>
      <c r="G1518" s="116" t="str">
        <f aca="false">IF($A1518="","",Evermont!$G320)</f>
        <v/>
      </c>
      <c r="H1518" s="0" t="str">
        <f aca="false">IF($A1518="","",Evermont!$K320)</f>
        <v/>
      </c>
      <c r="I1518" s="0" t="str">
        <f aca="false">IF($A1518="","",Evermont!$Q320)</f>
        <v/>
      </c>
      <c r="K1518" s="104" t="n">
        <f aca="false">IF(A1518="",0,IF(IFERROR(VLOOKUP(A1518,Skills!$A:$M,13,FALSE()),"")="COS",0,IF(OR(I1518="En cours",I1518="À venir",I1518="À planifier"),IF(AND(OR($C$3="Tous",$C$3="",C1518=$C$3),OR($E$3="Tous",$E$3="",I1518=$E$3)),1,0),0)))</f>
        <v>0</v>
      </c>
      <c r="L1518" s="104" t="n">
        <f aca="false">L1517+K1518</f>
        <v>19</v>
      </c>
    </row>
    <row r="1519" customFormat="false" ht="15" hidden="true" customHeight="true" outlineLevel="0" collapsed="false">
      <c r="A1519" s="0" t="str">
        <f aca="false">IF(Evermont!$A321="","",Evermont!$A321)</f>
        <v/>
      </c>
      <c r="B1519" s="0" t="str">
        <f aca="false">IF($A1519="","",Evermont!$B321)</f>
        <v/>
      </c>
      <c r="C1519" s="0" t="str">
        <f aca="false">IF($A1519="","",Evermont!$C321)</f>
        <v/>
      </c>
      <c r="D1519" s="0" t="str">
        <f aca="false">IF($A1519="","","Nouvelle compétence")</f>
        <v/>
      </c>
      <c r="E1519" s="0" t="str">
        <f aca="false">IF($A1519="","",Evermont!$D321)</f>
        <v/>
      </c>
      <c r="F1519" s="116" t="str">
        <f aca="false">IF($A1519="","",Evermont!$F321)</f>
        <v/>
      </c>
      <c r="G1519" s="116" t="str">
        <f aca="false">IF($A1519="","",Evermont!$G321)</f>
        <v/>
      </c>
      <c r="H1519" s="0" t="str">
        <f aca="false">IF($A1519="","",Evermont!$K321)</f>
        <v/>
      </c>
      <c r="I1519" s="0" t="str">
        <f aca="false">IF($A1519="","",Evermont!$Q321)</f>
        <v/>
      </c>
      <c r="K1519" s="104" t="n">
        <f aca="false">IF(A1519="",0,IF(IFERROR(VLOOKUP(A1519,Skills!$A:$M,13,FALSE()),"")="COS",0,IF(OR(I1519="En cours",I1519="À venir",I1519="À planifier"),IF(AND(OR($C$3="Tous",$C$3="",C1519=$C$3),OR($E$3="Tous",$E$3="",I1519=$E$3)),1,0),0)))</f>
        <v>0</v>
      </c>
      <c r="L1519" s="104" t="n">
        <f aca="false">L1518+K1519</f>
        <v>19</v>
      </c>
    </row>
    <row r="1520" customFormat="false" ht="15" hidden="true" customHeight="true" outlineLevel="0" collapsed="false">
      <c r="A1520" s="0" t="str">
        <f aca="false">IF(Evermont!$A322="","",Evermont!$A322)</f>
        <v/>
      </c>
      <c r="B1520" s="0" t="str">
        <f aca="false">IF($A1520="","",Evermont!$B322)</f>
        <v/>
      </c>
      <c r="C1520" s="0" t="str">
        <f aca="false">IF($A1520="","",Evermont!$C322)</f>
        <v/>
      </c>
      <c r="D1520" s="0" t="str">
        <f aca="false">IF($A1520="","","Nouvelle compétence")</f>
        <v/>
      </c>
      <c r="E1520" s="0" t="str">
        <f aca="false">IF($A1520="","",Evermont!$D322)</f>
        <v/>
      </c>
      <c r="F1520" s="116" t="str">
        <f aca="false">IF($A1520="","",Evermont!$F322)</f>
        <v/>
      </c>
      <c r="G1520" s="116" t="str">
        <f aca="false">IF($A1520="","",Evermont!$G322)</f>
        <v/>
      </c>
      <c r="H1520" s="0" t="str">
        <f aca="false">IF($A1520="","",Evermont!$K322)</f>
        <v/>
      </c>
      <c r="I1520" s="0" t="str">
        <f aca="false">IF($A1520="","",Evermont!$Q322)</f>
        <v/>
      </c>
      <c r="K1520" s="104" t="n">
        <f aca="false">IF(A1520="",0,IF(IFERROR(VLOOKUP(A1520,Skills!$A:$M,13,FALSE()),"")="COS",0,IF(OR(I1520="En cours",I1520="À venir",I1520="À planifier"),IF(AND(OR($C$3="Tous",$C$3="",C1520=$C$3),OR($E$3="Tous",$E$3="",I1520=$E$3)),1,0),0)))</f>
        <v>0</v>
      </c>
      <c r="L1520" s="104" t="n">
        <f aca="false">L1519+K1520</f>
        <v>19</v>
      </c>
    </row>
    <row r="1521" customFormat="false" ht="15" hidden="true" customHeight="true" outlineLevel="0" collapsed="false">
      <c r="A1521" s="0" t="str">
        <f aca="false">IF(Evermont!$A323="","",Evermont!$A323)</f>
        <v/>
      </c>
      <c r="B1521" s="0" t="str">
        <f aca="false">IF($A1521="","",Evermont!$B323)</f>
        <v/>
      </c>
      <c r="C1521" s="0" t="str">
        <f aca="false">IF($A1521="","",Evermont!$C323)</f>
        <v/>
      </c>
      <c r="D1521" s="0" t="str">
        <f aca="false">IF($A1521="","","Nouvelle compétence")</f>
        <v/>
      </c>
      <c r="E1521" s="0" t="str">
        <f aca="false">IF($A1521="","",Evermont!$D323)</f>
        <v/>
      </c>
      <c r="F1521" s="116" t="str">
        <f aca="false">IF($A1521="","",Evermont!$F323)</f>
        <v/>
      </c>
      <c r="G1521" s="116" t="str">
        <f aca="false">IF($A1521="","",Evermont!$G323)</f>
        <v/>
      </c>
      <c r="H1521" s="0" t="str">
        <f aca="false">IF($A1521="","",Evermont!$K323)</f>
        <v/>
      </c>
      <c r="I1521" s="0" t="str">
        <f aca="false">IF($A1521="","",Evermont!$Q323)</f>
        <v/>
      </c>
      <c r="K1521" s="104" t="n">
        <f aca="false">IF(A1521="",0,IF(IFERROR(VLOOKUP(A1521,Skills!$A:$M,13,FALSE()),"")="COS",0,IF(OR(I1521="En cours",I1521="À venir",I1521="À planifier"),IF(AND(OR($C$3="Tous",$C$3="",C1521=$C$3),OR($E$3="Tous",$E$3="",I1521=$E$3)),1,0),0)))</f>
        <v>0</v>
      </c>
      <c r="L1521" s="104" t="n">
        <f aca="false">L1520+K1521</f>
        <v>19</v>
      </c>
    </row>
    <row r="1522" customFormat="false" ht="15" hidden="true" customHeight="true" outlineLevel="0" collapsed="false">
      <c r="A1522" s="0" t="str">
        <f aca="false">IF(Evermont!$A324="","",Evermont!$A324)</f>
        <v/>
      </c>
      <c r="B1522" s="0" t="str">
        <f aca="false">IF($A1522="","",Evermont!$B324)</f>
        <v/>
      </c>
      <c r="C1522" s="0" t="str">
        <f aca="false">IF($A1522="","",Evermont!$C324)</f>
        <v/>
      </c>
      <c r="D1522" s="0" t="str">
        <f aca="false">IF($A1522="","","Nouvelle compétence")</f>
        <v/>
      </c>
      <c r="E1522" s="0" t="str">
        <f aca="false">IF($A1522="","",Evermont!$D324)</f>
        <v/>
      </c>
      <c r="F1522" s="116" t="str">
        <f aca="false">IF($A1522="","",Evermont!$F324)</f>
        <v/>
      </c>
      <c r="G1522" s="116" t="str">
        <f aca="false">IF($A1522="","",Evermont!$G324)</f>
        <v/>
      </c>
      <c r="H1522" s="0" t="str">
        <f aca="false">IF($A1522="","",Evermont!$K324)</f>
        <v/>
      </c>
      <c r="I1522" s="0" t="str">
        <f aca="false">IF($A1522="","",Evermont!$Q324)</f>
        <v/>
      </c>
      <c r="K1522" s="104" t="n">
        <f aca="false">IF(A1522="",0,IF(IFERROR(VLOOKUP(A1522,Skills!$A:$M,13,FALSE()),"")="COS",0,IF(OR(I1522="En cours",I1522="À venir",I1522="À planifier"),IF(AND(OR($C$3="Tous",$C$3="",C1522=$C$3),OR($E$3="Tous",$E$3="",I1522=$E$3)),1,0),0)))</f>
        <v>0</v>
      </c>
      <c r="L1522" s="104" t="n">
        <f aca="false">L1521+K1522</f>
        <v>19</v>
      </c>
    </row>
    <row r="1523" customFormat="false" ht="15" hidden="true" customHeight="true" outlineLevel="0" collapsed="false">
      <c r="A1523" s="0" t="str">
        <f aca="false">IF(Evermont!$A325="","",Evermont!$A325)</f>
        <v/>
      </c>
      <c r="B1523" s="0" t="str">
        <f aca="false">IF($A1523="","",Evermont!$B325)</f>
        <v/>
      </c>
      <c r="C1523" s="0" t="str">
        <f aca="false">IF($A1523="","",Evermont!$C325)</f>
        <v/>
      </c>
      <c r="D1523" s="0" t="str">
        <f aca="false">IF($A1523="","","Nouvelle compétence")</f>
        <v/>
      </c>
      <c r="E1523" s="0" t="str">
        <f aca="false">IF($A1523="","",Evermont!$D325)</f>
        <v/>
      </c>
      <c r="F1523" s="116" t="str">
        <f aca="false">IF($A1523="","",Evermont!$F325)</f>
        <v/>
      </c>
      <c r="G1523" s="116" t="str">
        <f aca="false">IF($A1523="","",Evermont!$G325)</f>
        <v/>
      </c>
      <c r="H1523" s="0" t="str">
        <f aca="false">IF($A1523="","",Evermont!$K325)</f>
        <v/>
      </c>
      <c r="I1523" s="0" t="str">
        <f aca="false">IF($A1523="","",Evermont!$Q325)</f>
        <v/>
      </c>
      <c r="K1523" s="104" t="n">
        <f aca="false">IF(A1523="",0,IF(IFERROR(VLOOKUP(A1523,Skills!$A:$M,13,FALSE()),"")="COS",0,IF(OR(I1523="En cours",I1523="À venir",I1523="À planifier"),IF(AND(OR($C$3="Tous",$C$3="",C1523=$C$3),OR($E$3="Tous",$E$3="",I1523=$E$3)),1,0),0)))</f>
        <v>0</v>
      </c>
      <c r="L1523" s="104" t="n">
        <f aca="false">L1522+K1523</f>
        <v>19</v>
      </c>
    </row>
    <row r="1524" customFormat="false" ht="15" hidden="true" customHeight="true" outlineLevel="0" collapsed="false">
      <c r="A1524" s="0" t="str">
        <f aca="false">IF(Evermont!$A326="","",Evermont!$A326)</f>
        <v/>
      </c>
      <c r="B1524" s="0" t="str">
        <f aca="false">IF($A1524="","",Evermont!$B326)</f>
        <v/>
      </c>
      <c r="C1524" s="0" t="str">
        <f aca="false">IF($A1524="","",Evermont!$C326)</f>
        <v/>
      </c>
      <c r="D1524" s="0" t="str">
        <f aca="false">IF($A1524="","","Nouvelle compétence")</f>
        <v/>
      </c>
      <c r="E1524" s="0" t="str">
        <f aca="false">IF($A1524="","",Evermont!$D326)</f>
        <v/>
      </c>
      <c r="F1524" s="116" t="str">
        <f aca="false">IF($A1524="","",Evermont!$F326)</f>
        <v/>
      </c>
      <c r="G1524" s="116" t="str">
        <f aca="false">IF($A1524="","",Evermont!$G326)</f>
        <v/>
      </c>
      <c r="H1524" s="0" t="str">
        <f aca="false">IF($A1524="","",Evermont!$K326)</f>
        <v/>
      </c>
      <c r="I1524" s="0" t="str">
        <f aca="false">IF($A1524="","",Evermont!$Q326)</f>
        <v/>
      </c>
      <c r="K1524" s="104" t="n">
        <f aca="false">IF(A1524="",0,IF(IFERROR(VLOOKUP(A1524,Skills!$A:$M,13,FALSE()),"")="COS",0,IF(OR(I1524="En cours",I1524="À venir",I1524="À planifier"),IF(AND(OR($C$3="Tous",$C$3="",C1524=$C$3),OR($E$3="Tous",$E$3="",I1524=$E$3)),1,0),0)))</f>
        <v>0</v>
      </c>
      <c r="L1524" s="104" t="n">
        <f aca="false">L1523+K1524</f>
        <v>19</v>
      </c>
    </row>
    <row r="1525" customFormat="false" ht="15" hidden="true" customHeight="true" outlineLevel="0" collapsed="false">
      <c r="A1525" s="0" t="str">
        <f aca="false">IF(Evermont!$A327="","",Evermont!$A327)</f>
        <v/>
      </c>
      <c r="B1525" s="0" t="str">
        <f aca="false">IF($A1525="","",Evermont!$B327)</f>
        <v/>
      </c>
      <c r="C1525" s="0" t="str">
        <f aca="false">IF($A1525="","",Evermont!$C327)</f>
        <v/>
      </c>
      <c r="D1525" s="0" t="str">
        <f aca="false">IF($A1525="","","Nouvelle compétence")</f>
        <v/>
      </c>
      <c r="E1525" s="0" t="str">
        <f aca="false">IF($A1525="","",Evermont!$D327)</f>
        <v/>
      </c>
      <c r="F1525" s="116" t="str">
        <f aca="false">IF($A1525="","",Evermont!$F327)</f>
        <v/>
      </c>
      <c r="G1525" s="116" t="str">
        <f aca="false">IF($A1525="","",Evermont!$G327)</f>
        <v/>
      </c>
      <c r="H1525" s="0" t="str">
        <f aca="false">IF($A1525="","",Evermont!$K327)</f>
        <v/>
      </c>
      <c r="I1525" s="0" t="str">
        <f aca="false">IF($A1525="","",Evermont!$Q327)</f>
        <v/>
      </c>
      <c r="K1525" s="104" t="n">
        <f aca="false">IF(A1525="",0,IF(IFERROR(VLOOKUP(A1525,Skills!$A:$M,13,FALSE()),"")="COS",0,IF(OR(I1525="En cours",I1525="À venir",I1525="À planifier"),IF(AND(OR($C$3="Tous",$C$3="",C1525=$C$3),OR($E$3="Tous",$E$3="",I1525=$E$3)),1,0),0)))</f>
        <v>0</v>
      </c>
      <c r="L1525" s="104" t="n">
        <f aca="false">L1524+K1525</f>
        <v>19</v>
      </c>
    </row>
    <row r="1526" customFormat="false" ht="15" hidden="true" customHeight="true" outlineLevel="0" collapsed="false">
      <c r="A1526" s="0" t="str">
        <f aca="false">IF(Evermont!$A328="","",Evermont!$A328)</f>
        <v/>
      </c>
      <c r="B1526" s="0" t="str">
        <f aca="false">IF($A1526="","",Evermont!$B328)</f>
        <v/>
      </c>
      <c r="C1526" s="0" t="str">
        <f aca="false">IF($A1526="","",Evermont!$C328)</f>
        <v/>
      </c>
      <c r="D1526" s="0" t="str">
        <f aca="false">IF($A1526="","","Nouvelle compétence")</f>
        <v/>
      </c>
      <c r="E1526" s="0" t="str">
        <f aca="false">IF($A1526="","",Evermont!$D328)</f>
        <v/>
      </c>
      <c r="F1526" s="116" t="str">
        <f aca="false">IF($A1526="","",Evermont!$F328)</f>
        <v/>
      </c>
      <c r="G1526" s="116" t="str">
        <f aca="false">IF($A1526="","",Evermont!$G328)</f>
        <v/>
      </c>
      <c r="H1526" s="0" t="str">
        <f aca="false">IF($A1526="","",Evermont!$K328)</f>
        <v/>
      </c>
      <c r="I1526" s="0" t="str">
        <f aca="false">IF($A1526="","",Evermont!$Q328)</f>
        <v/>
      </c>
      <c r="K1526" s="104" t="n">
        <f aca="false">IF(A1526="",0,IF(IFERROR(VLOOKUP(A1526,Skills!$A:$M,13,FALSE()),"")="COS",0,IF(OR(I1526="En cours",I1526="À venir",I1526="À planifier"),IF(AND(OR($C$3="Tous",$C$3="",C1526=$C$3),OR($E$3="Tous",$E$3="",I1526=$E$3)),1,0),0)))</f>
        <v>0</v>
      </c>
      <c r="L1526" s="104" t="n">
        <f aca="false">L1525+K1526</f>
        <v>19</v>
      </c>
    </row>
    <row r="1527" customFormat="false" ht="15" hidden="true" customHeight="true" outlineLevel="0" collapsed="false">
      <c r="A1527" s="0" t="str">
        <f aca="false">IF(Evermont!$A329="","",Evermont!$A329)</f>
        <v/>
      </c>
      <c r="B1527" s="0" t="str">
        <f aca="false">IF($A1527="","",Evermont!$B329)</f>
        <v/>
      </c>
      <c r="C1527" s="0" t="str">
        <f aca="false">IF($A1527="","",Evermont!$C329)</f>
        <v/>
      </c>
      <c r="D1527" s="0" t="str">
        <f aca="false">IF($A1527="","","Nouvelle compétence")</f>
        <v/>
      </c>
      <c r="E1527" s="0" t="str">
        <f aca="false">IF($A1527="","",Evermont!$D329)</f>
        <v/>
      </c>
      <c r="F1527" s="116" t="str">
        <f aca="false">IF($A1527="","",Evermont!$F329)</f>
        <v/>
      </c>
      <c r="G1527" s="116" t="str">
        <f aca="false">IF($A1527="","",Evermont!$G329)</f>
        <v/>
      </c>
      <c r="H1527" s="0" t="str">
        <f aca="false">IF($A1527="","",Evermont!$K329)</f>
        <v/>
      </c>
      <c r="I1527" s="0" t="str">
        <f aca="false">IF($A1527="","",Evermont!$Q329)</f>
        <v/>
      </c>
      <c r="K1527" s="104" t="n">
        <f aca="false">IF(A1527="",0,IF(IFERROR(VLOOKUP(A1527,Skills!$A:$M,13,FALSE()),"")="COS",0,IF(OR(I1527="En cours",I1527="À venir",I1527="À planifier"),IF(AND(OR($C$3="Tous",$C$3="",C1527=$C$3),OR($E$3="Tous",$E$3="",I1527=$E$3)),1,0),0)))</f>
        <v>0</v>
      </c>
      <c r="L1527" s="104" t="n">
        <f aca="false">L1526+K1527</f>
        <v>19</v>
      </c>
    </row>
    <row r="1528" customFormat="false" ht="15" hidden="true" customHeight="true" outlineLevel="0" collapsed="false">
      <c r="A1528" s="0" t="str">
        <f aca="false">IF(Evermont!$A330="","",Evermont!$A330)</f>
        <v/>
      </c>
      <c r="B1528" s="0" t="str">
        <f aca="false">IF($A1528="","",Evermont!$B330)</f>
        <v/>
      </c>
      <c r="C1528" s="0" t="str">
        <f aca="false">IF($A1528="","",Evermont!$C330)</f>
        <v/>
      </c>
      <c r="D1528" s="0" t="str">
        <f aca="false">IF($A1528="","","Nouvelle compétence")</f>
        <v/>
      </c>
      <c r="E1528" s="0" t="str">
        <f aca="false">IF($A1528="","",Evermont!$D330)</f>
        <v/>
      </c>
      <c r="F1528" s="116" t="str">
        <f aca="false">IF($A1528="","",Evermont!$F330)</f>
        <v/>
      </c>
      <c r="G1528" s="116" t="str">
        <f aca="false">IF($A1528="","",Evermont!$G330)</f>
        <v/>
      </c>
      <c r="H1528" s="0" t="str">
        <f aca="false">IF($A1528="","",Evermont!$K330)</f>
        <v/>
      </c>
      <c r="I1528" s="0" t="str">
        <f aca="false">IF($A1528="","",Evermont!$Q330)</f>
        <v/>
      </c>
      <c r="K1528" s="104" t="n">
        <f aca="false">IF(A1528="",0,IF(IFERROR(VLOOKUP(A1528,Skills!$A:$M,13,FALSE()),"")="COS",0,IF(OR(I1528="En cours",I1528="À venir",I1528="À planifier"),IF(AND(OR($C$3="Tous",$C$3="",C1528=$C$3),OR($E$3="Tous",$E$3="",I1528=$E$3)),1,0),0)))</f>
        <v>0</v>
      </c>
      <c r="L1528" s="104" t="n">
        <f aca="false">L1527+K1528</f>
        <v>19</v>
      </c>
    </row>
    <row r="1529" customFormat="false" ht="15" hidden="true" customHeight="true" outlineLevel="0" collapsed="false">
      <c r="A1529" s="0" t="str">
        <f aca="false">IF(Evermont!$A331="","",Evermont!$A331)</f>
        <v/>
      </c>
      <c r="B1529" s="0" t="str">
        <f aca="false">IF($A1529="","",Evermont!$B331)</f>
        <v/>
      </c>
      <c r="C1529" s="0" t="str">
        <f aca="false">IF($A1529="","",Evermont!$C331)</f>
        <v/>
      </c>
      <c r="D1529" s="0" t="str">
        <f aca="false">IF($A1529="","","Nouvelle compétence")</f>
        <v/>
      </c>
      <c r="E1529" s="0" t="str">
        <f aca="false">IF($A1529="","",Evermont!$D331)</f>
        <v/>
      </c>
      <c r="F1529" s="116" t="str">
        <f aca="false">IF($A1529="","",Evermont!$F331)</f>
        <v/>
      </c>
      <c r="G1529" s="116" t="str">
        <f aca="false">IF($A1529="","",Evermont!$G331)</f>
        <v/>
      </c>
      <c r="H1529" s="0" t="str">
        <f aca="false">IF($A1529="","",Evermont!$K331)</f>
        <v/>
      </c>
      <c r="I1529" s="0" t="str">
        <f aca="false">IF($A1529="","",Evermont!$Q331)</f>
        <v/>
      </c>
      <c r="K1529" s="104" t="n">
        <f aca="false">IF(A1529="",0,IF(IFERROR(VLOOKUP(A1529,Skills!$A:$M,13,FALSE()),"")="COS",0,IF(OR(I1529="En cours",I1529="À venir",I1529="À planifier"),IF(AND(OR($C$3="Tous",$C$3="",C1529=$C$3),OR($E$3="Tous",$E$3="",I1529=$E$3)),1,0),0)))</f>
        <v>0</v>
      </c>
      <c r="L1529" s="104" t="n">
        <f aca="false">L1528+K1529</f>
        <v>19</v>
      </c>
    </row>
    <row r="1530" customFormat="false" ht="15" hidden="true" customHeight="true" outlineLevel="0" collapsed="false">
      <c r="A1530" s="0" t="str">
        <f aca="false">IF(Evermont!$A332="","",Evermont!$A332)</f>
        <v/>
      </c>
      <c r="B1530" s="0" t="str">
        <f aca="false">IF($A1530="","",Evermont!$B332)</f>
        <v/>
      </c>
      <c r="C1530" s="0" t="str">
        <f aca="false">IF($A1530="","",Evermont!$C332)</f>
        <v/>
      </c>
      <c r="D1530" s="0" t="str">
        <f aca="false">IF($A1530="","","Nouvelle compétence")</f>
        <v/>
      </c>
      <c r="E1530" s="0" t="str">
        <f aca="false">IF($A1530="","",Evermont!$D332)</f>
        <v/>
      </c>
      <c r="F1530" s="116" t="str">
        <f aca="false">IF($A1530="","",Evermont!$F332)</f>
        <v/>
      </c>
      <c r="G1530" s="116" t="str">
        <f aca="false">IF($A1530="","",Evermont!$G332)</f>
        <v/>
      </c>
      <c r="H1530" s="0" t="str">
        <f aca="false">IF($A1530="","",Evermont!$K332)</f>
        <v/>
      </c>
      <c r="I1530" s="0" t="str">
        <f aca="false">IF($A1530="","",Evermont!$Q332)</f>
        <v/>
      </c>
      <c r="K1530" s="104" t="n">
        <f aca="false">IF(A1530="",0,IF(IFERROR(VLOOKUP(A1530,Skills!$A:$M,13,FALSE()),"")="COS",0,IF(OR(I1530="En cours",I1530="À venir",I1530="À planifier"),IF(AND(OR($C$3="Tous",$C$3="",C1530=$C$3),OR($E$3="Tous",$E$3="",I1530=$E$3)),1,0),0)))</f>
        <v>0</v>
      </c>
      <c r="L1530" s="104" t="n">
        <f aca="false">L1529+K1530</f>
        <v>19</v>
      </c>
    </row>
    <row r="1531" customFormat="false" ht="15" hidden="true" customHeight="true" outlineLevel="0" collapsed="false">
      <c r="A1531" s="0" t="str">
        <f aca="false">IF(Evermont!$A333="","",Evermont!$A333)</f>
        <v/>
      </c>
      <c r="B1531" s="0" t="str">
        <f aca="false">IF($A1531="","",Evermont!$B333)</f>
        <v/>
      </c>
      <c r="C1531" s="0" t="str">
        <f aca="false">IF($A1531="","",Evermont!$C333)</f>
        <v/>
      </c>
      <c r="D1531" s="0" t="str">
        <f aca="false">IF($A1531="","","Nouvelle compétence")</f>
        <v/>
      </c>
      <c r="E1531" s="0" t="str">
        <f aca="false">IF($A1531="","",Evermont!$D333)</f>
        <v/>
      </c>
      <c r="F1531" s="116" t="str">
        <f aca="false">IF($A1531="","",Evermont!$F333)</f>
        <v/>
      </c>
      <c r="G1531" s="116" t="str">
        <f aca="false">IF($A1531="","",Evermont!$G333)</f>
        <v/>
      </c>
      <c r="H1531" s="0" t="str">
        <f aca="false">IF($A1531="","",Evermont!$K333)</f>
        <v/>
      </c>
      <c r="I1531" s="0" t="str">
        <f aca="false">IF($A1531="","",Evermont!$Q333)</f>
        <v/>
      </c>
      <c r="K1531" s="104" t="n">
        <f aca="false">IF(A1531="",0,IF(IFERROR(VLOOKUP(A1531,Skills!$A:$M,13,FALSE()),"")="COS",0,IF(OR(I1531="En cours",I1531="À venir",I1531="À planifier"),IF(AND(OR($C$3="Tous",$C$3="",C1531=$C$3),OR($E$3="Tous",$E$3="",I1531=$E$3)),1,0),0)))</f>
        <v>0</v>
      </c>
      <c r="L1531" s="104" t="n">
        <f aca="false">L1530+K1531</f>
        <v>19</v>
      </c>
    </row>
    <row r="1532" customFormat="false" ht="15" hidden="true" customHeight="true" outlineLevel="0" collapsed="false">
      <c r="A1532" s="0" t="str">
        <f aca="false">IF(Evermont!$A334="","",Evermont!$A334)</f>
        <v/>
      </c>
      <c r="B1532" s="0" t="str">
        <f aca="false">IF($A1532="","",Evermont!$B334)</f>
        <v/>
      </c>
      <c r="C1532" s="0" t="str">
        <f aca="false">IF($A1532="","",Evermont!$C334)</f>
        <v/>
      </c>
      <c r="D1532" s="0" t="str">
        <f aca="false">IF($A1532="","","Nouvelle compétence")</f>
        <v/>
      </c>
      <c r="E1532" s="0" t="str">
        <f aca="false">IF($A1532="","",Evermont!$D334)</f>
        <v/>
      </c>
      <c r="F1532" s="116" t="str">
        <f aca="false">IF($A1532="","",Evermont!$F334)</f>
        <v/>
      </c>
      <c r="G1532" s="116" t="str">
        <f aca="false">IF($A1532="","",Evermont!$G334)</f>
        <v/>
      </c>
      <c r="H1532" s="0" t="str">
        <f aca="false">IF($A1532="","",Evermont!$K334)</f>
        <v/>
      </c>
      <c r="I1532" s="0" t="str">
        <f aca="false">IF($A1532="","",Evermont!$Q334)</f>
        <v/>
      </c>
      <c r="K1532" s="104" t="n">
        <f aca="false">IF(A1532="",0,IF(IFERROR(VLOOKUP(A1532,Skills!$A:$M,13,FALSE()),"")="COS",0,IF(OR(I1532="En cours",I1532="À venir",I1532="À planifier"),IF(AND(OR($C$3="Tous",$C$3="",C1532=$C$3),OR($E$3="Tous",$E$3="",I1532=$E$3)),1,0),0)))</f>
        <v>0</v>
      </c>
      <c r="L1532" s="104" t="n">
        <f aca="false">L1531+K1532</f>
        <v>19</v>
      </c>
    </row>
    <row r="1533" customFormat="false" ht="15" hidden="true" customHeight="true" outlineLevel="0" collapsed="false">
      <c r="A1533" s="0" t="str">
        <f aca="false">IF(Evermont!$A335="","",Evermont!$A335)</f>
        <v/>
      </c>
      <c r="B1533" s="0" t="str">
        <f aca="false">IF($A1533="","",Evermont!$B335)</f>
        <v/>
      </c>
      <c r="C1533" s="0" t="str">
        <f aca="false">IF($A1533="","",Evermont!$C335)</f>
        <v/>
      </c>
      <c r="D1533" s="0" t="str">
        <f aca="false">IF($A1533="","","Nouvelle compétence")</f>
        <v/>
      </c>
      <c r="E1533" s="0" t="str">
        <f aca="false">IF($A1533="","",Evermont!$D335)</f>
        <v/>
      </c>
      <c r="F1533" s="116" t="str">
        <f aca="false">IF($A1533="","",Evermont!$F335)</f>
        <v/>
      </c>
      <c r="G1533" s="116" t="str">
        <f aca="false">IF($A1533="","",Evermont!$G335)</f>
        <v/>
      </c>
      <c r="H1533" s="0" t="str">
        <f aca="false">IF($A1533="","",Evermont!$K335)</f>
        <v/>
      </c>
      <c r="I1533" s="0" t="str">
        <f aca="false">IF($A1533="","",Evermont!$Q335)</f>
        <v/>
      </c>
      <c r="K1533" s="104" t="n">
        <f aca="false">IF(A1533="",0,IF(IFERROR(VLOOKUP(A1533,Skills!$A:$M,13,FALSE()),"")="COS",0,IF(OR(I1533="En cours",I1533="À venir",I1533="À planifier"),IF(AND(OR($C$3="Tous",$C$3="",C1533=$C$3),OR($E$3="Tous",$E$3="",I1533=$E$3)),1,0),0)))</f>
        <v>0</v>
      </c>
      <c r="L1533" s="104" t="n">
        <f aca="false">L1532+K1533</f>
        <v>19</v>
      </c>
    </row>
    <row r="1534" customFormat="false" ht="15" hidden="true" customHeight="true" outlineLevel="0" collapsed="false">
      <c r="A1534" s="0" t="str">
        <f aca="false">IF(Evermont!$A336="","",Evermont!$A336)</f>
        <v/>
      </c>
      <c r="B1534" s="0" t="str">
        <f aca="false">IF($A1534="","",Evermont!$B336)</f>
        <v/>
      </c>
      <c r="C1534" s="0" t="str">
        <f aca="false">IF($A1534="","",Evermont!$C336)</f>
        <v/>
      </c>
      <c r="D1534" s="0" t="str">
        <f aca="false">IF($A1534="","","Nouvelle compétence")</f>
        <v/>
      </c>
      <c r="E1534" s="0" t="str">
        <f aca="false">IF($A1534="","",Evermont!$D336)</f>
        <v/>
      </c>
      <c r="F1534" s="116" t="str">
        <f aca="false">IF($A1534="","",Evermont!$F336)</f>
        <v/>
      </c>
      <c r="G1534" s="116" t="str">
        <f aca="false">IF($A1534="","",Evermont!$G336)</f>
        <v/>
      </c>
      <c r="H1534" s="0" t="str">
        <f aca="false">IF($A1534="","",Evermont!$K336)</f>
        <v/>
      </c>
      <c r="I1534" s="0" t="str">
        <f aca="false">IF($A1534="","",Evermont!$Q336)</f>
        <v/>
      </c>
      <c r="K1534" s="104" t="n">
        <f aca="false">IF(A1534="",0,IF(IFERROR(VLOOKUP(A1534,Skills!$A:$M,13,FALSE()),"")="COS",0,IF(OR(I1534="En cours",I1534="À venir",I1534="À planifier"),IF(AND(OR($C$3="Tous",$C$3="",C1534=$C$3),OR($E$3="Tous",$E$3="",I1534=$E$3)),1,0),0)))</f>
        <v>0</v>
      </c>
      <c r="L1534" s="104" t="n">
        <f aca="false">L1533+K1534</f>
        <v>19</v>
      </c>
    </row>
    <row r="1535" customFormat="false" ht="15" hidden="true" customHeight="true" outlineLevel="0" collapsed="false">
      <c r="A1535" s="0" t="str">
        <f aca="false">IF(Evermont!$A337="","",Evermont!$A337)</f>
        <v/>
      </c>
      <c r="B1535" s="0" t="str">
        <f aca="false">IF($A1535="","",Evermont!$B337)</f>
        <v/>
      </c>
      <c r="C1535" s="0" t="str">
        <f aca="false">IF($A1535="","",Evermont!$C337)</f>
        <v/>
      </c>
      <c r="D1535" s="0" t="str">
        <f aca="false">IF($A1535="","","Nouvelle compétence")</f>
        <v/>
      </c>
      <c r="E1535" s="0" t="str">
        <f aca="false">IF($A1535="","",Evermont!$D337)</f>
        <v/>
      </c>
      <c r="F1535" s="116" t="str">
        <f aca="false">IF($A1535="","",Evermont!$F337)</f>
        <v/>
      </c>
      <c r="G1535" s="116" t="str">
        <f aca="false">IF($A1535="","",Evermont!$G337)</f>
        <v/>
      </c>
      <c r="H1535" s="0" t="str">
        <f aca="false">IF($A1535="","",Evermont!$K337)</f>
        <v/>
      </c>
      <c r="I1535" s="0" t="str">
        <f aca="false">IF($A1535="","",Evermont!$Q337)</f>
        <v/>
      </c>
      <c r="K1535" s="104" t="n">
        <f aca="false">IF(A1535="",0,IF(IFERROR(VLOOKUP(A1535,Skills!$A:$M,13,FALSE()),"")="COS",0,IF(OR(I1535="En cours",I1535="À venir",I1535="À planifier"),IF(AND(OR($C$3="Tous",$C$3="",C1535=$C$3),OR($E$3="Tous",$E$3="",I1535=$E$3)),1,0),0)))</f>
        <v>0</v>
      </c>
      <c r="L1535" s="104" t="n">
        <f aca="false">L1534+K1535</f>
        <v>19</v>
      </c>
    </row>
    <row r="1536" customFormat="false" ht="15" hidden="true" customHeight="true" outlineLevel="0" collapsed="false">
      <c r="A1536" s="0" t="str">
        <f aca="false">IF(Evermont!$A338="","",Evermont!$A338)</f>
        <v/>
      </c>
      <c r="B1536" s="0" t="str">
        <f aca="false">IF($A1536="","",Evermont!$B338)</f>
        <v/>
      </c>
      <c r="C1536" s="0" t="str">
        <f aca="false">IF($A1536="","",Evermont!$C338)</f>
        <v/>
      </c>
      <c r="D1536" s="0" t="str">
        <f aca="false">IF($A1536="","","Nouvelle compétence")</f>
        <v/>
      </c>
      <c r="E1536" s="0" t="str">
        <f aca="false">IF($A1536="","",Evermont!$D338)</f>
        <v/>
      </c>
      <c r="F1536" s="116" t="str">
        <f aca="false">IF($A1536="","",Evermont!$F338)</f>
        <v/>
      </c>
      <c r="G1536" s="116" t="str">
        <f aca="false">IF($A1536="","",Evermont!$G338)</f>
        <v/>
      </c>
      <c r="H1536" s="0" t="str">
        <f aca="false">IF($A1536="","",Evermont!$K338)</f>
        <v/>
      </c>
      <c r="I1536" s="0" t="str">
        <f aca="false">IF($A1536="","",Evermont!$Q338)</f>
        <v/>
      </c>
      <c r="K1536" s="104" t="n">
        <f aca="false">IF(A1536="",0,IF(IFERROR(VLOOKUP(A1536,Skills!$A:$M,13,FALSE()),"")="COS",0,IF(OR(I1536="En cours",I1536="À venir",I1536="À planifier"),IF(AND(OR($C$3="Tous",$C$3="",C1536=$C$3),OR($E$3="Tous",$E$3="",I1536=$E$3)),1,0),0)))</f>
        <v>0</v>
      </c>
      <c r="L1536" s="104" t="n">
        <f aca="false">L1535+K1536</f>
        <v>19</v>
      </c>
    </row>
    <row r="1537" customFormat="false" ht="15" hidden="true" customHeight="true" outlineLevel="0" collapsed="false">
      <c r="A1537" s="0" t="str">
        <f aca="false">IF(Evermont!$A339="","",Evermont!$A339)</f>
        <v/>
      </c>
      <c r="B1537" s="0" t="str">
        <f aca="false">IF($A1537="","",Evermont!$B339)</f>
        <v/>
      </c>
      <c r="C1537" s="0" t="str">
        <f aca="false">IF($A1537="","",Evermont!$C339)</f>
        <v/>
      </c>
      <c r="D1537" s="0" t="str">
        <f aca="false">IF($A1537="","","Nouvelle compétence")</f>
        <v/>
      </c>
      <c r="E1537" s="0" t="str">
        <f aca="false">IF($A1537="","",Evermont!$D339)</f>
        <v/>
      </c>
      <c r="F1537" s="116" t="str">
        <f aca="false">IF($A1537="","",Evermont!$F339)</f>
        <v/>
      </c>
      <c r="G1537" s="116" t="str">
        <f aca="false">IF($A1537="","",Evermont!$G339)</f>
        <v/>
      </c>
      <c r="H1537" s="0" t="str">
        <f aca="false">IF($A1537="","",Evermont!$K339)</f>
        <v/>
      </c>
      <c r="I1537" s="0" t="str">
        <f aca="false">IF($A1537="","",Evermont!$Q339)</f>
        <v/>
      </c>
      <c r="K1537" s="104" t="n">
        <f aca="false">IF(A1537="",0,IF(IFERROR(VLOOKUP(A1537,Skills!$A:$M,13,FALSE()),"")="COS",0,IF(OR(I1537="En cours",I1537="À venir",I1537="À planifier"),IF(AND(OR($C$3="Tous",$C$3="",C1537=$C$3),OR($E$3="Tous",$E$3="",I1537=$E$3)),1,0),0)))</f>
        <v>0</v>
      </c>
      <c r="L1537" s="104" t="n">
        <f aca="false">L1536+K1537</f>
        <v>19</v>
      </c>
    </row>
    <row r="1538" customFormat="false" ht="15" hidden="true" customHeight="true" outlineLevel="0" collapsed="false">
      <c r="A1538" s="0" t="str">
        <f aca="false">IF(Evermont!$A340="","",Evermont!$A340)</f>
        <v/>
      </c>
      <c r="B1538" s="0" t="str">
        <f aca="false">IF($A1538="","",Evermont!$B340)</f>
        <v/>
      </c>
      <c r="C1538" s="0" t="str">
        <f aca="false">IF($A1538="","",Evermont!$C340)</f>
        <v/>
      </c>
      <c r="D1538" s="0" t="str">
        <f aca="false">IF($A1538="","","Nouvelle compétence")</f>
        <v/>
      </c>
      <c r="E1538" s="0" t="str">
        <f aca="false">IF($A1538="","",Evermont!$D340)</f>
        <v/>
      </c>
      <c r="F1538" s="116" t="str">
        <f aca="false">IF($A1538="","",Evermont!$F340)</f>
        <v/>
      </c>
      <c r="G1538" s="116" t="str">
        <f aca="false">IF($A1538="","",Evermont!$G340)</f>
        <v/>
      </c>
      <c r="H1538" s="0" t="str">
        <f aca="false">IF($A1538="","",Evermont!$K340)</f>
        <v/>
      </c>
      <c r="I1538" s="0" t="str">
        <f aca="false">IF($A1538="","",Evermont!$Q340)</f>
        <v/>
      </c>
      <c r="K1538" s="104" t="n">
        <f aca="false">IF(A1538="",0,IF(IFERROR(VLOOKUP(A1538,Skills!$A:$M,13,FALSE()),"")="COS",0,IF(OR(I1538="En cours",I1538="À venir",I1538="À planifier"),IF(AND(OR($C$3="Tous",$C$3="",C1538=$C$3),OR($E$3="Tous",$E$3="",I1538=$E$3)),1,0),0)))</f>
        <v>0</v>
      </c>
      <c r="L1538" s="104" t="n">
        <f aca="false">L1537+K1538</f>
        <v>19</v>
      </c>
    </row>
    <row r="1539" customFormat="false" ht="15" hidden="true" customHeight="true" outlineLevel="0" collapsed="false">
      <c r="A1539" s="0" t="str">
        <f aca="false">IF(Evermont!$A341="","",Evermont!$A341)</f>
        <v/>
      </c>
      <c r="B1539" s="0" t="str">
        <f aca="false">IF($A1539="","",Evermont!$B341)</f>
        <v/>
      </c>
      <c r="C1539" s="0" t="str">
        <f aca="false">IF($A1539="","",Evermont!$C341)</f>
        <v/>
      </c>
      <c r="D1539" s="0" t="str">
        <f aca="false">IF($A1539="","","Nouvelle compétence")</f>
        <v/>
      </c>
      <c r="E1539" s="0" t="str">
        <f aca="false">IF($A1539="","",Evermont!$D341)</f>
        <v/>
      </c>
      <c r="F1539" s="116" t="str">
        <f aca="false">IF($A1539="","",Evermont!$F341)</f>
        <v/>
      </c>
      <c r="G1539" s="116" t="str">
        <f aca="false">IF($A1539="","",Evermont!$G341)</f>
        <v/>
      </c>
      <c r="H1539" s="0" t="str">
        <f aca="false">IF($A1539="","",Evermont!$K341)</f>
        <v/>
      </c>
      <c r="I1539" s="0" t="str">
        <f aca="false">IF($A1539="","",Evermont!$Q341)</f>
        <v/>
      </c>
      <c r="K1539" s="104" t="n">
        <f aca="false">IF(A1539="",0,IF(IFERROR(VLOOKUP(A1539,Skills!$A:$M,13,FALSE()),"")="COS",0,IF(OR(I1539="En cours",I1539="À venir",I1539="À planifier"),IF(AND(OR($C$3="Tous",$C$3="",C1539=$C$3),OR($E$3="Tous",$E$3="",I1539=$E$3)),1,0),0)))</f>
        <v>0</v>
      </c>
      <c r="L1539" s="104" t="n">
        <f aca="false">L1538+K1539</f>
        <v>19</v>
      </c>
    </row>
    <row r="1540" customFormat="false" ht="15" hidden="true" customHeight="true" outlineLevel="0" collapsed="false">
      <c r="A1540" s="0" t="str">
        <f aca="false">IF(Evermont!$A342="","",Evermont!$A342)</f>
        <v/>
      </c>
      <c r="B1540" s="0" t="str">
        <f aca="false">IF($A1540="","",Evermont!$B342)</f>
        <v/>
      </c>
      <c r="C1540" s="0" t="str">
        <f aca="false">IF($A1540="","",Evermont!$C342)</f>
        <v/>
      </c>
      <c r="D1540" s="0" t="str">
        <f aca="false">IF($A1540="","","Nouvelle compétence")</f>
        <v/>
      </c>
      <c r="E1540" s="0" t="str">
        <f aca="false">IF($A1540="","",Evermont!$D342)</f>
        <v/>
      </c>
      <c r="F1540" s="116" t="str">
        <f aca="false">IF($A1540="","",Evermont!$F342)</f>
        <v/>
      </c>
      <c r="G1540" s="116" t="str">
        <f aca="false">IF($A1540="","",Evermont!$G342)</f>
        <v/>
      </c>
      <c r="H1540" s="0" t="str">
        <f aca="false">IF($A1540="","",Evermont!$K342)</f>
        <v/>
      </c>
      <c r="I1540" s="0" t="str">
        <f aca="false">IF($A1540="","",Evermont!$Q342)</f>
        <v/>
      </c>
      <c r="K1540" s="104" t="n">
        <f aca="false">IF(A1540="",0,IF(IFERROR(VLOOKUP(A1540,Skills!$A:$M,13,FALSE()),"")="COS",0,IF(OR(I1540="En cours",I1540="À venir",I1540="À planifier"),IF(AND(OR($C$3="Tous",$C$3="",C1540=$C$3),OR($E$3="Tous",$E$3="",I1540=$E$3)),1,0),0)))</f>
        <v>0</v>
      </c>
      <c r="L1540" s="104" t="n">
        <f aca="false">L1539+K1540</f>
        <v>19</v>
      </c>
    </row>
    <row r="1541" customFormat="false" ht="15" hidden="true" customHeight="true" outlineLevel="0" collapsed="false">
      <c r="A1541" s="0" t="str">
        <f aca="false">IF(Evermont!$A343="","",Evermont!$A343)</f>
        <v/>
      </c>
      <c r="B1541" s="0" t="str">
        <f aca="false">IF($A1541="","",Evermont!$B343)</f>
        <v/>
      </c>
      <c r="C1541" s="0" t="str">
        <f aca="false">IF($A1541="","",Evermont!$C343)</f>
        <v/>
      </c>
      <c r="D1541" s="0" t="str">
        <f aca="false">IF($A1541="","","Nouvelle compétence")</f>
        <v/>
      </c>
      <c r="E1541" s="0" t="str">
        <f aca="false">IF($A1541="","",Evermont!$D343)</f>
        <v/>
      </c>
      <c r="F1541" s="116" t="str">
        <f aca="false">IF($A1541="","",Evermont!$F343)</f>
        <v/>
      </c>
      <c r="G1541" s="116" t="str">
        <f aca="false">IF($A1541="","",Evermont!$G343)</f>
        <v/>
      </c>
      <c r="H1541" s="0" t="str">
        <f aca="false">IF($A1541="","",Evermont!$K343)</f>
        <v/>
      </c>
      <c r="I1541" s="0" t="str">
        <f aca="false">IF($A1541="","",Evermont!$Q343)</f>
        <v/>
      </c>
      <c r="K1541" s="104" t="n">
        <f aca="false">IF(A1541="",0,IF(IFERROR(VLOOKUP(A1541,Skills!$A:$M,13,FALSE()),"")="COS",0,IF(OR(I1541="En cours",I1541="À venir",I1541="À planifier"),IF(AND(OR($C$3="Tous",$C$3="",C1541=$C$3),OR($E$3="Tous",$E$3="",I1541=$E$3)),1,0),0)))</f>
        <v>0</v>
      </c>
      <c r="L1541" s="104" t="n">
        <f aca="false">L1540+K1541</f>
        <v>19</v>
      </c>
    </row>
    <row r="1542" customFormat="false" ht="15" hidden="true" customHeight="true" outlineLevel="0" collapsed="false">
      <c r="A1542" s="0" t="str">
        <f aca="false">IF(Evermont!$A344="","",Evermont!$A344)</f>
        <v/>
      </c>
      <c r="B1542" s="0" t="str">
        <f aca="false">IF($A1542="","",Evermont!$B344)</f>
        <v/>
      </c>
      <c r="C1542" s="0" t="str">
        <f aca="false">IF($A1542="","",Evermont!$C344)</f>
        <v/>
      </c>
      <c r="D1542" s="0" t="str">
        <f aca="false">IF($A1542="","","Nouvelle compétence")</f>
        <v/>
      </c>
      <c r="E1542" s="0" t="str">
        <f aca="false">IF($A1542="","",Evermont!$D344)</f>
        <v/>
      </c>
      <c r="F1542" s="116" t="str">
        <f aca="false">IF($A1542="","",Evermont!$F344)</f>
        <v/>
      </c>
      <c r="G1542" s="116" t="str">
        <f aca="false">IF($A1542="","",Evermont!$G344)</f>
        <v/>
      </c>
      <c r="H1542" s="0" t="str">
        <f aca="false">IF($A1542="","",Evermont!$K344)</f>
        <v/>
      </c>
      <c r="I1542" s="0" t="str">
        <f aca="false">IF($A1542="","",Evermont!$Q344)</f>
        <v/>
      </c>
      <c r="K1542" s="104" t="n">
        <f aca="false">IF(A1542="",0,IF(IFERROR(VLOOKUP(A1542,Skills!$A:$M,13,FALSE()),"")="COS",0,IF(OR(I1542="En cours",I1542="À venir",I1542="À planifier"),IF(AND(OR($C$3="Tous",$C$3="",C1542=$C$3),OR($E$3="Tous",$E$3="",I1542=$E$3)),1,0),0)))</f>
        <v>0</v>
      </c>
      <c r="L1542" s="104" t="n">
        <f aca="false">L1541+K1542</f>
        <v>19</v>
      </c>
    </row>
    <row r="1543" customFormat="false" ht="15" hidden="true" customHeight="true" outlineLevel="0" collapsed="false">
      <c r="A1543" s="0" t="str">
        <f aca="false">IF(Evermont!$A345="","",Evermont!$A345)</f>
        <v/>
      </c>
      <c r="B1543" s="0" t="str">
        <f aca="false">IF($A1543="","",Evermont!$B345)</f>
        <v/>
      </c>
      <c r="C1543" s="0" t="str">
        <f aca="false">IF($A1543="","",Evermont!$C345)</f>
        <v/>
      </c>
      <c r="D1543" s="0" t="str">
        <f aca="false">IF($A1543="","","Nouvelle compétence")</f>
        <v/>
      </c>
      <c r="E1543" s="0" t="str">
        <f aca="false">IF($A1543="","",Evermont!$D345)</f>
        <v/>
      </c>
      <c r="F1543" s="116" t="str">
        <f aca="false">IF($A1543="","",Evermont!$F345)</f>
        <v/>
      </c>
      <c r="G1543" s="116" t="str">
        <f aca="false">IF($A1543="","",Evermont!$G345)</f>
        <v/>
      </c>
      <c r="H1543" s="0" t="str">
        <f aca="false">IF($A1543="","",Evermont!$K345)</f>
        <v/>
      </c>
      <c r="I1543" s="0" t="str">
        <f aca="false">IF($A1543="","",Evermont!$Q345)</f>
        <v/>
      </c>
      <c r="K1543" s="104" t="n">
        <f aca="false">IF(A1543="",0,IF(IFERROR(VLOOKUP(A1543,Skills!$A:$M,13,FALSE()),"")="COS",0,IF(OR(I1543="En cours",I1543="À venir",I1543="À planifier"),IF(AND(OR($C$3="Tous",$C$3="",C1543=$C$3),OR($E$3="Tous",$E$3="",I1543=$E$3)),1,0),0)))</f>
        <v>0</v>
      </c>
      <c r="L1543" s="104" t="n">
        <f aca="false">L1542+K1543</f>
        <v>19</v>
      </c>
    </row>
    <row r="1544" customFormat="false" ht="15" hidden="true" customHeight="true" outlineLevel="0" collapsed="false">
      <c r="A1544" s="0" t="str">
        <f aca="false">IF(Evermont!$A346="","",Evermont!$A346)</f>
        <v/>
      </c>
      <c r="B1544" s="0" t="str">
        <f aca="false">IF($A1544="","",Evermont!$B346)</f>
        <v/>
      </c>
      <c r="C1544" s="0" t="str">
        <f aca="false">IF($A1544="","",Evermont!$C346)</f>
        <v/>
      </c>
      <c r="D1544" s="0" t="str">
        <f aca="false">IF($A1544="","","Nouvelle compétence")</f>
        <v/>
      </c>
      <c r="E1544" s="0" t="str">
        <f aca="false">IF($A1544="","",Evermont!$D346)</f>
        <v/>
      </c>
      <c r="F1544" s="116" t="str">
        <f aca="false">IF($A1544="","",Evermont!$F346)</f>
        <v/>
      </c>
      <c r="G1544" s="116" t="str">
        <f aca="false">IF($A1544="","",Evermont!$G346)</f>
        <v/>
      </c>
      <c r="H1544" s="0" t="str">
        <f aca="false">IF($A1544="","",Evermont!$K346)</f>
        <v/>
      </c>
      <c r="I1544" s="0" t="str">
        <f aca="false">IF($A1544="","",Evermont!$Q346)</f>
        <v/>
      </c>
      <c r="K1544" s="104" t="n">
        <f aca="false">IF(A1544="",0,IF(IFERROR(VLOOKUP(A1544,Skills!$A:$M,13,FALSE()),"")="COS",0,IF(OR(I1544="En cours",I1544="À venir",I1544="À planifier"),IF(AND(OR($C$3="Tous",$C$3="",C1544=$C$3),OR($E$3="Tous",$E$3="",I1544=$E$3)),1,0),0)))</f>
        <v>0</v>
      </c>
      <c r="L1544" s="104" t="n">
        <f aca="false">L1543+K1544</f>
        <v>19</v>
      </c>
    </row>
    <row r="1545" customFormat="false" ht="15" hidden="true" customHeight="true" outlineLevel="0" collapsed="false">
      <c r="A1545" s="0" t="str">
        <f aca="false">IF(Evermont!$A347="","",Evermont!$A347)</f>
        <v/>
      </c>
      <c r="B1545" s="0" t="str">
        <f aca="false">IF($A1545="","",Evermont!$B347)</f>
        <v/>
      </c>
      <c r="C1545" s="0" t="str">
        <f aca="false">IF($A1545="","",Evermont!$C347)</f>
        <v/>
      </c>
      <c r="D1545" s="0" t="str">
        <f aca="false">IF($A1545="","","Nouvelle compétence")</f>
        <v/>
      </c>
      <c r="E1545" s="0" t="str">
        <f aca="false">IF($A1545="","",Evermont!$D347)</f>
        <v/>
      </c>
      <c r="F1545" s="116" t="str">
        <f aca="false">IF($A1545="","",Evermont!$F347)</f>
        <v/>
      </c>
      <c r="G1545" s="116" t="str">
        <f aca="false">IF($A1545="","",Evermont!$G347)</f>
        <v/>
      </c>
      <c r="H1545" s="0" t="str">
        <f aca="false">IF($A1545="","",Evermont!$K347)</f>
        <v/>
      </c>
      <c r="I1545" s="0" t="str">
        <f aca="false">IF($A1545="","",Evermont!$Q347)</f>
        <v/>
      </c>
      <c r="K1545" s="104" t="n">
        <f aca="false">IF(A1545="",0,IF(IFERROR(VLOOKUP(A1545,Skills!$A:$M,13,FALSE()),"")="COS",0,IF(OR(I1545="En cours",I1545="À venir",I1545="À planifier"),IF(AND(OR($C$3="Tous",$C$3="",C1545=$C$3),OR($E$3="Tous",$E$3="",I1545=$E$3)),1,0),0)))</f>
        <v>0</v>
      </c>
      <c r="L1545" s="104" t="n">
        <f aca="false">L1544+K1545</f>
        <v>19</v>
      </c>
    </row>
    <row r="1546" customFormat="false" ht="15" hidden="true" customHeight="true" outlineLevel="0" collapsed="false">
      <c r="A1546" s="0" t="str">
        <f aca="false">IF(Evermont!$A348="","",Evermont!$A348)</f>
        <v/>
      </c>
      <c r="B1546" s="0" t="str">
        <f aca="false">IF($A1546="","",Evermont!$B348)</f>
        <v/>
      </c>
      <c r="C1546" s="0" t="str">
        <f aca="false">IF($A1546="","",Evermont!$C348)</f>
        <v/>
      </c>
      <c r="D1546" s="0" t="str">
        <f aca="false">IF($A1546="","","Nouvelle compétence")</f>
        <v/>
      </c>
      <c r="E1546" s="0" t="str">
        <f aca="false">IF($A1546="","",Evermont!$D348)</f>
        <v/>
      </c>
      <c r="F1546" s="116" t="str">
        <f aca="false">IF($A1546="","",Evermont!$F348)</f>
        <v/>
      </c>
      <c r="G1546" s="116" t="str">
        <f aca="false">IF($A1546="","",Evermont!$G348)</f>
        <v/>
      </c>
      <c r="H1546" s="0" t="str">
        <f aca="false">IF($A1546="","",Evermont!$K348)</f>
        <v/>
      </c>
      <c r="I1546" s="0" t="str">
        <f aca="false">IF($A1546="","",Evermont!$Q348)</f>
        <v/>
      </c>
      <c r="K1546" s="104" t="n">
        <f aca="false">IF(A1546="",0,IF(IFERROR(VLOOKUP(A1546,Skills!$A:$M,13,FALSE()),"")="COS",0,IF(OR(I1546="En cours",I1546="À venir",I1546="À planifier"),IF(AND(OR($C$3="Tous",$C$3="",C1546=$C$3),OR($E$3="Tous",$E$3="",I1546=$E$3)),1,0),0)))</f>
        <v>0</v>
      </c>
      <c r="L1546" s="104" t="n">
        <f aca="false">L1545+K1546</f>
        <v>19</v>
      </c>
    </row>
    <row r="1547" customFormat="false" ht="15" hidden="true" customHeight="true" outlineLevel="0" collapsed="false">
      <c r="A1547" s="0" t="str">
        <f aca="false">IF(Evermont!$A349="","",Evermont!$A349)</f>
        <v/>
      </c>
      <c r="B1547" s="0" t="str">
        <f aca="false">IF($A1547="","",Evermont!$B349)</f>
        <v/>
      </c>
      <c r="C1547" s="0" t="str">
        <f aca="false">IF($A1547="","",Evermont!$C349)</f>
        <v/>
      </c>
      <c r="D1547" s="0" t="str">
        <f aca="false">IF($A1547="","","Nouvelle compétence")</f>
        <v/>
      </c>
      <c r="E1547" s="0" t="str">
        <f aca="false">IF($A1547="","",Evermont!$D349)</f>
        <v/>
      </c>
      <c r="F1547" s="116" t="str">
        <f aca="false">IF($A1547="","",Evermont!$F349)</f>
        <v/>
      </c>
      <c r="G1547" s="116" t="str">
        <f aca="false">IF($A1547="","",Evermont!$G349)</f>
        <v/>
      </c>
      <c r="H1547" s="0" t="str">
        <f aca="false">IF($A1547="","",Evermont!$K349)</f>
        <v/>
      </c>
      <c r="I1547" s="0" t="str">
        <f aca="false">IF($A1547="","",Evermont!$Q349)</f>
        <v/>
      </c>
      <c r="K1547" s="104" t="n">
        <f aca="false">IF(A1547="",0,IF(IFERROR(VLOOKUP(A1547,Skills!$A:$M,13,FALSE()),"")="COS",0,IF(OR(I1547="En cours",I1547="À venir",I1547="À planifier"),IF(AND(OR($C$3="Tous",$C$3="",C1547=$C$3),OR($E$3="Tous",$E$3="",I1547=$E$3)),1,0),0)))</f>
        <v>0</v>
      </c>
      <c r="L1547" s="104" t="n">
        <f aca="false">L1546+K1547</f>
        <v>19</v>
      </c>
    </row>
    <row r="1548" customFormat="false" ht="15" hidden="true" customHeight="true" outlineLevel="0" collapsed="false">
      <c r="A1548" s="0" t="str">
        <f aca="false">IF(Evermont!$A350="","",Evermont!$A350)</f>
        <v/>
      </c>
      <c r="B1548" s="0" t="str">
        <f aca="false">IF($A1548="","",Evermont!$B350)</f>
        <v/>
      </c>
      <c r="C1548" s="0" t="str">
        <f aca="false">IF($A1548="","",Evermont!$C350)</f>
        <v/>
      </c>
      <c r="D1548" s="0" t="str">
        <f aca="false">IF($A1548="","","Nouvelle compétence")</f>
        <v/>
      </c>
      <c r="E1548" s="0" t="str">
        <f aca="false">IF($A1548="","",Evermont!$D350)</f>
        <v/>
      </c>
      <c r="F1548" s="116" t="str">
        <f aca="false">IF($A1548="","",Evermont!$F350)</f>
        <v/>
      </c>
      <c r="G1548" s="116" t="str">
        <f aca="false">IF($A1548="","",Evermont!$G350)</f>
        <v/>
      </c>
      <c r="H1548" s="0" t="str">
        <f aca="false">IF($A1548="","",Evermont!$K350)</f>
        <v/>
      </c>
      <c r="I1548" s="0" t="str">
        <f aca="false">IF($A1548="","",Evermont!$Q350)</f>
        <v/>
      </c>
      <c r="K1548" s="104" t="n">
        <f aca="false">IF(A1548="",0,IF(IFERROR(VLOOKUP(A1548,Skills!$A:$M,13,FALSE()),"")="COS",0,IF(OR(I1548="En cours",I1548="À venir",I1548="À planifier"),IF(AND(OR($C$3="Tous",$C$3="",C1548=$C$3),OR($E$3="Tous",$E$3="",I1548=$E$3)),1,0),0)))</f>
        <v>0</v>
      </c>
      <c r="L1548" s="104" t="n">
        <f aca="false">L1547+K1548</f>
        <v>19</v>
      </c>
    </row>
    <row r="1549" customFormat="false" ht="15" hidden="true" customHeight="true" outlineLevel="0" collapsed="false">
      <c r="A1549" s="0" t="str">
        <f aca="false">IF(Evermont!$A351="","",Evermont!$A351)</f>
        <v/>
      </c>
      <c r="B1549" s="0" t="str">
        <f aca="false">IF($A1549="","",Evermont!$B351)</f>
        <v/>
      </c>
      <c r="C1549" s="0" t="str">
        <f aca="false">IF($A1549="","",Evermont!$C351)</f>
        <v/>
      </c>
      <c r="D1549" s="0" t="str">
        <f aca="false">IF($A1549="","","Nouvelle compétence")</f>
        <v/>
      </c>
      <c r="E1549" s="0" t="str">
        <f aca="false">IF($A1549="","",Evermont!$D351)</f>
        <v/>
      </c>
      <c r="F1549" s="116" t="str">
        <f aca="false">IF($A1549="","",Evermont!$F351)</f>
        <v/>
      </c>
      <c r="G1549" s="116" t="str">
        <f aca="false">IF($A1549="","",Evermont!$G351)</f>
        <v/>
      </c>
      <c r="H1549" s="0" t="str">
        <f aca="false">IF($A1549="","",Evermont!$K351)</f>
        <v/>
      </c>
      <c r="I1549" s="0" t="str">
        <f aca="false">IF($A1549="","",Evermont!$Q351)</f>
        <v/>
      </c>
      <c r="K1549" s="104" t="n">
        <f aca="false">IF(A1549="",0,IF(IFERROR(VLOOKUP(A1549,Skills!$A:$M,13,FALSE()),"")="COS",0,IF(OR(I1549="En cours",I1549="À venir",I1549="À planifier"),IF(AND(OR($C$3="Tous",$C$3="",C1549=$C$3),OR($E$3="Tous",$E$3="",I1549=$E$3)),1,0),0)))</f>
        <v>0</v>
      </c>
      <c r="L1549" s="104" t="n">
        <f aca="false">L1548+K1549</f>
        <v>19</v>
      </c>
    </row>
    <row r="1550" customFormat="false" ht="15" hidden="true" customHeight="true" outlineLevel="0" collapsed="false">
      <c r="A1550" s="0" t="str">
        <f aca="false">IF(Evermont!$A352="","",Evermont!$A352)</f>
        <v/>
      </c>
      <c r="B1550" s="0" t="str">
        <f aca="false">IF($A1550="","",Evermont!$B352)</f>
        <v/>
      </c>
      <c r="C1550" s="0" t="str">
        <f aca="false">IF($A1550="","",Evermont!$C352)</f>
        <v/>
      </c>
      <c r="D1550" s="0" t="str">
        <f aca="false">IF($A1550="","","Nouvelle compétence")</f>
        <v/>
      </c>
      <c r="E1550" s="0" t="str">
        <f aca="false">IF($A1550="","",Evermont!$D352)</f>
        <v/>
      </c>
      <c r="F1550" s="116" t="str">
        <f aca="false">IF($A1550="","",Evermont!$F352)</f>
        <v/>
      </c>
      <c r="G1550" s="116" t="str">
        <f aca="false">IF($A1550="","",Evermont!$G352)</f>
        <v/>
      </c>
      <c r="H1550" s="0" t="str">
        <f aca="false">IF($A1550="","",Evermont!$K352)</f>
        <v/>
      </c>
      <c r="I1550" s="0" t="str">
        <f aca="false">IF($A1550="","",Evermont!$Q352)</f>
        <v/>
      </c>
      <c r="K1550" s="104" t="n">
        <f aca="false">IF(A1550="",0,IF(IFERROR(VLOOKUP(A1550,Skills!$A:$M,13,FALSE()),"")="COS",0,IF(OR(I1550="En cours",I1550="À venir",I1550="À planifier"),IF(AND(OR($C$3="Tous",$C$3="",C1550=$C$3),OR($E$3="Tous",$E$3="",I1550=$E$3)),1,0),0)))</f>
        <v>0</v>
      </c>
      <c r="L1550" s="104" t="n">
        <f aca="false">L1549+K1550</f>
        <v>19</v>
      </c>
    </row>
    <row r="1551" customFormat="false" ht="15" hidden="true" customHeight="true" outlineLevel="0" collapsed="false">
      <c r="A1551" s="0" t="str">
        <f aca="false">IF(Evermont!$A353="","",Evermont!$A353)</f>
        <v/>
      </c>
      <c r="B1551" s="0" t="str">
        <f aca="false">IF($A1551="","",Evermont!$B353)</f>
        <v/>
      </c>
      <c r="C1551" s="0" t="str">
        <f aca="false">IF($A1551="","",Evermont!$C353)</f>
        <v/>
      </c>
      <c r="D1551" s="0" t="str">
        <f aca="false">IF($A1551="","","Nouvelle compétence")</f>
        <v/>
      </c>
      <c r="E1551" s="0" t="str">
        <f aca="false">IF($A1551="","",Evermont!$D353)</f>
        <v/>
      </c>
      <c r="F1551" s="116" t="str">
        <f aca="false">IF($A1551="","",Evermont!$F353)</f>
        <v/>
      </c>
      <c r="G1551" s="116" t="str">
        <f aca="false">IF($A1551="","",Evermont!$G353)</f>
        <v/>
      </c>
      <c r="H1551" s="0" t="str">
        <f aca="false">IF($A1551="","",Evermont!$K353)</f>
        <v/>
      </c>
      <c r="I1551" s="0" t="str">
        <f aca="false">IF($A1551="","",Evermont!$Q353)</f>
        <v/>
      </c>
      <c r="K1551" s="104" t="n">
        <f aca="false">IF(A1551="",0,IF(IFERROR(VLOOKUP(A1551,Skills!$A:$M,13,FALSE()),"")="COS",0,IF(OR(I1551="En cours",I1551="À venir",I1551="À planifier"),IF(AND(OR($C$3="Tous",$C$3="",C1551=$C$3),OR($E$3="Tous",$E$3="",I1551=$E$3)),1,0),0)))</f>
        <v>0</v>
      </c>
      <c r="L1551" s="104" t="n">
        <f aca="false">L1550+K1551</f>
        <v>19</v>
      </c>
    </row>
    <row r="1552" customFormat="false" ht="15" hidden="true" customHeight="true" outlineLevel="0" collapsed="false">
      <c r="A1552" s="0" t="str">
        <f aca="false">IF(Evermont!$A354="","",Evermont!$A354)</f>
        <v/>
      </c>
      <c r="B1552" s="0" t="str">
        <f aca="false">IF($A1552="","",Evermont!$B354)</f>
        <v/>
      </c>
      <c r="C1552" s="0" t="str">
        <f aca="false">IF($A1552="","",Evermont!$C354)</f>
        <v/>
      </c>
      <c r="D1552" s="0" t="str">
        <f aca="false">IF($A1552="","","Nouvelle compétence")</f>
        <v/>
      </c>
      <c r="E1552" s="0" t="str">
        <f aca="false">IF($A1552="","",Evermont!$D354)</f>
        <v/>
      </c>
      <c r="F1552" s="116" t="str">
        <f aca="false">IF($A1552="","",Evermont!$F354)</f>
        <v/>
      </c>
      <c r="G1552" s="116" t="str">
        <f aca="false">IF($A1552="","",Evermont!$G354)</f>
        <v/>
      </c>
      <c r="H1552" s="0" t="str">
        <f aca="false">IF($A1552="","",Evermont!$K354)</f>
        <v/>
      </c>
      <c r="I1552" s="0" t="str">
        <f aca="false">IF($A1552="","",Evermont!$Q354)</f>
        <v/>
      </c>
      <c r="K1552" s="104" t="n">
        <f aca="false">IF(A1552="",0,IF(IFERROR(VLOOKUP(A1552,Skills!$A:$M,13,FALSE()),"")="COS",0,IF(OR(I1552="En cours",I1552="À venir",I1552="À planifier"),IF(AND(OR($C$3="Tous",$C$3="",C1552=$C$3),OR($E$3="Tous",$E$3="",I1552=$E$3)),1,0),0)))</f>
        <v>0</v>
      </c>
      <c r="L1552" s="104" t="n">
        <f aca="false">L1551+K1552</f>
        <v>19</v>
      </c>
    </row>
    <row r="1553" customFormat="false" ht="15" hidden="true" customHeight="true" outlineLevel="0" collapsed="false">
      <c r="A1553" s="0" t="str">
        <f aca="false">IF(Evermont!$A355="","",Evermont!$A355)</f>
        <v/>
      </c>
      <c r="B1553" s="0" t="str">
        <f aca="false">IF($A1553="","",Evermont!$B355)</f>
        <v/>
      </c>
      <c r="C1553" s="0" t="str">
        <f aca="false">IF($A1553="","",Evermont!$C355)</f>
        <v/>
      </c>
      <c r="D1553" s="0" t="str">
        <f aca="false">IF($A1553="","","Nouvelle compétence")</f>
        <v/>
      </c>
      <c r="E1553" s="0" t="str">
        <f aca="false">IF($A1553="","",Evermont!$D355)</f>
        <v/>
      </c>
      <c r="F1553" s="116" t="str">
        <f aca="false">IF($A1553="","",Evermont!$F355)</f>
        <v/>
      </c>
      <c r="G1553" s="116" t="str">
        <f aca="false">IF($A1553="","",Evermont!$G355)</f>
        <v/>
      </c>
      <c r="H1553" s="0" t="str">
        <f aca="false">IF($A1553="","",Evermont!$K355)</f>
        <v/>
      </c>
      <c r="I1553" s="0" t="str">
        <f aca="false">IF($A1553="","",Evermont!$Q355)</f>
        <v/>
      </c>
      <c r="K1553" s="104" t="n">
        <f aca="false">IF(A1553="",0,IF(IFERROR(VLOOKUP(A1553,Skills!$A:$M,13,FALSE()),"")="COS",0,IF(OR(I1553="En cours",I1553="À venir",I1553="À planifier"),IF(AND(OR($C$3="Tous",$C$3="",C1553=$C$3),OR($E$3="Tous",$E$3="",I1553=$E$3)),1,0),0)))</f>
        <v>0</v>
      </c>
      <c r="L1553" s="104" t="n">
        <f aca="false">L1552+K1553</f>
        <v>19</v>
      </c>
    </row>
    <row r="1554" customFormat="false" ht="15" hidden="true" customHeight="true" outlineLevel="0" collapsed="false">
      <c r="A1554" s="0" t="str">
        <f aca="false">IF(Evermont!$A356="","",Evermont!$A356)</f>
        <v/>
      </c>
      <c r="B1554" s="0" t="str">
        <f aca="false">IF($A1554="","",Evermont!$B356)</f>
        <v/>
      </c>
      <c r="C1554" s="0" t="str">
        <f aca="false">IF($A1554="","",Evermont!$C356)</f>
        <v/>
      </c>
      <c r="D1554" s="0" t="str">
        <f aca="false">IF($A1554="","","Nouvelle compétence")</f>
        <v/>
      </c>
      <c r="E1554" s="0" t="str">
        <f aca="false">IF($A1554="","",Evermont!$D356)</f>
        <v/>
      </c>
      <c r="F1554" s="116" t="str">
        <f aca="false">IF($A1554="","",Evermont!$F356)</f>
        <v/>
      </c>
      <c r="G1554" s="116" t="str">
        <f aca="false">IF($A1554="","",Evermont!$G356)</f>
        <v/>
      </c>
      <c r="H1554" s="0" t="str">
        <f aca="false">IF($A1554="","",Evermont!$K356)</f>
        <v/>
      </c>
      <c r="I1554" s="0" t="str">
        <f aca="false">IF($A1554="","",Evermont!$Q356)</f>
        <v/>
      </c>
      <c r="K1554" s="104" t="n">
        <f aca="false">IF(A1554="",0,IF(IFERROR(VLOOKUP(A1554,Skills!$A:$M,13,FALSE()),"")="COS",0,IF(OR(I1554="En cours",I1554="À venir",I1554="À planifier"),IF(AND(OR($C$3="Tous",$C$3="",C1554=$C$3),OR($E$3="Tous",$E$3="",I1554=$E$3)),1,0),0)))</f>
        <v>0</v>
      </c>
      <c r="L1554" s="104" t="n">
        <f aca="false">L1553+K1554</f>
        <v>19</v>
      </c>
    </row>
    <row r="1555" customFormat="false" ht="15" hidden="true" customHeight="true" outlineLevel="0" collapsed="false">
      <c r="A1555" s="0" t="str">
        <f aca="false">IF(Evermont!$A357="","",Evermont!$A357)</f>
        <v/>
      </c>
      <c r="B1555" s="0" t="str">
        <f aca="false">IF($A1555="","",Evermont!$B357)</f>
        <v/>
      </c>
      <c r="C1555" s="0" t="str">
        <f aca="false">IF($A1555="","",Evermont!$C357)</f>
        <v/>
      </c>
      <c r="D1555" s="0" t="str">
        <f aca="false">IF($A1555="","","Nouvelle compétence")</f>
        <v/>
      </c>
      <c r="E1555" s="0" t="str">
        <f aca="false">IF($A1555="","",Evermont!$D357)</f>
        <v/>
      </c>
      <c r="F1555" s="116" t="str">
        <f aca="false">IF($A1555="","",Evermont!$F357)</f>
        <v/>
      </c>
      <c r="G1555" s="116" t="str">
        <f aca="false">IF($A1555="","",Evermont!$G357)</f>
        <v/>
      </c>
      <c r="H1555" s="0" t="str">
        <f aca="false">IF($A1555="","",Evermont!$K357)</f>
        <v/>
      </c>
      <c r="I1555" s="0" t="str">
        <f aca="false">IF($A1555="","",Evermont!$Q357)</f>
        <v/>
      </c>
      <c r="K1555" s="104" t="n">
        <f aca="false">IF(A1555="",0,IF(IFERROR(VLOOKUP(A1555,Skills!$A:$M,13,FALSE()),"")="COS",0,IF(OR(I1555="En cours",I1555="À venir",I1555="À planifier"),IF(AND(OR($C$3="Tous",$C$3="",C1555=$C$3),OR($E$3="Tous",$E$3="",I1555=$E$3)),1,0),0)))</f>
        <v>0</v>
      </c>
      <c r="L1555" s="104" t="n">
        <f aca="false">L1554+K1555</f>
        <v>19</v>
      </c>
    </row>
    <row r="1556" customFormat="false" ht="15" hidden="true" customHeight="true" outlineLevel="0" collapsed="false">
      <c r="A1556" s="0" t="str">
        <f aca="false">IF(Evermont!$A358="","",Evermont!$A358)</f>
        <v/>
      </c>
      <c r="B1556" s="0" t="str">
        <f aca="false">IF($A1556="","",Evermont!$B358)</f>
        <v/>
      </c>
      <c r="C1556" s="0" t="str">
        <f aca="false">IF($A1556="","",Evermont!$C358)</f>
        <v/>
      </c>
      <c r="D1556" s="0" t="str">
        <f aca="false">IF($A1556="","","Nouvelle compétence")</f>
        <v/>
      </c>
      <c r="E1556" s="0" t="str">
        <f aca="false">IF($A1556="","",Evermont!$D358)</f>
        <v/>
      </c>
      <c r="F1556" s="116" t="str">
        <f aca="false">IF($A1556="","",Evermont!$F358)</f>
        <v/>
      </c>
      <c r="G1556" s="116" t="str">
        <f aca="false">IF($A1556="","",Evermont!$G358)</f>
        <v/>
      </c>
      <c r="H1556" s="0" t="str">
        <f aca="false">IF($A1556="","",Evermont!$K358)</f>
        <v/>
      </c>
      <c r="I1556" s="0" t="str">
        <f aca="false">IF($A1556="","",Evermont!$Q358)</f>
        <v/>
      </c>
      <c r="K1556" s="104" t="n">
        <f aca="false">IF(A1556="",0,IF(IFERROR(VLOOKUP(A1556,Skills!$A:$M,13,FALSE()),"")="COS",0,IF(OR(I1556="En cours",I1556="À venir",I1556="À planifier"),IF(AND(OR($C$3="Tous",$C$3="",C1556=$C$3),OR($E$3="Tous",$E$3="",I1556=$E$3)),1,0),0)))</f>
        <v>0</v>
      </c>
      <c r="L1556" s="104" t="n">
        <f aca="false">L1555+K1556</f>
        <v>19</v>
      </c>
    </row>
    <row r="1557" customFormat="false" ht="15" hidden="true" customHeight="true" outlineLevel="0" collapsed="false">
      <c r="A1557" s="0" t="str">
        <f aca="false">IF(Evermont!$A359="","",Evermont!$A359)</f>
        <v/>
      </c>
      <c r="B1557" s="0" t="str">
        <f aca="false">IF($A1557="","",Evermont!$B359)</f>
        <v/>
      </c>
      <c r="C1557" s="0" t="str">
        <f aca="false">IF($A1557="","",Evermont!$C359)</f>
        <v/>
      </c>
      <c r="D1557" s="0" t="str">
        <f aca="false">IF($A1557="","","Nouvelle compétence")</f>
        <v/>
      </c>
      <c r="E1557" s="0" t="str">
        <f aca="false">IF($A1557="","",Evermont!$D359)</f>
        <v/>
      </c>
      <c r="F1557" s="116" t="str">
        <f aca="false">IF($A1557="","",Evermont!$F359)</f>
        <v/>
      </c>
      <c r="G1557" s="116" t="str">
        <f aca="false">IF($A1557="","",Evermont!$G359)</f>
        <v/>
      </c>
      <c r="H1557" s="0" t="str">
        <f aca="false">IF($A1557="","",Evermont!$K359)</f>
        <v/>
      </c>
      <c r="I1557" s="0" t="str">
        <f aca="false">IF($A1557="","",Evermont!$Q359)</f>
        <v/>
      </c>
      <c r="K1557" s="104" t="n">
        <f aca="false">IF(A1557="",0,IF(IFERROR(VLOOKUP(A1557,Skills!$A:$M,13,FALSE()),"")="COS",0,IF(OR(I1557="En cours",I1557="À venir",I1557="À planifier"),IF(AND(OR($C$3="Tous",$C$3="",C1557=$C$3),OR($E$3="Tous",$E$3="",I1557=$E$3)),1,0),0)))</f>
        <v>0</v>
      </c>
      <c r="L1557" s="104" t="n">
        <f aca="false">L1556+K1557</f>
        <v>19</v>
      </c>
    </row>
    <row r="1558" customFormat="false" ht="15" hidden="true" customHeight="true" outlineLevel="0" collapsed="false">
      <c r="A1558" s="0" t="str">
        <f aca="false">IF(Evermont!$A360="","",Evermont!$A360)</f>
        <v/>
      </c>
      <c r="B1558" s="0" t="str">
        <f aca="false">IF($A1558="","",Evermont!$B360)</f>
        <v/>
      </c>
      <c r="C1558" s="0" t="str">
        <f aca="false">IF($A1558="","",Evermont!$C360)</f>
        <v/>
      </c>
      <c r="D1558" s="0" t="str">
        <f aca="false">IF($A1558="","","Nouvelle compétence")</f>
        <v/>
      </c>
      <c r="E1558" s="0" t="str">
        <f aca="false">IF($A1558="","",Evermont!$D360)</f>
        <v/>
      </c>
      <c r="F1558" s="116" t="str">
        <f aca="false">IF($A1558="","",Evermont!$F360)</f>
        <v/>
      </c>
      <c r="G1558" s="116" t="str">
        <f aca="false">IF($A1558="","",Evermont!$G360)</f>
        <v/>
      </c>
      <c r="H1558" s="0" t="str">
        <f aca="false">IF($A1558="","",Evermont!$K360)</f>
        <v/>
      </c>
      <c r="I1558" s="0" t="str">
        <f aca="false">IF($A1558="","",Evermont!$Q360)</f>
        <v/>
      </c>
      <c r="K1558" s="104" t="n">
        <f aca="false">IF(A1558="",0,IF(IFERROR(VLOOKUP(A1558,Skills!$A:$M,13,FALSE()),"")="COS",0,IF(OR(I1558="En cours",I1558="À venir",I1558="À planifier"),IF(AND(OR($C$3="Tous",$C$3="",C1558=$C$3),OR($E$3="Tous",$E$3="",I1558=$E$3)),1,0),0)))</f>
        <v>0</v>
      </c>
      <c r="L1558" s="104" t="n">
        <f aca="false">L1557+K1558</f>
        <v>19</v>
      </c>
    </row>
    <row r="1559" customFormat="false" ht="15" hidden="true" customHeight="true" outlineLevel="0" collapsed="false">
      <c r="A1559" s="0" t="str">
        <f aca="false">IF(Evermont!$A361="","",Evermont!$A361)</f>
        <v/>
      </c>
      <c r="B1559" s="0" t="str">
        <f aca="false">IF($A1559="","",Evermont!$B361)</f>
        <v/>
      </c>
      <c r="C1559" s="0" t="str">
        <f aca="false">IF($A1559="","",Evermont!$C361)</f>
        <v/>
      </c>
      <c r="D1559" s="0" t="str">
        <f aca="false">IF($A1559="","","Nouvelle compétence")</f>
        <v/>
      </c>
      <c r="E1559" s="0" t="str">
        <f aca="false">IF($A1559="","",Evermont!$D361)</f>
        <v/>
      </c>
      <c r="F1559" s="116" t="str">
        <f aca="false">IF($A1559="","",Evermont!$F361)</f>
        <v/>
      </c>
      <c r="G1559" s="116" t="str">
        <f aca="false">IF($A1559="","",Evermont!$G361)</f>
        <v/>
      </c>
      <c r="H1559" s="0" t="str">
        <f aca="false">IF($A1559="","",Evermont!$K361)</f>
        <v/>
      </c>
      <c r="I1559" s="0" t="str">
        <f aca="false">IF($A1559="","",Evermont!$Q361)</f>
        <v/>
      </c>
      <c r="K1559" s="104" t="n">
        <f aca="false">IF(A1559="",0,IF(IFERROR(VLOOKUP(A1559,Skills!$A:$M,13,FALSE()),"")="COS",0,IF(OR(I1559="En cours",I1559="À venir",I1559="À planifier"),IF(AND(OR($C$3="Tous",$C$3="",C1559=$C$3),OR($E$3="Tous",$E$3="",I1559=$E$3)),1,0),0)))</f>
        <v>0</v>
      </c>
      <c r="L1559" s="104" t="n">
        <f aca="false">L1558+K1559</f>
        <v>19</v>
      </c>
    </row>
    <row r="1560" customFormat="false" ht="15" hidden="true" customHeight="true" outlineLevel="0" collapsed="false">
      <c r="A1560" s="0" t="str">
        <f aca="false">IF(Evermont!$A362="","",Evermont!$A362)</f>
        <v/>
      </c>
      <c r="B1560" s="0" t="str">
        <f aca="false">IF($A1560="","",Evermont!$B362)</f>
        <v/>
      </c>
      <c r="C1560" s="0" t="str">
        <f aca="false">IF($A1560="","",Evermont!$C362)</f>
        <v/>
      </c>
      <c r="D1560" s="0" t="str">
        <f aca="false">IF($A1560="","","Nouvelle compétence")</f>
        <v/>
      </c>
      <c r="E1560" s="0" t="str">
        <f aca="false">IF($A1560="","",Evermont!$D362)</f>
        <v/>
      </c>
      <c r="F1560" s="116" t="str">
        <f aca="false">IF($A1560="","",Evermont!$F362)</f>
        <v/>
      </c>
      <c r="G1560" s="116" t="str">
        <f aca="false">IF($A1560="","",Evermont!$G362)</f>
        <v/>
      </c>
      <c r="H1560" s="0" t="str">
        <f aca="false">IF($A1560="","",Evermont!$K362)</f>
        <v/>
      </c>
      <c r="I1560" s="0" t="str">
        <f aca="false">IF($A1560="","",Evermont!$Q362)</f>
        <v/>
      </c>
      <c r="K1560" s="104" t="n">
        <f aca="false">IF(A1560="",0,IF(IFERROR(VLOOKUP(A1560,Skills!$A:$M,13,FALSE()),"")="COS",0,IF(OR(I1560="En cours",I1560="À venir",I1560="À planifier"),IF(AND(OR($C$3="Tous",$C$3="",C1560=$C$3),OR($E$3="Tous",$E$3="",I1560=$E$3)),1,0),0)))</f>
        <v>0</v>
      </c>
      <c r="L1560" s="104" t="n">
        <f aca="false">L1559+K1560</f>
        <v>19</v>
      </c>
    </row>
    <row r="1561" customFormat="false" ht="15" hidden="true" customHeight="true" outlineLevel="0" collapsed="false">
      <c r="A1561" s="0" t="str">
        <f aca="false">IF(Evermont!$A363="","",Evermont!$A363)</f>
        <v/>
      </c>
      <c r="B1561" s="0" t="str">
        <f aca="false">IF($A1561="","",Evermont!$B363)</f>
        <v/>
      </c>
      <c r="C1561" s="0" t="str">
        <f aca="false">IF($A1561="","",Evermont!$C363)</f>
        <v/>
      </c>
      <c r="D1561" s="0" t="str">
        <f aca="false">IF($A1561="","","Nouvelle compétence")</f>
        <v/>
      </c>
      <c r="E1561" s="0" t="str">
        <f aca="false">IF($A1561="","",Evermont!$D363)</f>
        <v/>
      </c>
      <c r="F1561" s="116" t="str">
        <f aca="false">IF($A1561="","",Evermont!$F363)</f>
        <v/>
      </c>
      <c r="G1561" s="116" t="str">
        <f aca="false">IF($A1561="","",Evermont!$G363)</f>
        <v/>
      </c>
      <c r="H1561" s="0" t="str">
        <f aca="false">IF($A1561="","",Evermont!$K363)</f>
        <v/>
      </c>
      <c r="I1561" s="0" t="str">
        <f aca="false">IF($A1561="","",Evermont!$Q363)</f>
        <v/>
      </c>
      <c r="K1561" s="104" t="n">
        <f aca="false">IF(A1561="",0,IF(IFERROR(VLOOKUP(A1561,Skills!$A:$M,13,FALSE()),"")="COS",0,IF(OR(I1561="En cours",I1561="À venir",I1561="À planifier"),IF(AND(OR($C$3="Tous",$C$3="",C1561=$C$3),OR($E$3="Tous",$E$3="",I1561=$E$3)),1,0),0)))</f>
        <v>0</v>
      </c>
      <c r="L1561" s="104" t="n">
        <f aca="false">L1560+K1561</f>
        <v>19</v>
      </c>
    </row>
    <row r="1562" customFormat="false" ht="15" hidden="true" customHeight="true" outlineLevel="0" collapsed="false">
      <c r="A1562" s="0" t="str">
        <f aca="false">IF(Evermont!$A364="","",Evermont!$A364)</f>
        <v/>
      </c>
      <c r="B1562" s="0" t="str">
        <f aca="false">IF($A1562="","",Evermont!$B364)</f>
        <v/>
      </c>
      <c r="C1562" s="0" t="str">
        <f aca="false">IF($A1562="","",Evermont!$C364)</f>
        <v/>
      </c>
      <c r="D1562" s="0" t="str">
        <f aca="false">IF($A1562="","","Nouvelle compétence")</f>
        <v/>
      </c>
      <c r="E1562" s="0" t="str">
        <f aca="false">IF($A1562="","",Evermont!$D364)</f>
        <v/>
      </c>
      <c r="F1562" s="116" t="str">
        <f aca="false">IF($A1562="","",Evermont!$F364)</f>
        <v/>
      </c>
      <c r="G1562" s="116" t="str">
        <f aca="false">IF($A1562="","",Evermont!$G364)</f>
        <v/>
      </c>
      <c r="H1562" s="0" t="str">
        <f aca="false">IF($A1562="","",Evermont!$K364)</f>
        <v/>
      </c>
      <c r="I1562" s="0" t="str">
        <f aca="false">IF($A1562="","",Evermont!$Q364)</f>
        <v/>
      </c>
      <c r="K1562" s="104" t="n">
        <f aca="false">IF(A1562="",0,IF(IFERROR(VLOOKUP(A1562,Skills!$A:$M,13,FALSE()),"")="COS",0,IF(OR(I1562="En cours",I1562="À venir",I1562="À planifier"),IF(AND(OR($C$3="Tous",$C$3="",C1562=$C$3),OR($E$3="Tous",$E$3="",I1562=$E$3)),1,0),0)))</f>
        <v>0</v>
      </c>
      <c r="L1562" s="104" t="n">
        <f aca="false">L1561+K1562</f>
        <v>19</v>
      </c>
    </row>
    <row r="1563" customFormat="false" ht="15" hidden="true" customHeight="true" outlineLevel="0" collapsed="false">
      <c r="A1563" s="0" t="str">
        <f aca="false">IF(Evermont!$A365="","",Evermont!$A365)</f>
        <v/>
      </c>
      <c r="B1563" s="0" t="str">
        <f aca="false">IF($A1563="","",Evermont!$B365)</f>
        <v/>
      </c>
      <c r="C1563" s="0" t="str">
        <f aca="false">IF($A1563="","",Evermont!$C365)</f>
        <v/>
      </c>
      <c r="D1563" s="0" t="str">
        <f aca="false">IF($A1563="","","Nouvelle compétence")</f>
        <v/>
      </c>
      <c r="E1563" s="0" t="str">
        <f aca="false">IF($A1563="","",Evermont!$D365)</f>
        <v/>
      </c>
      <c r="F1563" s="116" t="str">
        <f aca="false">IF($A1563="","",Evermont!$F365)</f>
        <v/>
      </c>
      <c r="G1563" s="116" t="str">
        <f aca="false">IF($A1563="","",Evermont!$G365)</f>
        <v/>
      </c>
      <c r="H1563" s="0" t="str">
        <f aca="false">IF($A1563="","",Evermont!$K365)</f>
        <v/>
      </c>
      <c r="I1563" s="0" t="str">
        <f aca="false">IF($A1563="","",Evermont!$Q365)</f>
        <v/>
      </c>
      <c r="K1563" s="104" t="n">
        <f aca="false">IF(A1563="",0,IF(IFERROR(VLOOKUP(A1563,Skills!$A:$M,13,FALSE()),"")="COS",0,IF(OR(I1563="En cours",I1563="À venir",I1563="À planifier"),IF(AND(OR($C$3="Tous",$C$3="",C1563=$C$3),OR($E$3="Tous",$E$3="",I1563=$E$3)),1,0),0)))</f>
        <v>0</v>
      </c>
      <c r="L1563" s="104" t="n">
        <f aca="false">L1562+K1563</f>
        <v>19</v>
      </c>
    </row>
    <row r="1564" customFormat="false" ht="15" hidden="true" customHeight="true" outlineLevel="0" collapsed="false">
      <c r="A1564" s="0" t="str">
        <f aca="false">IF(Evermont!$A366="","",Evermont!$A366)</f>
        <v/>
      </c>
      <c r="B1564" s="0" t="str">
        <f aca="false">IF($A1564="","",Evermont!$B366)</f>
        <v/>
      </c>
      <c r="C1564" s="0" t="str">
        <f aca="false">IF($A1564="","",Evermont!$C366)</f>
        <v/>
      </c>
      <c r="D1564" s="0" t="str">
        <f aca="false">IF($A1564="","","Nouvelle compétence")</f>
        <v/>
      </c>
      <c r="E1564" s="0" t="str">
        <f aca="false">IF($A1564="","",Evermont!$D366)</f>
        <v/>
      </c>
      <c r="F1564" s="116" t="str">
        <f aca="false">IF($A1564="","",Evermont!$F366)</f>
        <v/>
      </c>
      <c r="G1564" s="116" t="str">
        <f aca="false">IF($A1564="","",Evermont!$G366)</f>
        <v/>
      </c>
      <c r="H1564" s="0" t="str">
        <f aca="false">IF($A1564="","",Evermont!$K366)</f>
        <v/>
      </c>
      <c r="I1564" s="0" t="str">
        <f aca="false">IF($A1564="","",Evermont!$Q366)</f>
        <v/>
      </c>
      <c r="K1564" s="104" t="n">
        <f aca="false">IF(A1564="",0,IF(IFERROR(VLOOKUP(A1564,Skills!$A:$M,13,FALSE()),"")="COS",0,IF(OR(I1564="En cours",I1564="À venir",I1564="À planifier"),IF(AND(OR($C$3="Tous",$C$3="",C1564=$C$3),OR($E$3="Tous",$E$3="",I1564=$E$3)),1,0),0)))</f>
        <v>0</v>
      </c>
      <c r="L1564" s="104" t="n">
        <f aca="false">L1563+K1564</f>
        <v>19</v>
      </c>
    </row>
    <row r="1565" customFormat="false" ht="15" hidden="true" customHeight="true" outlineLevel="0" collapsed="false">
      <c r="A1565" s="0" t="str">
        <f aca="false">IF(Evermont!$A367="","",Evermont!$A367)</f>
        <v/>
      </c>
      <c r="B1565" s="0" t="str">
        <f aca="false">IF($A1565="","",Evermont!$B367)</f>
        <v/>
      </c>
      <c r="C1565" s="0" t="str">
        <f aca="false">IF($A1565="","",Evermont!$C367)</f>
        <v/>
      </c>
      <c r="D1565" s="0" t="str">
        <f aca="false">IF($A1565="","","Nouvelle compétence")</f>
        <v/>
      </c>
      <c r="E1565" s="0" t="str">
        <f aca="false">IF($A1565="","",Evermont!$D367)</f>
        <v/>
      </c>
      <c r="F1565" s="116" t="str">
        <f aca="false">IF($A1565="","",Evermont!$F367)</f>
        <v/>
      </c>
      <c r="G1565" s="116" t="str">
        <f aca="false">IF($A1565="","",Evermont!$G367)</f>
        <v/>
      </c>
      <c r="H1565" s="0" t="str">
        <f aca="false">IF($A1565="","",Evermont!$K367)</f>
        <v/>
      </c>
      <c r="I1565" s="0" t="str">
        <f aca="false">IF($A1565="","",Evermont!$Q367)</f>
        <v/>
      </c>
      <c r="K1565" s="104" t="n">
        <f aca="false">IF(A1565="",0,IF(IFERROR(VLOOKUP(A1565,Skills!$A:$M,13,FALSE()),"")="COS",0,IF(OR(I1565="En cours",I1565="À venir",I1565="À planifier"),IF(AND(OR($C$3="Tous",$C$3="",C1565=$C$3),OR($E$3="Tous",$E$3="",I1565=$E$3)),1,0),0)))</f>
        <v>0</v>
      </c>
      <c r="L1565" s="104" t="n">
        <f aca="false">L1564+K1565</f>
        <v>19</v>
      </c>
    </row>
    <row r="1566" customFormat="false" ht="15" hidden="true" customHeight="true" outlineLevel="0" collapsed="false">
      <c r="A1566" s="0" t="str">
        <f aca="false">IF(Evermont!$A368="","",Evermont!$A368)</f>
        <v/>
      </c>
      <c r="B1566" s="0" t="str">
        <f aca="false">IF($A1566="","",Evermont!$B368)</f>
        <v/>
      </c>
      <c r="C1566" s="0" t="str">
        <f aca="false">IF($A1566="","",Evermont!$C368)</f>
        <v/>
      </c>
      <c r="D1566" s="0" t="str">
        <f aca="false">IF($A1566="","","Nouvelle compétence")</f>
        <v/>
      </c>
      <c r="E1566" s="0" t="str">
        <f aca="false">IF($A1566="","",Evermont!$D368)</f>
        <v/>
      </c>
      <c r="F1566" s="116" t="str">
        <f aca="false">IF($A1566="","",Evermont!$F368)</f>
        <v/>
      </c>
      <c r="G1566" s="116" t="str">
        <f aca="false">IF($A1566="","",Evermont!$G368)</f>
        <v/>
      </c>
      <c r="H1566" s="0" t="str">
        <f aca="false">IF($A1566="","",Evermont!$K368)</f>
        <v/>
      </c>
      <c r="I1566" s="0" t="str">
        <f aca="false">IF($A1566="","",Evermont!$Q368)</f>
        <v/>
      </c>
      <c r="K1566" s="104" t="n">
        <f aca="false">IF(A1566="",0,IF(IFERROR(VLOOKUP(A1566,Skills!$A:$M,13,FALSE()),"")="COS",0,IF(OR(I1566="En cours",I1566="À venir",I1566="À planifier"),IF(AND(OR($C$3="Tous",$C$3="",C1566=$C$3),OR($E$3="Tous",$E$3="",I1566=$E$3)),1,0),0)))</f>
        <v>0</v>
      </c>
      <c r="L1566" s="104" t="n">
        <f aca="false">L1565+K1566</f>
        <v>19</v>
      </c>
    </row>
    <row r="1567" customFormat="false" ht="15" hidden="true" customHeight="true" outlineLevel="0" collapsed="false">
      <c r="A1567" s="0" t="str">
        <f aca="false">IF(Evermont!$A369="","",Evermont!$A369)</f>
        <v/>
      </c>
      <c r="B1567" s="0" t="str">
        <f aca="false">IF($A1567="","",Evermont!$B369)</f>
        <v/>
      </c>
      <c r="C1567" s="0" t="str">
        <f aca="false">IF($A1567="","",Evermont!$C369)</f>
        <v/>
      </c>
      <c r="D1567" s="0" t="str">
        <f aca="false">IF($A1567="","","Nouvelle compétence")</f>
        <v/>
      </c>
      <c r="E1567" s="0" t="str">
        <f aca="false">IF($A1567="","",Evermont!$D369)</f>
        <v/>
      </c>
      <c r="F1567" s="116" t="str">
        <f aca="false">IF($A1567="","",Evermont!$F369)</f>
        <v/>
      </c>
      <c r="G1567" s="116" t="str">
        <f aca="false">IF($A1567="","",Evermont!$G369)</f>
        <v/>
      </c>
      <c r="H1567" s="0" t="str">
        <f aca="false">IF($A1567="","",Evermont!$K369)</f>
        <v/>
      </c>
      <c r="I1567" s="0" t="str">
        <f aca="false">IF($A1567="","",Evermont!$Q369)</f>
        <v/>
      </c>
      <c r="K1567" s="104" t="n">
        <f aca="false">IF(A1567="",0,IF(IFERROR(VLOOKUP(A1567,Skills!$A:$M,13,FALSE()),"")="COS",0,IF(OR(I1567="En cours",I1567="À venir",I1567="À planifier"),IF(AND(OR($C$3="Tous",$C$3="",C1567=$C$3),OR($E$3="Tous",$E$3="",I1567=$E$3)),1,0),0)))</f>
        <v>0</v>
      </c>
      <c r="L1567" s="104" t="n">
        <f aca="false">L1566+K1567</f>
        <v>19</v>
      </c>
    </row>
    <row r="1568" customFormat="false" ht="15" hidden="true" customHeight="true" outlineLevel="0" collapsed="false">
      <c r="A1568" s="0" t="str">
        <f aca="false">IF(Evermont!$A370="","",Evermont!$A370)</f>
        <v/>
      </c>
      <c r="B1568" s="0" t="str">
        <f aca="false">IF($A1568="","",Evermont!$B370)</f>
        <v/>
      </c>
      <c r="C1568" s="0" t="str">
        <f aca="false">IF($A1568="","",Evermont!$C370)</f>
        <v/>
      </c>
      <c r="D1568" s="0" t="str">
        <f aca="false">IF($A1568="","","Nouvelle compétence")</f>
        <v/>
      </c>
      <c r="E1568" s="0" t="str">
        <f aca="false">IF($A1568="","",Evermont!$D370)</f>
        <v/>
      </c>
      <c r="F1568" s="116" t="str">
        <f aca="false">IF($A1568="","",Evermont!$F370)</f>
        <v/>
      </c>
      <c r="G1568" s="116" t="str">
        <f aca="false">IF($A1568="","",Evermont!$G370)</f>
        <v/>
      </c>
      <c r="H1568" s="0" t="str">
        <f aca="false">IF($A1568="","",Evermont!$K370)</f>
        <v/>
      </c>
      <c r="I1568" s="0" t="str">
        <f aca="false">IF($A1568="","",Evermont!$Q370)</f>
        <v/>
      </c>
      <c r="K1568" s="104" t="n">
        <f aca="false">IF(A1568="",0,IF(IFERROR(VLOOKUP(A1568,Skills!$A:$M,13,FALSE()),"")="COS",0,IF(OR(I1568="En cours",I1568="À venir",I1568="À planifier"),IF(AND(OR($C$3="Tous",$C$3="",C1568=$C$3),OR($E$3="Tous",$E$3="",I1568=$E$3)),1,0),0)))</f>
        <v>0</v>
      </c>
      <c r="L1568" s="104" t="n">
        <f aca="false">L1567+K1568</f>
        <v>19</v>
      </c>
    </row>
    <row r="1569" customFormat="false" ht="15" hidden="true" customHeight="true" outlineLevel="0" collapsed="false">
      <c r="A1569" s="0" t="str">
        <f aca="false">IF(Evermont!$A371="","",Evermont!$A371)</f>
        <v/>
      </c>
      <c r="B1569" s="0" t="str">
        <f aca="false">IF($A1569="","",Evermont!$B371)</f>
        <v/>
      </c>
      <c r="C1569" s="0" t="str">
        <f aca="false">IF($A1569="","",Evermont!$C371)</f>
        <v/>
      </c>
      <c r="D1569" s="0" t="str">
        <f aca="false">IF($A1569="","","Nouvelle compétence")</f>
        <v/>
      </c>
      <c r="E1569" s="0" t="str">
        <f aca="false">IF($A1569="","",Evermont!$D371)</f>
        <v/>
      </c>
      <c r="F1569" s="116" t="str">
        <f aca="false">IF($A1569="","",Evermont!$F371)</f>
        <v/>
      </c>
      <c r="G1569" s="116" t="str">
        <f aca="false">IF($A1569="","",Evermont!$G371)</f>
        <v/>
      </c>
      <c r="H1569" s="0" t="str">
        <f aca="false">IF($A1569="","",Evermont!$K371)</f>
        <v/>
      </c>
      <c r="I1569" s="0" t="str">
        <f aca="false">IF($A1569="","",Evermont!$Q371)</f>
        <v/>
      </c>
      <c r="K1569" s="104" t="n">
        <f aca="false">IF(A1569="",0,IF(IFERROR(VLOOKUP(A1569,Skills!$A:$M,13,FALSE()),"")="COS",0,IF(OR(I1569="En cours",I1569="À venir",I1569="À planifier"),IF(AND(OR($C$3="Tous",$C$3="",C1569=$C$3),OR($E$3="Tous",$E$3="",I1569=$E$3)),1,0),0)))</f>
        <v>0</v>
      </c>
      <c r="L1569" s="104" t="n">
        <f aca="false">L1568+K1569</f>
        <v>19</v>
      </c>
    </row>
    <row r="1570" customFormat="false" ht="15" hidden="true" customHeight="true" outlineLevel="0" collapsed="false">
      <c r="A1570" s="0" t="str">
        <f aca="false">IF(Evermont!$A372="","",Evermont!$A372)</f>
        <v/>
      </c>
      <c r="B1570" s="0" t="str">
        <f aca="false">IF($A1570="","",Evermont!$B372)</f>
        <v/>
      </c>
      <c r="C1570" s="0" t="str">
        <f aca="false">IF($A1570="","",Evermont!$C372)</f>
        <v/>
      </c>
      <c r="D1570" s="0" t="str">
        <f aca="false">IF($A1570="","","Nouvelle compétence")</f>
        <v/>
      </c>
      <c r="E1570" s="0" t="str">
        <f aca="false">IF($A1570="","",Evermont!$D372)</f>
        <v/>
      </c>
      <c r="F1570" s="116" t="str">
        <f aca="false">IF($A1570="","",Evermont!$F372)</f>
        <v/>
      </c>
      <c r="G1570" s="116" t="str">
        <f aca="false">IF($A1570="","",Evermont!$G372)</f>
        <v/>
      </c>
      <c r="H1570" s="0" t="str">
        <f aca="false">IF($A1570="","",Evermont!$K372)</f>
        <v/>
      </c>
      <c r="I1570" s="0" t="str">
        <f aca="false">IF($A1570="","",Evermont!$Q372)</f>
        <v/>
      </c>
      <c r="K1570" s="104" t="n">
        <f aca="false">IF(A1570="",0,IF(IFERROR(VLOOKUP(A1570,Skills!$A:$M,13,FALSE()),"")="COS",0,IF(OR(I1570="En cours",I1570="À venir",I1570="À planifier"),IF(AND(OR($C$3="Tous",$C$3="",C1570=$C$3),OR($E$3="Tous",$E$3="",I1570=$E$3)),1,0),0)))</f>
        <v>0</v>
      </c>
      <c r="L1570" s="104" t="n">
        <f aca="false">L1569+K1570</f>
        <v>19</v>
      </c>
    </row>
    <row r="1571" customFormat="false" ht="15" hidden="true" customHeight="true" outlineLevel="0" collapsed="false">
      <c r="A1571" s="0" t="str">
        <f aca="false">IF(Evermont!$A373="","",Evermont!$A373)</f>
        <v/>
      </c>
      <c r="B1571" s="0" t="str">
        <f aca="false">IF($A1571="","",Evermont!$B373)</f>
        <v/>
      </c>
      <c r="C1571" s="0" t="str">
        <f aca="false">IF($A1571="","",Evermont!$C373)</f>
        <v/>
      </c>
      <c r="D1571" s="0" t="str">
        <f aca="false">IF($A1571="","","Nouvelle compétence")</f>
        <v/>
      </c>
      <c r="E1571" s="0" t="str">
        <f aca="false">IF($A1571="","",Evermont!$D373)</f>
        <v/>
      </c>
      <c r="F1571" s="116" t="str">
        <f aca="false">IF($A1571="","",Evermont!$F373)</f>
        <v/>
      </c>
      <c r="G1571" s="116" t="str">
        <f aca="false">IF($A1571="","",Evermont!$G373)</f>
        <v/>
      </c>
      <c r="H1571" s="0" t="str">
        <f aca="false">IF($A1571="","",Evermont!$K373)</f>
        <v/>
      </c>
      <c r="I1571" s="0" t="str">
        <f aca="false">IF($A1571="","",Evermont!$Q373)</f>
        <v/>
      </c>
      <c r="K1571" s="104" t="n">
        <f aca="false">IF(A1571="",0,IF(IFERROR(VLOOKUP(A1571,Skills!$A:$M,13,FALSE()),"")="COS",0,IF(OR(I1571="En cours",I1571="À venir",I1571="À planifier"),IF(AND(OR($C$3="Tous",$C$3="",C1571=$C$3),OR($E$3="Tous",$E$3="",I1571=$E$3)),1,0),0)))</f>
        <v>0</v>
      </c>
      <c r="L1571" s="104" t="n">
        <f aca="false">L1570+K1571</f>
        <v>19</v>
      </c>
    </row>
    <row r="1572" customFormat="false" ht="15" hidden="true" customHeight="true" outlineLevel="0" collapsed="false">
      <c r="A1572" s="0" t="str">
        <f aca="false">IF(Evermont!$A374="","",Evermont!$A374)</f>
        <v/>
      </c>
      <c r="B1572" s="0" t="str">
        <f aca="false">IF($A1572="","",Evermont!$B374)</f>
        <v/>
      </c>
      <c r="C1572" s="0" t="str">
        <f aca="false">IF($A1572="","",Evermont!$C374)</f>
        <v/>
      </c>
      <c r="D1572" s="0" t="str">
        <f aca="false">IF($A1572="","","Nouvelle compétence")</f>
        <v/>
      </c>
      <c r="E1572" s="0" t="str">
        <f aca="false">IF($A1572="","",Evermont!$D374)</f>
        <v/>
      </c>
      <c r="F1572" s="116" t="str">
        <f aca="false">IF($A1572="","",Evermont!$F374)</f>
        <v/>
      </c>
      <c r="G1572" s="116" t="str">
        <f aca="false">IF($A1572="","",Evermont!$G374)</f>
        <v/>
      </c>
      <c r="H1572" s="0" t="str">
        <f aca="false">IF($A1572="","",Evermont!$K374)</f>
        <v/>
      </c>
      <c r="I1572" s="0" t="str">
        <f aca="false">IF($A1572="","",Evermont!$Q374)</f>
        <v/>
      </c>
      <c r="K1572" s="104" t="n">
        <f aca="false">IF(A1572="",0,IF(IFERROR(VLOOKUP(A1572,Skills!$A:$M,13,FALSE()),"")="COS",0,IF(OR(I1572="En cours",I1572="À venir",I1572="À planifier"),IF(AND(OR($C$3="Tous",$C$3="",C1572=$C$3),OR($E$3="Tous",$E$3="",I1572=$E$3)),1,0),0)))</f>
        <v>0</v>
      </c>
      <c r="L1572" s="104" t="n">
        <f aca="false">L1571+K1572</f>
        <v>19</v>
      </c>
    </row>
    <row r="1573" customFormat="false" ht="15" hidden="true" customHeight="true" outlineLevel="0" collapsed="false">
      <c r="A1573" s="0" t="str">
        <f aca="false">IF(Evermont!$A375="","",Evermont!$A375)</f>
        <v/>
      </c>
      <c r="B1573" s="0" t="str">
        <f aca="false">IF($A1573="","",Evermont!$B375)</f>
        <v/>
      </c>
      <c r="C1573" s="0" t="str">
        <f aca="false">IF($A1573="","",Evermont!$C375)</f>
        <v/>
      </c>
      <c r="D1573" s="0" t="str">
        <f aca="false">IF($A1573="","","Nouvelle compétence")</f>
        <v/>
      </c>
      <c r="E1573" s="0" t="str">
        <f aca="false">IF($A1573="","",Evermont!$D375)</f>
        <v/>
      </c>
      <c r="F1573" s="116" t="str">
        <f aca="false">IF($A1573="","",Evermont!$F375)</f>
        <v/>
      </c>
      <c r="G1573" s="116" t="str">
        <f aca="false">IF($A1573="","",Evermont!$G375)</f>
        <v/>
      </c>
      <c r="H1573" s="0" t="str">
        <f aca="false">IF($A1573="","",Evermont!$K375)</f>
        <v/>
      </c>
      <c r="I1573" s="0" t="str">
        <f aca="false">IF($A1573="","",Evermont!$Q375)</f>
        <v/>
      </c>
      <c r="K1573" s="104" t="n">
        <f aca="false">IF(A1573="",0,IF(IFERROR(VLOOKUP(A1573,Skills!$A:$M,13,FALSE()),"")="COS",0,IF(OR(I1573="En cours",I1573="À venir",I1573="À planifier"),IF(AND(OR($C$3="Tous",$C$3="",C1573=$C$3),OR($E$3="Tous",$E$3="",I1573=$E$3)),1,0),0)))</f>
        <v>0</v>
      </c>
      <c r="L1573" s="104" t="n">
        <f aca="false">L1572+K1573</f>
        <v>19</v>
      </c>
    </row>
    <row r="1574" customFormat="false" ht="15" hidden="true" customHeight="true" outlineLevel="0" collapsed="false">
      <c r="A1574" s="0" t="str">
        <f aca="false">IF(Evermont!$A376="","",Evermont!$A376)</f>
        <v/>
      </c>
      <c r="B1574" s="0" t="str">
        <f aca="false">IF($A1574="","",Evermont!$B376)</f>
        <v/>
      </c>
      <c r="C1574" s="0" t="str">
        <f aca="false">IF($A1574="","",Evermont!$C376)</f>
        <v/>
      </c>
      <c r="D1574" s="0" t="str">
        <f aca="false">IF($A1574="","","Nouvelle compétence")</f>
        <v/>
      </c>
      <c r="E1574" s="0" t="str">
        <f aca="false">IF($A1574="","",Evermont!$D376)</f>
        <v/>
      </c>
      <c r="F1574" s="116" t="str">
        <f aca="false">IF($A1574="","",Evermont!$F376)</f>
        <v/>
      </c>
      <c r="G1574" s="116" t="str">
        <f aca="false">IF($A1574="","",Evermont!$G376)</f>
        <v/>
      </c>
      <c r="H1574" s="0" t="str">
        <f aca="false">IF($A1574="","",Evermont!$K376)</f>
        <v/>
      </c>
      <c r="I1574" s="0" t="str">
        <f aca="false">IF($A1574="","",Evermont!$Q376)</f>
        <v/>
      </c>
      <c r="K1574" s="104" t="n">
        <f aca="false">IF(A1574="",0,IF(IFERROR(VLOOKUP(A1574,Skills!$A:$M,13,FALSE()),"")="COS",0,IF(OR(I1574="En cours",I1574="À venir",I1574="À planifier"),IF(AND(OR($C$3="Tous",$C$3="",C1574=$C$3),OR($E$3="Tous",$E$3="",I1574=$E$3)),1,0),0)))</f>
        <v>0</v>
      </c>
      <c r="L1574" s="104" t="n">
        <f aca="false">L1573+K1574</f>
        <v>19</v>
      </c>
    </row>
    <row r="1575" customFormat="false" ht="15" hidden="true" customHeight="true" outlineLevel="0" collapsed="false">
      <c r="A1575" s="0" t="str">
        <f aca="false">IF(Evermont!$A377="","",Evermont!$A377)</f>
        <v/>
      </c>
      <c r="B1575" s="0" t="str">
        <f aca="false">IF($A1575="","",Evermont!$B377)</f>
        <v/>
      </c>
      <c r="C1575" s="0" t="str">
        <f aca="false">IF($A1575="","",Evermont!$C377)</f>
        <v/>
      </c>
      <c r="D1575" s="0" t="str">
        <f aca="false">IF($A1575="","","Nouvelle compétence")</f>
        <v/>
      </c>
      <c r="E1575" s="0" t="str">
        <f aca="false">IF($A1575="","",Evermont!$D377)</f>
        <v/>
      </c>
      <c r="F1575" s="116" t="str">
        <f aca="false">IF($A1575="","",Evermont!$F377)</f>
        <v/>
      </c>
      <c r="G1575" s="116" t="str">
        <f aca="false">IF($A1575="","",Evermont!$G377)</f>
        <v/>
      </c>
      <c r="H1575" s="0" t="str">
        <f aca="false">IF($A1575="","",Evermont!$K377)</f>
        <v/>
      </c>
      <c r="I1575" s="0" t="str">
        <f aca="false">IF($A1575="","",Evermont!$Q377)</f>
        <v/>
      </c>
      <c r="K1575" s="104" t="n">
        <f aca="false">IF(A1575="",0,IF(IFERROR(VLOOKUP(A1575,Skills!$A:$M,13,FALSE()),"")="COS",0,IF(OR(I1575="En cours",I1575="À venir",I1575="À planifier"),IF(AND(OR($C$3="Tous",$C$3="",C1575=$C$3),OR($E$3="Tous",$E$3="",I1575=$E$3)),1,0),0)))</f>
        <v>0</v>
      </c>
      <c r="L1575" s="104" t="n">
        <f aca="false">L1574+K1575</f>
        <v>19</v>
      </c>
    </row>
    <row r="1576" customFormat="false" ht="15" hidden="true" customHeight="true" outlineLevel="0" collapsed="false">
      <c r="A1576" s="0" t="str">
        <f aca="false">IF(Evermont!$A378="","",Evermont!$A378)</f>
        <v/>
      </c>
      <c r="B1576" s="0" t="str">
        <f aca="false">IF($A1576="","",Evermont!$B378)</f>
        <v/>
      </c>
      <c r="C1576" s="0" t="str">
        <f aca="false">IF($A1576="","",Evermont!$C378)</f>
        <v/>
      </c>
      <c r="D1576" s="0" t="str">
        <f aca="false">IF($A1576="","","Nouvelle compétence")</f>
        <v/>
      </c>
      <c r="E1576" s="0" t="str">
        <f aca="false">IF($A1576="","",Evermont!$D378)</f>
        <v/>
      </c>
      <c r="F1576" s="116" t="str">
        <f aca="false">IF($A1576="","",Evermont!$F378)</f>
        <v/>
      </c>
      <c r="G1576" s="116" t="str">
        <f aca="false">IF($A1576="","",Evermont!$G378)</f>
        <v/>
      </c>
      <c r="H1576" s="0" t="str">
        <f aca="false">IF($A1576="","",Evermont!$K378)</f>
        <v/>
      </c>
      <c r="I1576" s="0" t="str">
        <f aca="false">IF($A1576="","",Evermont!$Q378)</f>
        <v/>
      </c>
      <c r="K1576" s="104" t="n">
        <f aca="false">IF(A1576="",0,IF(IFERROR(VLOOKUP(A1576,Skills!$A:$M,13,FALSE()),"")="COS",0,IF(OR(I1576="En cours",I1576="À venir",I1576="À planifier"),IF(AND(OR($C$3="Tous",$C$3="",C1576=$C$3),OR($E$3="Tous",$E$3="",I1576=$E$3)),1,0),0)))</f>
        <v>0</v>
      </c>
      <c r="L1576" s="104" t="n">
        <f aca="false">L1575+K1576</f>
        <v>19</v>
      </c>
    </row>
    <row r="1577" customFormat="false" ht="15" hidden="true" customHeight="true" outlineLevel="0" collapsed="false">
      <c r="A1577" s="0" t="str">
        <f aca="false">IF(Evermont!$A379="","",Evermont!$A379)</f>
        <v/>
      </c>
      <c r="B1577" s="0" t="str">
        <f aca="false">IF($A1577="","",Evermont!$B379)</f>
        <v/>
      </c>
      <c r="C1577" s="0" t="str">
        <f aca="false">IF($A1577="","",Evermont!$C379)</f>
        <v/>
      </c>
      <c r="D1577" s="0" t="str">
        <f aca="false">IF($A1577="","","Nouvelle compétence")</f>
        <v/>
      </c>
      <c r="E1577" s="0" t="str">
        <f aca="false">IF($A1577="","",Evermont!$D379)</f>
        <v/>
      </c>
      <c r="F1577" s="116" t="str">
        <f aca="false">IF($A1577="","",Evermont!$F379)</f>
        <v/>
      </c>
      <c r="G1577" s="116" t="str">
        <f aca="false">IF($A1577="","",Evermont!$G379)</f>
        <v/>
      </c>
      <c r="H1577" s="0" t="str">
        <f aca="false">IF($A1577="","",Evermont!$K379)</f>
        <v/>
      </c>
      <c r="I1577" s="0" t="str">
        <f aca="false">IF($A1577="","",Evermont!$Q379)</f>
        <v/>
      </c>
      <c r="K1577" s="104" t="n">
        <f aca="false">IF(A1577="",0,IF(IFERROR(VLOOKUP(A1577,Skills!$A:$M,13,FALSE()),"")="COS",0,IF(OR(I1577="En cours",I1577="À venir",I1577="À planifier"),IF(AND(OR($C$3="Tous",$C$3="",C1577=$C$3),OR($E$3="Tous",$E$3="",I1577=$E$3)),1,0),0)))</f>
        <v>0</v>
      </c>
      <c r="L1577" s="104" t="n">
        <f aca="false">L1576+K1577</f>
        <v>19</v>
      </c>
    </row>
    <row r="1578" customFormat="false" ht="15" hidden="true" customHeight="true" outlineLevel="0" collapsed="false">
      <c r="A1578" s="0" t="str">
        <f aca="false">IF(Evermont!$A380="","",Evermont!$A380)</f>
        <v/>
      </c>
      <c r="B1578" s="0" t="str">
        <f aca="false">IF($A1578="","",Evermont!$B380)</f>
        <v/>
      </c>
      <c r="C1578" s="0" t="str">
        <f aca="false">IF($A1578="","",Evermont!$C380)</f>
        <v/>
      </c>
      <c r="D1578" s="0" t="str">
        <f aca="false">IF($A1578="","","Nouvelle compétence")</f>
        <v/>
      </c>
      <c r="E1578" s="0" t="str">
        <f aca="false">IF($A1578="","",Evermont!$D380)</f>
        <v/>
      </c>
      <c r="F1578" s="116" t="str">
        <f aca="false">IF($A1578="","",Evermont!$F380)</f>
        <v/>
      </c>
      <c r="G1578" s="116" t="str">
        <f aca="false">IF($A1578="","",Evermont!$G380)</f>
        <v/>
      </c>
      <c r="H1578" s="0" t="str">
        <f aca="false">IF($A1578="","",Evermont!$K380)</f>
        <v/>
      </c>
      <c r="I1578" s="0" t="str">
        <f aca="false">IF($A1578="","",Evermont!$Q380)</f>
        <v/>
      </c>
      <c r="K1578" s="104" t="n">
        <f aca="false">IF(A1578="",0,IF(IFERROR(VLOOKUP(A1578,Skills!$A:$M,13,FALSE()),"")="COS",0,IF(OR(I1578="En cours",I1578="À venir",I1578="À planifier"),IF(AND(OR($C$3="Tous",$C$3="",C1578=$C$3),OR($E$3="Tous",$E$3="",I1578=$E$3)),1,0),0)))</f>
        <v>0</v>
      </c>
      <c r="L1578" s="104" t="n">
        <f aca="false">L1577+K1578</f>
        <v>19</v>
      </c>
    </row>
    <row r="1579" customFormat="false" ht="15" hidden="true" customHeight="true" outlineLevel="0" collapsed="false">
      <c r="A1579" s="0" t="str">
        <f aca="false">IF(Evermont!$A381="","",Evermont!$A381)</f>
        <v/>
      </c>
      <c r="B1579" s="0" t="str">
        <f aca="false">IF($A1579="","",Evermont!$B381)</f>
        <v/>
      </c>
      <c r="C1579" s="0" t="str">
        <f aca="false">IF($A1579="","",Evermont!$C381)</f>
        <v/>
      </c>
      <c r="D1579" s="0" t="str">
        <f aca="false">IF($A1579="","","Nouvelle compétence")</f>
        <v/>
      </c>
      <c r="E1579" s="0" t="str">
        <f aca="false">IF($A1579="","",Evermont!$D381)</f>
        <v/>
      </c>
      <c r="F1579" s="116" t="str">
        <f aca="false">IF($A1579="","",Evermont!$F381)</f>
        <v/>
      </c>
      <c r="G1579" s="116" t="str">
        <f aca="false">IF($A1579="","",Evermont!$G381)</f>
        <v/>
      </c>
      <c r="H1579" s="0" t="str">
        <f aca="false">IF($A1579="","",Evermont!$K381)</f>
        <v/>
      </c>
      <c r="I1579" s="0" t="str">
        <f aca="false">IF($A1579="","",Evermont!$Q381)</f>
        <v/>
      </c>
      <c r="K1579" s="104" t="n">
        <f aca="false">IF(A1579="",0,IF(IFERROR(VLOOKUP(A1579,Skills!$A:$M,13,FALSE()),"")="COS",0,IF(OR(I1579="En cours",I1579="À venir",I1579="À planifier"),IF(AND(OR($C$3="Tous",$C$3="",C1579=$C$3),OR($E$3="Tous",$E$3="",I1579=$E$3)),1,0),0)))</f>
        <v>0</v>
      </c>
      <c r="L1579" s="104" t="n">
        <f aca="false">L1578+K1579</f>
        <v>19</v>
      </c>
    </row>
    <row r="1580" customFormat="false" ht="15" hidden="true" customHeight="true" outlineLevel="0" collapsed="false">
      <c r="A1580" s="0" t="str">
        <f aca="false">IF(Evermont!$A382="","",Evermont!$A382)</f>
        <v/>
      </c>
      <c r="B1580" s="0" t="str">
        <f aca="false">IF($A1580="","",Evermont!$B382)</f>
        <v/>
      </c>
      <c r="C1580" s="0" t="str">
        <f aca="false">IF($A1580="","",Evermont!$C382)</f>
        <v/>
      </c>
      <c r="D1580" s="0" t="str">
        <f aca="false">IF($A1580="","","Nouvelle compétence")</f>
        <v/>
      </c>
      <c r="E1580" s="0" t="str">
        <f aca="false">IF($A1580="","",Evermont!$D382)</f>
        <v/>
      </c>
      <c r="F1580" s="116" t="str">
        <f aca="false">IF($A1580="","",Evermont!$F382)</f>
        <v/>
      </c>
      <c r="G1580" s="116" t="str">
        <f aca="false">IF($A1580="","",Evermont!$G382)</f>
        <v/>
      </c>
      <c r="H1580" s="0" t="str">
        <f aca="false">IF($A1580="","",Evermont!$K382)</f>
        <v/>
      </c>
      <c r="I1580" s="0" t="str">
        <f aca="false">IF($A1580="","",Evermont!$Q382)</f>
        <v/>
      </c>
      <c r="K1580" s="104" t="n">
        <f aca="false">IF(A1580="",0,IF(IFERROR(VLOOKUP(A1580,Skills!$A:$M,13,FALSE()),"")="COS",0,IF(OR(I1580="En cours",I1580="À venir",I1580="À planifier"),IF(AND(OR($C$3="Tous",$C$3="",C1580=$C$3),OR($E$3="Tous",$E$3="",I1580=$E$3)),1,0),0)))</f>
        <v>0</v>
      </c>
      <c r="L1580" s="104" t="n">
        <f aca="false">L1579+K1580</f>
        <v>19</v>
      </c>
    </row>
    <row r="1581" customFormat="false" ht="15" hidden="true" customHeight="true" outlineLevel="0" collapsed="false">
      <c r="A1581" s="0" t="str">
        <f aca="false">IF(Evermont!$A383="","",Evermont!$A383)</f>
        <v/>
      </c>
      <c r="B1581" s="0" t="str">
        <f aca="false">IF($A1581="","",Evermont!$B383)</f>
        <v/>
      </c>
      <c r="C1581" s="0" t="str">
        <f aca="false">IF($A1581="","",Evermont!$C383)</f>
        <v/>
      </c>
      <c r="D1581" s="0" t="str">
        <f aca="false">IF($A1581="","","Nouvelle compétence")</f>
        <v/>
      </c>
      <c r="E1581" s="0" t="str">
        <f aca="false">IF($A1581="","",Evermont!$D383)</f>
        <v/>
      </c>
      <c r="F1581" s="116" t="str">
        <f aca="false">IF($A1581="","",Evermont!$F383)</f>
        <v/>
      </c>
      <c r="G1581" s="116" t="str">
        <f aca="false">IF($A1581="","",Evermont!$G383)</f>
        <v/>
      </c>
      <c r="H1581" s="0" t="str">
        <f aca="false">IF($A1581="","",Evermont!$K383)</f>
        <v/>
      </c>
      <c r="I1581" s="0" t="str">
        <f aca="false">IF($A1581="","",Evermont!$Q383)</f>
        <v/>
      </c>
      <c r="K1581" s="104" t="n">
        <f aca="false">IF(A1581="",0,IF(IFERROR(VLOOKUP(A1581,Skills!$A:$M,13,FALSE()),"")="COS",0,IF(OR(I1581="En cours",I1581="À venir",I1581="À planifier"),IF(AND(OR($C$3="Tous",$C$3="",C1581=$C$3),OR($E$3="Tous",$E$3="",I1581=$E$3)),1,0),0)))</f>
        <v>0</v>
      </c>
      <c r="L1581" s="104" t="n">
        <f aca="false">L1580+K1581</f>
        <v>19</v>
      </c>
    </row>
    <row r="1582" customFormat="false" ht="15" hidden="true" customHeight="true" outlineLevel="0" collapsed="false">
      <c r="A1582" s="0" t="str">
        <f aca="false">IF(Evermont!$A384="","",Evermont!$A384)</f>
        <v/>
      </c>
      <c r="B1582" s="0" t="str">
        <f aca="false">IF($A1582="","",Evermont!$B384)</f>
        <v/>
      </c>
      <c r="C1582" s="0" t="str">
        <f aca="false">IF($A1582="","",Evermont!$C384)</f>
        <v/>
      </c>
      <c r="D1582" s="0" t="str">
        <f aca="false">IF($A1582="","","Nouvelle compétence")</f>
        <v/>
      </c>
      <c r="E1582" s="0" t="str">
        <f aca="false">IF($A1582="","",Evermont!$D384)</f>
        <v/>
      </c>
      <c r="F1582" s="116" t="str">
        <f aca="false">IF($A1582="","",Evermont!$F384)</f>
        <v/>
      </c>
      <c r="G1582" s="116" t="str">
        <f aca="false">IF($A1582="","",Evermont!$G384)</f>
        <v/>
      </c>
      <c r="H1582" s="0" t="str">
        <f aca="false">IF($A1582="","",Evermont!$K384)</f>
        <v/>
      </c>
      <c r="I1582" s="0" t="str">
        <f aca="false">IF($A1582="","",Evermont!$Q384)</f>
        <v/>
      </c>
      <c r="K1582" s="104" t="n">
        <f aca="false">IF(A1582="",0,IF(IFERROR(VLOOKUP(A1582,Skills!$A:$M,13,FALSE()),"")="COS",0,IF(OR(I1582="En cours",I1582="À venir",I1582="À planifier"),IF(AND(OR($C$3="Tous",$C$3="",C1582=$C$3),OR($E$3="Tous",$E$3="",I1582=$E$3)),1,0),0)))</f>
        <v>0</v>
      </c>
      <c r="L1582" s="104" t="n">
        <f aca="false">L1581+K1582</f>
        <v>19</v>
      </c>
    </row>
    <row r="1583" customFormat="false" ht="15" hidden="true" customHeight="true" outlineLevel="0" collapsed="false">
      <c r="A1583" s="0" t="str">
        <f aca="false">IF(Evermont!$A385="","",Evermont!$A385)</f>
        <v/>
      </c>
      <c r="B1583" s="0" t="str">
        <f aca="false">IF($A1583="","",Evermont!$B385)</f>
        <v/>
      </c>
      <c r="C1583" s="0" t="str">
        <f aca="false">IF($A1583="","",Evermont!$C385)</f>
        <v/>
      </c>
      <c r="D1583" s="0" t="str">
        <f aca="false">IF($A1583="","","Nouvelle compétence")</f>
        <v/>
      </c>
      <c r="E1583" s="0" t="str">
        <f aca="false">IF($A1583="","",Evermont!$D385)</f>
        <v/>
      </c>
      <c r="F1583" s="116" t="str">
        <f aca="false">IF($A1583="","",Evermont!$F385)</f>
        <v/>
      </c>
      <c r="G1583" s="116" t="str">
        <f aca="false">IF($A1583="","",Evermont!$G385)</f>
        <v/>
      </c>
      <c r="H1583" s="0" t="str">
        <f aca="false">IF($A1583="","",Evermont!$K385)</f>
        <v/>
      </c>
      <c r="I1583" s="0" t="str">
        <f aca="false">IF($A1583="","",Evermont!$Q385)</f>
        <v/>
      </c>
      <c r="K1583" s="104" t="n">
        <f aca="false">IF(A1583="",0,IF(IFERROR(VLOOKUP(A1583,Skills!$A:$M,13,FALSE()),"")="COS",0,IF(OR(I1583="En cours",I1583="À venir",I1583="À planifier"),IF(AND(OR($C$3="Tous",$C$3="",C1583=$C$3),OR($E$3="Tous",$E$3="",I1583=$E$3)),1,0),0)))</f>
        <v>0</v>
      </c>
      <c r="L1583" s="104" t="n">
        <f aca="false">L1582+K1583</f>
        <v>19</v>
      </c>
    </row>
    <row r="1584" customFormat="false" ht="15" hidden="true" customHeight="true" outlineLevel="0" collapsed="false">
      <c r="A1584" s="0" t="str">
        <f aca="false">IF(Evermont!$A386="","",Evermont!$A386)</f>
        <v/>
      </c>
      <c r="B1584" s="0" t="str">
        <f aca="false">IF($A1584="","",Evermont!$B386)</f>
        <v/>
      </c>
      <c r="C1584" s="0" t="str">
        <f aca="false">IF($A1584="","",Evermont!$C386)</f>
        <v/>
      </c>
      <c r="D1584" s="0" t="str">
        <f aca="false">IF($A1584="","","Nouvelle compétence")</f>
        <v/>
      </c>
      <c r="E1584" s="0" t="str">
        <f aca="false">IF($A1584="","",Evermont!$D386)</f>
        <v/>
      </c>
      <c r="F1584" s="116" t="str">
        <f aca="false">IF($A1584="","",Evermont!$F386)</f>
        <v/>
      </c>
      <c r="G1584" s="116" t="str">
        <f aca="false">IF($A1584="","",Evermont!$G386)</f>
        <v/>
      </c>
      <c r="H1584" s="0" t="str">
        <f aca="false">IF($A1584="","",Evermont!$K386)</f>
        <v/>
      </c>
      <c r="I1584" s="0" t="str">
        <f aca="false">IF($A1584="","",Evermont!$Q386)</f>
        <v/>
      </c>
      <c r="K1584" s="104" t="n">
        <f aca="false">IF(A1584="",0,IF(IFERROR(VLOOKUP(A1584,Skills!$A:$M,13,FALSE()),"")="COS",0,IF(OR(I1584="En cours",I1584="À venir",I1584="À planifier"),IF(AND(OR($C$3="Tous",$C$3="",C1584=$C$3),OR($E$3="Tous",$E$3="",I1584=$E$3)),1,0),0)))</f>
        <v>0</v>
      </c>
      <c r="L1584" s="104" t="n">
        <f aca="false">L1583+K1584</f>
        <v>19</v>
      </c>
    </row>
    <row r="1585" customFormat="false" ht="15" hidden="true" customHeight="true" outlineLevel="0" collapsed="false">
      <c r="A1585" s="0" t="str">
        <f aca="false">IF(Evermont!$A387="","",Evermont!$A387)</f>
        <v/>
      </c>
      <c r="B1585" s="0" t="str">
        <f aca="false">IF($A1585="","",Evermont!$B387)</f>
        <v/>
      </c>
      <c r="C1585" s="0" t="str">
        <f aca="false">IF($A1585="","",Evermont!$C387)</f>
        <v/>
      </c>
      <c r="D1585" s="0" t="str">
        <f aca="false">IF($A1585="","","Nouvelle compétence")</f>
        <v/>
      </c>
      <c r="E1585" s="0" t="str">
        <f aca="false">IF($A1585="","",Evermont!$D387)</f>
        <v/>
      </c>
      <c r="F1585" s="116" t="str">
        <f aca="false">IF($A1585="","",Evermont!$F387)</f>
        <v/>
      </c>
      <c r="G1585" s="116" t="str">
        <f aca="false">IF($A1585="","",Evermont!$G387)</f>
        <v/>
      </c>
      <c r="H1585" s="0" t="str">
        <f aca="false">IF($A1585="","",Evermont!$K387)</f>
        <v/>
      </c>
      <c r="I1585" s="0" t="str">
        <f aca="false">IF($A1585="","",Evermont!$Q387)</f>
        <v/>
      </c>
      <c r="K1585" s="104" t="n">
        <f aca="false">IF(A1585="",0,IF(IFERROR(VLOOKUP(A1585,Skills!$A:$M,13,FALSE()),"")="COS",0,IF(OR(I1585="En cours",I1585="À venir",I1585="À planifier"),IF(AND(OR($C$3="Tous",$C$3="",C1585=$C$3),OR($E$3="Tous",$E$3="",I1585=$E$3)),1,0),0)))</f>
        <v>0</v>
      </c>
      <c r="L1585" s="104" t="n">
        <f aca="false">L1584+K1585</f>
        <v>19</v>
      </c>
    </row>
    <row r="1586" customFormat="false" ht="15" hidden="true" customHeight="true" outlineLevel="0" collapsed="false">
      <c r="A1586" s="0" t="str">
        <f aca="false">IF(Evermont!$A388="","",Evermont!$A388)</f>
        <v/>
      </c>
      <c r="B1586" s="0" t="str">
        <f aca="false">IF($A1586="","",Evermont!$B388)</f>
        <v/>
      </c>
      <c r="C1586" s="0" t="str">
        <f aca="false">IF($A1586="","",Evermont!$C388)</f>
        <v/>
      </c>
      <c r="D1586" s="0" t="str">
        <f aca="false">IF($A1586="","","Nouvelle compétence")</f>
        <v/>
      </c>
      <c r="E1586" s="0" t="str">
        <f aca="false">IF($A1586="","",Evermont!$D388)</f>
        <v/>
      </c>
      <c r="F1586" s="116" t="str">
        <f aca="false">IF($A1586="","",Evermont!$F388)</f>
        <v/>
      </c>
      <c r="G1586" s="116" t="str">
        <f aca="false">IF($A1586="","",Evermont!$G388)</f>
        <v/>
      </c>
      <c r="H1586" s="0" t="str">
        <f aca="false">IF($A1586="","",Evermont!$K388)</f>
        <v/>
      </c>
      <c r="I1586" s="0" t="str">
        <f aca="false">IF($A1586="","",Evermont!$Q388)</f>
        <v/>
      </c>
      <c r="K1586" s="104" t="n">
        <f aca="false">IF(A1586="",0,IF(IFERROR(VLOOKUP(A1586,Skills!$A:$M,13,FALSE()),"")="COS",0,IF(OR(I1586="En cours",I1586="À venir",I1586="À planifier"),IF(AND(OR($C$3="Tous",$C$3="",C1586=$C$3),OR($E$3="Tous",$E$3="",I1586=$E$3)),1,0),0)))</f>
        <v>0</v>
      </c>
      <c r="L1586" s="104" t="n">
        <f aca="false">L1585+K1586</f>
        <v>19</v>
      </c>
    </row>
    <row r="1587" customFormat="false" ht="15" hidden="true" customHeight="true" outlineLevel="0" collapsed="false">
      <c r="A1587" s="0" t="str">
        <f aca="false">IF(Evermont!$A389="","",Evermont!$A389)</f>
        <v/>
      </c>
      <c r="B1587" s="0" t="str">
        <f aca="false">IF($A1587="","",Evermont!$B389)</f>
        <v/>
      </c>
      <c r="C1587" s="0" t="str">
        <f aca="false">IF($A1587="","",Evermont!$C389)</f>
        <v/>
      </c>
      <c r="D1587" s="0" t="str">
        <f aca="false">IF($A1587="","","Nouvelle compétence")</f>
        <v/>
      </c>
      <c r="E1587" s="0" t="str">
        <f aca="false">IF($A1587="","",Evermont!$D389)</f>
        <v/>
      </c>
      <c r="F1587" s="116" t="str">
        <f aca="false">IF($A1587="","",Evermont!$F389)</f>
        <v/>
      </c>
      <c r="G1587" s="116" t="str">
        <f aca="false">IF($A1587="","",Evermont!$G389)</f>
        <v/>
      </c>
      <c r="H1587" s="0" t="str">
        <f aca="false">IF($A1587="","",Evermont!$K389)</f>
        <v/>
      </c>
      <c r="I1587" s="0" t="str">
        <f aca="false">IF($A1587="","",Evermont!$Q389)</f>
        <v/>
      </c>
      <c r="K1587" s="104" t="n">
        <f aca="false">IF(A1587="",0,IF(IFERROR(VLOOKUP(A1587,Skills!$A:$M,13,FALSE()),"")="COS",0,IF(OR(I1587="En cours",I1587="À venir",I1587="À planifier"),IF(AND(OR($C$3="Tous",$C$3="",C1587=$C$3),OR($E$3="Tous",$E$3="",I1587=$E$3)),1,0),0)))</f>
        <v>0</v>
      </c>
      <c r="L1587" s="104" t="n">
        <f aca="false">L1586+K1587</f>
        <v>19</v>
      </c>
    </row>
    <row r="1588" customFormat="false" ht="15" hidden="true" customHeight="true" outlineLevel="0" collapsed="false">
      <c r="A1588" s="0" t="str">
        <f aca="false">IF(Evermont!$A390="","",Evermont!$A390)</f>
        <v/>
      </c>
      <c r="B1588" s="0" t="str">
        <f aca="false">IF($A1588="","",Evermont!$B390)</f>
        <v/>
      </c>
      <c r="C1588" s="0" t="str">
        <f aca="false">IF($A1588="","",Evermont!$C390)</f>
        <v/>
      </c>
      <c r="D1588" s="0" t="str">
        <f aca="false">IF($A1588="","","Nouvelle compétence")</f>
        <v/>
      </c>
      <c r="E1588" s="0" t="str">
        <f aca="false">IF($A1588="","",Evermont!$D390)</f>
        <v/>
      </c>
      <c r="F1588" s="116" t="str">
        <f aca="false">IF($A1588="","",Evermont!$F390)</f>
        <v/>
      </c>
      <c r="G1588" s="116" t="str">
        <f aca="false">IF($A1588="","",Evermont!$G390)</f>
        <v/>
      </c>
      <c r="H1588" s="0" t="str">
        <f aca="false">IF($A1588="","",Evermont!$K390)</f>
        <v/>
      </c>
      <c r="I1588" s="0" t="str">
        <f aca="false">IF($A1588="","",Evermont!$Q390)</f>
        <v/>
      </c>
      <c r="K1588" s="104" t="n">
        <f aca="false">IF(A1588="",0,IF(IFERROR(VLOOKUP(A1588,Skills!$A:$M,13,FALSE()),"")="COS",0,IF(OR(I1588="En cours",I1588="À venir",I1588="À planifier"),IF(AND(OR($C$3="Tous",$C$3="",C1588=$C$3),OR($E$3="Tous",$E$3="",I1588=$E$3)),1,0),0)))</f>
        <v>0</v>
      </c>
      <c r="L1588" s="104" t="n">
        <f aca="false">L1587+K1588</f>
        <v>19</v>
      </c>
    </row>
    <row r="1589" customFormat="false" ht="15" hidden="true" customHeight="true" outlineLevel="0" collapsed="false">
      <c r="A1589" s="0" t="str">
        <f aca="false">IF(Evermont!$A391="","",Evermont!$A391)</f>
        <v/>
      </c>
      <c r="B1589" s="0" t="str">
        <f aca="false">IF($A1589="","",Evermont!$B391)</f>
        <v/>
      </c>
      <c r="C1589" s="0" t="str">
        <f aca="false">IF($A1589="","",Evermont!$C391)</f>
        <v/>
      </c>
      <c r="D1589" s="0" t="str">
        <f aca="false">IF($A1589="","","Nouvelle compétence")</f>
        <v/>
      </c>
      <c r="E1589" s="0" t="str">
        <f aca="false">IF($A1589="","",Evermont!$D391)</f>
        <v/>
      </c>
      <c r="F1589" s="116" t="str">
        <f aca="false">IF($A1589="","",Evermont!$F391)</f>
        <v/>
      </c>
      <c r="G1589" s="116" t="str">
        <f aca="false">IF($A1589="","",Evermont!$G391)</f>
        <v/>
      </c>
      <c r="H1589" s="0" t="str">
        <f aca="false">IF($A1589="","",Evermont!$K391)</f>
        <v/>
      </c>
      <c r="I1589" s="0" t="str">
        <f aca="false">IF($A1589="","",Evermont!$Q391)</f>
        <v/>
      </c>
      <c r="K1589" s="104" t="n">
        <f aca="false">IF(A1589="",0,IF(IFERROR(VLOOKUP(A1589,Skills!$A:$M,13,FALSE()),"")="COS",0,IF(OR(I1589="En cours",I1589="À venir",I1589="À planifier"),IF(AND(OR($C$3="Tous",$C$3="",C1589=$C$3),OR($E$3="Tous",$E$3="",I1589=$E$3)),1,0),0)))</f>
        <v>0</v>
      </c>
      <c r="L1589" s="104" t="n">
        <f aca="false">L1588+K1589</f>
        <v>19</v>
      </c>
    </row>
    <row r="1590" customFormat="false" ht="15" hidden="true" customHeight="true" outlineLevel="0" collapsed="false">
      <c r="A1590" s="0" t="str">
        <f aca="false">IF(Evermont!$A392="","",Evermont!$A392)</f>
        <v/>
      </c>
      <c r="B1590" s="0" t="str">
        <f aca="false">IF($A1590="","",Evermont!$B392)</f>
        <v/>
      </c>
      <c r="C1590" s="0" t="str">
        <f aca="false">IF($A1590="","",Evermont!$C392)</f>
        <v/>
      </c>
      <c r="D1590" s="0" t="str">
        <f aca="false">IF($A1590="","","Nouvelle compétence")</f>
        <v/>
      </c>
      <c r="E1590" s="0" t="str">
        <f aca="false">IF($A1590="","",Evermont!$D392)</f>
        <v/>
      </c>
      <c r="F1590" s="116" t="str">
        <f aca="false">IF($A1590="","",Evermont!$F392)</f>
        <v/>
      </c>
      <c r="G1590" s="116" t="str">
        <f aca="false">IF($A1590="","",Evermont!$G392)</f>
        <v/>
      </c>
      <c r="H1590" s="0" t="str">
        <f aca="false">IF($A1590="","",Evermont!$K392)</f>
        <v/>
      </c>
      <c r="I1590" s="0" t="str">
        <f aca="false">IF($A1590="","",Evermont!$Q392)</f>
        <v/>
      </c>
      <c r="K1590" s="104" t="n">
        <f aca="false">IF(A1590="",0,IF(IFERROR(VLOOKUP(A1590,Skills!$A:$M,13,FALSE()),"")="COS",0,IF(OR(I1590="En cours",I1590="À venir",I1590="À planifier"),IF(AND(OR($C$3="Tous",$C$3="",C1590=$C$3),OR($E$3="Tous",$E$3="",I1590=$E$3)),1,0),0)))</f>
        <v>0</v>
      </c>
      <c r="L1590" s="104" t="n">
        <f aca="false">L1589+K1590</f>
        <v>19</v>
      </c>
    </row>
    <row r="1591" customFormat="false" ht="15" hidden="true" customHeight="true" outlineLevel="0" collapsed="false">
      <c r="A1591" s="0" t="str">
        <f aca="false">IF(Evermont!$A393="","",Evermont!$A393)</f>
        <v/>
      </c>
      <c r="B1591" s="0" t="str">
        <f aca="false">IF($A1591="","",Evermont!$B393)</f>
        <v/>
      </c>
      <c r="C1591" s="0" t="str">
        <f aca="false">IF($A1591="","",Evermont!$C393)</f>
        <v/>
      </c>
      <c r="D1591" s="0" t="str">
        <f aca="false">IF($A1591="","","Nouvelle compétence")</f>
        <v/>
      </c>
      <c r="E1591" s="0" t="str">
        <f aca="false">IF($A1591="","",Evermont!$D393)</f>
        <v/>
      </c>
      <c r="F1591" s="116" t="str">
        <f aca="false">IF($A1591="","",Evermont!$F393)</f>
        <v/>
      </c>
      <c r="G1591" s="116" t="str">
        <f aca="false">IF($A1591="","",Evermont!$G393)</f>
        <v/>
      </c>
      <c r="H1591" s="0" t="str">
        <f aca="false">IF($A1591="","",Evermont!$K393)</f>
        <v/>
      </c>
      <c r="I1591" s="0" t="str">
        <f aca="false">IF($A1591="","",Evermont!$Q393)</f>
        <v/>
      </c>
      <c r="K1591" s="104" t="n">
        <f aca="false">IF(A1591="",0,IF(IFERROR(VLOOKUP(A1591,Skills!$A:$M,13,FALSE()),"")="COS",0,IF(OR(I1591="En cours",I1591="À venir",I1591="À planifier"),IF(AND(OR($C$3="Tous",$C$3="",C1591=$C$3),OR($E$3="Tous",$E$3="",I1591=$E$3)),1,0),0)))</f>
        <v>0</v>
      </c>
      <c r="L1591" s="104" t="n">
        <f aca="false">L1590+K1591</f>
        <v>19</v>
      </c>
    </row>
    <row r="1592" customFormat="false" ht="15" hidden="true" customHeight="true" outlineLevel="0" collapsed="false">
      <c r="A1592" s="0" t="str">
        <f aca="false">IF(Evermont!$A394="","",Evermont!$A394)</f>
        <v/>
      </c>
      <c r="B1592" s="0" t="str">
        <f aca="false">IF($A1592="","",Evermont!$B394)</f>
        <v/>
      </c>
      <c r="C1592" s="0" t="str">
        <f aca="false">IF($A1592="","",Evermont!$C394)</f>
        <v/>
      </c>
      <c r="D1592" s="0" t="str">
        <f aca="false">IF($A1592="","","Nouvelle compétence")</f>
        <v/>
      </c>
      <c r="E1592" s="0" t="str">
        <f aca="false">IF($A1592="","",Evermont!$D394)</f>
        <v/>
      </c>
      <c r="F1592" s="116" t="str">
        <f aca="false">IF($A1592="","",Evermont!$F394)</f>
        <v/>
      </c>
      <c r="G1592" s="116" t="str">
        <f aca="false">IF($A1592="","",Evermont!$G394)</f>
        <v/>
      </c>
      <c r="H1592" s="0" t="str">
        <f aca="false">IF($A1592="","",Evermont!$K394)</f>
        <v/>
      </c>
      <c r="I1592" s="0" t="str">
        <f aca="false">IF($A1592="","",Evermont!$Q394)</f>
        <v/>
      </c>
      <c r="K1592" s="104" t="n">
        <f aca="false">IF(A1592="",0,IF(IFERROR(VLOOKUP(A1592,Skills!$A:$M,13,FALSE()),"")="COS",0,IF(OR(I1592="En cours",I1592="À venir",I1592="À planifier"),IF(AND(OR($C$3="Tous",$C$3="",C1592=$C$3),OR($E$3="Tous",$E$3="",I1592=$E$3)),1,0),0)))</f>
        <v>0</v>
      </c>
      <c r="L1592" s="104" t="n">
        <f aca="false">L1591+K1592</f>
        <v>19</v>
      </c>
    </row>
    <row r="1593" customFormat="false" ht="15" hidden="true" customHeight="true" outlineLevel="0" collapsed="false">
      <c r="A1593" s="0" t="str">
        <f aca="false">IF(Evermont!$A395="","",Evermont!$A395)</f>
        <v/>
      </c>
      <c r="B1593" s="0" t="str">
        <f aca="false">IF($A1593="","",Evermont!$B395)</f>
        <v/>
      </c>
      <c r="C1593" s="0" t="str">
        <f aca="false">IF($A1593="","",Evermont!$C395)</f>
        <v/>
      </c>
      <c r="D1593" s="0" t="str">
        <f aca="false">IF($A1593="","","Nouvelle compétence")</f>
        <v/>
      </c>
      <c r="E1593" s="0" t="str">
        <f aca="false">IF($A1593="","",Evermont!$D395)</f>
        <v/>
      </c>
      <c r="F1593" s="116" t="str">
        <f aca="false">IF($A1593="","",Evermont!$F395)</f>
        <v/>
      </c>
      <c r="G1593" s="116" t="str">
        <f aca="false">IF($A1593="","",Evermont!$G395)</f>
        <v/>
      </c>
      <c r="H1593" s="0" t="str">
        <f aca="false">IF($A1593="","",Evermont!$K395)</f>
        <v/>
      </c>
      <c r="I1593" s="0" t="str">
        <f aca="false">IF($A1593="","",Evermont!$Q395)</f>
        <v/>
      </c>
      <c r="K1593" s="104" t="n">
        <f aca="false">IF(A1593="",0,IF(IFERROR(VLOOKUP(A1593,Skills!$A:$M,13,FALSE()),"")="COS",0,IF(OR(I1593="En cours",I1593="À venir",I1593="À planifier"),IF(AND(OR($C$3="Tous",$C$3="",C1593=$C$3),OR($E$3="Tous",$E$3="",I1593=$E$3)),1,0),0)))</f>
        <v>0</v>
      </c>
      <c r="L1593" s="104" t="n">
        <f aca="false">L1592+K1593</f>
        <v>19</v>
      </c>
    </row>
    <row r="1594" customFormat="false" ht="15" hidden="true" customHeight="true" outlineLevel="0" collapsed="false">
      <c r="A1594" s="0" t="str">
        <f aca="false">IF(Evermont!$A396="","",Evermont!$A396)</f>
        <v/>
      </c>
      <c r="B1594" s="0" t="str">
        <f aca="false">IF($A1594="","",Evermont!$B396)</f>
        <v/>
      </c>
      <c r="C1594" s="0" t="str">
        <f aca="false">IF($A1594="","",Evermont!$C396)</f>
        <v/>
      </c>
      <c r="D1594" s="0" t="str">
        <f aca="false">IF($A1594="","","Nouvelle compétence")</f>
        <v/>
      </c>
      <c r="E1594" s="0" t="str">
        <f aca="false">IF($A1594="","",Evermont!$D396)</f>
        <v/>
      </c>
      <c r="F1594" s="116" t="str">
        <f aca="false">IF($A1594="","",Evermont!$F396)</f>
        <v/>
      </c>
      <c r="G1594" s="116" t="str">
        <f aca="false">IF($A1594="","",Evermont!$G396)</f>
        <v/>
      </c>
      <c r="H1594" s="0" t="str">
        <f aca="false">IF($A1594="","",Evermont!$K396)</f>
        <v/>
      </c>
      <c r="I1594" s="0" t="str">
        <f aca="false">IF($A1594="","",Evermont!$Q396)</f>
        <v/>
      </c>
      <c r="K1594" s="104" t="n">
        <f aca="false">IF(A1594="",0,IF(IFERROR(VLOOKUP(A1594,Skills!$A:$M,13,FALSE()),"")="COS",0,IF(OR(I1594="En cours",I1594="À venir",I1594="À planifier"),IF(AND(OR($C$3="Tous",$C$3="",C1594=$C$3),OR($E$3="Tous",$E$3="",I1594=$E$3)),1,0),0)))</f>
        <v>0</v>
      </c>
      <c r="L1594" s="104" t="n">
        <f aca="false">L1593+K1594</f>
        <v>19</v>
      </c>
    </row>
    <row r="1595" customFormat="false" ht="15" hidden="true" customHeight="true" outlineLevel="0" collapsed="false">
      <c r="A1595" s="0" t="str">
        <f aca="false">IF(Evermont!$A397="","",Evermont!$A397)</f>
        <v/>
      </c>
      <c r="B1595" s="0" t="str">
        <f aca="false">IF($A1595="","",Evermont!$B397)</f>
        <v/>
      </c>
      <c r="C1595" s="0" t="str">
        <f aca="false">IF($A1595="","",Evermont!$C397)</f>
        <v/>
      </c>
      <c r="D1595" s="0" t="str">
        <f aca="false">IF($A1595="","","Nouvelle compétence")</f>
        <v/>
      </c>
      <c r="E1595" s="0" t="str">
        <f aca="false">IF($A1595="","",Evermont!$D397)</f>
        <v/>
      </c>
      <c r="F1595" s="116" t="str">
        <f aca="false">IF($A1595="","",Evermont!$F397)</f>
        <v/>
      </c>
      <c r="G1595" s="116" t="str">
        <f aca="false">IF($A1595="","",Evermont!$G397)</f>
        <v/>
      </c>
      <c r="H1595" s="0" t="str">
        <f aca="false">IF($A1595="","",Evermont!$K397)</f>
        <v/>
      </c>
      <c r="I1595" s="0" t="str">
        <f aca="false">IF($A1595="","",Evermont!$Q397)</f>
        <v/>
      </c>
      <c r="K1595" s="104" t="n">
        <f aca="false">IF(A1595="",0,IF(IFERROR(VLOOKUP(A1595,Skills!$A:$M,13,FALSE()),"")="COS",0,IF(OR(I1595="En cours",I1595="À venir",I1595="À planifier"),IF(AND(OR($C$3="Tous",$C$3="",C1595=$C$3),OR($E$3="Tous",$E$3="",I1595=$E$3)),1,0),0)))</f>
        <v>0</v>
      </c>
      <c r="L1595" s="104" t="n">
        <f aca="false">L1594+K1595</f>
        <v>19</v>
      </c>
    </row>
    <row r="1596" customFormat="false" ht="15" hidden="true" customHeight="true" outlineLevel="0" collapsed="false">
      <c r="A1596" s="0" t="str">
        <f aca="false">IF(Evermont!$A398="","",Evermont!$A398)</f>
        <v/>
      </c>
      <c r="B1596" s="0" t="str">
        <f aca="false">IF($A1596="","",Evermont!$B398)</f>
        <v/>
      </c>
      <c r="C1596" s="0" t="str">
        <f aca="false">IF($A1596="","",Evermont!$C398)</f>
        <v/>
      </c>
      <c r="D1596" s="0" t="str">
        <f aca="false">IF($A1596="","","Nouvelle compétence")</f>
        <v/>
      </c>
      <c r="E1596" s="0" t="str">
        <f aca="false">IF($A1596="","",Evermont!$D398)</f>
        <v/>
      </c>
      <c r="F1596" s="116" t="str">
        <f aca="false">IF($A1596="","",Evermont!$F398)</f>
        <v/>
      </c>
      <c r="G1596" s="116" t="str">
        <f aca="false">IF($A1596="","",Evermont!$G398)</f>
        <v/>
      </c>
      <c r="H1596" s="0" t="str">
        <f aca="false">IF($A1596="","",Evermont!$K398)</f>
        <v/>
      </c>
      <c r="I1596" s="0" t="str">
        <f aca="false">IF($A1596="","",Evermont!$Q398)</f>
        <v/>
      </c>
      <c r="K1596" s="104" t="n">
        <f aca="false">IF(A1596="",0,IF(IFERROR(VLOOKUP(A1596,Skills!$A:$M,13,FALSE()),"")="COS",0,IF(OR(I1596="En cours",I1596="À venir",I1596="À planifier"),IF(AND(OR($C$3="Tous",$C$3="",C1596=$C$3),OR($E$3="Tous",$E$3="",I1596=$E$3)),1,0),0)))</f>
        <v>0</v>
      </c>
      <c r="L1596" s="104" t="n">
        <f aca="false">L1595+K1596</f>
        <v>19</v>
      </c>
    </row>
    <row r="1597" customFormat="false" ht="15" hidden="true" customHeight="true" outlineLevel="0" collapsed="false">
      <c r="A1597" s="0" t="str">
        <f aca="false">IF(Evermont!$A399="","",Evermont!$A399)</f>
        <v/>
      </c>
      <c r="B1597" s="0" t="str">
        <f aca="false">IF($A1597="","",Evermont!$B399)</f>
        <v/>
      </c>
      <c r="C1597" s="0" t="str">
        <f aca="false">IF($A1597="","",Evermont!$C399)</f>
        <v/>
      </c>
      <c r="D1597" s="0" t="str">
        <f aca="false">IF($A1597="","","Nouvelle compétence")</f>
        <v/>
      </c>
      <c r="E1597" s="0" t="str">
        <f aca="false">IF($A1597="","",Evermont!$D399)</f>
        <v/>
      </c>
      <c r="F1597" s="116" t="str">
        <f aca="false">IF($A1597="","",Evermont!$F399)</f>
        <v/>
      </c>
      <c r="G1597" s="116" t="str">
        <f aca="false">IF($A1597="","",Evermont!$G399)</f>
        <v/>
      </c>
      <c r="H1597" s="0" t="str">
        <f aca="false">IF($A1597="","",Evermont!$K399)</f>
        <v/>
      </c>
      <c r="I1597" s="0" t="str">
        <f aca="false">IF($A1597="","",Evermont!$Q399)</f>
        <v/>
      </c>
      <c r="K1597" s="104" t="n">
        <f aca="false">IF(A1597="",0,IF(IFERROR(VLOOKUP(A1597,Skills!$A:$M,13,FALSE()),"")="COS",0,IF(OR(I1597="En cours",I1597="À venir",I1597="À planifier"),IF(AND(OR($C$3="Tous",$C$3="",C1597=$C$3),OR($E$3="Tous",$E$3="",I1597=$E$3)),1,0),0)))</f>
        <v>0</v>
      </c>
      <c r="L1597" s="104" t="n">
        <f aca="false">L1596+K1597</f>
        <v>19</v>
      </c>
    </row>
    <row r="1598" customFormat="false" ht="15" hidden="true" customHeight="true" outlineLevel="0" collapsed="false">
      <c r="A1598" s="0" t="str">
        <f aca="false">IF(Evermont!$A400="","",Evermont!$A400)</f>
        <v/>
      </c>
      <c r="B1598" s="0" t="str">
        <f aca="false">IF($A1598="","",Evermont!$B400)</f>
        <v/>
      </c>
      <c r="C1598" s="0" t="str">
        <f aca="false">IF($A1598="","",Evermont!$C400)</f>
        <v/>
      </c>
      <c r="D1598" s="0" t="str">
        <f aca="false">IF($A1598="","","Nouvelle compétence")</f>
        <v/>
      </c>
      <c r="E1598" s="0" t="str">
        <f aca="false">IF($A1598="","",Evermont!$D400)</f>
        <v/>
      </c>
      <c r="F1598" s="116" t="str">
        <f aca="false">IF($A1598="","",Evermont!$F400)</f>
        <v/>
      </c>
      <c r="G1598" s="116" t="str">
        <f aca="false">IF($A1598="","",Evermont!$G400)</f>
        <v/>
      </c>
      <c r="H1598" s="0" t="str">
        <f aca="false">IF($A1598="","",Evermont!$K400)</f>
        <v/>
      </c>
      <c r="I1598" s="0" t="str">
        <f aca="false">IF($A1598="","",Evermont!$Q400)</f>
        <v/>
      </c>
      <c r="K1598" s="104" t="n">
        <f aca="false">IF(A1598="",0,IF(IFERROR(VLOOKUP(A1598,Skills!$A:$M,13,FALSE()),"")="COS",0,IF(OR(I1598="En cours",I1598="À venir",I1598="À planifier"),IF(AND(OR($C$3="Tous",$C$3="",C1598=$C$3),OR($E$3="Tous",$E$3="",I1598=$E$3)),1,0),0)))</f>
        <v>0</v>
      </c>
      <c r="L1598" s="104" t="n">
        <f aca="false">L1597+K1598</f>
        <v>19</v>
      </c>
    </row>
    <row r="1599" customFormat="false" ht="15" hidden="true" customHeight="true" outlineLevel="0" collapsed="false">
      <c r="A1599" s="0" t="str">
        <f aca="false">IF(Evermont!$A401="","",Evermont!$A401)</f>
        <v/>
      </c>
      <c r="B1599" s="0" t="str">
        <f aca="false">IF($A1599="","",Evermont!$B401)</f>
        <v/>
      </c>
      <c r="C1599" s="0" t="str">
        <f aca="false">IF($A1599="","",Evermont!$C401)</f>
        <v/>
      </c>
      <c r="D1599" s="0" t="str">
        <f aca="false">IF($A1599="","","Nouvelle compétence")</f>
        <v/>
      </c>
      <c r="E1599" s="0" t="str">
        <f aca="false">IF($A1599="","",Evermont!$D401)</f>
        <v/>
      </c>
      <c r="F1599" s="116" t="str">
        <f aca="false">IF($A1599="","",Evermont!$F401)</f>
        <v/>
      </c>
      <c r="G1599" s="116" t="str">
        <f aca="false">IF($A1599="","",Evermont!$G401)</f>
        <v/>
      </c>
      <c r="H1599" s="0" t="str">
        <f aca="false">IF($A1599="","",Evermont!$K401)</f>
        <v/>
      </c>
      <c r="I1599" s="0" t="str">
        <f aca="false">IF($A1599="","",Evermont!$Q401)</f>
        <v/>
      </c>
      <c r="K1599" s="104" t="n">
        <f aca="false">IF(A1599="",0,IF(IFERROR(VLOOKUP(A1599,Skills!$A:$M,13,FALSE()),"")="COS",0,IF(OR(I1599="En cours",I1599="À venir",I1599="À planifier"),IF(AND(OR($C$3="Tous",$C$3="",C1599=$C$3),OR($E$3="Tous",$E$3="",I1599=$E$3)),1,0),0)))</f>
        <v>0</v>
      </c>
      <c r="L1599" s="104" t="n">
        <f aca="false">L1598+K1599</f>
        <v>19</v>
      </c>
    </row>
    <row r="1600" customFormat="false" ht="15" hidden="true" customHeight="true" outlineLevel="0" collapsed="false">
      <c r="F1600" s="116"/>
      <c r="G1600" s="116"/>
      <c r="K1600" s="104" t="n">
        <f aca="false">IF(A1600="",0,IF(IFERROR(VLOOKUP(A1600,Skills!$A:$M,13,FALSE()),"")="COS",0,IF(OR(I1600="En cours",I1600="À venir",I1600="À planifier"),IF(AND(OR($C$3="Tous",$C$3="",C1600=$C$3),OR($E$3="Tous",$E$3="",I1600=$E$3)),1,0),0)))</f>
        <v>0</v>
      </c>
      <c r="L1600" s="104" t="n">
        <f aca="false">L1599+K1600</f>
        <v>19</v>
      </c>
    </row>
    <row r="1601" customFormat="false" ht="15" hidden="true" customHeight="true" outlineLevel="0" collapsed="false">
      <c r="F1601" s="116"/>
      <c r="G1601" s="116"/>
      <c r="K1601" s="104" t="n">
        <f aca="false">IF(A1601="",0,IF(IFERROR(VLOOKUP(A1601,Skills!$A:$M,13,FALSE()),"")="COS",0,IF(OR(I1601="En cours",I1601="À venir",I1601="À planifier"),IF(AND(OR($C$3="Tous",$C$3="",C1601=$C$3),OR($E$3="Tous",$E$3="",I1601=$E$3)),1,0),0)))</f>
        <v>0</v>
      </c>
      <c r="L1601" s="104" t="n">
        <f aca="false">L1600+K1601</f>
        <v>19</v>
      </c>
    </row>
    <row r="1602" customFormat="false" ht="15" hidden="true" customHeight="true" outlineLevel="0" collapsed="false">
      <c r="F1602" s="116"/>
      <c r="G1602" s="116"/>
      <c r="K1602" s="104" t="n">
        <f aca="false">IF(A1602="",0,IF(IFERROR(VLOOKUP(A1602,Skills!$A:$M,13,FALSE()),"")="COS",0,IF(OR(I1602="En cours",I1602="À venir",I1602="À planifier"),IF(AND(OR($C$3="Tous",$C$3="",C1602=$C$3),OR($E$3="Tous",$E$3="",I1602=$E$3)),1,0),0)))</f>
        <v>0</v>
      </c>
      <c r="L1602" s="104" t="n">
        <f aca="false">L1601+K1602</f>
        <v>19</v>
      </c>
    </row>
    <row r="1603" customFormat="false" ht="15" hidden="true" customHeight="true" outlineLevel="0" collapsed="false">
      <c r="F1603" s="116"/>
      <c r="G1603" s="116"/>
      <c r="K1603" s="104" t="n">
        <f aca="false">IF(A1603="",0,IF(IFERROR(VLOOKUP(A1603,Skills!$A:$M,13,FALSE()),"")="COS",0,IF(OR(I1603="En cours",I1603="À venir",I1603="À planifier"),IF(AND(OR($C$3="Tous",$C$3="",C1603=$C$3),OR($E$3="Tous",$E$3="",I1603=$E$3)),1,0),0)))</f>
        <v>0</v>
      </c>
      <c r="L1603" s="104" t="n">
        <f aca="false">L1602+K1603</f>
        <v>19</v>
      </c>
    </row>
    <row r="1604" customFormat="false" ht="15" hidden="true" customHeight="true" outlineLevel="0" collapsed="false">
      <c r="F1604" s="116"/>
      <c r="G1604" s="116"/>
      <c r="K1604" s="104" t="n">
        <f aca="false">IF(A1604="",0,IF(IFERROR(VLOOKUP(A1604,Skills!$A:$M,13,FALSE()),"")="COS",0,IF(OR(I1604="En cours",I1604="À venir",I1604="À planifier"),IF(AND(OR($C$3="Tous",$C$3="",C1604=$C$3),OR($E$3="Tous",$E$3="",I1604=$E$3)),1,0),0)))</f>
        <v>0</v>
      </c>
      <c r="L1604" s="104" t="n">
        <f aca="false">L1603+K1604</f>
        <v>19</v>
      </c>
    </row>
    <row r="1605" customFormat="false" ht="15" hidden="true" customHeight="true" outlineLevel="0" collapsed="false">
      <c r="F1605" s="116"/>
      <c r="G1605" s="116"/>
      <c r="K1605" s="104" t="n">
        <f aca="false">IF(A1605="",0,IF(IFERROR(VLOOKUP(A1605,Skills!$A:$M,13,FALSE()),"")="COS",0,IF(OR(I1605="En cours",I1605="À venir",I1605="À planifier"),IF(AND(OR($C$3="Tous",$C$3="",C1605=$C$3),OR($E$3="Tous",$E$3="",I1605=$E$3)),1,0),0)))</f>
        <v>0</v>
      </c>
      <c r="L1605" s="104" t="n">
        <f aca="false">L1604+K1605</f>
        <v>19</v>
      </c>
    </row>
    <row r="1606" customFormat="false" ht="15" hidden="true" customHeight="true" outlineLevel="0" collapsed="false">
      <c r="F1606" s="116"/>
      <c r="G1606" s="116"/>
      <c r="K1606" s="104" t="n">
        <f aca="false">IF(A1606="",0,IF(IFERROR(VLOOKUP(A1606,Skills!$A:$M,13,FALSE()),"")="COS",0,IF(OR(I1606="En cours",I1606="À venir",I1606="À planifier"),IF(AND(OR($C$3="Tous",$C$3="",C1606=$C$3),OR($E$3="Tous",$E$3="",I1606=$E$3)),1,0),0)))</f>
        <v>0</v>
      </c>
      <c r="L1606" s="104" t="n">
        <f aca="false">L1605+K1606</f>
        <v>19</v>
      </c>
    </row>
    <row r="1607" customFormat="false" ht="15" hidden="true" customHeight="true" outlineLevel="0" collapsed="false">
      <c r="F1607" s="116"/>
      <c r="G1607" s="116"/>
      <c r="K1607" s="104" t="n">
        <f aca="false">IF(A1607="",0,IF(IFERROR(VLOOKUP(A1607,Skills!$A:$M,13,FALSE()),"")="COS",0,IF(OR(I1607="En cours",I1607="À venir",I1607="À planifier"),IF(AND(OR($C$3="Tous",$C$3="",C1607=$C$3),OR($E$3="Tous",$E$3="",I1607=$E$3)),1,0),0)))</f>
        <v>0</v>
      </c>
      <c r="L1607" s="104" t="n">
        <f aca="false">L1606+K1607</f>
        <v>19</v>
      </c>
    </row>
    <row r="1608" customFormat="false" ht="15" hidden="true" customHeight="true" outlineLevel="0" collapsed="false">
      <c r="F1608" s="116"/>
      <c r="G1608" s="116"/>
      <c r="K1608" s="104" t="n">
        <f aca="false">IF(A1608="",0,IF(IFERROR(VLOOKUP(A1608,Skills!$A:$M,13,FALSE()),"")="COS",0,IF(OR(I1608="En cours",I1608="À venir",I1608="À planifier"),IF(AND(OR($C$3="Tous",$C$3="",C1608=$C$3),OR($E$3="Tous",$E$3="",I1608=$E$3)),1,0),0)))</f>
        <v>0</v>
      </c>
      <c r="L1608" s="104" t="n">
        <f aca="false">L1607+K1608</f>
        <v>19</v>
      </c>
    </row>
    <row r="1609" customFormat="false" ht="15" hidden="true" customHeight="true" outlineLevel="0" collapsed="false">
      <c r="F1609" s="116"/>
      <c r="G1609" s="116"/>
      <c r="K1609" s="104" t="n">
        <f aca="false">IF(A1609="",0,IF(IFERROR(VLOOKUP(A1609,Skills!$A:$M,13,FALSE()),"")="COS",0,IF(OR(I1609="En cours",I1609="À venir",I1609="À planifier"),IF(AND(OR($C$3="Tous",$C$3="",C1609=$C$3),OR($E$3="Tous",$E$3="",I1609=$E$3)),1,0),0)))</f>
        <v>0</v>
      </c>
      <c r="L1609" s="104" t="n">
        <f aca="false">L1608+K1609</f>
        <v>19</v>
      </c>
    </row>
    <row r="1610" customFormat="false" ht="15" hidden="true" customHeight="true" outlineLevel="0" collapsed="false">
      <c r="F1610" s="116"/>
      <c r="G1610" s="116"/>
      <c r="K1610" s="104" t="n">
        <f aca="false">IF(A1610="",0,IF(IFERROR(VLOOKUP(A1610,Skills!$A:$M,13,FALSE()),"")="COS",0,IF(OR(I1610="En cours",I1610="À venir",I1610="À planifier"),IF(AND(OR($C$3="Tous",$C$3="",C1610=$C$3),OR($E$3="Tous",$E$3="",I1610=$E$3)),1,0),0)))</f>
        <v>0</v>
      </c>
      <c r="L1610" s="104" t="n">
        <f aca="false">L1609+K1610</f>
        <v>19</v>
      </c>
    </row>
    <row r="1611" customFormat="false" ht="15" hidden="true" customHeight="true" outlineLevel="0" collapsed="false">
      <c r="F1611" s="116"/>
      <c r="G1611" s="116"/>
      <c r="K1611" s="104" t="n">
        <f aca="false">IF(A1611="",0,IF(IFERROR(VLOOKUP(A1611,Skills!$A:$M,13,FALSE()),"")="COS",0,IF(OR(I1611="En cours",I1611="À venir",I1611="À planifier"),IF(AND(OR($C$3="Tous",$C$3="",C1611=$C$3),OR($E$3="Tous",$E$3="",I1611=$E$3)),1,0),0)))</f>
        <v>0</v>
      </c>
      <c r="L1611" s="104" t="n">
        <f aca="false">L1610+K1611</f>
        <v>19</v>
      </c>
    </row>
    <row r="1612" customFormat="false" ht="15" hidden="true" customHeight="true" outlineLevel="0" collapsed="false">
      <c r="F1612" s="116"/>
      <c r="G1612" s="116"/>
      <c r="K1612" s="104" t="n">
        <f aca="false">IF(A1612="",0,IF(IFERROR(VLOOKUP(A1612,Skills!$A:$M,13,FALSE()),"")="COS",0,IF(OR(I1612="En cours",I1612="À venir",I1612="À planifier"),IF(AND(OR($C$3="Tous",$C$3="",C1612=$C$3),OR($E$3="Tous",$E$3="",I1612=$E$3)),1,0),0)))</f>
        <v>0</v>
      </c>
      <c r="L1612" s="104" t="n">
        <f aca="false">L1611+K1612</f>
        <v>19</v>
      </c>
    </row>
    <row r="1613" customFormat="false" ht="15" hidden="true" customHeight="true" outlineLevel="0" collapsed="false">
      <c r="F1613" s="116"/>
      <c r="G1613" s="116"/>
      <c r="K1613" s="104" t="n">
        <f aca="false">IF(A1613="",0,IF(IFERROR(VLOOKUP(A1613,Skills!$A:$M,13,FALSE()),"")="COS",0,IF(OR(I1613="En cours",I1613="À venir",I1613="À planifier"),IF(AND(OR($C$3="Tous",$C$3="",C1613=$C$3),OR($E$3="Tous",$E$3="",I1613=$E$3)),1,0),0)))</f>
        <v>0</v>
      </c>
      <c r="L1613" s="104" t="n">
        <f aca="false">L1612+K1613</f>
        <v>19</v>
      </c>
    </row>
    <row r="1614" customFormat="false" ht="15" hidden="true" customHeight="true" outlineLevel="0" collapsed="false">
      <c r="F1614" s="116"/>
      <c r="G1614" s="116"/>
      <c r="K1614" s="104" t="n">
        <f aca="false">IF(A1614="",0,IF(IFERROR(VLOOKUP(A1614,Skills!$A:$M,13,FALSE()),"")="COS",0,IF(OR(I1614="En cours",I1614="À venir",I1614="À planifier"),IF(AND(OR($C$3="Tous",$C$3="",C1614=$C$3),OR($E$3="Tous",$E$3="",I1614=$E$3)),1,0),0)))</f>
        <v>0</v>
      </c>
      <c r="L1614" s="104" t="n">
        <f aca="false">L1613+K1614</f>
        <v>19</v>
      </c>
    </row>
    <row r="1615" customFormat="false" ht="15" hidden="true" customHeight="true" outlineLevel="0" collapsed="false">
      <c r="F1615" s="116"/>
      <c r="G1615" s="116"/>
      <c r="K1615" s="104" t="n">
        <f aca="false">IF(A1615="",0,IF(IFERROR(VLOOKUP(A1615,Skills!$A:$M,13,FALSE()),"")="COS",0,IF(OR(I1615="En cours",I1615="À venir",I1615="À planifier"),IF(AND(OR($C$3="Tous",$C$3="",C1615=$C$3),OR($E$3="Tous",$E$3="",I1615=$E$3)),1,0),0)))</f>
        <v>0</v>
      </c>
      <c r="L1615" s="104" t="n">
        <f aca="false">L1614+K1615</f>
        <v>19</v>
      </c>
    </row>
    <row r="1616" customFormat="false" ht="15" hidden="true" customHeight="true" outlineLevel="0" collapsed="false">
      <c r="F1616" s="116"/>
      <c r="G1616" s="116"/>
      <c r="K1616" s="104" t="n">
        <f aca="false">IF(A1616="",0,IF(IFERROR(VLOOKUP(A1616,Skills!$A:$M,13,FALSE()),"")="COS",0,IF(OR(I1616="En cours",I1616="À venir",I1616="À planifier"),IF(AND(OR($C$3="Tous",$C$3="",C1616=$C$3),OR($E$3="Tous",$E$3="",I1616=$E$3)),1,0),0)))</f>
        <v>0</v>
      </c>
      <c r="L1616" s="104" t="n">
        <f aca="false">L1615+K1616</f>
        <v>19</v>
      </c>
    </row>
    <row r="1617" customFormat="false" ht="15" hidden="true" customHeight="true" outlineLevel="0" collapsed="false">
      <c r="F1617" s="116"/>
      <c r="G1617" s="116"/>
      <c r="K1617" s="104" t="n">
        <f aca="false">IF(A1617="",0,IF(IFERROR(VLOOKUP(A1617,Skills!$A:$M,13,FALSE()),"")="COS",0,IF(OR(I1617="En cours",I1617="À venir",I1617="À planifier"),IF(AND(OR($C$3="Tous",$C$3="",C1617=$C$3),OR($E$3="Tous",$E$3="",I1617=$E$3)),1,0),0)))</f>
        <v>0</v>
      </c>
      <c r="L1617" s="104" t="n">
        <f aca="false">L1616+K1617</f>
        <v>19</v>
      </c>
    </row>
    <row r="1618" customFormat="false" ht="15" hidden="true" customHeight="true" outlineLevel="0" collapsed="false">
      <c r="F1618" s="116"/>
      <c r="G1618" s="116"/>
      <c r="K1618" s="104" t="n">
        <f aca="false">IF(A1618="",0,IF(IFERROR(VLOOKUP(A1618,Skills!$A:$M,13,FALSE()),"")="COS",0,IF(OR(I1618="En cours",I1618="À venir",I1618="À planifier"),IF(AND(OR($C$3="Tous",$C$3="",C1618=$C$3),OR($E$3="Tous",$E$3="",I1618=$E$3)),1,0),0)))</f>
        <v>0</v>
      </c>
      <c r="L1618" s="104" t="n">
        <f aca="false">L1617+K1618</f>
        <v>19</v>
      </c>
    </row>
    <row r="1619" customFormat="false" ht="15" hidden="true" customHeight="true" outlineLevel="0" collapsed="false">
      <c r="F1619" s="116"/>
      <c r="G1619" s="116"/>
      <c r="K1619" s="104" t="n">
        <f aca="false">IF(A1619="",0,IF(IFERROR(VLOOKUP(A1619,Skills!$A:$M,13,FALSE()),"")="COS",0,IF(OR(I1619="En cours",I1619="À venir",I1619="À planifier"),IF(AND(OR($C$3="Tous",$C$3="",C1619=$C$3),OR($E$3="Tous",$E$3="",I1619=$E$3)),1,0),0)))</f>
        <v>0</v>
      </c>
      <c r="L1619" s="104" t="n">
        <f aca="false">L1618+K1619</f>
        <v>19</v>
      </c>
    </row>
    <row r="1620" customFormat="false" ht="15" hidden="true" customHeight="true" outlineLevel="0" collapsed="false">
      <c r="F1620" s="116"/>
      <c r="G1620" s="116"/>
      <c r="K1620" s="104" t="n">
        <f aca="false">IF(A1620="",0,IF(IFERROR(VLOOKUP(A1620,Skills!$A:$M,13,FALSE()),"")="COS",0,IF(OR(I1620="En cours",I1620="À venir",I1620="À planifier"),IF(AND(OR($C$3="Tous",$C$3="",C1620=$C$3),OR($E$3="Tous",$E$3="",I1620=$E$3)),1,0),0)))</f>
        <v>0</v>
      </c>
      <c r="L1620" s="104" t="n">
        <f aca="false">L1619+K1620</f>
        <v>19</v>
      </c>
    </row>
    <row r="1621" customFormat="false" ht="15" hidden="true" customHeight="true" outlineLevel="0" collapsed="false">
      <c r="F1621" s="116"/>
      <c r="G1621" s="116"/>
      <c r="K1621" s="104" t="n">
        <f aca="false">IF(A1621="",0,IF(IFERROR(VLOOKUP(A1621,Skills!$A:$M,13,FALSE()),"")="COS",0,IF(OR(I1621="En cours",I1621="À venir",I1621="À planifier"),IF(AND(OR($C$3="Tous",$C$3="",C1621=$C$3),OR($E$3="Tous",$E$3="",I1621=$E$3)),1,0),0)))</f>
        <v>0</v>
      </c>
      <c r="L1621" s="104" t="n">
        <f aca="false">L1620+K1621</f>
        <v>19</v>
      </c>
    </row>
    <row r="1622" customFormat="false" ht="15" hidden="true" customHeight="true" outlineLevel="0" collapsed="false">
      <c r="F1622" s="116"/>
      <c r="G1622" s="116"/>
      <c r="K1622" s="104" t="n">
        <f aca="false">IF(A1622="",0,IF(IFERROR(VLOOKUP(A1622,Skills!$A:$M,13,FALSE()),"")="COS",0,IF(OR(I1622="En cours",I1622="À venir",I1622="À planifier"),IF(AND(OR($C$3="Tous",$C$3="",C1622=$C$3),OR($E$3="Tous",$E$3="",I1622=$E$3)),1,0),0)))</f>
        <v>0</v>
      </c>
      <c r="L1622" s="104" t="n">
        <f aca="false">L1621+K1622</f>
        <v>19</v>
      </c>
    </row>
    <row r="1623" customFormat="false" ht="15" hidden="true" customHeight="true" outlineLevel="0" collapsed="false">
      <c r="F1623" s="116"/>
      <c r="G1623" s="116"/>
      <c r="K1623" s="104" t="n">
        <f aca="false">IF(A1623="",0,IF(IFERROR(VLOOKUP(A1623,Skills!$A:$M,13,FALSE()),"")="COS",0,IF(OR(I1623="En cours",I1623="À venir",I1623="À planifier"),IF(AND(OR($C$3="Tous",$C$3="",C1623=$C$3),OR($E$3="Tous",$E$3="",I1623=$E$3)),1,0),0)))</f>
        <v>0</v>
      </c>
      <c r="L1623" s="104" t="n">
        <f aca="false">L1622+K1623</f>
        <v>19</v>
      </c>
    </row>
    <row r="1624" customFormat="false" ht="15" hidden="true" customHeight="true" outlineLevel="0" collapsed="false">
      <c r="F1624" s="116"/>
      <c r="G1624" s="116"/>
      <c r="K1624" s="104" t="n">
        <f aca="false">IF(A1624="",0,IF(IFERROR(VLOOKUP(A1624,Skills!$A:$M,13,FALSE()),"")="COS",0,IF(OR(I1624="En cours",I1624="À venir",I1624="À planifier"),IF(AND(OR($C$3="Tous",$C$3="",C1624=$C$3),OR($E$3="Tous",$E$3="",I1624=$E$3)),1,0),0)))</f>
        <v>0</v>
      </c>
      <c r="L1624" s="104" t="n">
        <f aca="false">L1623+K1624</f>
        <v>19</v>
      </c>
    </row>
    <row r="1625" customFormat="false" ht="15" hidden="true" customHeight="true" outlineLevel="0" collapsed="false">
      <c r="F1625" s="116"/>
      <c r="G1625" s="116"/>
      <c r="K1625" s="104" t="n">
        <f aca="false">IF(A1625="",0,IF(IFERROR(VLOOKUP(A1625,Skills!$A:$M,13,FALSE()),"")="COS",0,IF(OR(I1625="En cours",I1625="À venir",I1625="À planifier"),IF(AND(OR($C$3="Tous",$C$3="",C1625=$C$3),OR($E$3="Tous",$E$3="",I1625=$E$3)),1,0),0)))</f>
        <v>0</v>
      </c>
      <c r="L1625" s="104" t="n">
        <f aca="false">L1624+K1625</f>
        <v>19</v>
      </c>
    </row>
    <row r="1626" customFormat="false" ht="15" hidden="true" customHeight="true" outlineLevel="0" collapsed="false">
      <c r="F1626" s="116"/>
      <c r="G1626" s="116"/>
      <c r="K1626" s="104" t="n">
        <f aca="false">IF(A1626="",0,IF(IFERROR(VLOOKUP(A1626,Skills!$A:$M,13,FALSE()),"")="COS",0,IF(OR(I1626="En cours",I1626="À venir",I1626="À planifier"),IF(AND(OR($C$3="Tous",$C$3="",C1626=$C$3),OR($E$3="Tous",$E$3="",I1626=$E$3)),1,0),0)))</f>
        <v>0</v>
      </c>
      <c r="L1626" s="104" t="n">
        <f aca="false">L1625+K1626</f>
        <v>19</v>
      </c>
    </row>
    <row r="1627" customFormat="false" ht="15" hidden="true" customHeight="true" outlineLevel="0" collapsed="false">
      <c r="F1627" s="116"/>
      <c r="G1627" s="116"/>
      <c r="K1627" s="104" t="n">
        <f aca="false">IF(A1627="",0,IF(IFERROR(VLOOKUP(A1627,Skills!$A:$M,13,FALSE()),"")="COS",0,IF(OR(I1627="En cours",I1627="À venir",I1627="À planifier"),IF(AND(OR($C$3="Tous",$C$3="",C1627=$C$3),OR($E$3="Tous",$E$3="",I1627=$E$3)),1,0),0)))</f>
        <v>0</v>
      </c>
      <c r="L1627" s="104" t="n">
        <f aca="false">L1626+K1627</f>
        <v>19</v>
      </c>
    </row>
    <row r="1628" customFormat="false" ht="15" hidden="true" customHeight="true" outlineLevel="0" collapsed="false">
      <c r="F1628" s="116"/>
      <c r="G1628" s="116"/>
      <c r="K1628" s="104" t="n">
        <f aca="false">IF(A1628="",0,IF(IFERROR(VLOOKUP(A1628,Skills!$A:$M,13,FALSE()),"")="COS",0,IF(OR(I1628="En cours",I1628="À venir",I1628="À planifier"),IF(AND(OR($C$3="Tous",$C$3="",C1628=$C$3),OR($E$3="Tous",$E$3="",I1628=$E$3)),1,0),0)))</f>
        <v>0</v>
      </c>
      <c r="L1628" s="104" t="n">
        <f aca="false">L1627+K1628</f>
        <v>19</v>
      </c>
    </row>
    <row r="1629" customFormat="false" ht="15" hidden="true" customHeight="true" outlineLevel="0" collapsed="false">
      <c r="F1629" s="116"/>
      <c r="G1629" s="116"/>
      <c r="K1629" s="104" t="n">
        <f aca="false">IF(A1629="",0,IF(IFERROR(VLOOKUP(A1629,Skills!$A:$M,13,FALSE()),"")="COS",0,IF(OR(I1629="En cours",I1629="À venir",I1629="À planifier"),IF(AND(OR($C$3="Tous",$C$3="",C1629=$C$3),OR($E$3="Tous",$E$3="",I1629=$E$3)),1,0),0)))</f>
        <v>0</v>
      </c>
      <c r="L1629" s="104" t="n">
        <f aca="false">L1628+K1629</f>
        <v>19</v>
      </c>
    </row>
    <row r="1630" customFormat="false" ht="15" hidden="true" customHeight="true" outlineLevel="0" collapsed="false">
      <c r="F1630" s="116"/>
      <c r="G1630" s="116"/>
      <c r="K1630" s="104" t="n">
        <f aca="false">IF(A1630="",0,IF(IFERROR(VLOOKUP(A1630,Skills!$A:$M,13,FALSE()),"")="COS",0,IF(OR(I1630="En cours",I1630="À venir",I1630="À planifier"),IF(AND(OR($C$3="Tous",$C$3="",C1630=$C$3),OR($E$3="Tous",$E$3="",I1630=$E$3)),1,0),0)))</f>
        <v>0</v>
      </c>
      <c r="L1630" s="104" t="n">
        <f aca="false">L1629+K1630</f>
        <v>19</v>
      </c>
    </row>
    <row r="1631" customFormat="false" ht="15" hidden="true" customHeight="true" outlineLevel="0" collapsed="false">
      <c r="F1631" s="116"/>
      <c r="G1631" s="116"/>
      <c r="K1631" s="104" t="n">
        <f aca="false">IF(A1631="",0,IF(IFERROR(VLOOKUP(A1631,Skills!$A:$M,13,FALSE()),"")="COS",0,IF(OR(I1631="En cours",I1631="À venir",I1631="À planifier"),IF(AND(OR($C$3="Tous",$C$3="",C1631=$C$3),OR($E$3="Tous",$E$3="",I1631=$E$3)),1,0),0)))</f>
        <v>0</v>
      </c>
      <c r="L1631" s="104" t="n">
        <f aca="false">L1630+K1631</f>
        <v>19</v>
      </c>
    </row>
    <row r="1632" customFormat="false" ht="15" hidden="true" customHeight="true" outlineLevel="0" collapsed="false">
      <c r="F1632" s="116"/>
      <c r="G1632" s="116"/>
      <c r="K1632" s="104" t="n">
        <f aca="false">IF(A1632="",0,IF(IFERROR(VLOOKUP(A1632,Skills!$A:$M,13,FALSE()),"")="COS",0,IF(OR(I1632="En cours",I1632="À venir",I1632="À planifier"),IF(AND(OR($C$3="Tous",$C$3="",C1632=$C$3),OR($E$3="Tous",$E$3="",I1632=$E$3)),1,0),0)))</f>
        <v>0</v>
      </c>
      <c r="L1632" s="104" t="n">
        <f aca="false">L1631+K1632</f>
        <v>19</v>
      </c>
    </row>
    <row r="1633" customFormat="false" ht="15" hidden="true" customHeight="true" outlineLevel="0" collapsed="false">
      <c r="F1633" s="116"/>
      <c r="G1633" s="116"/>
      <c r="K1633" s="104" t="n">
        <f aca="false">IF(A1633="",0,IF(IFERROR(VLOOKUP(A1633,Skills!$A:$M,13,FALSE()),"")="COS",0,IF(OR(I1633="En cours",I1633="À venir",I1633="À planifier"),IF(AND(OR($C$3="Tous",$C$3="",C1633=$C$3),OR($E$3="Tous",$E$3="",I1633=$E$3)),1,0),0)))</f>
        <v>0</v>
      </c>
      <c r="L1633" s="104" t="n">
        <f aca="false">L1632+K1633</f>
        <v>19</v>
      </c>
    </row>
    <row r="1634" customFormat="false" ht="15" hidden="true" customHeight="true" outlineLevel="0" collapsed="false">
      <c r="F1634" s="116"/>
      <c r="G1634" s="116"/>
      <c r="K1634" s="104" t="n">
        <f aca="false">IF(A1634="",0,IF(IFERROR(VLOOKUP(A1634,Skills!$A:$M,13,FALSE()),"")="COS",0,IF(OR(I1634="En cours",I1634="À venir",I1634="À planifier"),IF(AND(OR($C$3="Tous",$C$3="",C1634=$C$3),OR($E$3="Tous",$E$3="",I1634=$E$3)),1,0),0)))</f>
        <v>0</v>
      </c>
      <c r="L1634" s="104" t="n">
        <f aca="false">L1633+K1634</f>
        <v>19</v>
      </c>
    </row>
    <row r="1635" customFormat="false" ht="15" hidden="true" customHeight="true" outlineLevel="0" collapsed="false">
      <c r="F1635" s="116"/>
      <c r="G1635" s="116"/>
      <c r="K1635" s="104" t="n">
        <f aca="false">IF(A1635="",0,IF(IFERROR(VLOOKUP(A1635,Skills!$A:$M,13,FALSE()),"")="COS",0,IF(OR(I1635="En cours",I1635="À venir",I1635="À planifier"),IF(AND(OR($C$3="Tous",$C$3="",C1635=$C$3),OR($E$3="Tous",$E$3="",I1635=$E$3)),1,0),0)))</f>
        <v>0</v>
      </c>
      <c r="L1635" s="104" t="n">
        <f aca="false">L1634+K1635</f>
        <v>19</v>
      </c>
    </row>
    <row r="1636" customFormat="false" ht="15" hidden="true" customHeight="true" outlineLevel="0" collapsed="false">
      <c r="F1636" s="116"/>
      <c r="G1636" s="116"/>
      <c r="K1636" s="104" t="n">
        <f aca="false">IF(A1636="",0,IF(IFERROR(VLOOKUP(A1636,Skills!$A:$M,13,FALSE()),"")="COS",0,IF(OR(I1636="En cours",I1636="À venir",I1636="À planifier"),IF(AND(OR($C$3="Tous",$C$3="",C1636=$C$3),OR($E$3="Tous",$E$3="",I1636=$E$3)),1,0),0)))</f>
        <v>0</v>
      </c>
      <c r="L1636" s="104" t="n">
        <f aca="false">L1635+K1636</f>
        <v>19</v>
      </c>
    </row>
    <row r="1637" customFormat="false" ht="15" hidden="true" customHeight="true" outlineLevel="0" collapsed="false">
      <c r="F1637" s="116"/>
      <c r="G1637" s="116"/>
      <c r="K1637" s="104" t="n">
        <f aca="false">IF(A1637="",0,IF(IFERROR(VLOOKUP(A1637,Skills!$A:$M,13,FALSE()),"")="COS",0,IF(OR(I1637="En cours",I1637="À venir",I1637="À planifier"),IF(AND(OR($C$3="Tous",$C$3="",C1637=$C$3),OR($E$3="Tous",$E$3="",I1637=$E$3)),1,0),0)))</f>
        <v>0</v>
      </c>
      <c r="L1637" s="104" t="n">
        <f aca="false">L1636+K1637</f>
        <v>19</v>
      </c>
    </row>
    <row r="1638" customFormat="false" ht="15" hidden="true" customHeight="true" outlineLevel="0" collapsed="false">
      <c r="F1638" s="116"/>
      <c r="G1638" s="116"/>
      <c r="K1638" s="104" t="n">
        <f aca="false">IF(A1638="",0,IF(IFERROR(VLOOKUP(A1638,Skills!$A:$M,13,FALSE()),"")="COS",0,IF(OR(I1638="En cours",I1638="À venir",I1638="À planifier"),IF(AND(OR($C$3="Tous",$C$3="",C1638=$C$3),OR($E$3="Tous",$E$3="",I1638=$E$3)),1,0),0)))</f>
        <v>0</v>
      </c>
      <c r="L1638" s="104" t="n">
        <f aca="false">L1637+K1638</f>
        <v>19</v>
      </c>
    </row>
    <row r="1639" customFormat="false" ht="15" hidden="true" customHeight="true" outlineLevel="0" collapsed="false">
      <c r="F1639" s="116"/>
      <c r="G1639" s="116"/>
      <c r="K1639" s="104" t="n">
        <f aca="false">IF(A1639="",0,IF(IFERROR(VLOOKUP(A1639,Skills!$A:$M,13,FALSE()),"")="COS",0,IF(OR(I1639="En cours",I1639="À venir",I1639="À planifier"),IF(AND(OR($C$3="Tous",$C$3="",C1639=$C$3),OR($E$3="Tous",$E$3="",I1639=$E$3)),1,0),0)))</f>
        <v>0</v>
      </c>
      <c r="L1639" s="104" t="n">
        <f aca="false">L1638+K1639</f>
        <v>19</v>
      </c>
    </row>
    <row r="1640" customFormat="false" ht="15" hidden="true" customHeight="true" outlineLevel="0" collapsed="false">
      <c r="F1640" s="116"/>
      <c r="G1640" s="116"/>
      <c r="K1640" s="104" t="n">
        <f aca="false">IF(A1640="",0,IF(IFERROR(VLOOKUP(A1640,Skills!$A:$M,13,FALSE()),"")="COS",0,IF(OR(I1640="En cours",I1640="À venir",I1640="À planifier"),IF(AND(OR($C$3="Tous",$C$3="",C1640=$C$3),OR($E$3="Tous",$E$3="",I1640=$E$3)),1,0),0)))</f>
        <v>0</v>
      </c>
      <c r="L1640" s="104" t="n">
        <f aca="false">L1639+K1640</f>
        <v>19</v>
      </c>
    </row>
    <row r="1641" customFormat="false" ht="15" hidden="true" customHeight="true" outlineLevel="0" collapsed="false">
      <c r="F1641" s="116"/>
      <c r="G1641" s="116"/>
      <c r="K1641" s="104" t="n">
        <f aca="false">IF(A1641="",0,IF(IFERROR(VLOOKUP(A1641,Skills!$A:$M,13,FALSE()),"")="COS",0,IF(OR(I1641="En cours",I1641="À venir",I1641="À planifier"),IF(AND(OR($C$3="Tous",$C$3="",C1641=$C$3),OR($E$3="Tous",$E$3="",I1641=$E$3)),1,0),0)))</f>
        <v>0</v>
      </c>
      <c r="L1641" s="104" t="n">
        <f aca="false">L1640+K1641</f>
        <v>19</v>
      </c>
    </row>
    <row r="1642" customFormat="false" ht="15" hidden="true" customHeight="true" outlineLevel="0" collapsed="false">
      <c r="F1642" s="116"/>
      <c r="G1642" s="116"/>
      <c r="K1642" s="104" t="n">
        <f aca="false">IF(A1642="",0,IF(IFERROR(VLOOKUP(A1642,Skills!$A:$M,13,FALSE()),"")="COS",0,IF(OR(I1642="En cours",I1642="À venir",I1642="À planifier"),IF(AND(OR($C$3="Tous",$C$3="",C1642=$C$3),OR($E$3="Tous",$E$3="",I1642=$E$3)),1,0),0)))</f>
        <v>0</v>
      </c>
      <c r="L1642" s="104" t="n">
        <f aca="false">L1641+K1642</f>
        <v>19</v>
      </c>
    </row>
    <row r="1643" customFormat="false" ht="15" hidden="true" customHeight="true" outlineLevel="0" collapsed="false">
      <c r="F1643" s="116"/>
      <c r="G1643" s="116"/>
      <c r="K1643" s="104" t="n">
        <f aca="false">IF(A1643="",0,IF(IFERROR(VLOOKUP(A1643,Skills!$A:$M,13,FALSE()),"")="COS",0,IF(OR(I1643="En cours",I1643="À venir",I1643="À planifier"),IF(AND(OR($C$3="Tous",$C$3="",C1643=$C$3),OR($E$3="Tous",$E$3="",I1643=$E$3)),1,0),0)))</f>
        <v>0</v>
      </c>
      <c r="L1643" s="104" t="n">
        <f aca="false">L1642+K1643</f>
        <v>19</v>
      </c>
    </row>
    <row r="1644" customFormat="false" ht="15" hidden="true" customHeight="true" outlineLevel="0" collapsed="false">
      <c r="F1644" s="116"/>
      <c r="G1644" s="116"/>
      <c r="K1644" s="104" t="n">
        <f aca="false">IF(A1644="",0,IF(IFERROR(VLOOKUP(A1644,Skills!$A:$M,13,FALSE()),"")="COS",0,IF(OR(I1644="En cours",I1644="À venir",I1644="À planifier"),IF(AND(OR($C$3="Tous",$C$3="",C1644=$C$3),OR($E$3="Tous",$E$3="",I1644=$E$3)),1,0),0)))</f>
        <v>0</v>
      </c>
      <c r="L1644" s="104" t="n">
        <f aca="false">L1643+K1644</f>
        <v>19</v>
      </c>
    </row>
    <row r="1645" customFormat="false" ht="15" hidden="true" customHeight="true" outlineLevel="0" collapsed="false">
      <c r="F1645" s="116"/>
      <c r="G1645" s="116"/>
      <c r="K1645" s="104" t="n">
        <f aca="false">IF(A1645="",0,IF(IFERROR(VLOOKUP(A1645,Skills!$A:$M,13,FALSE()),"")="COS",0,IF(OR(I1645="En cours",I1645="À venir",I1645="À planifier"),IF(AND(OR($C$3="Tous",$C$3="",C1645=$C$3),OR($E$3="Tous",$E$3="",I1645=$E$3)),1,0),0)))</f>
        <v>0</v>
      </c>
      <c r="L1645" s="104" t="n">
        <f aca="false">L1644+K1645</f>
        <v>19</v>
      </c>
    </row>
    <row r="1646" customFormat="false" ht="15" hidden="true" customHeight="true" outlineLevel="0" collapsed="false">
      <c r="F1646" s="116"/>
      <c r="G1646" s="116"/>
      <c r="K1646" s="104" t="n">
        <f aca="false">IF(A1646="",0,IF(IFERROR(VLOOKUP(A1646,Skills!$A:$M,13,FALSE()),"")="COS",0,IF(OR(I1646="En cours",I1646="À venir",I1646="À planifier"),IF(AND(OR($C$3="Tous",$C$3="",C1646=$C$3),OR($E$3="Tous",$E$3="",I1646=$E$3)),1,0),0)))</f>
        <v>0</v>
      </c>
      <c r="L1646" s="104" t="n">
        <f aca="false">L1645+K1646</f>
        <v>19</v>
      </c>
    </row>
    <row r="1647" customFormat="false" ht="15" hidden="true" customHeight="true" outlineLevel="0" collapsed="false">
      <c r="F1647" s="116"/>
      <c r="G1647" s="116"/>
      <c r="K1647" s="104" t="n">
        <f aca="false">IF(A1647="",0,IF(IFERROR(VLOOKUP(A1647,Skills!$A:$M,13,FALSE()),"")="COS",0,IF(OR(I1647="En cours",I1647="À venir",I1647="À planifier"),IF(AND(OR($C$3="Tous",$C$3="",C1647=$C$3),OR($E$3="Tous",$E$3="",I1647=$E$3)),1,0),0)))</f>
        <v>0</v>
      </c>
      <c r="L1647" s="104" t="n">
        <f aca="false">L1646+K1647</f>
        <v>19</v>
      </c>
    </row>
    <row r="1648" customFormat="false" ht="15" hidden="true" customHeight="true" outlineLevel="0" collapsed="false">
      <c r="F1648" s="116"/>
      <c r="G1648" s="116"/>
      <c r="K1648" s="104" t="n">
        <f aca="false">IF(A1648="",0,IF(IFERROR(VLOOKUP(A1648,Skills!$A:$M,13,FALSE()),"")="COS",0,IF(OR(I1648="En cours",I1648="À venir",I1648="À planifier"),IF(AND(OR($C$3="Tous",$C$3="",C1648=$C$3),OR($E$3="Tous",$E$3="",I1648=$E$3)),1,0),0)))</f>
        <v>0</v>
      </c>
      <c r="L1648" s="104" t="n">
        <f aca="false">L1647+K1648</f>
        <v>19</v>
      </c>
    </row>
    <row r="1649" customFormat="false" ht="15" hidden="true" customHeight="true" outlineLevel="0" collapsed="false">
      <c r="F1649" s="116"/>
      <c r="G1649" s="116"/>
      <c r="K1649" s="104" t="n">
        <f aca="false">IF(A1649="",0,IF(IFERROR(VLOOKUP(A1649,Skills!$A:$M,13,FALSE()),"")="COS",0,IF(OR(I1649="En cours",I1649="À venir",I1649="À planifier"),IF(AND(OR($C$3="Tous",$C$3="",C1649=$C$3),OR($E$3="Tous",$E$3="",I1649=$E$3)),1,0),0)))</f>
        <v>0</v>
      </c>
      <c r="L1649" s="104" t="n">
        <f aca="false">L1648+K1649</f>
        <v>19</v>
      </c>
    </row>
    <row r="1650" customFormat="false" ht="15" hidden="true" customHeight="true" outlineLevel="0" collapsed="false">
      <c r="F1650" s="116"/>
      <c r="G1650" s="116"/>
      <c r="K1650" s="104" t="n">
        <f aca="false">IF(A1650="",0,IF(IFERROR(VLOOKUP(A1650,Skills!$A:$M,13,FALSE()),"")="COS",0,IF(OR(I1650="En cours",I1650="À venir",I1650="À planifier"),IF(AND(OR($C$3="Tous",$C$3="",C1650=$C$3),OR($E$3="Tous",$E$3="",I1650=$E$3)),1,0),0)))</f>
        <v>0</v>
      </c>
      <c r="L1650" s="104" t="n">
        <f aca="false">L1649+K1650</f>
        <v>19</v>
      </c>
    </row>
    <row r="1651" customFormat="false" ht="15" hidden="true" customHeight="true" outlineLevel="0" collapsed="false">
      <c r="F1651" s="116"/>
      <c r="G1651" s="116"/>
      <c r="K1651" s="104" t="n">
        <f aca="false">IF(A1651="",0,IF(IFERROR(VLOOKUP(A1651,Skills!$A:$M,13,FALSE()),"")="COS",0,IF(OR(I1651="En cours",I1651="À venir",I1651="À planifier"),IF(AND(OR($C$3="Tous",$C$3="",C1651=$C$3),OR($E$3="Tous",$E$3="",I1651=$E$3)),1,0),0)))</f>
        <v>0</v>
      </c>
      <c r="L1651" s="104" t="n">
        <f aca="false">L1650+K1651</f>
        <v>19</v>
      </c>
    </row>
    <row r="1652" customFormat="false" ht="15" hidden="true" customHeight="true" outlineLevel="0" collapsed="false">
      <c r="F1652" s="116"/>
      <c r="G1652" s="116"/>
      <c r="K1652" s="104" t="n">
        <f aca="false">IF(A1652="",0,IF(IFERROR(VLOOKUP(A1652,Skills!$A:$M,13,FALSE()),"")="COS",0,IF(OR(I1652="En cours",I1652="À venir",I1652="À planifier"),IF(AND(OR($C$3="Tous",$C$3="",C1652=$C$3),OR($E$3="Tous",$E$3="",I1652=$E$3)),1,0),0)))</f>
        <v>0</v>
      </c>
      <c r="L1652" s="104" t="n">
        <f aca="false">L1651+K1652</f>
        <v>19</v>
      </c>
    </row>
    <row r="1653" customFormat="false" ht="15" hidden="true" customHeight="true" outlineLevel="0" collapsed="false">
      <c r="F1653" s="116"/>
      <c r="G1653" s="116"/>
      <c r="K1653" s="104" t="n">
        <f aca="false">IF(A1653="",0,IF(IFERROR(VLOOKUP(A1653,Skills!$A:$M,13,FALSE()),"")="COS",0,IF(OR(I1653="En cours",I1653="À venir",I1653="À planifier"),IF(AND(OR($C$3="Tous",$C$3="",C1653=$C$3),OR($E$3="Tous",$E$3="",I1653=$E$3)),1,0),0)))</f>
        <v>0</v>
      </c>
      <c r="L1653" s="104" t="n">
        <f aca="false">L1652+K1653</f>
        <v>19</v>
      </c>
    </row>
    <row r="1654" customFormat="false" ht="15" hidden="true" customHeight="true" outlineLevel="0" collapsed="false">
      <c r="F1654" s="116"/>
      <c r="G1654" s="116"/>
      <c r="K1654" s="104" t="n">
        <f aca="false">IF(A1654="",0,IF(IFERROR(VLOOKUP(A1654,Skills!$A:$M,13,FALSE()),"")="COS",0,IF(OR(I1654="En cours",I1654="À venir",I1654="À planifier"),IF(AND(OR($C$3="Tous",$C$3="",C1654=$C$3),OR($E$3="Tous",$E$3="",I1654=$E$3)),1,0),0)))</f>
        <v>0</v>
      </c>
      <c r="L1654" s="104" t="n">
        <f aca="false">L1653+K1654</f>
        <v>19</v>
      </c>
    </row>
    <row r="1655" customFormat="false" ht="15" hidden="true" customHeight="true" outlineLevel="0" collapsed="false">
      <c r="F1655" s="116"/>
      <c r="G1655" s="116"/>
      <c r="K1655" s="104" t="n">
        <f aca="false">IF(A1655="",0,IF(IFERROR(VLOOKUP(A1655,Skills!$A:$M,13,FALSE()),"")="COS",0,IF(OR(I1655="En cours",I1655="À venir",I1655="À planifier"),IF(AND(OR($C$3="Tous",$C$3="",C1655=$C$3),OR($E$3="Tous",$E$3="",I1655=$E$3)),1,0),0)))</f>
        <v>0</v>
      </c>
      <c r="L1655" s="104" t="n">
        <f aca="false">L1654+K1655</f>
        <v>19</v>
      </c>
    </row>
    <row r="1656" customFormat="false" ht="15" hidden="true" customHeight="true" outlineLevel="0" collapsed="false">
      <c r="F1656" s="116"/>
      <c r="G1656" s="116"/>
      <c r="K1656" s="104" t="n">
        <f aca="false">IF(A1656="",0,IF(IFERROR(VLOOKUP(A1656,Skills!$A:$M,13,FALSE()),"")="COS",0,IF(OR(I1656="En cours",I1656="À venir",I1656="À planifier"),IF(AND(OR($C$3="Tous",$C$3="",C1656=$C$3),OR($E$3="Tous",$E$3="",I1656=$E$3)),1,0),0)))</f>
        <v>0</v>
      </c>
      <c r="L1656" s="104" t="n">
        <f aca="false">L1655+K1656</f>
        <v>19</v>
      </c>
    </row>
    <row r="1657" customFormat="false" ht="15" hidden="true" customHeight="true" outlineLevel="0" collapsed="false">
      <c r="F1657" s="116"/>
      <c r="G1657" s="116"/>
      <c r="K1657" s="104" t="n">
        <f aca="false">IF(A1657="",0,IF(IFERROR(VLOOKUP(A1657,Skills!$A:$M,13,FALSE()),"")="COS",0,IF(OR(I1657="En cours",I1657="À venir",I1657="À planifier"),IF(AND(OR($C$3="Tous",$C$3="",C1657=$C$3),OR($E$3="Tous",$E$3="",I1657=$E$3)),1,0),0)))</f>
        <v>0</v>
      </c>
      <c r="L1657" s="104" t="n">
        <f aca="false">L1656+K1657</f>
        <v>19</v>
      </c>
    </row>
    <row r="1658" customFormat="false" ht="15" hidden="true" customHeight="true" outlineLevel="0" collapsed="false">
      <c r="F1658" s="116"/>
      <c r="G1658" s="116"/>
      <c r="K1658" s="104" t="n">
        <f aca="false">IF(A1658="",0,IF(IFERROR(VLOOKUP(A1658,Skills!$A:$M,13,FALSE()),"")="COS",0,IF(OR(I1658="En cours",I1658="À venir",I1658="À planifier"),IF(AND(OR($C$3="Tous",$C$3="",C1658=$C$3),OR($E$3="Tous",$E$3="",I1658=$E$3)),1,0),0)))</f>
        <v>0</v>
      </c>
      <c r="L1658" s="104" t="n">
        <f aca="false">L1657+K1658</f>
        <v>19</v>
      </c>
    </row>
    <row r="1659" customFormat="false" ht="15" hidden="true" customHeight="true" outlineLevel="0" collapsed="false">
      <c r="F1659" s="116"/>
      <c r="G1659" s="116"/>
      <c r="K1659" s="104" t="n">
        <f aca="false">IF(A1659="",0,IF(IFERROR(VLOOKUP(A1659,Skills!$A:$M,13,FALSE()),"")="COS",0,IF(OR(I1659="En cours",I1659="À venir",I1659="À planifier"),IF(AND(OR($C$3="Tous",$C$3="",C1659=$C$3),OR($E$3="Tous",$E$3="",I1659=$E$3)),1,0),0)))</f>
        <v>0</v>
      </c>
      <c r="L1659" s="104" t="n">
        <f aca="false">L1658+K1659</f>
        <v>19</v>
      </c>
    </row>
    <row r="1660" customFormat="false" ht="15" hidden="true" customHeight="true" outlineLevel="0" collapsed="false">
      <c r="F1660" s="116"/>
      <c r="G1660" s="116"/>
      <c r="K1660" s="104" t="n">
        <f aca="false">IF(A1660="",0,IF(IFERROR(VLOOKUP(A1660,Skills!$A:$M,13,FALSE()),"")="COS",0,IF(OR(I1660="En cours",I1660="À venir",I1660="À planifier"),IF(AND(OR($C$3="Tous",$C$3="",C1660=$C$3),OR($E$3="Tous",$E$3="",I1660=$E$3)),1,0),0)))</f>
        <v>0</v>
      </c>
      <c r="L1660" s="104" t="n">
        <f aca="false">L1659+K1660</f>
        <v>19</v>
      </c>
    </row>
    <row r="1661" customFormat="false" ht="15" hidden="true" customHeight="true" outlineLevel="0" collapsed="false">
      <c r="F1661" s="116"/>
      <c r="G1661" s="116"/>
      <c r="K1661" s="104" t="n">
        <f aca="false">IF(A1661="",0,IF(IFERROR(VLOOKUP(A1661,Skills!$A:$M,13,FALSE()),"")="COS",0,IF(OR(I1661="En cours",I1661="À venir",I1661="À planifier"),IF(AND(OR($C$3="Tous",$C$3="",C1661=$C$3),OR($E$3="Tous",$E$3="",I1661=$E$3)),1,0),0)))</f>
        <v>0</v>
      </c>
      <c r="L1661" s="104" t="n">
        <f aca="false">L1660+K1661</f>
        <v>19</v>
      </c>
    </row>
    <row r="1662" customFormat="false" ht="15" hidden="true" customHeight="true" outlineLevel="0" collapsed="false">
      <c r="F1662" s="116"/>
      <c r="G1662" s="116"/>
      <c r="K1662" s="104" t="n">
        <f aca="false">IF(A1662="",0,IF(IFERROR(VLOOKUP(A1662,Skills!$A:$M,13,FALSE()),"")="COS",0,IF(OR(I1662="En cours",I1662="À venir",I1662="À planifier"),IF(AND(OR($C$3="Tous",$C$3="",C1662=$C$3),OR($E$3="Tous",$E$3="",I1662=$E$3)),1,0),0)))</f>
        <v>0</v>
      </c>
      <c r="L1662" s="104" t="n">
        <f aca="false">L1661+K1662</f>
        <v>19</v>
      </c>
    </row>
    <row r="1663" customFormat="false" ht="15" hidden="true" customHeight="true" outlineLevel="0" collapsed="false">
      <c r="F1663" s="116"/>
      <c r="G1663" s="116"/>
      <c r="K1663" s="104" t="n">
        <f aca="false">IF(A1663="",0,IF(IFERROR(VLOOKUP(A1663,Skills!$A:$M,13,FALSE()),"")="COS",0,IF(OR(I1663="En cours",I1663="À venir",I1663="À planifier"),IF(AND(OR($C$3="Tous",$C$3="",C1663=$C$3),OR($E$3="Tous",$E$3="",I1663=$E$3)),1,0),0)))</f>
        <v>0</v>
      </c>
      <c r="L1663" s="104" t="n">
        <f aca="false">L1662+K1663</f>
        <v>19</v>
      </c>
    </row>
    <row r="1664" customFormat="false" ht="15" hidden="true" customHeight="true" outlineLevel="0" collapsed="false">
      <c r="F1664" s="116"/>
      <c r="G1664" s="116"/>
      <c r="K1664" s="104" t="n">
        <f aca="false">IF(A1664="",0,IF(IFERROR(VLOOKUP(A1664,Skills!$A:$M,13,FALSE()),"")="COS",0,IF(OR(I1664="En cours",I1664="À venir",I1664="À planifier"),IF(AND(OR($C$3="Tous",$C$3="",C1664=$C$3),OR($E$3="Tous",$E$3="",I1664=$E$3)),1,0),0)))</f>
        <v>0</v>
      </c>
      <c r="L1664" s="104" t="n">
        <f aca="false">L1663+K1664</f>
        <v>19</v>
      </c>
    </row>
    <row r="1665" customFormat="false" ht="15" hidden="true" customHeight="true" outlineLevel="0" collapsed="false">
      <c r="F1665" s="116"/>
      <c r="G1665" s="116"/>
      <c r="K1665" s="104" t="n">
        <f aca="false">IF(A1665="",0,IF(IFERROR(VLOOKUP(A1665,Skills!$A:$M,13,FALSE()),"")="COS",0,IF(OR(I1665="En cours",I1665="À venir",I1665="À planifier"),IF(AND(OR($C$3="Tous",$C$3="",C1665=$C$3),OR($E$3="Tous",$E$3="",I1665=$E$3)),1,0),0)))</f>
        <v>0</v>
      </c>
      <c r="L1665" s="104" t="n">
        <f aca="false">L1664+K1665</f>
        <v>19</v>
      </c>
    </row>
    <row r="1666" customFormat="false" ht="15" hidden="true" customHeight="true" outlineLevel="0" collapsed="false">
      <c r="F1666" s="116"/>
      <c r="G1666" s="116"/>
      <c r="K1666" s="104" t="n">
        <f aca="false">IF(A1666="",0,IF(IFERROR(VLOOKUP(A1666,Skills!$A:$M,13,FALSE()),"")="COS",0,IF(OR(I1666="En cours",I1666="À venir",I1666="À planifier"),IF(AND(OR($C$3="Tous",$C$3="",C1666=$C$3),OR($E$3="Tous",$E$3="",I1666=$E$3)),1,0),0)))</f>
        <v>0</v>
      </c>
      <c r="L1666" s="104" t="n">
        <f aca="false">L1665+K1666</f>
        <v>19</v>
      </c>
    </row>
    <row r="1667" customFormat="false" ht="15" hidden="true" customHeight="true" outlineLevel="0" collapsed="false">
      <c r="F1667" s="116"/>
      <c r="G1667" s="116"/>
      <c r="K1667" s="104" t="n">
        <f aca="false">IF(A1667="",0,IF(IFERROR(VLOOKUP(A1667,Skills!$A:$M,13,FALSE()),"")="COS",0,IF(OR(I1667="En cours",I1667="À venir",I1667="À planifier"),IF(AND(OR($C$3="Tous",$C$3="",C1667=$C$3),OR($E$3="Tous",$E$3="",I1667=$E$3)),1,0),0)))</f>
        <v>0</v>
      </c>
      <c r="L1667" s="104" t="n">
        <f aca="false">L1666+K1667</f>
        <v>19</v>
      </c>
    </row>
    <row r="1668" customFormat="false" ht="15" hidden="true" customHeight="true" outlineLevel="0" collapsed="false">
      <c r="F1668" s="116"/>
      <c r="G1668" s="116"/>
      <c r="K1668" s="104" t="n">
        <f aca="false">IF(A1668="",0,IF(IFERROR(VLOOKUP(A1668,Skills!$A:$M,13,FALSE()),"")="COS",0,IF(OR(I1668="En cours",I1668="À venir",I1668="À planifier"),IF(AND(OR($C$3="Tous",$C$3="",C1668=$C$3),OR($E$3="Tous",$E$3="",I1668=$E$3)),1,0),0)))</f>
        <v>0</v>
      </c>
      <c r="L1668" s="104" t="n">
        <f aca="false">L1667+K1668</f>
        <v>19</v>
      </c>
    </row>
    <row r="1669" customFormat="false" ht="15" hidden="true" customHeight="true" outlineLevel="0" collapsed="false">
      <c r="F1669" s="116"/>
      <c r="G1669" s="116"/>
      <c r="K1669" s="104" t="n">
        <f aca="false">IF(A1669="",0,IF(IFERROR(VLOOKUP(A1669,Skills!$A:$M,13,FALSE()),"")="COS",0,IF(OR(I1669="En cours",I1669="À venir",I1669="À planifier"),IF(AND(OR($C$3="Tous",$C$3="",C1669=$C$3),OR($E$3="Tous",$E$3="",I1669=$E$3)),1,0),0)))</f>
        <v>0</v>
      </c>
      <c r="L1669" s="104" t="n">
        <f aca="false">L1668+K1669</f>
        <v>19</v>
      </c>
    </row>
    <row r="1670" customFormat="false" ht="15" hidden="true" customHeight="true" outlineLevel="0" collapsed="false">
      <c r="F1670" s="116"/>
      <c r="G1670" s="116"/>
      <c r="K1670" s="104" t="n">
        <f aca="false">IF(A1670="",0,IF(IFERROR(VLOOKUP(A1670,Skills!$A:$M,13,FALSE()),"")="COS",0,IF(OR(I1670="En cours",I1670="À venir",I1670="À planifier"),IF(AND(OR($C$3="Tous",$C$3="",C1670=$C$3),OR($E$3="Tous",$E$3="",I1670=$E$3)),1,0),0)))</f>
        <v>0</v>
      </c>
      <c r="L1670" s="104" t="n">
        <f aca="false">L1669+K1670</f>
        <v>19</v>
      </c>
    </row>
    <row r="1671" customFormat="false" ht="15" hidden="true" customHeight="true" outlineLevel="0" collapsed="false">
      <c r="F1671" s="116"/>
      <c r="G1671" s="116"/>
      <c r="K1671" s="104" t="n">
        <f aca="false">IF(A1671="",0,IF(IFERROR(VLOOKUP(A1671,Skills!$A:$M,13,FALSE()),"")="COS",0,IF(OR(I1671="En cours",I1671="À venir",I1671="À planifier"),IF(AND(OR($C$3="Tous",$C$3="",C1671=$C$3),OR($E$3="Tous",$E$3="",I1671=$E$3)),1,0),0)))</f>
        <v>0</v>
      </c>
      <c r="L1671" s="104" t="n">
        <f aca="false">L1670+K1671</f>
        <v>19</v>
      </c>
    </row>
    <row r="1672" customFormat="false" ht="15" hidden="true" customHeight="true" outlineLevel="0" collapsed="false">
      <c r="F1672" s="116"/>
      <c r="G1672" s="116"/>
      <c r="K1672" s="104" t="n">
        <f aca="false">IF(A1672="",0,IF(IFERROR(VLOOKUP(A1672,Skills!$A:$M,13,FALSE()),"")="COS",0,IF(OR(I1672="En cours",I1672="À venir",I1672="À planifier"),IF(AND(OR($C$3="Tous",$C$3="",C1672=$C$3),OR($E$3="Tous",$E$3="",I1672=$E$3)),1,0),0)))</f>
        <v>0</v>
      </c>
      <c r="L1672" s="104" t="n">
        <f aca="false">L1671+K1672</f>
        <v>19</v>
      </c>
    </row>
    <row r="1673" customFormat="false" ht="15" hidden="true" customHeight="true" outlineLevel="0" collapsed="false">
      <c r="F1673" s="116"/>
      <c r="G1673" s="116"/>
      <c r="K1673" s="104" t="n">
        <f aca="false">IF(A1673="",0,IF(IFERROR(VLOOKUP(A1673,Skills!$A:$M,13,FALSE()),"")="COS",0,IF(OR(I1673="En cours",I1673="À venir",I1673="À planifier"),IF(AND(OR($C$3="Tous",$C$3="",C1673=$C$3),OR($E$3="Tous",$E$3="",I1673=$E$3)),1,0),0)))</f>
        <v>0</v>
      </c>
      <c r="L1673" s="104" t="n">
        <f aca="false">L1672+K1673</f>
        <v>19</v>
      </c>
    </row>
    <row r="1674" customFormat="false" ht="15" hidden="true" customHeight="true" outlineLevel="0" collapsed="false">
      <c r="F1674" s="116"/>
      <c r="G1674" s="116"/>
      <c r="K1674" s="104" t="n">
        <f aca="false">IF(A1674="",0,IF(IFERROR(VLOOKUP(A1674,Skills!$A:$M,13,FALSE()),"")="COS",0,IF(OR(I1674="En cours",I1674="À venir",I1674="À planifier"),IF(AND(OR($C$3="Tous",$C$3="",C1674=$C$3),OR($E$3="Tous",$E$3="",I1674=$E$3)),1,0),0)))</f>
        <v>0</v>
      </c>
      <c r="L1674" s="104" t="n">
        <f aca="false">L1673+K1674</f>
        <v>19</v>
      </c>
    </row>
    <row r="1675" customFormat="false" ht="15" hidden="true" customHeight="true" outlineLevel="0" collapsed="false">
      <c r="F1675" s="116"/>
      <c r="G1675" s="116"/>
      <c r="K1675" s="104" t="n">
        <f aca="false">IF(A1675="",0,IF(IFERROR(VLOOKUP(A1675,Skills!$A:$M,13,FALSE()),"")="COS",0,IF(OR(I1675="En cours",I1675="À venir",I1675="À planifier"),IF(AND(OR($C$3="Tous",$C$3="",C1675=$C$3),OR($E$3="Tous",$E$3="",I1675=$E$3)),1,0),0)))</f>
        <v>0</v>
      </c>
      <c r="L1675" s="104" t="n">
        <f aca="false">L1674+K1675</f>
        <v>19</v>
      </c>
    </row>
    <row r="1676" customFormat="false" ht="15" hidden="true" customHeight="true" outlineLevel="0" collapsed="false">
      <c r="F1676" s="116"/>
      <c r="G1676" s="116"/>
      <c r="K1676" s="104" t="n">
        <f aca="false">IF(A1676="",0,IF(IFERROR(VLOOKUP(A1676,Skills!$A:$M,13,FALSE()),"")="COS",0,IF(OR(I1676="En cours",I1676="À venir",I1676="À planifier"),IF(AND(OR($C$3="Tous",$C$3="",C1676=$C$3),OR($E$3="Tous",$E$3="",I1676=$E$3)),1,0),0)))</f>
        <v>0</v>
      </c>
      <c r="L1676" s="104" t="n">
        <f aca="false">L1675+K1676</f>
        <v>19</v>
      </c>
    </row>
    <row r="1677" customFormat="false" ht="15" hidden="true" customHeight="true" outlineLevel="0" collapsed="false">
      <c r="F1677" s="116"/>
      <c r="G1677" s="116"/>
      <c r="K1677" s="104" t="n">
        <f aca="false">IF(A1677="",0,IF(IFERROR(VLOOKUP(A1677,Skills!$A:$M,13,FALSE()),"")="COS",0,IF(OR(I1677="En cours",I1677="À venir",I1677="À planifier"),IF(AND(OR($C$3="Tous",$C$3="",C1677=$C$3),OR($E$3="Tous",$E$3="",I1677=$E$3)),1,0),0)))</f>
        <v>0</v>
      </c>
      <c r="L1677" s="104" t="n">
        <f aca="false">L1676+K1677</f>
        <v>19</v>
      </c>
    </row>
    <row r="1678" customFormat="false" ht="15" hidden="true" customHeight="true" outlineLevel="0" collapsed="false">
      <c r="F1678" s="116"/>
      <c r="G1678" s="116"/>
      <c r="K1678" s="104" t="n">
        <f aca="false">IF(A1678="",0,IF(IFERROR(VLOOKUP(A1678,Skills!$A:$M,13,FALSE()),"")="COS",0,IF(OR(I1678="En cours",I1678="À venir",I1678="À planifier"),IF(AND(OR($C$3="Tous",$C$3="",C1678=$C$3),OR($E$3="Tous",$E$3="",I1678=$E$3)),1,0),0)))</f>
        <v>0</v>
      </c>
      <c r="L1678" s="104" t="n">
        <f aca="false">L1677+K1678</f>
        <v>19</v>
      </c>
    </row>
    <row r="1679" customFormat="false" ht="15" hidden="true" customHeight="true" outlineLevel="0" collapsed="false">
      <c r="F1679" s="116"/>
      <c r="G1679" s="116"/>
      <c r="K1679" s="104" t="n">
        <f aca="false">IF(A1679="",0,IF(IFERROR(VLOOKUP(A1679,Skills!$A:$M,13,FALSE()),"")="COS",0,IF(OR(I1679="En cours",I1679="À venir",I1679="À planifier"),IF(AND(OR($C$3="Tous",$C$3="",C1679=$C$3),OR($E$3="Tous",$E$3="",I1679=$E$3)),1,0),0)))</f>
        <v>0</v>
      </c>
      <c r="L1679" s="104" t="n">
        <f aca="false">L1678+K1679</f>
        <v>19</v>
      </c>
    </row>
    <row r="1680" customFormat="false" ht="15" hidden="true" customHeight="true" outlineLevel="0" collapsed="false">
      <c r="F1680" s="116"/>
      <c r="G1680" s="116"/>
      <c r="K1680" s="104" t="n">
        <f aca="false">IF(A1680="",0,IF(IFERROR(VLOOKUP(A1680,Skills!$A:$M,13,FALSE()),"")="COS",0,IF(OR(I1680="En cours",I1680="À venir",I1680="À planifier"),IF(AND(OR($C$3="Tous",$C$3="",C1680=$C$3),OR($E$3="Tous",$E$3="",I1680=$E$3)),1,0),0)))</f>
        <v>0</v>
      </c>
      <c r="L1680" s="104" t="n">
        <f aca="false">L1679+K1680</f>
        <v>19</v>
      </c>
    </row>
    <row r="1681" customFormat="false" ht="15" hidden="true" customHeight="true" outlineLevel="0" collapsed="false">
      <c r="F1681" s="116"/>
      <c r="G1681" s="116"/>
      <c r="K1681" s="104" t="n">
        <f aca="false">IF(A1681="",0,IF(IFERROR(VLOOKUP(A1681,Skills!$A:$M,13,FALSE()),"")="COS",0,IF(OR(I1681="En cours",I1681="À venir",I1681="À planifier"),IF(AND(OR($C$3="Tous",$C$3="",C1681=$C$3),OR($E$3="Tous",$E$3="",I1681=$E$3)),1,0),0)))</f>
        <v>0</v>
      </c>
      <c r="L1681" s="104" t="n">
        <f aca="false">L1680+K1681</f>
        <v>19</v>
      </c>
    </row>
    <row r="1682" customFormat="false" ht="15" hidden="true" customHeight="true" outlineLevel="0" collapsed="false">
      <c r="F1682" s="116"/>
      <c r="G1682" s="116"/>
      <c r="K1682" s="104" t="n">
        <f aca="false">IF(A1682="",0,IF(IFERROR(VLOOKUP(A1682,Skills!$A:$M,13,FALSE()),"")="COS",0,IF(OR(I1682="En cours",I1682="À venir",I1682="À planifier"),IF(AND(OR($C$3="Tous",$C$3="",C1682=$C$3),OR($E$3="Tous",$E$3="",I1682=$E$3)),1,0),0)))</f>
        <v>0</v>
      </c>
      <c r="L1682" s="104" t="n">
        <f aca="false">L1681+K1682</f>
        <v>19</v>
      </c>
    </row>
    <row r="1683" customFormat="false" ht="15" hidden="true" customHeight="true" outlineLevel="0" collapsed="false">
      <c r="F1683" s="116"/>
      <c r="G1683" s="116"/>
      <c r="K1683" s="104" t="n">
        <f aca="false">IF(A1683="",0,IF(IFERROR(VLOOKUP(A1683,Skills!$A:$M,13,FALSE()),"")="COS",0,IF(OR(I1683="En cours",I1683="À venir",I1683="À planifier"),IF(AND(OR($C$3="Tous",$C$3="",C1683=$C$3),OR($E$3="Tous",$E$3="",I1683=$E$3)),1,0),0)))</f>
        <v>0</v>
      </c>
      <c r="L1683" s="104" t="n">
        <f aca="false">L1682+K1683</f>
        <v>19</v>
      </c>
    </row>
    <row r="1684" customFormat="false" ht="15" hidden="true" customHeight="true" outlineLevel="0" collapsed="false">
      <c r="F1684" s="116"/>
      <c r="G1684" s="116"/>
      <c r="K1684" s="104" t="n">
        <f aca="false">IF(A1684="",0,IF(IFERROR(VLOOKUP(A1684,Skills!$A:$M,13,FALSE()),"")="COS",0,IF(OR(I1684="En cours",I1684="À venir",I1684="À planifier"),IF(AND(OR($C$3="Tous",$C$3="",C1684=$C$3),OR($E$3="Tous",$E$3="",I1684=$E$3)),1,0),0)))</f>
        <v>0</v>
      </c>
      <c r="L1684" s="104" t="n">
        <f aca="false">L1683+K1684</f>
        <v>19</v>
      </c>
    </row>
    <row r="1685" customFormat="false" ht="15" hidden="true" customHeight="true" outlineLevel="0" collapsed="false">
      <c r="F1685" s="116"/>
      <c r="G1685" s="116"/>
      <c r="K1685" s="104" t="n">
        <f aca="false">IF(A1685="",0,IF(IFERROR(VLOOKUP(A1685,Skills!$A:$M,13,FALSE()),"")="COS",0,IF(OR(I1685="En cours",I1685="À venir",I1685="À planifier"),IF(AND(OR($C$3="Tous",$C$3="",C1685=$C$3),OR($E$3="Tous",$E$3="",I1685=$E$3)),1,0),0)))</f>
        <v>0</v>
      </c>
      <c r="L1685" s="104" t="n">
        <f aca="false">L1684+K1685</f>
        <v>19</v>
      </c>
    </row>
    <row r="1686" customFormat="false" ht="15" hidden="true" customHeight="true" outlineLevel="0" collapsed="false">
      <c r="F1686" s="116"/>
      <c r="G1686" s="116"/>
      <c r="K1686" s="104" t="n">
        <f aca="false">IF(A1686="",0,IF(IFERROR(VLOOKUP(A1686,Skills!$A:$M,13,FALSE()),"")="COS",0,IF(OR(I1686="En cours",I1686="À venir",I1686="À planifier"),IF(AND(OR($C$3="Tous",$C$3="",C1686=$C$3),OR($E$3="Tous",$E$3="",I1686=$E$3)),1,0),0)))</f>
        <v>0</v>
      </c>
      <c r="L1686" s="104" t="n">
        <f aca="false">L1685+K1686</f>
        <v>19</v>
      </c>
    </row>
    <row r="1687" customFormat="false" ht="15" hidden="true" customHeight="true" outlineLevel="0" collapsed="false">
      <c r="F1687" s="116"/>
      <c r="G1687" s="116"/>
      <c r="K1687" s="104" t="n">
        <f aca="false">IF(A1687="",0,IF(IFERROR(VLOOKUP(A1687,Skills!$A:$M,13,FALSE()),"")="COS",0,IF(OR(I1687="En cours",I1687="À venir",I1687="À planifier"),IF(AND(OR($C$3="Tous",$C$3="",C1687=$C$3),OR($E$3="Tous",$E$3="",I1687=$E$3)),1,0),0)))</f>
        <v>0</v>
      </c>
      <c r="L1687" s="104" t="n">
        <f aca="false">L1686+K1687</f>
        <v>19</v>
      </c>
    </row>
    <row r="1688" customFormat="false" ht="15" hidden="true" customHeight="true" outlineLevel="0" collapsed="false">
      <c r="F1688" s="116"/>
      <c r="G1688" s="116"/>
      <c r="K1688" s="104" t="n">
        <f aca="false">IF(A1688="",0,IF(IFERROR(VLOOKUP(A1688,Skills!$A:$M,13,FALSE()),"")="COS",0,IF(OR(I1688="En cours",I1688="À venir",I1688="À planifier"),IF(AND(OR($C$3="Tous",$C$3="",C1688=$C$3),OR($E$3="Tous",$E$3="",I1688=$E$3)),1,0),0)))</f>
        <v>0</v>
      </c>
      <c r="L1688" s="104" t="n">
        <f aca="false">L1687+K1688</f>
        <v>19</v>
      </c>
    </row>
    <row r="1689" customFormat="false" ht="15" hidden="true" customHeight="true" outlineLevel="0" collapsed="false">
      <c r="F1689" s="116"/>
      <c r="G1689" s="116"/>
      <c r="K1689" s="104" t="n">
        <f aca="false">IF(A1689="",0,IF(IFERROR(VLOOKUP(A1689,Skills!$A:$M,13,FALSE()),"")="COS",0,IF(OR(I1689="En cours",I1689="À venir",I1689="À planifier"),IF(AND(OR($C$3="Tous",$C$3="",C1689=$C$3),OR($E$3="Tous",$E$3="",I1689=$E$3)),1,0),0)))</f>
        <v>0</v>
      </c>
      <c r="L1689" s="104" t="n">
        <f aca="false">L1688+K1689</f>
        <v>19</v>
      </c>
    </row>
    <row r="1690" customFormat="false" ht="15" hidden="true" customHeight="true" outlineLevel="0" collapsed="false">
      <c r="F1690" s="116"/>
      <c r="G1690" s="116"/>
      <c r="K1690" s="104" t="n">
        <f aca="false">IF(A1690="",0,IF(IFERROR(VLOOKUP(A1690,Skills!$A:$M,13,FALSE()),"")="COS",0,IF(OR(I1690="En cours",I1690="À venir",I1690="À planifier"),IF(AND(OR($C$3="Tous",$C$3="",C1690=$C$3),OR($E$3="Tous",$E$3="",I1690=$E$3)),1,0),0)))</f>
        <v>0</v>
      </c>
      <c r="L1690" s="104" t="n">
        <f aca="false">L1689+K1690</f>
        <v>19</v>
      </c>
    </row>
    <row r="1691" customFormat="false" ht="15" hidden="true" customHeight="true" outlineLevel="0" collapsed="false">
      <c r="F1691" s="116"/>
      <c r="G1691" s="116"/>
      <c r="K1691" s="104" t="n">
        <f aca="false">IF(A1691="",0,IF(IFERROR(VLOOKUP(A1691,Skills!$A:$M,13,FALSE()),"")="COS",0,IF(OR(I1691="En cours",I1691="À venir",I1691="À planifier"),IF(AND(OR($C$3="Tous",$C$3="",C1691=$C$3),OR($E$3="Tous",$E$3="",I1691=$E$3)),1,0),0)))</f>
        <v>0</v>
      </c>
      <c r="L1691" s="104" t="n">
        <f aca="false">L1690+K1691</f>
        <v>19</v>
      </c>
    </row>
    <row r="1692" customFormat="false" ht="15" hidden="true" customHeight="true" outlineLevel="0" collapsed="false">
      <c r="F1692" s="116"/>
      <c r="G1692" s="116"/>
      <c r="K1692" s="104" t="n">
        <f aca="false">IF(A1692="",0,IF(IFERROR(VLOOKUP(A1692,Skills!$A:$M,13,FALSE()),"")="COS",0,IF(OR(I1692="En cours",I1692="À venir",I1692="À planifier"),IF(AND(OR($C$3="Tous",$C$3="",C1692=$C$3),OR($E$3="Tous",$E$3="",I1692=$E$3)),1,0),0)))</f>
        <v>0</v>
      </c>
      <c r="L1692" s="104" t="n">
        <f aca="false">L1691+K1692</f>
        <v>19</v>
      </c>
    </row>
    <row r="1693" customFormat="false" ht="15" hidden="true" customHeight="true" outlineLevel="0" collapsed="false">
      <c r="F1693" s="116"/>
      <c r="G1693" s="116"/>
      <c r="K1693" s="104" t="n">
        <f aca="false">IF(A1693="",0,IF(IFERROR(VLOOKUP(A1693,Skills!$A:$M,13,FALSE()),"")="COS",0,IF(OR(I1693="En cours",I1693="À venir",I1693="À planifier"),IF(AND(OR($C$3="Tous",$C$3="",C1693=$C$3),OR($E$3="Tous",$E$3="",I1693=$E$3)),1,0),0)))</f>
        <v>0</v>
      </c>
      <c r="L1693" s="104" t="n">
        <f aca="false">L1692+K1693</f>
        <v>19</v>
      </c>
    </row>
    <row r="1694" customFormat="false" ht="15" hidden="true" customHeight="true" outlineLevel="0" collapsed="false">
      <c r="F1694" s="116"/>
      <c r="G1694" s="116"/>
      <c r="K1694" s="104" t="n">
        <f aca="false">IF(A1694="",0,IF(IFERROR(VLOOKUP(A1694,Skills!$A:$M,13,FALSE()),"")="COS",0,IF(OR(I1694="En cours",I1694="À venir",I1694="À planifier"),IF(AND(OR($C$3="Tous",$C$3="",C1694=$C$3),OR($E$3="Tous",$E$3="",I1694=$E$3)),1,0),0)))</f>
        <v>0</v>
      </c>
      <c r="L1694" s="104" t="n">
        <f aca="false">L1693+K1694</f>
        <v>19</v>
      </c>
    </row>
    <row r="1695" customFormat="false" ht="15" hidden="true" customHeight="true" outlineLevel="0" collapsed="false">
      <c r="F1695" s="116"/>
      <c r="G1695" s="116"/>
      <c r="K1695" s="104" t="n">
        <f aca="false">IF(A1695="",0,IF(IFERROR(VLOOKUP(A1695,Skills!$A:$M,13,FALSE()),"")="COS",0,IF(OR(I1695="En cours",I1695="À venir",I1695="À planifier"),IF(AND(OR($C$3="Tous",$C$3="",C1695=$C$3),OR($E$3="Tous",$E$3="",I1695=$E$3)),1,0),0)))</f>
        <v>0</v>
      </c>
      <c r="L1695" s="104" t="n">
        <f aca="false">L1694+K1695</f>
        <v>19</v>
      </c>
    </row>
    <row r="1696" customFormat="false" ht="15" hidden="true" customHeight="true" outlineLevel="0" collapsed="false">
      <c r="F1696" s="116"/>
      <c r="G1696" s="116"/>
      <c r="K1696" s="104" t="n">
        <f aca="false">IF(A1696="",0,IF(IFERROR(VLOOKUP(A1696,Skills!$A:$M,13,FALSE()),"")="COS",0,IF(OR(I1696="En cours",I1696="À venir",I1696="À planifier"),IF(AND(OR($C$3="Tous",$C$3="",C1696=$C$3),OR($E$3="Tous",$E$3="",I1696=$E$3)),1,0),0)))</f>
        <v>0</v>
      </c>
      <c r="L1696" s="104" t="n">
        <f aca="false">L1695+K1696</f>
        <v>19</v>
      </c>
    </row>
    <row r="1697" customFormat="false" ht="15" hidden="true" customHeight="true" outlineLevel="0" collapsed="false">
      <c r="F1697" s="116"/>
      <c r="G1697" s="116"/>
      <c r="K1697" s="104" t="n">
        <f aca="false">IF(A1697="",0,IF(IFERROR(VLOOKUP(A1697,Skills!$A:$M,13,FALSE()),"")="COS",0,IF(OR(I1697="En cours",I1697="À venir",I1697="À planifier"),IF(AND(OR($C$3="Tous",$C$3="",C1697=$C$3),OR($E$3="Tous",$E$3="",I1697=$E$3)),1,0),0)))</f>
        <v>0</v>
      </c>
      <c r="L1697" s="104" t="n">
        <f aca="false">L1696+K1697</f>
        <v>19</v>
      </c>
    </row>
    <row r="1698" customFormat="false" ht="15" hidden="true" customHeight="true" outlineLevel="0" collapsed="false">
      <c r="F1698" s="116"/>
      <c r="G1698" s="116"/>
      <c r="K1698" s="104" t="n">
        <f aca="false">IF(A1698="",0,IF(IFERROR(VLOOKUP(A1698,Skills!$A:$M,13,FALSE()),"")="COS",0,IF(OR(I1698="En cours",I1698="À venir",I1698="À planifier"),IF(AND(OR($C$3="Tous",$C$3="",C1698=$C$3),OR($E$3="Tous",$E$3="",I1698=$E$3)),1,0),0)))</f>
        <v>0</v>
      </c>
      <c r="L1698" s="104" t="n">
        <f aca="false">L1697+K1698</f>
        <v>19</v>
      </c>
    </row>
    <row r="1699" customFormat="false" ht="15" hidden="true" customHeight="true" outlineLevel="0" collapsed="false">
      <c r="F1699" s="116"/>
      <c r="G1699" s="116"/>
      <c r="K1699" s="104" t="n">
        <f aca="false">IF(A1699="",0,IF(IFERROR(VLOOKUP(A1699,Skills!$A:$M,13,FALSE()),"")="COS",0,IF(OR(I1699="En cours",I1699="À venir",I1699="À planifier"),IF(AND(OR($C$3="Tous",$C$3="",C1699=$C$3),OR($E$3="Tous",$E$3="",I1699=$E$3)),1,0),0)))</f>
        <v>0</v>
      </c>
      <c r="L1699" s="104" t="n">
        <f aca="false">L1698+K1699</f>
        <v>19</v>
      </c>
    </row>
    <row r="1700" customFormat="false" ht="15" hidden="true" customHeight="true" outlineLevel="0" collapsed="false">
      <c r="F1700" s="116"/>
      <c r="G1700" s="116"/>
      <c r="K1700" s="104" t="n">
        <f aca="false">IF(A1700="",0,IF(IFERROR(VLOOKUP(A1700,Skills!$A:$M,13,FALSE()),"")="COS",0,IF(OR(I1700="En cours",I1700="À venir",I1700="À planifier"),IF(AND(OR($C$3="Tous",$C$3="",C1700=$C$3),OR($E$3="Tous",$E$3="",I1700=$E$3)),1,0),0)))</f>
        <v>0</v>
      </c>
      <c r="L1700" s="104" t="n">
        <f aca="false">L1699+K1700</f>
        <v>19</v>
      </c>
    </row>
    <row r="1701" customFormat="false" ht="15" hidden="true" customHeight="true" outlineLevel="0" collapsed="false">
      <c r="F1701" s="116"/>
      <c r="G1701" s="116"/>
      <c r="K1701" s="104" t="n">
        <f aca="false">IF(A1701="",0,IF(IFERROR(VLOOKUP(A1701,Skills!$A:$M,13,FALSE()),"")="COS",0,IF(OR(I1701="En cours",I1701="À venir",I1701="À planifier"),IF(AND(OR($C$3="Tous",$C$3="",C1701=$C$3),OR($E$3="Tous",$E$3="",I1701=$E$3)),1,0),0)))</f>
        <v>0</v>
      </c>
      <c r="L1701" s="104" t="n">
        <f aca="false">L1700+K1701</f>
        <v>19</v>
      </c>
    </row>
    <row r="1702" customFormat="false" ht="15" hidden="true" customHeight="true" outlineLevel="0" collapsed="false">
      <c r="F1702" s="116"/>
      <c r="G1702" s="116"/>
      <c r="K1702" s="104" t="n">
        <f aca="false">IF(A1702="",0,IF(IFERROR(VLOOKUP(A1702,Skills!$A:$M,13,FALSE()),"")="COS",0,IF(OR(I1702="En cours",I1702="À venir",I1702="À planifier"),IF(AND(OR($C$3="Tous",$C$3="",C1702=$C$3),OR($E$3="Tous",$E$3="",I1702=$E$3)),1,0),0)))</f>
        <v>0</v>
      </c>
      <c r="L1702" s="104" t="n">
        <f aca="false">L1701+K1702</f>
        <v>19</v>
      </c>
    </row>
    <row r="1703" customFormat="false" ht="15" hidden="true" customHeight="true" outlineLevel="0" collapsed="false">
      <c r="F1703" s="116"/>
      <c r="G1703" s="116"/>
      <c r="K1703" s="104" t="n">
        <f aca="false">IF(A1703="",0,IF(IFERROR(VLOOKUP(A1703,Skills!$A:$M,13,FALSE()),"")="COS",0,IF(OR(I1703="En cours",I1703="À venir",I1703="À planifier"),IF(AND(OR($C$3="Tous",$C$3="",C1703=$C$3),OR($E$3="Tous",$E$3="",I1703=$E$3)),1,0),0)))</f>
        <v>0</v>
      </c>
      <c r="L1703" s="104" t="n">
        <f aca="false">L1702+K1703</f>
        <v>19</v>
      </c>
    </row>
    <row r="1704" customFormat="false" ht="15" hidden="true" customHeight="true" outlineLevel="0" collapsed="false">
      <c r="F1704" s="116"/>
      <c r="G1704" s="116"/>
      <c r="K1704" s="104" t="n">
        <f aca="false">IF(A1704="",0,IF(IFERROR(VLOOKUP(A1704,Skills!$A:$M,13,FALSE()),"")="COS",0,IF(OR(I1704="En cours",I1704="À venir",I1704="À planifier"),IF(AND(OR($C$3="Tous",$C$3="",C1704=$C$3),OR($E$3="Tous",$E$3="",I1704=$E$3)),1,0),0)))</f>
        <v>0</v>
      </c>
      <c r="L1704" s="104" t="n">
        <f aca="false">L1703+K1704</f>
        <v>19</v>
      </c>
    </row>
    <row r="1705" customFormat="false" ht="15" hidden="true" customHeight="true" outlineLevel="0" collapsed="false">
      <c r="F1705" s="116"/>
      <c r="G1705" s="116"/>
      <c r="K1705" s="104" t="n">
        <f aca="false">IF(A1705="",0,IF(IFERROR(VLOOKUP(A1705,Skills!$A:$M,13,FALSE()),"")="COS",0,IF(OR(I1705="En cours",I1705="À venir",I1705="À planifier"),IF(AND(OR($C$3="Tous",$C$3="",C1705=$C$3),OR($E$3="Tous",$E$3="",I1705=$E$3)),1,0),0)))</f>
        <v>0</v>
      </c>
      <c r="L1705" s="104" t="n">
        <f aca="false">L1704+K1705</f>
        <v>19</v>
      </c>
    </row>
    <row r="1706" customFormat="false" ht="15" hidden="true" customHeight="true" outlineLevel="0" collapsed="false">
      <c r="F1706" s="116"/>
      <c r="G1706" s="116"/>
      <c r="K1706" s="104" t="n">
        <f aca="false">IF(A1706="",0,IF(IFERROR(VLOOKUP(A1706,Skills!$A:$M,13,FALSE()),"")="COS",0,IF(OR(I1706="En cours",I1706="À venir",I1706="À planifier"),IF(AND(OR($C$3="Tous",$C$3="",C1706=$C$3),OR($E$3="Tous",$E$3="",I1706=$E$3)),1,0),0)))</f>
        <v>0</v>
      </c>
      <c r="L1706" s="104" t="n">
        <f aca="false">L1705+K1706</f>
        <v>19</v>
      </c>
    </row>
    <row r="1707" customFormat="false" ht="15" hidden="true" customHeight="true" outlineLevel="0" collapsed="false">
      <c r="F1707" s="116"/>
      <c r="G1707" s="116"/>
      <c r="K1707" s="104" t="n">
        <f aca="false">IF(A1707="",0,IF(IFERROR(VLOOKUP(A1707,Skills!$A:$M,13,FALSE()),"")="COS",0,IF(OR(I1707="En cours",I1707="À venir",I1707="À planifier"),IF(AND(OR($C$3="Tous",$C$3="",C1707=$C$3),OR($E$3="Tous",$E$3="",I1707=$E$3)),1,0),0)))</f>
        <v>0</v>
      </c>
      <c r="L1707" s="104" t="n">
        <f aca="false">L1706+K1707</f>
        <v>19</v>
      </c>
    </row>
    <row r="1708" customFormat="false" ht="15" hidden="true" customHeight="true" outlineLevel="0" collapsed="false">
      <c r="F1708" s="116"/>
      <c r="G1708" s="116"/>
      <c r="K1708" s="104" t="n">
        <f aca="false">IF(A1708="",0,IF(IFERROR(VLOOKUP(A1708,Skills!$A:$M,13,FALSE()),"")="COS",0,IF(OR(I1708="En cours",I1708="À venir",I1708="À planifier"),IF(AND(OR($C$3="Tous",$C$3="",C1708=$C$3),OR($E$3="Tous",$E$3="",I1708=$E$3)),1,0),0)))</f>
        <v>0</v>
      </c>
      <c r="L1708" s="104" t="n">
        <f aca="false">L1707+K1708</f>
        <v>19</v>
      </c>
    </row>
    <row r="1709" customFormat="false" ht="15" hidden="true" customHeight="true" outlineLevel="0" collapsed="false">
      <c r="F1709" s="116"/>
      <c r="G1709" s="116"/>
      <c r="K1709" s="104" t="n">
        <f aca="false">IF(A1709="",0,IF(IFERROR(VLOOKUP(A1709,Skills!$A:$M,13,FALSE()),"")="COS",0,IF(OR(I1709="En cours",I1709="À venir",I1709="À planifier"),IF(AND(OR($C$3="Tous",$C$3="",C1709=$C$3),OR($E$3="Tous",$E$3="",I1709=$E$3)),1,0),0)))</f>
        <v>0</v>
      </c>
      <c r="L1709" s="104" t="n">
        <f aca="false">L1708+K1709</f>
        <v>19</v>
      </c>
    </row>
    <row r="1710" customFormat="false" ht="15" hidden="true" customHeight="true" outlineLevel="0" collapsed="false">
      <c r="F1710" s="116"/>
      <c r="G1710" s="116"/>
      <c r="K1710" s="104" t="n">
        <f aca="false">IF(A1710="",0,IF(IFERROR(VLOOKUP(A1710,Skills!$A:$M,13,FALSE()),"")="COS",0,IF(OR(I1710="En cours",I1710="À venir",I1710="À planifier"),IF(AND(OR($C$3="Tous",$C$3="",C1710=$C$3),OR($E$3="Tous",$E$3="",I1710=$E$3)),1,0),0)))</f>
        <v>0</v>
      </c>
      <c r="L1710" s="104" t="n">
        <f aca="false">L1709+K1710</f>
        <v>19</v>
      </c>
    </row>
    <row r="1711" customFormat="false" ht="15" hidden="true" customHeight="true" outlineLevel="0" collapsed="false">
      <c r="F1711" s="116"/>
      <c r="G1711" s="116"/>
      <c r="K1711" s="104" t="n">
        <f aca="false">IF(A1711="",0,IF(IFERROR(VLOOKUP(A1711,Skills!$A:$M,13,FALSE()),"")="COS",0,IF(OR(I1711="En cours",I1711="À venir",I1711="À planifier"),IF(AND(OR($C$3="Tous",$C$3="",C1711=$C$3),OR($E$3="Tous",$E$3="",I1711=$E$3)),1,0),0)))</f>
        <v>0</v>
      </c>
      <c r="L1711" s="104" t="n">
        <f aca="false">L1710+K1711</f>
        <v>19</v>
      </c>
    </row>
    <row r="1712" customFormat="false" ht="15" hidden="true" customHeight="true" outlineLevel="0" collapsed="false">
      <c r="F1712" s="116"/>
      <c r="G1712" s="116"/>
      <c r="K1712" s="104" t="n">
        <f aca="false">IF(A1712="",0,IF(IFERROR(VLOOKUP(A1712,Skills!$A:$M,13,FALSE()),"")="COS",0,IF(OR(I1712="En cours",I1712="À venir",I1712="À planifier"),IF(AND(OR($C$3="Tous",$C$3="",C1712=$C$3),OR($E$3="Tous",$E$3="",I1712=$E$3)),1,0),0)))</f>
        <v>0</v>
      </c>
      <c r="L1712" s="104" t="n">
        <f aca="false">L1711+K1712</f>
        <v>19</v>
      </c>
    </row>
    <row r="1713" customFormat="false" ht="15" hidden="true" customHeight="true" outlineLevel="0" collapsed="false">
      <c r="F1713" s="116"/>
      <c r="G1713" s="116"/>
      <c r="K1713" s="104" t="n">
        <f aca="false">IF(A1713="",0,IF(IFERROR(VLOOKUP(A1713,Skills!$A:$M,13,FALSE()),"")="COS",0,IF(OR(I1713="En cours",I1713="À venir",I1713="À planifier"),IF(AND(OR($C$3="Tous",$C$3="",C1713=$C$3),OR($E$3="Tous",$E$3="",I1713=$E$3)),1,0),0)))</f>
        <v>0</v>
      </c>
      <c r="L1713" s="104" t="n">
        <f aca="false">L1712+K1713</f>
        <v>19</v>
      </c>
    </row>
    <row r="1714" customFormat="false" ht="15" hidden="true" customHeight="true" outlineLevel="0" collapsed="false">
      <c r="F1714" s="116"/>
      <c r="G1714" s="116"/>
      <c r="K1714" s="104" t="n">
        <f aca="false">IF(A1714="",0,IF(IFERROR(VLOOKUP(A1714,Skills!$A:$M,13,FALSE()),"")="COS",0,IF(OR(I1714="En cours",I1714="À venir",I1714="À planifier"),IF(AND(OR($C$3="Tous",$C$3="",C1714=$C$3),OR($E$3="Tous",$E$3="",I1714=$E$3)),1,0),0)))</f>
        <v>0</v>
      </c>
      <c r="L1714" s="104" t="n">
        <f aca="false">L1713+K1714</f>
        <v>19</v>
      </c>
    </row>
    <row r="1715" customFormat="false" ht="15" hidden="true" customHeight="true" outlineLevel="0" collapsed="false">
      <c r="F1715" s="116"/>
      <c r="G1715" s="116"/>
      <c r="K1715" s="104" t="n">
        <f aca="false">IF(A1715="",0,IF(IFERROR(VLOOKUP(A1715,Skills!$A:$M,13,FALSE()),"")="COS",0,IF(OR(I1715="En cours",I1715="À venir",I1715="À planifier"),IF(AND(OR($C$3="Tous",$C$3="",C1715=$C$3),OR($E$3="Tous",$E$3="",I1715=$E$3)),1,0),0)))</f>
        <v>0</v>
      </c>
      <c r="L1715" s="104" t="n">
        <f aca="false">L1714+K1715</f>
        <v>19</v>
      </c>
    </row>
    <row r="1716" customFormat="false" ht="15" hidden="true" customHeight="true" outlineLevel="0" collapsed="false">
      <c r="F1716" s="116"/>
      <c r="G1716" s="116"/>
      <c r="K1716" s="104" t="n">
        <f aca="false">IF(A1716="",0,IF(IFERROR(VLOOKUP(A1716,Skills!$A:$M,13,FALSE()),"")="COS",0,IF(OR(I1716="En cours",I1716="À venir",I1716="À planifier"),IF(AND(OR($C$3="Tous",$C$3="",C1716=$C$3),OR($E$3="Tous",$E$3="",I1716=$E$3)),1,0),0)))</f>
        <v>0</v>
      </c>
      <c r="L1716" s="104" t="n">
        <f aca="false">L1715+K1716</f>
        <v>19</v>
      </c>
    </row>
    <row r="1717" customFormat="false" ht="15" hidden="true" customHeight="true" outlineLevel="0" collapsed="false">
      <c r="F1717" s="116"/>
      <c r="G1717" s="116"/>
      <c r="K1717" s="104" t="n">
        <f aca="false">IF(A1717="",0,IF(IFERROR(VLOOKUP(A1717,Skills!$A:$M,13,FALSE()),"")="COS",0,IF(OR(I1717="En cours",I1717="À venir",I1717="À planifier"),IF(AND(OR($C$3="Tous",$C$3="",C1717=$C$3),OR($E$3="Tous",$E$3="",I1717=$E$3)),1,0),0)))</f>
        <v>0</v>
      </c>
      <c r="L1717" s="104" t="n">
        <f aca="false">L1716+K1717</f>
        <v>19</v>
      </c>
    </row>
    <row r="1718" customFormat="false" ht="15" hidden="true" customHeight="true" outlineLevel="0" collapsed="false">
      <c r="F1718" s="116"/>
      <c r="G1718" s="116"/>
      <c r="K1718" s="104" t="n">
        <f aca="false">IF(A1718="",0,IF(IFERROR(VLOOKUP(A1718,Skills!$A:$M,13,FALSE()),"")="COS",0,IF(OR(I1718="En cours",I1718="À venir",I1718="À planifier"),IF(AND(OR($C$3="Tous",$C$3="",C1718=$C$3),OR($E$3="Tous",$E$3="",I1718=$E$3)),1,0),0)))</f>
        <v>0</v>
      </c>
      <c r="L1718" s="104" t="n">
        <f aca="false">L1717+K1718</f>
        <v>19</v>
      </c>
    </row>
    <row r="1719" customFormat="false" ht="15" hidden="true" customHeight="true" outlineLevel="0" collapsed="false">
      <c r="F1719" s="116"/>
      <c r="G1719" s="116"/>
      <c r="K1719" s="104" t="n">
        <f aca="false">IF(A1719="",0,IF(IFERROR(VLOOKUP(A1719,Skills!$A:$M,13,FALSE()),"")="COS",0,IF(OR(I1719="En cours",I1719="À venir",I1719="À planifier"),IF(AND(OR($C$3="Tous",$C$3="",C1719=$C$3),OR($E$3="Tous",$E$3="",I1719=$E$3)),1,0),0)))</f>
        <v>0</v>
      </c>
      <c r="L1719" s="104" t="n">
        <f aca="false">L1718+K1719</f>
        <v>19</v>
      </c>
    </row>
    <row r="1720" customFormat="false" ht="15" hidden="true" customHeight="true" outlineLevel="0" collapsed="false">
      <c r="F1720" s="116"/>
      <c r="G1720" s="116"/>
      <c r="K1720" s="104" t="n">
        <f aca="false">IF(A1720="",0,IF(IFERROR(VLOOKUP(A1720,Skills!$A:$M,13,FALSE()),"")="COS",0,IF(OR(I1720="En cours",I1720="À venir",I1720="À planifier"),IF(AND(OR($C$3="Tous",$C$3="",C1720=$C$3),OR($E$3="Tous",$E$3="",I1720=$E$3)),1,0),0)))</f>
        <v>0</v>
      </c>
      <c r="L1720" s="104" t="n">
        <f aca="false">L1719+K1720</f>
        <v>19</v>
      </c>
    </row>
    <row r="1721" customFormat="false" ht="15" hidden="true" customHeight="true" outlineLevel="0" collapsed="false">
      <c r="F1721" s="116"/>
      <c r="G1721" s="116"/>
      <c r="K1721" s="104" t="n">
        <f aca="false">IF(A1721="",0,IF(IFERROR(VLOOKUP(A1721,Skills!$A:$M,13,FALSE()),"")="COS",0,IF(OR(I1721="En cours",I1721="À venir",I1721="À planifier"),IF(AND(OR($C$3="Tous",$C$3="",C1721=$C$3),OR($E$3="Tous",$E$3="",I1721=$E$3)),1,0),0)))</f>
        <v>0</v>
      </c>
      <c r="L1721" s="104" t="n">
        <f aca="false">L1720+K1721</f>
        <v>19</v>
      </c>
    </row>
    <row r="1722" customFormat="false" ht="15" hidden="true" customHeight="true" outlineLevel="0" collapsed="false">
      <c r="F1722" s="116"/>
      <c r="G1722" s="116"/>
      <c r="K1722" s="104" t="n">
        <f aca="false">IF(A1722="",0,IF(IFERROR(VLOOKUP(A1722,Skills!$A:$M,13,FALSE()),"")="COS",0,IF(OR(I1722="En cours",I1722="À venir",I1722="À planifier"),IF(AND(OR($C$3="Tous",$C$3="",C1722=$C$3),OR($E$3="Tous",$E$3="",I1722=$E$3)),1,0),0)))</f>
        <v>0</v>
      </c>
      <c r="L1722" s="104" t="n">
        <f aca="false">L1721+K1722</f>
        <v>19</v>
      </c>
    </row>
    <row r="1723" customFormat="false" ht="15" hidden="true" customHeight="true" outlineLevel="0" collapsed="false">
      <c r="F1723" s="116"/>
      <c r="G1723" s="116"/>
      <c r="K1723" s="104" t="n">
        <f aca="false">IF(A1723="",0,IF(IFERROR(VLOOKUP(A1723,Skills!$A:$M,13,FALSE()),"")="COS",0,IF(OR(I1723="En cours",I1723="À venir",I1723="À planifier"),IF(AND(OR($C$3="Tous",$C$3="",C1723=$C$3),OR($E$3="Tous",$E$3="",I1723=$E$3)),1,0),0)))</f>
        <v>0</v>
      </c>
      <c r="L1723" s="104" t="n">
        <f aca="false">L1722+K1723</f>
        <v>19</v>
      </c>
    </row>
    <row r="1724" customFormat="false" ht="15" hidden="true" customHeight="true" outlineLevel="0" collapsed="false">
      <c r="F1724" s="116"/>
      <c r="G1724" s="116"/>
      <c r="K1724" s="104" t="n">
        <f aca="false">IF(A1724="",0,IF(IFERROR(VLOOKUP(A1724,Skills!$A:$M,13,FALSE()),"")="COS",0,IF(OR(I1724="En cours",I1724="À venir",I1724="À planifier"),IF(AND(OR($C$3="Tous",$C$3="",C1724=$C$3),OR($E$3="Tous",$E$3="",I1724=$E$3)),1,0),0)))</f>
        <v>0</v>
      </c>
      <c r="L1724" s="104" t="n">
        <f aca="false">L1723+K1724</f>
        <v>19</v>
      </c>
    </row>
    <row r="1725" customFormat="false" ht="15" hidden="true" customHeight="true" outlineLevel="0" collapsed="false">
      <c r="F1725" s="116"/>
      <c r="G1725" s="116"/>
      <c r="K1725" s="104" t="n">
        <f aca="false">IF(A1725="",0,IF(IFERROR(VLOOKUP(A1725,Skills!$A:$M,13,FALSE()),"")="COS",0,IF(OR(I1725="En cours",I1725="À venir",I1725="À planifier"),IF(AND(OR($C$3="Tous",$C$3="",C1725=$C$3),OR($E$3="Tous",$E$3="",I1725=$E$3)),1,0),0)))</f>
        <v>0</v>
      </c>
      <c r="L1725" s="104" t="n">
        <f aca="false">L1724+K1725</f>
        <v>19</v>
      </c>
    </row>
    <row r="1726" customFormat="false" ht="15" hidden="true" customHeight="true" outlineLevel="0" collapsed="false">
      <c r="F1726" s="116"/>
      <c r="G1726" s="116"/>
      <c r="K1726" s="104" t="n">
        <f aca="false">IF(A1726="",0,IF(IFERROR(VLOOKUP(A1726,Skills!$A:$M,13,FALSE()),"")="COS",0,IF(OR(I1726="En cours",I1726="À venir",I1726="À planifier"),IF(AND(OR($C$3="Tous",$C$3="",C1726=$C$3),OR($E$3="Tous",$E$3="",I1726=$E$3)),1,0),0)))</f>
        <v>0</v>
      </c>
      <c r="L1726" s="104" t="n">
        <f aca="false">L1725+K1726</f>
        <v>19</v>
      </c>
    </row>
    <row r="1727" customFormat="false" ht="15" hidden="true" customHeight="true" outlineLevel="0" collapsed="false">
      <c r="F1727" s="116"/>
      <c r="G1727" s="116"/>
      <c r="K1727" s="104" t="n">
        <f aca="false">IF(A1727="",0,IF(IFERROR(VLOOKUP(A1727,Skills!$A:$M,13,FALSE()),"")="COS",0,IF(OR(I1727="En cours",I1727="À venir",I1727="À planifier"),IF(AND(OR($C$3="Tous",$C$3="",C1727=$C$3),OR($E$3="Tous",$E$3="",I1727=$E$3)),1,0),0)))</f>
        <v>0</v>
      </c>
      <c r="L1727" s="104" t="n">
        <f aca="false">L1726+K1727</f>
        <v>19</v>
      </c>
    </row>
    <row r="1728" customFormat="false" ht="15" hidden="true" customHeight="true" outlineLevel="0" collapsed="false">
      <c r="F1728" s="116"/>
      <c r="G1728" s="116"/>
      <c r="K1728" s="104" t="n">
        <f aca="false">IF(A1728="",0,IF(IFERROR(VLOOKUP(A1728,Skills!$A:$M,13,FALSE()),"")="COS",0,IF(OR(I1728="En cours",I1728="À venir",I1728="À planifier"),IF(AND(OR($C$3="Tous",$C$3="",C1728=$C$3),OR($E$3="Tous",$E$3="",I1728=$E$3)),1,0),0)))</f>
        <v>0</v>
      </c>
      <c r="L1728" s="104" t="n">
        <f aca="false">L1727+K1728</f>
        <v>19</v>
      </c>
    </row>
    <row r="1729" customFormat="false" ht="15" hidden="true" customHeight="true" outlineLevel="0" collapsed="false">
      <c r="F1729" s="116"/>
      <c r="G1729" s="116"/>
      <c r="K1729" s="104" t="n">
        <f aca="false">IF(A1729="",0,IF(IFERROR(VLOOKUP(A1729,Skills!$A:$M,13,FALSE()),"")="COS",0,IF(OR(I1729="En cours",I1729="À venir",I1729="À planifier"),IF(AND(OR($C$3="Tous",$C$3="",C1729=$C$3),OR($E$3="Tous",$E$3="",I1729=$E$3)),1,0),0)))</f>
        <v>0</v>
      </c>
      <c r="L1729" s="104" t="n">
        <f aca="false">L1728+K1729</f>
        <v>19</v>
      </c>
    </row>
    <row r="1730" customFormat="false" ht="15" hidden="true" customHeight="true" outlineLevel="0" collapsed="false">
      <c r="F1730" s="116"/>
      <c r="G1730" s="116"/>
      <c r="K1730" s="104" t="n">
        <f aca="false">IF(A1730="",0,IF(IFERROR(VLOOKUP(A1730,Skills!$A:$M,13,FALSE()),"")="COS",0,IF(OR(I1730="En cours",I1730="À venir",I1730="À planifier"),IF(AND(OR($C$3="Tous",$C$3="",C1730=$C$3),OR($E$3="Tous",$E$3="",I1730=$E$3)),1,0),0)))</f>
        <v>0</v>
      </c>
      <c r="L1730" s="104" t="n">
        <f aca="false">L1729+K1730</f>
        <v>19</v>
      </c>
    </row>
    <row r="1731" customFormat="false" ht="15" hidden="true" customHeight="true" outlineLevel="0" collapsed="false">
      <c r="F1731" s="116"/>
      <c r="G1731" s="116"/>
      <c r="K1731" s="104" t="n">
        <f aca="false">IF(A1731="",0,IF(IFERROR(VLOOKUP(A1731,Skills!$A:$M,13,FALSE()),"")="COS",0,IF(OR(I1731="En cours",I1731="À venir",I1731="À planifier"),IF(AND(OR($C$3="Tous",$C$3="",C1731=$C$3),OR($E$3="Tous",$E$3="",I1731=$E$3)),1,0),0)))</f>
        <v>0</v>
      </c>
      <c r="L1731" s="104" t="n">
        <f aca="false">L1730+K1731</f>
        <v>19</v>
      </c>
    </row>
    <row r="1732" customFormat="false" ht="15" hidden="true" customHeight="true" outlineLevel="0" collapsed="false">
      <c r="F1732" s="116"/>
      <c r="G1732" s="116"/>
      <c r="K1732" s="104" t="n">
        <f aca="false">IF(A1732="",0,IF(IFERROR(VLOOKUP(A1732,Skills!$A:$M,13,FALSE()),"")="COS",0,IF(OR(I1732="En cours",I1732="À venir",I1732="À planifier"),IF(AND(OR($C$3="Tous",$C$3="",C1732=$C$3),OR($E$3="Tous",$E$3="",I1732=$E$3)),1,0),0)))</f>
        <v>0</v>
      </c>
      <c r="L1732" s="104" t="n">
        <f aca="false">L1731+K1732</f>
        <v>19</v>
      </c>
    </row>
    <row r="1733" customFormat="false" ht="15" hidden="true" customHeight="true" outlineLevel="0" collapsed="false">
      <c r="F1733" s="116"/>
      <c r="G1733" s="116"/>
      <c r="K1733" s="104" t="n">
        <f aca="false">IF(A1733="",0,IF(IFERROR(VLOOKUP(A1733,Skills!$A:$M,13,FALSE()),"")="COS",0,IF(OR(I1733="En cours",I1733="À venir",I1733="À planifier"),IF(AND(OR($C$3="Tous",$C$3="",C1733=$C$3),OR($E$3="Tous",$E$3="",I1733=$E$3)),1,0),0)))</f>
        <v>0</v>
      </c>
      <c r="L1733" s="104" t="n">
        <f aca="false">L1732+K1733</f>
        <v>19</v>
      </c>
    </row>
    <row r="1734" customFormat="false" ht="15" hidden="true" customHeight="true" outlineLevel="0" collapsed="false">
      <c r="F1734" s="116"/>
      <c r="G1734" s="116"/>
      <c r="K1734" s="104" t="n">
        <f aca="false">IF(A1734="",0,IF(IFERROR(VLOOKUP(A1734,Skills!$A:$M,13,FALSE()),"")="COS",0,IF(OR(I1734="En cours",I1734="À venir",I1734="À planifier"),IF(AND(OR($C$3="Tous",$C$3="",C1734=$C$3),OR($E$3="Tous",$E$3="",I1734=$E$3)),1,0),0)))</f>
        <v>0</v>
      </c>
      <c r="L1734" s="104" t="n">
        <f aca="false">L1733+K1734</f>
        <v>19</v>
      </c>
    </row>
    <row r="1735" customFormat="false" ht="15" hidden="true" customHeight="true" outlineLevel="0" collapsed="false">
      <c r="F1735" s="116"/>
      <c r="G1735" s="116"/>
      <c r="K1735" s="104" t="n">
        <f aca="false">IF(A1735="",0,IF(IFERROR(VLOOKUP(A1735,Skills!$A:$M,13,FALSE()),"")="COS",0,IF(OR(I1735="En cours",I1735="À venir",I1735="À planifier"),IF(AND(OR($C$3="Tous",$C$3="",C1735=$C$3),OR($E$3="Tous",$E$3="",I1735=$E$3)),1,0),0)))</f>
        <v>0</v>
      </c>
      <c r="L1735" s="104" t="n">
        <f aca="false">L1734+K1735</f>
        <v>19</v>
      </c>
    </row>
    <row r="1736" customFormat="false" ht="15" hidden="true" customHeight="true" outlineLevel="0" collapsed="false">
      <c r="F1736" s="116"/>
      <c r="G1736" s="116"/>
      <c r="K1736" s="104" t="n">
        <f aca="false">IF(A1736="",0,IF(IFERROR(VLOOKUP(A1736,Skills!$A:$M,13,FALSE()),"")="COS",0,IF(OR(I1736="En cours",I1736="À venir",I1736="À planifier"),IF(AND(OR($C$3="Tous",$C$3="",C1736=$C$3),OR($E$3="Tous",$E$3="",I1736=$E$3)),1,0),0)))</f>
        <v>0</v>
      </c>
      <c r="L1736" s="104" t="n">
        <f aca="false">L1735+K1736</f>
        <v>19</v>
      </c>
    </row>
    <row r="1737" customFormat="false" ht="15" hidden="true" customHeight="true" outlineLevel="0" collapsed="false">
      <c r="F1737" s="116"/>
      <c r="G1737" s="116"/>
      <c r="K1737" s="104" t="n">
        <f aca="false">IF(A1737="",0,IF(IFERROR(VLOOKUP(A1737,Skills!$A:$M,13,FALSE()),"")="COS",0,IF(OR(I1737="En cours",I1737="À venir",I1737="À planifier"),IF(AND(OR($C$3="Tous",$C$3="",C1737=$C$3),OR($E$3="Tous",$E$3="",I1737=$E$3)),1,0),0)))</f>
        <v>0</v>
      </c>
      <c r="L1737" s="104" t="n">
        <f aca="false">L1736+K1737</f>
        <v>19</v>
      </c>
    </row>
    <row r="1738" customFormat="false" ht="15" hidden="true" customHeight="true" outlineLevel="0" collapsed="false">
      <c r="F1738" s="116"/>
      <c r="G1738" s="116"/>
      <c r="K1738" s="104" t="n">
        <f aca="false">IF(A1738="",0,IF(IFERROR(VLOOKUP(A1738,Skills!$A:$M,13,FALSE()),"")="COS",0,IF(OR(I1738="En cours",I1738="À venir",I1738="À planifier"),IF(AND(OR($C$3="Tous",$C$3="",C1738=$C$3),OR($E$3="Tous",$E$3="",I1738=$E$3)),1,0),0)))</f>
        <v>0</v>
      </c>
      <c r="L1738" s="104" t="n">
        <f aca="false">L1737+K1738</f>
        <v>19</v>
      </c>
    </row>
    <row r="1739" customFormat="false" ht="15" hidden="true" customHeight="true" outlineLevel="0" collapsed="false">
      <c r="F1739" s="116"/>
      <c r="G1739" s="116"/>
      <c r="K1739" s="104" t="n">
        <f aca="false">IF(A1739="",0,IF(IFERROR(VLOOKUP(A1739,Skills!$A:$M,13,FALSE()),"")="COS",0,IF(OR(I1739="En cours",I1739="À venir",I1739="À planifier"),IF(AND(OR($C$3="Tous",$C$3="",C1739=$C$3),OR($E$3="Tous",$E$3="",I1739=$E$3)),1,0),0)))</f>
        <v>0</v>
      </c>
      <c r="L1739" s="104" t="n">
        <f aca="false">L1738+K1739</f>
        <v>19</v>
      </c>
    </row>
    <row r="1740" customFormat="false" ht="15" hidden="true" customHeight="true" outlineLevel="0" collapsed="false">
      <c r="F1740" s="116"/>
      <c r="G1740" s="116"/>
      <c r="K1740" s="104" t="n">
        <f aca="false">IF(A1740="",0,IF(IFERROR(VLOOKUP(A1740,Skills!$A:$M,13,FALSE()),"")="COS",0,IF(OR(I1740="En cours",I1740="À venir",I1740="À planifier"),IF(AND(OR($C$3="Tous",$C$3="",C1740=$C$3),OR($E$3="Tous",$E$3="",I1740=$E$3)),1,0),0)))</f>
        <v>0</v>
      </c>
      <c r="L1740" s="104" t="n">
        <f aca="false">L1739+K1740</f>
        <v>19</v>
      </c>
    </row>
    <row r="1741" customFormat="false" ht="15" hidden="true" customHeight="true" outlineLevel="0" collapsed="false">
      <c r="F1741" s="116"/>
      <c r="G1741" s="116"/>
      <c r="K1741" s="104" t="n">
        <f aca="false">IF(A1741="",0,IF(IFERROR(VLOOKUP(A1741,Skills!$A:$M,13,FALSE()),"")="COS",0,IF(OR(I1741="En cours",I1741="À venir",I1741="À planifier"),IF(AND(OR($C$3="Tous",$C$3="",C1741=$C$3),OR($E$3="Tous",$E$3="",I1741=$E$3)),1,0),0)))</f>
        <v>0</v>
      </c>
      <c r="L1741" s="104" t="n">
        <f aca="false">L1740+K1741</f>
        <v>19</v>
      </c>
    </row>
    <row r="1742" customFormat="false" ht="15" hidden="true" customHeight="true" outlineLevel="0" collapsed="false">
      <c r="F1742" s="116"/>
      <c r="G1742" s="116"/>
      <c r="K1742" s="104" t="n">
        <f aca="false">IF(A1742="",0,IF(IFERROR(VLOOKUP(A1742,Skills!$A:$M,13,FALSE()),"")="COS",0,IF(OR(I1742="En cours",I1742="À venir",I1742="À planifier"),IF(AND(OR($C$3="Tous",$C$3="",C1742=$C$3),OR($E$3="Tous",$E$3="",I1742=$E$3)),1,0),0)))</f>
        <v>0</v>
      </c>
      <c r="L1742" s="104" t="n">
        <f aca="false">L1741+K1742</f>
        <v>19</v>
      </c>
    </row>
    <row r="1743" customFormat="false" ht="15" hidden="true" customHeight="true" outlineLevel="0" collapsed="false">
      <c r="F1743" s="116"/>
      <c r="G1743" s="116"/>
      <c r="K1743" s="104" t="n">
        <f aca="false">IF(A1743="",0,IF(IFERROR(VLOOKUP(A1743,Skills!$A:$M,13,FALSE()),"")="COS",0,IF(OR(I1743="En cours",I1743="À venir",I1743="À planifier"),IF(AND(OR($C$3="Tous",$C$3="",C1743=$C$3),OR($E$3="Tous",$E$3="",I1743=$E$3)),1,0),0)))</f>
        <v>0</v>
      </c>
      <c r="L1743" s="104" t="n">
        <f aca="false">L1742+K1743</f>
        <v>19</v>
      </c>
    </row>
    <row r="1744" customFormat="false" ht="15" hidden="true" customHeight="true" outlineLevel="0" collapsed="false">
      <c r="F1744" s="116"/>
      <c r="G1744" s="116"/>
      <c r="K1744" s="104" t="n">
        <f aca="false">IF(A1744="",0,IF(IFERROR(VLOOKUP(A1744,Skills!$A:$M,13,FALSE()),"")="COS",0,IF(OR(I1744="En cours",I1744="À venir",I1744="À planifier"),IF(AND(OR($C$3="Tous",$C$3="",C1744=$C$3),OR($E$3="Tous",$E$3="",I1744=$E$3)),1,0),0)))</f>
        <v>0</v>
      </c>
      <c r="L1744" s="104" t="n">
        <f aca="false">L1743+K1744</f>
        <v>19</v>
      </c>
    </row>
    <row r="1745" customFormat="false" ht="15" hidden="true" customHeight="true" outlineLevel="0" collapsed="false">
      <c r="F1745" s="116"/>
      <c r="G1745" s="116"/>
      <c r="K1745" s="104" t="n">
        <f aca="false">IF(A1745="",0,IF(IFERROR(VLOOKUP(A1745,Skills!$A:$M,13,FALSE()),"")="COS",0,IF(OR(I1745="En cours",I1745="À venir",I1745="À planifier"),IF(AND(OR($C$3="Tous",$C$3="",C1745=$C$3),OR($E$3="Tous",$E$3="",I1745=$E$3)),1,0),0)))</f>
        <v>0</v>
      </c>
      <c r="L1745" s="104" t="n">
        <f aca="false">L1744+K1745</f>
        <v>19</v>
      </c>
    </row>
    <row r="1746" customFormat="false" ht="15" hidden="true" customHeight="true" outlineLevel="0" collapsed="false">
      <c r="F1746" s="116"/>
      <c r="G1746" s="116"/>
      <c r="K1746" s="104" t="n">
        <f aca="false">IF(A1746="",0,IF(IFERROR(VLOOKUP(A1746,Skills!$A:$M,13,FALSE()),"")="COS",0,IF(OR(I1746="En cours",I1746="À venir",I1746="À planifier"),IF(AND(OR($C$3="Tous",$C$3="",C1746=$C$3),OR($E$3="Tous",$E$3="",I1746=$E$3)),1,0),0)))</f>
        <v>0</v>
      </c>
      <c r="L1746" s="104" t="n">
        <f aca="false">L1745+K1746</f>
        <v>19</v>
      </c>
    </row>
    <row r="1747" customFormat="false" ht="15" hidden="true" customHeight="true" outlineLevel="0" collapsed="false">
      <c r="F1747" s="116"/>
      <c r="G1747" s="116"/>
      <c r="K1747" s="104" t="n">
        <f aca="false">IF(A1747="",0,IF(IFERROR(VLOOKUP(A1747,Skills!$A:$M,13,FALSE()),"")="COS",0,IF(OR(I1747="En cours",I1747="À venir",I1747="À planifier"),IF(AND(OR($C$3="Tous",$C$3="",C1747=$C$3),OR($E$3="Tous",$E$3="",I1747=$E$3)),1,0),0)))</f>
        <v>0</v>
      </c>
      <c r="L1747" s="104" t="n">
        <f aca="false">L1746+K1747</f>
        <v>19</v>
      </c>
    </row>
    <row r="1748" customFormat="false" ht="15" hidden="true" customHeight="true" outlineLevel="0" collapsed="false">
      <c r="F1748" s="116"/>
      <c r="G1748" s="116"/>
      <c r="K1748" s="104" t="n">
        <f aca="false">IF(A1748="",0,IF(IFERROR(VLOOKUP(A1748,Skills!$A:$M,13,FALSE()),"")="COS",0,IF(OR(I1748="En cours",I1748="À venir",I1748="À planifier"),IF(AND(OR($C$3="Tous",$C$3="",C1748=$C$3),OR($E$3="Tous",$E$3="",I1748=$E$3)),1,0),0)))</f>
        <v>0</v>
      </c>
      <c r="L1748" s="104" t="n">
        <f aca="false">L1747+K1748</f>
        <v>19</v>
      </c>
    </row>
    <row r="1749" customFormat="false" ht="15" hidden="true" customHeight="true" outlineLevel="0" collapsed="false">
      <c r="F1749" s="116"/>
      <c r="G1749" s="116"/>
      <c r="K1749" s="104" t="n">
        <f aca="false">IF(A1749="",0,IF(IFERROR(VLOOKUP(A1749,Skills!$A:$M,13,FALSE()),"")="COS",0,IF(OR(I1749="En cours",I1749="À venir",I1749="À planifier"),IF(AND(OR($C$3="Tous",$C$3="",C1749=$C$3),OR($E$3="Tous",$E$3="",I1749=$E$3)),1,0),0)))</f>
        <v>0</v>
      </c>
      <c r="L1749" s="104" t="n">
        <f aca="false">L1748+K1749</f>
        <v>19</v>
      </c>
    </row>
    <row r="1750" customFormat="false" ht="15" hidden="true" customHeight="true" outlineLevel="0" collapsed="false">
      <c r="F1750" s="116"/>
      <c r="G1750" s="116"/>
      <c r="K1750" s="104" t="n">
        <f aca="false">IF(A1750="",0,IF(IFERROR(VLOOKUP(A1750,Skills!$A:$M,13,FALSE()),"")="COS",0,IF(OR(I1750="En cours",I1750="À venir",I1750="À planifier"),IF(AND(OR($C$3="Tous",$C$3="",C1750=$C$3),OR($E$3="Tous",$E$3="",I1750=$E$3)),1,0),0)))</f>
        <v>0</v>
      </c>
      <c r="L1750" s="104" t="n">
        <f aca="false">L1749+K1750</f>
        <v>19</v>
      </c>
    </row>
    <row r="1751" customFormat="false" ht="15" hidden="true" customHeight="true" outlineLevel="0" collapsed="false">
      <c r="F1751" s="116"/>
      <c r="G1751" s="116"/>
      <c r="K1751" s="104" t="n">
        <f aca="false">IF(A1751="",0,IF(IFERROR(VLOOKUP(A1751,Skills!$A:$M,13,FALSE()),"")="COS",0,IF(OR(I1751="En cours",I1751="À venir",I1751="À planifier"),IF(AND(OR($C$3="Tous",$C$3="",C1751=$C$3),OR($E$3="Tous",$E$3="",I1751=$E$3)),1,0),0)))</f>
        <v>0</v>
      </c>
      <c r="L1751" s="104" t="n">
        <f aca="false">L1750+K1751</f>
        <v>19</v>
      </c>
    </row>
    <row r="1752" customFormat="false" ht="15" hidden="true" customHeight="true" outlineLevel="0" collapsed="false">
      <c r="F1752" s="116"/>
      <c r="G1752" s="116"/>
      <c r="K1752" s="104" t="n">
        <f aca="false">IF(A1752="",0,IF(IFERROR(VLOOKUP(A1752,Skills!$A:$M,13,FALSE()),"")="COS",0,IF(OR(I1752="En cours",I1752="À venir",I1752="À planifier"),IF(AND(OR($C$3="Tous",$C$3="",C1752=$C$3),OR($E$3="Tous",$E$3="",I1752=$E$3)),1,0),0)))</f>
        <v>0</v>
      </c>
      <c r="L1752" s="104" t="n">
        <f aca="false">L1751+K1752</f>
        <v>19</v>
      </c>
    </row>
    <row r="1753" customFormat="false" ht="15" hidden="true" customHeight="true" outlineLevel="0" collapsed="false">
      <c r="F1753" s="116"/>
      <c r="G1753" s="116"/>
      <c r="K1753" s="104" t="n">
        <f aca="false">IF(A1753="",0,IF(IFERROR(VLOOKUP(A1753,Skills!$A:$M,13,FALSE()),"")="COS",0,IF(OR(I1753="En cours",I1753="À venir",I1753="À planifier"),IF(AND(OR($C$3="Tous",$C$3="",C1753=$C$3),OR($E$3="Tous",$E$3="",I1753=$E$3)),1,0),0)))</f>
        <v>0</v>
      </c>
      <c r="L1753" s="104" t="n">
        <f aca="false">L1752+K1753</f>
        <v>19</v>
      </c>
    </row>
    <row r="1754" customFormat="false" ht="15" hidden="true" customHeight="true" outlineLevel="0" collapsed="false">
      <c r="F1754" s="116"/>
      <c r="G1754" s="116"/>
      <c r="K1754" s="104" t="n">
        <f aca="false">IF(A1754="",0,IF(IFERROR(VLOOKUP(A1754,Skills!$A:$M,13,FALSE()),"")="COS",0,IF(OR(I1754="En cours",I1754="À venir",I1754="À planifier"),IF(AND(OR($C$3="Tous",$C$3="",C1754=$C$3),OR($E$3="Tous",$E$3="",I1754=$E$3)),1,0),0)))</f>
        <v>0</v>
      </c>
      <c r="L1754" s="104" t="n">
        <f aca="false">L1753+K1754</f>
        <v>19</v>
      </c>
    </row>
    <row r="1755" customFormat="false" ht="15" hidden="true" customHeight="true" outlineLevel="0" collapsed="false">
      <c r="F1755" s="116"/>
      <c r="G1755" s="116"/>
      <c r="K1755" s="104" t="n">
        <f aca="false">IF(A1755="",0,IF(IFERROR(VLOOKUP(A1755,Skills!$A:$M,13,FALSE()),"")="COS",0,IF(OR(I1755="En cours",I1755="À venir",I1755="À planifier"),IF(AND(OR($C$3="Tous",$C$3="",C1755=$C$3),OR($E$3="Tous",$E$3="",I1755=$E$3)),1,0),0)))</f>
        <v>0</v>
      </c>
      <c r="L1755" s="104" t="n">
        <f aca="false">L1754+K1755</f>
        <v>19</v>
      </c>
    </row>
    <row r="1756" customFormat="false" ht="15" hidden="true" customHeight="true" outlineLevel="0" collapsed="false">
      <c r="F1756" s="116"/>
      <c r="G1756" s="116"/>
      <c r="K1756" s="104" t="n">
        <f aca="false">IF(A1756="",0,IF(IFERROR(VLOOKUP(A1756,Skills!$A:$M,13,FALSE()),"")="COS",0,IF(OR(I1756="En cours",I1756="À venir",I1756="À planifier"),IF(AND(OR($C$3="Tous",$C$3="",C1756=$C$3),OR($E$3="Tous",$E$3="",I1756=$E$3)),1,0),0)))</f>
        <v>0</v>
      </c>
      <c r="L1756" s="104" t="n">
        <f aca="false">L1755+K1756</f>
        <v>19</v>
      </c>
    </row>
    <row r="1757" customFormat="false" ht="15" hidden="true" customHeight="true" outlineLevel="0" collapsed="false">
      <c r="F1757" s="116"/>
      <c r="G1757" s="116"/>
      <c r="K1757" s="104" t="n">
        <f aca="false">IF(A1757="",0,IF(IFERROR(VLOOKUP(A1757,Skills!$A:$M,13,FALSE()),"")="COS",0,IF(OR(I1757="En cours",I1757="À venir",I1757="À planifier"),IF(AND(OR($C$3="Tous",$C$3="",C1757=$C$3),OR($E$3="Tous",$E$3="",I1757=$E$3)),1,0),0)))</f>
        <v>0</v>
      </c>
      <c r="L1757" s="104" t="n">
        <f aca="false">L1756+K1757</f>
        <v>19</v>
      </c>
    </row>
    <row r="1758" customFormat="false" ht="15" hidden="true" customHeight="true" outlineLevel="0" collapsed="false">
      <c r="F1758" s="116"/>
      <c r="G1758" s="116"/>
      <c r="K1758" s="104" t="n">
        <f aca="false">IF(A1758="",0,IF(IFERROR(VLOOKUP(A1758,Skills!$A:$M,13,FALSE()),"")="COS",0,IF(OR(I1758="En cours",I1758="À venir",I1758="À planifier"),IF(AND(OR($C$3="Tous",$C$3="",C1758=$C$3),OR($E$3="Tous",$E$3="",I1758=$E$3)),1,0),0)))</f>
        <v>0</v>
      </c>
      <c r="L1758" s="104" t="n">
        <f aca="false">L1757+K1758</f>
        <v>19</v>
      </c>
    </row>
    <row r="1759" customFormat="false" ht="15" hidden="true" customHeight="true" outlineLevel="0" collapsed="false">
      <c r="F1759" s="116"/>
      <c r="G1759" s="116"/>
      <c r="K1759" s="104" t="n">
        <f aca="false">IF(A1759="",0,IF(IFERROR(VLOOKUP(A1759,Skills!$A:$M,13,FALSE()),"")="COS",0,IF(OR(I1759="En cours",I1759="À venir",I1759="À planifier"),IF(AND(OR($C$3="Tous",$C$3="",C1759=$C$3),OR($E$3="Tous",$E$3="",I1759=$E$3)),1,0),0)))</f>
        <v>0</v>
      </c>
      <c r="L1759" s="104" t="n">
        <f aca="false">L1758+K1759</f>
        <v>19</v>
      </c>
    </row>
    <row r="1760" customFormat="false" ht="15" hidden="true" customHeight="true" outlineLevel="0" collapsed="false">
      <c r="F1760" s="116"/>
      <c r="G1760" s="116"/>
      <c r="K1760" s="104" t="n">
        <f aca="false">IF(A1760="",0,IF(IFERROR(VLOOKUP(A1760,Skills!$A:$M,13,FALSE()),"")="COS",0,IF(OR(I1760="En cours",I1760="À venir",I1760="À planifier"),IF(AND(OR($C$3="Tous",$C$3="",C1760=$C$3),OR($E$3="Tous",$E$3="",I1760=$E$3)),1,0),0)))</f>
        <v>0</v>
      </c>
      <c r="L1760" s="104" t="n">
        <f aca="false">L1759+K1760</f>
        <v>19</v>
      </c>
    </row>
    <row r="1761" customFormat="false" ht="15" hidden="true" customHeight="true" outlineLevel="0" collapsed="false">
      <c r="F1761" s="116"/>
      <c r="G1761" s="116"/>
      <c r="K1761" s="104" t="n">
        <f aca="false">IF(A1761="",0,IF(IFERROR(VLOOKUP(A1761,Skills!$A:$M,13,FALSE()),"")="COS",0,IF(OR(I1761="En cours",I1761="À venir",I1761="À planifier"),IF(AND(OR($C$3="Tous",$C$3="",C1761=$C$3),OR($E$3="Tous",$E$3="",I1761=$E$3)),1,0),0)))</f>
        <v>0</v>
      </c>
      <c r="L1761" s="104" t="n">
        <f aca="false">L1760+K1761</f>
        <v>19</v>
      </c>
    </row>
    <row r="1762" customFormat="false" ht="15" hidden="true" customHeight="true" outlineLevel="0" collapsed="false">
      <c r="F1762" s="116"/>
      <c r="G1762" s="116"/>
      <c r="K1762" s="104" t="n">
        <f aca="false">IF(A1762="",0,IF(IFERROR(VLOOKUP(A1762,Skills!$A:$M,13,FALSE()),"")="COS",0,IF(OR(I1762="En cours",I1762="À venir",I1762="À planifier"),IF(AND(OR($C$3="Tous",$C$3="",C1762=$C$3),OR($E$3="Tous",$E$3="",I1762=$E$3)),1,0),0)))</f>
        <v>0</v>
      </c>
      <c r="L1762" s="104" t="n">
        <f aca="false">L1761+K1762</f>
        <v>19</v>
      </c>
    </row>
    <row r="1763" customFormat="false" ht="15" hidden="true" customHeight="true" outlineLevel="0" collapsed="false">
      <c r="F1763" s="116"/>
      <c r="G1763" s="116"/>
      <c r="K1763" s="104" t="n">
        <f aca="false">IF(A1763="",0,IF(IFERROR(VLOOKUP(A1763,Skills!$A:$M,13,FALSE()),"")="COS",0,IF(OR(I1763="En cours",I1763="À venir",I1763="À planifier"),IF(AND(OR($C$3="Tous",$C$3="",C1763=$C$3),OR($E$3="Tous",$E$3="",I1763=$E$3)),1,0),0)))</f>
        <v>0</v>
      </c>
      <c r="L1763" s="104" t="n">
        <f aca="false">L1762+K1763</f>
        <v>19</v>
      </c>
    </row>
    <row r="1764" customFormat="false" ht="15" hidden="true" customHeight="true" outlineLevel="0" collapsed="false">
      <c r="F1764" s="116"/>
      <c r="G1764" s="116"/>
      <c r="K1764" s="104" t="n">
        <f aca="false">IF(A1764="",0,IF(IFERROR(VLOOKUP(A1764,Skills!$A:$M,13,FALSE()),"")="COS",0,IF(OR(I1764="En cours",I1764="À venir",I1764="À planifier"),IF(AND(OR($C$3="Tous",$C$3="",C1764=$C$3),OR($E$3="Tous",$E$3="",I1764=$E$3)),1,0),0)))</f>
        <v>0</v>
      </c>
      <c r="L1764" s="104" t="n">
        <f aca="false">L1763+K1764</f>
        <v>19</v>
      </c>
    </row>
    <row r="1765" customFormat="false" ht="15" hidden="true" customHeight="true" outlineLevel="0" collapsed="false">
      <c r="F1765" s="116"/>
      <c r="G1765" s="116"/>
      <c r="K1765" s="104" t="n">
        <f aca="false">IF(A1765="",0,IF(IFERROR(VLOOKUP(A1765,Skills!$A:$M,13,FALSE()),"")="COS",0,IF(OR(I1765="En cours",I1765="À venir",I1765="À planifier"),IF(AND(OR($C$3="Tous",$C$3="",C1765=$C$3),OR($E$3="Tous",$E$3="",I1765=$E$3)),1,0),0)))</f>
        <v>0</v>
      </c>
      <c r="L1765" s="104" t="n">
        <f aca="false">L1764+K1765</f>
        <v>19</v>
      </c>
    </row>
    <row r="1766" customFormat="false" ht="15" hidden="true" customHeight="true" outlineLevel="0" collapsed="false">
      <c r="F1766" s="116"/>
      <c r="G1766" s="116"/>
      <c r="K1766" s="104" t="n">
        <f aca="false">IF(A1766="",0,IF(IFERROR(VLOOKUP(A1766,Skills!$A:$M,13,FALSE()),"")="COS",0,IF(OR(I1766="En cours",I1766="À venir",I1766="À planifier"),IF(AND(OR($C$3="Tous",$C$3="",C1766=$C$3),OR($E$3="Tous",$E$3="",I1766=$E$3)),1,0),0)))</f>
        <v>0</v>
      </c>
      <c r="L1766" s="104" t="n">
        <f aca="false">L1765+K1766</f>
        <v>19</v>
      </c>
    </row>
    <row r="1767" customFormat="false" ht="15" hidden="true" customHeight="true" outlineLevel="0" collapsed="false">
      <c r="F1767" s="116"/>
      <c r="G1767" s="116"/>
      <c r="K1767" s="104" t="n">
        <f aca="false">IF(A1767="",0,IF(IFERROR(VLOOKUP(A1767,Skills!$A:$M,13,FALSE()),"")="COS",0,IF(OR(I1767="En cours",I1767="À venir",I1767="À planifier"),IF(AND(OR($C$3="Tous",$C$3="",C1767=$C$3),OR($E$3="Tous",$E$3="",I1767=$E$3)),1,0),0)))</f>
        <v>0</v>
      </c>
      <c r="L1767" s="104" t="n">
        <f aca="false">L1766+K1767</f>
        <v>19</v>
      </c>
    </row>
    <row r="1768" customFormat="false" ht="15" hidden="true" customHeight="true" outlineLevel="0" collapsed="false">
      <c r="F1768" s="116"/>
      <c r="G1768" s="116"/>
      <c r="K1768" s="104" t="n">
        <f aca="false">IF(A1768="",0,IF(IFERROR(VLOOKUP(A1768,Skills!$A:$M,13,FALSE()),"")="COS",0,IF(OR(I1768="En cours",I1768="À venir",I1768="À planifier"),IF(AND(OR($C$3="Tous",$C$3="",C1768=$C$3),OR($E$3="Tous",$E$3="",I1768=$E$3)),1,0),0)))</f>
        <v>0</v>
      </c>
      <c r="L1768" s="104" t="n">
        <f aca="false">L1767+K1768</f>
        <v>19</v>
      </c>
    </row>
    <row r="1769" customFormat="false" ht="15" hidden="true" customHeight="true" outlineLevel="0" collapsed="false">
      <c r="F1769" s="116"/>
      <c r="G1769" s="116"/>
      <c r="K1769" s="104" t="n">
        <f aca="false">IF(A1769="",0,IF(IFERROR(VLOOKUP(A1769,Skills!$A:$M,13,FALSE()),"")="COS",0,IF(OR(I1769="En cours",I1769="À venir",I1769="À planifier"),IF(AND(OR($C$3="Tous",$C$3="",C1769=$C$3),OR($E$3="Tous",$E$3="",I1769=$E$3)),1,0),0)))</f>
        <v>0</v>
      </c>
      <c r="L1769" s="104" t="n">
        <f aca="false">L1768+K1769</f>
        <v>19</v>
      </c>
    </row>
    <row r="1770" customFormat="false" ht="15" hidden="true" customHeight="true" outlineLevel="0" collapsed="false">
      <c r="F1770" s="116"/>
      <c r="G1770" s="116"/>
      <c r="K1770" s="104" t="n">
        <f aca="false">IF(A1770="",0,IF(IFERROR(VLOOKUP(A1770,Skills!$A:$M,13,FALSE()),"")="COS",0,IF(OR(I1770="En cours",I1770="À venir",I1770="À planifier"),IF(AND(OR($C$3="Tous",$C$3="",C1770=$C$3),OR($E$3="Tous",$E$3="",I1770=$E$3)),1,0),0)))</f>
        <v>0</v>
      </c>
      <c r="L1770" s="104" t="n">
        <f aca="false">L1769+K1770</f>
        <v>19</v>
      </c>
    </row>
    <row r="1771" customFormat="false" ht="15" hidden="true" customHeight="true" outlineLevel="0" collapsed="false">
      <c r="F1771" s="116"/>
      <c r="G1771" s="116"/>
      <c r="K1771" s="104" t="n">
        <f aca="false">IF(A1771="",0,IF(IFERROR(VLOOKUP(A1771,Skills!$A:$M,13,FALSE()),"")="COS",0,IF(OR(I1771="En cours",I1771="À venir",I1771="À planifier"),IF(AND(OR($C$3="Tous",$C$3="",C1771=$C$3),OR($E$3="Tous",$E$3="",I1771=$E$3)),1,0),0)))</f>
        <v>0</v>
      </c>
      <c r="L1771" s="104" t="n">
        <f aca="false">L1770+K1771</f>
        <v>19</v>
      </c>
    </row>
    <row r="1772" customFormat="false" ht="15" hidden="true" customHeight="true" outlineLevel="0" collapsed="false">
      <c r="F1772" s="116"/>
      <c r="G1772" s="116"/>
      <c r="K1772" s="104" t="n">
        <f aca="false">IF(A1772="",0,IF(IFERROR(VLOOKUP(A1772,Skills!$A:$M,13,FALSE()),"")="COS",0,IF(OR(I1772="En cours",I1772="À venir",I1772="À planifier"),IF(AND(OR($C$3="Tous",$C$3="",C1772=$C$3),OR($E$3="Tous",$E$3="",I1772=$E$3)),1,0),0)))</f>
        <v>0</v>
      </c>
      <c r="L1772" s="104" t="n">
        <f aca="false">L1771+K1772</f>
        <v>19</v>
      </c>
    </row>
    <row r="1773" customFormat="false" ht="15" hidden="true" customHeight="true" outlineLevel="0" collapsed="false">
      <c r="F1773" s="116"/>
      <c r="G1773" s="116"/>
      <c r="K1773" s="104" t="n">
        <f aca="false">IF(A1773="",0,IF(IFERROR(VLOOKUP(A1773,Skills!$A:$M,13,FALSE()),"")="COS",0,IF(OR(I1773="En cours",I1773="À venir",I1773="À planifier"),IF(AND(OR($C$3="Tous",$C$3="",C1773=$C$3),OR($E$3="Tous",$E$3="",I1773=$E$3)),1,0),0)))</f>
        <v>0</v>
      </c>
      <c r="L1773" s="104" t="n">
        <f aca="false">L1772+K1773</f>
        <v>19</v>
      </c>
    </row>
    <row r="1774" customFormat="false" ht="15" hidden="true" customHeight="true" outlineLevel="0" collapsed="false">
      <c r="F1774" s="116"/>
      <c r="G1774" s="116"/>
      <c r="K1774" s="104" t="n">
        <f aca="false">IF(A1774="",0,IF(IFERROR(VLOOKUP(A1774,Skills!$A:$M,13,FALSE()),"")="COS",0,IF(OR(I1774="En cours",I1774="À venir",I1774="À planifier"),IF(AND(OR($C$3="Tous",$C$3="",C1774=$C$3),OR($E$3="Tous",$E$3="",I1774=$E$3)),1,0),0)))</f>
        <v>0</v>
      </c>
      <c r="L1774" s="104" t="n">
        <f aca="false">L1773+K1774</f>
        <v>19</v>
      </c>
    </row>
    <row r="1775" customFormat="false" ht="15" hidden="true" customHeight="true" outlineLevel="0" collapsed="false">
      <c r="F1775" s="116"/>
      <c r="G1775" s="116"/>
      <c r="K1775" s="104" t="n">
        <f aca="false">IF(A1775="",0,IF(IFERROR(VLOOKUP(A1775,Skills!$A:$M,13,FALSE()),"")="COS",0,IF(OR(I1775="En cours",I1775="À venir",I1775="À planifier"),IF(AND(OR($C$3="Tous",$C$3="",C1775=$C$3),OR($E$3="Tous",$E$3="",I1775=$E$3)),1,0),0)))</f>
        <v>0</v>
      </c>
      <c r="L1775" s="104" t="n">
        <f aca="false">L1774+K1775</f>
        <v>19</v>
      </c>
    </row>
    <row r="1776" customFormat="false" ht="15" hidden="true" customHeight="true" outlineLevel="0" collapsed="false">
      <c r="F1776" s="116"/>
      <c r="G1776" s="116"/>
      <c r="K1776" s="104" t="n">
        <f aca="false">IF(A1776="",0,IF(IFERROR(VLOOKUP(A1776,Skills!$A:$M,13,FALSE()),"")="COS",0,IF(OR(I1776="En cours",I1776="À venir",I1776="À planifier"),IF(AND(OR($C$3="Tous",$C$3="",C1776=$C$3),OR($E$3="Tous",$E$3="",I1776=$E$3)),1,0),0)))</f>
        <v>0</v>
      </c>
      <c r="L1776" s="104" t="n">
        <f aca="false">L1775+K1776</f>
        <v>19</v>
      </c>
    </row>
    <row r="1777" customFormat="false" ht="15" hidden="true" customHeight="true" outlineLevel="0" collapsed="false">
      <c r="F1777" s="116"/>
      <c r="G1777" s="116"/>
      <c r="K1777" s="104" t="n">
        <f aca="false">IF(A1777="",0,IF(IFERROR(VLOOKUP(A1777,Skills!$A:$M,13,FALSE()),"")="COS",0,IF(OR(I1777="En cours",I1777="À venir",I1777="À planifier"),IF(AND(OR($C$3="Tous",$C$3="",C1777=$C$3),OR($E$3="Tous",$E$3="",I1777=$E$3)),1,0),0)))</f>
        <v>0</v>
      </c>
      <c r="L1777" s="104" t="n">
        <f aca="false">L1776+K1777</f>
        <v>19</v>
      </c>
    </row>
    <row r="1778" customFormat="false" ht="15" hidden="true" customHeight="true" outlineLevel="0" collapsed="false">
      <c r="F1778" s="116"/>
      <c r="G1778" s="116"/>
      <c r="K1778" s="104" t="n">
        <f aca="false">IF(A1778="",0,IF(IFERROR(VLOOKUP(A1778,Skills!$A:$M,13,FALSE()),"")="COS",0,IF(OR(I1778="En cours",I1778="À venir",I1778="À planifier"),IF(AND(OR($C$3="Tous",$C$3="",C1778=$C$3),OR($E$3="Tous",$E$3="",I1778=$E$3)),1,0),0)))</f>
        <v>0</v>
      </c>
      <c r="L1778" s="104" t="n">
        <f aca="false">L1777+K1778</f>
        <v>19</v>
      </c>
    </row>
    <row r="1779" customFormat="false" ht="15" hidden="true" customHeight="true" outlineLevel="0" collapsed="false">
      <c r="F1779" s="116"/>
      <c r="G1779" s="116"/>
      <c r="K1779" s="104" t="n">
        <f aca="false">IF(A1779="",0,IF(IFERROR(VLOOKUP(A1779,Skills!$A:$M,13,FALSE()),"")="COS",0,IF(OR(I1779="En cours",I1779="À venir",I1779="À planifier"),IF(AND(OR($C$3="Tous",$C$3="",C1779=$C$3),OR($E$3="Tous",$E$3="",I1779=$E$3)),1,0),0)))</f>
        <v>0</v>
      </c>
      <c r="L1779" s="104" t="n">
        <f aca="false">L1778+K1779</f>
        <v>19</v>
      </c>
    </row>
    <row r="1780" customFormat="false" ht="15" hidden="true" customHeight="true" outlineLevel="0" collapsed="false">
      <c r="F1780" s="116"/>
      <c r="G1780" s="116"/>
      <c r="K1780" s="104" t="n">
        <f aca="false">IF(A1780="",0,IF(IFERROR(VLOOKUP(A1780,Skills!$A:$M,13,FALSE()),"")="COS",0,IF(OR(I1780="En cours",I1780="À venir",I1780="À planifier"),IF(AND(OR($C$3="Tous",$C$3="",C1780=$C$3),OR($E$3="Tous",$E$3="",I1780=$E$3)),1,0),0)))</f>
        <v>0</v>
      </c>
      <c r="L1780" s="104" t="n">
        <f aca="false">L1779+K1780</f>
        <v>19</v>
      </c>
    </row>
    <row r="1781" customFormat="false" ht="15" hidden="true" customHeight="true" outlineLevel="0" collapsed="false">
      <c r="F1781" s="116"/>
      <c r="G1781" s="116"/>
      <c r="K1781" s="104" t="n">
        <f aca="false">IF(A1781="",0,IF(IFERROR(VLOOKUP(A1781,Skills!$A:$M,13,FALSE()),"")="COS",0,IF(OR(I1781="En cours",I1781="À venir",I1781="À planifier"),IF(AND(OR($C$3="Tous",$C$3="",C1781=$C$3),OR($E$3="Tous",$E$3="",I1781=$E$3)),1,0),0)))</f>
        <v>0</v>
      </c>
      <c r="L1781" s="104" t="n">
        <f aca="false">L1780+K1781</f>
        <v>19</v>
      </c>
    </row>
    <row r="1782" customFormat="false" ht="15" hidden="true" customHeight="true" outlineLevel="0" collapsed="false">
      <c r="F1782" s="116"/>
      <c r="G1782" s="116"/>
      <c r="K1782" s="104" t="n">
        <f aca="false">IF(A1782="",0,IF(IFERROR(VLOOKUP(A1782,Skills!$A:$M,13,FALSE()),"")="COS",0,IF(OR(I1782="En cours",I1782="À venir",I1782="À planifier"),IF(AND(OR($C$3="Tous",$C$3="",C1782=$C$3),OR($E$3="Tous",$E$3="",I1782=$E$3)),1,0),0)))</f>
        <v>0</v>
      </c>
      <c r="L1782" s="104" t="n">
        <f aca="false">L1781+K1782</f>
        <v>19</v>
      </c>
    </row>
    <row r="1783" customFormat="false" ht="15" hidden="true" customHeight="true" outlineLevel="0" collapsed="false">
      <c r="F1783" s="116"/>
      <c r="G1783" s="116"/>
      <c r="K1783" s="104" t="n">
        <f aca="false">IF(A1783="",0,IF(IFERROR(VLOOKUP(A1783,Skills!$A:$M,13,FALSE()),"")="COS",0,IF(OR(I1783="En cours",I1783="À venir",I1783="À planifier"),IF(AND(OR($C$3="Tous",$C$3="",C1783=$C$3),OR($E$3="Tous",$E$3="",I1783=$E$3)),1,0),0)))</f>
        <v>0</v>
      </c>
      <c r="L1783" s="104" t="n">
        <f aca="false">L1782+K1783</f>
        <v>19</v>
      </c>
    </row>
    <row r="1784" customFormat="false" ht="15" hidden="true" customHeight="true" outlineLevel="0" collapsed="false">
      <c r="F1784" s="116"/>
      <c r="G1784" s="116"/>
      <c r="K1784" s="104" t="n">
        <f aca="false">IF(A1784="",0,IF(IFERROR(VLOOKUP(A1784,Skills!$A:$M,13,FALSE()),"")="COS",0,IF(OR(I1784="En cours",I1784="À venir",I1784="À planifier"),IF(AND(OR($C$3="Tous",$C$3="",C1784=$C$3),OR($E$3="Tous",$E$3="",I1784=$E$3)),1,0),0)))</f>
        <v>0</v>
      </c>
      <c r="L1784" s="104" t="n">
        <f aca="false">L1783+K1784</f>
        <v>19</v>
      </c>
    </row>
    <row r="1785" customFormat="false" ht="15" hidden="true" customHeight="true" outlineLevel="0" collapsed="false">
      <c r="F1785" s="116"/>
      <c r="G1785" s="116"/>
      <c r="K1785" s="104" t="n">
        <f aca="false">IF(A1785="",0,IF(IFERROR(VLOOKUP(A1785,Skills!$A:$M,13,FALSE()),"")="COS",0,IF(OR(I1785="En cours",I1785="À venir",I1785="À planifier"),IF(AND(OR($C$3="Tous",$C$3="",C1785=$C$3),OR($E$3="Tous",$E$3="",I1785=$E$3)),1,0),0)))</f>
        <v>0</v>
      </c>
      <c r="L1785" s="104" t="n">
        <f aca="false">L1784+K1785</f>
        <v>19</v>
      </c>
    </row>
    <row r="1786" customFormat="false" ht="15" hidden="true" customHeight="true" outlineLevel="0" collapsed="false">
      <c r="F1786" s="116"/>
      <c r="G1786" s="116"/>
      <c r="K1786" s="104" t="n">
        <f aca="false">IF(A1786="",0,IF(IFERROR(VLOOKUP(A1786,Skills!$A:$M,13,FALSE()),"")="COS",0,IF(OR(I1786="En cours",I1786="À venir",I1786="À planifier"),IF(AND(OR($C$3="Tous",$C$3="",C1786=$C$3),OR($E$3="Tous",$E$3="",I1786=$E$3)),1,0),0)))</f>
        <v>0</v>
      </c>
      <c r="L1786" s="104" t="n">
        <f aca="false">L1785+K1786</f>
        <v>19</v>
      </c>
    </row>
    <row r="1787" customFormat="false" ht="15" hidden="true" customHeight="true" outlineLevel="0" collapsed="false">
      <c r="F1787" s="116"/>
      <c r="G1787" s="116"/>
      <c r="K1787" s="104" t="n">
        <f aca="false">IF(A1787="",0,IF(IFERROR(VLOOKUP(A1787,Skills!$A:$M,13,FALSE()),"")="COS",0,IF(OR(I1787="En cours",I1787="À venir",I1787="À planifier"),IF(AND(OR($C$3="Tous",$C$3="",C1787=$C$3),OR($E$3="Tous",$E$3="",I1787=$E$3)),1,0),0)))</f>
        <v>0</v>
      </c>
      <c r="L1787" s="104" t="n">
        <f aca="false">L1786+K1787</f>
        <v>19</v>
      </c>
    </row>
    <row r="1788" customFormat="false" ht="15" hidden="true" customHeight="true" outlineLevel="0" collapsed="false">
      <c r="F1788" s="116"/>
      <c r="G1788" s="116"/>
      <c r="K1788" s="104" t="n">
        <f aca="false">IF(A1788="",0,IF(IFERROR(VLOOKUP(A1788,Skills!$A:$M,13,FALSE()),"")="COS",0,IF(OR(I1788="En cours",I1788="À venir",I1788="À planifier"),IF(AND(OR($C$3="Tous",$C$3="",C1788=$C$3),OR($E$3="Tous",$E$3="",I1788=$E$3)),1,0),0)))</f>
        <v>0</v>
      </c>
      <c r="L1788" s="104" t="n">
        <f aca="false">L1787+K1788</f>
        <v>19</v>
      </c>
    </row>
    <row r="1789" customFormat="false" ht="15" hidden="true" customHeight="true" outlineLevel="0" collapsed="false">
      <c r="F1789" s="116"/>
      <c r="G1789" s="116"/>
      <c r="K1789" s="104" t="n">
        <f aca="false">IF(A1789="",0,IF(IFERROR(VLOOKUP(A1789,Skills!$A:$M,13,FALSE()),"")="COS",0,IF(OR(I1789="En cours",I1789="À venir",I1789="À planifier"),IF(AND(OR($C$3="Tous",$C$3="",C1789=$C$3),OR($E$3="Tous",$E$3="",I1789=$E$3)),1,0),0)))</f>
        <v>0</v>
      </c>
      <c r="L1789" s="104" t="n">
        <f aca="false">L1788+K1789</f>
        <v>19</v>
      </c>
    </row>
    <row r="1790" customFormat="false" ht="15" hidden="true" customHeight="true" outlineLevel="0" collapsed="false">
      <c r="F1790" s="116"/>
      <c r="G1790" s="116"/>
      <c r="K1790" s="104" t="n">
        <f aca="false">IF(A1790="",0,IF(IFERROR(VLOOKUP(A1790,Skills!$A:$M,13,FALSE()),"")="COS",0,IF(OR(I1790="En cours",I1790="À venir",I1790="À planifier"),IF(AND(OR($C$3="Tous",$C$3="",C1790=$C$3),OR($E$3="Tous",$E$3="",I1790=$E$3)),1,0),0)))</f>
        <v>0</v>
      </c>
      <c r="L1790" s="104" t="n">
        <f aca="false">L1789+K1790</f>
        <v>19</v>
      </c>
    </row>
    <row r="1791" customFormat="false" ht="15" hidden="true" customHeight="true" outlineLevel="0" collapsed="false">
      <c r="F1791" s="116"/>
      <c r="G1791" s="116"/>
      <c r="K1791" s="104" t="n">
        <f aca="false">IF(A1791="",0,IF(IFERROR(VLOOKUP(A1791,Skills!$A:$M,13,FALSE()),"")="COS",0,IF(OR(I1791="En cours",I1791="À venir",I1791="À planifier"),IF(AND(OR($C$3="Tous",$C$3="",C1791=$C$3),OR($E$3="Tous",$E$3="",I1791=$E$3)),1,0),0)))</f>
        <v>0</v>
      </c>
      <c r="L1791" s="104" t="n">
        <f aca="false">L1790+K1791</f>
        <v>19</v>
      </c>
    </row>
    <row r="1792" customFormat="false" ht="15" hidden="true" customHeight="true" outlineLevel="0" collapsed="false">
      <c r="F1792" s="116"/>
      <c r="G1792" s="116"/>
      <c r="K1792" s="104" t="n">
        <f aca="false">IF(A1792="",0,IF(IFERROR(VLOOKUP(A1792,Skills!$A:$M,13,FALSE()),"")="COS",0,IF(OR(I1792="En cours",I1792="À venir",I1792="À planifier"),IF(AND(OR($C$3="Tous",$C$3="",C1792=$C$3),OR($E$3="Tous",$E$3="",I1792=$E$3)),1,0),0)))</f>
        <v>0</v>
      </c>
      <c r="L1792" s="104" t="n">
        <f aca="false">L1791+K1792</f>
        <v>19</v>
      </c>
    </row>
    <row r="1793" customFormat="false" ht="15" hidden="true" customHeight="true" outlineLevel="0" collapsed="false">
      <c r="F1793" s="116"/>
      <c r="G1793" s="116"/>
      <c r="K1793" s="104" t="n">
        <f aca="false">IF(A1793="",0,IF(IFERROR(VLOOKUP(A1793,Skills!$A:$M,13,FALSE()),"")="COS",0,IF(OR(I1793="En cours",I1793="À venir",I1793="À planifier"),IF(AND(OR($C$3="Tous",$C$3="",C1793=$C$3),OR($E$3="Tous",$E$3="",I1793=$E$3)),1,0),0)))</f>
        <v>0</v>
      </c>
      <c r="L1793" s="104" t="n">
        <f aca="false">L1792+K1793</f>
        <v>19</v>
      </c>
    </row>
    <row r="1794" customFormat="false" ht="15" hidden="true" customHeight="true" outlineLevel="0" collapsed="false">
      <c r="F1794" s="116"/>
      <c r="G1794" s="116"/>
      <c r="K1794" s="104" t="n">
        <f aca="false">IF(A1794="",0,IF(IFERROR(VLOOKUP(A1794,Skills!$A:$M,13,FALSE()),"")="COS",0,IF(OR(I1794="En cours",I1794="À venir",I1794="À planifier"),IF(AND(OR($C$3="Tous",$C$3="",C1794=$C$3),OR($E$3="Tous",$E$3="",I1794=$E$3)),1,0),0)))</f>
        <v>0</v>
      </c>
      <c r="L1794" s="104" t="n">
        <f aca="false">L1793+K1794</f>
        <v>19</v>
      </c>
    </row>
    <row r="1795" customFormat="false" ht="15" hidden="true" customHeight="true" outlineLevel="0" collapsed="false">
      <c r="F1795" s="116"/>
      <c r="G1795" s="116"/>
      <c r="K1795" s="104" t="n">
        <f aca="false">IF(A1795="",0,IF(IFERROR(VLOOKUP(A1795,Skills!$A:$M,13,FALSE()),"")="COS",0,IF(OR(I1795="En cours",I1795="À venir",I1795="À planifier"),IF(AND(OR($C$3="Tous",$C$3="",C1795=$C$3),OR($E$3="Tous",$E$3="",I1795=$E$3)),1,0),0)))</f>
        <v>0</v>
      </c>
      <c r="L1795" s="104" t="n">
        <f aca="false">L1794+K1795</f>
        <v>19</v>
      </c>
    </row>
    <row r="1796" customFormat="false" ht="15" hidden="true" customHeight="true" outlineLevel="0" collapsed="false">
      <c r="F1796" s="116"/>
      <c r="G1796" s="116"/>
      <c r="K1796" s="104" t="n">
        <f aca="false">IF(A1796="",0,IF(IFERROR(VLOOKUP(A1796,Skills!$A:$M,13,FALSE()),"")="COS",0,IF(OR(I1796="En cours",I1796="À venir",I1796="À planifier"),IF(AND(OR($C$3="Tous",$C$3="",C1796=$C$3),OR($E$3="Tous",$E$3="",I1796=$E$3)),1,0),0)))</f>
        <v>0</v>
      </c>
      <c r="L1796" s="104" t="n">
        <f aca="false">L1795+K1796</f>
        <v>19</v>
      </c>
    </row>
    <row r="1797" customFormat="false" ht="15" hidden="true" customHeight="true" outlineLevel="0" collapsed="false">
      <c r="F1797" s="116"/>
      <c r="G1797" s="116"/>
      <c r="K1797" s="104" t="n">
        <f aca="false">IF(A1797="",0,IF(IFERROR(VLOOKUP(A1797,Skills!$A:$M,13,FALSE()),"")="COS",0,IF(OR(I1797="En cours",I1797="À venir",I1797="À planifier"),IF(AND(OR($C$3="Tous",$C$3="",C1797=$C$3),OR($E$3="Tous",$E$3="",I1797=$E$3)),1,0),0)))</f>
        <v>0</v>
      </c>
      <c r="L1797" s="104" t="n">
        <f aca="false">L1796+K1797</f>
        <v>19</v>
      </c>
    </row>
    <row r="1798" customFormat="false" ht="15" hidden="true" customHeight="true" outlineLevel="0" collapsed="false">
      <c r="F1798" s="116"/>
      <c r="G1798" s="116"/>
      <c r="K1798" s="104" t="n">
        <f aca="false">IF(A1798="",0,IF(IFERROR(VLOOKUP(A1798,Skills!$A:$M,13,FALSE()),"")="COS",0,IF(OR(I1798="En cours",I1798="À venir",I1798="À planifier"),IF(AND(OR($C$3="Tous",$C$3="",C1798=$C$3),OR($E$3="Tous",$E$3="",I1798=$E$3)),1,0),0)))</f>
        <v>0</v>
      </c>
      <c r="L1798" s="104" t="n">
        <f aca="false">L1797+K1798</f>
        <v>19</v>
      </c>
    </row>
    <row r="1799" customFormat="false" ht="15" hidden="true" customHeight="true" outlineLevel="0" collapsed="false">
      <c r="F1799" s="116"/>
      <c r="G1799" s="116"/>
      <c r="K1799" s="104" t="n">
        <f aca="false">IF(A1799="",0,IF(IFERROR(VLOOKUP(A1799,Skills!$A:$M,13,FALSE()),"")="COS",0,IF(OR(I1799="En cours",I1799="À venir",I1799="À planifier"),IF(AND(OR($C$3="Tous",$C$3="",C1799=$C$3),OR($E$3="Tous",$E$3="",I1799=$E$3)),1,0),0)))</f>
        <v>0</v>
      </c>
      <c r="L1799" s="104" t="n">
        <f aca="false">L1798+K1799</f>
        <v>19</v>
      </c>
    </row>
    <row r="1800" customFormat="false" ht="15" hidden="true" customHeight="true" outlineLevel="0" collapsed="false">
      <c r="F1800" s="116"/>
      <c r="G1800" s="116"/>
      <c r="K1800" s="104" t="n">
        <f aca="false">IF(A1800="",0,IF(IFERROR(VLOOKUP(A1800,Skills!$A:$M,13,FALSE()),"")="COS",0,IF(OR(I1800="En cours",I1800="À venir",I1800="À planifier"),IF(AND(OR($C$3="Tous",$C$3="",C1800=$C$3),OR($E$3="Tous",$E$3="",I1800=$E$3)),1,0),0)))</f>
        <v>0</v>
      </c>
      <c r="L1800" s="104" t="n">
        <f aca="false">L1799+K1800</f>
        <v>19</v>
      </c>
    </row>
    <row r="1801" customFormat="false" ht="15" hidden="true" customHeight="true" outlineLevel="0" collapsed="false">
      <c r="F1801" s="116"/>
      <c r="G1801" s="116"/>
      <c r="K1801" s="104" t="n">
        <f aca="false">IF(A1801="",0,IF(IFERROR(VLOOKUP(A1801,Skills!$A:$M,13,FALSE()),"")="COS",0,IF(OR(I1801="En cours",I1801="À venir",I1801="À planifier"),IF(AND(OR($C$3="Tous",$C$3="",C1801=$C$3),OR($E$3="Tous",$E$3="",I1801=$E$3)),1,0),0)))</f>
        <v>0</v>
      </c>
      <c r="L1801" s="104" t="n">
        <f aca="false">L1800+K1801</f>
        <v>19</v>
      </c>
    </row>
    <row r="1802" customFormat="false" ht="15" hidden="true" customHeight="true" outlineLevel="0" collapsed="false">
      <c r="F1802" s="116"/>
      <c r="G1802" s="116"/>
      <c r="K1802" s="104" t="n">
        <f aca="false">IF(A1802="",0,IF(IFERROR(VLOOKUP(A1802,Skills!$A:$M,13,FALSE()),"")="COS",0,IF(OR(I1802="En cours",I1802="À venir",I1802="À planifier"),IF(AND(OR($C$3="Tous",$C$3="",C1802=$C$3),OR($E$3="Tous",$E$3="",I1802=$E$3)),1,0),0)))</f>
        <v>0</v>
      </c>
      <c r="L1802" s="104" t="n">
        <f aca="false">L1801+K1802</f>
        <v>19</v>
      </c>
    </row>
    <row r="1803" customFormat="false" ht="15" hidden="true" customHeight="true" outlineLevel="0" collapsed="false">
      <c r="F1803" s="116"/>
      <c r="G1803" s="116"/>
      <c r="K1803" s="104" t="n">
        <f aca="false">IF(A1803="",0,IF(IFERROR(VLOOKUP(A1803,Skills!$A:$M,13,FALSE()),"")="COS",0,IF(OR(I1803="En cours",I1803="À venir",I1803="À planifier"),IF(AND(OR($C$3="Tous",$C$3="",C1803=$C$3),OR($E$3="Tous",$E$3="",I1803=$E$3)),1,0),0)))</f>
        <v>0</v>
      </c>
      <c r="L1803" s="104" t="n">
        <f aca="false">L1802+K1803</f>
        <v>19</v>
      </c>
    </row>
    <row r="1804" customFormat="false" ht="15" hidden="true" customHeight="true" outlineLevel="0" collapsed="false">
      <c r="F1804" s="116"/>
      <c r="G1804" s="116"/>
      <c r="K1804" s="104" t="n">
        <f aca="false">IF(A1804="",0,IF(IFERROR(VLOOKUP(A1804,Skills!$A:$M,13,FALSE()),"")="COS",0,IF(OR(I1804="En cours",I1804="À venir",I1804="À planifier"),IF(AND(OR($C$3="Tous",$C$3="",C1804=$C$3),OR($E$3="Tous",$E$3="",I1804=$E$3)),1,0),0)))</f>
        <v>0</v>
      </c>
      <c r="L1804" s="104" t="n">
        <f aca="false">L1803+K1804</f>
        <v>19</v>
      </c>
    </row>
    <row r="1805" customFormat="false" ht="15" hidden="true" customHeight="true" outlineLevel="0" collapsed="false">
      <c r="F1805" s="116"/>
      <c r="G1805" s="116"/>
      <c r="K1805" s="104" t="n">
        <f aca="false">IF(A1805="",0,IF(IFERROR(VLOOKUP(A1805,Skills!$A:$M,13,FALSE()),"")="COS",0,IF(OR(I1805="En cours",I1805="À venir",I1805="À planifier"),IF(AND(OR($C$3="Tous",$C$3="",C1805=$C$3),OR($E$3="Tous",$E$3="",I1805=$E$3)),1,0),0)))</f>
        <v>0</v>
      </c>
      <c r="L1805" s="104" t="n">
        <f aca="false">L1804+K1805</f>
        <v>19</v>
      </c>
    </row>
    <row r="1806" customFormat="false" ht="15" hidden="true" customHeight="true" outlineLevel="0" collapsed="false">
      <c r="F1806" s="116"/>
      <c r="G1806" s="116"/>
      <c r="K1806" s="104" t="n">
        <f aca="false">IF(A1806="",0,IF(IFERROR(VLOOKUP(A1806,Skills!$A:$M,13,FALSE()),"")="COS",0,IF(OR(I1806="En cours",I1806="À venir",I1806="À planifier"),IF(AND(OR($C$3="Tous",$C$3="",C1806=$C$3),OR($E$3="Tous",$E$3="",I1806=$E$3)),1,0),0)))</f>
        <v>0</v>
      </c>
      <c r="L1806" s="104" t="n">
        <f aca="false">L1805+K1806</f>
        <v>19</v>
      </c>
    </row>
    <row r="1807" customFormat="false" ht="15" hidden="true" customHeight="true" outlineLevel="0" collapsed="false">
      <c r="F1807" s="116"/>
      <c r="G1807" s="116"/>
      <c r="K1807" s="104" t="n">
        <f aca="false">IF(A1807="",0,IF(IFERROR(VLOOKUP(A1807,Skills!$A:$M,13,FALSE()),"")="COS",0,IF(OR(I1807="En cours",I1807="À venir",I1807="À planifier"),IF(AND(OR($C$3="Tous",$C$3="",C1807=$C$3),OR($E$3="Tous",$E$3="",I1807=$E$3)),1,0),0)))</f>
        <v>0</v>
      </c>
      <c r="L1807" s="104" t="n">
        <f aca="false">L1806+K1807</f>
        <v>19</v>
      </c>
    </row>
    <row r="1808" customFormat="false" ht="15" hidden="true" customHeight="true" outlineLevel="0" collapsed="false">
      <c r="F1808" s="116"/>
      <c r="G1808" s="116"/>
      <c r="K1808" s="104" t="n">
        <f aca="false">IF(A1808="",0,IF(IFERROR(VLOOKUP(A1808,Skills!$A:$M,13,FALSE()),"")="COS",0,IF(OR(I1808="En cours",I1808="À venir",I1808="À planifier"),IF(AND(OR($C$3="Tous",$C$3="",C1808=$C$3),OR($E$3="Tous",$E$3="",I1808=$E$3)),1,0),0)))</f>
        <v>0</v>
      </c>
      <c r="L1808" s="104" t="n">
        <f aca="false">L1807+K1808</f>
        <v>19</v>
      </c>
    </row>
    <row r="1809" customFormat="false" ht="15" hidden="true" customHeight="true" outlineLevel="0" collapsed="false">
      <c r="F1809" s="116"/>
      <c r="G1809" s="116"/>
      <c r="K1809" s="104" t="n">
        <f aca="false">IF(A1809="",0,IF(IFERROR(VLOOKUP(A1809,Skills!$A:$M,13,FALSE()),"")="COS",0,IF(OR(I1809="En cours",I1809="À venir",I1809="À planifier"),IF(AND(OR($C$3="Tous",$C$3="",C1809=$C$3),OR($E$3="Tous",$E$3="",I1809=$E$3)),1,0),0)))</f>
        <v>0</v>
      </c>
      <c r="L1809" s="104" t="n">
        <f aca="false">L1808+K1809</f>
        <v>19</v>
      </c>
    </row>
    <row r="1810" customFormat="false" ht="15" hidden="true" customHeight="true" outlineLevel="0" collapsed="false">
      <c r="F1810" s="116"/>
      <c r="G1810" s="116"/>
      <c r="K1810" s="104" t="n">
        <f aca="false">IF(A1810="",0,IF(IFERROR(VLOOKUP(A1810,Skills!$A:$M,13,FALSE()),"")="COS",0,IF(OR(I1810="En cours",I1810="À venir",I1810="À planifier"),IF(AND(OR($C$3="Tous",$C$3="",C1810=$C$3),OR($E$3="Tous",$E$3="",I1810=$E$3)),1,0),0)))</f>
        <v>0</v>
      </c>
      <c r="L1810" s="104" t="n">
        <f aca="false">L1809+K1810</f>
        <v>19</v>
      </c>
    </row>
    <row r="1811" customFormat="false" ht="15" hidden="true" customHeight="true" outlineLevel="0" collapsed="false">
      <c r="F1811" s="116"/>
      <c r="G1811" s="116"/>
      <c r="K1811" s="104" t="n">
        <f aca="false">IF(A1811="",0,IF(IFERROR(VLOOKUP(A1811,Skills!$A:$M,13,FALSE()),"")="COS",0,IF(OR(I1811="En cours",I1811="À venir",I1811="À planifier"),IF(AND(OR($C$3="Tous",$C$3="",C1811=$C$3),OR($E$3="Tous",$E$3="",I1811=$E$3)),1,0),0)))</f>
        <v>0</v>
      </c>
      <c r="L1811" s="104" t="n">
        <f aca="false">L1810+K1811</f>
        <v>19</v>
      </c>
    </row>
    <row r="1812" customFormat="false" ht="15" hidden="true" customHeight="true" outlineLevel="0" collapsed="false">
      <c r="F1812" s="116"/>
      <c r="G1812" s="116"/>
      <c r="K1812" s="104" t="n">
        <f aca="false">IF(A1812="",0,IF(IFERROR(VLOOKUP(A1812,Skills!$A:$M,13,FALSE()),"")="COS",0,IF(OR(I1812="En cours",I1812="À venir",I1812="À planifier"),IF(AND(OR($C$3="Tous",$C$3="",C1812=$C$3),OR($E$3="Tous",$E$3="",I1812=$E$3)),1,0),0)))</f>
        <v>0</v>
      </c>
      <c r="L1812" s="104" t="n">
        <f aca="false">L1811+K1812</f>
        <v>19</v>
      </c>
    </row>
    <row r="1813" customFormat="false" ht="15" hidden="true" customHeight="true" outlineLevel="0" collapsed="false">
      <c r="F1813" s="116"/>
      <c r="G1813" s="116"/>
      <c r="K1813" s="104" t="n">
        <f aca="false">IF(A1813="",0,IF(IFERROR(VLOOKUP(A1813,Skills!$A:$M,13,FALSE()),"")="COS",0,IF(OR(I1813="En cours",I1813="À venir",I1813="À planifier"),IF(AND(OR($C$3="Tous",$C$3="",C1813=$C$3),OR($E$3="Tous",$E$3="",I1813=$E$3)),1,0),0)))</f>
        <v>0</v>
      </c>
      <c r="L1813" s="104" t="n">
        <f aca="false">L1812+K1813</f>
        <v>19</v>
      </c>
    </row>
    <row r="1814" customFormat="false" ht="15" hidden="true" customHeight="true" outlineLevel="0" collapsed="false">
      <c r="F1814" s="116"/>
      <c r="G1814" s="116"/>
      <c r="K1814" s="104" t="n">
        <f aca="false">IF(A1814="",0,IF(IFERROR(VLOOKUP(A1814,Skills!$A:$M,13,FALSE()),"")="COS",0,IF(OR(I1814="En cours",I1814="À venir",I1814="À planifier"),IF(AND(OR($C$3="Tous",$C$3="",C1814=$C$3),OR($E$3="Tous",$E$3="",I1814=$E$3)),1,0),0)))</f>
        <v>0</v>
      </c>
      <c r="L1814" s="104" t="n">
        <f aca="false">L1813+K1814</f>
        <v>19</v>
      </c>
    </row>
    <row r="1815" customFormat="false" ht="15" hidden="true" customHeight="true" outlineLevel="0" collapsed="false">
      <c r="F1815" s="116"/>
      <c r="G1815" s="116"/>
      <c r="K1815" s="104" t="n">
        <f aca="false">IF(A1815="",0,IF(IFERROR(VLOOKUP(A1815,Skills!$A:$M,13,FALSE()),"")="COS",0,IF(OR(I1815="En cours",I1815="À venir",I1815="À planifier"),IF(AND(OR($C$3="Tous",$C$3="",C1815=$C$3),OR($E$3="Tous",$E$3="",I1815=$E$3)),1,0),0)))</f>
        <v>0</v>
      </c>
      <c r="L1815" s="104" t="n">
        <f aca="false">L1814+K1815</f>
        <v>19</v>
      </c>
    </row>
    <row r="1816" customFormat="false" ht="15" hidden="true" customHeight="true" outlineLevel="0" collapsed="false">
      <c r="F1816" s="116"/>
      <c r="G1816" s="116"/>
      <c r="K1816" s="104" t="n">
        <f aca="false">IF(A1816="",0,IF(IFERROR(VLOOKUP(A1816,Skills!$A:$M,13,FALSE()),"")="COS",0,IF(OR(I1816="En cours",I1816="À venir",I1816="À planifier"),IF(AND(OR($C$3="Tous",$C$3="",C1816=$C$3),OR($E$3="Tous",$E$3="",I1816=$E$3)),1,0),0)))</f>
        <v>0</v>
      </c>
      <c r="L1816" s="104" t="n">
        <f aca="false">L1815+K1816</f>
        <v>19</v>
      </c>
    </row>
    <row r="1817" customFormat="false" ht="15" hidden="true" customHeight="true" outlineLevel="0" collapsed="false">
      <c r="F1817" s="116"/>
      <c r="G1817" s="116"/>
      <c r="K1817" s="104" t="n">
        <f aca="false">IF(A1817="",0,IF(IFERROR(VLOOKUP(A1817,Skills!$A:$M,13,FALSE()),"")="COS",0,IF(OR(I1817="En cours",I1817="À venir",I1817="À planifier"),IF(AND(OR($C$3="Tous",$C$3="",C1817=$C$3),OR($E$3="Tous",$E$3="",I1817=$E$3)),1,0),0)))</f>
        <v>0</v>
      </c>
      <c r="L1817" s="104" t="n">
        <f aca="false">L1816+K1817</f>
        <v>19</v>
      </c>
    </row>
    <row r="1818" customFormat="false" ht="15" hidden="true" customHeight="true" outlineLevel="0" collapsed="false">
      <c r="F1818" s="116"/>
      <c r="G1818" s="116"/>
      <c r="K1818" s="104" t="n">
        <f aca="false">IF(A1818="",0,IF(IFERROR(VLOOKUP(A1818,Skills!$A:$M,13,FALSE()),"")="COS",0,IF(OR(I1818="En cours",I1818="À venir",I1818="À planifier"),IF(AND(OR($C$3="Tous",$C$3="",C1818=$C$3),OR($E$3="Tous",$E$3="",I1818=$E$3)),1,0),0)))</f>
        <v>0</v>
      </c>
      <c r="L1818" s="104" t="n">
        <f aca="false">L1817+K1818</f>
        <v>19</v>
      </c>
    </row>
    <row r="1819" customFormat="false" ht="15" hidden="true" customHeight="true" outlineLevel="0" collapsed="false">
      <c r="F1819" s="116"/>
      <c r="G1819" s="116"/>
      <c r="K1819" s="104" t="n">
        <f aca="false">IF(A1819="",0,IF(IFERROR(VLOOKUP(A1819,Skills!$A:$M,13,FALSE()),"")="COS",0,IF(OR(I1819="En cours",I1819="À venir",I1819="À planifier"),IF(AND(OR($C$3="Tous",$C$3="",C1819=$C$3),OR($E$3="Tous",$E$3="",I1819=$E$3)),1,0),0)))</f>
        <v>0</v>
      </c>
      <c r="L1819" s="104" t="n">
        <f aca="false">L1818+K1819</f>
        <v>19</v>
      </c>
    </row>
    <row r="1820" customFormat="false" ht="15" hidden="true" customHeight="true" outlineLevel="0" collapsed="false">
      <c r="F1820" s="116"/>
      <c r="G1820" s="116"/>
      <c r="K1820" s="104" t="n">
        <f aca="false">IF(A1820="",0,IF(IFERROR(VLOOKUP(A1820,Skills!$A:$M,13,FALSE()),"")="COS",0,IF(OR(I1820="En cours",I1820="À venir",I1820="À planifier"),IF(AND(OR($C$3="Tous",$C$3="",C1820=$C$3),OR($E$3="Tous",$E$3="",I1820=$E$3)),1,0),0)))</f>
        <v>0</v>
      </c>
      <c r="L1820" s="104" t="n">
        <f aca="false">L1819+K1820</f>
        <v>19</v>
      </c>
    </row>
    <row r="1821" customFormat="false" ht="15" hidden="true" customHeight="true" outlineLevel="0" collapsed="false">
      <c r="F1821" s="116"/>
      <c r="G1821" s="116"/>
      <c r="K1821" s="104" t="n">
        <f aca="false">IF(A1821="",0,IF(IFERROR(VLOOKUP(A1821,Skills!$A:$M,13,FALSE()),"")="COS",0,IF(OR(I1821="En cours",I1821="À venir",I1821="À planifier"),IF(AND(OR($C$3="Tous",$C$3="",C1821=$C$3),OR($E$3="Tous",$E$3="",I1821=$E$3)),1,0),0)))</f>
        <v>0</v>
      </c>
      <c r="L1821" s="104" t="n">
        <f aca="false">L1820+K1821</f>
        <v>19</v>
      </c>
    </row>
    <row r="1822" customFormat="false" ht="15" hidden="true" customHeight="true" outlineLevel="0" collapsed="false">
      <c r="F1822" s="116"/>
      <c r="G1822" s="116"/>
      <c r="K1822" s="104" t="n">
        <f aca="false">IF(A1822="",0,IF(IFERROR(VLOOKUP(A1822,Skills!$A:$M,13,FALSE()),"")="COS",0,IF(OR(I1822="En cours",I1822="À venir",I1822="À planifier"),IF(AND(OR($C$3="Tous",$C$3="",C1822=$C$3),OR($E$3="Tous",$E$3="",I1822=$E$3)),1,0),0)))</f>
        <v>0</v>
      </c>
      <c r="L1822" s="104" t="n">
        <f aca="false">L1821+K1822</f>
        <v>19</v>
      </c>
    </row>
    <row r="1823" customFormat="false" ht="15" hidden="true" customHeight="true" outlineLevel="0" collapsed="false">
      <c r="F1823" s="116"/>
      <c r="G1823" s="116"/>
      <c r="K1823" s="104" t="n">
        <f aca="false">IF(A1823="",0,IF(IFERROR(VLOOKUP(A1823,Skills!$A:$M,13,FALSE()),"")="COS",0,IF(OR(I1823="En cours",I1823="À venir",I1823="À planifier"),IF(AND(OR($C$3="Tous",$C$3="",C1823=$C$3),OR($E$3="Tous",$E$3="",I1823=$E$3)),1,0),0)))</f>
        <v>0</v>
      </c>
      <c r="L1823" s="104" t="n">
        <f aca="false">L1822+K1823</f>
        <v>19</v>
      </c>
    </row>
    <row r="1824" customFormat="false" ht="15" hidden="true" customHeight="true" outlineLevel="0" collapsed="false">
      <c r="F1824" s="116"/>
      <c r="G1824" s="116"/>
      <c r="K1824" s="104" t="n">
        <f aca="false">IF(A1824="",0,IF(IFERROR(VLOOKUP(A1824,Skills!$A:$M,13,FALSE()),"")="COS",0,IF(OR(I1824="En cours",I1824="À venir",I1824="À planifier"),IF(AND(OR($C$3="Tous",$C$3="",C1824=$C$3),OR($E$3="Tous",$E$3="",I1824=$E$3)),1,0),0)))</f>
        <v>0</v>
      </c>
      <c r="L1824" s="104" t="n">
        <f aca="false">L1823+K1824</f>
        <v>19</v>
      </c>
    </row>
    <row r="1825" customFormat="false" ht="15" hidden="true" customHeight="true" outlineLevel="0" collapsed="false">
      <c r="F1825" s="116"/>
      <c r="G1825" s="116"/>
      <c r="K1825" s="104" t="n">
        <f aca="false">IF(A1825="",0,IF(IFERROR(VLOOKUP(A1825,Skills!$A:$M,13,FALSE()),"")="COS",0,IF(OR(I1825="En cours",I1825="À venir",I1825="À planifier"),IF(AND(OR($C$3="Tous",$C$3="",C1825=$C$3),OR($E$3="Tous",$E$3="",I1825=$E$3)),1,0),0)))</f>
        <v>0</v>
      </c>
      <c r="L1825" s="104" t="n">
        <f aca="false">L1824+K1825</f>
        <v>19</v>
      </c>
    </row>
    <row r="1826" customFormat="false" ht="15" hidden="true" customHeight="true" outlineLevel="0" collapsed="false">
      <c r="F1826" s="116"/>
      <c r="G1826" s="116"/>
      <c r="K1826" s="104" t="n">
        <f aca="false">IF(A1826="",0,IF(IFERROR(VLOOKUP(A1826,Skills!$A:$M,13,FALSE()),"")="COS",0,IF(OR(I1826="En cours",I1826="À venir",I1826="À planifier"),IF(AND(OR($C$3="Tous",$C$3="",C1826=$C$3),OR($E$3="Tous",$E$3="",I1826=$E$3)),1,0),0)))</f>
        <v>0</v>
      </c>
      <c r="L1826" s="104" t="n">
        <f aca="false">L1825+K1826</f>
        <v>19</v>
      </c>
    </row>
    <row r="1827" customFormat="false" ht="15" hidden="true" customHeight="true" outlineLevel="0" collapsed="false">
      <c r="F1827" s="116"/>
      <c r="G1827" s="116"/>
      <c r="K1827" s="104" t="n">
        <f aca="false">IF(A1827="",0,IF(IFERROR(VLOOKUP(A1827,Skills!$A:$M,13,FALSE()),"")="COS",0,IF(OR(I1827="En cours",I1827="À venir",I1827="À planifier"),IF(AND(OR($C$3="Tous",$C$3="",C1827=$C$3),OR($E$3="Tous",$E$3="",I1827=$E$3)),1,0),0)))</f>
        <v>0</v>
      </c>
      <c r="L1827" s="104" t="n">
        <f aca="false">L1826+K1827</f>
        <v>19</v>
      </c>
    </row>
    <row r="1828" customFormat="false" ht="15" hidden="true" customHeight="true" outlineLevel="0" collapsed="false">
      <c r="F1828" s="116"/>
      <c r="G1828" s="116"/>
      <c r="K1828" s="104" t="n">
        <f aca="false">IF(A1828="",0,IF(IFERROR(VLOOKUP(A1828,Skills!$A:$M,13,FALSE()),"")="COS",0,IF(OR(I1828="En cours",I1828="À venir",I1828="À planifier"),IF(AND(OR($C$3="Tous",$C$3="",C1828=$C$3),OR($E$3="Tous",$E$3="",I1828=$E$3)),1,0),0)))</f>
        <v>0</v>
      </c>
      <c r="L1828" s="104" t="n">
        <f aca="false">L1827+K1828</f>
        <v>19</v>
      </c>
    </row>
    <row r="1829" customFormat="false" ht="15" hidden="true" customHeight="true" outlineLevel="0" collapsed="false">
      <c r="F1829" s="116"/>
      <c r="G1829" s="116"/>
      <c r="K1829" s="104" t="n">
        <f aca="false">IF(A1829="",0,IF(IFERROR(VLOOKUP(A1829,Skills!$A:$M,13,FALSE()),"")="COS",0,IF(OR(I1829="En cours",I1829="À venir",I1829="À planifier"),IF(AND(OR($C$3="Tous",$C$3="",C1829=$C$3),OR($E$3="Tous",$E$3="",I1829=$E$3)),1,0),0)))</f>
        <v>0</v>
      </c>
      <c r="L1829" s="104" t="n">
        <f aca="false">L1828+K1829</f>
        <v>19</v>
      </c>
    </row>
    <row r="1830" customFormat="false" ht="15" hidden="true" customHeight="true" outlineLevel="0" collapsed="false">
      <c r="F1830" s="116"/>
      <c r="G1830" s="116"/>
      <c r="K1830" s="104" t="n">
        <f aca="false">IF(A1830="",0,IF(IFERROR(VLOOKUP(A1830,Skills!$A:$M,13,FALSE()),"")="COS",0,IF(OR(I1830="En cours",I1830="À venir",I1830="À planifier"),IF(AND(OR($C$3="Tous",$C$3="",C1830=$C$3),OR($E$3="Tous",$E$3="",I1830=$E$3)),1,0),0)))</f>
        <v>0</v>
      </c>
      <c r="L1830" s="104" t="n">
        <f aca="false">L1829+K1830</f>
        <v>19</v>
      </c>
    </row>
    <row r="1831" customFormat="false" ht="15" hidden="true" customHeight="true" outlineLevel="0" collapsed="false">
      <c r="F1831" s="116"/>
      <c r="G1831" s="116"/>
      <c r="K1831" s="104" t="n">
        <f aca="false">IF(A1831="",0,IF(IFERROR(VLOOKUP(A1831,Skills!$A:$M,13,FALSE()),"")="COS",0,IF(OR(I1831="En cours",I1831="À venir",I1831="À planifier"),IF(AND(OR($C$3="Tous",$C$3="",C1831=$C$3),OR($E$3="Tous",$E$3="",I1831=$E$3)),1,0),0)))</f>
        <v>0</v>
      </c>
      <c r="L1831" s="104" t="n">
        <f aca="false">L1830+K1831</f>
        <v>19</v>
      </c>
    </row>
    <row r="1832" customFormat="false" ht="15" hidden="true" customHeight="true" outlineLevel="0" collapsed="false">
      <c r="F1832" s="116"/>
      <c r="G1832" s="116"/>
      <c r="K1832" s="104" t="n">
        <f aca="false">IF(A1832="",0,IF(IFERROR(VLOOKUP(A1832,Skills!$A:$M,13,FALSE()),"")="COS",0,IF(OR(I1832="En cours",I1832="À venir",I1832="À planifier"),IF(AND(OR($C$3="Tous",$C$3="",C1832=$C$3),OR($E$3="Tous",$E$3="",I1832=$E$3)),1,0),0)))</f>
        <v>0</v>
      </c>
      <c r="L1832" s="104" t="n">
        <f aca="false">L1831+K1832</f>
        <v>19</v>
      </c>
    </row>
    <row r="1833" customFormat="false" ht="15" hidden="true" customHeight="true" outlineLevel="0" collapsed="false">
      <c r="F1833" s="116"/>
      <c r="G1833" s="116"/>
      <c r="K1833" s="104" t="n">
        <f aca="false">IF(A1833="",0,IF(IFERROR(VLOOKUP(A1833,Skills!$A:$M,13,FALSE()),"")="COS",0,IF(OR(I1833="En cours",I1833="À venir",I1833="À planifier"),IF(AND(OR($C$3="Tous",$C$3="",C1833=$C$3),OR($E$3="Tous",$E$3="",I1833=$E$3)),1,0),0)))</f>
        <v>0</v>
      </c>
      <c r="L1833" s="104" t="n">
        <f aca="false">L1832+K1833</f>
        <v>19</v>
      </c>
    </row>
    <row r="1834" customFormat="false" ht="15" hidden="true" customHeight="true" outlineLevel="0" collapsed="false">
      <c r="F1834" s="116"/>
      <c r="G1834" s="116"/>
      <c r="K1834" s="104" t="n">
        <f aca="false">IF(A1834="",0,IF(IFERROR(VLOOKUP(A1834,Skills!$A:$M,13,FALSE()),"")="COS",0,IF(OR(I1834="En cours",I1834="À venir",I1834="À planifier"),IF(AND(OR($C$3="Tous",$C$3="",C1834=$C$3),OR($E$3="Tous",$E$3="",I1834=$E$3)),1,0),0)))</f>
        <v>0</v>
      </c>
      <c r="L1834" s="104" t="n">
        <f aca="false">L1833+K1834</f>
        <v>19</v>
      </c>
    </row>
    <row r="1835" customFormat="false" ht="15" hidden="true" customHeight="true" outlineLevel="0" collapsed="false">
      <c r="F1835" s="116"/>
      <c r="G1835" s="116"/>
      <c r="K1835" s="104" t="n">
        <f aca="false">IF(A1835="",0,IF(IFERROR(VLOOKUP(A1835,Skills!$A:$M,13,FALSE()),"")="COS",0,IF(OR(I1835="En cours",I1835="À venir",I1835="À planifier"),IF(AND(OR($C$3="Tous",$C$3="",C1835=$C$3),OR($E$3="Tous",$E$3="",I1835=$E$3)),1,0),0)))</f>
        <v>0</v>
      </c>
      <c r="L1835" s="104" t="n">
        <f aca="false">L1834+K1835</f>
        <v>19</v>
      </c>
    </row>
    <row r="1836" customFormat="false" ht="15" hidden="true" customHeight="true" outlineLevel="0" collapsed="false">
      <c r="F1836" s="116"/>
      <c r="G1836" s="116"/>
      <c r="K1836" s="104" t="n">
        <f aca="false">IF(A1836="",0,IF(IFERROR(VLOOKUP(A1836,Skills!$A:$M,13,FALSE()),"")="COS",0,IF(OR(I1836="En cours",I1836="À venir",I1836="À planifier"),IF(AND(OR($C$3="Tous",$C$3="",C1836=$C$3),OR($E$3="Tous",$E$3="",I1836=$E$3)),1,0),0)))</f>
        <v>0</v>
      </c>
      <c r="L1836" s="104" t="n">
        <f aca="false">L1835+K1836</f>
        <v>19</v>
      </c>
    </row>
    <row r="1837" customFormat="false" ht="15" hidden="true" customHeight="true" outlineLevel="0" collapsed="false">
      <c r="F1837" s="116"/>
      <c r="G1837" s="116"/>
      <c r="K1837" s="104" t="n">
        <f aca="false">IF(A1837="",0,IF(IFERROR(VLOOKUP(A1837,Skills!$A:$M,13,FALSE()),"")="COS",0,IF(OR(I1837="En cours",I1837="À venir",I1837="À planifier"),IF(AND(OR($C$3="Tous",$C$3="",C1837=$C$3),OR($E$3="Tous",$E$3="",I1837=$E$3)),1,0),0)))</f>
        <v>0</v>
      </c>
      <c r="L1837" s="104" t="n">
        <f aca="false">L1836+K1837</f>
        <v>19</v>
      </c>
    </row>
    <row r="1838" customFormat="false" ht="15" hidden="true" customHeight="true" outlineLevel="0" collapsed="false">
      <c r="F1838" s="116"/>
      <c r="G1838" s="116"/>
      <c r="K1838" s="104" t="n">
        <f aca="false">IF(A1838="",0,IF(IFERROR(VLOOKUP(A1838,Skills!$A:$M,13,FALSE()),"")="COS",0,IF(OR(I1838="En cours",I1838="À venir",I1838="À planifier"),IF(AND(OR($C$3="Tous",$C$3="",C1838=$C$3),OR($E$3="Tous",$E$3="",I1838=$E$3)),1,0),0)))</f>
        <v>0</v>
      </c>
      <c r="L1838" s="104" t="n">
        <f aca="false">L1837+K1838</f>
        <v>19</v>
      </c>
    </row>
    <row r="1839" customFormat="false" ht="15" hidden="true" customHeight="true" outlineLevel="0" collapsed="false">
      <c r="F1839" s="116"/>
      <c r="G1839" s="116"/>
      <c r="K1839" s="104" t="n">
        <f aca="false">IF(A1839="",0,IF(IFERROR(VLOOKUP(A1839,Skills!$A:$M,13,FALSE()),"")="COS",0,IF(OR(I1839="En cours",I1839="À venir",I1839="À planifier"),IF(AND(OR($C$3="Tous",$C$3="",C1839=$C$3),OR($E$3="Tous",$E$3="",I1839=$E$3)),1,0),0)))</f>
        <v>0</v>
      </c>
      <c r="L1839" s="104" t="n">
        <f aca="false">L1838+K1839</f>
        <v>19</v>
      </c>
    </row>
    <row r="1840" customFormat="false" ht="15" hidden="true" customHeight="true" outlineLevel="0" collapsed="false">
      <c r="F1840" s="116"/>
      <c r="G1840" s="116"/>
      <c r="K1840" s="104" t="n">
        <f aca="false">IF(A1840="",0,IF(IFERROR(VLOOKUP(A1840,Skills!$A:$M,13,FALSE()),"")="COS",0,IF(OR(I1840="En cours",I1840="À venir",I1840="À planifier"),IF(AND(OR($C$3="Tous",$C$3="",C1840=$C$3),OR($E$3="Tous",$E$3="",I1840=$E$3)),1,0),0)))</f>
        <v>0</v>
      </c>
      <c r="L1840" s="104" t="n">
        <f aca="false">L1839+K1840</f>
        <v>19</v>
      </c>
    </row>
    <row r="1841" customFormat="false" ht="15" hidden="true" customHeight="true" outlineLevel="0" collapsed="false">
      <c r="F1841" s="116"/>
      <c r="G1841" s="116"/>
      <c r="K1841" s="104" t="n">
        <f aca="false">IF(A1841="",0,IF(IFERROR(VLOOKUP(A1841,Skills!$A:$M,13,FALSE()),"")="COS",0,IF(OR(I1841="En cours",I1841="À venir",I1841="À planifier"),IF(AND(OR($C$3="Tous",$C$3="",C1841=$C$3),OR($E$3="Tous",$E$3="",I1841=$E$3)),1,0),0)))</f>
        <v>0</v>
      </c>
      <c r="L1841" s="104" t="n">
        <f aca="false">L1840+K1841</f>
        <v>19</v>
      </c>
    </row>
    <row r="1842" customFormat="false" ht="15" hidden="true" customHeight="true" outlineLevel="0" collapsed="false">
      <c r="F1842" s="116"/>
      <c r="G1842" s="116"/>
      <c r="K1842" s="104" t="n">
        <f aca="false">IF(A1842="",0,IF(IFERROR(VLOOKUP(A1842,Skills!$A:$M,13,FALSE()),"")="COS",0,IF(OR(I1842="En cours",I1842="À venir",I1842="À planifier"),IF(AND(OR($C$3="Tous",$C$3="",C1842=$C$3),OR($E$3="Tous",$E$3="",I1842=$E$3)),1,0),0)))</f>
        <v>0</v>
      </c>
      <c r="L1842" s="104" t="n">
        <f aca="false">L1841+K1842</f>
        <v>19</v>
      </c>
    </row>
    <row r="1843" customFormat="false" ht="15" hidden="true" customHeight="true" outlineLevel="0" collapsed="false">
      <c r="F1843" s="116"/>
      <c r="G1843" s="116"/>
      <c r="K1843" s="104" t="n">
        <f aca="false">IF(A1843="",0,IF(IFERROR(VLOOKUP(A1843,Skills!$A:$M,13,FALSE()),"")="COS",0,IF(OR(I1843="En cours",I1843="À venir",I1843="À planifier"),IF(AND(OR($C$3="Tous",$C$3="",C1843=$C$3),OR($E$3="Tous",$E$3="",I1843=$E$3)),1,0),0)))</f>
        <v>0</v>
      </c>
      <c r="L1843" s="104" t="n">
        <f aca="false">L1842+K1843</f>
        <v>19</v>
      </c>
    </row>
    <row r="1844" customFormat="false" ht="15" hidden="true" customHeight="true" outlineLevel="0" collapsed="false">
      <c r="F1844" s="116"/>
      <c r="G1844" s="116"/>
      <c r="K1844" s="104" t="n">
        <f aca="false">IF(A1844="",0,IF(IFERROR(VLOOKUP(A1844,Skills!$A:$M,13,FALSE()),"")="COS",0,IF(OR(I1844="En cours",I1844="À venir",I1844="À planifier"),IF(AND(OR($C$3="Tous",$C$3="",C1844=$C$3),OR($E$3="Tous",$E$3="",I1844=$E$3)),1,0),0)))</f>
        <v>0</v>
      </c>
      <c r="L1844" s="104" t="n">
        <f aca="false">L1843+K1844</f>
        <v>19</v>
      </c>
    </row>
    <row r="1845" customFormat="false" ht="15" hidden="true" customHeight="true" outlineLevel="0" collapsed="false">
      <c r="F1845" s="116"/>
      <c r="G1845" s="116"/>
      <c r="K1845" s="104" t="n">
        <f aca="false">IF(A1845="",0,IF(IFERROR(VLOOKUP(A1845,Skills!$A:$M,13,FALSE()),"")="COS",0,IF(OR(I1845="En cours",I1845="À venir",I1845="À planifier"),IF(AND(OR($C$3="Tous",$C$3="",C1845=$C$3),OR($E$3="Tous",$E$3="",I1845=$E$3)),1,0),0)))</f>
        <v>0</v>
      </c>
      <c r="L1845" s="104" t="n">
        <f aca="false">L1844+K1845</f>
        <v>19</v>
      </c>
    </row>
    <row r="1846" customFormat="false" ht="15" hidden="true" customHeight="true" outlineLevel="0" collapsed="false">
      <c r="F1846" s="116"/>
      <c r="G1846" s="116"/>
      <c r="K1846" s="104" t="n">
        <f aca="false">IF(A1846="",0,IF(IFERROR(VLOOKUP(A1846,Skills!$A:$M,13,FALSE()),"")="COS",0,IF(OR(I1846="En cours",I1846="À venir",I1846="À planifier"),IF(AND(OR($C$3="Tous",$C$3="",C1846=$C$3),OR($E$3="Tous",$E$3="",I1846=$E$3)),1,0),0)))</f>
        <v>0</v>
      </c>
      <c r="L1846" s="104" t="n">
        <f aca="false">L1845+K1846</f>
        <v>19</v>
      </c>
    </row>
    <row r="1847" customFormat="false" ht="15" hidden="true" customHeight="true" outlineLevel="0" collapsed="false">
      <c r="F1847" s="116"/>
      <c r="G1847" s="116"/>
      <c r="K1847" s="104" t="n">
        <f aca="false">IF(A1847="",0,IF(IFERROR(VLOOKUP(A1847,Skills!$A:$M,13,FALSE()),"")="COS",0,IF(OR(I1847="En cours",I1847="À venir",I1847="À planifier"),IF(AND(OR($C$3="Tous",$C$3="",C1847=$C$3),OR($E$3="Tous",$E$3="",I1847=$E$3)),1,0),0)))</f>
        <v>0</v>
      </c>
      <c r="L1847" s="104" t="n">
        <f aca="false">L1846+K1847</f>
        <v>19</v>
      </c>
    </row>
    <row r="1848" customFormat="false" ht="15" hidden="true" customHeight="true" outlineLevel="0" collapsed="false">
      <c r="F1848" s="116"/>
      <c r="G1848" s="116"/>
      <c r="K1848" s="104" t="n">
        <f aca="false">IF(A1848="",0,IF(IFERROR(VLOOKUP(A1848,Skills!$A:$M,13,FALSE()),"")="COS",0,IF(OR(I1848="En cours",I1848="À venir",I1848="À planifier"),IF(AND(OR($C$3="Tous",$C$3="",C1848=$C$3),OR($E$3="Tous",$E$3="",I1848=$E$3)),1,0),0)))</f>
        <v>0</v>
      </c>
      <c r="L1848" s="104" t="n">
        <f aca="false">L1847+K1848</f>
        <v>19</v>
      </c>
    </row>
    <row r="1849" customFormat="false" ht="15" hidden="true" customHeight="true" outlineLevel="0" collapsed="false">
      <c r="F1849" s="116"/>
      <c r="G1849" s="116"/>
      <c r="K1849" s="104" t="n">
        <f aca="false">IF(A1849="",0,IF(IFERROR(VLOOKUP(A1849,Skills!$A:$M,13,FALSE()),"")="COS",0,IF(OR(I1849="En cours",I1849="À venir",I1849="À planifier"),IF(AND(OR($C$3="Tous",$C$3="",C1849=$C$3),OR($E$3="Tous",$E$3="",I1849=$E$3)),1,0),0)))</f>
        <v>0</v>
      </c>
      <c r="L1849" s="104" t="n">
        <f aca="false">L1848+K1849</f>
        <v>19</v>
      </c>
    </row>
    <row r="1850" customFormat="false" ht="15" hidden="true" customHeight="true" outlineLevel="0" collapsed="false">
      <c r="F1850" s="116"/>
      <c r="G1850" s="116"/>
      <c r="K1850" s="104" t="n">
        <f aca="false">IF(A1850="",0,IF(IFERROR(VLOOKUP(A1850,Skills!$A:$M,13,FALSE()),"")="COS",0,IF(OR(I1850="En cours",I1850="À venir",I1850="À planifier"),IF(AND(OR($C$3="Tous",$C$3="",C1850=$C$3),OR($E$3="Tous",$E$3="",I1850=$E$3)),1,0),0)))</f>
        <v>0</v>
      </c>
      <c r="L1850" s="104" t="n">
        <f aca="false">L1849+K1850</f>
        <v>19</v>
      </c>
    </row>
    <row r="1851" customFormat="false" ht="15" hidden="true" customHeight="true" outlineLevel="0" collapsed="false">
      <c r="F1851" s="116"/>
      <c r="G1851" s="116"/>
      <c r="K1851" s="104" t="n">
        <f aca="false">IF(A1851="",0,IF(IFERROR(VLOOKUP(A1851,Skills!$A:$M,13,FALSE()),"")="COS",0,IF(OR(I1851="En cours",I1851="À venir",I1851="À planifier"),IF(AND(OR($C$3="Tous",$C$3="",C1851=$C$3),OR($E$3="Tous",$E$3="",I1851=$E$3)),1,0),0)))</f>
        <v>0</v>
      </c>
      <c r="L1851" s="104" t="n">
        <f aca="false">L1850+K1851</f>
        <v>19</v>
      </c>
    </row>
    <row r="1852" customFormat="false" ht="15" hidden="true" customHeight="true" outlineLevel="0" collapsed="false">
      <c r="F1852" s="116"/>
      <c r="G1852" s="116"/>
      <c r="K1852" s="104" t="n">
        <f aca="false">IF(A1852="",0,IF(IFERROR(VLOOKUP(A1852,Skills!$A:$M,13,FALSE()),"")="COS",0,IF(OR(I1852="En cours",I1852="À venir",I1852="À planifier"),IF(AND(OR($C$3="Tous",$C$3="",C1852=$C$3),OR($E$3="Tous",$E$3="",I1852=$E$3)),1,0),0)))</f>
        <v>0</v>
      </c>
      <c r="L1852" s="104" t="n">
        <f aca="false">L1851+K1852</f>
        <v>19</v>
      </c>
    </row>
    <row r="1853" customFormat="false" ht="15" hidden="true" customHeight="true" outlineLevel="0" collapsed="false">
      <c r="F1853" s="116"/>
      <c r="G1853" s="116"/>
      <c r="K1853" s="104" t="n">
        <f aca="false">IF(A1853="",0,IF(IFERROR(VLOOKUP(A1853,Skills!$A:$M,13,FALSE()),"")="COS",0,IF(OR(I1853="En cours",I1853="À venir",I1853="À planifier"),IF(AND(OR($C$3="Tous",$C$3="",C1853=$C$3),OR($E$3="Tous",$E$3="",I1853=$E$3)),1,0),0)))</f>
        <v>0</v>
      </c>
      <c r="L1853" s="104" t="n">
        <f aca="false">L1852+K1853</f>
        <v>19</v>
      </c>
    </row>
    <row r="1854" customFormat="false" ht="15" hidden="true" customHeight="true" outlineLevel="0" collapsed="false">
      <c r="F1854" s="116"/>
      <c r="G1854" s="116"/>
      <c r="K1854" s="104" t="n">
        <f aca="false">IF(A1854="",0,IF(IFERROR(VLOOKUP(A1854,Skills!$A:$M,13,FALSE()),"")="COS",0,IF(OR(I1854="En cours",I1854="À venir",I1854="À planifier"),IF(AND(OR($C$3="Tous",$C$3="",C1854=$C$3),OR($E$3="Tous",$E$3="",I1854=$E$3)),1,0),0)))</f>
        <v>0</v>
      </c>
      <c r="L1854" s="104" t="n">
        <f aca="false">L1853+K1854</f>
        <v>19</v>
      </c>
    </row>
    <row r="1855" customFormat="false" ht="15" hidden="true" customHeight="true" outlineLevel="0" collapsed="false">
      <c r="F1855" s="116"/>
      <c r="G1855" s="116"/>
      <c r="K1855" s="104" t="n">
        <f aca="false">IF(A1855="",0,IF(IFERROR(VLOOKUP(A1855,Skills!$A:$M,13,FALSE()),"")="COS",0,IF(OR(I1855="En cours",I1855="À venir",I1855="À planifier"),IF(AND(OR($C$3="Tous",$C$3="",C1855=$C$3),OR($E$3="Tous",$E$3="",I1855=$E$3)),1,0),0)))</f>
        <v>0</v>
      </c>
      <c r="L1855" s="104" t="n">
        <f aca="false">L1854+K1855</f>
        <v>19</v>
      </c>
    </row>
    <row r="1856" customFormat="false" ht="15" hidden="true" customHeight="true" outlineLevel="0" collapsed="false">
      <c r="F1856" s="116"/>
      <c r="G1856" s="116"/>
      <c r="K1856" s="104" t="n">
        <f aca="false">IF(A1856="",0,IF(IFERROR(VLOOKUP(A1856,Skills!$A:$M,13,FALSE()),"")="COS",0,IF(OR(I1856="En cours",I1856="À venir",I1856="À planifier"),IF(AND(OR($C$3="Tous",$C$3="",C1856=$C$3),OR($E$3="Tous",$E$3="",I1856=$E$3)),1,0),0)))</f>
        <v>0</v>
      </c>
      <c r="L1856" s="104" t="n">
        <f aca="false">L1855+K1856</f>
        <v>19</v>
      </c>
    </row>
    <row r="1857" customFormat="false" ht="15" hidden="true" customHeight="true" outlineLevel="0" collapsed="false">
      <c r="F1857" s="116"/>
      <c r="G1857" s="116"/>
      <c r="K1857" s="104" t="n">
        <f aca="false">IF(A1857="",0,IF(IFERROR(VLOOKUP(A1857,Skills!$A:$M,13,FALSE()),"")="COS",0,IF(OR(I1857="En cours",I1857="À venir",I1857="À planifier"),IF(AND(OR($C$3="Tous",$C$3="",C1857=$C$3),OR($E$3="Tous",$E$3="",I1857=$E$3)),1,0),0)))</f>
        <v>0</v>
      </c>
      <c r="L1857" s="104" t="n">
        <f aca="false">L1856+K1857</f>
        <v>19</v>
      </c>
    </row>
    <row r="1858" customFormat="false" ht="15" hidden="true" customHeight="true" outlineLevel="0" collapsed="false">
      <c r="F1858" s="116"/>
      <c r="G1858" s="116"/>
      <c r="K1858" s="104" t="n">
        <f aca="false">IF(A1858="",0,IF(IFERROR(VLOOKUP(A1858,Skills!$A:$M,13,FALSE()),"")="COS",0,IF(OR(I1858="En cours",I1858="À venir",I1858="À planifier"),IF(AND(OR($C$3="Tous",$C$3="",C1858=$C$3),OR($E$3="Tous",$E$3="",I1858=$E$3)),1,0),0)))</f>
        <v>0</v>
      </c>
      <c r="L1858" s="104" t="n">
        <f aca="false">L1857+K1858</f>
        <v>19</v>
      </c>
    </row>
    <row r="1859" customFormat="false" ht="15" hidden="true" customHeight="true" outlineLevel="0" collapsed="false">
      <c r="F1859" s="116"/>
      <c r="G1859" s="116"/>
      <c r="K1859" s="104" t="n">
        <f aca="false">IF(A1859="",0,IF(IFERROR(VLOOKUP(A1859,Skills!$A:$M,13,FALSE()),"")="COS",0,IF(OR(I1859="En cours",I1859="À venir",I1859="À planifier"),IF(AND(OR($C$3="Tous",$C$3="",C1859=$C$3),OR($E$3="Tous",$E$3="",I1859=$E$3)),1,0),0)))</f>
        <v>0</v>
      </c>
      <c r="L1859" s="104" t="n">
        <f aca="false">L1858+K1859</f>
        <v>19</v>
      </c>
    </row>
    <row r="1860" customFormat="false" ht="15" hidden="true" customHeight="true" outlineLevel="0" collapsed="false">
      <c r="F1860" s="116"/>
      <c r="G1860" s="116"/>
      <c r="K1860" s="104" t="n">
        <f aca="false">IF(A1860="",0,IF(IFERROR(VLOOKUP(A1860,Skills!$A:$M,13,FALSE()),"")="COS",0,IF(OR(I1860="En cours",I1860="À venir",I1860="À planifier"),IF(AND(OR($C$3="Tous",$C$3="",C1860=$C$3),OR($E$3="Tous",$E$3="",I1860=$E$3)),1,0),0)))</f>
        <v>0</v>
      </c>
      <c r="L1860" s="104" t="n">
        <f aca="false">L1859+K1860</f>
        <v>19</v>
      </c>
    </row>
    <row r="1861" customFormat="false" ht="15" hidden="true" customHeight="true" outlineLevel="0" collapsed="false">
      <c r="F1861" s="116"/>
      <c r="G1861" s="116"/>
      <c r="K1861" s="104" t="n">
        <f aca="false">IF(A1861="",0,IF(IFERROR(VLOOKUP(A1861,Skills!$A:$M,13,FALSE()),"")="COS",0,IF(OR(I1861="En cours",I1861="À venir",I1861="À planifier"),IF(AND(OR($C$3="Tous",$C$3="",C1861=$C$3),OR($E$3="Tous",$E$3="",I1861=$E$3)),1,0),0)))</f>
        <v>0</v>
      </c>
      <c r="L1861" s="104" t="n">
        <f aca="false">L1860+K1861</f>
        <v>19</v>
      </c>
    </row>
    <row r="1862" customFormat="false" ht="15" hidden="true" customHeight="true" outlineLevel="0" collapsed="false">
      <c r="F1862" s="116"/>
      <c r="G1862" s="116"/>
      <c r="K1862" s="104" t="n">
        <f aca="false">IF(A1862="",0,IF(IFERROR(VLOOKUP(A1862,Skills!$A:$M,13,FALSE()),"")="COS",0,IF(OR(I1862="En cours",I1862="À venir",I1862="À planifier"),IF(AND(OR($C$3="Tous",$C$3="",C1862=$C$3),OR($E$3="Tous",$E$3="",I1862=$E$3)),1,0),0)))</f>
        <v>0</v>
      </c>
      <c r="L1862" s="104" t="n">
        <f aca="false">L1861+K1862</f>
        <v>19</v>
      </c>
    </row>
    <row r="1863" customFormat="false" ht="15" hidden="true" customHeight="true" outlineLevel="0" collapsed="false">
      <c r="F1863" s="116"/>
      <c r="G1863" s="116"/>
      <c r="K1863" s="104" t="n">
        <f aca="false">IF(A1863="",0,IF(IFERROR(VLOOKUP(A1863,Skills!$A:$M,13,FALSE()),"")="COS",0,IF(OR(I1863="En cours",I1863="À venir",I1863="À planifier"),IF(AND(OR($C$3="Tous",$C$3="",C1863=$C$3),OR($E$3="Tous",$E$3="",I1863=$E$3)),1,0),0)))</f>
        <v>0</v>
      </c>
      <c r="L1863" s="104" t="n">
        <f aca="false">L1862+K1863</f>
        <v>19</v>
      </c>
    </row>
    <row r="1864" customFormat="false" ht="15" hidden="true" customHeight="true" outlineLevel="0" collapsed="false">
      <c r="F1864" s="116"/>
      <c r="G1864" s="116"/>
      <c r="K1864" s="104" t="n">
        <f aca="false">IF(A1864="",0,IF(IFERROR(VLOOKUP(A1864,Skills!$A:$M,13,FALSE()),"")="COS",0,IF(OR(I1864="En cours",I1864="À venir",I1864="À planifier"),IF(AND(OR($C$3="Tous",$C$3="",C1864=$C$3),OR($E$3="Tous",$E$3="",I1864=$E$3)),1,0),0)))</f>
        <v>0</v>
      </c>
      <c r="L1864" s="104" t="n">
        <f aca="false">L1863+K1864</f>
        <v>19</v>
      </c>
    </row>
    <row r="1865" customFormat="false" ht="15" hidden="true" customHeight="true" outlineLevel="0" collapsed="false">
      <c r="F1865" s="116"/>
      <c r="G1865" s="116"/>
      <c r="K1865" s="104" t="n">
        <f aca="false">IF(A1865="",0,IF(IFERROR(VLOOKUP(A1865,Skills!$A:$M,13,FALSE()),"")="COS",0,IF(OR(I1865="En cours",I1865="À venir",I1865="À planifier"),IF(AND(OR($C$3="Tous",$C$3="",C1865=$C$3),OR($E$3="Tous",$E$3="",I1865=$E$3)),1,0),0)))</f>
        <v>0</v>
      </c>
      <c r="L1865" s="104" t="n">
        <f aca="false">L1864+K1865</f>
        <v>19</v>
      </c>
    </row>
    <row r="1866" customFormat="false" ht="15" hidden="true" customHeight="true" outlineLevel="0" collapsed="false">
      <c r="F1866" s="116"/>
      <c r="G1866" s="116"/>
      <c r="K1866" s="104" t="n">
        <f aca="false">IF(A1866="",0,IF(IFERROR(VLOOKUP(A1866,Skills!$A:$M,13,FALSE()),"")="COS",0,IF(OR(I1866="En cours",I1866="À venir",I1866="À planifier"),IF(AND(OR($C$3="Tous",$C$3="",C1866=$C$3),OR($E$3="Tous",$E$3="",I1866=$E$3)),1,0),0)))</f>
        <v>0</v>
      </c>
      <c r="L1866" s="104" t="n">
        <f aca="false">L1865+K1866</f>
        <v>19</v>
      </c>
    </row>
    <row r="1867" customFormat="false" ht="15" hidden="true" customHeight="true" outlineLevel="0" collapsed="false">
      <c r="F1867" s="116"/>
      <c r="G1867" s="116"/>
      <c r="K1867" s="104" t="n">
        <f aca="false">IF(A1867="",0,IF(IFERROR(VLOOKUP(A1867,Skills!$A:$M,13,FALSE()),"")="COS",0,IF(OR(I1867="En cours",I1867="À venir",I1867="À planifier"),IF(AND(OR($C$3="Tous",$C$3="",C1867=$C$3),OR($E$3="Tous",$E$3="",I1867=$E$3)),1,0),0)))</f>
        <v>0</v>
      </c>
      <c r="L1867" s="104" t="n">
        <f aca="false">L1866+K1867</f>
        <v>19</v>
      </c>
    </row>
    <row r="1868" customFormat="false" ht="15" hidden="true" customHeight="true" outlineLevel="0" collapsed="false">
      <c r="F1868" s="116"/>
      <c r="G1868" s="116"/>
      <c r="K1868" s="104" t="n">
        <f aca="false">IF(A1868="",0,IF(IFERROR(VLOOKUP(A1868,Skills!$A:$M,13,FALSE()),"")="COS",0,IF(OR(I1868="En cours",I1868="À venir",I1868="À planifier"),IF(AND(OR($C$3="Tous",$C$3="",C1868=$C$3),OR($E$3="Tous",$E$3="",I1868=$E$3)),1,0),0)))</f>
        <v>0</v>
      </c>
      <c r="L1868" s="104" t="n">
        <f aca="false">L1867+K1868</f>
        <v>19</v>
      </c>
    </row>
    <row r="1869" customFormat="false" ht="15" hidden="true" customHeight="true" outlineLevel="0" collapsed="false">
      <c r="F1869" s="116"/>
      <c r="G1869" s="116"/>
      <c r="K1869" s="104" t="n">
        <f aca="false">IF(A1869="",0,IF(IFERROR(VLOOKUP(A1869,Skills!$A:$M,13,FALSE()),"")="COS",0,IF(OR(I1869="En cours",I1869="À venir",I1869="À planifier"),IF(AND(OR($C$3="Tous",$C$3="",C1869=$C$3),OR($E$3="Tous",$E$3="",I1869=$E$3)),1,0),0)))</f>
        <v>0</v>
      </c>
      <c r="L1869" s="104" t="n">
        <f aca="false">L1868+K1869</f>
        <v>19</v>
      </c>
    </row>
    <row r="1870" customFormat="false" ht="15" hidden="true" customHeight="true" outlineLevel="0" collapsed="false">
      <c r="F1870" s="116"/>
      <c r="G1870" s="116"/>
      <c r="K1870" s="104" t="n">
        <f aca="false">IF(A1870="",0,IF(IFERROR(VLOOKUP(A1870,Skills!$A:$M,13,FALSE()),"")="COS",0,IF(OR(I1870="En cours",I1870="À venir",I1870="À planifier"),IF(AND(OR($C$3="Tous",$C$3="",C1870=$C$3),OR($E$3="Tous",$E$3="",I1870=$E$3)),1,0),0)))</f>
        <v>0</v>
      </c>
      <c r="L1870" s="104" t="n">
        <f aca="false">L1869+K1870</f>
        <v>19</v>
      </c>
    </row>
    <row r="1871" customFormat="false" ht="15" hidden="true" customHeight="true" outlineLevel="0" collapsed="false">
      <c r="F1871" s="116"/>
      <c r="G1871" s="116"/>
      <c r="K1871" s="104" t="n">
        <f aca="false">IF(A1871="",0,IF(IFERROR(VLOOKUP(A1871,Skills!$A:$M,13,FALSE()),"")="COS",0,IF(OR(I1871="En cours",I1871="À venir",I1871="À planifier"),IF(AND(OR($C$3="Tous",$C$3="",C1871=$C$3),OR($E$3="Tous",$E$3="",I1871=$E$3)),1,0),0)))</f>
        <v>0</v>
      </c>
      <c r="L1871" s="104" t="n">
        <f aca="false">L1870+K1871</f>
        <v>19</v>
      </c>
    </row>
    <row r="1872" customFormat="false" ht="15" hidden="true" customHeight="true" outlineLevel="0" collapsed="false">
      <c r="F1872" s="116"/>
      <c r="G1872" s="116"/>
      <c r="K1872" s="104" t="n">
        <f aca="false">IF(A1872="",0,IF(IFERROR(VLOOKUP(A1872,Skills!$A:$M,13,FALSE()),"")="COS",0,IF(OR(I1872="En cours",I1872="À venir",I1872="À planifier"),IF(AND(OR($C$3="Tous",$C$3="",C1872=$C$3),OR($E$3="Tous",$E$3="",I1872=$E$3)),1,0),0)))</f>
        <v>0</v>
      </c>
      <c r="L1872" s="104" t="n">
        <f aca="false">L1871+K1872</f>
        <v>19</v>
      </c>
    </row>
    <row r="1873" customFormat="false" ht="15" hidden="true" customHeight="true" outlineLevel="0" collapsed="false">
      <c r="F1873" s="116"/>
      <c r="G1873" s="116"/>
      <c r="K1873" s="104" t="n">
        <f aca="false">IF(A1873="",0,IF(IFERROR(VLOOKUP(A1873,Skills!$A:$M,13,FALSE()),"")="COS",0,IF(OR(I1873="En cours",I1873="À venir",I1873="À planifier"),IF(AND(OR($C$3="Tous",$C$3="",C1873=$C$3),OR($E$3="Tous",$E$3="",I1873=$E$3)),1,0),0)))</f>
        <v>0</v>
      </c>
      <c r="L1873" s="104" t="n">
        <f aca="false">L1872+K1873</f>
        <v>19</v>
      </c>
    </row>
    <row r="1874" customFormat="false" ht="15" hidden="true" customHeight="true" outlineLevel="0" collapsed="false">
      <c r="F1874" s="116"/>
      <c r="G1874" s="116"/>
      <c r="K1874" s="104" t="n">
        <f aca="false">IF(A1874="",0,IF(IFERROR(VLOOKUP(A1874,Skills!$A:$M,13,FALSE()),"")="COS",0,IF(OR(I1874="En cours",I1874="À venir",I1874="À planifier"),IF(AND(OR($C$3="Tous",$C$3="",C1874=$C$3),OR($E$3="Tous",$E$3="",I1874=$E$3)),1,0),0)))</f>
        <v>0</v>
      </c>
      <c r="L1874" s="104" t="n">
        <f aca="false">L1873+K1874</f>
        <v>19</v>
      </c>
    </row>
    <row r="1875" customFormat="false" ht="15" hidden="true" customHeight="true" outlineLevel="0" collapsed="false">
      <c r="F1875" s="116"/>
      <c r="G1875" s="116"/>
      <c r="K1875" s="104" t="n">
        <f aca="false">IF(A1875="",0,IF(IFERROR(VLOOKUP(A1875,Skills!$A:$M,13,FALSE()),"")="COS",0,IF(OR(I1875="En cours",I1875="À venir",I1875="À planifier"),IF(AND(OR($C$3="Tous",$C$3="",C1875=$C$3),OR($E$3="Tous",$E$3="",I1875=$E$3)),1,0),0)))</f>
        <v>0</v>
      </c>
      <c r="L1875" s="104" t="n">
        <f aca="false">L1874+K1875</f>
        <v>19</v>
      </c>
    </row>
    <row r="1876" customFormat="false" ht="15" hidden="true" customHeight="true" outlineLevel="0" collapsed="false">
      <c r="F1876" s="116"/>
      <c r="G1876" s="116"/>
      <c r="K1876" s="104" t="n">
        <f aca="false">IF(A1876="",0,IF(IFERROR(VLOOKUP(A1876,Skills!$A:$M,13,FALSE()),"")="COS",0,IF(OR(I1876="En cours",I1876="À venir",I1876="À planifier"),IF(AND(OR($C$3="Tous",$C$3="",C1876=$C$3),OR($E$3="Tous",$E$3="",I1876=$E$3)),1,0),0)))</f>
        <v>0</v>
      </c>
      <c r="L1876" s="104" t="n">
        <f aca="false">L1875+K1876</f>
        <v>19</v>
      </c>
    </row>
    <row r="1877" customFormat="false" ht="15" hidden="true" customHeight="true" outlineLevel="0" collapsed="false">
      <c r="F1877" s="116"/>
      <c r="G1877" s="116"/>
      <c r="K1877" s="104" t="n">
        <f aca="false">IF(A1877="",0,IF(IFERROR(VLOOKUP(A1877,Skills!$A:$M,13,FALSE()),"")="COS",0,IF(OR(I1877="En cours",I1877="À venir",I1877="À planifier"),IF(AND(OR($C$3="Tous",$C$3="",C1877=$C$3),OR($E$3="Tous",$E$3="",I1877=$E$3)),1,0),0)))</f>
        <v>0</v>
      </c>
      <c r="L1877" s="104" t="n">
        <f aca="false">L1876+K1877</f>
        <v>19</v>
      </c>
    </row>
    <row r="1878" customFormat="false" ht="15" hidden="true" customHeight="true" outlineLevel="0" collapsed="false">
      <c r="F1878" s="116"/>
      <c r="G1878" s="116"/>
      <c r="K1878" s="104" t="n">
        <f aca="false">IF(A1878="",0,IF(IFERROR(VLOOKUP(A1878,Skills!$A:$M,13,FALSE()),"")="COS",0,IF(OR(I1878="En cours",I1878="À venir",I1878="À planifier"),IF(AND(OR($C$3="Tous",$C$3="",C1878=$C$3),OR($E$3="Tous",$E$3="",I1878=$E$3)),1,0),0)))</f>
        <v>0</v>
      </c>
      <c r="L1878" s="104" t="n">
        <f aca="false">L1877+K1878</f>
        <v>19</v>
      </c>
    </row>
    <row r="1879" customFormat="false" ht="15" hidden="true" customHeight="true" outlineLevel="0" collapsed="false">
      <c r="F1879" s="116"/>
      <c r="G1879" s="116"/>
      <c r="K1879" s="104" t="n">
        <f aca="false">IF(A1879="",0,IF(IFERROR(VLOOKUP(A1879,Skills!$A:$M,13,FALSE()),"")="COS",0,IF(OR(I1879="En cours",I1879="À venir",I1879="À planifier"),IF(AND(OR($C$3="Tous",$C$3="",C1879=$C$3),OR($E$3="Tous",$E$3="",I1879=$E$3)),1,0),0)))</f>
        <v>0</v>
      </c>
      <c r="L1879" s="104" t="n">
        <f aca="false">L1878+K1879</f>
        <v>19</v>
      </c>
    </row>
    <row r="1880" customFormat="false" ht="15" hidden="true" customHeight="true" outlineLevel="0" collapsed="false">
      <c r="F1880" s="116"/>
      <c r="G1880" s="116"/>
      <c r="K1880" s="104" t="n">
        <f aca="false">IF(A1880="",0,IF(IFERROR(VLOOKUP(A1880,Skills!$A:$M,13,FALSE()),"")="COS",0,IF(OR(I1880="En cours",I1880="À venir",I1880="À planifier"),IF(AND(OR($C$3="Tous",$C$3="",C1880=$C$3),OR($E$3="Tous",$E$3="",I1880=$E$3)),1,0),0)))</f>
        <v>0</v>
      </c>
      <c r="L1880" s="104" t="n">
        <f aca="false">L1879+K1880</f>
        <v>19</v>
      </c>
    </row>
    <row r="1881" customFormat="false" ht="15" hidden="true" customHeight="true" outlineLevel="0" collapsed="false">
      <c r="F1881" s="116"/>
      <c r="G1881" s="116"/>
      <c r="K1881" s="104" t="n">
        <f aca="false">IF(A1881="",0,IF(IFERROR(VLOOKUP(A1881,Skills!$A:$M,13,FALSE()),"")="COS",0,IF(OR(I1881="En cours",I1881="À venir",I1881="À planifier"),IF(AND(OR($C$3="Tous",$C$3="",C1881=$C$3),OR($E$3="Tous",$E$3="",I1881=$E$3)),1,0),0)))</f>
        <v>0</v>
      </c>
      <c r="L1881" s="104" t="n">
        <f aca="false">L1880+K1881</f>
        <v>19</v>
      </c>
    </row>
    <row r="1882" customFormat="false" ht="15" hidden="true" customHeight="true" outlineLevel="0" collapsed="false">
      <c r="F1882" s="116"/>
      <c r="G1882" s="116"/>
      <c r="K1882" s="104" t="n">
        <f aca="false">IF(A1882="",0,IF(IFERROR(VLOOKUP(A1882,Skills!$A:$M,13,FALSE()),"")="COS",0,IF(OR(I1882="En cours",I1882="À venir",I1882="À planifier"),IF(AND(OR($C$3="Tous",$C$3="",C1882=$C$3),OR($E$3="Tous",$E$3="",I1882=$E$3)),1,0),0)))</f>
        <v>0</v>
      </c>
      <c r="L1882" s="104" t="n">
        <f aca="false">L1881+K1882</f>
        <v>19</v>
      </c>
    </row>
    <row r="1883" customFormat="false" ht="15" hidden="true" customHeight="true" outlineLevel="0" collapsed="false">
      <c r="F1883" s="116"/>
      <c r="G1883" s="116"/>
      <c r="K1883" s="104" t="n">
        <f aca="false">IF(A1883="",0,IF(IFERROR(VLOOKUP(A1883,Skills!$A:$M,13,FALSE()),"")="COS",0,IF(OR(I1883="En cours",I1883="À venir",I1883="À planifier"),IF(AND(OR($C$3="Tous",$C$3="",C1883=$C$3),OR($E$3="Tous",$E$3="",I1883=$E$3)),1,0),0)))</f>
        <v>0</v>
      </c>
      <c r="L1883" s="104" t="n">
        <f aca="false">L1882+K1883</f>
        <v>19</v>
      </c>
    </row>
    <row r="1884" customFormat="false" ht="15" hidden="true" customHeight="true" outlineLevel="0" collapsed="false">
      <c r="F1884" s="116"/>
      <c r="G1884" s="116"/>
      <c r="K1884" s="104" t="n">
        <f aca="false">IF(A1884="",0,IF(IFERROR(VLOOKUP(A1884,Skills!$A:$M,13,FALSE()),"")="COS",0,IF(OR(I1884="En cours",I1884="À venir",I1884="À planifier"),IF(AND(OR($C$3="Tous",$C$3="",C1884=$C$3),OR($E$3="Tous",$E$3="",I1884=$E$3)),1,0),0)))</f>
        <v>0</v>
      </c>
      <c r="L1884" s="104" t="n">
        <f aca="false">L1883+K1884</f>
        <v>19</v>
      </c>
    </row>
    <row r="1885" customFormat="false" ht="15" hidden="true" customHeight="true" outlineLevel="0" collapsed="false">
      <c r="F1885" s="116"/>
      <c r="G1885" s="116"/>
      <c r="K1885" s="104" t="n">
        <f aca="false">IF(A1885="",0,IF(IFERROR(VLOOKUP(A1885,Skills!$A:$M,13,FALSE()),"")="COS",0,IF(OR(I1885="En cours",I1885="À venir",I1885="À planifier"),IF(AND(OR($C$3="Tous",$C$3="",C1885=$C$3),OR($E$3="Tous",$E$3="",I1885=$E$3)),1,0),0)))</f>
        <v>0</v>
      </c>
      <c r="L1885" s="104" t="n">
        <f aca="false">L1884+K1885</f>
        <v>19</v>
      </c>
    </row>
    <row r="1886" customFormat="false" ht="15" hidden="true" customHeight="true" outlineLevel="0" collapsed="false">
      <c r="F1886" s="116"/>
      <c r="G1886" s="116"/>
      <c r="K1886" s="104" t="n">
        <f aca="false">IF(A1886="",0,IF(IFERROR(VLOOKUP(A1886,Skills!$A:$M,13,FALSE()),"")="COS",0,IF(OR(I1886="En cours",I1886="À venir",I1886="À planifier"),IF(AND(OR($C$3="Tous",$C$3="",C1886=$C$3),OR($E$3="Tous",$E$3="",I1886=$E$3)),1,0),0)))</f>
        <v>0</v>
      </c>
      <c r="L1886" s="104" t="n">
        <f aca="false">L1885+K1886</f>
        <v>19</v>
      </c>
    </row>
    <row r="1887" customFormat="false" ht="15" hidden="true" customHeight="true" outlineLevel="0" collapsed="false">
      <c r="F1887" s="116"/>
      <c r="G1887" s="116"/>
      <c r="K1887" s="104" t="n">
        <f aca="false">IF(A1887="",0,IF(IFERROR(VLOOKUP(A1887,Skills!$A:$M,13,FALSE()),"")="COS",0,IF(OR(I1887="En cours",I1887="À venir",I1887="À planifier"),IF(AND(OR($C$3="Tous",$C$3="",C1887=$C$3),OR($E$3="Tous",$E$3="",I1887=$E$3)),1,0),0)))</f>
        <v>0</v>
      </c>
      <c r="L1887" s="104" t="n">
        <f aca="false">L1886+K1887</f>
        <v>19</v>
      </c>
    </row>
    <row r="1888" customFormat="false" ht="15" hidden="true" customHeight="true" outlineLevel="0" collapsed="false">
      <c r="F1888" s="116"/>
      <c r="G1888" s="116"/>
      <c r="K1888" s="104" t="n">
        <f aca="false">IF(A1888="",0,IF(IFERROR(VLOOKUP(A1888,Skills!$A:$M,13,FALSE()),"")="COS",0,IF(OR(I1888="En cours",I1888="À venir",I1888="À planifier"),IF(AND(OR($C$3="Tous",$C$3="",C1888=$C$3),OR($E$3="Tous",$E$3="",I1888=$E$3)),1,0),0)))</f>
        <v>0</v>
      </c>
      <c r="L1888" s="104" t="n">
        <f aca="false">L1887+K1888</f>
        <v>19</v>
      </c>
    </row>
    <row r="1889" customFormat="false" ht="15" hidden="true" customHeight="true" outlineLevel="0" collapsed="false">
      <c r="F1889" s="116"/>
      <c r="G1889" s="116"/>
      <c r="K1889" s="104" t="n">
        <f aca="false">IF(A1889="",0,IF(IFERROR(VLOOKUP(A1889,Skills!$A:$M,13,FALSE()),"")="COS",0,IF(OR(I1889="En cours",I1889="À venir",I1889="À planifier"),IF(AND(OR($C$3="Tous",$C$3="",C1889=$C$3),OR($E$3="Tous",$E$3="",I1889=$E$3)),1,0),0)))</f>
        <v>0</v>
      </c>
      <c r="L1889" s="104" t="n">
        <f aca="false">L1888+K1889</f>
        <v>19</v>
      </c>
    </row>
    <row r="1890" customFormat="false" ht="15" hidden="true" customHeight="true" outlineLevel="0" collapsed="false">
      <c r="F1890" s="116"/>
      <c r="G1890" s="116"/>
      <c r="K1890" s="104" t="n">
        <f aca="false">IF(A1890="",0,IF(IFERROR(VLOOKUP(A1890,Skills!$A:$M,13,FALSE()),"")="COS",0,IF(OR(I1890="En cours",I1890="À venir",I1890="À planifier"),IF(AND(OR($C$3="Tous",$C$3="",C1890=$C$3),OR($E$3="Tous",$E$3="",I1890=$E$3)),1,0),0)))</f>
        <v>0</v>
      </c>
      <c r="L1890" s="104" t="n">
        <f aca="false">L1889+K1890</f>
        <v>19</v>
      </c>
    </row>
    <row r="1891" customFormat="false" ht="15" hidden="true" customHeight="true" outlineLevel="0" collapsed="false">
      <c r="F1891" s="116"/>
      <c r="G1891" s="116"/>
      <c r="K1891" s="104" t="n">
        <f aca="false">IF(A1891="",0,IF(IFERROR(VLOOKUP(A1891,Skills!$A:$M,13,FALSE()),"")="COS",0,IF(OR(I1891="En cours",I1891="À venir",I1891="À planifier"),IF(AND(OR($C$3="Tous",$C$3="",C1891=$C$3),OR($E$3="Tous",$E$3="",I1891=$E$3)),1,0),0)))</f>
        <v>0</v>
      </c>
      <c r="L1891" s="104" t="n">
        <f aca="false">L1890+K1891</f>
        <v>19</v>
      </c>
    </row>
    <row r="1892" customFormat="false" ht="15" hidden="true" customHeight="true" outlineLevel="0" collapsed="false">
      <c r="F1892" s="116"/>
      <c r="G1892" s="116"/>
      <c r="K1892" s="104" t="n">
        <f aca="false">IF(A1892="",0,IF(IFERROR(VLOOKUP(A1892,Skills!$A:$M,13,FALSE()),"")="COS",0,IF(OR(I1892="En cours",I1892="À venir",I1892="À planifier"),IF(AND(OR($C$3="Tous",$C$3="",C1892=$C$3),OR($E$3="Tous",$E$3="",I1892=$E$3)),1,0),0)))</f>
        <v>0</v>
      </c>
      <c r="L1892" s="104" t="n">
        <f aca="false">L1891+K1892</f>
        <v>19</v>
      </c>
    </row>
    <row r="1893" customFormat="false" ht="15" hidden="true" customHeight="true" outlineLevel="0" collapsed="false">
      <c r="F1893" s="116"/>
      <c r="G1893" s="116"/>
      <c r="K1893" s="104" t="n">
        <f aca="false">IF(A1893="",0,IF(IFERROR(VLOOKUP(A1893,Skills!$A:$M,13,FALSE()),"")="COS",0,IF(OR(I1893="En cours",I1893="À venir",I1893="À planifier"),IF(AND(OR($C$3="Tous",$C$3="",C1893=$C$3),OR($E$3="Tous",$E$3="",I1893=$E$3)),1,0),0)))</f>
        <v>0</v>
      </c>
      <c r="L1893" s="104" t="n">
        <f aca="false">L1892+K1893</f>
        <v>19</v>
      </c>
    </row>
    <row r="1894" customFormat="false" ht="15" hidden="true" customHeight="true" outlineLevel="0" collapsed="false">
      <c r="F1894" s="116"/>
      <c r="G1894" s="116"/>
      <c r="K1894" s="104" t="n">
        <f aca="false">IF(A1894="",0,IF(IFERROR(VLOOKUP(A1894,Skills!$A:$M,13,FALSE()),"")="COS",0,IF(OR(I1894="En cours",I1894="À venir",I1894="À planifier"),IF(AND(OR($C$3="Tous",$C$3="",C1894=$C$3),OR($E$3="Tous",$E$3="",I1894=$E$3)),1,0),0)))</f>
        <v>0</v>
      </c>
      <c r="L1894" s="104" t="n">
        <f aca="false">L1893+K1894</f>
        <v>19</v>
      </c>
    </row>
    <row r="1895" customFormat="false" ht="15" hidden="true" customHeight="true" outlineLevel="0" collapsed="false">
      <c r="F1895" s="116"/>
      <c r="G1895" s="116"/>
      <c r="K1895" s="104" t="n">
        <f aca="false">IF(A1895="",0,IF(IFERROR(VLOOKUP(A1895,Skills!$A:$M,13,FALSE()),"")="COS",0,IF(OR(I1895="En cours",I1895="À venir",I1895="À planifier"),IF(AND(OR($C$3="Tous",$C$3="",C1895=$C$3),OR($E$3="Tous",$E$3="",I1895=$E$3)),1,0),0)))</f>
        <v>0</v>
      </c>
      <c r="L1895" s="104" t="n">
        <f aca="false">L1894+K1895</f>
        <v>19</v>
      </c>
    </row>
    <row r="1896" customFormat="false" ht="15" hidden="true" customHeight="true" outlineLevel="0" collapsed="false">
      <c r="F1896" s="116"/>
      <c r="G1896" s="116"/>
      <c r="K1896" s="104" t="n">
        <f aca="false">IF(A1896="",0,IF(IFERROR(VLOOKUP(A1896,Skills!$A:$M,13,FALSE()),"")="COS",0,IF(OR(I1896="En cours",I1896="À venir",I1896="À planifier"),IF(AND(OR($C$3="Tous",$C$3="",C1896=$C$3),OR($E$3="Tous",$E$3="",I1896=$E$3)),1,0),0)))</f>
        <v>0</v>
      </c>
      <c r="L1896" s="104" t="n">
        <f aca="false">L1895+K1896</f>
        <v>19</v>
      </c>
    </row>
    <row r="1897" customFormat="false" ht="15" hidden="true" customHeight="true" outlineLevel="0" collapsed="false">
      <c r="F1897" s="116"/>
      <c r="G1897" s="116"/>
      <c r="K1897" s="104" t="n">
        <f aca="false">IF(A1897="",0,IF(IFERROR(VLOOKUP(A1897,Skills!$A:$M,13,FALSE()),"")="COS",0,IF(OR(I1897="En cours",I1897="À venir",I1897="À planifier"),IF(AND(OR($C$3="Tous",$C$3="",C1897=$C$3),OR($E$3="Tous",$E$3="",I1897=$E$3)),1,0),0)))</f>
        <v>0</v>
      </c>
      <c r="L1897" s="104" t="n">
        <f aca="false">L1896+K1897</f>
        <v>19</v>
      </c>
    </row>
    <row r="1898" customFormat="false" ht="15" hidden="true" customHeight="true" outlineLevel="0" collapsed="false">
      <c r="F1898" s="116"/>
      <c r="G1898" s="116"/>
      <c r="K1898" s="104" t="n">
        <f aca="false">IF(A1898="",0,IF(IFERROR(VLOOKUP(A1898,Skills!$A:$M,13,FALSE()),"")="COS",0,IF(OR(I1898="En cours",I1898="À venir",I1898="À planifier"),IF(AND(OR($C$3="Tous",$C$3="",C1898=$C$3),OR($E$3="Tous",$E$3="",I1898=$E$3)),1,0),0)))</f>
        <v>0</v>
      </c>
      <c r="L1898" s="104" t="n">
        <f aca="false">L1897+K1898</f>
        <v>19</v>
      </c>
    </row>
    <row r="1899" customFormat="false" ht="15" hidden="true" customHeight="true" outlineLevel="0" collapsed="false">
      <c r="F1899" s="116"/>
      <c r="G1899" s="116"/>
      <c r="K1899" s="104" t="n">
        <f aca="false">IF(A1899="",0,IF(IFERROR(VLOOKUP(A1899,Skills!$A:$M,13,FALSE()),"")="COS",0,IF(OR(I1899="En cours",I1899="À venir",I1899="À planifier"),IF(AND(OR($C$3="Tous",$C$3="",C1899=$C$3),OR($E$3="Tous",$E$3="",I1899=$E$3)),1,0),0)))</f>
        <v>0</v>
      </c>
      <c r="L1899" s="104" t="n">
        <f aca="false">L1898+K1899</f>
        <v>19</v>
      </c>
    </row>
    <row r="1900" customFormat="false" ht="15" hidden="true" customHeight="true" outlineLevel="0" collapsed="false">
      <c r="F1900" s="116"/>
      <c r="G1900" s="116"/>
      <c r="K1900" s="104" t="n">
        <f aca="false">IF(A1900="",0,IF(IFERROR(VLOOKUP(A1900,Skills!$A:$M,13,FALSE()),"")="COS",0,IF(OR(I1900="En cours",I1900="À venir",I1900="À planifier"),IF(AND(OR($C$3="Tous",$C$3="",C1900=$C$3),OR($E$3="Tous",$E$3="",I1900=$E$3)),1,0),0)))</f>
        <v>0</v>
      </c>
      <c r="L1900" s="104" t="n">
        <f aca="false">L1899+K1900</f>
        <v>19</v>
      </c>
    </row>
    <row r="1901" customFormat="false" ht="15" hidden="true" customHeight="true" outlineLevel="0" collapsed="false">
      <c r="F1901" s="116"/>
      <c r="G1901" s="116"/>
      <c r="K1901" s="104" t="n">
        <f aca="false">IF(A1901="",0,IF(IFERROR(VLOOKUP(A1901,Skills!$A:$M,13,FALSE()),"")="COS",0,IF(OR(I1901="En cours",I1901="À venir",I1901="À planifier"),IF(AND(OR($C$3="Tous",$C$3="",C1901=$C$3),OR($E$3="Tous",$E$3="",I1901=$E$3)),1,0),0)))</f>
        <v>0</v>
      </c>
      <c r="L1901" s="104" t="n">
        <f aca="false">L1900+K1901</f>
        <v>19</v>
      </c>
    </row>
    <row r="1902" customFormat="false" ht="15" hidden="true" customHeight="true" outlineLevel="0" collapsed="false">
      <c r="F1902" s="116"/>
      <c r="G1902" s="116"/>
      <c r="K1902" s="104" t="n">
        <f aca="false">IF(A1902="",0,IF(IFERROR(VLOOKUP(A1902,Skills!$A:$M,13,FALSE()),"")="COS",0,IF(OR(I1902="En cours",I1902="À venir",I1902="À planifier"),IF(AND(OR($C$3="Tous",$C$3="",C1902=$C$3),OR($E$3="Tous",$E$3="",I1902=$E$3)),1,0),0)))</f>
        <v>0</v>
      </c>
      <c r="L1902" s="104" t="n">
        <f aca="false">L1901+K1902</f>
        <v>19</v>
      </c>
    </row>
    <row r="1903" customFormat="false" ht="15" hidden="true" customHeight="true" outlineLevel="0" collapsed="false">
      <c r="F1903" s="116"/>
      <c r="G1903" s="116"/>
      <c r="K1903" s="104" t="n">
        <f aca="false">IF(A1903="",0,IF(IFERROR(VLOOKUP(A1903,Skills!$A:$M,13,FALSE()),"")="COS",0,IF(OR(I1903="En cours",I1903="À venir",I1903="À planifier"),IF(AND(OR($C$3="Tous",$C$3="",C1903=$C$3),OR($E$3="Tous",$E$3="",I1903=$E$3)),1,0),0)))</f>
        <v>0</v>
      </c>
      <c r="L1903" s="104" t="n">
        <f aca="false">L1902+K1903</f>
        <v>19</v>
      </c>
    </row>
    <row r="1904" customFormat="false" ht="15" hidden="true" customHeight="true" outlineLevel="0" collapsed="false">
      <c r="F1904" s="116"/>
      <c r="G1904" s="116"/>
      <c r="K1904" s="104" t="n">
        <f aca="false">IF(A1904="",0,IF(IFERROR(VLOOKUP(A1904,Skills!$A:$M,13,FALSE()),"")="COS",0,IF(OR(I1904="En cours",I1904="À venir",I1904="À planifier"),IF(AND(OR($C$3="Tous",$C$3="",C1904=$C$3),OR($E$3="Tous",$E$3="",I1904=$E$3)),1,0),0)))</f>
        <v>0</v>
      </c>
      <c r="L1904" s="104" t="n">
        <f aca="false">L1903+K1904</f>
        <v>19</v>
      </c>
    </row>
    <row r="1905" customFormat="false" ht="15" hidden="true" customHeight="true" outlineLevel="0" collapsed="false">
      <c r="F1905" s="116"/>
      <c r="G1905" s="116"/>
      <c r="K1905" s="104" t="n">
        <f aca="false">IF(A1905="",0,IF(IFERROR(VLOOKUP(A1905,Skills!$A:$M,13,FALSE()),"")="COS",0,IF(OR(I1905="En cours",I1905="À venir",I1905="À planifier"),IF(AND(OR($C$3="Tous",$C$3="",C1905=$C$3),OR($E$3="Tous",$E$3="",I1905=$E$3)),1,0),0)))</f>
        <v>0</v>
      </c>
      <c r="L1905" s="104" t="n">
        <f aca="false">L1904+K1905</f>
        <v>19</v>
      </c>
    </row>
    <row r="1906" customFormat="false" ht="15" hidden="true" customHeight="true" outlineLevel="0" collapsed="false">
      <c r="F1906" s="116"/>
      <c r="G1906" s="116"/>
      <c r="K1906" s="104" t="n">
        <f aca="false">IF(A1906="",0,IF(IFERROR(VLOOKUP(A1906,Skills!$A:$M,13,FALSE()),"")="COS",0,IF(OR(I1906="En cours",I1906="À venir",I1906="À planifier"),IF(AND(OR($C$3="Tous",$C$3="",C1906=$C$3),OR($E$3="Tous",$E$3="",I1906=$E$3)),1,0),0)))</f>
        <v>0</v>
      </c>
      <c r="L1906" s="104" t="n">
        <f aca="false">L1905+K1906</f>
        <v>19</v>
      </c>
    </row>
    <row r="1907" customFormat="false" ht="15" hidden="true" customHeight="true" outlineLevel="0" collapsed="false">
      <c r="F1907" s="116"/>
      <c r="G1907" s="116"/>
      <c r="K1907" s="104" t="n">
        <f aca="false">IF(A1907="",0,IF(IFERROR(VLOOKUP(A1907,Skills!$A:$M,13,FALSE()),"")="COS",0,IF(OR(I1907="En cours",I1907="À venir",I1907="À planifier"),IF(AND(OR($C$3="Tous",$C$3="",C1907=$C$3),OR($E$3="Tous",$E$3="",I1907=$E$3)),1,0),0)))</f>
        <v>0</v>
      </c>
      <c r="L1907" s="104" t="n">
        <f aca="false">L1906+K1907</f>
        <v>19</v>
      </c>
    </row>
    <row r="1908" customFormat="false" ht="15" hidden="true" customHeight="true" outlineLevel="0" collapsed="false">
      <c r="F1908" s="116"/>
      <c r="G1908" s="116"/>
      <c r="K1908" s="104" t="n">
        <f aca="false">IF(A1908="",0,IF(IFERROR(VLOOKUP(A1908,Skills!$A:$M,13,FALSE()),"")="COS",0,IF(OR(I1908="En cours",I1908="À venir",I1908="À planifier"),IF(AND(OR($C$3="Tous",$C$3="",C1908=$C$3),OR($E$3="Tous",$E$3="",I1908=$E$3)),1,0),0)))</f>
        <v>0</v>
      </c>
      <c r="L1908" s="104" t="n">
        <f aca="false">L1907+K1908</f>
        <v>19</v>
      </c>
    </row>
    <row r="1909" customFormat="false" ht="15" hidden="true" customHeight="true" outlineLevel="0" collapsed="false">
      <c r="F1909" s="116"/>
      <c r="G1909" s="116"/>
      <c r="K1909" s="104" t="n">
        <f aca="false">IF(A1909="",0,IF(IFERROR(VLOOKUP(A1909,Skills!$A:$M,13,FALSE()),"")="COS",0,IF(OR(I1909="En cours",I1909="À venir",I1909="À planifier"),IF(AND(OR($C$3="Tous",$C$3="",C1909=$C$3),OR($E$3="Tous",$E$3="",I1909=$E$3)),1,0),0)))</f>
        <v>0</v>
      </c>
      <c r="L1909" s="104" t="n">
        <f aca="false">L1908+K1909</f>
        <v>19</v>
      </c>
    </row>
    <row r="1910" customFormat="false" ht="15" hidden="true" customHeight="true" outlineLevel="0" collapsed="false">
      <c r="F1910" s="116"/>
      <c r="G1910" s="116"/>
      <c r="K1910" s="104" t="n">
        <f aca="false">IF(A1910="",0,IF(IFERROR(VLOOKUP(A1910,Skills!$A:$M,13,FALSE()),"")="COS",0,IF(OR(I1910="En cours",I1910="À venir",I1910="À planifier"),IF(AND(OR($C$3="Tous",$C$3="",C1910=$C$3),OR($E$3="Tous",$E$3="",I1910=$E$3)),1,0),0)))</f>
        <v>0</v>
      </c>
      <c r="L1910" s="104" t="n">
        <f aca="false">L1909+K1910</f>
        <v>19</v>
      </c>
    </row>
    <row r="1911" customFormat="false" ht="15" hidden="true" customHeight="true" outlineLevel="0" collapsed="false">
      <c r="F1911" s="116"/>
      <c r="G1911" s="116"/>
      <c r="K1911" s="104" t="n">
        <f aca="false">IF(A1911="",0,IF(IFERROR(VLOOKUP(A1911,Skills!$A:$M,13,FALSE()),"")="COS",0,IF(OR(I1911="En cours",I1911="À venir",I1911="À planifier"),IF(AND(OR($C$3="Tous",$C$3="",C1911=$C$3),OR($E$3="Tous",$E$3="",I1911=$E$3)),1,0),0)))</f>
        <v>0</v>
      </c>
      <c r="L1911" s="104" t="n">
        <f aca="false">L1910+K1911</f>
        <v>19</v>
      </c>
    </row>
    <row r="1912" customFormat="false" ht="15" hidden="true" customHeight="true" outlineLevel="0" collapsed="false">
      <c r="F1912" s="116"/>
      <c r="G1912" s="116"/>
      <c r="K1912" s="104" t="n">
        <f aca="false">IF(A1912="",0,IF(IFERROR(VLOOKUP(A1912,Skills!$A:$M,13,FALSE()),"")="COS",0,IF(OR(I1912="En cours",I1912="À venir",I1912="À planifier"),IF(AND(OR($C$3="Tous",$C$3="",C1912=$C$3),OR($E$3="Tous",$E$3="",I1912=$E$3)),1,0),0)))</f>
        <v>0</v>
      </c>
      <c r="L1912" s="104" t="n">
        <f aca="false">L1911+K1912</f>
        <v>19</v>
      </c>
    </row>
    <row r="1913" customFormat="false" ht="15" hidden="true" customHeight="true" outlineLevel="0" collapsed="false">
      <c r="F1913" s="116"/>
      <c r="G1913" s="116"/>
      <c r="K1913" s="104" t="n">
        <f aca="false">IF(A1913="",0,IF(IFERROR(VLOOKUP(A1913,Skills!$A:$M,13,FALSE()),"")="COS",0,IF(OR(I1913="En cours",I1913="À venir",I1913="À planifier"),IF(AND(OR($C$3="Tous",$C$3="",C1913=$C$3),OR($E$3="Tous",$E$3="",I1913=$E$3)),1,0),0)))</f>
        <v>0</v>
      </c>
      <c r="L1913" s="104" t="n">
        <f aca="false">L1912+K1913</f>
        <v>19</v>
      </c>
    </row>
    <row r="1914" customFormat="false" ht="15" hidden="true" customHeight="true" outlineLevel="0" collapsed="false">
      <c r="F1914" s="116"/>
      <c r="G1914" s="116"/>
      <c r="K1914" s="104" t="n">
        <f aca="false">IF(A1914="",0,IF(IFERROR(VLOOKUP(A1914,Skills!$A:$M,13,FALSE()),"")="COS",0,IF(OR(I1914="En cours",I1914="À venir",I1914="À planifier"),IF(AND(OR($C$3="Tous",$C$3="",C1914=$C$3),OR($E$3="Tous",$E$3="",I1914=$E$3)),1,0),0)))</f>
        <v>0</v>
      </c>
      <c r="L1914" s="104" t="n">
        <f aca="false">L1913+K1914</f>
        <v>19</v>
      </c>
    </row>
    <row r="1915" customFormat="false" ht="15" hidden="true" customHeight="true" outlineLevel="0" collapsed="false">
      <c r="F1915" s="116"/>
      <c r="G1915" s="116"/>
      <c r="K1915" s="104" t="n">
        <f aca="false">IF(A1915="",0,IF(IFERROR(VLOOKUP(A1915,Skills!$A:$M,13,FALSE()),"")="COS",0,IF(OR(I1915="En cours",I1915="À venir",I1915="À planifier"),IF(AND(OR($C$3="Tous",$C$3="",C1915=$C$3),OR($E$3="Tous",$E$3="",I1915=$E$3)),1,0),0)))</f>
        <v>0</v>
      </c>
      <c r="L1915" s="104" t="n">
        <f aca="false">L1914+K1915</f>
        <v>19</v>
      </c>
    </row>
    <row r="1916" customFormat="false" ht="15" hidden="true" customHeight="true" outlineLevel="0" collapsed="false">
      <c r="F1916" s="116"/>
      <c r="G1916" s="116"/>
      <c r="K1916" s="104" t="n">
        <f aca="false">IF(A1916="",0,IF(IFERROR(VLOOKUP(A1916,Skills!$A:$M,13,FALSE()),"")="COS",0,IF(OR(I1916="En cours",I1916="À venir",I1916="À planifier"),IF(AND(OR($C$3="Tous",$C$3="",C1916=$C$3),OR($E$3="Tous",$E$3="",I1916=$E$3)),1,0),0)))</f>
        <v>0</v>
      </c>
      <c r="L1916" s="104" t="n">
        <f aca="false">L1915+K1916</f>
        <v>19</v>
      </c>
    </row>
    <row r="1917" customFormat="false" ht="15" hidden="true" customHeight="true" outlineLevel="0" collapsed="false">
      <c r="F1917" s="116"/>
      <c r="G1917" s="116"/>
      <c r="K1917" s="104" t="n">
        <f aca="false">IF(A1917="",0,IF(IFERROR(VLOOKUP(A1917,Skills!$A:$M,13,FALSE()),"")="COS",0,IF(OR(I1917="En cours",I1917="À venir",I1917="À planifier"),IF(AND(OR($C$3="Tous",$C$3="",C1917=$C$3),OR($E$3="Tous",$E$3="",I1917=$E$3)),1,0),0)))</f>
        <v>0</v>
      </c>
      <c r="L1917" s="104" t="n">
        <f aca="false">L1916+K1917</f>
        <v>19</v>
      </c>
    </row>
    <row r="1918" customFormat="false" ht="15" hidden="true" customHeight="true" outlineLevel="0" collapsed="false">
      <c r="F1918" s="116"/>
      <c r="G1918" s="116"/>
      <c r="K1918" s="104" t="n">
        <f aca="false">IF(A1918="",0,IF(IFERROR(VLOOKUP(A1918,Skills!$A:$M,13,FALSE()),"")="COS",0,IF(OR(I1918="En cours",I1918="À venir",I1918="À planifier"),IF(AND(OR($C$3="Tous",$C$3="",C1918=$C$3),OR($E$3="Tous",$E$3="",I1918=$E$3)),1,0),0)))</f>
        <v>0</v>
      </c>
      <c r="L1918" s="104" t="n">
        <f aca="false">L1917+K1918</f>
        <v>19</v>
      </c>
    </row>
    <row r="1919" customFormat="false" ht="15" hidden="true" customHeight="true" outlineLevel="0" collapsed="false">
      <c r="F1919" s="116"/>
      <c r="G1919" s="116"/>
      <c r="K1919" s="104" t="n">
        <f aca="false">IF(A1919="",0,IF(IFERROR(VLOOKUP(A1919,Skills!$A:$M,13,FALSE()),"")="COS",0,IF(OR(I1919="En cours",I1919="À venir",I1919="À planifier"),IF(AND(OR($C$3="Tous",$C$3="",C1919=$C$3),OR($E$3="Tous",$E$3="",I1919=$E$3)),1,0),0)))</f>
        <v>0</v>
      </c>
      <c r="L1919" s="104" t="n">
        <f aca="false">L1918+K1919</f>
        <v>19</v>
      </c>
    </row>
    <row r="1920" customFormat="false" ht="15" hidden="true" customHeight="true" outlineLevel="0" collapsed="false">
      <c r="F1920" s="116"/>
      <c r="G1920" s="116"/>
      <c r="K1920" s="104" t="n">
        <f aca="false">IF(A1920="",0,IF(IFERROR(VLOOKUP(A1920,Skills!$A:$M,13,FALSE()),"")="COS",0,IF(OR(I1920="En cours",I1920="À venir",I1920="À planifier"),IF(AND(OR($C$3="Tous",$C$3="",C1920=$C$3),OR($E$3="Tous",$E$3="",I1920=$E$3)),1,0),0)))</f>
        <v>0</v>
      </c>
      <c r="L1920" s="104" t="n">
        <f aca="false">L1919+K1920</f>
        <v>19</v>
      </c>
    </row>
    <row r="1921" customFormat="false" ht="15" hidden="true" customHeight="true" outlineLevel="0" collapsed="false">
      <c r="F1921" s="116"/>
      <c r="G1921" s="116"/>
      <c r="K1921" s="104" t="n">
        <f aca="false">IF(A1921="",0,IF(IFERROR(VLOOKUP(A1921,Skills!$A:$M,13,FALSE()),"")="COS",0,IF(OR(I1921="En cours",I1921="À venir",I1921="À planifier"),IF(AND(OR($C$3="Tous",$C$3="",C1921=$C$3),OR($E$3="Tous",$E$3="",I1921=$E$3)),1,0),0)))</f>
        <v>0</v>
      </c>
      <c r="L1921" s="104" t="n">
        <f aca="false">L1920+K1921</f>
        <v>19</v>
      </c>
    </row>
    <row r="1922" customFormat="false" ht="15" hidden="true" customHeight="true" outlineLevel="0" collapsed="false">
      <c r="F1922" s="116"/>
      <c r="G1922" s="116"/>
      <c r="K1922" s="104" t="n">
        <f aca="false">IF(A1922="",0,IF(IFERROR(VLOOKUP(A1922,Skills!$A:$M,13,FALSE()),"")="COS",0,IF(OR(I1922="En cours",I1922="À venir",I1922="À planifier"),IF(AND(OR($C$3="Tous",$C$3="",C1922=$C$3),OR($E$3="Tous",$E$3="",I1922=$E$3)),1,0),0)))</f>
        <v>0</v>
      </c>
      <c r="L1922" s="104" t="n">
        <f aca="false">L1921+K1922</f>
        <v>19</v>
      </c>
    </row>
    <row r="1923" customFormat="false" ht="15" hidden="true" customHeight="true" outlineLevel="0" collapsed="false">
      <c r="F1923" s="116"/>
      <c r="G1923" s="116"/>
      <c r="K1923" s="104" t="n">
        <f aca="false">IF(A1923="",0,IF(IFERROR(VLOOKUP(A1923,Skills!$A:$M,13,FALSE()),"")="COS",0,IF(OR(I1923="En cours",I1923="À venir",I1923="À planifier"),IF(AND(OR($C$3="Tous",$C$3="",C1923=$C$3),OR($E$3="Tous",$E$3="",I1923=$E$3)),1,0),0)))</f>
        <v>0</v>
      </c>
      <c r="L1923" s="104" t="n">
        <f aca="false">L1922+K1923</f>
        <v>19</v>
      </c>
    </row>
    <row r="1924" customFormat="false" ht="15" hidden="true" customHeight="true" outlineLevel="0" collapsed="false">
      <c r="F1924" s="116"/>
      <c r="G1924" s="116"/>
      <c r="K1924" s="104" t="n">
        <f aca="false">IF(A1924="",0,IF(IFERROR(VLOOKUP(A1924,Skills!$A:$M,13,FALSE()),"")="COS",0,IF(OR(I1924="En cours",I1924="À venir",I1924="À planifier"),IF(AND(OR($C$3="Tous",$C$3="",C1924=$C$3),OR($E$3="Tous",$E$3="",I1924=$E$3)),1,0),0)))</f>
        <v>0</v>
      </c>
      <c r="L1924" s="104" t="n">
        <f aca="false">L1923+K1924</f>
        <v>19</v>
      </c>
    </row>
    <row r="1925" customFormat="false" ht="15" hidden="true" customHeight="true" outlineLevel="0" collapsed="false">
      <c r="F1925" s="116"/>
      <c r="G1925" s="116"/>
      <c r="K1925" s="104" t="n">
        <f aca="false">IF(A1925="",0,IF(IFERROR(VLOOKUP(A1925,Skills!$A:$M,13,FALSE()),"")="COS",0,IF(OR(I1925="En cours",I1925="À venir",I1925="À planifier"),IF(AND(OR($C$3="Tous",$C$3="",C1925=$C$3),OR($E$3="Tous",$E$3="",I1925=$E$3)),1,0),0)))</f>
        <v>0</v>
      </c>
      <c r="L1925" s="104" t="n">
        <f aca="false">L1924+K1925</f>
        <v>19</v>
      </c>
    </row>
    <row r="1926" customFormat="false" ht="15" hidden="true" customHeight="true" outlineLevel="0" collapsed="false">
      <c r="F1926" s="116"/>
      <c r="G1926" s="116"/>
      <c r="K1926" s="104" t="n">
        <f aca="false">IF(A1926="",0,IF(IFERROR(VLOOKUP(A1926,Skills!$A:$M,13,FALSE()),"")="COS",0,IF(OR(I1926="En cours",I1926="À venir",I1926="À planifier"),IF(AND(OR($C$3="Tous",$C$3="",C1926=$C$3),OR($E$3="Tous",$E$3="",I1926=$E$3)),1,0),0)))</f>
        <v>0</v>
      </c>
      <c r="L1926" s="104" t="n">
        <f aca="false">L1925+K1926</f>
        <v>19</v>
      </c>
    </row>
    <row r="1927" customFormat="false" ht="15" hidden="true" customHeight="true" outlineLevel="0" collapsed="false">
      <c r="F1927" s="116"/>
      <c r="G1927" s="116"/>
      <c r="K1927" s="104" t="n">
        <f aca="false">IF(A1927="",0,IF(IFERROR(VLOOKUP(A1927,Skills!$A:$M,13,FALSE()),"")="COS",0,IF(OR(I1927="En cours",I1927="À venir",I1927="À planifier"),IF(AND(OR($C$3="Tous",$C$3="",C1927=$C$3),OR($E$3="Tous",$E$3="",I1927=$E$3)),1,0),0)))</f>
        <v>0</v>
      </c>
      <c r="L1927" s="104" t="n">
        <f aca="false">L1926+K1927</f>
        <v>19</v>
      </c>
    </row>
    <row r="1928" customFormat="false" ht="15" hidden="true" customHeight="true" outlineLevel="0" collapsed="false">
      <c r="F1928" s="116"/>
      <c r="G1928" s="116"/>
      <c r="K1928" s="104" t="n">
        <f aca="false">IF(A1928="",0,IF(IFERROR(VLOOKUP(A1928,Skills!$A:$M,13,FALSE()),"")="COS",0,IF(OR(I1928="En cours",I1928="À venir",I1928="À planifier"),IF(AND(OR($C$3="Tous",$C$3="",C1928=$C$3),OR($E$3="Tous",$E$3="",I1928=$E$3)),1,0),0)))</f>
        <v>0</v>
      </c>
      <c r="L1928" s="104" t="n">
        <f aca="false">L1927+K1928</f>
        <v>19</v>
      </c>
    </row>
    <row r="1929" customFormat="false" ht="15" hidden="true" customHeight="true" outlineLevel="0" collapsed="false">
      <c r="F1929" s="116"/>
      <c r="G1929" s="116"/>
      <c r="K1929" s="104" t="n">
        <f aca="false">IF(A1929="",0,IF(IFERROR(VLOOKUP(A1929,Skills!$A:$M,13,FALSE()),"")="COS",0,IF(OR(I1929="En cours",I1929="À venir",I1929="À planifier"),IF(AND(OR($C$3="Tous",$C$3="",C1929=$C$3),OR($E$3="Tous",$E$3="",I1929=$E$3)),1,0),0)))</f>
        <v>0</v>
      </c>
      <c r="L1929" s="104" t="n">
        <f aca="false">L1928+K1929</f>
        <v>19</v>
      </c>
    </row>
    <row r="1930" customFormat="false" ht="15" hidden="true" customHeight="true" outlineLevel="0" collapsed="false">
      <c r="F1930" s="116"/>
      <c r="G1930" s="116"/>
      <c r="K1930" s="104" t="n">
        <f aca="false">IF(A1930="",0,IF(IFERROR(VLOOKUP(A1930,Skills!$A:$M,13,FALSE()),"")="COS",0,IF(OR(I1930="En cours",I1930="À venir",I1930="À planifier"),IF(AND(OR($C$3="Tous",$C$3="",C1930=$C$3),OR($E$3="Tous",$E$3="",I1930=$E$3)),1,0),0)))</f>
        <v>0</v>
      </c>
      <c r="L1930" s="104" t="n">
        <f aca="false">L1929+K1930</f>
        <v>19</v>
      </c>
    </row>
    <row r="1931" customFormat="false" ht="15" hidden="true" customHeight="true" outlineLevel="0" collapsed="false">
      <c r="F1931" s="116"/>
      <c r="G1931" s="116"/>
      <c r="K1931" s="104" t="n">
        <f aca="false">IF(A1931="",0,IF(IFERROR(VLOOKUP(A1931,Skills!$A:$M,13,FALSE()),"")="COS",0,IF(OR(I1931="En cours",I1931="À venir",I1931="À planifier"),IF(AND(OR($C$3="Tous",$C$3="",C1931=$C$3),OR($E$3="Tous",$E$3="",I1931=$E$3)),1,0),0)))</f>
        <v>0</v>
      </c>
      <c r="L1931" s="104" t="n">
        <f aca="false">L1930+K1931</f>
        <v>19</v>
      </c>
    </row>
    <row r="1932" customFormat="false" ht="15" hidden="true" customHeight="true" outlineLevel="0" collapsed="false">
      <c r="F1932" s="116"/>
      <c r="G1932" s="116"/>
      <c r="K1932" s="104" t="n">
        <f aca="false">IF(A1932="",0,IF(IFERROR(VLOOKUP(A1932,Skills!$A:$M,13,FALSE()),"")="COS",0,IF(OR(I1932="En cours",I1932="À venir",I1932="À planifier"),IF(AND(OR($C$3="Tous",$C$3="",C1932=$C$3),OR($E$3="Tous",$E$3="",I1932=$E$3)),1,0),0)))</f>
        <v>0</v>
      </c>
      <c r="L1932" s="104" t="n">
        <f aca="false">L1931+K1932</f>
        <v>19</v>
      </c>
    </row>
    <row r="1933" customFormat="false" ht="15" hidden="true" customHeight="true" outlineLevel="0" collapsed="false">
      <c r="F1933" s="116"/>
      <c r="G1933" s="116"/>
      <c r="K1933" s="104" t="n">
        <f aca="false">IF(A1933="",0,IF(IFERROR(VLOOKUP(A1933,Skills!$A:$M,13,FALSE()),"")="COS",0,IF(OR(I1933="En cours",I1933="À venir",I1933="À planifier"),IF(AND(OR($C$3="Tous",$C$3="",C1933=$C$3),OR($E$3="Tous",$E$3="",I1933=$E$3)),1,0),0)))</f>
        <v>0</v>
      </c>
      <c r="L1933" s="104" t="n">
        <f aca="false">L1932+K1933</f>
        <v>19</v>
      </c>
    </row>
    <row r="1934" customFormat="false" ht="15" hidden="true" customHeight="true" outlineLevel="0" collapsed="false">
      <c r="F1934" s="116"/>
      <c r="G1934" s="116"/>
      <c r="K1934" s="104" t="n">
        <f aca="false">IF(A1934="",0,IF(IFERROR(VLOOKUP(A1934,Skills!$A:$M,13,FALSE()),"")="COS",0,IF(OR(I1934="En cours",I1934="À venir",I1934="À planifier"),IF(AND(OR($C$3="Tous",$C$3="",C1934=$C$3),OR($E$3="Tous",$E$3="",I1934=$E$3)),1,0),0)))</f>
        <v>0</v>
      </c>
      <c r="L1934" s="104" t="n">
        <f aca="false">L1933+K1934</f>
        <v>19</v>
      </c>
    </row>
    <row r="1935" customFormat="false" ht="15" hidden="true" customHeight="true" outlineLevel="0" collapsed="false">
      <c r="F1935" s="116"/>
      <c r="G1935" s="116"/>
      <c r="K1935" s="104" t="n">
        <f aca="false">IF(A1935="",0,IF(IFERROR(VLOOKUP(A1935,Skills!$A:$M,13,FALSE()),"")="COS",0,IF(OR(I1935="En cours",I1935="À venir",I1935="À planifier"),IF(AND(OR($C$3="Tous",$C$3="",C1935=$C$3),OR($E$3="Tous",$E$3="",I1935=$E$3)),1,0),0)))</f>
        <v>0</v>
      </c>
      <c r="L1935" s="104" t="n">
        <f aca="false">L1934+K1935</f>
        <v>19</v>
      </c>
    </row>
    <row r="1936" customFormat="false" ht="15" hidden="true" customHeight="true" outlineLevel="0" collapsed="false">
      <c r="F1936" s="116"/>
      <c r="G1936" s="116"/>
      <c r="K1936" s="104" t="n">
        <f aca="false">IF(A1936="",0,IF(IFERROR(VLOOKUP(A1936,Skills!$A:$M,13,FALSE()),"")="COS",0,IF(OR(I1936="En cours",I1936="À venir",I1936="À planifier"),IF(AND(OR($C$3="Tous",$C$3="",C1936=$C$3),OR($E$3="Tous",$E$3="",I1936=$E$3)),1,0),0)))</f>
        <v>0</v>
      </c>
      <c r="L1936" s="104" t="n">
        <f aca="false">L1935+K1936</f>
        <v>19</v>
      </c>
    </row>
    <row r="1937" customFormat="false" ht="15" hidden="true" customHeight="true" outlineLevel="0" collapsed="false">
      <c r="F1937" s="116"/>
      <c r="G1937" s="116"/>
      <c r="K1937" s="104" t="n">
        <f aca="false">IF(A1937="",0,IF(IFERROR(VLOOKUP(A1937,Skills!$A:$M,13,FALSE()),"")="COS",0,IF(OR(I1937="En cours",I1937="À venir",I1937="À planifier"),IF(AND(OR($C$3="Tous",$C$3="",C1937=$C$3),OR($E$3="Tous",$E$3="",I1937=$E$3)),1,0),0)))</f>
        <v>0</v>
      </c>
      <c r="L1937" s="104" t="n">
        <f aca="false">L1936+K1937</f>
        <v>19</v>
      </c>
    </row>
    <row r="1938" customFormat="false" ht="15" hidden="true" customHeight="true" outlineLevel="0" collapsed="false">
      <c r="F1938" s="116"/>
      <c r="G1938" s="116"/>
      <c r="K1938" s="104" t="n">
        <f aca="false">IF(A1938="",0,IF(IFERROR(VLOOKUP(A1938,Skills!$A:$M,13,FALSE()),"")="COS",0,IF(OR(I1938="En cours",I1938="À venir",I1938="À planifier"),IF(AND(OR($C$3="Tous",$C$3="",C1938=$C$3),OR($E$3="Tous",$E$3="",I1938=$E$3)),1,0),0)))</f>
        <v>0</v>
      </c>
      <c r="L1938" s="104" t="n">
        <f aca="false">L1937+K1938</f>
        <v>19</v>
      </c>
    </row>
    <row r="1939" customFormat="false" ht="15" hidden="true" customHeight="true" outlineLevel="0" collapsed="false">
      <c r="F1939" s="116"/>
      <c r="G1939" s="116"/>
      <c r="K1939" s="104" t="n">
        <f aca="false">IF(A1939="",0,IF(IFERROR(VLOOKUP(A1939,Skills!$A:$M,13,FALSE()),"")="COS",0,IF(OR(I1939="En cours",I1939="À venir",I1939="À planifier"),IF(AND(OR($C$3="Tous",$C$3="",C1939=$C$3),OR($E$3="Tous",$E$3="",I1939=$E$3)),1,0),0)))</f>
        <v>0</v>
      </c>
      <c r="L1939" s="104" t="n">
        <f aca="false">L1938+K1939</f>
        <v>19</v>
      </c>
    </row>
    <row r="1940" customFormat="false" ht="15" hidden="true" customHeight="true" outlineLevel="0" collapsed="false">
      <c r="F1940" s="116"/>
      <c r="G1940" s="116"/>
      <c r="K1940" s="104" t="n">
        <f aca="false">IF(A1940="",0,IF(IFERROR(VLOOKUP(A1940,Skills!$A:$M,13,FALSE()),"")="COS",0,IF(OR(I1940="En cours",I1940="À venir",I1940="À planifier"),IF(AND(OR($C$3="Tous",$C$3="",C1940=$C$3),OR($E$3="Tous",$E$3="",I1940=$E$3)),1,0),0)))</f>
        <v>0</v>
      </c>
      <c r="L1940" s="104" t="n">
        <f aca="false">L1939+K1940</f>
        <v>19</v>
      </c>
    </row>
    <row r="1941" customFormat="false" ht="15" hidden="true" customHeight="true" outlineLevel="0" collapsed="false">
      <c r="F1941" s="116"/>
      <c r="G1941" s="116"/>
      <c r="K1941" s="104" t="n">
        <f aca="false">IF(A1941="",0,IF(IFERROR(VLOOKUP(A1941,Skills!$A:$M,13,FALSE()),"")="COS",0,IF(OR(I1941="En cours",I1941="À venir",I1941="À planifier"),IF(AND(OR($C$3="Tous",$C$3="",C1941=$C$3),OR($E$3="Tous",$E$3="",I1941=$E$3)),1,0),0)))</f>
        <v>0</v>
      </c>
      <c r="L1941" s="104" t="n">
        <f aca="false">L1940+K1941</f>
        <v>19</v>
      </c>
    </row>
    <row r="1942" customFormat="false" ht="15" hidden="true" customHeight="true" outlineLevel="0" collapsed="false">
      <c r="F1942" s="116"/>
      <c r="G1942" s="116"/>
      <c r="K1942" s="104" t="n">
        <f aca="false">IF(A1942="",0,IF(IFERROR(VLOOKUP(A1942,Skills!$A:$M,13,FALSE()),"")="COS",0,IF(OR(I1942="En cours",I1942="À venir",I1942="À planifier"),IF(AND(OR($C$3="Tous",$C$3="",C1942=$C$3),OR($E$3="Tous",$E$3="",I1942=$E$3)),1,0),0)))</f>
        <v>0</v>
      </c>
      <c r="L1942" s="104" t="n">
        <f aca="false">L1941+K1942</f>
        <v>19</v>
      </c>
    </row>
    <row r="1943" customFormat="false" ht="15" hidden="true" customHeight="true" outlineLevel="0" collapsed="false">
      <c r="F1943" s="116"/>
      <c r="G1943" s="116"/>
      <c r="K1943" s="104" t="n">
        <f aca="false">IF(A1943="",0,IF(IFERROR(VLOOKUP(A1943,Skills!$A:$M,13,FALSE()),"")="COS",0,IF(OR(I1943="En cours",I1943="À venir",I1943="À planifier"),IF(AND(OR($C$3="Tous",$C$3="",C1943=$C$3),OR($E$3="Tous",$E$3="",I1943=$E$3)),1,0),0)))</f>
        <v>0</v>
      </c>
      <c r="L1943" s="104" t="n">
        <f aca="false">L1942+K1943</f>
        <v>19</v>
      </c>
    </row>
    <row r="1944" customFormat="false" ht="15" hidden="true" customHeight="true" outlineLevel="0" collapsed="false">
      <c r="F1944" s="116"/>
      <c r="G1944" s="116"/>
      <c r="K1944" s="104" t="n">
        <f aca="false">IF(A1944="",0,IF(IFERROR(VLOOKUP(A1944,Skills!$A:$M,13,FALSE()),"")="COS",0,IF(OR(I1944="En cours",I1944="À venir",I1944="À planifier"),IF(AND(OR($C$3="Tous",$C$3="",C1944=$C$3),OR($E$3="Tous",$E$3="",I1944=$E$3)),1,0),0)))</f>
        <v>0</v>
      </c>
      <c r="L1944" s="104" t="n">
        <f aca="false">L1943+K1944</f>
        <v>19</v>
      </c>
    </row>
    <row r="1945" customFormat="false" ht="15" hidden="true" customHeight="true" outlineLevel="0" collapsed="false">
      <c r="F1945" s="116"/>
      <c r="G1945" s="116"/>
      <c r="K1945" s="104" t="n">
        <f aca="false">IF(A1945="",0,IF(IFERROR(VLOOKUP(A1945,Skills!$A:$M,13,FALSE()),"")="COS",0,IF(OR(I1945="En cours",I1945="À venir",I1945="À planifier"),IF(AND(OR($C$3="Tous",$C$3="",C1945=$C$3),OR($E$3="Tous",$E$3="",I1945=$E$3)),1,0),0)))</f>
        <v>0</v>
      </c>
      <c r="L1945" s="104" t="n">
        <f aca="false">L1944+K1945</f>
        <v>19</v>
      </c>
    </row>
    <row r="1946" customFormat="false" ht="15" hidden="true" customHeight="true" outlineLevel="0" collapsed="false">
      <c r="F1946" s="116"/>
      <c r="G1946" s="116"/>
      <c r="K1946" s="104" t="n">
        <f aca="false">IF(A1946="",0,IF(IFERROR(VLOOKUP(A1946,Skills!$A:$M,13,FALSE()),"")="COS",0,IF(OR(I1946="En cours",I1946="À venir",I1946="À planifier"),IF(AND(OR($C$3="Tous",$C$3="",C1946=$C$3),OR($E$3="Tous",$E$3="",I1946=$E$3)),1,0),0)))</f>
        <v>0</v>
      </c>
      <c r="L1946" s="104" t="n">
        <f aca="false">L1945+K1946</f>
        <v>19</v>
      </c>
    </row>
    <row r="1947" customFormat="false" ht="15" hidden="true" customHeight="true" outlineLevel="0" collapsed="false">
      <c r="F1947" s="116"/>
      <c r="G1947" s="116"/>
      <c r="K1947" s="104" t="n">
        <f aca="false">IF(A1947="",0,IF(IFERROR(VLOOKUP(A1947,Skills!$A:$M,13,FALSE()),"")="COS",0,IF(OR(I1947="En cours",I1947="À venir",I1947="À planifier"),IF(AND(OR($C$3="Tous",$C$3="",C1947=$C$3),OR($E$3="Tous",$E$3="",I1947=$E$3)),1,0),0)))</f>
        <v>0</v>
      </c>
      <c r="L1947" s="104" t="n">
        <f aca="false">L1946+K1947</f>
        <v>19</v>
      </c>
    </row>
    <row r="1948" customFormat="false" ht="15" hidden="true" customHeight="true" outlineLevel="0" collapsed="false">
      <c r="F1948" s="116"/>
      <c r="G1948" s="116"/>
      <c r="K1948" s="104" t="n">
        <f aca="false">IF(A1948="",0,IF(IFERROR(VLOOKUP(A1948,Skills!$A:$M,13,FALSE()),"")="COS",0,IF(OR(I1948="En cours",I1948="À venir",I1948="À planifier"),IF(AND(OR($C$3="Tous",$C$3="",C1948=$C$3),OR($E$3="Tous",$E$3="",I1948=$E$3)),1,0),0)))</f>
        <v>0</v>
      </c>
      <c r="L1948" s="104" t="n">
        <f aca="false">L1947+K1948</f>
        <v>19</v>
      </c>
    </row>
    <row r="1949" customFormat="false" ht="15" hidden="true" customHeight="true" outlineLevel="0" collapsed="false">
      <c r="F1949" s="116"/>
      <c r="G1949" s="116"/>
      <c r="K1949" s="104" t="n">
        <f aca="false">IF(A1949="",0,IF(IFERROR(VLOOKUP(A1949,Skills!$A:$M,13,FALSE()),"")="COS",0,IF(OR(I1949="En cours",I1949="À venir",I1949="À planifier"),IF(AND(OR($C$3="Tous",$C$3="",C1949=$C$3),OR($E$3="Tous",$E$3="",I1949=$E$3)),1,0),0)))</f>
        <v>0</v>
      </c>
      <c r="L1949" s="104" t="n">
        <f aca="false">L1948+K1949</f>
        <v>19</v>
      </c>
    </row>
    <row r="1950" customFormat="false" ht="15" hidden="true" customHeight="true" outlineLevel="0" collapsed="false">
      <c r="F1950" s="116"/>
      <c r="G1950" s="116"/>
      <c r="K1950" s="104" t="n">
        <f aca="false">IF(A1950="",0,IF(IFERROR(VLOOKUP(A1950,Skills!$A:$M,13,FALSE()),"")="COS",0,IF(OR(I1950="En cours",I1950="À venir",I1950="À planifier"),IF(AND(OR($C$3="Tous",$C$3="",C1950=$C$3),OR($E$3="Tous",$E$3="",I1950=$E$3)),1,0),0)))</f>
        <v>0</v>
      </c>
      <c r="L1950" s="104" t="n">
        <f aca="false">L1949+K1950</f>
        <v>19</v>
      </c>
    </row>
    <row r="1951" customFormat="false" ht="15" hidden="true" customHeight="true" outlineLevel="0" collapsed="false">
      <c r="F1951" s="116"/>
      <c r="G1951" s="116"/>
      <c r="K1951" s="104" t="n">
        <f aca="false">IF(A1951="",0,IF(IFERROR(VLOOKUP(A1951,Skills!$A:$M,13,FALSE()),"")="COS",0,IF(OR(I1951="En cours",I1951="À venir",I1951="À planifier"),IF(AND(OR($C$3="Tous",$C$3="",C1951=$C$3),OR($E$3="Tous",$E$3="",I1951=$E$3)),1,0),0)))</f>
        <v>0</v>
      </c>
      <c r="L1951" s="104" t="n">
        <f aca="false">L1950+K1951</f>
        <v>19</v>
      </c>
    </row>
    <row r="1952" customFormat="false" ht="15" hidden="true" customHeight="true" outlineLevel="0" collapsed="false">
      <c r="F1952" s="116"/>
      <c r="G1952" s="116"/>
      <c r="K1952" s="104" t="n">
        <f aca="false">IF(A1952="",0,IF(IFERROR(VLOOKUP(A1952,Skills!$A:$M,13,FALSE()),"")="COS",0,IF(OR(I1952="En cours",I1952="À venir",I1952="À planifier"),IF(AND(OR($C$3="Tous",$C$3="",C1952=$C$3),OR($E$3="Tous",$E$3="",I1952=$E$3)),1,0),0)))</f>
        <v>0</v>
      </c>
      <c r="L1952" s="104" t="n">
        <f aca="false">L1951+K1952</f>
        <v>19</v>
      </c>
    </row>
    <row r="1953" customFormat="false" ht="15" hidden="true" customHeight="true" outlineLevel="0" collapsed="false">
      <c r="F1953" s="116"/>
      <c r="G1953" s="116"/>
      <c r="K1953" s="104" t="n">
        <f aca="false">IF(A1953="",0,IF(IFERROR(VLOOKUP(A1953,Skills!$A:$M,13,FALSE()),"")="COS",0,IF(OR(I1953="En cours",I1953="À venir",I1953="À planifier"),IF(AND(OR($C$3="Tous",$C$3="",C1953=$C$3),OR($E$3="Tous",$E$3="",I1953=$E$3)),1,0),0)))</f>
        <v>0</v>
      </c>
      <c r="L1953" s="104" t="n">
        <f aca="false">L1952+K1953</f>
        <v>19</v>
      </c>
    </row>
    <row r="1954" customFormat="false" ht="15" hidden="true" customHeight="true" outlineLevel="0" collapsed="false">
      <c r="F1954" s="116"/>
      <c r="G1954" s="116"/>
      <c r="K1954" s="104" t="n">
        <f aca="false">IF(A1954="",0,IF(IFERROR(VLOOKUP(A1954,Skills!$A:$M,13,FALSE()),"")="COS",0,IF(OR(I1954="En cours",I1954="À venir",I1954="À planifier"),IF(AND(OR($C$3="Tous",$C$3="",C1954=$C$3),OR($E$3="Tous",$E$3="",I1954=$E$3)),1,0),0)))</f>
        <v>0</v>
      </c>
      <c r="L1954" s="104" t="n">
        <f aca="false">L1953+K1954</f>
        <v>19</v>
      </c>
    </row>
    <row r="1955" customFormat="false" ht="15" hidden="true" customHeight="true" outlineLevel="0" collapsed="false">
      <c r="F1955" s="116"/>
      <c r="G1955" s="116"/>
      <c r="K1955" s="104" t="n">
        <f aca="false">IF(A1955="",0,IF(IFERROR(VLOOKUP(A1955,Skills!$A:$M,13,FALSE()),"")="COS",0,IF(OR(I1955="En cours",I1955="À venir",I1955="À planifier"),IF(AND(OR($C$3="Tous",$C$3="",C1955=$C$3),OR($E$3="Tous",$E$3="",I1955=$E$3)),1,0),0)))</f>
        <v>0</v>
      </c>
      <c r="L1955" s="104" t="n">
        <f aca="false">L1954+K1955</f>
        <v>19</v>
      </c>
    </row>
    <row r="1956" customFormat="false" ht="15" hidden="true" customHeight="true" outlineLevel="0" collapsed="false">
      <c r="F1956" s="116"/>
      <c r="G1956" s="116"/>
      <c r="K1956" s="104" t="n">
        <f aca="false">IF(A1956="",0,IF(IFERROR(VLOOKUP(A1956,Skills!$A:$M,13,FALSE()),"")="COS",0,IF(OR(I1956="En cours",I1956="À venir",I1956="À planifier"),IF(AND(OR($C$3="Tous",$C$3="",C1956=$C$3),OR($E$3="Tous",$E$3="",I1956=$E$3)),1,0),0)))</f>
        <v>0</v>
      </c>
      <c r="L1956" s="104" t="n">
        <f aca="false">L1955+K1956</f>
        <v>19</v>
      </c>
    </row>
    <row r="1957" customFormat="false" ht="15" hidden="true" customHeight="true" outlineLevel="0" collapsed="false">
      <c r="F1957" s="116"/>
      <c r="G1957" s="116"/>
      <c r="K1957" s="104" t="n">
        <f aca="false">IF(A1957="",0,IF(IFERROR(VLOOKUP(A1957,Skills!$A:$M,13,FALSE()),"")="COS",0,IF(OR(I1957="En cours",I1957="À venir",I1957="À planifier"),IF(AND(OR($C$3="Tous",$C$3="",C1957=$C$3),OR($E$3="Tous",$E$3="",I1957=$E$3)),1,0),0)))</f>
        <v>0</v>
      </c>
      <c r="L1957" s="104" t="n">
        <f aca="false">L1956+K1957</f>
        <v>19</v>
      </c>
    </row>
    <row r="1958" customFormat="false" ht="15" hidden="true" customHeight="true" outlineLevel="0" collapsed="false">
      <c r="F1958" s="116"/>
      <c r="G1958" s="116"/>
      <c r="K1958" s="104" t="n">
        <f aca="false">IF(A1958="",0,IF(IFERROR(VLOOKUP(A1958,Skills!$A:$M,13,FALSE()),"")="COS",0,IF(OR(I1958="En cours",I1958="À venir",I1958="À planifier"),IF(AND(OR($C$3="Tous",$C$3="",C1958=$C$3),OR($E$3="Tous",$E$3="",I1958=$E$3)),1,0),0)))</f>
        <v>0</v>
      </c>
      <c r="L1958" s="104" t="n">
        <f aca="false">L1957+K1958</f>
        <v>19</v>
      </c>
    </row>
    <row r="1959" customFormat="false" ht="15" hidden="true" customHeight="true" outlineLevel="0" collapsed="false">
      <c r="F1959" s="116"/>
      <c r="G1959" s="116"/>
      <c r="K1959" s="104" t="n">
        <f aca="false">IF(A1959="",0,IF(IFERROR(VLOOKUP(A1959,Skills!$A:$M,13,FALSE()),"")="COS",0,IF(OR(I1959="En cours",I1959="À venir",I1959="À planifier"),IF(AND(OR($C$3="Tous",$C$3="",C1959=$C$3),OR($E$3="Tous",$E$3="",I1959=$E$3)),1,0),0)))</f>
        <v>0</v>
      </c>
      <c r="L1959" s="104" t="n">
        <f aca="false">L1958+K1959</f>
        <v>19</v>
      </c>
    </row>
    <row r="1960" customFormat="false" ht="15" hidden="true" customHeight="true" outlineLevel="0" collapsed="false">
      <c r="F1960" s="116"/>
      <c r="G1960" s="116"/>
      <c r="K1960" s="104" t="n">
        <f aca="false">IF(A1960="",0,IF(IFERROR(VLOOKUP(A1960,Skills!$A:$M,13,FALSE()),"")="COS",0,IF(OR(I1960="En cours",I1960="À venir",I1960="À planifier"),IF(AND(OR($C$3="Tous",$C$3="",C1960=$C$3),OR($E$3="Tous",$E$3="",I1960=$E$3)),1,0),0)))</f>
        <v>0</v>
      </c>
      <c r="L1960" s="104" t="n">
        <f aca="false">L1959+K1960</f>
        <v>19</v>
      </c>
    </row>
    <row r="1961" customFormat="false" ht="15" hidden="true" customHeight="true" outlineLevel="0" collapsed="false">
      <c r="F1961" s="116"/>
      <c r="G1961" s="116"/>
      <c r="K1961" s="104" t="n">
        <f aca="false">IF(A1961="",0,IF(IFERROR(VLOOKUP(A1961,Skills!$A:$M,13,FALSE()),"")="COS",0,IF(OR(I1961="En cours",I1961="À venir",I1961="À planifier"),IF(AND(OR($C$3="Tous",$C$3="",C1961=$C$3),OR($E$3="Tous",$E$3="",I1961=$E$3)),1,0),0)))</f>
        <v>0</v>
      </c>
      <c r="L1961" s="104" t="n">
        <f aca="false">L1960+K1961</f>
        <v>19</v>
      </c>
    </row>
    <row r="1962" customFormat="false" ht="15" hidden="true" customHeight="true" outlineLevel="0" collapsed="false">
      <c r="F1962" s="116"/>
      <c r="G1962" s="116"/>
      <c r="K1962" s="104" t="n">
        <f aca="false">IF(A1962="",0,IF(IFERROR(VLOOKUP(A1962,Skills!$A:$M,13,FALSE()),"")="COS",0,IF(OR(I1962="En cours",I1962="À venir",I1962="À planifier"),IF(AND(OR($C$3="Tous",$C$3="",C1962=$C$3),OR($E$3="Tous",$E$3="",I1962=$E$3)),1,0),0)))</f>
        <v>0</v>
      </c>
      <c r="L1962" s="104" t="n">
        <f aca="false">L1961+K1962</f>
        <v>19</v>
      </c>
    </row>
    <row r="1963" customFormat="false" ht="15" hidden="true" customHeight="true" outlineLevel="0" collapsed="false">
      <c r="F1963" s="116"/>
      <c r="G1963" s="116"/>
      <c r="K1963" s="104" t="n">
        <f aca="false">IF(A1963="",0,IF(IFERROR(VLOOKUP(A1963,Skills!$A:$M,13,FALSE()),"")="COS",0,IF(OR(I1963="En cours",I1963="À venir",I1963="À planifier"),IF(AND(OR($C$3="Tous",$C$3="",C1963=$C$3),OR($E$3="Tous",$E$3="",I1963=$E$3)),1,0),0)))</f>
        <v>0</v>
      </c>
      <c r="L1963" s="104" t="n">
        <f aca="false">L1962+K1963</f>
        <v>19</v>
      </c>
    </row>
    <row r="1964" customFormat="false" ht="15" hidden="true" customHeight="true" outlineLevel="0" collapsed="false">
      <c r="F1964" s="116"/>
      <c r="G1964" s="116"/>
      <c r="K1964" s="104" t="n">
        <f aca="false">IF(A1964="",0,IF(IFERROR(VLOOKUP(A1964,Skills!$A:$M,13,FALSE()),"")="COS",0,IF(OR(I1964="En cours",I1964="À venir",I1964="À planifier"),IF(AND(OR($C$3="Tous",$C$3="",C1964=$C$3),OR($E$3="Tous",$E$3="",I1964=$E$3)),1,0),0)))</f>
        <v>0</v>
      </c>
      <c r="L1964" s="104" t="n">
        <f aca="false">L1963+K1964</f>
        <v>19</v>
      </c>
    </row>
    <row r="1965" customFormat="false" ht="15" hidden="true" customHeight="true" outlineLevel="0" collapsed="false">
      <c r="F1965" s="116"/>
      <c r="G1965" s="116"/>
      <c r="K1965" s="104" t="n">
        <f aca="false">IF(A1965="",0,IF(IFERROR(VLOOKUP(A1965,Skills!$A:$M,13,FALSE()),"")="COS",0,IF(OR(I1965="En cours",I1965="À venir",I1965="À planifier"),IF(AND(OR($C$3="Tous",$C$3="",C1965=$C$3),OR($E$3="Tous",$E$3="",I1965=$E$3)),1,0),0)))</f>
        <v>0</v>
      </c>
      <c r="L1965" s="104" t="n">
        <f aca="false">L1964+K1965</f>
        <v>19</v>
      </c>
    </row>
    <row r="1966" customFormat="false" ht="15" hidden="true" customHeight="true" outlineLevel="0" collapsed="false">
      <c r="F1966" s="116"/>
      <c r="G1966" s="116"/>
      <c r="K1966" s="104" t="n">
        <f aca="false">IF(A1966="",0,IF(IFERROR(VLOOKUP(A1966,Skills!$A:$M,13,FALSE()),"")="COS",0,IF(OR(I1966="En cours",I1966="À venir",I1966="À planifier"),IF(AND(OR($C$3="Tous",$C$3="",C1966=$C$3),OR($E$3="Tous",$E$3="",I1966=$E$3)),1,0),0)))</f>
        <v>0</v>
      </c>
      <c r="L1966" s="104" t="n">
        <f aca="false">L1965+K1966</f>
        <v>19</v>
      </c>
    </row>
    <row r="1967" customFormat="false" ht="15" hidden="true" customHeight="true" outlineLevel="0" collapsed="false">
      <c r="F1967" s="116"/>
      <c r="G1967" s="116"/>
      <c r="K1967" s="104" t="n">
        <f aca="false">IF(A1967="",0,IF(IFERROR(VLOOKUP(A1967,Skills!$A:$M,13,FALSE()),"")="COS",0,IF(OR(I1967="En cours",I1967="À venir",I1967="À planifier"),IF(AND(OR($C$3="Tous",$C$3="",C1967=$C$3),OR($E$3="Tous",$E$3="",I1967=$E$3)),1,0),0)))</f>
        <v>0</v>
      </c>
      <c r="L1967" s="104" t="n">
        <f aca="false">L1966+K1967</f>
        <v>19</v>
      </c>
    </row>
    <row r="1968" customFormat="false" ht="15" hidden="true" customHeight="true" outlineLevel="0" collapsed="false">
      <c r="F1968" s="116"/>
      <c r="G1968" s="116"/>
      <c r="K1968" s="104" t="n">
        <f aca="false">IF(A1968="",0,IF(IFERROR(VLOOKUP(A1968,Skills!$A:$M,13,FALSE()),"")="COS",0,IF(OR(I1968="En cours",I1968="À venir",I1968="À planifier"),IF(AND(OR($C$3="Tous",$C$3="",C1968=$C$3),OR($E$3="Tous",$E$3="",I1968=$E$3)),1,0),0)))</f>
        <v>0</v>
      </c>
      <c r="L1968" s="104" t="n">
        <f aca="false">L1967+K1968</f>
        <v>19</v>
      </c>
    </row>
    <row r="1969" customFormat="false" ht="15" hidden="true" customHeight="true" outlineLevel="0" collapsed="false">
      <c r="F1969" s="116"/>
      <c r="G1969" s="116"/>
      <c r="K1969" s="104" t="n">
        <f aca="false">IF(A1969="",0,IF(IFERROR(VLOOKUP(A1969,Skills!$A:$M,13,FALSE()),"")="COS",0,IF(OR(I1969="En cours",I1969="À venir",I1969="À planifier"),IF(AND(OR($C$3="Tous",$C$3="",C1969=$C$3),OR($E$3="Tous",$E$3="",I1969=$E$3)),1,0),0)))</f>
        <v>0</v>
      </c>
      <c r="L1969" s="104" t="n">
        <f aca="false">L1968+K1969</f>
        <v>19</v>
      </c>
    </row>
    <row r="1970" customFormat="false" ht="15" hidden="true" customHeight="true" outlineLevel="0" collapsed="false">
      <c r="F1970" s="116"/>
      <c r="G1970" s="116"/>
      <c r="K1970" s="104" t="n">
        <f aca="false">IF(A1970="",0,IF(IFERROR(VLOOKUP(A1970,Skills!$A:$M,13,FALSE()),"")="COS",0,IF(OR(I1970="En cours",I1970="À venir",I1970="À planifier"),IF(AND(OR($C$3="Tous",$C$3="",C1970=$C$3),OR($E$3="Tous",$E$3="",I1970=$E$3)),1,0),0)))</f>
        <v>0</v>
      </c>
      <c r="L1970" s="104" t="n">
        <f aca="false">L1969+K1970</f>
        <v>19</v>
      </c>
    </row>
    <row r="1971" customFormat="false" ht="15" hidden="true" customHeight="true" outlineLevel="0" collapsed="false">
      <c r="F1971" s="116"/>
      <c r="G1971" s="116"/>
      <c r="K1971" s="104" t="n">
        <f aca="false">IF(A1971="",0,IF(IFERROR(VLOOKUP(A1971,Skills!$A:$M,13,FALSE()),"")="COS",0,IF(OR(I1971="En cours",I1971="À venir",I1971="À planifier"),IF(AND(OR($C$3="Tous",$C$3="",C1971=$C$3),OR($E$3="Tous",$E$3="",I1971=$E$3)),1,0),0)))</f>
        <v>0</v>
      </c>
      <c r="L1971" s="104" t="n">
        <f aca="false">L1970+K1971</f>
        <v>19</v>
      </c>
    </row>
    <row r="1972" customFormat="false" ht="15" hidden="true" customHeight="true" outlineLevel="0" collapsed="false">
      <c r="F1972" s="116"/>
      <c r="G1972" s="116"/>
      <c r="K1972" s="104" t="n">
        <f aca="false">IF(A1972="",0,IF(IFERROR(VLOOKUP(A1972,Skills!$A:$M,13,FALSE()),"")="COS",0,IF(OR(I1972="En cours",I1972="À venir",I1972="À planifier"),IF(AND(OR($C$3="Tous",$C$3="",C1972=$C$3),OR($E$3="Tous",$E$3="",I1972=$E$3)),1,0),0)))</f>
        <v>0</v>
      </c>
      <c r="L1972" s="104" t="n">
        <f aca="false">L1971+K1972</f>
        <v>19</v>
      </c>
    </row>
    <row r="1973" customFormat="false" ht="15" hidden="true" customHeight="true" outlineLevel="0" collapsed="false">
      <c r="F1973" s="116"/>
      <c r="G1973" s="116"/>
      <c r="K1973" s="104" t="n">
        <f aca="false">IF(A1973="",0,IF(IFERROR(VLOOKUP(A1973,Skills!$A:$M,13,FALSE()),"")="COS",0,IF(OR(I1973="En cours",I1973="À venir",I1973="À planifier"),IF(AND(OR($C$3="Tous",$C$3="",C1973=$C$3),OR($E$3="Tous",$E$3="",I1973=$E$3)),1,0),0)))</f>
        <v>0</v>
      </c>
      <c r="L1973" s="104" t="n">
        <f aca="false">L1972+K1973</f>
        <v>19</v>
      </c>
    </row>
    <row r="1974" customFormat="false" ht="15" hidden="true" customHeight="true" outlineLevel="0" collapsed="false">
      <c r="F1974" s="116"/>
      <c r="G1974" s="116"/>
      <c r="K1974" s="104" t="n">
        <f aca="false">IF(A1974="",0,IF(IFERROR(VLOOKUP(A1974,Skills!$A:$M,13,FALSE()),"")="COS",0,IF(OR(I1974="En cours",I1974="À venir",I1974="À planifier"),IF(AND(OR($C$3="Tous",$C$3="",C1974=$C$3),OR($E$3="Tous",$E$3="",I1974=$E$3)),1,0),0)))</f>
        <v>0</v>
      </c>
      <c r="L1974" s="104" t="n">
        <f aca="false">L1973+K1974</f>
        <v>19</v>
      </c>
    </row>
    <row r="1975" customFormat="false" ht="15" hidden="true" customHeight="true" outlineLevel="0" collapsed="false">
      <c r="F1975" s="116"/>
      <c r="G1975" s="116"/>
      <c r="K1975" s="104" t="n">
        <f aca="false">IF(A1975="",0,IF(IFERROR(VLOOKUP(A1975,Skills!$A:$M,13,FALSE()),"")="COS",0,IF(OR(I1975="En cours",I1975="À venir",I1975="À planifier"),IF(AND(OR($C$3="Tous",$C$3="",C1975=$C$3),OR($E$3="Tous",$E$3="",I1975=$E$3)),1,0),0)))</f>
        <v>0</v>
      </c>
      <c r="L1975" s="104" t="n">
        <f aca="false">L1974+K1975</f>
        <v>19</v>
      </c>
    </row>
    <row r="1976" customFormat="false" ht="15" hidden="true" customHeight="true" outlineLevel="0" collapsed="false">
      <c r="F1976" s="116"/>
      <c r="G1976" s="116"/>
      <c r="K1976" s="104" t="n">
        <f aca="false">IF(A1976="",0,IF(IFERROR(VLOOKUP(A1976,Skills!$A:$M,13,FALSE()),"")="COS",0,IF(OR(I1976="En cours",I1976="À venir",I1976="À planifier"),IF(AND(OR($C$3="Tous",$C$3="",C1976=$C$3),OR($E$3="Tous",$E$3="",I1976=$E$3)),1,0),0)))</f>
        <v>0</v>
      </c>
      <c r="L1976" s="104" t="n">
        <f aca="false">L1975+K1976</f>
        <v>19</v>
      </c>
    </row>
    <row r="1977" customFormat="false" ht="15" hidden="true" customHeight="true" outlineLevel="0" collapsed="false">
      <c r="F1977" s="116"/>
      <c r="G1977" s="116"/>
      <c r="K1977" s="104" t="n">
        <f aca="false">IF(A1977="",0,IF(IFERROR(VLOOKUP(A1977,Skills!$A:$M,13,FALSE()),"")="COS",0,IF(OR(I1977="En cours",I1977="À venir",I1977="À planifier"),IF(AND(OR($C$3="Tous",$C$3="",C1977=$C$3),OR($E$3="Tous",$E$3="",I1977=$E$3)),1,0),0)))</f>
        <v>0</v>
      </c>
      <c r="L1977" s="104" t="n">
        <f aca="false">L1976+K1977</f>
        <v>19</v>
      </c>
    </row>
    <row r="1978" customFormat="false" ht="15" hidden="true" customHeight="true" outlineLevel="0" collapsed="false">
      <c r="F1978" s="116"/>
      <c r="G1978" s="116"/>
      <c r="K1978" s="104" t="n">
        <f aca="false">IF(A1978="",0,IF(IFERROR(VLOOKUP(A1978,Skills!$A:$M,13,FALSE()),"")="COS",0,IF(OR(I1978="En cours",I1978="À venir",I1978="À planifier"),IF(AND(OR($C$3="Tous",$C$3="",C1978=$C$3),OR($E$3="Tous",$E$3="",I1978=$E$3)),1,0),0)))</f>
        <v>0</v>
      </c>
      <c r="L1978" s="104" t="n">
        <f aca="false">L1977+K1978</f>
        <v>19</v>
      </c>
    </row>
    <row r="1979" customFormat="false" ht="15" hidden="true" customHeight="true" outlineLevel="0" collapsed="false">
      <c r="F1979" s="116"/>
      <c r="G1979" s="116"/>
      <c r="K1979" s="104" t="n">
        <f aca="false">IF(A1979="",0,IF(IFERROR(VLOOKUP(A1979,Skills!$A:$M,13,FALSE()),"")="COS",0,IF(OR(I1979="En cours",I1979="À venir",I1979="À planifier"),IF(AND(OR($C$3="Tous",$C$3="",C1979=$C$3),OR($E$3="Tous",$E$3="",I1979=$E$3)),1,0),0)))</f>
        <v>0</v>
      </c>
      <c r="L1979" s="104" t="n">
        <f aca="false">L1978+K1979</f>
        <v>19</v>
      </c>
    </row>
    <row r="1980" customFormat="false" ht="15" hidden="true" customHeight="true" outlineLevel="0" collapsed="false">
      <c r="F1980" s="116"/>
      <c r="G1980" s="116"/>
      <c r="K1980" s="104" t="n">
        <f aca="false">IF(A1980="",0,IF(IFERROR(VLOOKUP(A1980,Skills!$A:$M,13,FALSE()),"")="COS",0,IF(OR(I1980="En cours",I1980="À venir",I1980="À planifier"),IF(AND(OR($C$3="Tous",$C$3="",C1980=$C$3),OR($E$3="Tous",$E$3="",I1980=$E$3)),1,0),0)))</f>
        <v>0</v>
      </c>
      <c r="L1980" s="104" t="n">
        <f aca="false">L1979+K1980</f>
        <v>19</v>
      </c>
    </row>
    <row r="1981" customFormat="false" ht="15" hidden="true" customHeight="true" outlineLevel="0" collapsed="false">
      <c r="F1981" s="116"/>
      <c r="G1981" s="116"/>
      <c r="K1981" s="104" t="n">
        <f aca="false">IF(A1981="",0,IF(IFERROR(VLOOKUP(A1981,Skills!$A:$M,13,FALSE()),"")="COS",0,IF(OR(I1981="En cours",I1981="À venir",I1981="À planifier"),IF(AND(OR($C$3="Tous",$C$3="",C1981=$C$3),OR($E$3="Tous",$E$3="",I1981=$E$3)),1,0),0)))</f>
        <v>0</v>
      </c>
      <c r="L1981" s="104" t="n">
        <f aca="false">L1980+K1981</f>
        <v>19</v>
      </c>
    </row>
    <row r="1982" customFormat="false" ht="15" hidden="true" customHeight="true" outlineLevel="0" collapsed="false">
      <c r="F1982" s="116"/>
      <c r="G1982" s="116"/>
      <c r="K1982" s="104" t="n">
        <f aca="false">IF(A1982="",0,IF(IFERROR(VLOOKUP(A1982,Skills!$A:$M,13,FALSE()),"")="COS",0,IF(OR(I1982="En cours",I1982="À venir",I1982="À planifier"),IF(AND(OR($C$3="Tous",$C$3="",C1982=$C$3),OR($E$3="Tous",$E$3="",I1982=$E$3)),1,0),0)))</f>
        <v>0</v>
      </c>
      <c r="L1982" s="104" t="n">
        <f aca="false">L1981+K1982</f>
        <v>19</v>
      </c>
    </row>
    <row r="1983" customFormat="false" ht="15" hidden="true" customHeight="true" outlineLevel="0" collapsed="false">
      <c r="F1983" s="116"/>
      <c r="G1983" s="116"/>
      <c r="K1983" s="104" t="n">
        <f aca="false">IF(A1983="",0,IF(IFERROR(VLOOKUP(A1983,Skills!$A:$M,13,FALSE()),"")="COS",0,IF(OR(I1983="En cours",I1983="À venir",I1983="À planifier"),IF(AND(OR($C$3="Tous",$C$3="",C1983=$C$3),OR($E$3="Tous",$E$3="",I1983=$E$3)),1,0),0)))</f>
        <v>0</v>
      </c>
      <c r="L1983" s="104" t="n">
        <f aca="false">L1982+K1983</f>
        <v>19</v>
      </c>
    </row>
    <row r="1984" customFormat="false" ht="15" hidden="true" customHeight="true" outlineLevel="0" collapsed="false">
      <c r="F1984" s="116"/>
      <c r="G1984" s="116"/>
      <c r="K1984" s="104" t="n">
        <f aca="false">IF(A1984="",0,IF(IFERROR(VLOOKUP(A1984,Skills!$A:$M,13,FALSE()),"")="COS",0,IF(OR(I1984="En cours",I1984="À venir",I1984="À planifier"),IF(AND(OR($C$3="Tous",$C$3="",C1984=$C$3),OR($E$3="Tous",$E$3="",I1984=$E$3)),1,0),0)))</f>
        <v>0</v>
      </c>
      <c r="L1984" s="104" t="n">
        <f aca="false">L1983+K1984</f>
        <v>19</v>
      </c>
    </row>
    <row r="1985" customFormat="false" ht="15" hidden="true" customHeight="true" outlineLevel="0" collapsed="false">
      <c r="F1985" s="116"/>
      <c r="G1985" s="116"/>
      <c r="K1985" s="104" t="n">
        <f aca="false">IF(A1985="",0,IF(IFERROR(VLOOKUP(A1985,Skills!$A:$M,13,FALSE()),"")="COS",0,IF(OR(I1985="En cours",I1985="À venir",I1985="À planifier"),IF(AND(OR($C$3="Tous",$C$3="",C1985=$C$3),OR($E$3="Tous",$E$3="",I1985=$E$3)),1,0),0)))</f>
        <v>0</v>
      </c>
      <c r="L1985" s="104" t="n">
        <f aca="false">L1984+K1985</f>
        <v>19</v>
      </c>
    </row>
    <row r="1986" customFormat="false" ht="15" hidden="true" customHeight="true" outlineLevel="0" collapsed="false">
      <c r="F1986" s="116"/>
      <c r="G1986" s="116"/>
      <c r="K1986" s="104" t="n">
        <f aca="false">IF(A1986="",0,IF(IFERROR(VLOOKUP(A1986,Skills!$A:$M,13,FALSE()),"")="COS",0,IF(OR(I1986="En cours",I1986="À venir",I1986="À planifier"),IF(AND(OR($C$3="Tous",$C$3="",C1986=$C$3),OR($E$3="Tous",$E$3="",I1986=$E$3)),1,0),0)))</f>
        <v>0</v>
      </c>
      <c r="L1986" s="104" t="n">
        <f aca="false">L1985+K1986</f>
        <v>19</v>
      </c>
    </row>
    <row r="1987" customFormat="false" ht="15" hidden="true" customHeight="true" outlineLevel="0" collapsed="false">
      <c r="F1987" s="116"/>
      <c r="G1987" s="116"/>
      <c r="K1987" s="104" t="n">
        <f aca="false">IF(A1987="",0,IF(IFERROR(VLOOKUP(A1987,Skills!$A:$M,13,FALSE()),"")="COS",0,IF(OR(I1987="En cours",I1987="À venir",I1987="À planifier"),IF(AND(OR($C$3="Tous",$C$3="",C1987=$C$3),OR($E$3="Tous",$E$3="",I1987=$E$3)),1,0),0)))</f>
        <v>0</v>
      </c>
      <c r="L1987" s="104" t="n">
        <f aca="false">L1986+K1987</f>
        <v>19</v>
      </c>
    </row>
    <row r="1988" customFormat="false" ht="15" hidden="true" customHeight="true" outlineLevel="0" collapsed="false">
      <c r="F1988" s="116"/>
      <c r="G1988" s="116"/>
      <c r="K1988" s="104" t="n">
        <f aca="false">IF(A1988="",0,IF(IFERROR(VLOOKUP(A1988,Skills!$A:$M,13,FALSE()),"")="COS",0,IF(OR(I1988="En cours",I1988="À venir",I1988="À planifier"),IF(AND(OR($C$3="Tous",$C$3="",C1988=$C$3),OR($E$3="Tous",$E$3="",I1988=$E$3)),1,0),0)))</f>
        <v>0</v>
      </c>
      <c r="L1988" s="104" t="n">
        <f aca="false">L1987+K1988</f>
        <v>19</v>
      </c>
    </row>
    <row r="1989" customFormat="false" ht="15" hidden="true" customHeight="true" outlineLevel="0" collapsed="false">
      <c r="F1989" s="116"/>
      <c r="G1989" s="116"/>
      <c r="K1989" s="104" t="n">
        <f aca="false">IF(A1989="",0,IF(IFERROR(VLOOKUP(A1989,Skills!$A:$M,13,FALSE()),"")="COS",0,IF(OR(I1989="En cours",I1989="À venir",I1989="À planifier"),IF(AND(OR($C$3="Tous",$C$3="",C1989=$C$3),OR($E$3="Tous",$E$3="",I1989=$E$3)),1,0),0)))</f>
        <v>0</v>
      </c>
      <c r="L1989" s="104" t="n">
        <f aca="false">L1988+K1989</f>
        <v>19</v>
      </c>
    </row>
    <row r="1990" customFormat="false" ht="15" hidden="true" customHeight="true" outlineLevel="0" collapsed="false">
      <c r="F1990" s="116"/>
      <c r="G1990" s="116"/>
      <c r="K1990" s="104" t="n">
        <f aca="false">IF(A1990="",0,IF(IFERROR(VLOOKUP(A1990,Skills!$A:$M,13,FALSE()),"")="COS",0,IF(OR(I1990="En cours",I1990="À venir",I1990="À planifier"),IF(AND(OR($C$3="Tous",$C$3="",C1990=$C$3),OR($E$3="Tous",$E$3="",I1990=$E$3)),1,0),0)))</f>
        <v>0</v>
      </c>
      <c r="L1990" s="104" t="n">
        <f aca="false">L1989+K1990</f>
        <v>19</v>
      </c>
    </row>
    <row r="1991" customFormat="false" ht="15" hidden="true" customHeight="true" outlineLevel="0" collapsed="false">
      <c r="F1991" s="116"/>
      <c r="G1991" s="116"/>
      <c r="K1991" s="104" t="n">
        <f aca="false">IF(A1991="",0,IF(IFERROR(VLOOKUP(A1991,Skills!$A:$M,13,FALSE()),"")="COS",0,IF(OR(I1991="En cours",I1991="À venir",I1991="À planifier"),IF(AND(OR($C$3="Tous",$C$3="",C1991=$C$3),OR($E$3="Tous",$E$3="",I1991=$E$3)),1,0),0)))</f>
        <v>0</v>
      </c>
      <c r="L1991" s="104" t="n">
        <f aca="false">L1990+K1991</f>
        <v>19</v>
      </c>
    </row>
    <row r="1992" customFormat="false" ht="15" hidden="true" customHeight="true" outlineLevel="0" collapsed="false">
      <c r="F1992" s="116"/>
      <c r="G1992" s="116"/>
      <c r="K1992" s="104" t="n">
        <f aca="false">IF(A1992="",0,IF(IFERROR(VLOOKUP(A1992,Skills!$A:$M,13,FALSE()),"")="COS",0,IF(OR(I1992="En cours",I1992="À venir",I1992="À planifier"),IF(AND(OR($C$3="Tous",$C$3="",C1992=$C$3),OR($E$3="Tous",$E$3="",I1992=$E$3)),1,0),0)))</f>
        <v>0</v>
      </c>
      <c r="L1992" s="104" t="n">
        <f aca="false">L1991+K1992</f>
        <v>19</v>
      </c>
    </row>
    <row r="1993" customFormat="false" ht="15" hidden="true" customHeight="true" outlineLevel="0" collapsed="false">
      <c r="F1993" s="116"/>
      <c r="G1993" s="116"/>
      <c r="K1993" s="104" t="n">
        <f aca="false">IF(A1993="",0,IF(IFERROR(VLOOKUP(A1993,Skills!$A:$M,13,FALSE()),"")="COS",0,IF(OR(I1993="En cours",I1993="À venir",I1993="À planifier"),IF(AND(OR($C$3="Tous",$C$3="",C1993=$C$3),OR($E$3="Tous",$E$3="",I1993=$E$3)),1,0),0)))</f>
        <v>0</v>
      </c>
      <c r="L1993" s="104" t="n">
        <f aca="false">L1992+K1993</f>
        <v>19</v>
      </c>
    </row>
    <row r="1994" customFormat="false" ht="15" hidden="true" customHeight="true" outlineLevel="0" collapsed="false">
      <c r="F1994" s="116"/>
      <c r="G1994" s="116"/>
      <c r="K1994" s="104" t="n">
        <f aca="false">IF(A1994="",0,IF(IFERROR(VLOOKUP(A1994,Skills!$A:$M,13,FALSE()),"")="COS",0,IF(OR(I1994="En cours",I1994="À venir",I1994="À planifier"),IF(AND(OR($C$3="Tous",$C$3="",C1994=$C$3),OR($E$3="Tous",$E$3="",I1994=$E$3)),1,0),0)))</f>
        <v>0</v>
      </c>
      <c r="L1994" s="104" t="n">
        <f aca="false">L1993+K1994</f>
        <v>19</v>
      </c>
    </row>
    <row r="1995" customFormat="false" ht="15" hidden="true" customHeight="true" outlineLevel="0" collapsed="false">
      <c r="F1995" s="116"/>
      <c r="G1995" s="116"/>
      <c r="K1995" s="104" t="n">
        <f aca="false">IF(A1995="",0,IF(IFERROR(VLOOKUP(A1995,Skills!$A:$M,13,FALSE()),"")="COS",0,IF(OR(I1995="En cours",I1995="À venir",I1995="À planifier"),IF(AND(OR($C$3="Tous",$C$3="",C1995=$C$3),OR($E$3="Tous",$E$3="",I1995=$E$3)),1,0),0)))</f>
        <v>0</v>
      </c>
      <c r="L1995" s="104" t="n">
        <f aca="false">L1994+K1995</f>
        <v>19</v>
      </c>
    </row>
    <row r="1996" customFormat="false" ht="15" hidden="true" customHeight="true" outlineLevel="0" collapsed="false">
      <c r="F1996" s="116"/>
      <c r="G1996" s="116"/>
      <c r="K1996" s="104" t="n">
        <f aca="false">IF(A1996="",0,IF(IFERROR(VLOOKUP(A1996,Skills!$A:$M,13,FALSE()),"")="COS",0,IF(OR(I1996="En cours",I1996="À venir",I1996="À planifier"),IF(AND(OR($C$3="Tous",$C$3="",C1996=$C$3),OR($E$3="Tous",$E$3="",I1996=$E$3)),1,0),0)))</f>
        <v>0</v>
      </c>
      <c r="L1996" s="104" t="n">
        <f aca="false">L1995+K1996</f>
        <v>19</v>
      </c>
    </row>
    <row r="1997" customFormat="false" ht="15" hidden="true" customHeight="true" outlineLevel="0" collapsed="false">
      <c r="F1997" s="116"/>
      <c r="G1997" s="116"/>
      <c r="K1997" s="104" t="n">
        <f aca="false">IF(A1997="",0,IF(IFERROR(VLOOKUP(A1997,Skills!$A:$M,13,FALSE()),"")="COS",0,IF(OR(I1997="En cours",I1997="À venir",I1997="À planifier"),IF(AND(OR($C$3="Tous",$C$3="",C1997=$C$3),OR($E$3="Tous",$E$3="",I1997=$E$3)),1,0),0)))</f>
        <v>0</v>
      </c>
      <c r="L1997" s="104" t="n">
        <f aca="false">L1996+K1997</f>
        <v>19</v>
      </c>
    </row>
    <row r="1998" customFormat="false" ht="15" hidden="true" customHeight="true" outlineLevel="0" collapsed="false">
      <c r="F1998" s="116"/>
      <c r="G1998" s="116"/>
      <c r="K1998" s="104" t="n">
        <f aca="false">IF(A1998="",0,IF(IFERROR(VLOOKUP(A1998,Skills!$A:$M,13,FALSE()),"")="COS",0,IF(OR(I1998="En cours",I1998="À venir",I1998="À planifier"),IF(AND(OR($C$3="Tous",$C$3="",C1998=$C$3),OR($E$3="Tous",$E$3="",I1998=$E$3)),1,0),0)))</f>
        <v>0</v>
      </c>
      <c r="L1998" s="104" t="n">
        <f aca="false">L1997+K1998</f>
        <v>19</v>
      </c>
    </row>
    <row r="1999" customFormat="false" ht="15" hidden="true" customHeight="true" outlineLevel="0" collapsed="false">
      <c r="F1999" s="116"/>
      <c r="G1999" s="116"/>
      <c r="K1999" s="104" t="n">
        <f aca="false">IF(A1999="",0,IF(IFERROR(VLOOKUP(A1999,Skills!$A:$M,13,FALSE()),"")="COS",0,IF(OR(I1999="En cours",I1999="À venir",I1999="À planifier"),IF(AND(OR($C$3="Tous",$C$3="",C1999=$C$3),OR($E$3="Tous",$E$3="",I1999=$E$3)),1,0),0)))</f>
        <v>0</v>
      </c>
      <c r="L1999" s="104" t="n">
        <f aca="false">L1998+K1999</f>
        <v>19</v>
      </c>
    </row>
    <row r="2000" customFormat="false" ht="15" hidden="true" customHeight="true" outlineLevel="0" collapsed="false">
      <c r="F2000" s="116"/>
      <c r="G2000" s="116"/>
      <c r="K2000" s="104" t="n">
        <f aca="false">IF(A2000="",0,IF(IFERROR(VLOOKUP(A2000,Skills!$A:$M,13,FALSE()),"")="COS",0,IF(OR(I2000="En cours",I2000="À venir",I2000="À planifier"),IF(AND(OR($C$3="Tous",$C$3="",C2000=$C$3),OR($E$3="Tous",$E$3="",I2000=$E$3)),1,0),0)))</f>
        <v>0</v>
      </c>
      <c r="L2000" s="104" t="n">
        <f aca="false">L1999+K2000</f>
        <v>19</v>
      </c>
    </row>
    <row r="2001" customFormat="false" ht="15" hidden="true" customHeight="true" outlineLevel="0" collapsed="false">
      <c r="F2001" s="116"/>
      <c r="G2001" s="116"/>
      <c r="K2001" s="104" t="n">
        <f aca="false">IF(A2001="",0,IF(IFERROR(VLOOKUP(A2001,Skills!$A:$M,13,FALSE()),"")="COS",0,IF(OR(I2001="En cours",I2001="À venir",I2001="À planifier"),IF(AND(OR($C$3="Tous",$C$3="",C2001=$C$3),OR($E$3="Tous",$E$3="",I2001=$E$3)),1,0),0)))</f>
        <v>0</v>
      </c>
      <c r="L2001" s="104" t="n">
        <f aca="false">L2000+K2001</f>
        <v>19</v>
      </c>
    </row>
    <row r="2002" customFormat="false" ht="15" hidden="true" customHeight="true" outlineLevel="0" collapsed="false">
      <c r="F2002" s="116"/>
      <c r="G2002" s="116"/>
      <c r="K2002" s="104" t="n">
        <f aca="false">IF(A2002="",0,IF(IFERROR(VLOOKUP(A2002,Skills!$A:$M,13,FALSE()),"")="COS",0,IF(OR(I2002="En cours",I2002="À venir",I2002="À planifier"),IF(AND(OR($C$3="Tous",$C$3="",C2002=$C$3),OR($E$3="Tous",$E$3="",I2002=$E$3)),1,0),0)))</f>
        <v>0</v>
      </c>
      <c r="L2002" s="104" t="n">
        <f aca="false">L2001+K2002</f>
        <v>19</v>
      </c>
    </row>
    <row r="2003" customFormat="false" ht="15" hidden="true" customHeight="true" outlineLevel="0" collapsed="false">
      <c r="F2003" s="116"/>
      <c r="G2003" s="116"/>
      <c r="K2003" s="104" t="n">
        <f aca="false">IF(A2003="",0,IF(IFERROR(VLOOKUP(A2003,Skills!$A:$M,13,FALSE()),"")="COS",0,IF(OR(I2003="En cours",I2003="À venir",I2003="À planifier"),IF(AND(OR($C$3="Tous",$C$3="",C2003=$C$3),OR($E$3="Tous",$E$3="",I2003=$E$3)),1,0),0)))</f>
        <v>0</v>
      </c>
      <c r="L2003" s="104" t="n">
        <f aca="false">L2002+K2003</f>
        <v>19</v>
      </c>
    </row>
    <row r="2004" customFormat="false" ht="15" hidden="true" customHeight="true" outlineLevel="0" collapsed="false">
      <c r="F2004" s="116"/>
      <c r="G2004" s="116"/>
      <c r="K2004" s="104" t="n">
        <f aca="false">IF(A2004="",0,IF(IFERROR(VLOOKUP(A2004,Skills!$A:$M,13,FALSE()),"")="COS",0,IF(OR(I2004="En cours",I2004="À venir",I2004="À planifier"),IF(AND(OR($C$3="Tous",$C$3="",C2004=$C$3),OR($E$3="Tous",$E$3="",I2004=$E$3)),1,0),0)))</f>
        <v>0</v>
      </c>
      <c r="L2004" s="104" t="n">
        <f aca="false">L2003+K2004</f>
        <v>19</v>
      </c>
    </row>
    <row r="2005" customFormat="false" ht="15" hidden="true" customHeight="true" outlineLevel="0" collapsed="false">
      <c r="F2005" s="116"/>
      <c r="G2005" s="116"/>
      <c r="K2005" s="104" t="n">
        <f aca="false">IF(A2005="",0,IF(IFERROR(VLOOKUP(A2005,Skills!$A:$M,13,FALSE()),"")="COS",0,IF(OR(I2005="En cours",I2005="À venir",I2005="À planifier"),IF(AND(OR($C$3="Tous",$C$3="",C2005=$C$3),OR($E$3="Tous",$E$3="",I2005=$E$3)),1,0),0)))</f>
        <v>0</v>
      </c>
      <c r="L2005" s="104" t="n">
        <f aca="false">L2004+K2005</f>
        <v>19</v>
      </c>
    </row>
    <row r="2006" customFormat="false" ht="15" hidden="true" customHeight="true" outlineLevel="0" collapsed="false">
      <c r="F2006" s="116"/>
      <c r="G2006" s="116"/>
      <c r="K2006" s="104" t="n">
        <f aca="false">IF(A2006="",0,IF(IFERROR(VLOOKUP(A2006,Skills!$A:$M,13,FALSE()),"")="COS",0,IF(OR(I2006="En cours",I2006="À venir",I2006="À planifier"),IF(AND(OR($C$3="Tous",$C$3="",C2006=$C$3),OR($E$3="Tous",$E$3="",I2006=$E$3)),1,0),0)))</f>
        <v>0</v>
      </c>
      <c r="L2006" s="104" t="n">
        <f aca="false">L2005+K2006</f>
        <v>19</v>
      </c>
    </row>
    <row r="2007" customFormat="false" ht="15" hidden="true" customHeight="true" outlineLevel="0" collapsed="false">
      <c r="F2007" s="116"/>
      <c r="G2007" s="116"/>
      <c r="K2007" s="104" t="n">
        <f aca="false">IF(A2007="",0,IF(IFERROR(VLOOKUP(A2007,Skills!$A:$M,13,FALSE()),"")="COS",0,IF(OR(I2007="En cours",I2007="À venir",I2007="À planifier"),IF(AND(OR($C$3="Tous",$C$3="",C2007=$C$3),OR($E$3="Tous",$E$3="",I2007=$E$3)),1,0),0)))</f>
        <v>0</v>
      </c>
      <c r="L2007" s="104" t="n">
        <f aca="false">L2006+K2007</f>
        <v>19</v>
      </c>
    </row>
    <row r="2008" customFormat="false" ht="15" hidden="true" customHeight="true" outlineLevel="0" collapsed="false">
      <c r="F2008" s="116"/>
      <c r="G2008" s="116"/>
      <c r="K2008" s="104" t="n">
        <f aca="false">IF(A2008="",0,IF(IFERROR(VLOOKUP(A2008,Skills!$A:$M,13,FALSE()),"")="COS",0,IF(OR(I2008="En cours",I2008="À venir",I2008="À planifier"),IF(AND(OR($C$3="Tous",$C$3="",C2008=$C$3),OR($E$3="Tous",$E$3="",I2008=$E$3)),1,0),0)))</f>
        <v>0</v>
      </c>
      <c r="L2008" s="104" t="n">
        <f aca="false">L2007+K2008</f>
        <v>19</v>
      </c>
    </row>
    <row r="2009" customFormat="false" ht="15" hidden="true" customHeight="true" outlineLevel="0" collapsed="false">
      <c r="F2009" s="116"/>
      <c r="G2009" s="116"/>
      <c r="K2009" s="104" t="n">
        <f aca="false">IF(A2009="",0,IF(IFERROR(VLOOKUP(A2009,Skills!$A:$M,13,FALSE()),"")="COS",0,IF(OR(I2009="En cours",I2009="À venir",I2009="À planifier"),IF(AND(OR($C$3="Tous",$C$3="",C2009=$C$3),OR($E$3="Tous",$E$3="",I2009=$E$3)),1,0),0)))</f>
        <v>0</v>
      </c>
      <c r="L2009" s="104" t="n">
        <f aca="false">L2008+K2009</f>
        <v>19</v>
      </c>
    </row>
    <row r="2010" customFormat="false" ht="15" hidden="true" customHeight="true" outlineLevel="0" collapsed="false">
      <c r="F2010" s="116"/>
      <c r="G2010" s="116"/>
      <c r="K2010" s="104" t="n">
        <f aca="false">IF(A2010="",0,IF(IFERROR(VLOOKUP(A2010,Skills!$A:$M,13,FALSE()),"")="COS",0,IF(OR(I2010="En cours",I2010="À venir",I2010="À planifier"),IF(AND(OR($C$3="Tous",$C$3="",C2010=$C$3),OR($E$3="Tous",$E$3="",I2010=$E$3)),1,0),0)))</f>
        <v>0</v>
      </c>
      <c r="L2010" s="104" t="n">
        <f aca="false">L2009+K2010</f>
        <v>19</v>
      </c>
    </row>
    <row r="2011" customFormat="false" ht="15" hidden="true" customHeight="true" outlineLevel="0" collapsed="false">
      <c r="F2011" s="116"/>
      <c r="G2011" s="116"/>
      <c r="K2011" s="104" t="n">
        <f aca="false">IF(A2011="",0,IF(IFERROR(VLOOKUP(A2011,Skills!$A:$M,13,FALSE()),"")="COS",0,IF(OR(I2011="En cours",I2011="À venir",I2011="À planifier"),IF(AND(OR($C$3="Tous",$C$3="",C2011=$C$3),OR($E$3="Tous",$E$3="",I2011=$E$3)),1,0),0)))</f>
        <v>0</v>
      </c>
      <c r="L2011" s="104" t="n">
        <f aca="false">L2010+K2011</f>
        <v>19</v>
      </c>
    </row>
    <row r="2012" customFormat="false" ht="15" hidden="true" customHeight="true" outlineLevel="0" collapsed="false">
      <c r="F2012" s="116"/>
      <c r="G2012" s="116"/>
      <c r="K2012" s="104" t="n">
        <f aca="false">IF(A2012="",0,IF(IFERROR(VLOOKUP(A2012,Skills!$A:$M,13,FALSE()),"")="COS",0,IF(OR(I2012="En cours",I2012="À venir",I2012="À planifier"),IF(AND(OR($C$3="Tous",$C$3="",C2012=$C$3),OR($E$3="Tous",$E$3="",I2012=$E$3)),1,0),0)))</f>
        <v>0</v>
      </c>
      <c r="L2012" s="104" t="n">
        <f aca="false">L2011+K2012</f>
        <v>19</v>
      </c>
    </row>
    <row r="2013" customFormat="false" ht="15" hidden="true" customHeight="true" outlineLevel="0" collapsed="false">
      <c r="F2013" s="116"/>
      <c r="G2013" s="116"/>
      <c r="K2013" s="104" t="n">
        <f aca="false">IF(A2013="",0,IF(IFERROR(VLOOKUP(A2013,Skills!$A:$M,13,FALSE()),"")="COS",0,IF(OR(I2013="En cours",I2013="À venir",I2013="À planifier"),IF(AND(OR($C$3="Tous",$C$3="",C2013=$C$3),OR($E$3="Tous",$E$3="",I2013=$E$3)),1,0),0)))</f>
        <v>0</v>
      </c>
      <c r="L2013" s="104" t="n">
        <f aca="false">L2012+K2013</f>
        <v>19</v>
      </c>
    </row>
    <row r="2014" customFormat="false" ht="15" hidden="true" customHeight="true" outlineLevel="0" collapsed="false">
      <c r="F2014" s="116"/>
      <c r="G2014" s="116"/>
      <c r="K2014" s="104" t="n">
        <f aca="false">IF(A2014="",0,IF(IFERROR(VLOOKUP(A2014,Skills!$A:$M,13,FALSE()),"")="COS",0,IF(OR(I2014="En cours",I2014="À venir",I2014="À planifier"),IF(AND(OR($C$3="Tous",$C$3="",C2014=$C$3),OR($E$3="Tous",$E$3="",I2014=$E$3)),1,0),0)))</f>
        <v>0</v>
      </c>
      <c r="L2014" s="104" t="n">
        <f aca="false">L2013+K2014</f>
        <v>19</v>
      </c>
    </row>
    <row r="2015" customFormat="false" ht="15" hidden="true" customHeight="true" outlineLevel="0" collapsed="false">
      <c r="F2015" s="116"/>
      <c r="G2015" s="116"/>
      <c r="K2015" s="104" t="n">
        <f aca="false">IF(A2015="",0,IF(IFERROR(VLOOKUP(A2015,Skills!$A:$M,13,FALSE()),"")="COS",0,IF(OR(I2015="En cours",I2015="À venir",I2015="À planifier"),IF(AND(OR($C$3="Tous",$C$3="",C2015=$C$3),OR($E$3="Tous",$E$3="",I2015=$E$3)),1,0),0)))</f>
        <v>0</v>
      </c>
      <c r="L2015" s="104" t="n">
        <f aca="false">L2014+K2015</f>
        <v>19</v>
      </c>
    </row>
    <row r="2016" customFormat="false" ht="15" hidden="true" customHeight="true" outlineLevel="0" collapsed="false">
      <c r="F2016" s="116"/>
      <c r="G2016" s="116"/>
      <c r="K2016" s="104" t="n">
        <f aca="false">IF(A2016="",0,IF(IFERROR(VLOOKUP(A2016,Skills!$A:$M,13,FALSE()),"")="COS",0,IF(OR(I2016="En cours",I2016="À venir",I2016="À planifier"),IF(AND(OR($C$3="Tous",$C$3="",C2016=$C$3),OR($E$3="Tous",$E$3="",I2016=$E$3)),1,0),0)))</f>
        <v>0</v>
      </c>
      <c r="L2016" s="104" t="n">
        <f aca="false">L2015+K2016</f>
        <v>19</v>
      </c>
    </row>
    <row r="2017" customFormat="false" ht="15" hidden="true" customHeight="true" outlineLevel="0" collapsed="false">
      <c r="F2017" s="116"/>
      <c r="G2017" s="116"/>
      <c r="K2017" s="104" t="n">
        <f aca="false">IF(A2017="",0,IF(IFERROR(VLOOKUP(A2017,Skills!$A:$M,13,FALSE()),"")="COS",0,IF(OR(I2017="En cours",I2017="À venir",I2017="À planifier"),IF(AND(OR($C$3="Tous",$C$3="",C2017=$C$3),OR($E$3="Tous",$E$3="",I2017=$E$3)),1,0),0)))</f>
        <v>0</v>
      </c>
      <c r="L2017" s="104" t="n">
        <f aca="false">L2016+K2017</f>
        <v>19</v>
      </c>
    </row>
    <row r="2018" customFormat="false" ht="15" hidden="true" customHeight="true" outlineLevel="0" collapsed="false">
      <c r="F2018" s="116"/>
      <c r="G2018" s="116"/>
      <c r="K2018" s="104" t="n">
        <f aca="false">IF(A2018="",0,IF(IFERROR(VLOOKUP(A2018,Skills!$A:$M,13,FALSE()),"")="COS",0,IF(OR(I2018="En cours",I2018="À venir",I2018="À planifier"),IF(AND(OR($C$3="Tous",$C$3="",C2018=$C$3),OR($E$3="Tous",$E$3="",I2018=$E$3)),1,0),0)))</f>
        <v>0</v>
      </c>
      <c r="L2018" s="104" t="n">
        <f aca="false">L2017+K2018</f>
        <v>19</v>
      </c>
    </row>
    <row r="2019" customFormat="false" ht="15" hidden="true" customHeight="true" outlineLevel="0" collapsed="false">
      <c r="F2019" s="116"/>
      <c r="G2019" s="116"/>
      <c r="K2019" s="104" t="n">
        <f aca="false">IF(A2019="",0,IF(IFERROR(VLOOKUP(A2019,Skills!$A:$M,13,FALSE()),"")="COS",0,IF(OR(I2019="En cours",I2019="À venir",I2019="À planifier"),IF(AND(OR($C$3="Tous",$C$3="",C2019=$C$3),OR($E$3="Tous",$E$3="",I2019=$E$3)),1,0),0)))</f>
        <v>0</v>
      </c>
      <c r="L2019" s="104" t="n">
        <f aca="false">L2018+K2019</f>
        <v>19</v>
      </c>
    </row>
    <row r="2020" customFormat="false" ht="15" hidden="true" customHeight="true" outlineLevel="0" collapsed="false">
      <c r="F2020" s="116"/>
      <c r="G2020" s="116"/>
      <c r="K2020" s="104" t="n">
        <f aca="false">IF(A2020="",0,IF(IFERROR(VLOOKUP(A2020,Skills!$A:$M,13,FALSE()),"")="COS",0,IF(OR(I2020="En cours",I2020="À venir",I2020="À planifier"),IF(AND(OR($C$3="Tous",$C$3="",C2020=$C$3),OR($E$3="Tous",$E$3="",I2020=$E$3)),1,0),0)))</f>
        <v>0</v>
      </c>
      <c r="L2020" s="104" t="n">
        <f aca="false">L2019+K2020</f>
        <v>19</v>
      </c>
    </row>
    <row r="2021" customFormat="false" ht="15" hidden="true" customHeight="true" outlineLevel="0" collapsed="false">
      <c r="F2021" s="116"/>
      <c r="G2021" s="116"/>
      <c r="K2021" s="104" t="n">
        <f aca="false">IF(A2021="",0,IF(IFERROR(VLOOKUP(A2021,Skills!$A:$M,13,FALSE()),"")="COS",0,IF(OR(I2021="En cours",I2021="À venir",I2021="À planifier"),IF(AND(OR($C$3="Tous",$C$3="",C2021=$C$3),OR($E$3="Tous",$E$3="",I2021=$E$3)),1,0),0)))</f>
        <v>0</v>
      </c>
      <c r="L2021" s="104" t="n">
        <f aca="false">L2020+K2021</f>
        <v>19</v>
      </c>
    </row>
    <row r="2022" customFormat="false" ht="15" hidden="true" customHeight="true" outlineLevel="0" collapsed="false">
      <c r="F2022" s="116"/>
      <c r="G2022" s="116"/>
      <c r="K2022" s="104" t="n">
        <f aca="false">IF(A2022="",0,IF(IFERROR(VLOOKUP(A2022,Skills!$A:$M,13,FALSE()),"")="COS",0,IF(OR(I2022="En cours",I2022="À venir",I2022="À planifier"),IF(AND(OR($C$3="Tous",$C$3="",C2022=$C$3),OR($E$3="Tous",$E$3="",I2022=$E$3)),1,0),0)))</f>
        <v>0</v>
      </c>
      <c r="L2022" s="104" t="n">
        <f aca="false">L2021+K2022</f>
        <v>19</v>
      </c>
    </row>
    <row r="2023" customFormat="false" ht="15" hidden="true" customHeight="true" outlineLevel="0" collapsed="false">
      <c r="F2023" s="116"/>
      <c r="G2023" s="116"/>
      <c r="K2023" s="104" t="n">
        <f aca="false">IF(A2023="",0,IF(IFERROR(VLOOKUP(A2023,Skills!$A:$M,13,FALSE()),"")="COS",0,IF(OR(I2023="En cours",I2023="À venir",I2023="À planifier"),IF(AND(OR($C$3="Tous",$C$3="",C2023=$C$3),OR($E$3="Tous",$E$3="",I2023=$E$3)),1,0),0)))</f>
        <v>0</v>
      </c>
      <c r="L2023" s="104" t="n">
        <f aca="false">L2022+K2023</f>
        <v>19</v>
      </c>
    </row>
    <row r="2024" customFormat="false" ht="15" hidden="true" customHeight="true" outlineLevel="0" collapsed="false">
      <c r="F2024" s="116"/>
      <c r="G2024" s="116"/>
      <c r="K2024" s="104" t="n">
        <f aca="false">IF(A2024="",0,IF(IFERROR(VLOOKUP(A2024,Skills!$A:$M,13,FALSE()),"")="COS",0,IF(OR(I2024="En cours",I2024="À venir",I2024="À planifier"),IF(AND(OR($C$3="Tous",$C$3="",C2024=$C$3),OR($E$3="Tous",$E$3="",I2024=$E$3)),1,0),0)))</f>
        <v>0</v>
      </c>
      <c r="L2024" s="104" t="n">
        <f aca="false">L2023+K2024</f>
        <v>19</v>
      </c>
    </row>
    <row r="2025" customFormat="false" ht="15" hidden="true" customHeight="true" outlineLevel="0" collapsed="false">
      <c r="F2025" s="116"/>
      <c r="G2025" s="116"/>
      <c r="K2025" s="104" t="n">
        <f aca="false">IF(A2025="",0,IF(IFERROR(VLOOKUP(A2025,Skills!$A:$M,13,FALSE()),"")="COS",0,IF(OR(I2025="En cours",I2025="À venir",I2025="À planifier"),IF(AND(OR($C$3="Tous",$C$3="",C2025=$C$3),OR($E$3="Tous",$E$3="",I2025=$E$3)),1,0),0)))</f>
        <v>0</v>
      </c>
      <c r="L2025" s="104" t="n">
        <f aca="false">L2024+K2025</f>
        <v>19</v>
      </c>
    </row>
    <row r="2026" customFormat="false" ht="15" hidden="true" customHeight="true" outlineLevel="0" collapsed="false">
      <c r="F2026" s="116"/>
      <c r="G2026" s="116"/>
      <c r="K2026" s="104" t="n">
        <f aca="false">IF(A2026="",0,IF(IFERROR(VLOOKUP(A2026,Skills!$A:$M,13,FALSE()),"")="COS",0,IF(OR(I2026="En cours",I2026="À venir",I2026="À planifier"),IF(AND(OR($C$3="Tous",$C$3="",C2026=$C$3),OR($E$3="Tous",$E$3="",I2026=$E$3)),1,0),0)))</f>
        <v>0</v>
      </c>
      <c r="L2026" s="104" t="n">
        <f aca="false">L2025+K2026</f>
        <v>19</v>
      </c>
    </row>
    <row r="2027" customFormat="false" ht="15" hidden="true" customHeight="true" outlineLevel="0" collapsed="false">
      <c r="F2027" s="116"/>
      <c r="G2027" s="116"/>
      <c r="K2027" s="104" t="n">
        <f aca="false">IF(A2027="",0,IF(IFERROR(VLOOKUP(A2027,Skills!$A:$M,13,FALSE()),"")="COS",0,IF(OR(I2027="En cours",I2027="À venir",I2027="À planifier"),IF(AND(OR($C$3="Tous",$C$3="",C2027=$C$3),OR($E$3="Tous",$E$3="",I2027=$E$3)),1,0),0)))</f>
        <v>0</v>
      </c>
      <c r="L2027" s="104" t="n">
        <f aca="false">L2026+K2027</f>
        <v>19</v>
      </c>
    </row>
    <row r="2028" customFormat="false" ht="15" hidden="true" customHeight="true" outlineLevel="0" collapsed="false">
      <c r="F2028" s="116"/>
      <c r="G2028" s="116"/>
      <c r="K2028" s="104" t="n">
        <f aca="false">IF(A2028="",0,IF(IFERROR(VLOOKUP(A2028,Skills!$A:$M,13,FALSE()),"")="COS",0,IF(OR(I2028="En cours",I2028="À venir",I2028="À planifier"),IF(AND(OR($C$3="Tous",$C$3="",C2028=$C$3),OR($E$3="Tous",$E$3="",I2028=$E$3)),1,0),0)))</f>
        <v>0</v>
      </c>
      <c r="L2028" s="104" t="n">
        <f aca="false">L2027+K2028</f>
        <v>19</v>
      </c>
    </row>
    <row r="2029" customFormat="false" ht="15" hidden="true" customHeight="true" outlineLevel="0" collapsed="false">
      <c r="F2029" s="116"/>
      <c r="G2029" s="116"/>
      <c r="K2029" s="104" t="n">
        <f aca="false">IF(A2029="",0,IF(IFERROR(VLOOKUP(A2029,Skills!$A:$M,13,FALSE()),"")="COS",0,IF(OR(I2029="En cours",I2029="À venir",I2029="À planifier"),IF(AND(OR($C$3="Tous",$C$3="",C2029=$C$3),OR($E$3="Tous",$E$3="",I2029=$E$3)),1,0),0)))</f>
        <v>0</v>
      </c>
      <c r="L2029" s="104" t="n">
        <f aca="false">L2028+K2029</f>
        <v>19</v>
      </c>
    </row>
    <row r="2030" customFormat="false" ht="15" hidden="true" customHeight="true" outlineLevel="0" collapsed="false">
      <c r="F2030" s="116"/>
      <c r="G2030" s="116"/>
      <c r="K2030" s="104" t="n">
        <f aca="false">IF(A2030="",0,IF(IFERROR(VLOOKUP(A2030,Skills!$A:$M,13,FALSE()),"")="COS",0,IF(OR(I2030="En cours",I2030="À venir",I2030="À planifier"),IF(AND(OR($C$3="Tous",$C$3="",C2030=$C$3),OR($E$3="Tous",$E$3="",I2030=$E$3)),1,0),0)))</f>
        <v>0</v>
      </c>
      <c r="L2030" s="104" t="n">
        <f aca="false">L2029+K2030</f>
        <v>19</v>
      </c>
    </row>
    <row r="2031" customFormat="false" ht="15" hidden="true" customHeight="true" outlineLevel="0" collapsed="false">
      <c r="F2031" s="116"/>
      <c r="G2031" s="116"/>
      <c r="K2031" s="104" t="n">
        <f aca="false">IF(A2031="",0,IF(IFERROR(VLOOKUP(A2031,Skills!$A:$M,13,FALSE()),"")="COS",0,IF(OR(I2031="En cours",I2031="À venir",I2031="À planifier"),IF(AND(OR($C$3="Tous",$C$3="",C2031=$C$3),OR($E$3="Tous",$E$3="",I2031=$E$3)),1,0),0)))</f>
        <v>0</v>
      </c>
      <c r="L2031" s="104" t="n">
        <f aca="false">L2030+K2031</f>
        <v>19</v>
      </c>
    </row>
    <row r="2032" customFormat="false" ht="15" hidden="true" customHeight="true" outlineLevel="0" collapsed="false">
      <c r="F2032" s="116"/>
      <c r="G2032" s="116"/>
      <c r="K2032" s="104" t="n">
        <f aca="false">IF(A2032="",0,IF(IFERROR(VLOOKUP(A2032,Skills!$A:$M,13,FALSE()),"")="COS",0,IF(OR(I2032="En cours",I2032="À venir",I2032="À planifier"),IF(AND(OR($C$3="Tous",$C$3="",C2032=$C$3),OR($E$3="Tous",$E$3="",I2032=$E$3)),1,0),0)))</f>
        <v>0</v>
      </c>
      <c r="L2032" s="104" t="n">
        <f aca="false">L2031+K2032</f>
        <v>19</v>
      </c>
    </row>
    <row r="2033" customFormat="false" ht="15" hidden="true" customHeight="true" outlineLevel="0" collapsed="false">
      <c r="F2033" s="116"/>
      <c r="G2033" s="116"/>
      <c r="K2033" s="104" t="n">
        <f aca="false">IF(A2033="",0,IF(IFERROR(VLOOKUP(A2033,Skills!$A:$M,13,FALSE()),"")="COS",0,IF(OR(I2033="En cours",I2033="À venir",I2033="À planifier"),IF(AND(OR($C$3="Tous",$C$3="",C2033=$C$3),OR($E$3="Tous",$E$3="",I2033=$E$3)),1,0),0)))</f>
        <v>0</v>
      </c>
      <c r="L2033" s="104" t="n">
        <f aca="false">L2032+K2033</f>
        <v>19</v>
      </c>
    </row>
    <row r="2034" customFormat="false" ht="15" hidden="true" customHeight="true" outlineLevel="0" collapsed="false">
      <c r="F2034" s="116"/>
      <c r="G2034" s="116"/>
      <c r="K2034" s="104" t="n">
        <f aca="false">IF(A2034="",0,IF(IFERROR(VLOOKUP(A2034,Skills!$A:$M,13,FALSE()),"")="COS",0,IF(OR(I2034="En cours",I2034="À venir",I2034="À planifier"),IF(AND(OR($C$3="Tous",$C$3="",C2034=$C$3),OR($E$3="Tous",$E$3="",I2034=$E$3)),1,0),0)))</f>
        <v>0</v>
      </c>
      <c r="L2034" s="104" t="n">
        <f aca="false">L2033+K2034</f>
        <v>19</v>
      </c>
    </row>
    <row r="2035" customFormat="false" ht="15" hidden="true" customHeight="true" outlineLevel="0" collapsed="false">
      <c r="F2035" s="116"/>
      <c r="G2035" s="116"/>
      <c r="K2035" s="104" t="n">
        <f aca="false">IF(A2035="",0,IF(IFERROR(VLOOKUP(A2035,Skills!$A:$M,13,FALSE()),"")="COS",0,IF(OR(I2035="En cours",I2035="À venir",I2035="À planifier"),IF(AND(OR($C$3="Tous",$C$3="",C2035=$C$3),OR($E$3="Tous",$E$3="",I2035=$E$3)),1,0),0)))</f>
        <v>0</v>
      </c>
      <c r="L2035" s="104" t="n">
        <f aca="false">L2034+K2035</f>
        <v>19</v>
      </c>
    </row>
    <row r="2036" customFormat="false" ht="15" hidden="true" customHeight="true" outlineLevel="0" collapsed="false">
      <c r="F2036" s="116"/>
      <c r="G2036" s="116"/>
      <c r="K2036" s="104" t="n">
        <f aca="false">IF(A2036="",0,IF(IFERROR(VLOOKUP(A2036,Skills!$A:$M,13,FALSE()),"")="COS",0,IF(OR(I2036="En cours",I2036="À venir",I2036="À planifier"),IF(AND(OR($C$3="Tous",$C$3="",C2036=$C$3),OR($E$3="Tous",$E$3="",I2036=$E$3)),1,0),0)))</f>
        <v>0</v>
      </c>
      <c r="L2036" s="104" t="n">
        <f aca="false">L2035+K2036</f>
        <v>19</v>
      </c>
    </row>
    <row r="2037" customFormat="false" ht="15" hidden="true" customHeight="true" outlineLevel="0" collapsed="false">
      <c r="F2037" s="116"/>
      <c r="G2037" s="116"/>
      <c r="K2037" s="104" t="n">
        <f aca="false">IF(A2037="",0,IF(IFERROR(VLOOKUP(A2037,Skills!$A:$M,13,FALSE()),"")="COS",0,IF(OR(I2037="En cours",I2037="À venir",I2037="À planifier"),IF(AND(OR($C$3="Tous",$C$3="",C2037=$C$3),OR($E$3="Tous",$E$3="",I2037=$E$3)),1,0),0)))</f>
        <v>0</v>
      </c>
      <c r="L2037" s="104" t="n">
        <f aca="false">L2036+K2037</f>
        <v>19</v>
      </c>
    </row>
    <row r="2038" customFormat="false" ht="15" hidden="true" customHeight="true" outlineLevel="0" collapsed="false">
      <c r="F2038" s="116"/>
      <c r="G2038" s="116"/>
      <c r="K2038" s="104" t="n">
        <f aca="false">IF(A2038="",0,IF(IFERROR(VLOOKUP(A2038,Skills!$A:$M,13,FALSE()),"")="COS",0,IF(OR(I2038="En cours",I2038="À venir",I2038="À planifier"),IF(AND(OR($C$3="Tous",$C$3="",C2038=$C$3),OR($E$3="Tous",$E$3="",I2038=$E$3)),1,0),0)))</f>
        <v>0</v>
      </c>
      <c r="L2038" s="104" t="n">
        <f aca="false">L2037+K2038</f>
        <v>19</v>
      </c>
    </row>
    <row r="2039" customFormat="false" ht="15" hidden="true" customHeight="true" outlineLevel="0" collapsed="false">
      <c r="F2039" s="116"/>
      <c r="G2039" s="116"/>
      <c r="K2039" s="104" t="n">
        <f aca="false">IF(A2039="",0,IF(IFERROR(VLOOKUP(A2039,Skills!$A:$M,13,FALSE()),"")="COS",0,IF(OR(I2039="En cours",I2039="À venir",I2039="À planifier"),IF(AND(OR($C$3="Tous",$C$3="",C2039=$C$3),OR($E$3="Tous",$E$3="",I2039=$E$3)),1,0),0)))</f>
        <v>0</v>
      </c>
      <c r="L2039" s="104" t="n">
        <f aca="false">L2038+K2039</f>
        <v>19</v>
      </c>
    </row>
    <row r="2040" customFormat="false" ht="15" hidden="true" customHeight="true" outlineLevel="0" collapsed="false">
      <c r="F2040" s="116"/>
      <c r="G2040" s="116"/>
      <c r="K2040" s="104" t="n">
        <f aca="false">IF(A2040="",0,IF(IFERROR(VLOOKUP(A2040,Skills!$A:$M,13,FALSE()),"")="COS",0,IF(OR(I2040="En cours",I2040="À venir",I2040="À planifier"),IF(AND(OR($C$3="Tous",$C$3="",C2040=$C$3),OR($E$3="Tous",$E$3="",I2040=$E$3)),1,0),0)))</f>
        <v>0</v>
      </c>
      <c r="L2040" s="104" t="n">
        <f aca="false">L2039+K2040</f>
        <v>19</v>
      </c>
    </row>
    <row r="2041" customFormat="false" ht="15" hidden="true" customHeight="true" outlineLevel="0" collapsed="false">
      <c r="F2041" s="116"/>
      <c r="G2041" s="116"/>
      <c r="K2041" s="104" t="n">
        <f aca="false">IF(A2041="",0,IF(IFERROR(VLOOKUP(A2041,Skills!$A:$M,13,FALSE()),"")="COS",0,IF(OR(I2041="En cours",I2041="À venir",I2041="À planifier"),IF(AND(OR($C$3="Tous",$C$3="",C2041=$C$3),OR($E$3="Tous",$E$3="",I2041=$E$3)),1,0),0)))</f>
        <v>0</v>
      </c>
      <c r="L2041" s="104" t="n">
        <f aca="false">L2040+K2041</f>
        <v>19</v>
      </c>
    </row>
    <row r="2042" customFormat="false" ht="15" hidden="true" customHeight="true" outlineLevel="0" collapsed="false">
      <c r="F2042" s="116"/>
      <c r="G2042" s="116"/>
      <c r="K2042" s="104" t="n">
        <f aca="false">IF(A2042="",0,IF(IFERROR(VLOOKUP(A2042,Skills!$A:$M,13,FALSE()),"")="COS",0,IF(OR(I2042="En cours",I2042="À venir",I2042="À planifier"),IF(AND(OR($C$3="Tous",$C$3="",C2042=$C$3),OR($E$3="Tous",$E$3="",I2042=$E$3)),1,0),0)))</f>
        <v>0</v>
      </c>
      <c r="L2042" s="104" t="n">
        <f aca="false">L2041+K2042</f>
        <v>19</v>
      </c>
    </row>
    <row r="2043" customFormat="false" ht="15" hidden="true" customHeight="true" outlineLevel="0" collapsed="false">
      <c r="F2043" s="116"/>
      <c r="G2043" s="116"/>
      <c r="K2043" s="104" t="n">
        <f aca="false">IF(A2043="",0,IF(IFERROR(VLOOKUP(A2043,Skills!$A:$M,13,FALSE()),"")="COS",0,IF(OR(I2043="En cours",I2043="À venir",I2043="À planifier"),IF(AND(OR($C$3="Tous",$C$3="",C2043=$C$3),OR($E$3="Tous",$E$3="",I2043=$E$3)),1,0),0)))</f>
        <v>0</v>
      </c>
      <c r="L2043" s="104" t="n">
        <f aca="false">L2042+K2043</f>
        <v>19</v>
      </c>
    </row>
    <row r="2044" customFormat="false" ht="15" hidden="true" customHeight="true" outlineLevel="0" collapsed="false">
      <c r="F2044" s="116"/>
      <c r="G2044" s="116"/>
      <c r="K2044" s="104" t="n">
        <f aca="false">IF(A2044="",0,IF(IFERROR(VLOOKUP(A2044,Skills!$A:$M,13,FALSE()),"")="COS",0,IF(OR(I2044="En cours",I2044="À venir",I2044="À planifier"),IF(AND(OR($C$3="Tous",$C$3="",C2044=$C$3),OR($E$3="Tous",$E$3="",I2044=$E$3)),1,0),0)))</f>
        <v>0</v>
      </c>
      <c r="L2044" s="104" t="n">
        <f aca="false">L2043+K2044</f>
        <v>19</v>
      </c>
    </row>
    <row r="2045" customFormat="false" ht="15" hidden="true" customHeight="true" outlineLevel="0" collapsed="false">
      <c r="F2045" s="116"/>
      <c r="G2045" s="116"/>
      <c r="K2045" s="104" t="n">
        <f aca="false">IF(A2045="",0,IF(IFERROR(VLOOKUP(A2045,Skills!$A:$M,13,FALSE()),"")="COS",0,IF(OR(I2045="En cours",I2045="À venir",I2045="À planifier"),IF(AND(OR($C$3="Tous",$C$3="",C2045=$C$3),OR($E$3="Tous",$E$3="",I2045=$E$3)),1,0),0)))</f>
        <v>0</v>
      </c>
      <c r="L2045" s="104" t="n">
        <f aca="false">L2044+K2045</f>
        <v>19</v>
      </c>
    </row>
    <row r="2046" customFormat="false" ht="15" hidden="true" customHeight="true" outlineLevel="0" collapsed="false">
      <c r="F2046" s="116"/>
      <c r="G2046" s="116"/>
      <c r="K2046" s="104" t="n">
        <f aca="false">IF(A2046="",0,IF(IFERROR(VLOOKUP(A2046,Skills!$A:$M,13,FALSE()),"")="COS",0,IF(OR(I2046="En cours",I2046="À venir",I2046="À planifier"),IF(AND(OR($C$3="Tous",$C$3="",C2046=$C$3),OR($E$3="Tous",$E$3="",I2046=$E$3)),1,0),0)))</f>
        <v>0</v>
      </c>
      <c r="L2046" s="104" t="n">
        <f aca="false">L2045+K2046</f>
        <v>19</v>
      </c>
    </row>
    <row r="2047" customFormat="false" ht="15" hidden="true" customHeight="true" outlineLevel="0" collapsed="false">
      <c r="F2047" s="116"/>
      <c r="G2047" s="116"/>
      <c r="K2047" s="104" t="n">
        <f aca="false">IF(A2047="",0,IF(IFERROR(VLOOKUP(A2047,Skills!$A:$M,13,FALSE()),"")="COS",0,IF(OR(I2047="En cours",I2047="À venir",I2047="À planifier"),IF(AND(OR($C$3="Tous",$C$3="",C2047=$C$3),OR($E$3="Tous",$E$3="",I2047=$E$3)),1,0),0)))</f>
        <v>0</v>
      </c>
      <c r="L2047" s="104" t="n">
        <f aca="false">L2046+K2047</f>
        <v>19</v>
      </c>
    </row>
    <row r="2048" customFormat="false" ht="15" hidden="true" customHeight="true" outlineLevel="0" collapsed="false">
      <c r="F2048" s="116"/>
      <c r="G2048" s="116"/>
      <c r="K2048" s="104" t="n">
        <f aca="false">IF(A2048="",0,IF(IFERROR(VLOOKUP(A2048,Skills!$A:$M,13,FALSE()),"")="COS",0,IF(OR(I2048="En cours",I2048="À venir",I2048="À planifier"),IF(AND(OR($C$3="Tous",$C$3="",C2048=$C$3),OR($E$3="Tous",$E$3="",I2048=$E$3)),1,0),0)))</f>
        <v>0</v>
      </c>
      <c r="L2048" s="104" t="n">
        <f aca="false">L2047+K2048</f>
        <v>19</v>
      </c>
    </row>
    <row r="2049" customFormat="false" ht="15" hidden="true" customHeight="true" outlineLevel="0" collapsed="false">
      <c r="F2049" s="116"/>
      <c r="G2049" s="116"/>
      <c r="K2049" s="104" t="n">
        <f aca="false">IF(A2049="",0,IF(IFERROR(VLOOKUP(A2049,Skills!$A:$M,13,FALSE()),"")="COS",0,IF(OR(I2049="En cours",I2049="À venir",I2049="À planifier"),IF(AND(OR($C$3="Tous",$C$3="",C2049=$C$3),OR($E$3="Tous",$E$3="",I2049=$E$3)),1,0),0)))</f>
        <v>0</v>
      </c>
      <c r="L2049" s="104" t="n">
        <f aca="false">L2048+K2049</f>
        <v>19</v>
      </c>
    </row>
    <row r="2050" customFormat="false" ht="15" hidden="true" customHeight="true" outlineLevel="0" collapsed="false">
      <c r="F2050" s="116"/>
      <c r="G2050" s="116"/>
      <c r="K2050" s="104" t="n">
        <f aca="false">IF(A2050="",0,IF(IFERROR(VLOOKUP(A2050,Skills!$A:$M,13,FALSE()),"")="COS",0,IF(OR(I2050="En cours",I2050="À venir",I2050="À planifier"),IF(AND(OR($C$3="Tous",$C$3="",C2050=$C$3),OR($E$3="Tous",$E$3="",I2050=$E$3)),1,0),0)))</f>
        <v>0</v>
      </c>
      <c r="L2050" s="104" t="n">
        <f aca="false">L2049+K2050</f>
        <v>19</v>
      </c>
    </row>
    <row r="2051" customFormat="false" ht="15" hidden="true" customHeight="true" outlineLevel="0" collapsed="false">
      <c r="F2051" s="116"/>
      <c r="G2051" s="116"/>
      <c r="K2051" s="104" t="n">
        <f aca="false">IF(A2051="",0,IF(IFERROR(VLOOKUP(A2051,Skills!$A:$M,13,FALSE()),"")="COS",0,IF(OR(I2051="En cours",I2051="À venir",I2051="À planifier"),IF(AND(OR($C$3="Tous",$C$3="",C2051=$C$3),OR($E$3="Tous",$E$3="",I2051=$E$3)),1,0),0)))</f>
        <v>0</v>
      </c>
      <c r="L2051" s="104" t="n">
        <f aca="false">L2050+K2051</f>
        <v>19</v>
      </c>
    </row>
    <row r="2052" customFormat="false" ht="15" hidden="true" customHeight="true" outlineLevel="0" collapsed="false">
      <c r="F2052" s="116"/>
      <c r="G2052" s="116"/>
      <c r="K2052" s="104" t="n">
        <f aca="false">IF(A2052="",0,IF(IFERROR(VLOOKUP(A2052,Skills!$A:$M,13,FALSE()),"")="COS",0,IF(OR(I2052="En cours",I2052="À venir",I2052="À planifier"),IF(AND(OR($C$3="Tous",$C$3="",C2052=$C$3),OR($E$3="Tous",$E$3="",I2052=$E$3)),1,0),0)))</f>
        <v>0</v>
      </c>
      <c r="L2052" s="104" t="n">
        <f aca="false">L2051+K2052</f>
        <v>19</v>
      </c>
    </row>
    <row r="2053" customFormat="false" ht="15" hidden="true" customHeight="true" outlineLevel="0" collapsed="false">
      <c r="F2053" s="116"/>
      <c r="G2053" s="116"/>
      <c r="K2053" s="104" t="n">
        <f aca="false">IF(A2053="",0,IF(IFERROR(VLOOKUP(A2053,Skills!$A:$M,13,FALSE()),"")="COS",0,IF(OR(I2053="En cours",I2053="À venir",I2053="À planifier"),IF(AND(OR($C$3="Tous",$C$3="",C2053=$C$3),OR($E$3="Tous",$E$3="",I2053=$E$3)),1,0),0)))</f>
        <v>0</v>
      </c>
      <c r="L2053" s="104" t="n">
        <f aca="false">L2052+K2053</f>
        <v>19</v>
      </c>
    </row>
    <row r="2054" customFormat="false" ht="15" hidden="true" customHeight="true" outlineLevel="0" collapsed="false">
      <c r="F2054" s="116"/>
      <c r="G2054" s="116"/>
      <c r="K2054" s="104" t="n">
        <f aca="false">IF(A2054="",0,IF(IFERROR(VLOOKUP(A2054,Skills!$A:$M,13,FALSE()),"")="COS",0,IF(OR(I2054="En cours",I2054="À venir",I2054="À planifier"),IF(AND(OR($C$3="Tous",$C$3="",C2054=$C$3),OR($E$3="Tous",$E$3="",I2054=$E$3)),1,0),0)))</f>
        <v>0</v>
      </c>
      <c r="L2054" s="104" t="n">
        <f aca="false">L2053+K2054</f>
        <v>19</v>
      </c>
    </row>
    <row r="2055" customFormat="false" ht="15" hidden="true" customHeight="true" outlineLevel="0" collapsed="false">
      <c r="F2055" s="116"/>
      <c r="G2055" s="116"/>
      <c r="K2055" s="104" t="n">
        <f aca="false">IF(A2055="",0,IF(IFERROR(VLOOKUP(A2055,Skills!$A:$M,13,FALSE()),"")="COS",0,IF(OR(I2055="En cours",I2055="À venir",I2055="À planifier"),IF(AND(OR($C$3="Tous",$C$3="",C2055=$C$3),OR($E$3="Tous",$E$3="",I2055=$E$3)),1,0),0)))</f>
        <v>0</v>
      </c>
      <c r="L2055" s="104" t="n">
        <f aca="false">L2054+K2055</f>
        <v>19</v>
      </c>
    </row>
    <row r="2056" customFormat="false" ht="15" hidden="true" customHeight="true" outlineLevel="0" collapsed="false">
      <c r="F2056" s="116"/>
      <c r="G2056" s="116"/>
      <c r="K2056" s="104" t="n">
        <f aca="false">IF(A2056="",0,IF(IFERROR(VLOOKUP(A2056,Skills!$A:$M,13,FALSE()),"")="COS",0,IF(OR(I2056="En cours",I2056="À venir",I2056="À planifier"),IF(AND(OR($C$3="Tous",$C$3="",C2056=$C$3),OR($E$3="Tous",$E$3="",I2056=$E$3)),1,0),0)))</f>
        <v>0</v>
      </c>
      <c r="L2056" s="104" t="n">
        <f aca="false">L2055+K2056</f>
        <v>19</v>
      </c>
    </row>
    <row r="2057" customFormat="false" ht="15" hidden="true" customHeight="true" outlineLevel="0" collapsed="false">
      <c r="F2057" s="116"/>
      <c r="G2057" s="116"/>
      <c r="K2057" s="104" t="n">
        <f aca="false">IF(A2057="",0,IF(IFERROR(VLOOKUP(A2057,Skills!$A:$M,13,FALSE()),"")="COS",0,IF(OR(I2057="En cours",I2057="À venir",I2057="À planifier"),IF(AND(OR($C$3="Tous",$C$3="",C2057=$C$3),OR($E$3="Tous",$E$3="",I2057=$E$3)),1,0),0)))</f>
        <v>0</v>
      </c>
      <c r="L2057" s="104" t="n">
        <f aca="false">L2056+K2057</f>
        <v>19</v>
      </c>
    </row>
    <row r="2058" customFormat="false" ht="15" hidden="true" customHeight="true" outlineLevel="0" collapsed="false">
      <c r="F2058" s="116"/>
      <c r="G2058" s="116"/>
      <c r="K2058" s="104" t="n">
        <f aca="false">IF(A2058="",0,IF(IFERROR(VLOOKUP(A2058,Skills!$A:$M,13,FALSE()),"")="COS",0,IF(OR(I2058="En cours",I2058="À venir",I2058="À planifier"),IF(AND(OR($C$3="Tous",$C$3="",C2058=$C$3),OR($E$3="Tous",$E$3="",I2058=$E$3)),1,0),0)))</f>
        <v>0</v>
      </c>
      <c r="L2058" s="104" t="n">
        <f aca="false">L2057+K2058</f>
        <v>19</v>
      </c>
    </row>
    <row r="2059" customFormat="false" ht="15" hidden="true" customHeight="true" outlineLevel="0" collapsed="false">
      <c r="F2059" s="116"/>
      <c r="G2059" s="116"/>
      <c r="K2059" s="104" t="n">
        <f aca="false">IF(A2059="",0,IF(IFERROR(VLOOKUP(A2059,Skills!$A:$M,13,FALSE()),"")="COS",0,IF(OR(I2059="En cours",I2059="À venir",I2059="À planifier"),IF(AND(OR($C$3="Tous",$C$3="",C2059=$C$3),OR($E$3="Tous",$E$3="",I2059=$E$3)),1,0),0)))</f>
        <v>0</v>
      </c>
      <c r="L2059" s="104" t="n">
        <f aca="false">L2058+K2059</f>
        <v>19</v>
      </c>
    </row>
    <row r="2060" customFormat="false" ht="15" hidden="true" customHeight="true" outlineLevel="0" collapsed="false">
      <c r="F2060" s="116"/>
      <c r="G2060" s="116"/>
      <c r="K2060" s="104" t="n">
        <f aca="false">IF(A2060="",0,IF(IFERROR(VLOOKUP(A2060,Skills!$A:$M,13,FALSE()),"")="COS",0,IF(OR(I2060="En cours",I2060="À venir",I2060="À planifier"),IF(AND(OR($C$3="Tous",$C$3="",C2060=$C$3),OR($E$3="Tous",$E$3="",I2060=$E$3)),1,0),0)))</f>
        <v>0</v>
      </c>
      <c r="L2060" s="104" t="n">
        <f aca="false">L2059+K2060</f>
        <v>19</v>
      </c>
    </row>
    <row r="2061" customFormat="false" ht="15" hidden="true" customHeight="true" outlineLevel="0" collapsed="false">
      <c r="F2061" s="116"/>
      <c r="G2061" s="116"/>
      <c r="K2061" s="104" t="n">
        <f aca="false">IF(A2061="",0,IF(IFERROR(VLOOKUP(A2061,Skills!$A:$M,13,FALSE()),"")="COS",0,IF(OR(I2061="En cours",I2061="À venir",I2061="À planifier"),IF(AND(OR($C$3="Tous",$C$3="",C2061=$C$3),OR($E$3="Tous",$E$3="",I2061=$E$3)),1,0),0)))</f>
        <v>0</v>
      </c>
      <c r="L2061" s="104" t="n">
        <f aca="false">L2060+K2061</f>
        <v>19</v>
      </c>
    </row>
    <row r="2062" customFormat="false" ht="15" hidden="true" customHeight="true" outlineLevel="0" collapsed="false">
      <c r="F2062" s="116"/>
      <c r="G2062" s="116"/>
      <c r="K2062" s="104" t="n">
        <f aca="false">IF(A2062="",0,IF(IFERROR(VLOOKUP(A2062,Skills!$A:$M,13,FALSE()),"")="COS",0,IF(OR(I2062="En cours",I2062="À venir",I2062="À planifier"),IF(AND(OR($C$3="Tous",$C$3="",C2062=$C$3),OR($E$3="Tous",$E$3="",I2062=$E$3)),1,0),0)))</f>
        <v>0</v>
      </c>
      <c r="L2062" s="104" t="n">
        <f aca="false">L2061+K2062</f>
        <v>19</v>
      </c>
    </row>
    <row r="2063" customFormat="false" ht="15" hidden="true" customHeight="true" outlineLevel="0" collapsed="false">
      <c r="F2063" s="116"/>
      <c r="G2063" s="116"/>
      <c r="K2063" s="104" t="n">
        <f aca="false">IF(A2063="",0,IF(IFERROR(VLOOKUP(A2063,Skills!$A:$M,13,FALSE()),"")="COS",0,IF(OR(I2063="En cours",I2063="À venir",I2063="À planifier"),IF(AND(OR($C$3="Tous",$C$3="",C2063=$C$3),OR($E$3="Tous",$E$3="",I2063=$E$3)),1,0),0)))</f>
        <v>0</v>
      </c>
      <c r="L2063" s="104" t="n">
        <f aca="false">L2062+K2063</f>
        <v>19</v>
      </c>
    </row>
    <row r="2064" customFormat="false" ht="15" hidden="true" customHeight="true" outlineLevel="0" collapsed="false">
      <c r="F2064" s="116"/>
      <c r="G2064" s="116"/>
      <c r="K2064" s="104" t="n">
        <f aca="false">IF(A2064="",0,IF(IFERROR(VLOOKUP(A2064,Skills!$A:$M,13,FALSE()),"")="COS",0,IF(OR(I2064="En cours",I2064="À venir",I2064="À planifier"),IF(AND(OR($C$3="Tous",$C$3="",C2064=$C$3),OR($E$3="Tous",$E$3="",I2064=$E$3)),1,0),0)))</f>
        <v>0</v>
      </c>
      <c r="L2064" s="104" t="n">
        <f aca="false">L2063+K2064</f>
        <v>19</v>
      </c>
    </row>
    <row r="2065" customFormat="false" ht="15" hidden="true" customHeight="true" outlineLevel="0" collapsed="false">
      <c r="F2065" s="116"/>
      <c r="G2065" s="116"/>
      <c r="K2065" s="104" t="n">
        <f aca="false">IF(A2065="",0,IF(IFERROR(VLOOKUP(A2065,Skills!$A:$M,13,FALSE()),"")="COS",0,IF(OR(I2065="En cours",I2065="À venir",I2065="À planifier"),IF(AND(OR($C$3="Tous",$C$3="",C2065=$C$3),OR($E$3="Tous",$E$3="",I2065=$E$3)),1,0),0)))</f>
        <v>0</v>
      </c>
      <c r="L2065" s="104" t="n">
        <f aca="false">L2064+K2065</f>
        <v>19</v>
      </c>
    </row>
    <row r="2066" customFormat="false" ht="15" hidden="true" customHeight="true" outlineLevel="0" collapsed="false">
      <c r="F2066" s="116"/>
      <c r="G2066" s="116"/>
      <c r="K2066" s="104" t="n">
        <f aca="false">IF(A2066="",0,IF(IFERROR(VLOOKUP(A2066,Skills!$A:$M,13,FALSE()),"")="COS",0,IF(OR(I2066="En cours",I2066="À venir",I2066="À planifier"),IF(AND(OR($C$3="Tous",$C$3="",C2066=$C$3),OR($E$3="Tous",$E$3="",I2066=$E$3)),1,0),0)))</f>
        <v>0</v>
      </c>
      <c r="L2066" s="104" t="n">
        <f aca="false">L2065+K2066</f>
        <v>19</v>
      </c>
    </row>
    <row r="2067" customFormat="false" ht="15" hidden="true" customHeight="true" outlineLevel="0" collapsed="false">
      <c r="F2067" s="116"/>
      <c r="G2067" s="116"/>
      <c r="K2067" s="104" t="n">
        <f aca="false">IF(A2067="",0,IF(IFERROR(VLOOKUP(A2067,Skills!$A:$M,13,FALSE()),"")="COS",0,IF(OR(I2067="En cours",I2067="À venir",I2067="À planifier"),IF(AND(OR($C$3="Tous",$C$3="",C2067=$C$3),OR($E$3="Tous",$E$3="",I2067=$E$3)),1,0),0)))</f>
        <v>0</v>
      </c>
      <c r="L2067" s="104" t="n">
        <f aca="false">L2066+K2067</f>
        <v>19</v>
      </c>
    </row>
    <row r="2068" customFormat="false" ht="15" hidden="true" customHeight="true" outlineLevel="0" collapsed="false">
      <c r="F2068" s="116"/>
      <c r="G2068" s="116"/>
      <c r="K2068" s="104" t="n">
        <f aca="false">IF(A2068="",0,IF(IFERROR(VLOOKUP(A2068,Skills!$A:$M,13,FALSE()),"")="COS",0,IF(OR(I2068="En cours",I2068="À venir",I2068="À planifier"),IF(AND(OR($C$3="Tous",$C$3="",C2068=$C$3),OR($E$3="Tous",$E$3="",I2068=$E$3)),1,0),0)))</f>
        <v>0</v>
      </c>
      <c r="L2068" s="104" t="n">
        <f aca="false">L2067+K2068</f>
        <v>19</v>
      </c>
    </row>
    <row r="2069" customFormat="false" ht="15" hidden="true" customHeight="true" outlineLevel="0" collapsed="false">
      <c r="F2069" s="116"/>
      <c r="G2069" s="116"/>
      <c r="K2069" s="104" t="n">
        <f aca="false">IF(A2069="",0,IF(IFERROR(VLOOKUP(A2069,Skills!$A:$M,13,FALSE()),"")="COS",0,IF(OR(I2069="En cours",I2069="À venir",I2069="À planifier"),IF(AND(OR($C$3="Tous",$C$3="",C2069=$C$3),OR($E$3="Tous",$E$3="",I2069=$E$3)),1,0),0)))</f>
        <v>0</v>
      </c>
      <c r="L2069" s="104" t="n">
        <f aca="false">L2068+K2069</f>
        <v>19</v>
      </c>
    </row>
    <row r="2070" customFormat="false" ht="15" hidden="true" customHeight="true" outlineLevel="0" collapsed="false">
      <c r="F2070" s="116"/>
      <c r="G2070" s="116"/>
      <c r="K2070" s="104" t="n">
        <f aca="false">IF(A2070="",0,IF(IFERROR(VLOOKUP(A2070,Skills!$A:$M,13,FALSE()),"")="COS",0,IF(OR(I2070="En cours",I2070="À venir",I2070="À planifier"),IF(AND(OR($C$3="Tous",$C$3="",C2070=$C$3),OR($E$3="Tous",$E$3="",I2070=$E$3)),1,0),0)))</f>
        <v>0</v>
      </c>
      <c r="L2070" s="104" t="n">
        <f aca="false">L2069+K2070</f>
        <v>19</v>
      </c>
    </row>
    <row r="2071" customFormat="false" ht="15" hidden="true" customHeight="true" outlineLevel="0" collapsed="false">
      <c r="F2071" s="116"/>
      <c r="G2071" s="116"/>
      <c r="K2071" s="104" t="n">
        <f aca="false">IF(A2071="",0,IF(IFERROR(VLOOKUP(A2071,Skills!$A:$M,13,FALSE()),"")="COS",0,IF(OR(I2071="En cours",I2071="À venir",I2071="À planifier"),IF(AND(OR($C$3="Tous",$C$3="",C2071=$C$3),OR($E$3="Tous",$E$3="",I2071=$E$3)),1,0),0)))</f>
        <v>0</v>
      </c>
      <c r="L2071" s="104" t="n">
        <f aca="false">L2070+K2071</f>
        <v>19</v>
      </c>
    </row>
    <row r="2072" customFormat="false" ht="15" hidden="true" customHeight="true" outlineLevel="0" collapsed="false">
      <c r="F2072" s="116"/>
      <c r="G2072" s="116"/>
      <c r="K2072" s="104" t="n">
        <f aca="false">IF(A2072="",0,IF(IFERROR(VLOOKUP(A2072,Skills!$A:$M,13,FALSE()),"")="COS",0,IF(OR(I2072="En cours",I2072="À venir",I2072="À planifier"),IF(AND(OR($C$3="Tous",$C$3="",C2072=$C$3),OR($E$3="Tous",$E$3="",I2072=$E$3)),1,0),0)))</f>
        <v>0</v>
      </c>
      <c r="L2072" s="104" t="n">
        <f aca="false">L2071+K2072</f>
        <v>19</v>
      </c>
    </row>
    <row r="2073" customFormat="false" ht="15" hidden="true" customHeight="true" outlineLevel="0" collapsed="false">
      <c r="F2073" s="116"/>
      <c r="G2073" s="116"/>
      <c r="K2073" s="104" t="n">
        <f aca="false">IF(A2073="",0,IF(IFERROR(VLOOKUP(A2073,Skills!$A:$M,13,FALSE()),"")="COS",0,IF(OR(I2073="En cours",I2073="À venir",I2073="À planifier"),IF(AND(OR($C$3="Tous",$C$3="",C2073=$C$3),OR($E$3="Tous",$E$3="",I2073=$E$3)),1,0),0)))</f>
        <v>0</v>
      </c>
      <c r="L2073" s="104" t="n">
        <f aca="false">L2072+K2073</f>
        <v>19</v>
      </c>
    </row>
    <row r="2074" customFormat="false" ht="15" hidden="true" customHeight="true" outlineLevel="0" collapsed="false">
      <c r="F2074" s="116"/>
      <c r="G2074" s="116"/>
      <c r="K2074" s="104" t="n">
        <f aca="false">IF(A2074="",0,IF(IFERROR(VLOOKUP(A2074,Skills!$A:$M,13,FALSE()),"")="COS",0,IF(OR(I2074="En cours",I2074="À venir",I2074="À planifier"),IF(AND(OR($C$3="Tous",$C$3="",C2074=$C$3),OR($E$3="Tous",$E$3="",I2074=$E$3)),1,0),0)))</f>
        <v>0</v>
      </c>
      <c r="L2074" s="104" t="n">
        <f aca="false">L2073+K2074</f>
        <v>19</v>
      </c>
    </row>
    <row r="2075" customFormat="false" ht="15" hidden="true" customHeight="true" outlineLevel="0" collapsed="false">
      <c r="F2075" s="116"/>
      <c r="G2075" s="116"/>
      <c r="K2075" s="104" t="n">
        <f aca="false">IF(A2075="",0,IF(IFERROR(VLOOKUP(A2075,Skills!$A:$M,13,FALSE()),"")="COS",0,IF(OR(I2075="En cours",I2075="À venir",I2075="À planifier"),IF(AND(OR($C$3="Tous",$C$3="",C2075=$C$3),OR($E$3="Tous",$E$3="",I2075=$E$3)),1,0),0)))</f>
        <v>0</v>
      </c>
      <c r="L2075" s="104" t="n">
        <f aca="false">L2074+K2075</f>
        <v>19</v>
      </c>
    </row>
    <row r="2076" customFormat="false" ht="15" hidden="true" customHeight="true" outlineLevel="0" collapsed="false">
      <c r="F2076" s="116"/>
      <c r="G2076" s="116"/>
      <c r="K2076" s="104" t="n">
        <f aca="false">IF(A2076="",0,IF(IFERROR(VLOOKUP(A2076,Skills!$A:$M,13,FALSE()),"")="COS",0,IF(OR(I2076="En cours",I2076="À venir",I2076="À planifier"),IF(AND(OR($C$3="Tous",$C$3="",C2076=$C$3),OR($E$3="Tous",$E$3="",I2076=$E$3)),1,0),0)))</f>
        <v>0</v>
      </c>
      <c r="L2076" s="104" t="n">
        <f aca="false">L2075+K2076</f>
        <v>19</v>
      </c>
    </row>
    <row r="2077" customFormat="false" ht="15" hidden="true" customHeight="true" outlineLevel="0" collapsed="false">
      <c r="F2077" s="116"/>
      <c r="G2077" s="116"/>
      <c r="K2077" s="104" t="n">
        <f aca="false">IF(A2077="",0,IF(IFERROR(VLOOKUP(A2077,Skills!$A:$M,13,FALSE()),"")="COS",0,IF(OR(I2077="En cours",I2077="À venir",I2077="À planifier"),IF(AND(OR($C$3="Tous",$C$3="",C2077=$C$3),OR($E$3="Tous",$E$3="",I2077=$E$3)),1,0),0)))</f>
        <v>0</v>
      </c>
      <c r="L2077" s="104" t="n">
        <f aca="false">L2076+K2077</f>
        <v>19</v>
      </c>
    </row>
    <row r="2078" customFormat="false" ht="15" hidden="true" customHeight="true" outlineLevel="0" collapsed="false">
      <c r="F2078" s="116"/>
      <c r="G2078" s="116"/>
      <c r="K2078" s="104" t="n">
        <f aca="false">IF(A2078="",0,IF(IFERROR(VLOOKUP(A2078,Skills!$A:$M,13,FALSE()),"")="COS",0,IF(OR(I2078="En cours",I2078="À venir",I2078="À planifier"),IF(AND(OR($C$3="Tous",$C$3="",C2078=$C$3),OR($E$3="Tous",$E$3="",I2078=$E$3)),1,0),0)))</f>
        <v>0</v>
      </c>
      <c r="L2078" s="104" t="n">
        <f aca="false">L2077+K2078</f>
        <v>19</v>
      </c>
    </row>
    <row r="2079" customFormat="false" ht="15" hidden="true" customHeight="true" outlineLevel="0" collapsed="false">
      <c r="F2079" s="116"/>
      <c r="G2079" s="116"/>
      <c r="K2079" s="104" t="n">
        <f aca="false">IF(A2079="",0,IF(IFERROR(VLOOKUP(A2079,Skills!$A:$M,13,FALSE()),"")="COS",0,IF(OR(I2079="En cours",I2079="À venir",I2079="À planifier"),IF(AND(OR($C$3="Tous",$C$3="",C2079=$C$3),OR($E$3="Tous",$E$3="",I2079=$E$3)),1,0),0)))</f>
        <v>0</v>
      </c>
      <c r="L2079" s="104" t="n">
        <f aca="false">L2078+K2079</f>
        <v>19</v>
      </c>
    </row>
    <row r="2080" customFormat="false" ht="15" hidden="true" customHeight="true" outlineLevel="0" collapsed="false">
      <c r="F2080" s="116"/>
      <c r="G2080" s="116"/>
      <c r="K2080" s="104" t="n">
        <f aca="false">IF(A2080="",0,IF(IFERROR(VLOOKUP(A2080,Skills!$A:$M,13,FALSE()),"")="COS",0,IF(OR(I2080="En cours",I2080="À venir",I2080="À planifier"),IF(AND(OR($C$3="Tous",$C$3="",C2080=$C$3),OR($E$3="Tous",$E$3="",I2080=$E$3)),1,0),0)))</f>
        <v>0</v>
      </c>
      <c r="L2080" s="104" t="n">
        <f aca="false">L2079+K2080</f>
        <v>19</v>
      </c>
    </row>
    <row r="2081" customFormat="false" ht="15" hidden="true" customHeight="true" outlineLevel="0" collapsed="false">
      <c r="F2081" s="116"/>
      <c r="G2081" s="116"/>
      <c r="K2081" s="104" t="n">
        <f aca="false">IF(A2081="",0,IF(IFERROR(VLOOKUP(A2081,Skills!$A:$M,13,FALSE()),"")="COS",0,IF(OR(I2081="En cours",I2081="À venir",I2081="À planifier"),IF(AND(OR($C$3="Tous",$C$3="",C2081=$C$3),OR($E$3="Tous",$E$3="",I2081=$E$3)),1,0),0)))</f>
        <v>0</v>
      </c>
      <c r="L2081" s="104" t="n">
        <f aca="false">L2080+K2081</f>
        <v>19</v>
      </c>
    </row>
    <row r="2082" customFormat="false" ht="15" hidden="true" customHeight="true" outlineLevel="0" collapsed="false">
      <c r="F2082" s="116"/>
      <c r="G2082" s="116"/>
      <c r="K2082" s="104" t="n">
        <f aca="false">IF(A2082="",0,IF(IFERROR(VLOOKUP(A2082,Skills!$A:$M,13,FALSE()),"")="COS",0,IF(OR(I2082="En cours",I2082="À venir",I2082="À planifier"),IF(AND(OR($C$3="Tous",$C$3="",C2082=$C$3),OR($E$3="Tous",$E$3="",I2082=$E$3)),1,0),0)))</f>
        <v>0</v>
      </c>
      <c r="L2082" s="104" t="n">
        <f aca="false">L2081+K2082</f>
        <v>19</v>
      </c>
    </row>
    <row r="2083" customFormat="false" ht="15" hidden="true" customHeight="true" outlineLevel="0" collapsed="false">
      <c r="F2083" s="116"/>
      <c r="G2083" s="116"/>
      <c r="K2083" s="104" t="n">
        <f aca="false">IF(A2083="",0,IF(IFERROR(VLOOKUP(A2083,Skills!$A:$M,13,FALSE()),"")="COS",0,IF(OR(I2083="En cours",I2083="À venir",I2083="À planifier"),IF(AND(OR($C$3="Tous",$C$3="",C2083=$C$3),OR($E$3="Tous",$E$3="",I2083=$E$3)),1,0),0)))</f>
        <v>0</v>
      </c>
      <c r="L2083" s="104" t="n">
        <f aca="false">L2082+K2083</f>
        <v>19</v>
      </c>
    </row>
    <row r="2084" customFormat="false" ht="15" hidden="true" customHeight="true" outlineLevel="0" collapsed="false">
      <c r="F2084" s="116"/>
      <c r="G2084" s="116"/>
      <c r="K2084" s="104" t="n">
        <f aca="false">IF(A2084="",0,IF(IFERROR(VLOOKUP(A2084,Skills!$A:$M,13,FALSE()),"")="COS",0,IF(OR(I2084="En cours",I2084="À venir",I2084="À planifier"),IF(AND(OR($C$3="Tous",$C$3="",C2084=$C$3),OR($E$3="Tous",$E$3="",I2084=$E$3)),1,0),0)))</f>
        <v>0</v>
      </c>
      <c r="L2084" s="104" t="n">
        <f aca="false">L2083+K2084</f>
        <v>19</v>
      </c>
    </row>
    <row r="2085" customFormat="false" ht="15" hidden="true" customHeight="true" outlineLevel="0" collapsed="false">
      <c r="F2085" s="116"/>
      <c r="G2085" s="116"/>
      <c r="K2085" s="104" t="n">
        <f aca="false">IF(A2085="",0,IF(IFERROR(VLOOKUP(A2085,Skills!$A:$M,13,FALSE()),"")="COS",0,IF(OR(I2085="En cours",I2085="À venir",I2085="À planifier"),IF(AND(OR($C$3="Tous",$C$3="",C2085=$C$3),OR($E$3="Tous",$E$3="",I2085=$E$3)),1,0),0)))</f>
        <v>0</v>
      </c>
      <c r="L2085" s="104" t="n">
        <f aca="false">L2084+K2085</f>
        <v>19</v>
      </c>
    </row>
    <row r="2086" customFormat="false" ht="15" hidden="true" customHeight="true" outlineLevel="0" collapsed="false">
      <c r="F2086" s="116"/>
      <c r="G2086" s="116"/>
      <c r="K2086" s="104" t="n">
        <f aca="false">IF(A2086="",0,IF(IFERROR(VLOOKUP(A2086,Skills!$A:$M,13,FALSE()),"")="COS",0,IF(OR(I2086="En cours",I2086="À venir",I2086="À planifier"),IF(AND(OR($C$3="Tous",$C$3="",C2086=$C$3),OR($E$3="Tous",$E$3="",I2086=$E$3)),1,0),0)))</f>
        <v>0</v>
      </c>
      <c r="L2086" s="104" t="n">
        <f aca="false">L2085+K2086</f>
        <v>19</v>
      </c>
    </row>
    <row r="2087" customFormat="false" ht="15" hidden="true" customHeight="true" outlineLevel="0" collapsed="false">
      <c r="F2087" s="116"/>
      <c r="G2087" s="116"/>
      <c r="K2087" s="104" t="n">
        <f aca="false">IF(A2087="",0,IF(IFERROR(VLOOKUP(A2087,Skills!$A:$M,13,FALSE()),"")="COS",0,IF(OR(I2087="En cours",I2087="À venir",I2087="À planifier"),IF(AND(OR($C$3="Tous",$C$3="",C2087=$C$3),OR($E$3="Tous",$E$3="",I2087=$E$3)),1,0),0)))</f>
        <v>0</v>
      </c>
      <c r="L2087" s="104" t="n">
        <f aca="false">L2086+K2087</f>
        <v>19</v>
      </c>
    </row>
    <row r="2088" customFormat="false" ht="15" hidden="true" customHeight="true" outlineLevel="0" collapsed="false">
      <c r="F2088" s="116"/>
      <c r="G2088" s="116"/>
      <c r="K2088" s="104" t="n">
        <f aca="false">IF(A2088="",0,IF(IFERROR(VLOOKUP(A2088,Skills!$A:$M,13,FALSE()),"")="COS",0,IF(OR(I2088="En cours",I2088="À venir",I2088="À planifier"),IF(AND(OR($C$3="Tous",$C$3="",C2088=$C$3),OR($E$3="Tous",$E$3="",I2088=$E$3)),1,0),0)))</f>
        <v>0</v>
      </c>
      <c r="L2088" s="104" t="n">
        <f aca="false">L2087+K2088</f>
        <v>19</v>
      </c>
    </row>
    <row r="2089" customFormat="false" ht="15" hidden="true" customHeight="true" outlineLevel="0" collapsed="false">
      <c r="F2089" s="116"/>
      <c r="G2089" s="116"/>
      <c r="K2089" s="104" t="n">
        <f aca="false">IF(A2089="",0,IF(IFERROR(VLOOKUP(A2089,Skills!$A:$M,13,FALSE()),"")="COS",0,IF(OR(I2089="En cours",I2089="À venir",I2089="À planifier"),IF(AND(OR($C$3="Tous",$C$3="",C2089=$C$3),OR($E$3="Tous",$E$3="",I2089=$E$3)),1,0),0)))</f>
        <v>0</v>
      </c>
      <c r="L2089" s="104" t="n">
        <f aca="false">L2088+K2089</f>
        <v>19</v>
      </c>
    </row>
    <row r="2090" customFormat="false" ht="15" hidden="true" customHeight="true" outlineLevel="0" collapsed="false">
      <c r="F2090" s="116"/>
      <c r="G2090" s="116"/>
      <c r="K2090" s="104" t="n">
        <f aca="false">IF(A2090="",0,IF(IFERROR(VLOOKUP(A2090,Skills!$A:$M,13,FALSE()),"")="COS",0,IF(OR(I2090="En cours",I2090="À venir",I2090="À planifier"),IF(AND(OR($C$3="Tous",$C$3="",C2090=$C$3),OR($E$3="Tous",$E$3="",I2090=$E$3)),1,0),0)))</f>
        <v>0</v>
      </c>
      <c r="L2090" s="104" t="n">
        <f aca="false">L2089+K2090</f>
        <v>19</v>
      </c>
    </row>
    <row r="2091" customFormat="false" ht="15" hidden="true" customHeight="true" outlineLevel="0" collapsed="false">
      <c r="F2091" s="116"/>
      <c r="G2091" s="116"/>
      <c r="K2091" s="104" t="n">
        <f aca="false">IF(A2091="",0,IF(IFERROR(VLOOKUP(A2091,Skills!$A:$M,13,FALSE()),"")="COS",0,IF(OR(I2091="En cours",I2091="À venir",I2091="À planifier"),IF(AND(OR($C$3="Tous",$C$3="",C2091=$C$3),OR($E$3="Tous",$E$3="",I2091=$E$3)),1,0),0)))</f>
        <v>0</v>
      </c>
      <c r="L2091" s="104" t="n">
        <f aca="false">L2090+K2091</f>
        <v>19</v>
      </c>
    </row>
    <row r="2092" customFormat="false" ht="15" hidden="true" customHeight="true" outlineLevel="0" collapsed="false">
      <c r="F2092" s="116"/>
      <c r="G2092" s="116"/>
      <c r="K2092" s="104" t="n">
        <f aca="false">IF(A2092="",0,IF(IFERROR(VLOOKUP(A2092,Skills!$A:$M,13,FALSE()),"")="COS",0,IF(OR(I2092="En cours",I2092="À venir",I2092="À planifier"),IF(AND(OR($C$3="Tous",$C$3="",C2092=$C$3),OR($E$3="Tous",$E$3="",I2092=$E$3)),1,0),0)))</f>
        <v>0</v>
      </c>
      <c r="L2092" s="104" t="n">
        <f aca="false">L2091+K2092</f>
        <v>19</v>
      </c>
    </row>
    <row r="2093" customFormat="false" ht="15" hidden="true" customHeight="true" outlineLevel="0" collapsed="false">
      <c r="F2093" s="116"/>
      <c r="G2093" s="116"/>
      <c r="K2093" s="104" t="n">
        <f aca="false">IF(A2093="",0,IF(IFERROR(VLOOKUP(A2093,Skills!$A:$M,13,FALSE()),"")="COS",0,IF(OR(I2093="En cours",I2093="À venir",I2093="À planifier"),IF(AND(OR($C$3="Tous",$C$3="",C2093=$C$3),OR($E$3="Tous",$E$3="",I2093=$E$3)),1,0),0)))</f>
        <v>0</v>
      </c>
      <c r="L2093" s="104" t="n">
        <f aca="false">L2092+K2093</f>
        <v>19</v>
      </c>
    </row>
    <row r="2094" customFormat="false" ht="15" hidden="true" customHeight="true" outlineLevel="0" collapsed="false">
      <c r="F2094" s="116"/>
      <c r="G2094" s="116"/>
      <c r="K2094" s="104" t="n">
        <f aca="false">IF(A2094="",0,IF(IFERROR(VLOOKUP(A2094,Skills!$A:$M,13,FALSE()),"")="COS",0,IF(OR(I2094="En cours",I2094="À venir",I2094="À planifier"),IF(AND(OR($C$3="Tous",$C$3="",C2094=$C$3),OR($E$3="Tous",$E$3="",I2094=$E$3)),1,0),0)))</f>
        <v>0</v>
      </c>
      <c r="L2094" s="104" t="n">
        <f aca="false">L2093+K2094</f>
        <v>19</v>
      </c>
    </row>
    <row r="2095" customFormat="false" ht="15" hidden="true" customHeight="true" outlineLevel="0" collapsed="false">
      <c r="F2095" s="116"/>
      <c r="G2095" s="116"/>
      <c r="K2095" s="104" t="n">
        <f aca="false">IF(A2095="",0,IF(IFERROR(VLOOKUP(A2095,Skills!$A:$M,13,FALSE()),"")="COS",0,IF(OR(I2095="En cours",I2095="À venir",I2095="À planifier"),IF(AND(OR($C$3="Tous",$C$3="",C2095=$C$3),OR($E$3="Tous",$E$3="",I2095=$E$3)),1,0),0)))</f>
        <v>0</v>
      </c>
      <c r="L2095" s="104" t="n">
        <f aca="false">L2094+K2095</f>
        <v>19</v>
      </c>
    </row>
    <row r="2096" customFormat="false" ht="15" hidden="true" customHeight="true" outlineLevel="0" collapsed="false">
      <c r="F2096" s="116"/>
      <c r="G2096" s="116"/>
      <c r="K2096" s="104" t="n">
        <f aca="false">IF(A2096="",0,IF(IFERROR(VLOOKUP(A2096,Skills!$A:$M,13,FALSE()),"")="COS",0,IF(OR(I2096="En cours",I2096="À venir",I2096="À planifier"),IF(AND(OR($C$3="Tous",$C$3="",C2096=$C$3),OR($E$3="Tous",$E$3="",I2096=$E$3)),1,0),0)))</f>
        <v>0</v>
      </c>
      <c r="L2096" s="104" t="n">
        <f aca="false">L2095+K2096</f>
        <v>19</v>
      </c>
    </row>
    <row r="2097" customFormat="false" ht="15" hidden="true" customHeight="true" outlineLevel="0" collapsed="false">
      <c r="F2097" s="116"/>
      <c r="G2097" s="116"/>
      <c r="K2097" s="104" t="n">
        <f aca="false">IF(A2097="",0,IF(IFERROR(VLOOKUP(A2097,Skills!$A:$M,13,FALSE()),"")="COS",0,IF(OR(I2097="En cours",I2097="À venir",I2097="À planifier"),IF(AND(OR($C$3="Tous",$C$3="",C2097=$C$3),OR($E$3="Tous",$E$3="",I2097=$E$3)),1,0),0)))</f>
        <v>0</v>
      </c>
      <c r="L2097" s="104" t="n">
        <f aca="false">L2096+K2097</f>
        <v>19</v>
      </c>
    </row>
    <row r="2098" customFormat="false" ht="15" hidden="true" customHeight="true" outlineLevel="0" collapsed="false">
      <c r="F2098" s="116"/>
      <c r="G2098" s="116"/>
      <c r="K2098" s="104" t="n">
        <f aca="false">IF(A2098="",0,IF(IFERROR(VLOOKUP(A2098,Skills!$A:$M,13,FALSE()),"")="COS",0,IF(OR(I2098="En cours",I2098="À venir",I2098="À planifier"),IF(AND(OR($C$3="Tous",$C$3="",C2098=$C$3),OR($E$3="Tous",$E$3="",I2098=$E$3)),1,0),0)))</f>
        <v>0</v>
      </c>
      <c r="L2098" s="104" t="n">
        <f aca="false">L2097+K2098</f>
        <v>19</v>
      </c>
    </row>
    <row r="2099" customFormat="false" ht="15" hidden="true" customHeight="true" outlineLevel="0" collapsed="false">
      <c r="F2099" s="116"/>
      <c r="G2099" s="116"/>
      <c r="K2099" s="104" t="n">
        <f aca="false">IF(A2099="",0,IF(IFERROR(VLOOKUP(A2099,Skills!$A:$M,13,FALSE()),"")="COS",0,IF(OR(I2099="En cours",I2099="À venir",I2099="À planifier"),IF(AND(OR($C$3="Tous",$C$3="",C2099=$C$3),OR($E$3="Tous",$E$3="",I2099=$E$3)),1,0),0)))</f>
        <v>0</v>
      </c>
      <c r="L2099" s="104" t="n">
        <f aca="false">L2098+K2099</f>
        <v>19</v>
      </c>
    </row>
    <row r="2100" customFormat="false" ht="15" hidden="true" customHeight="true" outlineLevel="0" collapsed="false">
      <c r="F2100" s="116"/>
      <c r="G2100" s="116"/>
      <c r="K2100" s="104" t="n">
        <f aca="false">IF(A2100="",0,IF(IFERROR(VLOOKUP(A2100,Skills!$A:$M,13,FALSE()),"")="COS",0,IF(OR(I2100="En cours",I2100="À venir",I2100="À planifier"),IF(AND(OR($C$3="Tous",$C$3="",C2100=$C$3),OR($E$3="Tous",$E$3="",I2100=$E$3)),1,0),0)))</f>
        <v>0</v>
      </c>
      <c r="L2100" s="104" t="n">
        <f aca="false">L2099+K2100</f>
        <v>19</v>
      </c>
    </row>
    <row r="2101" customFormat="false" ht="15" hidden="true" customHeight="true" outlineLevel="0" collapsed="false">
      <c r="F2101" s="116"/>
      <c r="G2101" s="116"/>
      <c r="K2101" s="104" t="n">
        <f aca="false">IF(A2101="",0,IF(IFERROR(VLOOKUP(A2101,Skills!$A:$M,13,FALSE()),"")="COS",0,IF(OR(I2101="En cours",I2101="À venir",I2101="À planifier"),IF(AND(OR($C$3="Tous",$C$3="",C2101=$C$3),OR($E$3="Tous",$E$3="",I2101=$E$3)),1,0),0)))</f>
        <v>0</v>
      </c>
      <c r="L2101" s="104" t="n">
        <f aca="false">L2100+K2101</f>
        <v>19</v>
      </c>
    </row>
    <row r="2102" customFormat="false" ht="15" hidden="true" customHeight="true" outlineLevel="0" collapsed="false">
      <c r="F2102" s="116"/>
      <c r="G2102" s="116"/>
      <c r="K2102" s="104" t="n">
        <f aca="false">IF(A2102="",0,IF(IFERROR(VLOOKUP(A2102,Skills!$A:$M,13,FALSE()),"")="COS",0,IF(OR(I2102="En cours",I2102="À venir",I2102="À planifier"),IF(AND(OR($C$3="Tous",$C$3="",C2102=$C$3),OR($E$3="Tous",$E$3="",I2102=$E$3)),1,0),0)))</f>
        <v>0</v>
      </c>
      <c r="L2102" s="104" t="n">
        <f aca="false">L2101+K2102</f>
        <v>19</v>
      </c>
    </row>
    <row r="2103" customFormat="false" ht="15" hidden="true" customHeight="true" outlineLevel="0" collapsed="false">
      <c r="F2103" s="116"/>
      <c r="G2103" s="116"/>
      <c r="K2103" s="104" t="n">
        <f aca="false">IF(A2103="",0,IF(IFERROR(VLOOKUP(A2103,Skills!$A:$M,13,FALSE()),"")="COS",0,IF(OR(I2103="En cours",I2103="À venir",I2103="À planifier"),IF(AND(OR($C$3="Tous",$C$3="",C2103=$C$3),OR($E$3="Tous",$E$3="",I2103=$E$3)),1,0),0)))</f>
        <v>0</v>
      </c>
      <c r="L2103" s="104" t="n">
        <f aca="false">L2102+K2103</f>
        <v>19</v>
      </c>
    </row>
    <row r="2104" customFormat="false" ht="15" hidden="true" customHeight="true" outlineLevel="0" collapsed="false">
      <c r="F2104" s="116"/>
      <c r="G2104" s="116"/>
      <c r="K2104" s="104" t="n">
        <f aca="false">IF(A2104="",0,IF(IFERROR(VLOOKUP(A2104,Skills!$A:$M,13,FALSE()),"")="COS",0,IF(OR(I2104="En cours",I2104="À venir",I2104="À planifier"),IF(AND(OR($C$3="Tous",$C$3="",C2104=$C$3),OR($E$3="Tous",$E$3="",I2104=$E$3)),1,0),0)))</f>
        <v>0</v>
      </c>
      <c r="L2104" s="104" t="n">
        <f aca="false">L2103+K2104</f>
        <v>19</v>
      </c>
    </row>
    <row r="2105" customFormat="false" ht="15" hidden="true" customHeight="true" outlineLevel="0" collapsed="false">
      <c r="F2105" s="116"/>
      <c r="G2105" s="116"/>
      <c r="K2105" s="104" t="n">
        <f aca="false">IF(A2105="",0,IF(IFERROR(VLOOKUP(A2105,Skills!$A:$M,13,FALSE()),"")="COS",0,IF(OR(I2105="En cours",I2105="À venir",I2105="À planifier"),IF(AND(OR($C$3="Tous",$C$3="",C2105=$C$3),OR($E$3="Tous",$E$3="",I2105=$E$3)),1,0),0)))</f>
        <v>0</v>
      </c>
      <c r="L2105" s="104" t="n">
        <f aca="false">L2104+K2105</f>
        <v>19</v>
      </c>
    </row>
    <row r="2106" customFormat="false" ht="15" hidden="true" customHeight="true" outlineLevel="0" collapsed="false">
      <c r="F2106" s="116"/>
      <c r="G2106" s="116"/>
      <c r="K2106" s="104" t="n">
        <f aca="false">IF(A2106="",0,IF(IFERROR(VLOOKUP(A2106,Skills!$A:$M,13,FALSE()),"")="COS",0,IF(OR(I2106="En cours",I2106="À venir",I2106="À planifier"),IF(AND(OR($C$3="Tous",$C$3="",C2106=$C$3),OR($E$3="Tous",$E$3="",I2106=$E$3)),1,0),0)))</f>
        <v>0</v>
      </c>
      <c r="L2106" s="104" t="n">
        <f aca="false">L2105+K2106</f>
        <v>19</v>
      </c>
    </row>
    <row r="2107" customFormat="false" ht="15" hidden="true" customHeight="true" outlineLevel="0" collapsed="false">
      <c r="F2107" s="116"/>
      <c r="G2107" s="116"/>
      <c r="K2107" s="104" t="n">
        <f aca="false">IF(A2107="",0,IF(IFERROR(VLOOKUP(A2107,Skills!$A:$M,13,FALSE()),"")="COS",0,IF(OR(I2107="En cours",I2107="À venir",I2107="À planifier"),IF(AND(OR($C$3="Tous",$C$3="",C2107=$C$3),OR($E$3="Tous",$E$3="",I2107=$E$3)),1,0),0)))</f>
        <v>0</v>
      </c>
      <c r="L2107" s="104" t="n">
        <f aca="false">L2106+K2107</f>
        <v>19</v>
      </c>
    </row>
    <row r="2108" customFormat="false" ht="15" hidden="true" customHeight="true" outlineLevel="0" collapsed="false">
      <c r="F2108" s="116"/>
      <c r="G2108" s="116"/>
      <c r="K2108" s="104" t="n">
        <f aca="false">IF(A2108="",0,IF(IFERROR(VLOOKUP(A2108,Skills!$A:$M,13,FALSE()),"")="COS",0,IF(OR(I2108="En cours",I2108="À venir",I2108="À planifier"),IF(AND(OR($C$3="Tous",$C$3="",C2108=$C$3),OR($E$3="Tous",$E$3="",I2108=$E$3)),1,0),0)))</f>
        <v>0</v>
      </c>
      <c r="L2108" s="104" t="n">
        <f aca="false">L2107+K2108</f>
        <v>19</v>
      </c>
    </row>
    <row r="2109" customFormat="false" ht="15" hidden="true" customHeight="true" outlineLevel="0" collapsed="false">
      <c r="F2109" s="116"/>
      <c r="G2109" s="116"/>
      <c r="K2109" s="104" t="n">
        <f aca="false">IF(A2109="",0,IF(IFERROR(VLOOKUP(A2109,Skills!$A:$M,13,FALSE()),"")="COS",0,IF(OR(I2109="En cours",I2109="À venir",I2109="À planifier"),IF(AND(OR($C$3="Tous",$C$3="",C2109=$C$3),OR($E$3="Tous",$E$3="",I2109=$E$3)),1,0),0)))</f>
        <v>0</v>
      </c>
      <c r="L2109" s="104" t="n">
        <f aca="false">L2108+K2109</f>
        <v>19</v>
      </c>
    </row>
    <row r="2110" customFormat="false" ht="15" hidden="true" customHeight="true" outlineLevel="0" collapsed="false">
      <c r="F2110" s="116"/>
      <c r="G2110" s="116"/>
      <c r="K2110" s="104" t="n">
        <f aca="false">IF(A2110="",0,IF(IFERROR(VLOOKUP(A2110,Skills!$A:$M,13,FALSE()),"")="COS",0,IF(OR(I2110="En cours",I2110="À venir",I2110="À planifier"),IF(AND(OR($C$3="Tous",$C$3="",C2110=$C$3),OR($E$3="Tous",$E$3="",I2110=$E$3)),1,0),0)))</f>
        <v>0</v>
      </c>
      <c r="L2110" s="104" t="n">
        <f aca="false">L2109+K2110</f>
        <v>19</v>
      </c>
    </row>
    <row r="2111" customFormat="false" ht="15" hidden="true" customHeight="true" outlineLevel="0" collapsed="false">
      <c r="F2111" s="116"/>
      <c r="G2111" s="116"/>
      <c r="K2111" s="104" t="n">
        <f aca="false">IF(A2111="",0,IF(IFERROR(VLOOKUP(A2111,Skills!$A:$M,13,FALSE()),"")="COS",0,IF(OR(I2111="En cours",I2111="À venir",I2111="À planifier"),IF(AND(OR($C$3="Tous",$C$3="",C2111=$C$3),OR($E$3="Tous",$E$3="",I2111=$E$3)),1,0),0)))</f>
        <v>0</v>
      </c>
      <c r="L2111" s="104" t="n">
        <f aca="false">L2110+K2111</f>
        <v>19</v>
      </c>
    </row>
    <row r="2112" customFormat="false" ht="15" hidden="true" customHeight="true" outlineLevel="0" collapsed="false">
      <c r="F2112" s="116"/>
      <c r="G2112" s="116"/>
      <c r="K2112" s="104" t="n">
        <f aca="false">IF(A2112="",0,IF(IFERROR(VLOOKUP(A2112,Skills!$A:$M,13,FALSE()),"")="COS",0,IF(OR(I2112="En cours",I2112="À venir",I2112="À planifier"),IF(AND(OR($C$3="Tous",$C$3="",C2112=$C$3),OR($E$3="Tous",$E$3="",I2112=$E$3)),1,0),0)))</f>
        <v>0</v>
      </c>
      <c r="L2112" s="104" t="n">
        <f aca="false">L2111+K2112</f>
        <v>19</v>
      </c>
    </row>
    <row r="2113" customFormat="false" ht="15" hidden="true" customHeight="true" outlineLevel="0" collapsed="false">
      <c r="F2113" s="116"/>
      <c r="G2113" s="116"/>
      <c r="K2113" s="104" t="n">
        <f aca="false">IF(A2113="",0,IF(IFERROR(VLOOKUP(A2113,Skills!$A:$M,13,FALSE()),"")="COS",0,IF(OR(I2113="En cours",I2113="À venir",I2113="À planifier"),IF(AND(OR($C$3="Tous",$C$3="",C2113=$C$3),OR($E$3="Tous",$E$3="",I2113=$E$3)),1,0),0)))</f>
        <v>0</v>
      </c>
      <c r="L2113" s="104" t="n">
        <f aca="false">L2112+K2113</f>
        <v>19</v>
      </c>
    </row>
    <row r="2114" customFormat="false" ht="15" hidden="true" customHeight="true" outlineLevel="0" collapsed="false">
      <c r="F2114" s="116"/>
      <c r="G2114" s="116"/>
      <c r="K2114" s="104" t="n">
        <f aca="false">IF(A2114="",0,IF(IFERROR(VLOOKUP(A2114,Skills!$A:$M,13,FALSE()),"")="COS",0,IF(OR(I2114="En cours",I2114="À venir",I2114="À planifier"),IF(AND(OR($C$3="Tous",$C$3="",C2114=$C$3),OR($E$3="Tous",$E$3="",I2114=$E$3)),1,0),0)))</f>
        <v>0</v>
      </c>
      <c r="L2114" s="104" t="n">
        <f aca="false">L2113+K2114</f>
        <v>19</v>
      </c>
    </row>
    <row r="2115" customFormat="false" ht="15" hidden="true" customHeight="true" outlineLevel="0" collapsed="false">
      <c r="F2115" s="116"/>
      <c r="G2115" s="116"/>
      <c r="K2115" s="104" t="n">
        <f aca="false">IF(A2115="",0,IF(IFERROR(VLOOKUP(A2115,Skills!$A:$M,13,FALSE()),"")="COS",0,IF(OR(I2115="En cours",I2115="À venir",I2115="À planifier"),IF(AND(OR($C$3="Tous",$C$3="",C2115=$C$3),OR($E$3="Tous",$E$3="",I2115=$E$3)),1,0),0)))</f>
        <v>0</v>
      </c>
      <c r="L2115" s="104" t="n">
        <f aca="false">L2114+K2115</f>
        <v>19</v>
      </c>
    </row>
    <row r="2116" customFormat="false" ht="15" hidden="true" customHeight="true" outlineLevel="0" collapsed="false">
      <c r="F2116" s="116"/>
      <c r="G2116" s="116"/>
      <c r="K2116" s="104" t="n">
        <f aca="false">IF(A2116="",0,IF(IFERROR(VLOOKUP(A2116,Skills!$A:$M,13,FALSE()),"")="COS",0,IF(OR(I2116="En cours",I2116="À venir",I2116="À planifier"),IF(AND(OR($C$3="Tous",$C$3="",C2116=$C$3),OR($E$3="Tous",$E$3="",I2116=$E$3)),1,0),0)))</f>
        <v>0</v>
      </c>
      <c r="L2116" s="104" t="n">
        <f aca="false">L2115+K2116</f>
        <v>19</v>
      </c>
    </row>
    <row r="2117" customFormat="false" ht="15" hidden="true" customHeight="true" outlineLevel="0" collapsed="false">
      <c r="F2117" s="116"/>
      <c r="G2117" s="116"/>
      <c r="K2117" s="104" t="n">
        <f aca="false">IF(A2117="",0,IF(IFERROR(VLOOKUP(A2117,Skills!$A:$M,13,FALSE()),"")="COS",0,IF(OR(I2117="En cours",I2117="À venir",I2117="À planifier"),IF(AND(OR($C$3="Tous",$C$3="",C2117=$C$3),OR($E$3="Tous",$E$3="",I2117=$E$3)),1,0),0)))</f>
        <v>0</v>
      </c>
      <c r="L2117" s="104" t="n">
        <f aca="false">L2116+K2117</f>
        <v>19</v>
      </c>
    </row>
    <row r="2118" customFormat="false" ht="15" hidden="true" customHeight="true" outlineLevel="0" collapsed="false">
      <c r="F2118" s="116"/>
      <c r="G2118" s="116"/>
      <c r="K2118" s="104" t="n">
        <f aca="false">IF(A2118="",0,IF(IFERROR(VLOOKUP(A2118,Skills!$A:$M,13,FALSE()),"")="COS",0,IF(OR(I2118="En cours",I2118="À venir",I2118="À planifier"),IF(AND(OR($C$3="Tous",$C$3="",C2118=$C$3),OR($E$3="Tous",$E$3="",I2118=$E$3)),1,0),0)))</f>
        <v>0</v>
      </c>
      <c r="L2118" s="104" t="n">
        <f aca="false">L2117+K2118</f>
        <v>19</v>
      </c>
    </row>
    <row r="2119" customFormat="false" ht="15" hidden="true" customHeight="true" outlineLevel="0" collapsed="false">
      <c r="F2119" s="116"/>
      <c r="G2119" s="116"/>
      <c r="K2119" s="104" t="n">
        <f aca="false">IF(A2119="",0,IF(IFERROR(VLOOKUP(A2119,Skills!$A:$M,13,FALSE()),"")="COS",0,IF(OR(I2119="En cours",I2119="À venir",I2119="À planifier"),IF(AND(OR($C$3="Tous",$C$3="",C2119=$C$3),OR($E$3="Tous",$E$3="",I2119=$E$3)),1,0),0)))</f>
        <v>0</v>
      </c>
      <c r="L2119" s="104" t="n">
        <f aca="false">L2118+K2119</f>
        <v>19</v>
      </c>
    </row>
    <row r="2120" customFormat="false" ht="15" hidden="true" customHeight="true" outlineLevel="0" collapsed="false">
      <c r="F2120" s="116"/>
      <c r="G2120" s="116"/>
      <c r="K2120" s="104" t="n">
        <f aca="false">IF(A2120="",0,IF(IFERROR(VLOOKUP(A2120,Skills!$A:$M,13,FALSE()),"")="COS",0,IF(OR(I2120="En cours",I2120="À venir",I2120="À planifier"),IF(AND(OR($C$3="Tous",$C$3="",C2120=$C$3),OR($E$3="Tous",$E$3="",I2120=$E$3)),1,0),0)))</f>
        <v>0</v>
      </c>
      <c r="L2120" s="104" t="n">
        <f aca="false">L2119+K2120</f>
        <v>19</v>
      </c>
    </row>
    <row r="2121" customFormat="false" ht="15" hidden="true" customHeight="true" outlineLevel="0" collapsed="false">
      <c r="F2121" s="116"/>
      <c r="G2121" s="116"/>
      <c r="K2121" s="104" t="n">
        <f aca="false">IF(A2121="",0,IF(IFERROR(VLOOKUP(A2121,Skills!$A:$M,13,FALSE()),"")="COS",0,IF(OR(I2121="En cours",I2121="À venir",I2121="À planifier"),IF(AND(OR($C$3="Tous",$C$3="",C2121=$C$3),OR($E$3="Tous",$E$3="",I2121=$E$3)),1,0),0)))</f>
        <v>0</v>
      </c>
      <c r="L2121" s="104" t="n">
        <f aca="false">L2120+K2121</f>
        <v>19</v>
      </c>
    </row>
    <row r="2122" customFormat="false" ht="15" hidden="true" customHeight="true" outlineLevel="0" collapsed="false">
      <c r="F2122" s="116"/>
      <c r="G2122" s="116"/>
      <c r="K2122" s="104" t="n">
        <f aca="false">IF(A2122="",0,IF(IFERROR(VLOOKUP(A2122,Skills!$A:$M,13,FALSE()),"")="COS",0,IF(OR(I2122="En cours",I2122="À venir",I2122="À planifier"),IF(AND(OR($C$3="Tous",$C$3="",C2122=$C$3),OR($E$3="Tous",$E$3="",I2122=$E$3)),1,0),0)))</f>
        <v>0</v>
      </c>
      <c r="L2122" s="104" t="n">
        <f aca="false">L2121+K2122</f>
        <v>19</v>
      </c>
    </row>
    <row r="2123" customFormat="false" ht="15" hidden="true" customHeight="true" outlineLevel="0" collapsed="false">
      <c r="F2123" s="116"/>
      <c r="G2123" s="116"/>
      <c r="K2123" s="104" t="n">
        <f aca="false">IF(A2123="",0,IF(IFERROR(VLOOKUP(A2123,Skills!$A:$M,13,FALSE()),"")="COS",0,IF(OR(I2123="En cours",I2123="À venir",I2123="À planifier"),IF(AND(OR($C$3="Tous",$C$3="",C2123=$C$3),OR($E$3="Tous",$E$3="",I2123=$E$3)),1,0),0)))</f>
        <v>0</v>
      </c>
      <c r="L2123" s="104" t="n">
        <f aca="false">L2122+K2123</f>
        <v>19</v>
      </c>
    </row>
    <row r="2124" customFormat="false" ht="15" hidden="true" customHeight="true" outlineLevel="0" collapsed="false">
      <c r="F2124" s="116"/>
      <c r="G2124" s="116"/>
      <c r="K2124" s="104" t="n">
        <f aca="false">IF(A2124="",0,IF(IFERROR(VLOOKUP(A2124,Skills!$A:$M,13,FALSE()),"")="COS",0,IF(OR(I2124="En cours",I2124="À venir",I2124="À planifier"),IF(AND(OR($C$3="Tous",$C$3="",C2124=$C$3),OR($E$3="Tous",$E$3="",I2124=$E$3)),1,0),0)))</f>
        <v>0</v>
      </c>
      <c r="L2124" s="104" t="n">
        <f aca="false">L2123+K2124</f>
        <v>19</v>
      </c>
    </row>
    <row r="2125" customFormat="false" ht="15" hidden="true" customHeight="true" outlineLevel="0" collapsed="false">
      <c r="F2125" s="116"/>
      <c r="G2125" s="116"/>
      <c r="K2125" s="104" t="n">
        <f aca="false">IF(A2125="",0,IF(IFERROR(VLOOKUP(A2125,Skills!$A:$M,13,FALSE()),"")="COS",0,IF(OR(I2125="En cours",I2125="À venir",I2125="À planifier"),IF(AND(OR($C$3="Tous",$C$3="",C2125=$C$3),OR($E$3="Tous",$E$3="",I2125=$E$3)),1,0),0)))</f>
        <v>0</v>
      </c>
      <c r="L2125" s="104" t="n">
        <f aca="false">L2124+K2125</f>
        <v>19</v>
      </c>
    </row>
    <row r="2126" customFormat="false" ht="15" hidden="true" customHeight="true" outlineLevel="0" collapsed="false">
      <c r="F2126" s="116"/>
      <c r="G2126" s="116"/>
      <c r="K2126" s="104" t="n">
        <f aca="false">IF(A2126="",0,IF(IFERROR(VLOOKUP(A2126,Skills!$A:$M,13,FALSE()),"")="COS",0,IF(OR(I2126="En cours",I2126="À venir",I2126="À planifier"),IF(AND(OR($C$3="Tous",$C$3="",C2126=$C$3),OR($E$3="Tous",$E$3="",I2126=$E$3)),1,0),0)))</f>
        <v>0</v>
      </c>
      <c r="L2126" s="104" t="n">
        <f aca="false">L2125+K2126</f>
        <v>19</v>
      </c>
    </row>
    <row r="2127" customFormat="false" ht="15" hidden="true" customHeight="true" outlineLevel="0" collapsed="false">
      <c r="F2127" s="116"/>
      <c r="G2127" s="116"/>
      <c r="K2127" s="104" t="n">
        <f aca="false">IF(A2127="",0,IF(IFERROR(VLOOKUP(A2127,Skills!$A:$M,13,FALSE()),"")="COS",0,IF(OR(I2127="En cours",I2127="À venir",I2127="À planifier"),IF(AND(OR($C$3="Tous",$C$3="",C2127=$C$3),OR($E$3="Tous",$E$3="",I2127=$E$3)),1,0),0)))</f>
        <v>0</v>
      </c>
      <c r="L2127" s="104" t="n">
        <f aca="false">L2126+K2127</f>
        <v>19</v>
      </c>
    </row>
    <row r="2128" customFormat="false" ht="15" hidden="true" customHeight="true" outlineLevel="0" collapsed="false">
      <c r="F2128" s="116"/>
      <c r="G2128" s="116"/>
      <c r="K2128" s="104" t="n">
        <f aca="false">IF(A2128="",0,IF(IFERROR(VLOOKUP(A2128,Skills!$A:$M,13,FALSE()),"")="COS",0,IF(OR(I2128="En cours",I2128="À venir",I2128="À planifier"),IF(AND(OR($C$3="Tous",$C$3="",C2128=$C$3),OR($E$3="Tous",$E$3="",I2128=$E$3)),1,0),0)))</f>
        <v>0</v>
      </c>
      <c r="L2128" s="104" t="n">
        <f aca="false">L2127+K2128</f>
        <v>19</v>
      </c>
    </row>
    <row r="2129" customFormat="false" ht="15" hidden="true" customHeight="true" outlineLevel="0" collapsed="false">
      <c r="F2129" s="116"/>
      <c r="G2129" s="116"/>
      <c r="K2129" s="104" t="n">
        <f aca="false">IF(A2129="",0,IF(IFERROR(VLOOKUP(A2129,Skills!$A:$M,13,FALSE()),"")="COS",0,IF(OR(I2129="En cours",I2129="À venir",I2129="À planifier"),IF(AND(OR($C$3="Tous",$C$3="",C2129=$C$3),OR($E$3="Tous",$E$3="",I2129=$E$3)),1,0),0)))</f>
        <v>0</v>
      </c>
      <c r="L2129" s="104" t="n">
        <f aca="false">L2128+K2129</f>
        <v>19</v>
      </c>
    </row>
    <row r="2130" customFormat="false" ht="15" hidden="true" customHeight="true" outlineLevel="0" collapsed="false">
      <c r="F2130" s="116"/>
      <c r="G2130" s="116"/>
      <c r="K2130" s="104" t="n">
        <f aca="false">IF(A2130="",0,IF(IFERROR(VLOOKUP(A2130,Skills!$A:$M,13,FALSE()),"")="COS",0,IF(OR(I2130="En cours",I2130="À venir",I2130="À planifier"),IF(AND(OR($C$3="Tous",$C$3="",C2130=$C$3),OR($E$3="Tous",$E$3="",I2130=$E$3)),1,0),0)))</f>
        <v>0</v>
      </c>
      <c r="L2130" s="104" t="n">
        <f aca="false">L2129+K2130</f>
        <v>19</v>
      </c>
    </row>
    <row r="2131" customFormat="false" ht="15" hidden="true" customHeight="true" outlineLevel="0" collapsed="false">
      <c r="F2131" s="116"/>
      <c r="G2131" s="116"/>
      <c r="K2131" s="104" t="n">
        <f aca="false">IF(A2131="",0,IF(IFERROR(VLOOKUP(A2131,Skills!$A:$M,13,FALSE()),"")="COS",0,IF(OR(I2131="En cours",I2131="À venir",I2131="À planifier"),IF(AND(OR($C$3="Tous",$C$3="",C2131=$C$3),OR($E$3="Tous",$E$3="",I2131=$E$3)),1,0),0)))</f>
        <v>0</v>
      </c>
      <c r="L2131" s="104" t="n">
        <f aca="false">L2130+K2131</f>
        <v>19</v>
      </c>
    </row>
    <row r="2132" customFormat="false" ht="15" hidden="true" customHeight="true" outlineLevel="0" collapsed="false">
      <c r="F2132" s="116"/>
      <c r="G2132" s="116"/>
      <c r="K2132" s="104" t="n">
        <f aca="false">IF(A2132="",0,IF(IFERROR(VLOOKUP(A2132,Skills!$A:$M,13,FALSE()),"")="COS",0,IF(OR(I2132="En cours",I2132="À venir",I2132="À planifier"),IF(AND(OR($C$3="Tous",$C$3="",C2132=$C$3),OR($E$3="Tous",$E$3="",I2132=$E$3)),1,0),0)))</f>
        <v>0</v>
      </c>
      <c r="L2132" s="104" t="n">
        <f aca="false">L2131+K2132</f>
        <v>19</v>
      </c>
    </row>
    <row r="2133" customFormat="false" ht="15" hidden="true" customHeight="true" outlineLevel="0" collapsed="false">
      <c r="F2133" s="116"/>
      <c r="G2133" s="116"/>
      <c r="K2133" s="104" t="n">
        <f aca="false">IF(A2133="",0,IF(IFERROR(VLOOKUP(A2133,Skills!$A:$M,13,FALSE()),"")="COS",0,IF(OR(I2133="En cours",I2133="À venir",I2133="À planifier"),IF(AND(OR($C$3="Tous",$C$3="",C2133=$C$3),OR($E$3="Tous",$E$3="",I2133=$E$3)),1,0),0)))</f>
        <v>0</v>
      </c>
      <c r="L2133" s="104" t="n">
        <f aca="false">L2132+K2133</f>
        <v>19</v>
      </c>
    </row>
    <row r="2134" customFormat="false" ht="15" hidden="true" customHeight="true" outlineLevel="0" collapsed="false">
      <c r="F2134" s="116"/>
      <c r="G2134" s="116"/>
      <c r="K2134" s="104" t="n">
        <f aca="false">IF(A2134="",0,IF(IFERROR(VLOOKUP(A2134,Skills!$A:$M,13,FALSE()),"")="COS",0,IF(OR(I2134="En cours",I2134="À venir",I2134="À planifier"),IF(AND(OR($C$3="Tous",$C$3="",C2134=$C$3),OR($E$3="Tous",$E$3="",I2134=$E$3)),1,0),0)))</f>
        <v>0</v>
      </c>
      <c r="L2134" s="104" t="n">
        <f aca="false">L2133+K2134</f>
        <v>19</v>
      </c>
    </row>
    <row r="2135" customFormat="false" ht="15" hidden="true" customHeight="true" outlineLevel="0" collapsed="false">
      <c r="F2135" s="116"/>
      <c r="G2135" s="116"/>
      <c r="K2135" s="104" t="n">
        <f aca="false">IF(A2135="",0,IF(IFERROR(VLOOKUP(A2135,Skills!$A:$M,13,FALSE()),"")="COS",0,IF(OR(I2135="En cours",I2135="À venir",I2135="À planifier"),IF(AND(OR($C$3="Tous",$C$3="",C2135=$C$3),OR($E$3="Tous",$E$3="",I2135=$E$3)),1,0),0)))</f>
        <v>0</v>
      </c>
      <c r="L2135" s="104" t="n">
        <f aca="false">L2134+K2135</f>
        <v>19</v>
      </c>
    </row>
    <row r="2136" customFormat="false" ht="15" hidden="true" customHeight="true" outlineLevel="0" collapsed="false">
      <c r="F2136" s="116"/>
      <c r="G2136" s="116"/>
      <c r="K2136" s="104" t="n">
        <f aca="false">IF(A2136="",0,IF(IFERROR(VLOOKUP(A2136,Skills!$A:$M,13,FALSE()),"")="COS",0,IF(OR(I2136="En cours",I2136="À venir",I2136="À planifier"),IF(AND(OR($C$3="Tous",$C$3="",C2136=$C$3),OR($E$3="Tous",$E$3="",I2136=$E$3)),1,0),0)))</f>
        <v>0</v>
      </c>
      <c r="L2136" s="104" t="n">
        <f aca="false">L2135+K2136</f>
        <v>19</v>
      </c>
    </row>
    <row r="2137" customFormat="false" ht="15" hidden="true" customHeight="true" outlineLevel="0" collapsed="false">
      <c r="F2137" s="116"/>
      <c r="G2137" s="116"/>
      <c r="K2137" s="104" t="n">
        <f aca="false">IF(A2137="",0,IF(IFERROR(VLOOKUP(A2137,Skills!$A:$M,13,FALSE()),"")="COS",0,IF(OR(I2137="En cours",I2137="À venir",I2137="À planifier"),IF(AND(OR($C$3="Tous",$C$3="",C2137=$C$3),OR($E$3="Tous",$E$3="",I2137=$E$3)),1,0),0)))</f>
        <v>0</v>
      </c>
      <c r="L2137" s="104" t="n">
        <f aca="false">L2136+K2137</f>
        <v>19</v>
      </c>
    </row>
    <row r="2138" customFormat="false" ht="15" hidden="true" customHeight="true" outlineLevel="0" collapsed="false">
      <c r="F2138" s="116"/>
      <c r="G2138" s="116"/>
      <c r="K2138" s="104" t="n">
        <f aca="false">IF(A2138="",0,IF(IFERROR(VLOOKUP(A2138,Skills!$A:$M,13,FALSE()),"")="COS",0,IF(OR(I2138="En cours",I2138="À venir",I2138="À planifier"),IF(AND(OR($C$3="Tous",$C$3="",C2138=$C$3),OR($E$3="Tous",$E$3="",I2138=$E$3)),1,0),0)))</f>
        <v>0</v>
      </c>
      <c r="L2138" s="104" t="n">
        <f aca="false">L2137+K2138</f>
        <v>19</v>
      </c>
    </row>
    <row r="2139" customFormat="false" ht="15" hidden="true" customHeight="true" outlineLevel="0" collapsed="false">
      <c r="F2139" s="116"/>
      <c r="G2139" s="116"/>
      <c r="K2139" s="104" t="n">
        <f aca="false">IF(A2139="",0,IF(IFERROR(VLOOKUP(A2139,Skills!$A:$M,13,FALSE()),"")="COS",0,IF(OR(I2139="En cours",I2139="À venir",I2139="À planifier"),IF(AND(OR($C$3="Tous",$C$3="",C2139=$C$3),OR($E$3="Tous",$E$3="",I2139=$E$3)),1,0),0)))</f>
        <v>0</v>
      </c>
      <c r="L2139" s="104" t="n">
        <f aca="false">L2138+K2139</f>
        <v>19</v>
      </c>
    </row>
    <row r="2140" customFormat="false" ht="15" hidden="true" customHeight="true" outlineLevel="0" collapsed="false">
      <c r="F2140" s="116"/>
      <c r="G2140" s="116"/>
      <c r="K2140" s="104" t="n">
        <f aca="false">IF(A2140="",0,IF(IFERROR(VLOOKUP(A2140,Skills!$A:$M,13,FALSE()),"")="COS",0,IF(OR(I2140="En cours",I2140="À venir",I2140="À planifier"),IF(AND(OR($C$3="Tous",$C$3="",C2140=$C$3),OR($E$3="Tous",$E$3="",I2140=$E$3)),1,0),0)))</f>
        <v>0</v>
      </c>
      <c r="L2140" s="104" t="n">
        <f aca="false">L2139+K2140</f>
        <v>19</v>
      </c>
    </row>
    <row r="2141" customFormat="false" ht="15" hidden="true" customHeight="true" outlineLevel="0" collapsed="false">
      <c r="F2141" s="116"/>
      <c r="G2141" s="116"/>
      <c r="K2141" s="104" t="n">
        <f aca="false">IF(A2141="",0,IF(IFERROR(VLOOKUP(A2141,Skills!$A:$M,13,FALSE()),"")="COS",0,IF(OR(I2141="En cours",I2141="À venir",I2141="À planifier"),IF(AND(OR($C$3="Tous",$C$3="",C2141=$C$3),OR($E$3="Tous",$E$3="",I2141=$E$3)),1,0),0)))</f>
        <v>0</v>
      </c>
      <c r="L2141" s="104" t="n">
        <f aca="false">L2140+K2141</f>
        <v>19</v>
      </c>
    </row>
    <row r="2142" customFormat="false" ht="15" hidden="true" customHeight="true" outlineLevel="0" collapsed="false">
      <c r="F2142" s="116"/>
      <c r="G2142" s="116"/>
      <c r="K2142" s="104" t="n">
        <f aca="false">IF(A2142="",0,IF(IFERROR(VLOOKUP(A2142,Skills!$A:$M,13,FALSE()),"")="COS",0,IF(OR(I2142="En cours",I2142="À venir",I2142="À planifier"),IF(AND(OR($C$3="Tous",$C$3="",C2142=$C$3),OR($E$3="Tous",$E$3="",I2142=$E$3)),1,0),0)))</f>
        <v>0</v>
      </c>
      <c r="L2142" s="104" t="n">
        <f aca="false">L2141+K2142</f>
        <v>19</v>
      </c>
    </row>
    <row r="2143" customFormat="false" ht="15" hidden="true" customHeight="true" outlineLevel="0" collapsed="false">
      <c r="F2143" s="116"/>
      <c r="G2143" s="116"/>
      <c r="K2143" s="104" t="n">
        <f aca="false">IF(A2143="",0,IF(IFERROR(VLOOKUP(A2143,Skills!$A:$M,13,FALSE()),"")="COS",0,IF(OR(I2143="En cours",I2143="À venir",I2143="À planifier"),IF(AND(OR($C$3="Tous",$C$3="",C2143=$C$3),OR($E$3="Tous",$E$3="",I2143=$E$3)),1,0),0)))</f>
        <v>0</v>
      </c>
      <c r="L2143" s="104" t="n">
        <f aca="false">L2142+K2143</f>
        <v>19</v>
      </c>
    </row>
    <row r="2144" customFormat="false" ht="15" hidden="true" customHeight="true" outlineLevel="0" collapsed="false">
      <c r="F2144" s="116"/>
      <c r="G2144" s="116"/>
      <c r="K2144" s="104" t="n">
        <f aca="false">IF(A2144="",0,IF(IFERROR(VLOOKUP(A2144,Skills!$A:$M,13,FALSE()),"")="COS",0,IF(OR(I2144="En cours",I2144="À venir",I2144="À planifier"),IF(AND(OR($C$3="Tous",$C$3="",C2144=$C$3),OR($E$3="Tous",$E$3="",I2144=$E$3)),1,0),0)))</f>
        <v>0</v>
      </c>
      <c r="L2144" s="104" t="n">
        <f aca="false">L2143+K2144</f>
        <v>19</v>
      </c>
    </row>
    <row r="2145" customFormat="false" ht="15" hidden="true" customHeight="true" outlineLevel="0" collapsed="false">
      <c r="F2145" s="116"/>
      <c r="G2145" s="116"/>
      <c r="K2145" s="104" t="n">
        <f aca="false">IF(A2145="",0,IF(IFERROR(VLOOKUP(A2145,Skills!$A:$M,13,FALSE()),"")="COS",0,IF(OR(I2145="En cours",I2145="À venir",I2145="À planifier"),IF(AND(OR($C$3="Tous",$C$3="",C2145=$C$3),OR($E$3="Tous",$E$3="",I2145=$E$3)),1,0),0)))</f>
        <v>0</v>
      </c>
      <c r="L2145" s="104" t="n">
        <f aca="false">L2144+K2145</f>
        <v>19</v>
      </c>
    </row>
    <row r="2146" customFormat="false" ht="15" hidden="true" customHeight="true" outlineLevel="0" collapsed="false">
      <c r="F2146" s="116"/>
      <c r="G2146" s="116"/>
      <c r="K2146" s="104" t="n">
        <f aca="false">IF(A2146="",0,IF(IFERROR(VLOOKUP(A2146,Skills!$A:$M,13,FALSE()),"")="COS",0,IF(OR(I2146="En cours",I2146="À venir",I2146="À planifier"),IF(AND(OR($C$3="Tous",$C$3="",C2146=$C$3),OR($E$3="Tous",$E$3="",I2146=$E$3)),1,0),0)))</f>
        <v>0</v>
      </c>
      <c r="L2146" s="104" t="n">
        <f aca="false">L2145+K2146</f>
        <v>19</v>
      </c>
    </row>
    <row r="2147" customFormat="false" ht="15" hidden="true" customHeight="true" outlineLevel="0" collapsed="false">
      <c r="F2147" s="116"/>
      <c r="G2147" s="116"/>
      <c r="K2147" s="104" t="n">
        <f aca="false">IF(A2147="",0,IF(IFERROR(VLOOKUP(A2147,Skills!$A:$M,13,FALSE()),"")="COS",0,IF(OR(I2147="En cours",I2147="À venir",I2147="À planifier"),IF(AND(OR($C$3="Tous",$C$3="",C2147=$C$3),OR($E$3="Tous",$E$3="",I2147=$E$3)),1,0),0)))</f>
        <v>0</v>
      </c>
      <c r="L2147" s="104" t="n">
        <f aca="false">L2146+K2147</f>
        <v>19</v>
      </c>
    </row>
    <row r="2148" customFormat="false" ht="15" hidden="true" customHeight="true" outlineLevel="0" collapsed="false">
      <c r="F2148" s="116"/>
      <c r="G2148" s="116"/>
      <c r="K2148" s="104" t="n">
        <f aca="false">IF(A2148="",0,IF(IFERROR(VLOOKUP(A2148,Skills!$A:$M,13,FALSE()),"")="COS",0,IF(OR(I2148="En cours",I2148="À venir",I2148="À planifier"),IF(AND(OR($C$3="Tous",$C$3="",C2148=$C$3),OR($E$3="Tous",$E$3="",I2148=$E$3)),1,0),0)))</f>
        <v>0</v>
      </c>
      <c r="L2148" s="104" t="n">
        <f aca="false">L2147+K2148</f>
        <v>19</v>
      </c>
    </row>
    <row r="2149" customFormat="false" ht="15" hidden="true" customHeight="true" outlineLevel="0" collapsed="false">
      <c r="F2149" s="116"/>
      <c r="G2149" s="116"/>
      <c r="K2149" s="104" t="n">
        <f aca="false">IF(A2149="",0,IF(IFERROR(VLOOKUP(A2149,Skills!$A:$M,13,FALSE()),"")="COS",0,IF(OR(I2149="En cours",I2149="À venir",I2149="À planifier"),IF(AND(OR($C$3="Tous",$C$3="",C2149=$C$3),OR($E$3="Tous",$E$3="",I2149=$E$3)),1,0),0)))</f>
        <v>0</v>
      </c>
      <c r="L2149" s="104" t="n">
        <f aca="false">L2148+K2149</f>
        <v>19</v>
      </c>
    </row>
    <row r="2150" customFormat="false" ht="15" hidden="true" customHeight="true" outlineLevel="0" collapsed="false">
      <c r="F2150" s="116"/>
      <c r="G2150" s="116"/>
      <c r="K2150" s="104" t="n">
        <f aca="false">IF(A2150="",0,IF(IFERROR(VLOOKUP(A2150,Skills!$A:$M,13,FALSE()),"")="COS",0,IF(OR(I2150="En cours",I2150="À venir",I2150="À planifier"),IF(AND(OR($C$3="Tous",$C$3="",C2150=$C$3),OR($E$3="Tous",$E$3="",I2150=$E$3)),1,0),0)))</f>
        <v>0</v>
      </c>
      <c r="L2150" s="104" t="n">
        <f aca="false">L2149+K2150</f>
        <v>19</v>
      </c>
    </row>
    <row r="2151" customFormat="false" ht="15" hidden="true" customHeight="true" outlineLevel="0" collapsed="false">
      <c r="F2151" s="116"/>
      <c r="G2151" s="116"/>
      <c r="K2151" s="104" t="n">
        <f aca="false">IF(A2151="",0,IF(IFERROR(VLOOKUP(A2151,Skills!$A:$M,13,FALSE()),"")="COS",0,IF(OR(I2151="En cours",I2151="À venir",I2151="À planifier"),IF(AND(OR($C$3="Tous",$C$3="",C2151=$C$3),OR($E$3="Tous",$E$3="",I2151=$E$3)),1,0),0)))</f>
        <v>0</v>
      </c>
      <c r="L2151" s="104" t="n">
        <f aca="false">L2150+K2151</f>
        <v>19</v>
      </c>
    </row>
    <row r="2152" customFormat="false" ht="15" hidden="true" customHeight="true" outlineLevel="0" collapsed="false">
      <c r="F2152" s="116"/>
      <c r="G2152" s="116"/>
      <c r="K2152" s="104" t="n">
        <f aca="false">IF(A2152="",0,IF(IFERROR(VLOOKUP(A2152,Skills!$A:$M,13,FALSE()),"")="COS",0,IF(OR(I2152="En cours",I2152="À venir",I2152="À planifier"),IF(AND(OR($C$3="Tous",$C$3="",C2152=$C$3),OR($E$3="Tous",$E$3="",I2152=$E$3)),1,0),0)))</f>
        <v>0</v>
      </c>
      <c r="L2152" s="104" t="n">
        <f aca="false">L2151+K2152</f>
        <v>19</v>
      </c>
    </row>
    <row r="2153" customFormat="false" ht="15" hidden="true" customHeight="true" outlineLevel="0" collapsed="false">
      <c r="F2153" s="116"/>
      <c r="G2153" s="116"/>
      <c r="K2153" s="104" t="n">
        <f aca="false">IF(A2153="",0,IF(IFERROR(VLOOKUP(A2153,Skills!$A:$M,13,FALSE()),"")="COS",0,IF(OR(I2153="En cours",I2153="À venir",I2153="À planifier"),IF(AND(OR($C$3="Tous",$C$3="",C2153=$C$3),OR($E$3="Tous",$E$3="",I2153=$E$3)),1,0),0)))</f>
        <v>0</v>
      </c>
      <c r="L2153" s="104" t="n">
        <f aca="false">L2152+K2153</f>
        <v>19</v>
      </c>
    </row>
    <row r="2154" customFormat="false" ht="15" hidden="true" customHeight="true" outlineLevel="0" collapsed="false">
      <c r="F2154" s="116"/>
      <c r="G2154" s="116"/>
      <c r="K2154" s="104" t="n">
        <f aca="false">IF(A2154="",0,IF(IFERROR(VLOOKUP(A2154,Skills!$A:$M,13,FALSE()),"")="COS",0,IF(OR(I2154="En cours",I2154="À venir",I2154="À planifier"),IF(AND(OR($C$3="Tous",$C$3="",C2154=$C$3),OR($E$3="Tous",$E$3="",I2154=$E$3)),1,0),0)))</f>
        <v>0</v>
      </c>
      <c r="L2154" s="104" t="n">
        <f aca="false">L2153+K2154</f>
        <v>19</v>
      </c>
    </row>
    <row r="2155" customFormat="false" ht="15" hidden="true" customHeight="true" outlineLevel="0" collapsed="false">
      <c r="F2155" s="116"/>
      <c r="G2155" s="116"/>
      <c r="K2155" s="104" t="n">
        <f aca="false">IF(A2155="",0,IF(IFERROR(VLOOKUP(A2155,Skills!$A:$M,13,FALSE()),"")="COS",0,IF(OR(I2155="En cours",I2155="À venir",I2155="À planifier"),IF(AND(OR($C$3="Tous",$C$3="",C2155=$C$3),OR($E$3="Tous",$E$3="",I2155=$E$3)),1,0),0)))</f>
        <v>0</v>
      </c>
      <c r="L2155" s="104" t="n">
        <f aca="false">L2154+K2155</f>
        <v>19</v>
      </c>
    </row>
    <row r="2156" customFormat="false" ht="15" hidden="true" customHeight="true" outlineLevel="0" collapsed="false">
      <c r="F2156" s="116"/>
      <c r="G2156" s="116"/>
      <c r="K2156" s="104" t="n">
        <f aca="false">IF(A2156="",0,IF(IFERROR(VLOOKUP(A2156,Skills!$A:$M,13,FALSE()),"")="COS",0,IF(OR(I2156="En cours",I2156="À venir",I2156="À planifier"),IF(AND(OR($C$3="Tous",$C$3="",C2156=$C$3),OR($E$3="Tous",$E$3="",I2156=$E$3)),1,0),0)))</f>
        <v>0</v>
      </c>
      <c r="L2156" s="104" t="n">
        <f aca="false">L2155+K2156</f>
        <v>19</v>
      </c>
    </row>
    <row r="2157" customFormat="false" ht="15" hidden="true" customHeight="true" outlineLevel="0" collapsed="false">
      <c r="F2157" s="116"/>
      <c r="G2157" s="116"/>
      <c r="K2157" s="104" t="n">
        <f aca="false">IF(A2157="",0,IF(IFERROR(VLOOKUP(A2157,Skills!$A:$M,13,FALSE()),"")="COS",0,IF(OR(I2157="En cours",I2157="À venir",I2157="À planifier"),IF(AND(OR($C$3="Tous",$C$3="",C2157=$C$3),OR($E$3="Tous",$E$3="",I2157=$E$3)),1,0),0)))</f>
        <v>0</v>
      </c>
      <c r="L2157" s="104" t="n">
        <f aca="false">L2156+K2157</f>
        <v>19</v>
      </c>
    </row>
    <row r="2158" customFormat="false" ht="15" hidden="true" customHeight="true" outlineLevel="0" collapsed="false">
      <c r="F2158" s="116"/>
      <c r="G2158" s="116"/>
      <c r="K2158" s="104" t="n">
        <f aca="false">IF(A2158="",0,IF(IFERROR(VLOOKUP(A2158,Skills!$A:$M,13,FALSE()),"")="COS",0,IF(OR(I2158="En cours",I2158="À venir",I2158="À planifier"),IF(AND(OR($C$3="Tous",$C$3="",C2158=$C$3),OR($E$3="Tous",$E$3="",I2158=$E$3)),1,0),0)))</f>
        <v>0</v>
      </c>
      <c r="L2158" s="104" t="n">
        <f aca="false">L2157+K2158</f>
        <v>19</v>
      </c>
    </row>
    <row r="2159" customFormat="false" ht="15" hidden="true" customHeight="true" outlineLevel="0" collapsed="false">
      <c r="F2159" s="116"/>
      <c r="G2159" s="116"/>
      <c r="K2159" s="104" t="n">
        <f aca="false">IF(A2159="",0,IF(IFERROR(VLOOKUP(A2159,Skills!$A:$M,13,FALSE()),"")="COS",0,IF(OR(I2159="En cours",I2159="À venir",I2159="À planifier"),IF(AND(OR($C$3="Tous",$C$3="",C2159=$C$3),OR($E$3="Tous",$E$3="",I2159=$E$3)),1,0),0)))</f>
        <v>0</v>
      </c>
      <c r="L2159" s="104" t="n">
        <f aca="false">L2158+K2159</f>
        <v>19</v>
      </c>
    </row>
    <row r="2160" customFormat="false" ht="15" hidden="true" customHeight="true" outlineLevel="0" collapsed="false">
      <c r="F2160" s="116"/>
      <c r="G2160" s="116"/>
      <c r="K2160" s="104" t="n">
        <f aca="false">IF(A2160="",0,IF(IFERROR(VLOOKUP(A2160,Skills!$A:$M,13,FALSE()),"")="COS",0,IF(OR(I2160="En cours",I2160="À venir",I2160="À planifier"),IF(AND(OR($C$3="Tous",$C$3="",C2160=$C$3),OR($E$3="Tous",$E$3="",I2160=$E$3)),1,0),0)))</f>
        <v>0</v>
      </c>
      <c r="L2160" s="104" t="n">
        <f aca="false">L2159+K2160</f>
        <v>19</v>
      </c>
    </row>
    <row r="2161" customFormat="false" ht="15" hidden="true" customHeight="true" outlineLevel="0" collapsed="false">
      <c r="F2161" s="116"/>
      <c r="G2161" s="116"/>
      <c r="K2161" s="104" t="n">
        <f aca="false">IF(A2161="",0,IF(IFERROR(VLOOKUP(A2161,Skills!$A:$M,13,FALSE()),"")="COS",0,IF(OR(I2161="En cours",I2161="À venir",I2161="À planifier"),IF(AND(OR($C$3="Tous",$C$3="",C2161=$C$3),OR($E$3="Tous",$E$3="",I2161=$E$3)),1,0),0)))</f>
        <v>0</v>
      </c>
      <c r="L2161" s="104" t="n">
        <f aca="false">L2160+K2161</f>
        <v>19</v>
      </c>
    </row>
    <row r="2162" customFormat="false" ht="15" hidden="true" customHeight="true" outlineLevel="0" collapsed="false">
      <c r="F2162" s="116"/>
      <c r="G2162" s="116"/>
      <c r="K2162" s="104" t="n">
        <f aca="false">IF(A2162="",0,IF(IFERROR(VLOOKUP(A2162,Skills!$A:$M,13,FALSE()),"")="COS",0,IF(OR(I2162="En cours",I2162="À venir",I2162="À planifier"),IF(AND(OR($C$3="Tous",$C$3="",C2162=$C$3),OR($E$3="Tous",$E$3="",I2162=$E$3)),1,0),0)))</f>
        <v>0</v>
      </c>
      <c r="L2162" s="104" t="n">
        <f aca="false">L2161+K2162</f>
        <v>19</v>
      </c>
    </row>
    <row r="2163" customFormat="false" ht="15" hidden="true" customHeight="true" outlineLevel="0" collapsed="false">
      <c r="F2163" s="116"/>
      <c r="G2163" s="116"/>
      <c r="K2163" s="104" t="n">
        <f aca="false">IF(A2163="",0,IF(IFERROR(VLOOKUP(A2163,Skills!$A:$M,13,FALSE()),"")="COS",0,IF(OR(I2163="En cours",I2163="À venir",I2163="À planifier"),IF(AND(OR($C$3="Tous",$C$3="",C2163=$C$3),OR($E$3="Tous",$E$3="",I2163=$E$3)),1,0),0)))</f>
        <v>0</v>
      </c>
      <c r="L2163" s="104" t="n">
        <f aca="false">L2162+K2163</f>
        <v>19</v>
      </c>
    </row>
    <row r="2164" customFormat="false" ht="15" hidden="true" customHeight="true" outlineLevel="0" collapsed="false">
      <c r="F2164" s="116"/>
      <c r="G2164" s="116"/>
      <c r="K2164" s="104" t="n">
        <f aca="false">IF(A2164="",0,IF(IFERROR(VLOOKUP(A2164,Skills!$A:$M,13,FALSE()),"")="COS",0,IF(OR(I2164="En cours",I2164="À venir",I2164="À planifier"),IF(AND(OR($C$3="Tous",$C$3="",C2164=$C$3),OR($E$3="Tous",$E$3="",I2164=$E$3)),1,0),0)))</f>
        <v>0</v>
      </c>
      <c r="L2164" s="104" t="n">
        <f aca="false">L2163+K2164</f>
        <v>19</v>
      </c>
    </row>
    <row r="2165" customFormat="false" ht="15" hidden="true" customHeight="true" outlineLevel="0" collapsed="false">
      <c r="F2165" s="116"/>
      <c r="G2165" s="116"/>
      <c r="K2165" s="104" t="n">
        <f aca="false">IF(A2165="",0,IF(IFERROR(VLOOKUP(A2165,Skills!$A:$M,13,FALSE()),"")="COS",0,IF(OR(I2165="En cours",I2165="À venir",I2165="À planifier"),IF(AND(OR($C$3="Tous",$C$3="",C2165=$C$3),OR($E$3="Tous",$E$3="",I2165=$E$3)),1,0),0)))</f>
        <v>0</v>
      </c>
      <c r="L2165" s="104" t="n">
        <f aca="false">L2164+K2165</f>
        <v>19</v>
      </c>
    </row>
    <row r="2166" customFormat="false" ht="15" hidden="true" customHeight="true" outlineLevel="0" collapsed="false">
      <c r="F2166" s="116"/>
      <c r="G2166" s="116"/>
      <c r="K2166" s="104" t="n">
        <f aca="false">IF(A2166="",0,IF(IFERROR(VLOOKUP(A2166,Skills!$A:$M,13,FALSE()),"")="COS",0,IF(OR(I2166="En cours",I2166="À venir",I2166="À planifier"),IF(AND(OR($C$3="Tous",$C$3="",C2166=$C$3),OR($E$3="Tous",$E$3="",I2166=$E$3)),1,0),0)))</f>
        <v>0</v>
      </c>
      <c r="L2166" s="104" t="n">
        <f aca="false">L2165+K2166</f>
        <v>19</v>
      </c>
    </row>
    <row r="2167" customFormat="false" ht="15" hidden="true" customHeight="true" outlineLevel="0" collapsed="false">
      <c r="F2167" s="116"/>
      <c r="G2167" s="116"/>
      <c r="K2167" s="104" t="n">
        <f aca="false">IF(A2167="",0,IF(IFERROR(VLOOKUP(A2167,Skills!$A:$M,13,FALSE()),"")="COS",0,IF(OR(I2167="En cours",I2167="À venir",I2167="À planifier"),IF(AND(OR($C$3="Tous",$C$3="",C2167=$C$3),OR($E$3="Tous",$E$3="",I2167=$E$3)),1,0),0)))</f>
        <v>0</v>
      </c>
      <c r="L2167" s="104" t="n">
        <f aca="false">L2166+K2167</f>
        <v>19</v>
      </c>
    </row>
    <row r="2168" customFormat="false" ht="15" hidden="true" customHeight="true" outlineLevel="0" collapsed="false">
      <c r="F2168" s="116"/>
      <c r="G2168" s="116"/>
      <c r="K2168" s="104" t="n">
        <f aca="false">IF(A2168="",0,IF(IFERROR(VLOOKUP(A2168,Skills!$A:$M,13,FALSE()),"")="COS",0,IF(OR(I2168="En cours",I2168="À venir",I2168="À planifier"),IF(AND(OR($C$3="Tous",$C$3="",C2168=$C$3),OR($E$3="Tous",$E$3="",I2168=$E$3)),1,0),0)))</f>
        <v>0</v>
      </c>
      <c r="L2168" s="104" t="n">
        <f aca="false">L2167+K2168</f>
        <v>19</v>
      </c>
    </row>
    <row r="2169" customFormat="false" ht="15" hidden="true" customHeight="true" outlineLevel="0" collapsed="false">
      <c r="F2169" s="116"/>
      <c r="G2169" s="116"/>
      <c r="K2169" s="104" t="n">
        <f aca="false">IF(A2169="",0,IF(IFERROR(VLOOKUP(A2169,Skills!$A:$M,13,FALSE()),"")="COS",0,IF(OR(I2169="En cours",I2169="À venir",I2169="À planifier"),IF(AND(OR($C$3="Tous",$C$3="",C2169=$C$3),OR($E$3="Tous",$E$3="",I2169=$E$3)),1,0),0)))</f>
        <v>0</v>
      </c>
      <c r="L2169" s="104" t="n">
        <f aca="false">L2168+K2169</f>
        <v>19</v>
      </c>
    </row>
    <row r="2170" customFormat="false" ht="15" hidden="true" customHeight="true" outlineLevel="0" collapsed="false">
      <c r="F2170" s="116"/>
      <c r="G2170" s="116"/>
      <c r="K2170" s="104" t="n">
        <f aca="false">IF(A2170="",0,IF(IFERROR(VLOOKUP(A2170,Skills!$A:$M,13,FALSE()),"")="COS",0,IF(OR(I2170="En cours",I2170="À venir",I2170="À planifier"),IF(AND(OR($C$3="Tous",$C$3="",C2170=$C$3),OR($E$3="Tous",$E$3="",I2170=$E$3)),1,0),0)))</f>
        <v>0</v>
      </c>
      <c r="L2170" s="104" t="n">
        <f aca="false">L2169+K2170</f>
        <v>19</v>
      </c>
    </row>
    <row r="2171" customFormat="false" ht="15" hidden="true" customHeight="true" outlineLevel="0" collapsed="false">
      <c r="F2171" s="116"/>
      <c r="G2171" s="116"/>
      <c r="K2171" s="104" t="n">
        <f aca="false">IF(A2171="",0,IF(IFERROR(VLOOKUP(A2171,Skills!$A:$M,13,FALSE()),"")="COS",0,IF(OR(I2171="En cours",I2171="À venir",I2171="À planifier"),IF(AND(OR($C$3="Tous",$C$3="",C2171=$C$3),OR($E$3="Tous",$E$3="",I2171=$E$3)),1,0),0)))</f>
        <v>0</v>
      </c>
      <c r="L2171" s="104" t="n">
        <f aca="false">L2170+K2171</f>
        <v>19</v>
      </c>
    </row>
    <row r="2172" customFormat="false" ht="15" hidden="true" customHeight="true" outlineLevel="0" collapsed="false">
      <c r="F2172" s="116"/>
      <c r="G2172" s="116"/>
      <c r="K2172" s="104" t="n">
        <f aca="false">IF(A2172="",0,IF(IFERROR(VLOOKUP(A2172,Skills!$A:$M,13,FALSE()),"")="COS",0,IF(OR(I2172="En cours",I2172="À venir",I2172="À planifier"),IF(AND(OR($C$3="Tous",$C$3="",C2172=$C$3),OR($E$3="Tous",$E$3="",I2172=$E$3)),1,0),0)))</f>
        <v>0</v>
      </c>
      <c r="L2172" s="104" t="n">
        <f aca="false">L2171+K2172</f>
        <v>19</v>
      </c>
    </row>
    <row r="2173" customFormat="false" ht="15" hidden="true" customHeight="true" outlineLevel="0" collapsed="false">
      <c r="F2173" s="116"/>
      <c r="G2173" s="116"/>
      <c r="K2173" s="104" t="n">
        <f aca="false">IF(A2173="",0,IF(IFERROR(VLOOKUP(A2173,Skills!$A:$M,13,FALSE()),"")="COS",0,IF(OR(I2173="En cours",I2173="À venir",I2173="À planifier"),IF(AND(OR($C$3="Tous",$C$3="",C2173=$C$3),OR($E$3="Tous",$E$3="",I2173=$E$3)),1,0),0)))</f>
        <v>0</v>
      </c>
      <c r="L2173" s="104" t="n">
        <f aca="false">L2172+K2173</f>
        <v>19</v>
      </c>
    </row>
    <row r="2174" customFormat="false" ht="15" hidden="true" customHeight="true" outlineLevel="0" collapsed="false">
      <c r="F2174" s="116"/>
      <c r="G2174" s="116"/>
      <c r="K2174" s="104" t="n">
        <f aca="false">IF(A2174="",0,IF(IFERROR(VLOOKUP(A2174,Skills!$A:$M,13,FALSE()),"")="COS",0,IF(OR(I2174="En cours",I2174="À venir",I2174="À planifier"),IF(AND(OR($C$3="Tous",$C$3="",C2174=$C$3),OR($E$3="Tous",$E$3="",I2174=$E$3)),1,0),0)))</f>
        <v>0</v>
      </c>
      <c r="L2174" s="104" t="n">
        <f aca="false">L2173+K2174</f>
        <v>19</v>
      </c>
    </row>
    <row r="2175" customFormat="false" ht="15" hidden="true" customHeight="true" outlineLevel="0" collapsed="false">
      <c r="F2175" s="116"/>
      <c r="G2175" s="116"/>
      <c r="K2175" s="104" t="n">
        <f aca="false">IF(A2175="",0,IF(IFERROR(VLOOKUP(A2175,Skills!$A:$M,13,FALSE()),"")="COS",0,IF(OR(I2175="En cours",I2175="À venir",I2175="À planifier"),IF(AND(OR($C$3="Tous",$C$3="",C2175=$C$3),OR($E$3="Tous",$E$3="",I2175=$E$3)),1,0),0)))</f>
        <v>0</v>
      </c>
      <c r="L2175" s="104" t="n">
        <f aca="false">L2174+K2175</f>
        <v>19</v>
      </c>
    </row>
    <row r="2176" customFormat="false" ht="15" hidden="true" customHeight="true" outlineLevel="0" collapsed="false">
      <c r="F2176" s="116"/>
      <c r="G2176" s="116"/>
      <c r="K2176" s="104" t="n">
        <f aca="false">IF(A2176="",0,IF(IFERROR(VLOOKUP(A2176,Skills!$A:$M,13,FALSE()),"")="COS",0,IF(OR(I2176="En cours",I2176="À venir",I2176="À planifier"),IF(AND(OR($C$3="Tous",$C$3="",C2176=$C$3),OR($E$3="Tous",$E$3="",I2176=$E$3)),1,0),0)))</f>
        <v>0</v>
      </c>
      <c r="L2176" s="104" t="n">
        <f aca="false">L2175+K2176</f>
        <v>19</v>
      </c>
    </row>
    <row r="2177" customFormat="false" ht="15" hidden="true" customHeight="true" outlineLevel="0" collapsed="false">
      <c r="F2177" s="116"/>
      <c r="G2177" s="116"/>
      <c r="K2177" s="104" t="n">
        <f aca="false">IF(A2177="",0,IF(IFERROR(VLOOKUP(A2177,Skills!$A:$M,13,FALSE()),"")="COS",0,IF(OR(I2177="En cours",I2177="À venir",I2177="À planifier"),IF(AND(OR($C$3="Tous",$C$3="",C2177=$C$3),OR($E$3="Tous",$E$3="",I2177=$E$3)),1,0),0)))</f>
        <v>0</v>
      </c>
      <c r="L2177" s="104" t="n">
        <f aca="false">L2176+K2177</f>
        <v>19</v>
      </c>
    </row>
    <row r="2178" customFormat="false" ht="15" hidden="true" customHeight="true" outlineLevel="0" collapsed="false">
      <c r="F2178" s="116"/>
      <c r="G2178" s="116"/>
      <c r="K2178" s="104" t="n">
        <f aca="false">IF(A2178="",0,IF(IFERROR(VLOOKUP(A2178,Skills!$A:$M,13,FALSE()),"")="COS",0,IF(OR(I2178="En cours",I2178="À venir",I2178="À planifier"),IF(AND(OR($C$3="Tous",$C$3="",C2178=$C$3),OR($E$3="Tous",$E$3="",I2178=$E$3)),1,0),0)))</f>
        <v>0</v>
      </c>
      <c r="L2178" s="104" t="n">
        <f aca="false">L2177+K2178</f>
        <v>19</v>
      </c>
    </row>
    <row r="2179" customFormat="false" ht="15" hidden="true" customHeight="true" outlineLevel="0" collapsed="false">
      <c r="F2179" s="116"/>
      <c r="G2179" s="116"/>
      <c r="K2179" s="104" t="n">
        <f aca="false">IF(A2179="",0,IF(IFERROR(VLOOKUP(A2179,Skills!$A:$M,13,FALSE()),"")="COS",0,IF(OR(I2179="En cours",I2179="À venir",I2179="À planifier"),IF(AND(OR($C$3="Tous",$C$3="",C2179=$C$3),OR($E$3="Tous",$E$3="",I2179=$E$3)),1,0),0)))</f>
        <v>0</v>
      </c>
      <c r="L2179" s="104" t="n">
        <f aca="false">L2178+K2179</f>
        <v>19</v>
      </c>
    </row>
    <row r="2180" customFormat="false" ht="15" hidden="true" customHeight="true" outlineLevel="0" collapsed="false">
      <c r="F2180" s="116"/>
      <c r="G2180" s="116"/>
      <c r="K2180" s="104" t="n">
        <f aca="false">IF(A2180="",0,IF(IFERROR(VLOOKUP(A2180,Skills!$A:$M,13,FALSE()),"")="COS",0,IF(OR(I2180="En cours",I2180="À venir",I2180="À planifier"),IF(AND(OR($C$3="Tous",$C$3="",C2180=$C$3),OR($E$3="Tous",$E$3="",I2180=$E$3)),1,0),0)))</f>
        <v>0</v>
      </c>
      <c r="L2180" s="104" t="n">
        <f aca="false">L2179+K2180</f>
        <v>19</v>
      </c>
    </row>
    <row r="2181" customFormat="false" ht="15" hidden="true" customHeight="true" outlineLevel="0" collapsed="false">
      <c r="F2181" s="116"/>
      <c r="G2181" s="116"/>
      <c r="K2181" s="104" t="n">
        <f aca="false">IF(A2181="",0,IF(IFERROR(VLOOKUP(A2181,Skills!$A:$M,13,FALSE()),"")="COS",0,IF(OR(I2181="En cours",I2181="À venir",I2181="À planifier"),IF(AND(OR($C$3="Tous",$C$3="",C2181=$C$3),OR($E$3="Tous",$E$3="",I2181=$E$3)),1,0),0)))</f>
        <v>0</v>
      </c>
      <c r="L2181" s="104" t="n">
        <f aca="false">L2180+K2181</f>
        <v>19</v>
      </c>
    </row>
    <row r="2182" customFormat="false" ht="15" hidden="true" customHeight="true" outlineLevel="0" collapsed="false">
      <c r="F2182" s="116"/>
      <c r="G2182" s="116"/>
      <c r="K2182" s="104" t="n">
        <f aca="false">IF(A2182="",0,IF(IFERROR(VLOOKUP(A2182,Skills!$A:$M,13,FALSE()),"")="COS",0,IF(OR(I2182="En cours",I2182="À venir",I2182="À planifier"),IF(AND(OR($C$3="Tous",$C$3="",C2182=$C$3),OR($E$3="Tous",$E$3="",I2182=$E$3)),1,0),0)))</f>
        <v>0</v>
      </c>
      <c r="L2182" s="104" t="n">
        <f aca="false">L2181+K2182</f>
        <v>19</v>
      </c>
    </row>
    <row r="2183" customFormat="false" ht="15" hidden="true" customHeight="true" outlineLevel="0" collapsed="false">
      <c r="F2183" s="116"/>
      <c r="G2183" s="116"/>
      <c r="K2183" s="104" t="n">
        <f aca="false">IF(A2183="",0,IF(IFERROR(VLOOKUP(A2183,Skills!$A:$M,13,FALSE()),"")="COS",0,IF(OR(I2183="En cours",I2183="À venir",I2183="À planifier"),IF(AND(OR($C$3="Tous",$C$3="",C2183=$C$3),OR($E$3="Tous",$E$3="",I2183=$E$3)),1,0),0)))</f>
        <v>0</v>
      </c>
      <c r="L2183" s="104" t="n">
        <f aca="false">L2182+K2183</f>
        <v>19</v>
      </c>
    </row>
    <row r="2184" customFormat="false" ht="15" hidden="true" customHeight="true" outlineLevel="0" collapsed="false">
      <c r="F2184" s="116"/>
      <c r="G2184" s="116"/>
      <c r="K2184" s="104" t="n">
        <f aca="false">IF(A2184="",0,IF(IFERROR(VLOOKUP(A2184,Skills!$A:$M,13,FALSE()),"")="COS",0,IF(OR(I2184="En cours",I2184="À venir",I2184="À planifier"),IF(AND(OR($C$3="Tous",$C$3="",C2184=$C$3),OR($E$3="Tous",$E$3="",I2184=$E$3)),1,0),0)))</f>
        <v>0</v>
      </c>
      <c r="L2184" s="104" t="n">
        <f aca="false">L2183+K2184</f>
        <v>19</v>
      </c>
    </row>
    <row r="2185" customFormat="false" ht="15" hidden="true" customHeight="true" outlineLevel="0" collapsed="false">
      <c r="F2185" s="116"/>
      <c r="G2185" s="116"/>
      <c r="K2185" s="104" t="n">
        <f aca="false">IF(A2185="",0,IF(IFERROR(VLOOKUP(A2185,Skills!$A:$M,13,FALSE()),"")="COS",0,IF(OR(I2185="En cours",I2185="À venir",I2185="À planifier"),IF(AND(OR($C$3="Tous",$C$3="",C2185=$C$3),OR($E$3="Tous",$E$3="",I2185=$E$3)),1,0),0)))</f>
        <v>0</v>
      </c>
      <c r="L2185" s="104" t="n">
        <f aca="false">L2184+K2185</f>
        <v>19</v>
      </c>
    </row>
    <row r="2186" customFormat="false" ht="15" hidden="true" customHeight="true" outlineLevel="0" collapsed="false">
      <c r="F2186" s="116"/>
      <c r="G2186" s="116"/>
      <c r="K2186" s="104" t="n">
        <f aca="false">IF(A2186="",0,IF(IFERROR(VLOOKUP(A2186,Skills!$A:$M,13,FALSE()),"")="COS",0,IF(OR(I2186="En cours",I2186="À venir",I2186="À planifier"),IF(AND(OR($C$3="Tous",$C$3="",C2186=$C$3),OR($E$3="Tous",$E$3="",I2186=$E$3)),1,0),0)))</f>
        <v>0</v>
      </c>
      <c r="L2186" s="104" t="n">
        <f aca="false">L2185+K2186</f>
        <v>19</v>
      </c>
    </row>
    <row r="2187" customFormat="false" ht="15" hidden="true" customHeight="true" outlineLevel="0" collapsed="false">
      <c r="F2187" s="116"/>
      <c r="G2187" s="116"/>
      <c r="K2187" s="104" t="n">
        <f aca="false">IF(A2187="",0,IF(IFERROR(VLOOKUP(A2187,Skills!$A:$M,13,FALSE()),"")="COS",0,IF(OR(I2187="En cours",I2187="À venir",I2187="À planifier"),IF(AND(OR($C$3="Tous",$C$3="",C2187=$C$3),OR($E$3="Tous",$E$3="",I2187=$E$3)),1,0),0)))</f>
        <v>0</v>
      </c>
      <c r="L2187" s="104" t="n">
        <f aca="false">L2186+K2187</f>
        <v>19</v>
      </c>
    </row>
    <row r="2188" customFormat="false" ht="15" hidden="true" customHeight="true" outlineLevel="0" collapsed="false">
      <c r="F2188" s="116"/>
      <c r="G2188" s="116"/>
      <c r="K2188" s="104" t="n">
        <f aca="false">IF(A2188="",0,IF(IFERROR(VLOOKUP(A2188,Skills!$A:$M,13,FALSE()),"")="COS",0,IF(OR(I2188="En cours",I2188="À venir",I2188="À planifier"),IF(AND(OR($C$3="Tous",$C$3="",C2188=$C$3),OR($E$3="Tous",$E$3="",I2188=$E$3)),1,0),0)))</f>
        <v>0</v>
      </c>
      <c r="L2188" s="104" t="n">
        <f aca="false">L2187+K2188</f>
        <v>19</v>
      </c>
    </row>
    <row r="2189" customFormat="false" ht="15" hidden="true" customHeight="true" outlineLevel="0" collapsed="false">
      <c r="F2189" s="116"/>
      <c r="G2189" s="116"/>
      <c r="K2189" s="104" t="n">
        <f aca="false">IF(A2189="",0,IF(IFERROR(VLOOKUP(A2189,Skills!$A:$M,13,FALSE()),"")="COS",0,IF(OR(I2189="En cours",I2189="À venir",I2189="À planifier"),IF(AND(OR($C$3="Tous",$C$3="",C2189=$C$3),OR($E$3="Tous",$E$3="",I2189=$E$3)),1,0),0)))</f>
        <v>0</v>
      </c>
      <c r="L2189" s="104" t="n">
        <f aca="false">L2188+K2189</f>
        <v>19</v>
      </c>
    </row>
    <row r="2190" customFormat="false" ht="15" hidden="true" customHeight="true" outlineLevel="0" collapsed="false">
      <c r="F2190" s="116"/>
      <c r="G2190" s="116"/>
      <c r="K2190" s="104" t="n">
        <f aca="false">IF(A2190="",0,IF(IFERROR(VLOOKUP(A2190,Skills!$A:$M,13,FALSE()),"")="COS",0,IF(OR(I2190="En cours",I2190="À venir",I2190="À planifier"),IF(AND(OR($C$3="Tous",$C$3="",C2190=$C$3),OR($E$3="Tous",$E$3="",I2190=$E$3)),1,0),0)))</f>
        <v>0</v>
      </c>
      <c r="L2190" s="104" t="n">
        <f aca="false">L2189+K2190</f>
        <v>19</v>
      </c>
    </row>
    <row r="2191" customFormat="false" ht="15" hidden="true" customHeight="true" outlineLevel="0" collapsed="false">
      <c r="F2191" s="116"/>
      <c r="G2191" s="116"/>
      <c r="K2191" s="104" t="n">
        <f aca="false">IF(A2191="",0,IF(IFERROR(VLOOKUP(A2191,Skills!$A:$M,13,FALSE()),"")="COS",0,IF(OR(I2191="En cours",I2191="À venir",I2191="À planifier"),IF(AND(OR($C$3="Tous",$C$3="",C2191=$C$3),OR($E$3="Tous",$E$3="",I2191=$E$3)),1,0),0)))</f>
        <v>0</v>
      </c>
      <c r="L2191" s="104" t="n">
        <f aca="false">L2190+K2191</f>
        <v>19</v>
      </c>
    </row>
    <row r="2192" customFormat="false" ht="15" hidden="true" customHeight="true" outlineLevel="0" collapsed="false">
      <c r="F2192" s="116"/>
      <c r="G2192" s="116"/>
      <c r="K2192" s="104" t="n">
        <f aca="false">IF(A2192="",0,IF(IFERROR(VLOOKUP(A2192,Skills!$A:$M,13,FALSE()),"")="COS",0,IF(OR(I2192="En cours",I2192="À venir",I2192="À planifier"),IF(AND(OR($C$3="Tous",$C$3="",C2192=$C$3),OR($E$3="Tous",$E$3="",I2192=$E$3)),1,0),0)))</f>
        <v>0</v>
      </c>
      <c r="L2192" s="104" t="n">
        <f aca="false">L2191+K2192</f>
        <v>19</v>
      </c>
    </row>
    <row r="2193" customFormat="false" ht="15" hidden="true" customHeight="true" outlineLevel="0" collapsed="false">
      <c r="F2193" s="116"/>
      <c r="G2193" s="116"/>
      <c r="K2193" s="104" t="n">
        <f aca="false">IF(A2193="",0,IF(IFERROR(VLOOKUP(A2193,Skills!$A:$M,13,FALSE()),"")="COS",0,IF(OR(I2193="En cours",I2193="À venir",I2193="À planifier"),IF(AND(OR($C$3="Tous",$C$3="",C2193=$C$3),OR($E$3="Tous",$E$3="",I2193=$E$3)),1,0),0)))</f>
        <v>0</v>
      </c>
      <c r="L2193" s="104" t="n">
        <f aca="false">L2192+K2193</f>
        <v>19</v>
      </c>
    </row>
    <row r="2194" customFormat="false" ht="15" hidden="true" customHeight="true" outlineLevel="0" collapsed="false">
      <c r="F2194" s="116"/>
      <c r="G2194" s="116"/>
      <c r="K2194" s="104" t="n">
        <f aca="false">IF(A2194="",0,IF(IFERROR(VLOOKUP(A2194,Skills!$A:$M,13,FALSE()),"")="COS",0,IF(OR(I2194="En cours",I2194="À venir",I2194="À planifier"),IF(AND(OR($C$3="Tous",$C$3="",C2194=$C$3),OR($E$3="Tous",$E$3="",I2194=$E$3)),1,0),0)))</f>
        <v>0</v>
      </c>
      <c r="L2194" s="104" t="n">
        <f aca="false">L2193+K2194</f>
        <v>19</v>
      </c>
    </row>
    <row r="2195" customFormat="false" ht="15" hidden="true" customHeight="true" outlineLevel="0" collapsed="false">
      <c r="F2195" s="116"/>
      <c r="G2195" s="116"/>
      <c r="K2195" s="104" t="n">
        <f aca="false">IF(A2195="",0,IF(IFERROR(VLOOKUP(A2195,Skills!$A:$M,13,FALSE()),"")="COS",0,IF(OR(I2195="En cours",I2195="À venir",I2195="À planifier"),IF(AND(OR($C$3="Tous",$C$3="",C2195=$C$3),OR($E$3="Tous",$E$3="",I2195=$E$3)),1,0),0)))</f>
        <v>0</v>
      </c>
      <c r="L2195" s="104" t="n">
        <f aca="false">L2194+K2195</f>
        <v>19</v>
      </c>
    </row>
    <row r="2196" customFormat="false" ht="15" hidden="true" customHeight="true" outlineLevel="0" collapsed="false">
      <c r="F2196" s="116"/>
      <c r="G2196" s="116"/>
      <c r="K2196" s="104" t="n">
        <f aca="false">IF(A2196="",0,IF(IFERROR(VLOOKUP(A2196,Skills!$A:$M,13,FALSE()),"")="COS",0,IF(OR(I2196="En cours",I2196="À venir",I2196="À planifier"),IF(AND(OR($C$3="Tous",$C$3="",C2196=$C$3),OR($E$3="Tous",$E$3="",I2196=$E$3)),1,0),0)))</f>
        <v>0</v>
      </c>
      <c r="L2196" s="104" t="n">
        <f aca="false">L2195+K2196</f>
        <v>19</v>
      </c>
    </row>
    <row r="2197" customFormat="false" ht="15" hidden="true" customHeight="true" outlineLevel="0" collapsed="false">
      <c r="F2197" s="116"/>
      <c r="G2197" s="116"/>
      <c r="K2197" s="104" t="n">
        <f aca="false">IF(A2197="",0,IF(IFERROR(VLOOKUP(A2197,Skills!$A:$M,13,FALSE()),"")="COS",0,IF(OR(I2197="En cours",I2197="À venir",I2197="À planifier"),IF(AND(OR($C$3="Tous",$C$3="",C2197=$C$3),OR($E$3="Tous",$E$3="",I2197=$E$3)),1,0),0)))</f>
        <v>0</v>
      </c>
      <c r="L2197" s="104" t="n">
        <f aca="false">L2196+K2197</f>
        <v>19</v>
      </c>
    </row>
    <row r="2198" customFormat="false" ht="15" hidden="true" customHeight="true" outlineLevel="0" collapsed="false">
      <c r="F2198" s="116"/>
      <c r="G2198" s="116"/>
      <c r="K2198" s="104" t="n">
        <f aca="false">IF(A2198="",0,IF(IFERROR(VLOOKUP(A2198,Skills!$A:$M,13,FALSE()),"")="COS",0,IF(OR(I2198="En cours",I2198="À venir",I2198="À planifier"),IF(AND(OR($C$3="Tous",$C$3="",C2198=$C$3),OR($E$3="Tous",$E$3="",I2198=$E$3)),1,0),0)))</f>
        <v>0</v>
      </c>
      <c r="L2198" s="104" t="n">
        <f aca="false">L2197+K2198</f>
        <v>19</v>
      </c>
    </row>
    <row r="2199" customFormat="false" ht="15" hidden="true" customHeight="true" outlineLevel="0" collapsed="false">
      <c r="F2199" s="116"/>
      <c r="G2199" s="116"/>
      <c r="K2199" s="104" t="n">
        <f aca="false">IF(A2199="",0,IF(IFERROR(VLOOKUP(A2199,Skills!$A:$M,13,FALSE()),"")="COS",0,IF(OR(I2199="En cours",I2199="À venir",I2199="À planifier"),IF(AND(OR($C$3="Tous",$C$3="",C2199=$C$3),OR($E$3="Tous",$E$3="",I2199=$E$3)),1,0),0)))</f>
        <v>0</v>
      </c>
      <c r="L2199" s="104" t="n">
        <f aca="false">L2198+K2199</f>
        <v>19</v>
      </c>
    </row>
    <row r="2200" customFormat="false" ht="15" hidden="true" customHeight="true" outlineLevel="0" collapsed="false">
      <c r="F2200" s="116"/>
      <c r="G2200" s="116"/>
      <c r="K2200" s="104" t="n">
        <f aca="false">IF(A2200="",0,IF(IFERROR(VLOOKUP(A2200,Skills!$A:$M,13,FALSE()),"")="COS",0,IF(OR(I2200="En cours",I2200="À venir",I2200="À planifier"),IF(AND(OR($C$3="Tous",$C$3="",C2200=$C$3),OR($E$3="Tous",$E$3="",I2200=$E$3)),1,0),0)))</f>
        <v>0</v>
      </c>
      <c r="L2200" s="104" t="n">
        <f aca="false">L2199+K2200</f>
        <v>19</v>
      </c>
    </row>
    <row r="2201" customFormat="false" ht="15" hidden="true" customHeight="true" outlineLevel="0" collapsed="false">
      <c r="F2201" s="116"/>
      <c r="G2201" s="116"/>
      <c r="K2201" s="104" t="n">
        <f aca="false">IF(A2201="",0,IF(IFERROR(VLOOKUP(A2201,Skills!$A:$M,13,FALSE()),"")="COS",0,IF(OR(I2201="En cours",I2201="À venir",I2201="À planifier"),IF(AND(OR($C$3="Tous",$C$3="",C2201=$C$3),OR($E$3="Tous",$E$3="",I2201=$E$3)),1,0),0)))</f>
        <v>0</v>
      </c>
      <c r="L2201" s="104" t="n">
        <f aca="false">L2200+K2201</f>
        <v>19</v>
      </c>
    </row>
    <row r="2202" customFormat="false" ht="15" hidden="true" customHeight="true" outlineLevel="0" collapsed="false">
      <c r="F2202" s="116"/>
      <c r="G2202" s="116"/>
      <c r="K2202" s="104" t="n">
        <f aca="false">IF(A2202="",0,IF(IFERROR(VLOOKUP(A2202,Skills!$A:$M,13,FALSE()),"")="COS",0,IF(OR(I2202="En cours",I2202="À venir",I2202="À planifier"),IF(AND(OR($C$3="Tous",$C$3="",C2202=$C$3),OR($E$3="Tous",$E$3="",I2202=$E$3)),1,0),0)))</f>
        <v>0</v>
      </c>
      <c r="L2202" s="104" t="n">
        <f aca="false">L2201+K2202</f>
        <v>19</v>
      </c>
    </row>
    <row r="2203" customFormat="false" ht="15" hidden="true" customHeight="true" outlineLevel="0" collapsed="false">
      <c r="F2203" s="116"/>
      <c r="G2203" s="116"/>
      <c r="K2203" s="104" t="n">
        <f aca="false">IF(A2203="",0,IF(IFERROR(VLOOKUP(A2203,Skills!$A:$M,13,FALSE()),"")="COS",0,IF(OR(I2203="En cours",I2203="À venir",I2203="À planifier"),IF(AND(OR($C$3="Tous",$C$3="",C2203=$C$3),OR($E$3="Tous",$E$3="",I2203=$E$3)),1,0),0)))</f>
        <v>0</v>
      </c>
      <c r="L2203" s="104" t="n">
        <f aca="false">L2202+K2203</f>
        <v>19</v>
      </c>
    </row>
    <row r="2204" customFormat="false" ht="15" hidden="true" customHeight="true" outlineLevel="0" collapsed="false">
      <c r="F2204" s="116"/>
      <c r="G2204" s="116"/>
      <c r="K2204" s="104" t="n">
        <f aca="false">IF(A2204="",0,IF(IFERROR(VLOOKUP(A2204,Skills!$A:$M,13,FALSE()),"")="COS",0,IF(OR(I2204="En cours",I2204="À venir",I2204="À planifier"),IF(AND(OR($C$3="Tous",$C$3="",C2204=$C$3),OR($E$3="Tous",$E$3="",I2204=$E$3)),1,0),0)))</f>
        <v>0</v>
      </c>
      <c r="L2204" s="104" t="n">
        <f aca="false">L2203+K2204</f>
        <v>19</v>
      </c>
    </row>
    <row r="2205" customFormat="false" ht="15" hidden="true" customHeight="true" outlineLevel="0" collapsed="false">
      <c r="F2205" s="116"/>
      <c r="G2205" s="116"/>
      <c r="K2205" s="104" t="n">
        <f aca="false">IF(A2205="",0,IF(IFERROR(VLOOKUP(A2205,Skills!$A:$M,13,FALSE()),"")="COS",0,IF(OR(I2205="En cours",I2205="À venir",I2205="À planifier"),IF(AND(OR($C$3="Tous",$C$3="",C2205=$C$3),OR($E$3="Tous",$E$3="",I2205=$E$3)),1,0),0)))</f>
        <v>0</v>
      </c>
      <c r="L2205" s="104" t="n">
        <f aca="false">L2204+K2205</f>
        <v>19</v>
      </c>
    </row>
    <row r="2206" customFormat="false" ht="15" hidden="true" customHeight="true" outlineLevel="0" collapsed="false">
      <c r="F2206" s="116"/>
      <c r="G2206" s="116"/>
      <c r="K2206" s="104" t="n">
        <f aca="false">IF(A2206="",0,IF(IFERROR(VLOOKUP(A2206,Skills!$A:$M,13,FALSE()),"")="COS",0,IF(OR(I2206="En cours",I2206="À venir",I2206="À planifier"),IF(AND(OR($C$3="Tous",$C$3="",C2206=$C$3),OR($E$3="Tous",$E$3="",I2206=$E$3)),1,0),0)))</f>
        <v>0</v>
      </c>
      <c r="L2206" s="104" t="n">
        <f aca="false">L2205+K2206</f>
        <v>19</v>
      </c>
    </row>
    <row r="2207" customFormat="false" ht="15" hidden="true" customHeight="true" outlineLevel="0" collapsed="false">
      <c r="F2207" s="116"/>
      <c r="G2207" s="116"/>
      <c r="K2207" s="104" t="n">
        <f aca="false">IF(A2207="",0,IF(IFERROR(VLOOKUP(A2207,Skills!$A:$M,13,FALSE()),"")="COS",0,IF(OR(I2207="En cours",I2207="À venir",I2207="À planifier"),IF(AND(OR($C$3="Tous",$C$3="",C2207=$C$3),OR($E$3="Tous",$E$3="",I2207=$E$3)),1,0),0)))</f>
        <v>0</v>
      </c>
      <c r="L2207" s="104" t="n">
        <f aca="false">L2206+K2207</f>
        <v>19</v>
      </c>
    </row>
    <row r="2208" customFormat="false" ht="15" hidden="true" customHeight="true" outlineLevel="0" collapsed="false">
      <c r="F2208" s="116"/>
      <c r="G2208" s="116"/>
      <c r="K2208" s="104" t="n">
        <f aca="false">IF(A2208="",0,IF(IFERROR(VLOOKUP(A2208,Skills!$A:$M,13,FALSE()),"")="COS",0,IF(OR(I2208="En cours",I2208="À venir",I2208="À planifier"),IF(AND(OR($C$3="Tous",$C$3="",C2208=$C$3),OR($E$3="Tous",$E$3="",I2208=$E$3)),1,0),0)))</f>
        <v>0</v>
      </c>
      <c r="L2208" s="104" t="n">
        <f aca="false">L2207+K2208</f>
        <v>19</v>
      </c>
    </row>
    <row r="2209" customFormat="false" ht="15" hidden="true" customHeight="true" outlineLevel="0" collapsed="false">
      <c r="F2209" s="116"/>
      <c r="G2209" s="116"/>
      <c r="K2209" s="104" t="n">
        <f aca="false">IF(A2209="",0,IF(IFERROR(VLOOKUP(A2209,Skills!$A:$M,13,FALSE()),"")="COS",0,IF(OR(I2209="En cours",I2209="À venir",I2209="À planifier"),IF(AND(OR($C$3="Tous",$C$3="",C2209=$C$3),OR($E$3="Tous",$E$3="",I2209=$E$3)),1,0),0)))</f>
        <v>0</v>
      </c>
      <c r="L2209" s="104" t="n">
        <f aca="false">L2208+K2209</f>
        <v>19</v>
      </c>
    </row>
    <row r="2210" customFormat="false" ht="15" hidden="true" customHeight="true" outlineLevel="0" collapsed="false">
      <c r="F2210" s="116"/>
      <c r="G2210" s="116"/>
      <c r="K2210" s="104" t="n">
        <f aca="false">IF(A2210="",0,IF(IFERROR(VLOOKUP(A2210,Skills!$A:$M,13,FALSE()),"")="COS",0,IF(OR(I2210="En cours",I2210="À venir",I2210="À planifier"),IF(AND(OR($C$3="Tous",$C$3="",C2210=$C$3),OR($E$3="Tous",$E$3="",I2210=$E$3)),1,0),0)))</f>
        <v>0</v>
      </c>
      <c r="L2210" s="104" t="n">
        <f aca="false">L2209+K2210</f>
        <v>19</v>
      </c>
    </row>
    <row r="2211" customFormat="false" ht="15" hidden="true" customHeight="true" outlineLevel="0" collapsed="false">
      <c r="F2211" s="116"/>
      <c r="G2211" s="116"/>
      <c r="K2211" s="104" t="n">
        <f aca="false">IF(A2211="",0,IF(IFERROR(VLOOKUP(A2211,Skills!$A:$M,13,FALSE()),"")="COS",0,IF(OR(I2211="En cours",I2211="À venir",I2211="À planifier"),IF(AND(OR($C$3="Tous",$C$3="",C2211=$C$3),OR($E$3="Tous",$E$3="",I2211=$E$3)),1,0),0)))</f>
        <v>0</v>
      </c>
      <c r="L2211" s="104" t="n">
        <f aca="false">L2210+K2211</f>
        <v>19</v>
      </c>
    </row>
    <row r="2212" customFormat="false" ht="15" hidden="true" customHeight="true" outlineLevel="0" collapsed="false">
      <c r="F2212" s="116"/>
      <c r="G2212" s="116"/>
      <c r="K2212" s="104" t="n">
        <f aca="false">IF(A2212="",0,IF(IFERROR(VLOOKUP(A2212,Skills!$A:$M,13,FALSE()),"")="COS",0,IF(OR(I2212="En cours",I2212="À venir",I2212="À planifier"),IF(AND(OR($C$3="Tous",$C$3="",C2212=$C$3),OR($E$3="Tous",$E$3="",I2212=$E$3)),1,0),0)))</f>
        <v>0</v>
      </c>
      <c r="L2212" s="104" t="n">
        <f aca="false">L2211+K2212</f>
        <v>19</v>
      </c>
    </row>
    <row r="2213" customFormat="false" ht="15" hidden="true" customHeight="true" outlineLevel="0" collapsed="false">
      <c r="F2213" s="116"/>
      <c r="G2213" s="116"/>
      <c r="K2213" s="104" t="n">
        <f aca="false">IF(A2213="",0,IF(IFERROR(VLOOKUP(A2213,Skills!$A:$M,13,FALSE()),"")="COS",0,IF(OR(I2213="En cours",I2213="À venir",I2213="À planifier"),IF(AND(OR($C$3="Tous",$C$3="",C2213=$C$3),OR($E$3="Tous",$E$3="",I2213=$E$3)),1,0),0)))</f>
        <v>0</v>
      </c>
      <c r="L2213" s="104" t="n">
        <f aca="false">L2212+K2213</f>
        <v>19</v>
      </c>
    </row>
    <row r="2214" customFormat="false" ht="15" hidden="true" customHeight="true" outlineLevel="0" collapsed="false">
      <c r="F2214" s="116"/>
      <c r="G2214" s="116"/>
      <c r="K2214" s="104" t="n">
        <f aca="false">IF(A2214="",0,IF(IFERROR(VLOOKUP(A2214,Skills!$A:$M,13,FALSE()),"")="COS",0,IF(OR(I2214="En cours",I2214="À venir",I2214="À planifier"),IF(AND(OR($C$3="Tous",$C$3="",C2214=$C$3),OR($E$3="Tous",$E$3="",I2214=$E$3)),1,0),0)))</f>
        <v>0</v>
      </c>
      <c r="L2214" s="104" t="n">
        <f aca="false">L2213+K2214</f>
        <v>19</v>
      </c>
    </row>
    <row r="2215" customFormat="false" ht="15" hidden="true" customHeight="true" outlineLevel="0" collapsed="false">
      <c r="F2215" s="116"/>
      <c r="G2215" s="116"/>
      <c r="K2215" s="104" t="n">
        <f aca="false">IF(A2215="",0,IF(IFERROR(VLOOKUP(A2215,Skills!$A:$M,13,FALSE()),"")="COS",0,IF(OR(I2215="En cours",I2215="À venir",I2215="À planifier"),IF(AND(OR($C$3="Tous",$C$3="",C2215=$C$3),OR($E$3="Tous",$E$3="",I2215=$E$3)),1,0),0)))</f>
        <v>0</v>
      </c>
      <c r="L2215" s="104" t="n">
        <f aca="false">L2214+K2215</f>
        <v>19</v>
      </c>
    </row>
    <row r="2216" customFormat="false" ht="15" hidden="true" customHeight="true" outlineLevel="0" collapsed="false">
      <c r="F2216" s="116"/>
      <c r="G2216" s="116"/>
      <c r="K2216" s="104" t="n">
        <f aca="false">IF(A2216="",0,IF(IFERROR(VLOOKUP(A2216,Skills!$A:$M,13,FALSE()),"")="COS",0,IF(OR(I2216="En cours",I2216="À venir",I2216="À planifier"),IF(AND(OR($C$3="Tous",$C$3="",C2216=$C$3),OR($E$3="Tous",$E$3="",I2216=$E$3)),1,0),0)))</f>
        <v>0</v>
      </c>
      <c r="L2216" s="104" t="n">
        <f aca="false">L2215+K2216</f>
        <v>19</v>
      </c>
    </row>
    <row r="2217" customFormat="false" ht="15" hidden="true" customHeight="true" outlineLevel="0" collapsed="false">
      <c r="F2217" s="116"/>
      <c r="G2217" s="116"/>
      <c r="K2217" s="104" t="n">
        <f aca="false">IF(A2217="",0,IF(IFERROR(VLOOKUP(A2217,Skills!$A:$M,13,FALSE()),"")="COS",0,IF(OR(I2217="En cours",I2217="À venir",I2217="À planifier"),IF(AND(OR($C$3="Tous",$C$3="",C2217=$C$3),OR($E$3="Tous",$E$3="",I2217=$E$3)),1,0),0)))</f>
        <v>0</v>
      </c>
      <c r="L2217" s="104" t="n">
        <f aca="false">L2216+K2217</f>
        <v>19</v>
      </c>
    </row>
    <row r="2218" customFormat="false" ht="15" hidden="true" customHeight="true" outlineLevel="0" collapsed="false">
      <c r="F2218" s="116"/>
      <c r="G2218" s="116"/>
      <c r="K2218" s="104" t="n">
        <f aca="false">IF(A2218="",0,IF(IFERROR(VLOOKUP(A2218,Skills!$A:$M,13,FALSE()),"")="COS",0,IF(OR(I2218="En cours",I2218="À venir",I2218="À planifier"),IF(AND(OR($C$3="Tous",$C$3="",C2218=$C$3),OR($E$3="Tous",$E$3="",I2218=$E$3)),1,0),0)))</f>
        <v>0</v>
      </c>
      <c r="L2218" s="104" t="n">
        <f aca="false">L2217+K2218</f>
        <v>19</v>
      </c>
    </row>
    <row r="2219" customFormat="false" ht="15" hidden="true" customHeight="true" outlineLevel="0" collapsed="false">
      <c r="F2219" s="116"/>
      <c r="G2219" s="116"/>
      <c r="K2219" s="104" t="n">
        <f aca="false">IF(A2219="",0,IF(IFERROR(VLOOKUP(A2219,Skills!$A:$M,13,FALSE()),"")="COS",0,IF(OR(I2219="En cours",I2219="À venir",I2219="À planifier"),IF(AND(OR($C$3="Tous",$C$3="",C2219=$C$3),OR($E$3="Tous",$E$3="",I2219=$E$3)),1,0),0)))</f>
        <v>0</v>
      </c>
      <c r="L2219" s="104" t="n">
        <f aca="false">L2218+K2219</f>
        <v>19</v>
      </c>
    </row>
    <row r="2220" customFormat="false" ht="15" hidden="true" customHeight="true" outlineLevel="0" collapsed="false">
      <c r="F2220" s="116"/>
      <c r="G2220" s="116"/>
      <c r="K2220" s="104" t="n">
        <f aca="false">IF(A2220="",0,IF(IFERROR(VLOOKUP(A2220,Skills!$A:$M,13,FALSE()),"")="COS",0,IF(OR(I2220="En cours",I2220="À venir",I2220="À planifier"),IF(AND(OR($C$3="Tous",$C$3="",C2220=$C$3),OR($E$3="Tous",$E$3="",I2220=$E$3)),1,0),0)))</f>
        <v>0</v>
      </c>
      <c r="L2220" s="104" t="n">
        <f aca="false">L2219+K2220</f>
        <v>19</v>
      </c>
    </row>
    <row r="2221" customFormat="false" ht="15" hidden="true" customHeight="true" outlineLevel="0" collapsed="false">
      <c r="F2221" s="116"/>
      <c r="G2221" s="116"/>
      <c r="K2221" s="104" t="n">
        <f aca="false">IF(A2221="",0,IF(IFERROR(VLOOKUP(A2221,Skills!$A:$M,13,FALSE()),"")="COS",0,IF(OR(I2221="En cours",I2221="À venir",I2221="À planifier"),IF(AND(OR($C$3="Tous",$C$3="",C2221=$C$3),OR($E$3="Tous",$E$3="",I2221=$E$3)),1,0),0)))</f>
        <v>0</v>
      </c>
      <c r="L2221" s="104" t="n">
        <f aca="false">L2220+K2221</f>
        <v>19</v>
      </c>
    </row>
    <row r="2222" customFormat="false" ht="15" hidden="true" customHeight="true" outlineLevel="0" collapsed="false">
      <c r="F2222" s="116"/>
      <c r="G2222" s="116"/>
      <c r="K2222" s="104" t="n">
        <f aca="false">IF(A2222="",0,IF(IFERROR(VLOOKUP(A2222,Skills!$A:$M,13,FALSE()),"")="COS",0,IF(OR(I2222="En cours",I2222="À venir",I2222="À planifier"),IF(AND(OR($C$3="Tous",$C$3="",C2222=$C$3),OR($E$3="Tous",$E$3="",I2222=$E$3)),1,0),0)))</f>
        <v>0</v>
      </c>
      <c r="L2222" s="104" t="n">
        <f aca="false">L2221+K2222</f>
        <v>19</v>
      </c>
    </row>
    <row r="2223" customFormat="false" ht="15" hidden="true" customHeight="true" outlineLevel="0" collapsed="false">
      <c r="F2223" s="116"/>
      <c r="G2223" s="116"/>
      <c r="K2223" s="104" t="n">
        <f aca="false">IF(A2223="",0,IF(IFERROR(VLOOKUP(A2223,Skills!$A:$M,13,FALSE()),"")="COS",0,IF(OR(I2223="En cours",I2223="À venir",I2223="À planifier"),IF(AND(OR($C$3="Tous",$C$3="",C2223=$C$3),OR($E$3="Tous",$E$3="",I2223=$E$3)),1,0),0)))</f>
        <v>0</v>
      </c>
      <c r="L2223" s="104" t="n">
        <f aca="false">L2222+K2223</f>
        <v>19</v>
      </c>
    </row>
    <row r="2224" customFormat="false" ht="15" hidden="true" customHeight="true" outlineLevel="0" collapsed="false">
      <c r="F2224" s="116"/>
      <c r="G2224" s="116"/>
      <c r="K2224" s="104" t="n">
        <f aca="false">IF(A2224="",0,IF(IFERROR(VLOOKUP(A2224,Skills!$A:$M,13,FALSE()),"")="COS",0,IF(OR(I2224="En cours",I2224="À venir",I2224="À planifier"),IF(AND(OR($C$3="Tous",$C$3="",C2224=$C$3),OR($E$3="Tous",$E$3="",I2224=$E$3)),1,0),0)))</f>
        <v>0</v>
      </c>
      <c r="L2224" s="104" t="n">
        <f aca="false">L2223+K2224</f>
        <v>19</v>
      </c>
    </row>
    <row r="2225" customFormat="false" ht="15" hidden="true" customHeight="true" outlineLevel="0" collapsed="false">
      <c r="F2225" s="116"/>
      <c r="G2225" s="116"/>
      <c r="K2225" s="104" t="n">
        <f aca="false">IF(A2225="",0,IF(IFERROR(VLOOKUP(A2225,Skills!$A:$M,13,FALSE()),"")="COS",0,IF(OR(I2225="En cours",I2225="À venir",I2225="À planifier"),IF(AND(OR($C$3="Tous",$C$3="",C2225=$C$3),OR($E$3="Tous",$E$3="",I2225=$E$3)),1,0),0)))</f>
        <v>0</v>
      </c>
      <c r="L2225" s="104" t="n">
        <f aca="false">L2224+K2225</f>
        <v>19</v>
      </c>
    </row>
    <row r="2226" customFormat="false" ht="15" hidden="true" customHeight="true" outlineLevel="0" collapsed="false">
      <c r="F2226" s="116"/>
      <c r="G2226" s="116"/>
      <c r="K2226" s="104" t="n">
        <f aca="false">IF(A2226="",0,IF(IFERROR(VLOOKUP(A2226,Skills!$A:$M,13,FALSE()),"")="COS",0,IF(OR(I2226="En cours",I2226="À venir",I2226="À planifier"),IF(AND(OR($C$3="Tous",$C$3="",C2226=$C$3),OR($E$3="Tous",$E$3="",I2226=$E$3)),1,0),0)))</f>
        <v>0</v>
      </c>
      <c r="L2226" s="104" t="n">
        <f aca="false">L2225+K2226</f>
        <v>19</v>
      </c>
    </row>
    <row r="2227" customFormat="false" ht="15" hidden="true" customHeight="true" outlineLevel="0" collapsed="false">
      <c r="F2227" s="116"/>
      <c r="G2227" s="116"/>
      <c r="K2227" s="104" t="n">
        <f aca="false">IF(A2227="",0,IF(IFERROR(VLOOKUP(A2227,Skills!$A:$M,13,FALSE()),"")="COS",0,IF(OR(I2227="En cours",I2227="À venir",I2227="À planifier"),IF(AND(OR($C$3="Tous",$C$3="",C2227=$C$3),OR($E$3="Tous",$E$3="",I2227=$E$3)),1,0),0)))</f>
        <v>0</v>
      </c>
      <c r="L2227" s="104" t="n">
        <f aca="false">L2226+K2227</f>
        <v>19</v>
      </c>
    </row>
    <row r="2228" customFormat="false" ht="15" hidden="true" customHeight="true" outlineLevel="0" collapsed="false">
      <c r="F2228" s="116"/>
      <c r="G2228" s="116"/>
      <c r="K2228" s="104" t="n">
        <f aca="false">IF(A2228="",0,IF(IFERROR(VLOOKUP(A2228,Skills!$A:$M,13,FALSE()),"")="COS",0,IF(OR(I2228="En cours",I2228="À venir",I2228="À planifier"),IF(AND(OR($C$3="Tous",$C$3="",C2228=$C$3),OR($E$3="Tous",$E$3="",I2228=$E$3)),1,0),0)))</f>
        <v>0</v>
      </c>
      <c r="L2228" s="104" t="n">
        <f aca="false">L2227+K2228</f>
        <v>19</v>
      </c>
    </row>
    <row r="2229" customFormat="false" ht="15" hidden="true" customHeight="true" outlineLevel="0" collapsed="false">
      <c r="F2229" s="116"/>
      <c r="G2229" s="116"/>
      <c r="K2229" s="104" t="n">
        <f aca="false">IF(A2229="",0,IF(IFERROR(VLOOKUP(A2229,Skills!$A:$M,13,FALSE()),"")="COS",0,IF(OR(I2229="En cours",I2229="À venir",I2229="À planifier"),IF(AND(OR($C$3="Tous",$C$3="",C2229=$C$3),OR($E$3="Tous",$E$3="",I2229=$E$3)),1,0),0)))</f>
        <v>0</v>
      </c>
      <c r="L2229" s="104" t="n">
        <f aca="false">L2228+K2229</f>
        <v>19</v>
      </c>
    </row>
    <row r="2230" customFormat="false" ht="15" hidden="true" customHeight="true" outlineLevel="0" collapsed="false">
      <c r="F2230" s="116"/>
      <c r="G2230" s="116"/>
      <c r="K2230" s="104" t="n">
        <f aca="false">IF(A2230="",0,IF(IFERROR(VLOOKUP(A2230,Skills!$A:$M,13,FALSE()),"")="COS",0,IF(OR(I2230="En cours",I2230="À venir",I2230="À planifier"),IF(AND(OR($C$3="Tous",$C$3="",C2230=$C$3),OR($E$3="Tous",$E$3="",I2230=$E$3)),1,0),0)))</f>
        <v>0</v>
      </c>
      <c r="L2230" s="104" t="n">
        <f aca="false">L2229+K2230</f>
        <v>19</v>
      </c>
    </row>
    <row r="2231" customFormat="false" ht="15" hidden="true" customHeight="true" outlineLevel="0" collapsed="false">
      <c r="F2231" s="116"/>
      <c r="G2231" s="116"/>
      <c r="K2231" s="104" t="n">
        <f aca="false">IF(A2231="",0,IF(IFERROR(VLOOKUP(A2231,Skills!$A:$M,13,FALSE()),"")="COS",0,IF(OR(I2231="En cours",I2231="À venir",I2231="À planifier"),IF(AND(OR($C$3="Tous",$C$3="",C2231=$C$3),OR($E$3="Tous",$E$3="",I2231=$E$3)),1,0),0)))</f>
        <v>0</v>
      </c>
      <c r="L2231" s="104" t="n">
        <f aca="false">L2230+K2231</f>
        <v>19</v>
      </c>
    </row>
    <row r="2232" customFormat="false" ht="15" hidden="true" customHeight="true" outlineLevel="0" collapsed="false">
      <c r="F2232" s="116"/>
      <c r="G2232" s="116"/>
      <c r="K2232" s="104" t="n">
        <f aca="false">IF(A2232="",0,IF(IFERROR(VLOOKUP(A2232,Skills!$A:$M,13,FALSE()),"")="COS",0,IF(OR(I2232="En cours",I2232="À venir",I2232="À planifier"),IF(AND(OR($C$3="Tous",$C$3="",C2232=$C$3),OR($E$3="Tous",$E$3="",I2232=$E$3)),1,0),0)))</f>
        <v>0</v>
      </c>
      <c r="L2232" s="104" t="n">
        <f aca="false">L2231+K2232</f>
        <v>19</v>
      </c>
    </row>
    <row r="2233" customFormat="false" ht="15" hidden="true" customHeight="true" outlineLevel="0" collapsed="false">
      <c r="F2233" s="116"/>
      <c r="G2233" s="116"/>
      <c r="K2233" s="104" t="n">
        <f aca="false">IF(A2233="",0,IF(IFERROR(VLOOKUP(A2233,Skills!$A:$M,13,FALSE()),"")="COS",0,IF(OR(I2233="En cours",I2233="À venir",I2233="À planifier"),IF(AND(OR($C$3="Tous",$C$3="",C2233=$C$3),OR($E$3="Tous",$E$3="",I2233=$E$3)),1,0),0)))</f>
        <v>0</v>
      </c>
      <c r="L2233" s="104" t="n">
        <f aca="false">L2232+K2233</f>
        <v>19</v>
      </c>
    </row>
    <row r="2234" customFormat="false" ht="15" hidden="true" customHeight="true" outlineLevel="0" collapsed="false">
      <c r="F2234" s="116"/>
      <c r="G2234" s="116"/>
      <c r="K2234" s="104" t="n">
        <f aca="false">IF(A2234="",0,IF(IFERROR(VLOOKUP(A2234,Skills!$A:$M,13,FALSE()),"")="COS",0,IF(OR(I2234="En cours",I2234="À venir",I2234="À planifier"),IF(AND(OR($C$3="Tous",$C$3="",C2234=$C$3),OR($E$3="Tous",$E$3="",I2234=$E$3)),1,0),0)))</f>
        <v>0</v>
      </c>
      <c r="L2234" s="104" t="n">
        <f aca="false">L2233+K2234</f>
        <v>19</v>
      </c>
    </row>
    <row r="2235" customFormat="false" ht="15" hidden="true" customHeight="true" outlineLevel="0" collapsed="false">
      <c r="F2235" s="116"/>
      <c r="G2235" s="116"/>
      <c r="K2235" s="104" t="n">
        <f aca="false">IF(A2235="",0,IF(IFERROR(VLOOKUP(A2235,Skills!$A:$M,13,FALSE()),"")="COS",0,IF(OR(I2235="En cours",I2235="À venir",I2235="À planifier"),IF(AND(OR($C$3="Tous",$C$3="",C2235=$C$3),OR($E$3="Tous",$E$3="",I2235=$E$3)),1,0),0)))</f>
        <v>0</v>
      </c>
      <c r="L2235" s="104" t="n">
        <f aca="false">L2234+K2235</f>
        <v>19</v>
      </c>
    </row>
    <row r="2236" customFormat="false" ht="15" hidden="true" customHeight="true" outlineLevel="0" collapsed="false">
      <c r="F2236" s="116"/>
      <c r="G2236" s="116"/>
      <c r="K2236" s="104" t="n">
        <f aca="false">IF(A2236="",0,IF(IFERROR(VLOOKUP(A2236,Skills!$A:$M,13,FALSE()),"")="COS",0,IF(OR(I2236="En cours",I2236="À venir",I2236="À planifier"),IF(AND(OR($C$3="Tous",$C$3="",C2236=$C$3),OR($E$3="Tous",$E$3="",I2236=$E$3)),1,0),0)))</f>
        <v>0</v>
      </c>
      <c r="L2236" s="104" t="n">
        <f aca="false">L2235+K2236</f>
        <v>19</v>
      </c>
    </row>
    <row r="2237" customFormat="false" ht="15" hidden="true" customHeight="true" outlineLevel="0" collapsed="false">
      <c r="F2237" s="116"/>
      <c r="G2237" s="116"/>
      <c r="K2237" s="104" t="n">
        <f aca="false">IF(A2237="",0,IF(IFERROR(VLOOKUP(A2237,Skills!$A:$M,13,FALSE()),"")="COS",0,IF(OR(I2237="En cours",I2237="À venir",I2237="À planifier"),IF(AND(OR($C$3="Tous",$C$3="",C2237=$C$3),OR($E$3="Tous",$E$3="",I2237=$E$3)),1,0),0)))</f>
        <v>0</v>
      </c>
      <c r="L2237" s="104" t="n">
        <f aca="false">L2236+K2237</f>
        <v>19</v>
      </c>
    </row>
    <row r="2238" customFormat="false" ht="15" hidden="true" customHeight="true" outlineLevel="0" collapsed="false">
      <c r="F2238" s="116"/>
      <c r="G2238" s="116"/>
      <c r="K2238" s="104" t="n">
        <f aca="false">IF(A2238="",0,IF(IFERROR(VLOOKUP(A2238,Skills!$A:$M,13,FALSE()),"")="COS",0,IF(OR(I2238="En cours",I2238="À venir",I2238="À planifier"),IF(AND(OR($C$3="Tous",$C$3="",C2238=$C$3),OR($E$3="Tous",$E$3="",I2238=$E$3)),1,0),0)))</f>
        <v>0</v>
      </c>
      <c r="L2238" s="104" t="n">
        <f aca="false">L2237+K2238</f>
        <v>19</v>
      </c>
    </row>
    <row r="2239" customFormat="false" ht="15" hidden="true" customHeight="true" outlineLevel="0" collapsed="false">
      <c r="F2239" s="116"/>
      <c r="G2239" s="116"/>
      <c r="K2239" s="104" t="n">
        <f aca="false">IF(A2239="",0,IF(IFERROR(VLOOKUP(A2239,Skills!$A:$M,13,FALSE()),"")="COS",0,IF(OR(I2239="En cours",I2239="À venir",I2239="À planifier"),IF(AND(OR($C$3="Tous",$C$3="",C2239=$C$3),OR($E$3="Tous",$E$3="",I2239=$E$3)),1,0),0)))</f>
        <v>0</v>
      </c>
      <c r="L2239" s="104" t="n">
        <f aca="false">L2238+K2239</f>
        <v>19</v>
      </c>
    </row>
    <row r="2240" customFormat="false" ht="15" hidden="true" customHeight="true" outlineLevel="0" collapsed="false">
      <c r="F2240" s="116"/>
      <c r="G2240" s="116"/>
      <c r="K2240" s="104" t="n">
        <f aca="false">IF(A2240="",0,IF(IFERROR(VLOOKUP(A2240,Skills!$A:$M,13,FALSE()),"")="COS",0,IF(OR(I2240="En cours",I2240="À venir",I2240="À planifier"),IF(AND(OR($C$3="Tous",$C$3="",C2240=$C$3),OR($E$3="Tous",$E$3="",I2240=$E$3)),1,0),0)))</f>
        <v>0</v>
      </c>
      <c r="L2240" s="104" t="n">
        <f aca="false">L2239+K2240</f>
        <v>19</v>
      </c>
    </row>
    <row r="2241" customFormat="false" ht="15" hidden="true" customHeight="true" outlineLevel="0" collapsed="false">
      <c r="F2241" s="116"/>
      <c r="G2241" s="116"/>
      <c r="K2241" s="104" t="n">
        <f aca="false">IF(A2241="",0,IF(IFERROR(VLOOKUP(A2241,Skills!$A:$M,13,FALSE()),"")="COS",0,IF(OR(I2241="En cours",I2241="À venir",I2241="À planifier"),IF(AND(OR($C$3="Tous",$C$3="",C2241=$C$3),OR($E$3="Tous",$E$3="",I2241=$E$3)),1,0),0)))</f>
        <v>0</v>
      </c>
      <c r="L2241" s="104" t="n">
        <f aca="false">L2240+K2241</f>
        <v>19</v>
      </c>
    </row>
    <row r="2242" customFormat="false" ht="15" hidden="true" customHeight="true" outlineLevel="0" collapsed="false">
      <c r="F2242" s="116"/>
      <c r="G2242" s="116"/>
      <c r="K2242" s="104" t="n">
        <f aca="false">IF(A2242="",0,IF(IFERROR(VLOOKUP(A2242,Skills!$A:$M,13,FALSE()),"")="COS",0,IF(OR(I2242="En cours",I2242="À venir",I2242="À planifier"),IF(AND(OR($C$3="Tous",$C$3="",C2242=$C$3),OR($E$3="Tous",$E$3="",I2242=$E$3)),1,0),0)))</f>
        <v>0</v>
      </c>
      <c r="L2242" s="104" t="n">
        <f aca="false">L2241+K2242</f>
        <v>19</v>
      </c>
    </row>
    <row r="2243" customFormat="false" ht="15" hidden="true" customHeight="true" outlineLevel="0" collapsed="false">
      <c r="F2243" s="116"/>
      <c r="G2243" s="116"/>
      <c r="K2243" s="104" t="n">
        <f aca="false">IF(A2243="",0,IF(IFERROR(VLOOKUP(A2243,Skills!$A:$M,13,FALSE()),"")="COS",0,IF(OR(I2243="En cours",I2243="À venir",I2243="À planifier"),IF(AND(OR($C$3="Tous",$C$3="",C2243=$C$3),OR($E$3="Tous",$E$3="",I2243=$E$3)),1,0),0)))</f>
        <v>0</v>
      </c>
      <c r="L2243" s="104" t="n">
        <f aca="false">L2242+K2243</f>
        <v>19</v>
      </c>
    </row>
    <row r="2244" customFormat="false" ht="15" hidden="true" customHeight="true" outlineLevel="0" collapsed="false">
      <c r="F2244" s="116"/>
      <c r="G2244" s="116"/>
      <c r="K2244" s="104" t="n">
        <f aca="false">IF(A2244="",0,IF(IFERROR(VLOOKUP(A2244,Skills!$A:$M,13,FALSE()),"")="COS",0,IF(OR(I2244="En cours",I2244="À venir",I2244="À planifier"),IF(AND(OR($C$3="Tous",$C$3="",C2244=$C$3),OR($E$3="Tous",$E$3="",I2244=$E$3)),1,0),0)))</f>
        <v>0</v>
      </c>
      <c r="L2244" s="104" t="n">
        <f aca="false">L2243+K2244</f>
        <v>19</v>
      </c>
    </row>
    <row r="2245" customFormat="false" ht="15" hidden="true" customHeight="true" outlineLevel="0" collapsed="false">
      <c r="F2245" s="116"/>
      <c r="G2245" s="116"/>
      <c r="K2245" s="104" t="n">
        <f aca="false">IF(A2245="",0,IF(IFERROR(VLOOKUP(A2245,Skills!$A:$M,13,FALSE()),"")="COS",0,IF(OR(I2245="En cours",I2245="À venir",I2245="À planifier"),IF(AND(OR($C$3="Tous",$C$3="",C2245=$C$3),OR($E$3="Tous",$E$3="",I2245=$E$3)),1,0),0)))</f>
        <v>0</v>
      </c>
      <c r="L2245" s="104" t="n">
        <f aca="false">L2244+K2245</f>
        <v>19</v>
      </c>
    </row>
    <row r="2246" customFormat="false" ht="15" hidden="true" customHeight="true" outlineLevel="0" collapsed="false">
      <c r="F2246" s="116"/>
      <c r="G2246" s="116"/>
      <c r="K2246" s="104" t="n">
        <f aca="false">IF(A2246="",0,IF(IFERROR(VLOOKUP(A2246,Skills!$A:$M,13,FALSE()),"")="COS",0,IF(OR(I2246="En cours",I2246="À venir",I2246="À planifier"),IF(AND(OR($C$3="Tous",$C$3="",C2246=$C$3),OR($E$3="Tous",$E$3="",I2246=$E$3)),1,0),0)))</f>
        <v>0</v>
      </c>
      <c r="L2246" s="104" t="n">
        <f aca="false">L2245+K2246</f>
        <v>19</v>
      </c>
    </row>
    <row r="2247" customFormat="false" ht="15" hidden="true" customHeight="true" outlineLevel="0" collapsed="false">
      <c r="F2247" s="116"/>
      <c r="G2247" s="116"/>
      <c r="K2247" s="104" t="n">
        <f aca="false">IF(A2247="",0,IF(IFERROR(VLOOKUP(A2247,Skills!$A:$M,13,FALSE()),"")="COS",0,IF(OR(I2247="En cours",I2247="À venir",I2247="À planifier"),IF(AND(OR($C$3="Tous",$C$3="",C2247=$C$3),OR($E$3="Tous",$E$3="",I2247=$E$3)),1,0),0)))</f>
        <v>0</v>
      </c>
      <c r="L2247" s="104" t="n">
        <f aca="false">L2246+K2247</f>
        <v>19</v>
      </c>
    </row>
    <row r="2248" customFormat="false" ht="15" hidden="true" customHeight="true" outlineLevel="0" collapsed="false">
      <c r="F2248" s="116"/>
      <c r="G2248" s="116"/>
      <c r="K2248" s="104" t="n">
        <f aca="false">IF(A2248="",0,IF(IFERROR(VLOOKUP(A2248,Skills!$A:$M,13,FALSE()),"")="COS",0,IF(OR(I2248="En cours",I2248="À venir",I2248="À planifier"),IF(AND(OR($C$3="Tous",$C$3="",C2248=$C$3),OR($E$3="Tous",$E$3="",I2248=$E$3)),1,0),0)))</f>
        <v>0</v>
      </c>
      <c r="L2248" s="104" t="n">
        <f aca="false">L2247+K2248</f>
        <v>19</v>
      </c>
    </row>
    <row r="2249" customFormat="false" ht="15" hidden="true" customHeight="true" outlineLevel="0" collapsed="false">
      <c r="F2249" s="116"/>
      <c r="G2249" s="116"/>
      <c r="K2249" s="104" t="n">
        <f aca="false">IF(A2249="",0,IF(IFERROR(VLOOKUP(A2249,Skills!$A:$M,13,FALSE()),"")="COS",0,IF(OR(I2249="En cours",I2249="À venir",I2249="À planifier"),IF(AND(OR($C$3="Tous",$C$3="",C2249=$C$3),OR($E$3="Tous",$E$3="",I2249=$E$3)),1,0),0)))</f>
        <v>0</v>
      </c>
      <c r="L2249" s="104" t="n">
        <f aca="false">L2248+K2249</f>
        <v>19</v>
      </c>
    </row>
    <row r="2250" customFormat="false" ht="15" hidden="true" customHeight="true" outlineLevel="0" collapsed="false">
      <c r="F2250" s="116"/>
      <c r="G2250" s="116"/>
      <c r="K2250" s="104" t="n">
        <f aca="false">IF(A2250="",0,IF(IFERROR(VLOOKUP(A2250,Skills!$A:$M,13,FALSE()),"")="COS",0,IF(OR(I2250="En cours",I2250="À venir",I2250="À planifier"),IF(AND(OR($C$3="Tous",$C$3="",C2250=$C$3),OR($E$3="Tous",$E$3="",I2250=$E$3)),1,0),0)))</f>
        <v>0</v>
      </c>
      <c r="L2250" s="104" t="n">
        <f aca="false">L2249+K2250</f>
        <v>19</v>
      </c>
    </row>
    <row r="2251" customFormat="false" ht="15" hidden="true" customHeight="true" outlineLevel="0" collapsed="false">
      <c r="F2251" s="116"/>
      <c r="G2251" s="116"/>
      <c r="K2251" s="104" t="n">
        <f aca="false">IF(A2251="",0,IF(IFERROR(VLOOKUP(A2251,Skills!$A:$M,13,FALSE()),"")="COS",0,IF(OR(I2251="En cours",I2251="À venir",I2251="À planifier"),IF(AND(OR($C$3="Tous",$C$3="",C2251=$C$3),OR($E$3="Tous",$E$3="",I2251=$E$3)),1,0),0)))</f>
        <v>0</v>
      </c>
      <c r="L2251" s="104" t="n">
        <f aca="false">L2250+K2251</f>
        <v>19</v>
      </c>
    </row>
    <row r="2252" customFormat="false" ht="15" hidden="true" customHeight="true" outlineLevel="0" collapsed="false">
      <c r="F2252" s="116"/>
      <c r="G2252" s="116"/>
      <c r="K2252" s="104" t="n">
        <f aca="false">IF(A2252="",0,IF(IFERROR(VLOOKUP(A2252,Skills!$A:$M,13,FALSE()),"")="COS",0,IF(OR(I2252="En cours",I2252="À venir",I2252="À planifier"),IF(AND(OR($C$3="Tous",$C$3="",C2252=$C$3),OR($E$3="Tous",$E$3="",I2252=$E$3)),1,0),0)))</f>
        <v>0</v>
      </c>
      <c r="L2252" s="104" t="n">
        <f aca="false">L2251+K2252</f>
        <v>19</v>
      </c>
    </row>
    <row r="2253" customFormat="false" ht="15" hidden="true" customHeight="true" outlineLevel="0" collapsed="false">
      <c r="F2253" s="116"/>
      <c r="G2253" s="116"/>
      <c r="K2253" s="104" t="n">
        <f aca="false">IF(A2253="",0,IF(IFERROR(VLOOKUP(A2253,Skills!$A:$M,13,FALSE()),"")="COS",0,IF(OR(I2253="En cours",I2253="À venir",I2253="À planifier"),IF(AND(OR($C$3="Tous",$C$3="",C2253=$C$3),OR($E$3="Tous",$E$3="",I2253=$E$3)),1,0),0)))</f>
        <v>0</v>
      </c>
      <c r="L2253" s="104" t="n">
        <f aca="false">L2252+K2253</f>
        <v>19</v>
      </c>
    </row>
    <row r="2254" customFormat="false" ht="15" hidden="true" customHeight="true" outlineLevel="0" collapsed="false">
      <c r="F2254" s="116"/>
      <c r="G2254" s="116"/>
      <c r="K2254" s="104" t="n">
        <f aca="false">IF(A2254="",0,IF(IFERROR(VLOOKUP(A2254,Skills!$A:$M,13,FALSE()),"")="COS",0,IF(OR(I2254="En cours",I2254="À venir",I2254="À planifier"),IF(AND(OR($C$3="Tous",$C$3="",C2254=$C$3),OR($E$3="Tous",$E$3="",I2254=$E$3)),1,0),0)))</f>
        <v>0</v>
      </c>
      <c r="L2254" s="104" t="n">
        <f aca="false">L2253+K2254</f>
        <v>19</v>
      </c>
    </row>
    <row r="2255" customFormat="false" ht="15" hidden="true" customHeight="true" outlineLevel="0" collapsed="false">
      <c r="F2255" s="116"/>
      <c r="G2255" s="116"/>
      <c r="K2255" s="104" t="n">
        <f aca="false">IF(A2255="",0,IF(IFERROR(VLOOKUP(A2255,Skills!$A:$M,13,FALSE()),"")="COS",0,IF(OR(I2255="En cours",I2255="À venir",I2255="À planifier"),IF(AND(OR($C$3="Tous",$C$3="",C2255=$C$3),OR($E$3="Tous",$E$3="",I2255=$E$3)),1,0),0)))</f>
        <v>0</v>
      </c>
      <c r="L2255" s="104" t="n">
        <f aca="false">L2254+K2255</f>
        <v>19</v>
      </c>
    </row>
    <row r="2256" customFormat="false" ht="15" hidden="true" customHeight="true" outlineLevel="0" collapsed="false">
      <c r="F2256" s="116"/>
      <c r="G2256" s="116"/>
      <c r="K2256" s="104" t="n">
        <f aca="false">IF(A2256="",0,IF(IFERROR(VLOOKUP(A2256,Skills!$A:$M,13,FALSE()),"")="COS",0,IF(OR(I2256="En cours",I2256="À venir",I2256="À planifier"),IF(AND(OR($C$3="Tous",$C$3="",C2256=$C$3),OR($E$3="Tous",$E$3="",I2256=$E$3)),1,0),0)))</f>
        <v>0</v>
      </c>
      <c r="L2256" s="104" t="n">
        <f aca="false">L2255+K2256</f>
        <v>19</v>
      </c>
    </row>
    <row r="2257" customFormat="false" ht="15" hidden="true" customHeight="true" outlineLevel="0" collapsed="false">
      <c r="F2257" s="116"/>
      <c r="G2257" s="116"/>
      <c r="K2257" s="104" t="n">
        <f aca="false">IF(A2257="",0,IF(IFERROR(VLOOKUP(A2257,Skills!$A:$M,13,FALSE()),"")="COS",0,IF(OR(I2257="En cours",I2257="À venir",I2257="À planifier"),IF(AND(OR($C$3="Tous",$C$3="",C2257=$C$3),OR($E$3="Tous",$E$3="",I2257=$E$3)),1,0),0)))</f>
        <v>0</v>
      </c>
      <c r="L2257" s="104" t="n">
        <f aca="false">L2256+K2257</f>
        <v>19</v>
      </c>
    </row>
    <row r="2258" customFormat="false" ht="15" hidden="true" customHeight="true" outlineLevel="0" collapsed="false">
      <c r="F2258" s="116"/>
      <c r="G2258" s="116"/>
      <c r="K2258" s="104" t="n">
        <f aca="false">IF(A2258="",0,IF(IFERROR(VLOOKUP(A2258,Skills!$A:$M,13,FALSE()),"")="COS",0,IF(OR(I2258="En cours",I2258="À venir",I2258="À planifier"),IF(AND(OR($C$3="Tous",$C$3="",C2258=$C$3),OR($E$3="Tous",$E$3="",I2258=$E$3)),1,0),0)))</f>
        <v>0</v>
      </c>
      <c r="L2258" s="104" t="n">
        <f aca="false">L2257+K2258</f>
        <v>19</v>
      </c>
    </row>
    <row r="2259" customFormat="false" ht="15" hidden="true" customHeight="true" outlineLevel="0" collapsed="false">
      <c r="F2259" s="116"/>
      <c r="G2259" s="116"/>
      <c r="K2259" s="104" t="n">
        <f aca="false">IF(A2259="",0,IF(IFERROR(VLOOKUP(A2259,Skills!$A:$M,13,FALSE()),"")="COS",0,IF(OR(I2259="En cours",I2259="À venir",I2259="À planifier"),IF(AND(OR($C$3="Tous",$C$3="",C2259=$C$3),OR($E$3="Tous",$E$3="",I2259=$E$3)),1,0),0)))</f>
        <v>0</v>
      </c>
      <c r="L2259" s="104" t="n">
        <f aca="false">L2258+K2259</f>
        <v>19</v>
      </c>
    </row>
    <row r="2260" customFormat="false" ht="15" hidden="true" customHeight="true" outlineLevel="0" collapsed="false">
      <c r="F2260" s="116"/>
      <c r="G2260" s="116"/>
      <c r="K2260" s="104" t="n">
        <f aca="false">IF(A2260="",0,IF(IFERROR(VLOOKUP(A2260,Skills!$A:$M,13,FALSE()),"")="COS",0,IF(OR(I2260="En cours",I2260="À venir",I2260="À planifier"),IF(AND(OR($C$3="Tous",$C$3="",C2260=$C$3),OR($E$3="Tous",$E$3="",I2260=$E$3)),1,0),0)))</f>
        <v>0</v>
      </c>
      <c r="L2260" s="104" t="n">
        <f aca="false">L2259+K2260</f>
        <v>19</v>
      </c>
    </row>
    <row r="2261" customFormat="false" ht="15" hidden="true" customHeight="true" outlineLevel="0" collapsed="false">
      <c r="F2261" s="116"/>
      <c r="G2261" s="116"/>
      <c r="K2261" s="104" t="n">
        <f aca="false">IF(A2261="",0,IF(IFERROR(VLOOKUP(A2261,Skills!$A:$M,13,FALSE()),"")="COS",0,IF(OR(I2261="En cours",I2261="À venir",I2261="À planifier"),IF(AND(OR($C$3="Tous",$C$3="",C2261=$C$3),OR($E$3="Tous",$E$3="",I2261=$E$3)),1,0),0)))</f>
        <v>0</v>
      </c>
      <c r="L2261" s="104" t="n">
        <f aca="false">L2260+K2261</f>
        <v>19</v>
      </c>
    </row>
    <row r="2262" customFormat="false" ht="15" hidden="true" customHeight="true" outlineLevel="0" collapsed="false">
      <c r="F2262" s="116"/>
      <c r="G2262" s="116"/>
      <c r="K2262" s="104" t="n">
        <f aca="false">IF(A2262="",0,IF(IFERROR(VLOOKUP(A2262,Skills!$A:$M,13,FALSE()),"")="COS",0,IF(OR(I2262="En cours",I2262="À venir",I2262="À planifier"),IF(AND(OR($C$3="Tous",$C$3="",C2262=$C$3),OR($E$3="Tous",$E$3="",I2262=$E$3)),1,0),0)))</f>
        <v>0</v>
      </c>
      <c r="L2262" s="104" t="n">
        <f aca="false">L2261+K2262</f>
        <v>19</v>
      </c>
    </row>
    <row r="2263" customFormat="false" ht="15" hidden="true" customHeight="true" outlineLevel="0" collapsed="false">
      <c r="F2263" s="116"/>
      <c r="G2263" s="116"/>
      <c r="K2263" s="104" t="n">
        <f aca="false">IF(A2263="",0,IF(IFERROR(VLOOKUP(A2263,Skills!$A:$M,13,FALSE()),"")="COS",0,IF(OR(I2263="En cours",I2263="À venir",I2263="À planifier"),IF(AND(OR($C$3="Tous",$C$3="",C2263=$C$3),OR($E$3="Tous",$E$3="",I2263=$E$3)),1,0),0)))</f>
        <v>0</v>
      </c>
      <c r="L2263" s="104" t="n">
        <f aca="false">L2262+K2263</f>
        <v>19</v>
      </c>
    </row>
    <row r="2264" customFormat="false" ht="15" hidden="true" customHeight="true" outlineLevel="0" collapsed="false">
      <c r="F2264" s="116"/>
      <c r="G2264" s="116"/>
      <c r="K2264" s="104" t="n">
        <f aca="false">IF(A2264="",0,IF(IFERROR(VLOOKUP(A2264,Skills!$A:$M,13,FALSE()),"")="COS",0,IF(OR(I2264="En cours",I2264="À venir",I2264="À planifier"),IF(AND(OR($C$3="Tous",$C$3="",C2264=$C$3),OR($E$3="Tous",$E$3="",I2264=$E$3)),1,0),0)))</f>
        <v>0</v>
      </c>
      <c r="L2264" s="104" t="n">
        <f aca="false">L2263+K2264</f>
        <v>19</v>
      </c>
    </row>
    <row r="2265" customFormat="false" ht="15" hidden="true" customHeight="true" outlineLevel="0" collapsed="false">
      <c r="F2265" s="116"/>
      <c r="G2265" s="116"/>
      <c r="K2265" s="104" t="n">
        <f aca="false">IF(A2265="",0,IF(IFERROR(VLOOKUP(A2265,Skills!$A:$M,13,FALSE()),"")="COS",0,IF(OR(I2265="En cours",I2265="À venir",I2265="À planifier"),IF(AND(OR($C$3="Tous",$C$3="",C2265=$C$3),OR($E$3="Tous",$E$3="",I2265=$E$3)),1,0),0)))</f>
        <v>0</v>
      </c>
      <c r="L2265" s="104" t="n">
        <f aca="false">L2264+K2265</f>
        <v>19</v>
      </c>
    </row>
    <row r="2266" customFormat="false" ht="15" hidden="true" customHeight="true" outlineLevel="0" collapsed="false">
      <c r="F2266" s="116"/>
      <c r="G2266" s="116"/>
      <c r="K2266" s="104" t="n">
        <f aca="false">IF(A2266="",0,IF(IFERROR(VLOOKUP(A2266,Skills!$A:$M,13,FALSE()),"")="COS",0,IF(OR(I2266="En cours",I2266="À venir",I2266="À planifier"),IF(AND(OR($C$3="Tous",$C$3="",C2266=$C$3),OR($E$3="Tous",$E$3="",I2266=$E$3)),1,0),0)))</f>
        <v>0</v>
      </c>
      <c r="L2266" s="104" t="n">
        <f aca="false">L2265+K2266</f>
        <v>19</v>
      </c>
    </row>
    <row r="2267" customFormat="false" ht="15" hidden="true" customHeight="true" outlineLevel="0" collapsed="false">
      <c r="F2267" s="116"/>
      <c r="G2267" s="116"/>
      <c r="K2267" s="104" t="n">
        <f aca="false">IF(A2267="",0,IF(IFERROR(VLOOKUP(A2267,Skills!$A:$M,13,FALSE()),"")="COS",0,IF(OR(I2267="En cours",I2267="À venir",I2267="À planifier"),IF(AND(OR($C$3="Tous",$C$3="",C2267=$C$3),OR($E$3="Tous",$E$3="",I2267=$E$3)),1,0),0)))</f>
        <v>0</v>
      </c>
      <c r="L2267" s="104" t="n">
        <f aca="false">L2266+K2267</f>
        <v>19</v>
      </c>
    </row>
    <row r="2268" customFormat="false" ht="15" hidden="true" customHeight="true" outlineLevel="0" collapsed="false">
      <c r="F2268" s="116"/>
      <c r="G2268" s="116"/>
      <c r="K2268" s="104" t="n">
        <f aca="false">IF(A2268="",0,IF(IFERROR(VLOOKUP(A2268,Skills!$A:$M,13,FALSE()),"")="COS",0,IF(OR(I2268="En cours",I2268="À venir",I2268="À planifier"),IF(AND(OR($C$3="Tous",$C$3="",C2268=$C$3),OR($E$3="Tous",$E$3="",I2268=$E$3)),1,0),0)))</f>
        <v>0</v>
      </c>
      <c r="L2268" s="104" t="n">
        <f aca="false">L2267+K2268</f>
        <v>19</v>
      </c>
    </row>
    <row r="2269" customFormat="false" ht="15" hidden="true" customHeight="true" outlineLevel="0" collapsed="false">
      <c r="F2269" s="116"/>
      <c r="G2269" s="116"/>
      <c r="K2269" s="104" t="n">
        <f aca="false">IF(A2269="",0,IF(IFERROR(VLOOKUP(A2269,Skills!$A:$M,13,FALSE()),"")="COS",0,IF(OR(I2269="En cours",I2269="À venir",I2269="À planifier"),IF(AND(OR($C$3="Tous",$C$3="",C2269=$C$3),OR($E$3="Tous",$E$3="",I2269=$E$3)),1,0),0)))</f>
        <v>0</v>
      </c>
      <c r="L2269" s="104" t="n">
        <f aca="false">L2268+K2269</f>
        <v>19</v>
      </c>
    </row>
    <row r="2270" customFormat="false" ht="15" hidden="true" customHeight="true" outlineLevel="0" collapsed="false">
      <c r="F2270" s="116"/>
      <c r="G2270" s="116"/>
      <c r="K2270" s="104" t="n">
        <f aca="false">IF(A2270="",0,IF(IFERROR(VLOOKUP(A2270,Skills!$A:$M,13,FALSE()),"")="COS",0,IF(OR(I2270="En cours",I2270="À venir",I2270="À planifier"),IF(AND(OR($C$3="Tous",$C$3="",C2270=$C$3),OR($E$3="Tous",$E$3="",I2270=$E$3)),1,0),0)))</f>
        <v>0</v>
      </c>
      <c r="L2270" s="104" t="n">
        <f aca="false">L2269+K2270</f>
        <v>19</v>
      </c>
    </row>
    <row r="2271" customFormat="false" ht="15" hidden="true" customHeight="true" outlineLevel="0" collapsed="false">
      <c r="F2271" s="116"/>
      <c r="G2271" s="116"/>
      <c r="K2271" s="104" t="n">
        <f aca="false">IF(A2271="",0,IF(IFERROR(VLOOKUP(A2271,Skills!$A:$M,13,FALSE()),"")="COS",0,IF(OR(I2271="En cours",I2271="À venir",I2271="À planifier"),IF(AND(OR($C$3="Tous",$C$3="",C2271=$C$3),OR($E$3="Tous",$E$3="",I2271=$E$3)),1,0),0)))</f>
        <v>0</v>
      </c>
      <c r="L2271" s="104" t="n">
        <f aca="false">L2270+K2271</f>
        <v>19</v>
      </c>
    </row>
    <row r="2272" customFormat="false" ht="15" hidden="true" customHeight="true" outlineLevel="0" collapsed="false">
      <c r="F2272" s="116"/>
      <c r="G2272" s="116"/>
      <c r="K2272" s="104" t="n">
        <f aca="false">IF(A2272="",0,IF(IFERROR(VLOOKUP(A2272,Skills!$A:$M,13,FALSE()),"")="COS",0,IF(OR(I2272="En cours",I2272="À venir",I2272="À planifier"),IF(AND(OR($C$3="Tous",$C$3="",C2272=$C$3),OR($E$3="Tous",$E$3="",I2272=$E$3)),1,0),0)))</f>
        <v>0</v>
      </c>
      <c r="L2272" s="104" t="n">
        <f aca="false">L2271+K2272</f>
        <v>19</v>
      </c>
    </row>
    <row r="2273" customFormat="false" ht="15" hidden="true" customHeight="true" outlineLevel="0" collapsed="false">
      <c r="F2273" s="116"/>
      <c r="G2273" s="116"/>
      <c r="K2273" s="104" t="n">
        <f aca="false">IF(A2273="",0,IF(IFERROR(VLOOKUP(A2273,Skills!$A:$M,13,FALSE()),"")="COS",0,IF(OR(I2273="En cours",I2273="À venir",I2273="À planifier"),IF(AND(OR($C$3="Tous",$C$3="",C2273=$C$3),OR($E$3="Tous",$E$3="",I2273=$E$3)),1,0),0)))</f>
        <v>0</v>
      </c>
      <c r="L2273" s="104" t="n">
        <f aca="false">L2272+K2273</f>
        <v>19</v>
      </c>
    </row>
    <row r="2274" customFormat="false" ht="15" hidden="true" customHeight="true" outlineLevel="0" collapsed="false">
      <c r="F2274" s="116"/>
      <c r="G2274" s="116"/>
      <c r="K2274" s="104" t="n">
        <f aca="false">IF(A2274="",0,IF(IFERROR(VLOOKUP(A2274,Skills!$A:$M,13,FALSE()),"")="COS",0,IF(OR(I2274="En cours",I2274="À venir",I2274="À planifier"),IF(AND(OR($C$3="Tous",$C$3="",C2274=$C$3),OR($E$3="Tous",$E$3="",I2274=$E$3)),1,0),0)))</f>
        <v>0</v>
      </c>
      <c r="L2274" s="104" t="n">
        <f aca="false">L2273+K2274</f>
        <v>19</v>
      </c>
    </row>
    <row r="2275" customFormat="false" ht="15" hidden="true" customHeight="true" outlineLevel="0" collapsed="false">
      <c r="F2275" s="116"/>
      <c r="G2275" s="116"/>
      <c r="K2275" s="104" t="n">
        <f aca="false">IF(A2275="",0,IF(IFERROR(VLOOKUP(A2275,Skills!$A:$M,13,FALSE()),"")="COS",0,IF(OR(I2275="En cours",I2275="À venir",I2275="À planifier"),IF(AND(OR($C$3="Tous",$C$3="",C2275=$C$3),OR($E$3="Tous",$E$3="",I2275=$E$3)),1,0),0)))</f>
        <v>0</v>
      </c>
      <c r="L2275" s="104" t="n">
        <f aca="false">L2274+K2275</f>
        <v>19</v>
      </c>
    </row>
    <row r="2276" customFormat="false" ht="15" hidden="true" customHeight="true" outlineLevel="0" collapsed="false">
      <c r="F2276" s="116"/>
      <c r="G2276" s="116"/>
      <c r="K2276" s="104" t="n">
        <f aca="false">IF(A2276="",0,IF(IFERROR(VLOOKUP(A2276,Skills!$A:$M,13,FALSE()),"")="COS",0,IF(OR(I2276="En cours",I2276="À venir",I2276="À planifier"),IF(AND(OR($C$3="Tous",$C$3="",C2276=$C$3),OR($E$3="Tous",$E$3="",I2276=$E$3)),1,0),0)))</f>
        <v>0</v>
      </c>
      <c r="L2276" s="104" t="n">
        <f aca="false">L2275+K2276</f>
        <v>19</v>
      </c>
    </row>
    <row r="2277" customFormat="false" ht="15" hidden="true" customHeight="true" outlineLevel="0" collapsed="false">
      <c r="F2277" s="116"/>
      <c r="G2277" s="116"/>
      <c r="K2277" s="104" t="n">
        <f aca="false">IF(A2277="",0,IF(IFERROR(VLOOKUP(A2277,Skills!$A:$M,13,FALSE()),"")="COS",0,IF(OR(I2277="En cours",I2277="À venir",I2277="À planifier"),IF(AND(OR($C$3="Tous",$C$3="",C2277=$C$3),OR($E$3="Tous",$E$3="",I2277=$E$3)),1,0),0)))</f>
        <v>0</v>
      </c>
      <c r="L2277" s="104" t="n">
        <f aca="false">L2276+K2277</f>
        <v>19</v>
      </c>
    </row>
    <row r="2278" customFormat="false" ht="15" hidden="true" customHeight="true" outlineLevel="0" collapsed="false">
      <c r="F2278" s="116"/>
      <c r="G2278" s="116"/>
      <c r="K2278" s="104" t="n">
        <f aca="false">IF(A2278="",0,IF(IFERROR(VLOOKUP(A2278,Skills!$A:$M,13,FALSE()),"")="COS",0,IF(OR(I2278="En cours",I2278="À venir",I2278="À planifier"),IF(AND(OR($C$3="Tous",$C$3="",C2278=$C$3),OR($E$3="Tous",$E$3="",I2278=$E$3)),1,0),0)))</f>
        <v>0</v>
      </c>
      <c r="L2278" s="104" t="n">
        <f aca="false">L2277+K2278</f>
        <v>19</v>
      </c>
    </row>
    <row r="2279" customFormat="false" ht="15" hidden="true" customHeight="true" outlineLevel="0" collapsed="false">
      <c r="F2279" s="116"/>
      <c r="G2279" s="116"/>
      <c r="K2279" s="104" t="n">
        <f aca="false">IF(A2279="",0,IF(IFERROR(VLOOKUP(A2279,Skills!$A:$M,13,FALSE()),"")="COS",0,IF(OR(I2279="En cours",I2279="À venir",I2279="À planifier"),IF(AND(OR($C$3="Tous",$C$3="",C2279=$C$3),OR($E$3="Tous",$E$3="",I2279=$E$3)),1,0),0)))</f>
        <v>0</v>
      </c>
      <c r="L2279" s="104" t="n">
        <f aca="false">L2278+K2279</f>
        <v>19</v>
      </c>
    </row>
    <row r="2280" customFormat="false" ht="15" hidden="true" customHeight="true" outlineLevel="0" collapsed="false">
      <c r="F2280" s="116"/>
      <c r="G2280" s="116"/>
      <c r="K2280" s="104" t="n">
        <f aca="false">IF(A2280="",0,IF(IFERROR(VLOOKUP(A2280,Skills!$A:$M,13,FALSE()),"")="COS",0,IF(OR(I2280="En cours",I2280="À venir",I2280="À planifier"),IF(AND(OR($C$3="Tous",$C$3="",C2280=$C$3),OR($E$3="Tous",$E$3="",I2280=$E$3)),1,0),0)))</f>
        <v>0</v>
      </c>
      <c r="L2280" s="104" t="n">
        <f aca="false">L2279+K2280</f>
        <v>19</v>
      </c>
    </row>
    <row r="2281" customFormat="false" ht="15" hidden="true" customHeight="true" outlineLevel="0" collapsed="false">
      <c r="F2281" s="116"/>
      <c r="G2281" s="116"/>
      <c r="K2281" s="104" t="n">
        <f aca="false">IF(A2281="",0,IF(IFERROR(VLOOKUP(A2281,Skills!$A:$M,13,FALSE()),"")="COS",0,IF(OR(I2281="En cours",I2281="À venir",I2281="À planifier"),IF(AND(OR($C$3="Tous",$C$3="",C2281=$C$3),OR($E$3="Tous",$E$3="",I2281=$E$3)),1,0),0)))</f>
        <v>0</v>
      </c>
      <c r="L2281" s="104" t="n">
        <f aca="false">L2280+K2281</f>
        <v>19</v>
      </c>
    </row>
    <row r="2282" customFormat="false" ht="15" hidden="true" customHeight="true" outlineLevel="0" collapsed="false">
      <c r="F2282" s="116"/>
      <c r="G2282" s="116"/>
      <c r="K2282" s="104" t="n">
        <f aca="false">IF(A2282="",0,IF(IFERROR(VLOOKUP(A2282,Skills!$A:$M,13,FALSE()),"")="COS",0,IF(OR(I2282="En cours",I2282="À venir",I2282="À planifier"),IF(AND(OR($C$3="Tous",$C$3="",C2282=$C$3),OR($E$3="Tous",$E$3="",I2282=$E$3)),1,0),0)))</f>
        <v>0</v>
      </c>
      <c r="L2282" s="104" t="n">
        <f aca="false">L2281+K2282</f>
        <v>19</v>
      </c>
    </row>
    <row r="2283" customFormat="false" ht="15" hidden="true" customHeight="true" outlineLevel="0" collapsed="false">
      <c r="F2283" s="116"/>
      <c r="G2283" s="116"/>
      <c r="K2283" s="104" t="n">
        <f aca="false">IF(A2283="",0,IF(IFERROR(VLOOKUP(A2283,Skills!$A:$M,13,FALSE()),"")="COS",0,IF(OR(I2283="En cours",I2283="À venir",I2283="À planifier"),IF(AND(OR($C$3="Tous",$C$3="",C2283=$C$3),OR($E$3="Tous",$E$3="",I2283=$E$3)),1,0),0)))</f>
        <v>0</v>
      </c>
      <c r="L2283" s="104" t="n">
        <f aca="false">L2282+K2283</f>
        <v>19</v>
      </c>
    </row>
    <row r="2284" customFormat="false" ht="15" hidden="true" customHeight="true" outlineLevel="0" collapsed="false">
      <c r="F2284" s="116"/>
      <c r="G2284" s="116"/>
      <c r="K2284" s="104" t="n">
        <f aca="false">IF(A2284="",0,IF(IFERROR(VLOOKUP(A2284,Skills!$A:$M,13,FALSE()),"")="COS",0,IF(OR(I2284="En cours",I2284="À venir",I2284="À planifier"),IF(AND(OR($C$3="Tous",$C$3="",C2284=$C$3),OR($E$3="Tous",$E$3="",I2284=$E$3)),1,0),0)))</f>
        <v>0</v>
      </c>
      <c r="L2284" s="104" t="n">
        <f aca="false">L2283+K2284</f>
        <v>19</v>
      </c>
    </row>
    <row r="2285" customFormat="false" ht="15" hidden="true" customHeight="true" outlineLevel="0" collapsed="false">
      <c r="F2285" s="116"/>
      <c r="G2285" s="116"/>
      <c r="K2285" s="104" t="n">
        <f aca="false">IF(A2285="",0,IF(IFERROR(VLOOKUP(A2285,Skills!$A:$M,13,FALSE()),"")="COS",0,IF(OR(I2285="En cours",I2285="À venir",I2285="À planifier"),IF(AND(OR($C$3="Tous",$C$3="",C2285=$C$3),OR($E$3="Tous",$E$3="",I2285=$E$3)),1,0),0)))</f>
        <v>0</v>
      </c>
      <c r="L2285" s="104" t="n">
        <f aca="false">L2284+K2285</f>
        <v>19</v>
      </c>
    </row>
    <row r="2286" customFormat="false" ht="15" hidden="true" customHeight="true" outlineLevel="0" collapsed="false">
      <c r="F2286" s="116"/>
      <c r="G2286" s="116"/>
      <c r="K2286" s="104" t="n">
        <f aca="false">IF(A2286="",0,IF(IFERROR(VLOOKUP(A2286,Skills!$A:$M,13,FALSE()),"")="COS",0,IF(OR(I2286="En cours",I2286="À venir",I2286="À planifier"),IF(AND(OR($C$3="Tous",$C$3="",C2286=$C$3),OR($E$3="Tous",$E$3="",I2286=$E$3)),1,0),0)))</f>
        <v>0</v>
      </c>
      <c r="L2286" s="104" t="n">
        <f aca="false">L2285+K2286</f>
        <v>19</v>
      </c>
    </row>
    <row r="2287" customFormat="false" ht="15" hidden="true" customHeight="true" outlineLevel="0" collapsed="false">
      <c r="F2287" s="116"/>
      <c r="G2287" s="116"/>
      <c r="K2287" s="104" t="n">
        <f aca="false">IF(A2287="",0,IF(IFERROR(VLOOKUP(A2287,Skills!$A:$M,13,FALSE()),"")="COS",0,IF(OR(I2287="En cours",I2287="À venir",I2287="À planifier"),IF(AND(OR($C$3="Tous",$C$3="",C2287=$C$3),OR($E$3="Tous",$E$3="",I2287=$E$3)),1,0),0)))</f>
        <v>0</v>
      </c>
      <c r="L2287" s="104" t="n">
        <f aca="false">L2286+K2287</f>
        <v>19</v>
      </c>
    </row>
    <row r="2288" customFormat="false" ht="15" hidden="true" customHeight="true" outlineLevel="0" collapsed="false">
      <c r="F2288" s="116"/>
      <c r="G2288" s="116"/>
      <c r="K2288" s="104" t="n">
        <f aca="false">IF(A2288="",0,IF(IFERROR(VLOOKUP(A2288,Skills!$A:$M,13,FALSE()),"")="COS",0,IF(OR(I2288="En cours",I2288="À venir",I2288="À planifier"),IF(AND(OR($C$3="Tous",$C$3="",C2288=$C$3),OR($E$3="Tous",$E$3="",I2288=$E$3)),1,0),0)))</f>
        <v>0</v>
      </c>
      <c r="L2288" s="104" t="n">
        <f aca="false">L2287+K2288</f>
        <v>19</v>
      </c>
    </row>
    <row r="2289" customFormat="false" ht="15" hidden="true" customHeight="true" outlineLevel="0" collapsed="false">
      <c r="F2289" s="116"/>
      <c r="G2289" s="116"/>
      <c r="K2289" s="104" t="n">
        <f aca="false">IF(A2289="",0,IF(IFERROR(VLOOKUP(A2289,Skills!$A:$M,13,FALSE()),"")="COS",0,IF(OR(I2289="En cours",I2289="À venir",I2289="À planifier"),IF(AND(OR($C$3="Tous",$C$3="",C2289=$C$3),OR($E$3="Tous",$E$3="",I2289=$E$3)),1,0),0)))</f>
        <v>0</v>
      </c>
      <c r="L2289" s="104" t="n">
        <f aca="false">L2288+K2289</f>
        <v>19</v>
      </c>
    </row>
    <row r="2290" customFormat="false" ht="15" hidden="true" customHeight="true" outlineLevel="0" collapsed="false">
      <c r="F2290" s="116"/>
      <c r="G2290" s="116"/>
      <c r="K2290" s="104" t="n">
        <f aca="false">IF(A2290="",0,IF(IFERROR(VLOOKUP(A2290,Skills!$A:$M,13,FALSE()),"")="COS",0,IF(OR(I2290="En cours",I2290="À venir",I2290="À planifier"),IF(AND(OR($C$3="Tous",$C$3="",C2290=$C$3),OR($E$3="Tous",$E$3="",I2290=$E$3)),1,0),0)))</f>
        <v>0</v>
      </c>
      <c r="L2290" s="104" t="n">
        <f aca="false">L2289+K2290</f>
        <v>19</v>
      </c>
    </row>
    <row r="2291" customFormat="false" ht="15" hidden="true" customHeight="true" outlineLevel="0" collapsed="false">
      <c r="F2291" s="116"/>
      <c r="G2291" s="116"/>
      <c r="K2291" s="104" t="n">
        <f aca="false">IF(A2291="",0,IF(IFERROR(VLOOKUP(A2291,Skills!$A:$M,13,FALSE()),"")="COS",0,IF(OR(I2291="En cours",I2291="À venir",I2291="À planifier"),IF(AND(OR($C$3="Tous",$C$3="",C2291=$C$3),OR($E$3="Tous",$E$3="",I2291=$E$3)),1,0),0)))</f>
        <v>0</v>
      </c>
      <c r="L2291" s="104" t="n">
        <f aca="false">L2290+K2291</f>
        <v>19</v>
      </c>
    </row>
    <row r="2292" customFormat="false" ht="15" hidden="true" customHeight="true" outlineLevel="0" collapsed="false">
      <c r="F2292" s="116"/>
      <c r="G2292" s="116"/>
      <c r="K2292" s="104" t="n">
        <f aca="false">IF(A2292="",0,IF(IFERROR(VLOOKUP(A2292,Skills!$A:$M,13,FALSE()),"")="COS",0,IF(OR(I2292="En cours",I2292="À venir",I2292="À planifier"),IF(AND(OR($C$3="Tous",$C$3="",C2292=$C$3),OR($E$3="Tous",$E$3="",I2292=$E$3)),1,0),0)))</f>
        <v>0</v>
      </c>
      <c r="L2292" s="104" t="n">
        <f aca="false">L2291+K2292</f>
        <v>19</v>
      </c>
    </row>
    <row r="2293" customFormat="false" ht="15" hidden="true" customHeight="true" outlineLevel="0" collapsed="false">
      <c r="F2293" s="116"/>
      <c r="G2293" s="116"/>
      <c r="K2293" s="104" t="n">
        <f aca="false">IF(A2293="",0,IF(IFERROR(VLOOKUP(A2293,Skills!$A:$M,13,FALSE()),"")="COS",0,IF(OR(I2293="En cours",I2293="À venir",I2293="À planifier"),IF(AND(OR($C$3="Tous",$C$3="",C2293=$C$3),OR($E$3="Tous",$E$3="",I2293=$E$3)),1,0),0)))</f>
        <v>0</v>
      </c>
      <c r="L2293" s="104" t="n">
        <f aca="false">L2292+K2293</f>
        <v>19</v>
      </c>
    </row>
    <row r="2294" customFormat="false" ht="15" hidden="true" customHeight="true" outlineLevel="0" collapsed="false">
      <c r="F2294" s="116"/>
      <c r="G2294" s="116"/>
      <c r="K2294" s="104" t="n">
        <f aca="false">IF(A2294="",0,IF(IFERROR(VLOOKUP(A2294,Skills!$A:$M,13,FALSE()),"")="COS",0,IF(OR(I2294="En cours",I2294="À venir",I2294="À planifier"),IF(AND(OR($C$3="Tous",$C$3="",C2294=$C$3),OR($E$3="Tous",$E$3="",I2294=$E$3)),1,0),0)))</f>
        <v>0</v>
      </c>
      <c r="L2294" s="104" t="n">
        <f aca="false">L2293+K2294</f>
        <v>19</v>
      </c>
    </row>
    <row r="2295" customFormat="false" ht="15" hidden="true" customHeight="true" outlineLevel="0" collapsed="false">
      <c r="F2295" s="116"/>
      <c r="G2295" s="116"/>
      <c r="K2295" s="104" t="n">
        <f aca="false">IF(A2295="",0,IF(IFERROR(VLOOKUP(A2295,Skills!$A:$M,13,FALSE()),"")="COS",0,IF(OR(I2295="En cours",I2295="À venir",I2295="À planifier"),IF(AND(OR($C$3="Tous",$C$3="",C2295=$C$3),OR($E$3="Tous",$E$3="",I2295=$E$3)),1,0),0)))</f>
        <v>0</v>
      </c>
      <c r="L2295" s="104" t="n">
        <f aca="false">L2294+K2295</f>
        <v>19</v>
      </c>
    </row>
    <row r="2296" customFormat="false" ht="15" hidden="true" customHeight="true" outlineLevel="0" collapsed="false">
      <c r="F2296" s="116"/>
      <c r="G2296" s="116"/>
      <c r="K2296" s="104" t="n">
        <f aca="false">IF(A2296="",0,IF(IFERROR(VLOOKUP(A2296,Skills!$A:$M,13,FALSE()),"")="COS",0,IF(OR(I2296="En cours",I2296="À venir",I2296="À planifier"),IF(AND(OR($C$3="Tous",$C$3="",C2296=$C$3),OR($E$3="Tous",$E$3="",I2296=$E$3)),1,0),0)))</f>
        <v>0</v>
      </c>
      <c r="L2296" s="104" t="n">
        <f aca="false">L2295+K2296</f>
        <v>19</v>
      </c>
    </row>
    <row r="2297" customFormat="false" ht="15" hidden="true" customHeight="true" outlineLevel="0" collapsed="false">
      <c r="F2297" s="116"/>
      <c r="G2297" s="116"/>
      <c r="K2297" s="104" t="n">
        <f aca="false">IF(A2297="",0,IF(IFERROR(VLOOKUP(A2297,Skills!$A:$M,13,FALSE()),"")="COS",0,IF(OR(I2297="En cours",I2297="À venir",I2297="À planifier"),IF(AND(OR($C$3="Tous",$C$3="",C2297=$C$3),OR($E$3="Tous",$E$3="",I2297=$E$3)),1,0),0)))</f>
        <v>0</v>
      </c>
      <c r="L2297" s="104" t="n">
        <f aca="false">L2296+K2297</f>
        <v>19</v>
      </c>
    </row>
    <row r="2298" customFormat="false" ht="15" hidden="true" customHeight="true" outlineLevel="0" collapsed="false">
      <c r="F2298" s="116"/>
      <c r="G2298" s="116"/>
      <c r="K2298" s="104" t="n">
        <f aca="false">IF(A2298="",0,IF(IFERROR(VLOOKUP(A2298,Skills!$A:$M,13,FALSE()),"")="COS",0,IF(OR(I2298="En cours",I2298="À venir",I2298="À planifier"),IF(AND(OR($C$3="Tous",$C$3="",C2298=$C$3),OR($E$3="Tous",$E$3="",I2298=$E$3)),1,0),0)))</f>
        <v>0</v>
      </c>
      <c r="L2298" s="104" t="n">
        <f aca="false">L2297+K2298</f>
        <v>19</v>
      </c>
    </row>
    <row r="2299" customFormat="false" ht="15" hidden="true" customHeight="true" outlineLevel="0" collapsed="false">
      <c r="F2299" s="116"/>
      <c r="G2299" s="116"/>
      <c r="K2299" s="104" t="n">
        <f aca="false">IF(A2299="",0,IF(IFERROR(VLOOKUP(A2299,Skills!$A:$M,13,FALSE()),"")="COS",0,IF(OR(I2299="En cours",I2299="À venir",I2299="À planifier"),IF(AND(OR($C$3="Tous",$C$3="",C2299=$C$3),OR($E$3="Tous",$E$3="",I2299=$E$3)),1,0),0)))</f>
        <v>0</v>
      </c>
      <c r="L2299" s="104" t="n">
        <f aca="false">L2298+K2299</f>
        <v>19</v>
      </c>
    </row>
    <row r="2300" customFormat="false" ht="15" hidden="true" customHeight="true" outlineLevel="0" collapsed="false">
      <c r="F2300" s="116"/>
      <c r="G2300" s="116"/>
      <c r="K2300" s="104" t="n">
        <f aca="false">IF(A2300="",0,IF(IFERROR(VLOOKUP(A2300,Skills!$A:$M,13,FALSE()),"")="COS",0,IF(OR(I2300="En cours",I2300="À venir",I2300="À planifier"),IF(AND(OR($C$3="Tous",$C$3="",C2300=$C$3),OR($E$3="Tous",$E$3="",I2300=$E$3)),1,0),0)))</f>
        <v>0</v>
      </c>
      <c r="L2300" s="104" t="n">
        <f aca="false">L2299+K2300</f>
        <v>19</v>
      </c>
    </row>
    <row r="2301" customFormat="false" ht="15" hidden="true" customHeight="true" outlineLevel="0" collapsed="false">
      <c r="F2301" s="116"/>
      <c r="G2301" s="116"/>
      <c r="K2301" s="104" t="n">
        <f aca="false">IF(A2301="",0,IF(IFERROR(VLOOKUP(A2301,Skills!$A:$M,13,FALSE()),"")="COS",0,IF(OR(I2301="En cours",I2301="À venir",I2301="À planifier"),IF(AND(OR($C$3="Tous",$C$3="",C2301=$C$3),OR($E$3="Tous",$E$3="",I2301=$E$3)),1,0),0)))</f>
        <v>0</v>
      </c>
      <c r="L2301" s="104" t="n">
        <f aca="false">L2300+K2301</f>
        <v>19</v>
      </c>
    </row>
    <row r="2302" customFormat="false" ht="15" hidden="true" customHeight="true" outlineLevel="0" collapsed="false">
      <c r="F2302" s="116"/>
      <c r="G2302" s="116"/>
      <c r="K2302" s="104" t="n">
        <f aca="false">IF(A2302="",0,IF(IFERROR(VLOOKUP(A2302,Skills!$A:$M,13,FALSE()),"")="COS",0,IF(OR(I2302="En cours",I2302="À venir",I2302="À planifier"),IF(AND(OR($C$3="Tous",$C$3="",C2302=$C$3),OR($E$3="Tous",$E$3="",I2302=$E$3)),1,0),0)))</f>
        <v>0</v>
      </c>
      <c r="L2302" s="104" t="n">
        <f aca="false">L2301+K2302</f>
        <v>19</v>
      </c>
    </row>
    <row r="2303" customFormat="false" ht="15" hidden="true" customHeight="true" outlineLevel="0" collapsed="false">
      <c r="F2303" s="116"/>
      <c r="G2303" s="116"/>
      <c r="K2303" s="104" t="n">
        <f aca="false">IF(A2303="",0,IF(IFERROR(VLOOKUP(A2303,Skills!$A:$M,13,FALSE()),"")="COS",0,IF(OR(I2303="En cours",I2303="À venir",I2303="À planifier"),IF(AND(OR($C$3="Tous",$C$3="",C2303=$C$3),OR($E$3="Tous",$E$3="",I2303=$E$3)),1,0),0)))</f>
        <v>0</v>
      </c>
      <c r="L2303" s="104" t="n">
        <f aca="false">L2302+K2303</f>
        <v>19</v>
      </c>
    </row>
    <row r="2304" customFormat="false" ht="15" hidden="true" customHeight="true" outlineLevel="0" collapsed="false">
      <c r="F2304" s="116"/>
      <c r="G2304" s="116"/>
      <c r="K2304" s="104" t="n">
        <f aca="false">IF(A2304="",0,IF(IFERROR(VLOOKUP(A2304,Skills!$A:$M,13,FALSE()),"")="COS",0,IF(OR(I2304="En cours",I2304="À venir",I2304="À planifier"),IF(AND(OR($C$3="Tous",$C$3="",C2304=$C$3),OR($E$3="Tous",$E$3="",I2304=$E$3)),1,0),0)))</f>
        <v>0</v>
      </c>
      <c r="L2304" s="104" t="n">
        <f aca="false">L2303+K2304</f>
        <v>19</v>
      </c>
    </row>
    <row r="2305" customFormat="false" ht="15" hidden="true" customHeight="true" outlineLevel="0" collapsed="false">
      <c r="F2305" s="116"/>
      <c r="G2305" s="116"/>
      <c r="K2305" s="104" t="n">
        <f aca="false">IF(A2305="",0,IF(IFERROR(VLOOKUP(A2305,Skills!$A:$M,13,FALSE()),"")="COS",0,IF(OR(I2305="En cours",I2305="À venir",I2305="À planifier"),IF(AND(OR($C$3="Tous",$C$3="",C2305=$C$3),OR($E$3="Tous",$E$3="",I2305=$E$3)),1,0),0)))</f>
        <v>0</v>
      </c>
      <c r="L2305" s="104" t="n">
        <f aca="false">L2304+K2305</f>
        <v>19</v>
      </c>
    </row>
    <row r="2306" customFormat="false" ht="15" hidden="true" customHeight="true" outlineLevel="0" collapsed="false">
      <c r="F2306" s="116"/>
      <c r="G2306" s="116"/>
      <c r="K2306" s="104" t="n">
        <f aca="false">IF(A2306="",0,IF(IFERROR(VLOOKUP(A2306,Skills!$A:$M,13,FALSE()),"")="COS",0,IF(OR(I2306="En cours",I2306="À venir",I2306="À planifier"),IF(AND(OR($C$3="Tous",$C$3="",C2306=$C$3),OR($E$3="Tous",$E$3="",I2306=$E$3)),1,0),0)))</f>
        <v>0</v>
      </c>
      <c r="L2306" s="104" t="n">
        <f aca="false">L2305+K2306</f>
        <v>19</v>
      </c>
    </row>
    <row r="2307" customFormat="false" ht="15" hidden="true" customHeight="true" outlineLevel="0" collapsed="false">
      <c r="F2307" s="116"/>
      <c r="G2307" s="116"/>
      <c r="K2307" s="104" t="n">
        <f aca="false">IF(A2307="",0,IF(IFERROR(VLOOKUP(A2307,Skills!$A:$M,13,FALSE()),"")="COS",0,IF(OR(I2307="En cours",I2307="À venir",I2307="À planifier"),IF(AND(OR($C$3="Tous",$C$3="",C2307=$C$3),OR($E$3="Tous",$E$3="",I2307=$E$3)),1,0),0)))</f>
        <v>0</v>
      </c>
      <c r="L2307" s="104" t="n">
        <f aca="false">L2306+K2307</f>
        <v>19</v>
      </c>
    </row>
    <row r="2308" customFormat="false" ht="15" hidden="true" customHeight="true" outlineLevel="0" collapsed="false">
      <c r="F2308" s="116"/>
      <c r="G2308" s="116"/>
      <c r="K2308" s="104" t="n">
        <f aca="false">IF(A2308="",0,IF(IFERROR(VLOOKUP(A2308,Skills!$A:$M,13,FALSE()),"")="COS",0,IF(OR(I2308="En cours",I2308="À venir",I2308="À planifier"),IF(AND(OR($C$3="Tous",$C$3="",C2308=$C$3),OR($E$3="Tous",$E$3="",I2308=$E$3)),1,0),0)))</f>
        <v>0</v>
      </c>
      <c r="L2308" s="104" t="n">
        <f aca="false">L2307+K2308</f>
        <v>19</v>
      </c>
    </row>
    <row r="2309" customFormat="false" ht="15" hidden="true" customHeight="true" outlineLevel="0" collapsed="false">
      <c r="F2309" s="116"/>
      <c r="G2309" s="116"/>
      <c r="K2309" s="104" t="n">
        <f aca="false">IF(A2309="",0,IF(IFERROR(VLOOKUP(A2309,Skills!$A:$M,13,FALSE()),"")="COS",0,IF(OR(I2309="En cours",I2309="À venir",I2309="À planifier"),IF(AND(OR($C$3="Tous",$C$3="",C2309=$C$3),OR($E$3="Tous",$E$3="",I2309=$E$3)),1,0),0)))</f>
        <v>0</v>
      </c>
      <c r="L2309" s="104" t="n">
        <f aca="false">L2308+K2309</f>
        <v>19</v>
      </c>
    </row>
    <row r="2310" customFormat="false" ht="15" hidden="true" customHeight="true" outlineLevel="0" collapsed="false">
      <c r="F2310" s="116"/>
      <c r="G2310" s="116"/>
      <c r="K2310" s="104" t="n">
        <f aca="false">IF(A2310="",0,IF(IFERROR(VLOOKUP(A2310,Skills!$A:$M,13,FALSE()),"")="COS",0,IF(OR(I2310="En cours",I2310="À venir",I2310="À planifier"),IF(AND(OR($C$3="Tous",$C$3="",C2310=$C$3),OR($E$3="Tous",$E$3="",I2310=$E$3)),1,0),0)))</f>
        <v>0</v>
      </c>
      <c r="L2310" s="104" t="n">
        <f aca="false">L2309+K2310</f>
        <v>19</v>
      </c>
    </row>
    <row r="2311" customFormat="false" ht="15" hidden="true" customHeight="true" outlineLevel="0" collapsed="false">
      <c r="F2311" s="116"/>
      <c r="G2311" s="116"/>
      <c r="K2311" s="104" t="n">
        <f aca="false">IF(A2311="",0,IF(IFERROR(VLOOKUP(A2311,Skills!$A:$M,13,FALSE()),"")="COS",0,IF(OR(I2311="En cours",I2311="À venir",I2311="À planifier"),IF(AND(OR($C$3="Tous",$C$3="",C2311=$C$3),OR($E$3="Tous",$E$3="",I2311=$E$3)),1,0),0)))</f>
        <v>0</v>
      </c>
      <c r="L2311" s="104" t="n">
        <f aca="false">L2310+K2311</f>
        <v>19</v>
      </c>
    </row>
    <row r="2312" customFormat="false" ht="15" hidden="true" customHeight="true" outlineLevel="0" collapsed="false">
      <c r="F2312" s="116"/>
      <c r="G2312" s="116"/>
      <c r="K2312" s="104" t="n">
        <f aca="false">IF(A2312="",0,IF(IFERROR(VLOOKUP(A2312,Skills!$A:$M,13,FALSE()),"")="COS",0,IF(OR(I2312="En cours",I2312="À venir",I2312="À planifier"),IF(AND(OR($C$3="Tous",$C$3="",C2312=$C$3),OR($E$3="Tous",$E$3="",I2312=$E$3)),1,0),0)))</f>
        <v>0</v>
      </c>
      <c r="L2312" s="104" t="n">
        <f aca="false">L2311+K2312</f>
        <v>19</v>
      </c>
    </row>
    <row r="2313" customFormat="false" ht="15" hidden="true" customHeight="true" outlineLevel="0" collapsed="false">
      <c r="F2313" s="116"/>
      <c r="G2313" s="116"/>
      <c r="K2313" s="104" t="n">
        <f aca="false">IF(A2313="",0,IF(IFERROR(VLOOKUP(A2313,Skills!$A:$M,13,FALSE()),"")="COS",0,IF(OR(I2313="En cours",I2313="À venir",I2313="À planifier"),IF(AND(OR($C$3="Tous",$C$3="",C2313=$C$3),OR($E$3="Tous",$E$3="",I2313=$E$3)),1,0),0)))</f>
        <v>0</v>
      </c>
      <c r="L2313" s="104" t="n">
        <f aca="false">L2312+K2313</f>
        <v>19</v>
      </c>
    </row>
    <row r="2314" customFormat="false" ht="15" hidden="true" customHeight="true" outlineLevel="0" collapsed="false">
      <c r="F2314" s="116"/>
      <c r="G2314" s="116"/>
      <c r="K2314" s="104" t="n">
        <f aca="false">IF(A2314="",0,IF(IFERROR(VLOOKUP(A2314,Skills!$A:$M,13,FALSE()),"")="COS",0,IF(OR(I2314="En cours",I2314="À venir",I2314="À planifier"),IF(AND(OR($C$3="Tous",$C$3="",C2314=$C$3),OR($E$3="Tous",$E$3="",I2314=$E$3)),1,0),0)))</f>
        <v>0</v>
      </c>
      <c r="L2314" s="104" t="n">
        <f aca="false">L2313+K2314</f>
        <v>19</v>
      </c>
    </row>
    <row r="2315" customFormat="false" ht="15" hidden="true" customHeight="true" outlineLevel="0" collapsed="false">
      <c r="F2315" s="116"/>
      <c r="G2315" s="116"/>
      <c r="K2315" s="104" t="n">
        <f aca="false">IF(A2315="",0,IF(IFERROR(VLOOKUP(A2315,Skills!$A:$M,13,FALSE()),"")="COS",0,IF(OR(I2315="En cours",I2315="À venir",I2315="À planifier"),IF(AND(OR($C$3="Tous",$C$3="",C2315=$C$3),OR($E$3="Tous",$E$3="",I2315=$E$3)),1,0),0)))</f>
        <v>0</v>
      </c>
      <c r="L2315" s="104" t="n">
        <f aca="false">L2314+K2315</f>
        <v>19</v>
      </c>
    </row>
    <row r="2316" customFormat="false" ht="15" hidden="true" customHeight="true" outlineLevel="0" collapsed="false">
      <c r="F2316" s="116"/>
      <c r="G2316" s="116"/>
      <c r="K2316" s="104" t="n">
        <f aca="false">IF(A2316="",0,IF(IFERROR(VLOOKUP(A2316,Skills!$A:$M,13,FALSE()),"")="COS",0,IF(OR(I2316="En cours",I2316="À venir",I2316="À planifier"),IF(AND(OR($C$3="Tous",$C$3="",C2316=$C$3),OR($E$3="Tous",$E$3="",I2316=$E$3)),1,0),0)))</f>
        <v>0</v>
      </c>
      <c r="L2316" s="104" t="n">
        <f aca="false">L2315+K2316</f>
        <v>19</v>
      </c>
    </row>
    <row r="2317" customFormat="false" ht="15" hidden="true" customHeight="true" outlineLevel="0" collapsed="false">
      <c r="F2317" s="116"/>
      <c r="G2317" s="116"/>
      <c r="K2317" s="104" t="n">
        <f aca="false">IF(A2317="",0,IF(IFERROR(VLOOKUP(A2317,Skills!$A:$M,13,FALSE()),"")="COS",0,IF(OR(I2317="En cours",I2317="À venir",I2317="À planifier"),IF(AND(OR($C$3="Tous",$C$3="",C2317=$C$3),OR($E$3="Tous",$E$3="",I2317=$E$3)),1,0),0)))</f>
        <v>0</v>
      </c>
      <c r="L2317" s="104" t="n">
        <f aca="false">L2316+K2317</f>
        <v>19</v>
      </c>
    </row>
    <row r="2318" customFormat="false" ht="15" hidden="true" customHeight="true" outlineLevel="0" collapsed="false">
      <c r="F2318" s="116"/>
      <c r="G2318" s="116"/>
      <c r="K2318" s="104" t="n">
        <f aca="false">IF(A2318="",0,IF(IFERROR(VLOOKUP(A2318,Skills!$A:$M,13,FALSE()),"")="COS",0,IF(OR(I2318="En cours",I2318="À venir",I2318="À planifier"),IF(AND(OR($C$3="Tous",$C$3="",C2318=$C$3),OR($E$3="Tous",$E$3="",I2318=$E$3)),1,0),0)))</f>
        <v>0</v>
      </c>
      <c r="L2318" s="104" t="n">
        <f aca="false">L2317+K2318</f>
        <v>19</v>
      </c>
    </row>
    <row r="2319" customFormat="false" ht="15" hidden="true" customHeight="true" outlineLevel="0" collapsed="false">
      <c r="F2319" s="116"/>
      <c r="G2319" s="116"/>
      <c r="K2319" s="104" t="n">
        <f aca="false">IF(A2319="",0,IF(IFERROR(VLOOKUP(A2319,Skills!$A:$M,13,FALSE()),"")="COS",0,IF(OR(I2319="En cours",I2319="À venir",I2319="À planifier"),IF(AND(OR($C$3="Tous",$C$3="",C2319=$C$3),OR($E$3="Tous",$E$3="",I2319=$E$3)),1,0),0)))</f>
        <v>0</v>
      </c>
      <c r="L2319" s="104" t="n">
        <f aca="false">L2318+K2319</f>
        <v>19</v>
      </c>
    </row>
    <row r="2320" customFormat="false" ht="15" hidden="true" customHeight="true" outlineLevel="0" collapsed="false">
      <c r="F2320" s="116"/>
      <c r="G2320" s="116"/>
      <c r="K2320" s="104" t="n">
        <f aca="false">IF(A2320="",0,IF(IFERROR(VLOOKUP(A2320,Skills!$A:$M,13,FALSE()),"")="COS",0,IF(OR(I2320="En cours",I2320="À venir",I2320="À planifier"),IF(AND(OR($C$3="Tous",$C$3="",C2320=$C$3),OR($E$3="Tous",$E$3="",I2320=$E$3)),1,0),0)))</f>
        <v>0</v>
      </c>
      <c r="L2320" s="104" t="n">
        <f aca="false">L2319+K2320</f>
        <v>19</v>
      </c>
    </row>
    <row r="2321" customFormat="false" ht="15" hidden="true" customHeight="true" outlineLevel="0" collapsed="false">
      <c r="F2321" s="116"/>
      <c r="G2321" s="116"/>
      <c r="K2321" s="104" t="n">
        <f aca="false">IF(A2321="",0,IF(IFERROR(VLOOKUP(A2321,Skills!$A:$M,13,FALSE()),"")="COS",0,IF(OR(I2321="En cours",I2321="À venir",I2321="À planifier"),IF(AND(OR($C$3="Tous",$C$3="",C2321=$C$3),OR($E$3="Tous",$E$3="",I2321=$E$3)),1,0),0)))</f>
        <v>0</v>
      </c>
      <c r="L2321" s="104" t="n">
        <f aca="false">L2320+K2321</f>
        <v>19</v>
      </c>
    </row>
    <row r="2322" customFormat="false" ht="15" hidden="true" customHeight="true" outlineLevel="0" collapsed="false">
      <c r="F2322" s="116"/>
      <c r="G2322" s="116"/>
      <c r="K2322" s="104" t="n">
        <f aca="false">IF(A2322="",0,IF(IFERROR(VLOOKUP(A2322,Skills!$A:$M,13,FALSE()),"")="COS",0,IF(OR(I2322="En cours",I2322="À venir",I2322="À planifier"),IF(AND(OR($C$3="Tous",$C$3="",C2322=$C$3),OR($E$3="Tous",$E$3="",I2322=$E$3)),1,0),0)))</f>
        <v>0</v>
      </c>
      <c r="L2322" s="104" t="n">
        <f aca="false">L2321+K2322</f>
        <v>19</v>
      </c>
    </row>
    <row r="2323" customFormat="false" ht="15" hidden="true" customHeight="true" outlineLevel="0" collapsed="false">
      <c r="F2323" s="116"/>
      <c r="G2323" s="116"/>
      <c r="K2323" s="104" t="n">
        <f aca="false">IF(A2323="",0,IF(IFERROR(VLOOKUP(A2323,Skills!$A:$M,13,FALSE()),"")="COS",0,IF(OR(I2323="En cours",I2323="À venir",I2323="À planifier"),IF(AND(OR($C$3="Tous",$C$3="",C2323=$C$3),OR($E$3="Tous",$E$3="",I2323=$E$3)),1,0),0)))</f>
        <v>0</v>
      </c>
      <c r="L2323" s="104" t="n">
        <f aca="false">L2322+K2323</f>
        <v>19</v>
      </c>
    </row>
    <row r="2324" customFormat="false" ht="15" hidden="true" customHeight="true" outlineLevel="0" collapsed="false">
      <c r="F2324" s="116"/>
      <c r="G2324" s="116"/>
      <c r="K2324" s="104" t="n">
        <f aca="false">IF(A2324="",0,IF(IFERROR(VLOOKUP(A2324,Skills!$A:$M,13,FALSE()),"")="COS",0,IF(OR(I2324="En cours",I2324="À venir",I2324="À planifier"),IF(AND(OR($C$3="Tous",$C$3="",C2324=$C$3),OR($E$3="Tous",$E$3="",I2324=$E$3)),1,0),0)))</f>
        <v>0</v>
      </c>
      <c r="L2324" s="104" t="n">
        <f aca="false">L2323+K2324</f>
        <v>19</v>
      </c>
    </row>
    <row r="2325" customFormat="false" ht="15" hidden="true" customHeight="true" outlineLevel="0" collapsed="false">
      <c r="F2325" s="116"/>
      <c r="G2325" s="116"/>
      <c r="K2325" s="104" t="n">
        <f aca="false">IF(A2325="",0,IF(IFERROR(VLOOKUP(A2325,Skills!$A:$M,13,FALSE()),"")="COS",0,IF(OR(I2325="En cours",I2325="À venir",I2325="À planifier"),IF(AND(OR($C$3="Tous",$C$3="",C2325=$C$3),OR($E$3="Tous",$E$3="",I2325=$E$3)),1,0),0)))</f>
        <v>0</v>
      </c>
      <c r="L2325" s="104" t="n">
        <f aca="false">L2324+K2325</f>
        <v>19</v>
      </c>
    </row>
    <row r="2326" customFormat="false" ht="15" hidden="true" customHeight="true" outlineLevel="0" collapsed="false">
      <c r="F2326" s="116"/>
      <c r="G2326" s="116"/>
      <c r="K2326" s="104" t="n">
        <f aca="false">IF(A2326="",0,IF(IFERROR(VLOOKUP(A2326,Skills!$A:$M,13,FALSE()),"")="COS",0,IF(OR(I2326="En cours",I2326="À venir",I2326="À planifier"),IF(AND(OR($C$3="Tous",$C$3="",C2326=$C$3),OR($E$3="Tous",$E$3="",I2326=$E$3)),1,0),0)))</f>
        <v>0</v>
      </c>
      <c r="L2326" s="104" t="n">
        <f aca="false">L2325+K2326</f>
        <v>19</v>
      </c>
    </row>
    <row r="2327" customFormat="false" ht="15" hidden="true" customHeight="true" outlineLevel="0" collapsed="false">
      <c r="F2327" s="116"/>
      <c r="G2327" s="116"/>
      <c r="K2327" s="104" t="n">
        <f aca="false">IF(A2327="",0,IF(IFERROR(VLOOKUP(A2327,Skills!$A:$M,13,FALSE()),"")="COS",0,IF(OR(I2327="En cours",I2327="À venir",I2327="À planifier"),IF(AND(OR($C$3="Tous",$C$3="",C2327=$C$3),OR($E$3="Tous",$E$3="",I2327=$E$3)),1,0),0)))</f>
        <v>0</v>
      </c>
      <c r="L2327" s="104" t="n">
        <f aca="false">L2326+K2327</f>
        <v>19</v>
      </c>
    </row>
    <row r="2328" customFormat="false" ht="15" hidden="true" customHeight="true" outlineLevel="0" collapsed="false">
      <c r="F2328" s="116"/>
      <c r="G2328" s="116"/>
      <c r="K2328" s="104" t="n">
        <f aca="false">IF(A2328="",0,IF(IFERROR(VLOOKUP(A2328,Skills!$A:$M,13,FALSE()),"")="COS",0,IF(OR(I2328="En cours",I2328="À venir",I2328="À planifier"),IF(AND(OR($C$3="Tous",$C$3="",C2328=$C$3),OR($E$3="Tous",$E$3="",I2328=$E$3)),1,0),0)))</f>
        <v>0</v>
      </c>
      <c r="L2328" s="104" t="n">
        <f aca="false">L2327+K2328</f>
        <v>19</v>
      </c>
    </row>
    <row r="2329" customFormat="false" ht="15" hidden="true" customHeight="true" outlineLevel="0" collapsed="false">
      <c r="F2329" s="116"/>
      <c r="G2329" s="116"/>
      <c r="K2329" s="104" t="n">
        <f aca="false">IF(A2329="",0,IF(IFERROR(VLOOKUP(A2329,Skills!$A:$M,13,FALSE()),"")="COS",0,IF(OR(I2329="En cours",I2329="À venir",I2329="À planifier"),IF(AND(OR($C$3="Tous",$C$3="",C2329=$C$3),OR($E$3="Tous",$E$3="",I2329=$E$3)),1,0),0)))</f>
        <v>0</v>
      </c>
      <c r="L2329" s="104" t="n">
        <f aca="false">L2328+K2329</f>
        <v>19</v>
      </c>
    </row>
    <row r="2330" customFormat="false" ht="15" hidden="true" customHeight="true" outlineLevel="0" collapsed="false">
      <c r="F2330" s="116"/>
      <c r="G2330" s="116"/>
      <c r="K2330" s="104" t="n">
        <f aca="false">IF(A2330="",0,IF(IFERROR(VLOOKUP(A2330,Skills!$A:$M,13,FALSE()),"")="COS",0,IF(OR(I2330="En cours",I2330="À venir",I2330="À planifier"),IF(AND(OR($C$3="Tous",$C$3="",C2330=$C$3),OR($E$3="Tous",$E$3="",I2330=$E$3)),1,0),0)))</f>
        <v>0</v>
      </c>
      <c r="L2330" s="104" t="n">
        <f aca="false">L2329+K2330</f>
        <v>19</v>
      </c>
    </row>
    <row r="2331" customFormat="false" ht="15" hidden="true" customHeight="true" outlineLevel="0" collapsed="false">
      <c r="F2331" s="116"/>
      <c r="G2331" s="116"/>
      <c r="K2331" s="104" t="n">
        <f aca="false">IF(A2331="",0,IF(IFERROR(VLOOKUP(A2331,Skills!$A:$M,13,FALSE()),"")="COS",0,IF(OR(I2331="En cours",I2331="À venir",I2331="À planifier"),IF(AND(OR($C$3="Tous",$C$3="",C2331=$C$3),OR($E$3="Tous",$E$3="",I2331=$E$3)),1,0),0)))</f>
        <v>0</v>
      </c>
      <c r="L2331" s="104" t="n">
        <f aca="false">L2330+K2331</f>
        <v>19</v>
      </c>
    </row>
    <row r="2332" customFormat="false" ht="15" hidden="true" customHeight="true" outlineLevel="0" collapsed="false">
      <c r="F2332" s="116"/>
      <c r="G2332" s="116"/>
      <c r="K2332" s="104" t="n">
        <f aca="false">IF(A2332="",0,IF(IFERROR(VLOOKUP(A2332,Skills!$A:$M,13,FALSE()),"")="COS",0,IF(OR(I2332="En cours",I2332="À venir",I2332="À planifier"),IF(AND(OR($C$3="Tous",$C$3="",C2332=$C$3),OR($E$3="Tous",$E$3="",I2332=$E$3)),1,0),0)))</f>
        <v>0</v>
      </c>
      <c r="L2332" s="104" t="n">
        <f aca="false">L2331+K2332</f>
        <v>19</v>
      </c>
    </row>
    <row r="2333" customFormat="false" ht="15" hidden="true" customHeight="true" outlineLevel="0" collapsed="false">
      <c r="F2333" s="116"/>
      <c r="G2333" s="116"/>
      <c r="K2333" s="104" t="n">
        <f aca="false">IF(A2333="",0,IF(IFERROR(VLOOKUP(A2333,Skills!$A:$M,13,FALSE()),"")="COS",0,IF(OR(I2333="En cours",I2333="À venir",I2333="À planifier"),IF(AND(OR($C$3="Tous",$C$3="",C2333=$C$3),OR($E$3="Tous",$E$3="",I2333=$E$3)),1,0),0)))</f>
        <v>0</v>
      </c>
      <c r="L2333" s="104" t="n">
        <f aca="false">L2332+K2333</f>
        <v>19</v>
      </c>
    </row>
    <row r="2334" customFormat="false" ht="15" hidden="true" customHeight="true" outlineLevel="0" collapsed="false">
      <c r="F2334" s="116"/>
      <c r="G2334" s="116"/>
      <c r="K2334" s="104" t="n">
        <f aca="false">IF(A2334="",0,IF(IFERROR(VLOOKUP(A2334,Skills!$A:$M,13,FALSE()),"")="COS",0,IF(OR(I2334="En cours",I2334="À venir",I2334="À planifier"),IF(AND(OR($C$3="Tous",$C$3="",C2334=$C$3),OR($E$3="Tous",$E$3="",I2334=$E$3)),1,0),0)))</f>
        <v>0</v>
      </c>
      <c r="L2334" s="104" t="n">
        <f aca="false">L2333+K2334</f>
        <v>19</v>
      </c>
    </row>
    <row r="2335" customFormat="false" ht="15" hidden="true" customHeight="true" outlineLevel="0" collapsed="false">
      <c r="F2335" s="116"/>
      <c r="G2335" s="116"/>
      <c r="K2335" s="104" t="n">
        <f aca="false">IF(A2335="",0,IF(IFERROR(VLOOKUP(A2335,Skills!$A:$M,13,FALSE()),"")="COS",0,IF(OR(I2335="En cours",I2335="À venir",I2335="À planifier"),IF(AND(OR($C$3="Tous",$C$3="",C2335=$C$3),OR($E$3="Tous",$E$3="",I2335=$E$3)),1,0),0)))</f>
        <v>0</v>
      </c>
      <c r="L2335" s="104" t="n">
        <f aca="false">L2334+K2335</f>
        <v>19</v>
      </c>
    </row>
    <row r="2336" customFormat="false" ht="15" hidden="true" customHeight="true" outlineLevel="0" collapsed="false">
      <c r="F2336" s="116"/>
      <c r="G2336" s="116"/>
      <c r="K2336" s="104" t="n">
        <f aca="false">IF(A2336="",0,IF(IFERROR(VLOOKUP(A2336,Skills!$A:$M,13,FALSE()),"")="COS",0,IF(OR(I2336="En cours",I2336="À venir",I2336="À planifier"),IF(AND(OR($C$3="Tous",$C$3="",C2336=$C$3),OR($E$3="Tous",$E$3="",I2336=$E$3)),1,0),0)))</f>
        <v>0</v>
      </c>
      <c r="L2336" s="104" t="n">
        <f aca="false">L2335+K2336</f>
        <v>19</v>
      </c>
    </row>
    <row r="2337" customFormat="false" ht="15" hidden="true" customHeight="true" outlineLevel="0" collapsed="false">
      <c r="F2337" s="116"/>
      <c r="G2337" s="116"/>
      <c r="K2337" s="104" t="n">
        <f aca="false">IF(A2337="",0,IF(IFERROR(VLOOKUP(A2337,Skills!$A:$M,13,FALSE()),"")="COS",0,IF(OR(I2337="En cours",I2337="À venir",I2337="À planifier"),IF(AND(OR($C$3="Tous",$C$3="",C2337=$C$3),OR($E$3="Tous",$E$3="",I2337=$E$3)),1,0),0)))</f>
        <v>0</v>
      </c>
      <c r="L2337" s="104" t="n">
        <f aca="false">L2336+K2337</f>
        <v>19</v>
      </c>
    </row>
    <row r="2338" customFormat="false" ht="15" hidden="true" customHeight="true" outlineLevel="0" collapsed="false">
      <c r="F2338" s="116"/>
      <c r="G2338" s="116"/>
      <c r="K2338" s="104" t="n">
        <f aca="false">IF(A2338="",0,IF(IFERROR(VLOOKUP(A2338,Skills!$A:$M,13,FALSE()),"")="COS",0,IF(OR(I2338="En cours",I2338="À venir",I2338="À planifier"),IF(AND(OR($C$3="Tous",$C$3="",C2338=$C$3),OR($E$3="Tous",$E$3="",I2338=$E$3)),1,0),0)))</f>
        <v>0</v>
      </c>
      <c r="L2338" s="104" t="n">
        <f aca="false">L2337+K2338</f>
        <v>19</v>
      </c>
    </row>
    <row r="2339" customFormat="false" ht="15" hidden="true" customHeight="true" outlineLevel="0" collapsed="false">
      <c r="F2339" s="116"/>
      <c r="G2339" s="116"/>
      <c r="K2339" s="104" t="n">
        <f aca="false">IF(A2339="",0,IF(IFERROR(VLOOKUP(A2339,Skills!$A:$M,13,FALSE()),"")="COS",0,IF(OR(I2339="En cours",I2339="À venir",I2339="À planifier"),IF(AND(OR($C$3="Tous",$C$3="",C2339=$C$3),OR($E$3="Tous",$E$3="",I2339=$E$3)),1,0),0)))</f>
        <v>0</v>
      </c>
      <c r="L2339" s="104" t="n">
        <f aca="false">L2338+K2339</f>
        <v>19</v>
      </c>
    </row>
    <row r="2340" customFormat="false" ht="15" hidden="true" customHeight="true" outlineLevel="0" collapsed="false">
      <c r="F2340" s="116"/>
      <c r="G2340" s="116"/>
      <c r="K2340" s="104" t="n">
        <f aca="false">IF(A2340="",0,IF(IFERROR(VLOOKUP(A2340,Skills!$A:$M,13,FALSE()),"")="COS",0,IF(OR(I2340="En cours",I2340="À venir",I2340="À planifier"),IF(AND(OR($C$3="Tous",$C$3="",C2340=$C$3),OR($E$3="Tous",$E$3="",I2340=$E$3)),1,0),0)))</f>
        <v>0</v>
      </c>
      <c r="L2340" s="104" t="n">
        <f aca="false">L2339+K2340</f>
        <v>19</v>
      </c>
    </row>
    <row r="2341" customFormat="false" ht="15" hidden="true" customHeight="true" outlineLevel="0" collapsed="false">
      <c r="F2341" s="116"/>
      <c r="G2341" s="116"/>
      <c r="K2341" s="104" t="n">
        <f aca="false">IF(A2341="",0,IF(IFERROR(VLOOKUP(A2341,Skills!$A:$M,13,FALSE()),"")="COS",0,IF(OR(I2341="En cours",I2341="À venir",I2341="À planifier"),IF(AND(OR($C$3="Tous",$C$3="",C2341=$C$3),OR($E$3="Tous",$E$3="",I2341=$E$3)),1,0),0)))</f>
        <v>0</v>
      </c>
      <c r="L2341" s="104" t="n">
        <f aca="false">L2340+K2341</f>
        <v>19</v>
      </c>
    </row>
    <row r="2342" customFormat="false" ht="15" hidden="true" customHeight="true" outlineLevel="0" collapsed="false">
      <c r="F2342" s="116"/>
      <c r="G2342" s="116"/>
      <c r="K2342" s="104" t="n">
        <f aca="false">IF(A2342="",0,IF(IFERROR(VLOOKUP(A2342,Skills!$A:$M,13,FALSE()),"")="COS",0,IF(OR(I2342="En cours",I2342="À venir",I2342="À planifier"),IF(AND(OR($C$3="Tous",$C$3="",C2342=$C$3),OR($E$3="Tous",$E$3="",I2342=$E$3)),1,0),0)))</f>
        <v>0</v>
      </c>
      <c r="L2342" s="104" t="n">
        <f aca="false">L2341+K2342</f>
        <v>19</v>
      </c>
    </row>
    <row r="2343" customFormat="false" ht="15" hidden="true" customHeight="true" outlineLevel="0" collapsed="false">
      <c r="F2343" s="116"/>
      <c r="G2343" s="116"/>
      <c r="K2343" s="104" t="n">
        <f aca="false">IF(A2343="",0,IF(IFERROR(VLOOKUP(A2343,Skills!$A:$M,13,FALSE()),"")="COS",0,IF(OR(I2343="En cours",I2343="À venir",I2343="À planifier"),IF(AND(OR($C$3="Tous",$C$3="",C2343=$C$3),OR($E$3="Tous",$E$3="",I2343=$E$3)),1,0),0)))</f>
        <v>0</v>
      </c>
      <c r="L2343" s="104" t="n">
        <f aca="false">L2342+K2343</f>
        <v>19</v>
      </c>
    </row>
    <row r="2344" customFormat="false" ht="15" hidden="true" customHeight="true" outlineLevel="0" collapsed="false">
      <c r="F2344" s="116"/>
      <c r="G2344" s="116"/>
      <c r="K2344" s="104" t="n">
        <f aca="false">IF(A2344="",0,IF(IFERROR(VLOOKUP(A2344,Skills!$A:$M,13,FALSE()),"")="COS",0,IF(OR(I2344="En cours",I2344="À venir",I2344="À planifier"),IF(AND(OR($C$3="Tous",$C$3="",C2344=$C$3),OR($E$3="Tous",$E$3="",I2344=$E$3)),1,0),0)))</f>
        <v>0</v>
      </c>
      <c r="L2344" s="104" t="n">
        <f aca="false">L2343+K2344</f>
        <v>19</v>
      </c>
    </row>
    <row r="2345" customFormat="false" ht="15" hidden="true" customHeight="true" outlineLevel="0" collapsed="false">
      <c r="F2345" s="116"/>
      <c r="G2345" s="116"/>
      <c r="K2345" s="104" t="n">
        <f aca="false">IF(A2345="",0,IF(IFERROR(VLOOKUP(A2345,Skills!$A:$M,13,FALSE()),"")="COS",0,IF(OR(I2345="En cours",I2345="À venir",I2345="À planifier"),IF(AND(OR($C$3="Tous",$C$3="",C2345=$C$3),OR($E$3="Tous",$E$3="",I2345=$E$3)),1,0),0)))</f>
        <v>0</v>
      </c>
      <c r="L2345" s="104" t="n">
        <f aca="false">L2344+K2345</f>
        <v>19</v>
      </c>
    </row>
    <row r="2346" customFormat="false" ht="15" hidden="true" customHeight="true" outlineLevel="0" collapsed="false">
      <c r="F2346" s="116"/>
      <c r="G2346" s="116"/>
      <c r="K2346" s="104" t="n">
        <f aca="false">IF(A2346="",0,IF(IFERROR(VLOOKUP(A2346,Skills!$A:$M,13,FALSE()),"")="COS",0,IF(OR(I2346="En cours",I2346="À venir",I2346="À planifier"),IF(AND(OR($C$3="Tous",$C$3="",C2346=$C$3),OR($E$3="Tous",$E$3="",I2346=$E$3)),1,0),0)))</f>
        <v>0</v>
      </c>
      <c r="L2346" s="104" t="n">
        <f aca="false">L2345+K2346</f>
        <v>19</v>
      </c>
    </row>
    <row r="2347" customFormat="false" ht="15" hidden="true" customHeight="true" outlineLevel="0" collapsed="false">
      <c r="F2347" s="116"/>
      <c r="G2347" s="116"/>
      <c r="K2347" s="104" t="n">
        <f aca="false">IF(A2347="",0,IF(IFERROR(VLOOKUP(A2347,Skills!$A:$M,13,FALSE()),"")="COS",0,IF(OR(I2347="En cours",I2347="À venir",I2347="À planifier"),IF(AND(OR($C$3="Tous",$C$3="",C2347=$C$3),OR($E$3="Tous",$E$3="",I2347=$E$3)),1,0),0)))</f>
        <v>0</v>
      </c>
      <c r="L2347" s="104" t="n">
        <f aca="false">L2346+K2347</f>
        <v>19</v>
      </c>
    </row>
    <row r="2348" customFormat="false" ht="15" hidden="true" customHeight="true" outlineLevel="0" collapsed="false">
      <c r="F2348" s="116"/>
      <c r="G2348" s="116"/>
      <c r="K2348" s="104" t="n">
        <f aca="false">IF(A2348="",0,IF(IFERROR(VLOOKUP(A2348,Skills!$A:$M,13,FALSE()),"")="COS",0,IF(OR(I2348="En cours",I2348="À venir",I2348="À planifier"),IF(AND(OR($C$3="Tous",$C$3="",C2348=$C$3),OR($E$3="Tous",$E$3="",I2348=$E$3)),1,0),0)))</f>
        <v>0</v>
      </c>
      <c r="L2348" s="104" t="n">
        <f aca="false">L2347+K2348</f>
        <v>19</v>
      </c>
    </row>
    <row r="2349" customFormat="false" ht="15" hidden="true" customHeight="true" outlineLevel="0" collapsed="false">
      <c r="F2349" s="116"/>
      <c r="G2349" s="116"/>
      <c r="K2349" s="104" t="n">
        <f aca="false">IF(A2349="",0,IF(IFERROR(VLOOKUP(A2349,Skills!$A:$M,13,FALSE()),"")="COS",0,IF(OR(I2349="En cours",I2349="À venir",I2349="À planifier"),IF(AND(OR($C$3="Tous",$C$3="",C2349=$C$3),OR($E$3="Tous",$E$3="",I2349=$E$3)),1,0),0)))</f>
        <v>0</v>
      </c>
      <c r="L2349" s="104" t="n">
        <f aca="false">L2348+K2349</f>
        <v>19</v>
      </c>
    </row>
    <row r="2350" customFormat="false" ht="15" hidden="true" customHeight="true" outlineLevel="0" collapsed="false">
      <c r="F2350" s="116"/>
      <c r="G2350" s="116"/>
      <c r="K2350" s="104" t="n">
        <f aca="false">IF(A2350="",0,IF(IFERROR(VLOOKUP(A2350,Skills!$A:$M,13,FALSE()),"")="COS",0,IF(OR(I2350="En cours",I2350="À venir",I2350="À planifier"),IF(AND(OR($C$3="Tous",$C$3="",C2350=$C$3),OR($E$3="Tous",$E$3="",I2350=$E$3)),1,0),0)))</f>
        <v>0</v>
      </c>
      <c r="L2350" s="104" t="n">
        <f aca="false">L2349+K2350</f>
        <v>19</v>
      </c>
    </row>
    <row r="2351" customFormat="false" ht="15" hidden="true" customHeight="true" outlineLevel="0" collapsed="false">
      <c r="F2351" s="116"/>
      <c r="G2351" s="116"/>
      <c r="K2351" s="104" t="n">
        <f aca="false">IF(A2351="",0,IF(IFERROR(VLOOKUP(A2351,Skills!$A:$M,13,FALSE()),"")="COS",0,IF(OR(I2351="En cours",I2351="À venir",I2351="À planifier"),IF(AND(OR($C$3="Tous",$C$3="",C2351=$C$3),OR($E$3="Tous",$E$3="",I2351=$E$3)),1,0),0)))</f>
        <v>0</v>
      </c>
      <c r="L2351" s="104" t="n">
        <f aca="false">L2350+K2351</f>
        <v>19</v>
      </c>
    </row>
    <row r="2352" customFormat="false" ht="15" hidden="true" customHeight="true" outlineLevel="0" collapsed="false">
      <c r="F2352" s="116"/>
      <c r="G2352" s="116"/>
      <c r="K2352" s="104" t="n">
        <f aca="false">IF(A2352="",0,IF(IFERROR(VLOOKUP(A2352,Skills!$A:$M,13,FALSE()),"")="COS",0,IF(OR(I2352="En cours",I2352="À venir",I2352="À planifier"),IF(AND(OR($C$3="Tous",$C$3="",C2352=$C$3),OR($E$3="Tous",$E$3="",I2352=$E$3)),1,0),0)))</f>
        <v>0</v>
      </c>
      <c r="L2352" s="104" t="n">
        <f aca="false">L2351+K2352</f>
        <v>19</v>
      </c>
    </row>
    <row r="2353" customFormat="false" ht="15" hidden="true" customHeight="true" outlineLevel="0" collapsed="false">
      <c r="F2353" s="116"/>
      <c r="G2353" s="116"/>
      <c r="K2353" s="104" t="n">
        <f aca="false">IF(A2353="",0,IF(IFERROR(VLOOKUP(A2353,Skills!$A:$M,13,FALSE()),"")="COS",0,IF(OR(I2353="En cours",I2353="À venir",I2353="À planifier"),IF(AND(OR($C$3="Tous",$C$3="",C2353=$C$3),OR($E$3="Tous",$E$3="",I2353=$E$3)),1,0),0)))</f>
        <v>0</v>
      </c>
      <c r="L2353" s="104" t="n">
        <f aca="false">L2352+K2353</f>
        <v>19</v>
      </c>
    </row>
    <row r="2354" customFormat="false" ht="15" hidden="true" customHeight="true" outlineLevel="0" collapsed="false">
      <c r="F2354" s="116"/>
      <c r="G2354" s="116"/>
      <c r="K2354" s="104" t="n">
        <f aca="false">IF(A2354="",0,IF(IFERROR(VLOOKUP(A2354,Skills!$A:$M,13,FALSE()),"")="COS",0,IF(OR(I2354="En cours",I2354="À venir",I2354="À planifier"),IF(AND(OR($C$3="Tous",$C$3="",C2354=$C$3),OR($E$3="Tous",$E$3="",I2354=$E$3)),1,0),0)))</f>
        <v>0</v>
      </c>
      <c r="L2354" s="104" t="n">
        <f aca="false">L2353+K2354</f>
        <v>19</v>
      </c>
    </row>
    <row r="2355" customFormat="false" ht="15" hidden="true" customHeight="true" outlineLevel="0" collapsed="false">
      <c r="F2355" s="116"/>
      <c r="G2355" s="116"/>
      <c r="K2355" s="104" t="n">
        <f aca="false">IF(A2355="",0,IF(IFERROR(VLOOKUP(A2355,Skills!$A:$M,13,FALSE()),"")="COS",0,IF(OR(I2355="En cours",I2355="À venir",I2355="À planifier"),IF(AND(OR($C$3="Tous",$C$3="",C2355=$C$3),OR($E$3="Tous",$E$3="",I2355=$E$3)),1,0),0)))</f>
        <v>0</v>
      </c>
      <c r="L2355" s="104" t="n">
        <f aca="false">L2354+K2355</f>
        <v>19</v>
      </c>
    </row>
    <row r="2356" customFormat="false" ht="15" hidden="true" customHeight="true" outlineLevel="0" collapsed="false">
      <c r="F2356" s="116"/>
      <c r="G2356" s="116"/>
      <c r="K2356" s="104" t="n">
        <f aca="false">IF(A2356="",0,IF(IFERROR(VLOOKUP(A2356,Skills!$A:$M,13,FALSE()),"")="COS",0,IF(OR(I2356="En cours",I2356="À venir",I2356="À planifier"),IF(AND(OR($C$3="Tous",$C$3="",C2356=$C$3),OR($E$3="Tous",$E$3="",I2356=$E$3)),1,0),0)))</f>
        <v>0</v>
      </c>
      <c r="L2356" s="104" t="n">
        <f aca="false">L2355+K2356</f>
        <v>19</v>
      </c>
    </row>
    <row r="2357" customFormat="false" ht="15" hidden="true" customHeight="true" outlineLevel="0" collapsed="false">
      <c r="F2357" s="116"/>
      <c r="G2357" s="116"/>
      <c r="K2357" s="104" t="n">
        <f aca="false">IF(A2357="",0,IF(IFERROR(VLOOKUP(A2357,Skills!$A:$M,13,FALSE()),"")="COS",0,IF(OR(I2357="En cours",I2357="À venir",I2357="À planifier"),IF(AND(OR($C$3="Tous",$C$3="",C2357=$C$3),OR($E$3="Tous",$E$3="",I2357=$E$3)),1,0),0)))</f>
        <v>0</v>
      </c>
      <c r="L2357" s="104" t="n">
        <f aca="false">L2356+K2357</f>
        <v>19</v>
      </c>
    </row>
    <row r="2358" customFormat="false" ht="15" hidden="true" customHeight="true" outlineLevel="0" collapsed="false">
      <c r="F2358" s="116"/>
      <c r="G2358" s="116"/>
      <c r="K2358" s="104" t="n">
        <f aca="false">IF(A2358="",0,IF(IFERROR(VLOOKUP(A2358,Skills!$A:$M,13,FALSE()),"")="COS",0,IF(OR(I2358="En cours",I2358="À venir",I2358="À planifier"),IF(AND(OR($C$3="Tous",$C$3="",C2358=$C$3),OR($E$3="Tous",$E$3="",I2358=$E$3)),1,0),0)))</f>
        <v>0</v>
      </c>
      <c r="L2358" s="104" t="n">
        <f aca="false">L2357+K2358</f>
        <v>19</v>
      </c>
    </row>
    <row r="2359" customFormat="false" ht="15" hidden="true" customHeight="true" outlineLevel="0" collapsed="false">
      <c r="F2359" s="116"/>
      <c r="G2359" s="116"/>
      <c r="K2359" s="104" t="n">
        <f aca="false">IF(A2359="",0,IF(IFERROR(VLOOKUP(A2359,Skills!$A:$M,13,FALSE()),"")="COS",0,IF(OR(I2359="En cours",I2359="À venir",I2359="À planifier"),IF(AND(OR($C$3="Tous",$C$3="",C2359=$C$3),OR($E$3="Tous",$E$3="",I2359=$E$3)),1,0),0)))</f>
        <v>0</v>
      </c>
      <c r="L2359" s="104" t="n">
        <f aca="false">L2358+K2359</f>
        <v>19</v>
      </c>
    </row>
    <row r="2360" customFormat="false" ht="15" hidden="true" customHeight="true" outlineLevel="0" collapsed="false">
      <c r="F2360" s="116"/>
      <c r="G2360" s="116"/>
      <c r="K2360" s="104" t="n">
        <f aca="false">IF(A2360="",0,IF(IFERROR(VLOOKUP(A2360,Skills!$A:$M,13,FALSE()),"")="COS",0,IF(OR(I2360="En cours",I2360="À venir",I2360="À planifier"),IF(AND(OR($C$3="Tous",$C$3="",C2360=$C$3),OR($E$3="Tous",$E$3="",I2360=$E$3)),1,0),0)))</f>
        <v>0</v>
      </c>
      <c r="L2360" s="104" t="n">
        <f aca="false">L2359+K2360</f>
        <v>19</v>
      </c>
    </row>
    <row r="2361" customFormat="false" ht="15" hidden="true" customHeight="true" outlineLevel="0" collapsed="false">
      <c r="F2361" s="116"/>
      <c r="G2361" s="116"/>
      <c r="K2361" s="104" t="n">
        <f aca="false">IF(A2361="",0,IF(IFERROR(VLOOKUP(A2361,Skills!$A:$M,13,FALSE()),"")="COS",0,IF(OR(I2361="En cours",I2361="À venir",I2361="À planifier"),IF(AND(OR($C$3="Tous",$C$3="",C2361=$C$3),OR($E$3="Tous",$E$3="",I2361=$E$3)),1,0),0)))</f>
        <v>0</v>
      </c>
      <c r="L2361" s="104" t="n">
        <f aca="false">L2360+K2361</f>
        <v>19</v>
      </c>
    </row>
    <row r="2362" customFormat="false" ht="15" hidden="true" customHeight="true" outlineLevel="0" collapsed="false">
      <c r="F2362" s="116"/>
      <c r="G2362" s="116"/>
      <c r="K2362" s="104" t="n">
        <f aca="false">IF(A2362="",0,IF(IFERROR(VLOOKUP(A2362,Skills!$A:$M,13,FALSE()),"")="COS",0,IF(OR(I2362="En cours",I2362="À venir",I2362="À planifier"),IF(AND(OR($C$3="Tous",$C$3="",C2362=$C$3),OR($E$3="Tous",$E$3="",I2362=$E$3)),1,0),0)))</f>
        <v>0</v>
      </c>
      <c r="L2362" s="104" t="n">
        <f aca="false">L2361+K2362</f>
        <v>19</v>
      </c>
    </row>
    <row r="2363" customFormat="false" ht="15" hidden="true" customHeight="true" outlineLevel="0" collapsed="false">
      <c r="F2363" s="116"/>
      <c r="G2363" s="116"/>
      <c r="K2363" s="104" t="n">
        <f aca="false">IF(A2363="",0,IF(IFERROR(VLOOKUP(A2363,Skills!$A:$M,13,FALSE()),"")="COS",0,IF(OR(I2363="En cours",I2363="À venir",I2363="À planifier"),IF(AND(OR($C$3="Tous",$C$3="",C2363=$C$3),OR($E$3="Tous",$E$3="",I2363=$E$3)),1,0),0)))</f>
        <v>0</v>
      </c>
      <c r="L2363" s="104" t="n">
        <f aca="false">L2362+K2363</f>
        <v>19</v>
      </c>
    </row>
    <row r="2364" customFormat="false" ht="15" hidden="true" customHeight="true" outlineLevel="0" collapsed="false">
      <c r="F2364" s="116"/>
      <c r="G2364" s="116"/>
      <c r="K2364" s="104" t="n">
        <f aca="false">IF(A2364="",0,IF(IFERROR(VLOOKUP(A2364,Skills!$A:$M,13,FALSE()),"")="COS",0,IF(OR(I2364="En cours",I2364="À venir",I2364="À planifier"),IF(AND(OR($C$3="Tous",$C$3="",C2364=$C$3),OR($E$3="Tous",$E$3="",I2364=$E$3)),1,0),0)))</f>
        <v>0</v>
      </c>
      <c r="L2364" s="104" t="n">
        <f aca="false">L2363+K2364</f>
        <v>19</v>
      </c>
    </row>
    <row r="2365" customFormat="false" ht="15" hidden="true" customHeight="true" outlineLevel="0" collapsed="false">
      <c r="F2365" s="116"/>
      <c r="G2365" s="116"/>
      <c r="K2365" s="104" t="n">
        <f aca="false">IF(A2365="",0,IF(IFERROR(VLOOKUP(A2365,Skills!$A:$M,13,FALSE()),"")="COS",0,IF(OR(I2365="En cours",I2365="À venir",I2365="À planifier"),IF(AND(OR($C$3="Tous",$C$3="",C2365=$C$3),OR($E$3="Tous",$E$3="",I2365=$E$3)),1,0),0)))</f>
        <v>0</v>
      </c>
      <c r="L2365" s="104" t="n">
        <f aca="false">L2364+K2365</f>
        <v>19</v>
      </c>
    </row>
    <row r="2366" customFormat="false" ht="15" hidden="true" customHeight="true" outlineLevel="0" collapsed="false">
      <c r="F2366" s="116"/>
      <c r="G2366" s="116"/>
      <c r="K2366" s="104" t="n">
        <f aca="false">IF(A2366="",0,IF(IFERROR(VLOOKUP(A2366,Skills!$A:$M,13,FALSE()),"")="COS",0,IF(OR(I2366="En cours",I2366="À venir",I2366="À planifier"),IF(AND(OR($C$3="Tous",$C$3="",C2366=$C$3),OR($E$3="Tous",$E$3="",I2366=$E$3)),1,0),0)))</f>
        <v>0</v>
      </c>
      <c r="L2366" s="104" t="n">
        <f aca="false">L2365+K2366</f>
        <v>19</v>
      </c>
    </row>
    <row r="2367" customFormat="false" ht="15" hidden="true" customHeight="true" outlineLevel="0" collapsed="false">
      <c r="F2367" s="116"/>
      <c r="G2367" s="116"/>
      <c r="K2367" s="104" t="n">
        <f aca="false">IF(A2367="",0,IF(IFERROR(VLOOKUP(A2367,Skills!$A:$M,13,FALSE()),"")="COS",0,IF(OR(I2367="En cours",I2367="À venir",I2367="À planifier"),IF(AND(OR($C$3="Tous",$C$3="",C2367=$C$3),OR($E$3="Tous",$E$3="",I2367=$E$3)),1,0),0)))</f>
        <v>0</v>
      </c>
      <c r="L2367" s="104" t="n">
        <f aca="false">L2366+K2367</f>
        <v>19</v>
      </c>
    </row>
    <row r="2368" customFormat="false" ht="15" hidden="true" customHeight="true" outlineLevel="0" collapsed="false">
      <c r="F2368" s="116"/>
      <c r="G2368" s="116"/>
      <c r="K2368" s="104" t="n">
        <f aca="false">IF(A2368="",0,IF(IFERROR(VLOOKUP(A2368,Skills!$A:$M,13,FALSE()),"")="COS",0,IF(OR(I2368="En cours",I2368="À venir",I2368="À planifier"),IF(AND(OR($C$3="Tous",$C$3="",C2368=$C$3),OR($E$3="Tous",$E$3="",I2368=$E$3)),1,0),0)))</f>
        <v>0</v>
      </c>
      <c r="L2368" s="104" t="n">
        <f aca="false">L2367+K2368</f>
        <v>19</v>
      </c>
    </row>
    <row r="2369" customFormat="false" ht="15" hidden="true" customHeight="true" outlineLevel="0" collapsed="false">
      <c r="F2369" s="116"/>
      <c r="G2369" s="116"/>
      <c r="K2369" s="104" t="n">
        <f aca="false">IF(A2369="",0,IF(IFERROR(VLOOKUP(A2369,Skills!$A:$M,13,FALSE()),"")="COS",0,IF(OR(I2369="En cours",I2369="À venir",I2369="À planifier"),IF(AND(OR($C$3="Tous",$C$3="",C2369=$C$3),OR($E$3="Tous",$E$3="",I2369=$E$3)),1,0),0)))</f>
        <v>0</v>
      </c>
      <c r="L2369" s="104" t="n">
        <f aca="false">L2368+K2369</f>
        <v>19</v>
      </c>
    </row>
    <row r="2370" customFormat="false" ht="15" hidden="true" customHeight="true" outlineLevel="0" collapsed="false">
      <c r="F2370" s="116"/>
      <c r="G2370" s="116"/>
      <c r="K2370" s="104" t="n">
        <f aca="false">IF(A2370="",0,IF(IFERROR(VLOOKUP(A2370,Skills!$A:$M,13,FALSE()),"")="COS",0,IF(OR(I2370="En cours",I2370="À venir",I2370="À planifier"),IF(AND(OR($C$3="Tous",$C$3="",C2370=$C$3),OR($E$3="Tous",$E$3="",I2370=$E$3)),1,0),0)))</f>
        <v>0</v>
      </c>
      <c r="L2370" s="104" t="n">
        <f aca="false">L2369+K2370</f>
        <v>19</v>
      </c>
    </row>
    <row r="2371" customFormat="false" ht="15" hidden="true" customHeight="true" outlineLevel="0" collapsed="false">
      <c r="F2371" s="116"/>
      <c r="G2371" s="116"/>
      <c r="K2371" s="104" t="n">
        <f aca="false">IF(A2371="",0,IF(IFERROR(VLOOKUP(A2371,Skills!$A:$M,13,FALSE()),"")="COS",0,IF(OR(I2371="En cours",I2371="À venir",I2371="À planifier"),IF(AND(OR($C$3="Tous",$C$3="",C2371=$C$3),OR($E$3="Tous",$E$3="",I2371=$E$3)),1,0),0)))</f>
        <v>0</v>
      </c>
      <c r="L2371" s="104" t="n">
        <f aca="false">L2370+K2371</f>
        <v>19</v>
      </c>
    </row>
    <row r="2372" customFormat="false" ht="15" hidden="true" customHeight="true" outlineLevel="0" collapsed="false">
      <c r="F2372" s="116"/>
      <c r="G2372" s="116"/>
      <c r="K2372" s="104" t="n">
        <f aca="false">IF(A2372="",0,IF(IFERROR(VLOOKUP(A2372,Skills!$A:$M,13,FALSE()),"")="COS",0,IF(OR(I2372="En cours",I2372="À venir",I2372="À planifier"),IF(AND(OR($C$3="Tous",$C$3="",C2372=$C$3),OR($E$3="Tous",$E$3="",I2372=$E$3)),1,0),0)))</f>
        <v>0</v>
      </c>
      <c r="L2372" s="104" t="n">
        <f aca="false">L2371+K2372</f>
        <v>19</v>
      </c>
    </row>
    <row r="2373" customFormat="false" ht="15" hidden="true" customHeight="true" outlineLevel="0" collapsed="false">
      <c r="F2373" s="116"/>
      <c r="G2373" s="116"/>
      <c r="K2373" s="104" t="n">
        <f aca="false">IF(A2373="",0,IF(IFERROR(VLOOKUP(A2373,Skills!$A:$M,13,FALSE()),"")="COS",0,IF(OR(I2373="En cours",I2373="À venir",I2373="À planifier"),IF(AND(OR($C$3="Tous",$C$3="",C2373=$C$3),OR($E$3="Tous",$E$3="",I2373=$E$3)),1,0),0)))</f>
        <v>0</v>
      </c>
      <c r="L2373" s="104" t="n">
        <f aca="false">L2372+K2373</f>
        <v>19</v>
      </c>
    </row>
    <row r="2374" customFormat="false" ht="15" hidden="true" customHeight="true" outlineLevel="0" collapsed="false">
      <c r="F2374" s="116"/>
      <c r="G2374" s="116"/>
      <c r="K2374" s="104" t="n">
        <f aca="false">IF(A2374="",0,IF(IFERROR(VLOOKUP(A2374,Skills!$A:$M,13,FALSE()),"")="COS",0,IF(OR(I2374="En cours",I2374="À venir",I2374="À planifier"),IF(AND(OR($C$3="Tous",$C$3="",C2374=$C$3),OR($E$3="Tous",$E$3="",I2374=$E$3)),1,0),0)))</f>
        <v>0</v>
      </c>
      <c r="L2374" s="104" t="n">
        <f aca="false">L2373+K2374</f>
        <v>19</v>
      </c>
    </row>
    <row r="2375" customFormat="false" ht="15" hidden="true" customHeight="true" outlineLevel="0" collapsed="false">
      <c r="F2375" s="116"/>
      <c r="G2375" s="116"/>
      <c r="K2375" s="104" t="n">
        <f aca="false">IF(A2375="",0,IF(IFERROR(VLOOKUP(A2375,Skills!$A:$M,13,FALSE()),"")="COS",0,IF(OR(I2375="En cours",I2375="À venir",I2375="À planifier"),IF(AND(OR($C$3="Tous",$C$3="",C2375=$C$3),OR($E$3="Tous",$E$3="",I2375=$E$3)),1,0),0)))</f>
        <v>0</v>
      </c>
      <c r="L2375" s="104" t="n">
        <f aca="false">L2374+K2375</f>
        <v>19</v>
      </c>
    </row>
    <row r="2376" customFormat="false" ht="15" hidden="true" customHeight="true" outlineLevel="0" collapsed="false">
      <c r="F2376" s="116"/>
      <c r="G2376" s="116"/>
      <c r="K2376" s="104" t="n">
        <f aca="false">IF(A2376="",0,IF(IFERROR(VLOOKUP(A2376,Skills!$A:$M,13,FALSE()),"")="COS",0,IF(OR(I2376="En cours",I2376="À venir",I2376="À planifier"),IF(AND(OR($C$3="Tous",$C$3="",C2376=$C$3),OR($E$3="Tous",$E$3="",I2376=$E$3)),1,0),0)))</f>
        <v>0</v>
      </c>
      <c r="L2376" s="104" t="n">
        <f aca="false">L2375+K2376</f>
        <v>19</v>
      </c>
    </row>
    <row r="2377" customFormat="false" ht="15" hidden="true" customHeight="true" outlineLevel="0" collapsed="false">
      <c r="F2377" s="116"/>
      <c r="G2377" s="116"/>
      <c r="K2377" s="104" t="n">
        <f aca="false">IF(A2377="",0,IF(IFERROR(VLOOKUP(A2377,Skills!$A:$M,13,FALSE()),"")="COS",0,IF(OR(I2377="En cours",I2377="À venir",I2377="À planifier"),IF(AND(OR($C$3="Tous",$C$3="",C2377=$C$3),OR($E$3="Tous",$E$3="",I2377=$E$3)),1,0),0)))</f>
        <v>0</v>
      </c>
      <c r="L2377" s="104" t="n">
        <f aca="false">L2376+K2377</f>
        <v>19</v>
      </c>
    </row>
    <row r="2378" customFormat="false" ht="15" hidden="true" customHeight="true" outlineLevel="0" collapsed="false">
      <c r="F2378" s="116"/>
      <c r="G2378" s="116"/>
      <c r="K2378" s="104" t="n">
        <f aca="false">IF(A2378="",0,IF(IFERROR(VLOOKUP(A2378,Skills!$A:$M,13,FALSE()),"")="COS",0,IF(OR(I2378="En cours",I2378="À venir",I2378="À planifier"),IF(AND(OR($C$3="Tous",$C$3="",C2378=$C$3),OR($E$3="Tous",$E$3="",I2378=$E$3)),1,0),0)))</f>
        <v>0</v>
      </c>
      <c r="L2378" s="104" t="n">
        <f aca="false">L2377+K2378</f>
        <v>19</v>
      </c>
    </row>
    <row r="2379" customFormat="false" ht="15" hidden="true" customHeight="true" outlineLevel="0" collapsed="false">
      <c r="F2379" s="116"/>
      <c r="G2379" s="116"/>
      <c r="K2379" s="104" t="n">
        <f aca="false">IF(A2379="",0,IF(IFERROR(VLOOKUP(A2379,Skills!$A:$M,13,FALSE()),"")="COS",0,IF(OR(I2379="En cours",I2379="À venir",I2379="À planifier"),IF(AND(OR($C$3="Tous",$C$3="",C2379=$C$3),OR($E$3="Tous",$E$3="",I2379=$E$3)),1,0),0)))</f>
        <v>0</v>
      </c>
      <c r="L2379" s="104" t="n">
        <f aca="false">L2378+K2379</f>
        <v>19</v>
      </c>
    </row>
    <row r="2380" customFormat="false" ht="15" hidden="true" customHeight="true" outlineLevel="0" collapsed="false">
      <c r="F2380" s="116"/>
      <c r="G2380" s="116"/>
      <c r="K2380" s="104" t="n">
        <f aca="false">IF(A2380="",0,IF(IFERROR(VLOOKUP(A2380,Skills!$A:$M,13,FALSE()),"")="COS",0,IF(OR(I2380="En cours",I2380="À venir",I2380="À planifier"),IF(AND(OR($C$3="Tous",$C$3="",C2380=$C$3),OR($E$3="Tous",$E$3="",I2380=$E$3)),1,0),0)))</f>
        <v>0</v>
      </c>
      <c r="L2380" s="104" t="n">
        <f aca="false">L2379+K2380</f>
        <v>19</v>
      </c>
    </row>
    <row r="2381" customFormat="false" ht="15" hidden="true" customHeight="true" outlineLevel="0" collapsed="false">
      <c r="F2381" s="116"/>
      <c r="G2381" s="116"/>
      <c r="K2381" s="104" t="n">
        <f aca="false">IF(A2381="",0,IF(IFERROR(VLOOKUP(A2381,Skills!$A:$M,13,FALSE()),"")="COS",0,IF(OR(I2381="En cours",I2381="À venir",I2381="À planifier"),IF(AND(OR($C$3="Tous",$C$3="",C2381=$C$3),OR($E$3="Tous",$E$3="",I2381=$E$3)),1,0),0)))</f>
        <v>0</v>
      </c>
      <c r="L2381" s="104" t="n">
        <f aca="false">L2380+K2381</f>
        <v>19</v>
      </c>
    </row>
    <row r="2382" customFormat="false" ht="15" hidden="true" customHeight="true" outlineLevel="0" collapsed="false">
      <c r="F2382" s="116"/>
      <c r="G2382" s="116"/>
      <c r="K2382" s="104" t="n">
        <f aca="false">IF(A2382="",0,IF(IFERROR(VLOOKUP(A2382,Skills!$A:$M,13,FALSE()),"")="COS",0,IF(OR(I2382="En cours",I2382="À venir",I2382="À planifier"),IF(AND(OR($C$3="Tous",$C$3="",C2382=$C$3),OR($E$3="Tous",$E$3="",I2382=$E$3)),1,0),0)))</f>
        <v>0</v>
      </c>
      <c r="L2382" s="104" t="n">
        <f aca="false">L2381+K2382</f>
        <v>19</v>
      </c>
    </row>
    <row r="2383" customFormat="false" ht="15" hidden="true" customHeight="true" outlineLevel="0" collapsed="false">
      <c r="F2383" s="116"/>
      <c r="G2383" s="116"/>
      <c r="K2383" s="104" t="n">
        <f aca="false">IF(A2383="",0,IF(IFERROR(VLOOKUP(A2383,Skills!$A:$M,13,FALSE()),"")="COS",0,IF(OR(I2383="En cours",I2383="À venir",I2383="À planifier"),IF(AND(OR($C$3="Tous",$C$3="",C2383=$C$3),OR($E$3="Tous",$E$3="",I2383=$E$3)),1,0),0)))</f>
        <v>0</v>
      </c>
      <c r="L2383" s="104" t="n">
        <f aca="false">L2382+K2383</f>
        <v>19</v>
      </c>
    </row>
    <row r="2384" customFormat="false" ht="15" hidden="true" customHeight="true" outlineLevel="0" collapsed="false">
      <c r="F2384" s="116"/>
      <c r="G2384" s="116"/>
      <c r="K2384" s="104" t="n">
        <f aca="false">IF(A2384="",0,IF(IFERROR(VLOOKUP(A2384,Skills!$A:$M,13,FALSE()),"")="COS",0,IF(OR(I2384="En cours",I2384="À venir",I2384="À planifier"),IF(AND(OR($C$3="Tous",$C$3="",C2384=$C$3),OR($E$3="Tous",$E$3="",I2384=$E$3)),1,0),0)))</f>
        <v>0</v>
      </c>
      <c r="L2384" s="104" t="n">
        <f aca="false">L2383+K2384</f>
        <v>19</v>
      </c>
    </row>
    <row r="2385" customFormat="false" ht="15" hidden="true" customHeight="true" outlineLevel="0" collapsed="false">
      <c r="F2385" s="116"/>
      <c r="G2385" s="116"/>
      <c r="K2385" s="104" t="n">
        <f aca="false">IF(A2385="",0,IF(IFERROR(VLOOKUP(A2385,Skills!$A:$M,13,FALSE()),"")="COS",0,IF(OR(I2385="En cours",I2385="À venir",I2385="À planifier"),IF(AND(OR($C$3="Tous",$C$3="",C2385=$C$3),OR($E$3="Tous",$E$3="",I2385=$E$3)),1,0),0)))</f>
        <v>0</v>
      </c>
      <c r="L2385" s="104" t="n">
        <f aca="false">L2384+K2385</f>
        <v>19</v>
      </c>
    </row>
    <row r="2386" customFormat="false" ht="15" hidden="true" customHeight="true" outlineLevel="0" collapsed="false">
      <c r="F2386" s="116"/>
      <c r="G2386" s="116"/>
      <c r="K2386" s="104" t="n">
        <f aca="false">IF(A2386="",0,IF(IFERROR(VLOOKUP(A2386,Skills!$A:$M,13,FALSE()),"")="COS",0,IF(OR(I2386="En cours",I2386="À venir",I2386="À planifier"),IF(AND(OR($C$3="Tous",$C$3="",C2386=$C$3),OR($E$3="Tous",$E$3="",I2386=$E$3)),1,0),0)))</f>
        <v>0</v>
      </c>
      <c r="L2386" s="104" t="n">
        <f aca="false">L2385+K2386</f>
        <v>19</v>
      </c>
    </row>
    <row r="2387" customFormat="false" ht="15" hidden="true" customHeight="true" outlineLevel="0" collapsed="false">
      <c r="F2387" s="116"/>
      <c r="G2387" s="116"/>
      <c r="K2387" s="104" t="n">
        <f aca="false">IF(A2387="",0,IF(IFERROR(VLOOKUP(A2387,Skills!$A:$M,13,FALSE()),"")="COS",0,IF(OR(I2387="En cours",I2387="À venir",I2387="À planifier"),IF(AND(OR($C$3="Tous",$C$3="",C2387=$C$3),OR($E$3="Tous",$E$3="",I2387=$E$3)),1,0),0)))</f>
        <v>0</v>
      </c>
      <c r="L2387" s="104" t="n">
        <f aca="false">L2386+K2387</f>
        <v>19</v>
      </c>
    </row>
    <row r="2388" customFormat="false" ht="15" hidden="true" customHeight="true" outlineLevel="0" collapsed="false">
      <c r="F2388" s="116"/>
      <c r="G2388" s="116"/>
      <c r="K2388" s="104" t="n">
        <f aca="false">IF(A2388="",0,IF(IFERROR(VLOOKUP(A2388,Skills!$A:$M,13,FALSE()),"")="COS",0,IF(OR(I2388="En cours",I2388="À venir",I2388="À planifier"),IF(AND(OR($C$3="Tous",$C$3="",C2388=$C$3),OR($E$3="Tous",$E$3="",I2388=$E$3)),1,0),0)))</f>
        <v>0</v>
      </c>
      <c r="L2388" s="104" t="n">
        <f aca="false">L2387+K2388</f>
        <v>19</v>
      </c>
    </row>
    <row r="2389" customFormat="false" ht="15" hidden="true" customHeight="true" outlineLevel="0" collapsed="false">
      <c r="F2389" s="116"/>
      <c r="G2389" s="116"/>
      <c r="K2389" s="104" t="n">
        <f aca="false">IF(A2389="",0,IF(IFERROR(VLOOKUP(A2389,Skills!$A:$M,13,FALSE()),"")="COS",0,IF(OR(I2389="En cours",I2389="À venir",I2389="À planifier"),IF(AND(OR($C$3="Tous",$C$3="",C2389=$C$3),OR($E$3="Tous",$E$3="",I2389=$E$3)),1,0),0)))</f>
        <v>0</v>
      </c>
      <c r="L2389" s="104" t="n">
        <f aca="false">L2388+K2389</f>
        <v>19</v>
      </c>
    </row>
    <row r="2390" customFormat="false" ht="15" hidden="true" customHeight="true" outlineLevel="0" collapsed="false">
      <c r="F2390" s="116"/>
      <c r="G2390" s="116"/>
      <c r="K2390" s="104" t="n">
        <f aca="false">IF(A2390="",0,IF(IFERROR(VLOOKUP(A2390,Skills!$A:$M,13,FALSE()),"")="COS",0,IF(OR(I2390="En cours",I2390="À venir",I2390="À planifier"),IF(AND(OR($C$3="Tous",$C$3="",C2390=$C$3),OR($E$3="Tous",$E$3="",I2390=$E$3)),1,0),0)))</f>
        <v>0</v>
      </c>
      <c r="L2390" s="104" t="n">
        <f aca="false">L2389+K2390</f>
        <v>19</v>
      </c>
    </row>
    <row r="2391" customFormat="false" ht="15" hidden="true" customHeight="true" outlineLevel="0" collapsed="false">
      <c r="F2391" s="116"/>
      <c r="G2391" s="116"/>
      <c r="K2391" s="104" t="n">
        <f aca="false">IF(A2391="",0,IF(IFERROR(VLOOKUP(A2391,Skills!$A:$M,13,FALSE()),"")="COS",0,IF(OR(I2391="En cours",I2391="À venir",I2391="À planifier"),IF(AND(OR($C$3="Tous",$C$3="",C2391=$C$3),OR($E$3="Tous",$E$3="",I2391=$E$3)),1,0),0)))</f>
        <v>0</v>
      </c>
      <c r="L2391" s="104" t="n">
        <f aca="false">L2390+K2391</f>
        <v>19</v>
      </c>
    </row>
    <row r="2392" customFormat="false" ht="15" hidden="true" customHeight="true" outlineLevel="0" collapsed="false">
      <c r="F2392" s="116"/>
      <c r="G2392" s="116"/>
      <c r="K2392" s="104" t="n">
        <f aca="false">IF(A2392="",0,IF(IFERROR(VLOOKUP(A2392,Skills!$A:$M,13,FALSE()),"")="COS",0,IF(OR(I2392="En cours",I2392="À venir",I2392="À planifier"),IF(AND(OR($C$3="Tous",$C$3="",C2392=$C$3),OR($E$3="Tous",$E$3="",I2392=$E$3)),1,0),0)))</f>
        <v>0</v>
      </c>
      <c r="L2392" s="104" t="n">
        <f aca="false">L2391+K2392</f>
        <v>19</v>
      </c>
    </row>
    <row r="2393" customFormat="false" ht="15" hidden="true" customHeight="true" outlineLevel="0" collapsed="false">
      <c r="F2393" s="116"/>
      <c r="G2393" s="116"/>
      <c r="K2393" s="104" t="n">
        <f aca="false">IF(A2393="",0,IF(IFERROR(VLOOKUP(A2393,Skills!$A:$M,13,FALSE()),"")="COS",0,IF(OR(I2393="En cours",I2393="À venir",I2393="À planifier"),IF(AND(OR($C$3="Tous",$C$3="",C2393=$C$3),OR($E$3="Tous",$E$3="",I2393=$E$3)),1,0),0)))</f>
        <v>0</v>
      </c>
      <c r="L2393" s="104" t="n">
        <f aca="false">L2392+K2393</f>
        <v>19</v>
      </c>
    </row>
    <row r="2394" customFormat="false" ht="15" hidden="true" customHeight="true" outlineLevel="0" collapsed="false">
      <c r="F2394" s="116"/>
      <c r="G2394" s="116"/>
      <c r="K2394" s="104" t="n">
        <f aca="false">IF(A2394="",0,IF(IFERROR(VLOOKUP(A2394,Skills!$A:$M,13,FALSE()),"")="COS",0,IF(OR(I2394="En cours",I2394="À venir",I2394="À planifier"),IF(AND(OR($C$3="Tous",$C$3="",C2394=$C$3),OR($E$3="Tous",$E$3="",I2394=$E$3)),1,0),0)))</f>
        <v>0</v>
      </c>
      <c r="L2394" s="104" t="n">
        <f aca="false">L2393+K2394</f>
        <v>19</v>
      </c>
    </row>
    <row r="2395" customFormat="false" ht="15" hidden="true" customHeight="true" outlineLevel="0" collapsed="false">
      <c r="F2395" s="116"/>
      <c r="G2395" s="116"/>
      <c r="K2395" s="104" t="n">
        <f aca="false">IF(A2395="",0,IF(IFERROR(VLOOKUP(A2395,Skills!$A:$M,13,FALSE()),"")="COS",0,IF(OR(I2395="En cours",I2395="À venir",I2395="À planifier"),IF(AND(OR($C$3="Tous",$C$3="",C2395=$C$3),OR($E$3="Tous",$E$3="",I2395=$E$3)),1,0),0)))</f>
        <v>0</v>
      </c>
      <c r="L2395" s="104" t="n">
        <f aca="false">L2394+K2395</f>
        <v>19</v>
      </c>
    </row>
    <row r="2396" customFormat="false" ht="15" hidden="true" customHeight="true" outlineLevel="0" collapsed="false">
      <c r="F2396" s="116"/>
      <c r="G2396" s="116"/>
      <c r="K2396" s="104" t="n">
        <f aca="false">IF(A2396="",0,IF(IFERROR(VLOOKUP(A2396,Skills!$A:$M,13,FALSE()),"")="COS",0,IF(OR(I2396="En cours",I2396="À venir",I2396="À planifier"),IF(AND(OR($C$3="Tous",$C$3="",C2396=$C$3),OR($E$3="Tous",$E$3="",I2396=$E$3)),1,0),0)))</f>
        <v>0</v>
      </c>
      <c r="L2396" s="104" t="n">
        <f aca="false">L2395+K2396</f>
        <v>19</v>
      </c>
    </row>
    <row r="2397" customFormat="false" ht="15" hidden="true" customHeight="true" outlineLevel="0" collapsed="false">
      <c r="F2397" s="116"/>
      <c r="G2397" s="116"/>
      <c r="K2397" s="104" t="n">
        <f aca="false">IF(A2397="",0,IF(IFERROR(VLOOKUP(A2397,Skills!$A:$M,13,FALSE()),"")="COS",0,IF(OR(I2397="En cours",I2397="À venir",I2397="À planifier"),IF(AND(OR($C$3="Tous",$C$3="",C2397=$C$3),OR($E$3="Tous",$E$3="",I2397=$E$3)),1,0),0)))</f>
        <v>0</v>
      </c>
      <c r="L2397" s="104" t="n">
        <f aca="false">L2396+K2397</f>
        <v>19</v>
      </c>
    </row>
    <row r="2398" customFormat="false" ht="15" hidden="true" customHeight="true" outlineLevel="0" collapsed="false">
      <c r="F2398" s="116"/>
      <c r="G2398" s="116"/>
      <c r="K2398" s="104" t="n">
        <f aca="false">IF(A2398="",0,IF(IFERROR(VLOOKUP(A2398,Skills!$A:$M,13,FALSE()),"")="COS",0,IF(OR(I2398="En cours",I2398="À venir",I2398="À planifier"),IF(AND(OR($C$3="Tous",$C$3="",C2398=$C$3),OR($E$3="Tous",$E$3="",I2398=$E$3)),1,0),0)))</f>
        <v>0</v>
      </c>
      <c r="L2398" s="104" t="n">
        <f aca="false">L2397+K2398</f>
        <v>19</v>
      </c>
    </row>
    <row r="2399" customFormat="false" ht="15" hidden="true" customHeight="true" outlineLevel="0" collapsed="false">
      <c r="F2399" s="116"/>
      <c r="G2399" s="116"/>
      <c r="K2399" s="104" t="n">
        <f aca="false">IF(A2399="",0,IF(IFERROR(VLOOKUP(A2399,Skills!$A:$M,13,FALSE()),"")="COS",0,IF(OR(I2399="En cours",I2399="À venir",I2399="À planifier"),IF(AND(OR($C$3="Tous",$C$3="",C2399=$C$3),OR($E$3="Tous",$E$3="",I2399=$E$3)),1,0),0)))</f>
        <v>0</v>
      </c>
      <c r="L2399" s="104" t="n">
        <f aca="false">L2398+K2399</f>
        <v>19</v>
      </c>
    </row>
    <row r="2400" customFormat="false" ht="15" hidden="true" customHeight="true" outlineLevel="0" collapsed="false">
      <c r="F2400" s="116"/>
      <c r="G2400" s="116"/>
      <c r="K2400" s="104" t="n">
        <f aca="false">IF(A2400="",0,IF(IFERROR(VLOOKUP(A2400,Skills!$A:$M,13,FALSE()),"")="COS",0,IF(OR(I2400="En cours",I2400="À venir",I2400="À planifier"),IF(AND(OR($C$3="Tous",$C$3="",C2400=$C$3),OR($E$3="Tous",$E$3="",I2400=$E$3)),1,0),0)))</f>
        <v>0</v>
      </c>
      <c r="L2400" s="104" t="n">
        <f aca="false">L2399+K2400</f>
        <v>19</v>
      </c>
    </row>
    <row r="2401" customFormat="false" ht="15" hidden="true" customHeight="true" outlineLevel="0" collapsed="false">
      <c r="F2401" s="116"/>
      <c r="G2401" s="116"/>
      <c r="K2401" s="104" t="n">
        <f aca="false">IF(A2401="",0,IF(IFERROR(VLOOKUP(A2401,Skills!$A:$M,13,FALSE()),"")="COS",0,IF(OR(I2401="En cours",I2401="À venir",I2401="À planifier"),IF(AND(OR($C$3="Tous",$C$3="",C2401=$C$3),OR($E$3="Tous",$E$3="",I2401=$E$3)),1,0),0)))</f>
        <v>0</v>
      </c>
      <c r="L2401" s="104" t="n">
        <f aca="false">L2400+K2401</f>
        <v>19</v>
      </c>
    </row>
    <row r="2402" customFormat="false" ht="15" hidden="true" customHeight="true" outlineLevel="0" collapsed="false">
      <c r="F2402" s="116"/>
      <c r="G2402" s="116"/>
      <c r="K2402" s="104" t="n">
        <f aca="false">IF(A2402="",0,IF(IFERROR(VLOOKUP(A2402,Skills!$A:$M,13,FALSE()),"")="COS",0,IF(OR(I2402="En cours",I2402="À venir",I2402="À planifier"),IF(AND(OR($C$3="Tous",$C$3="",C2402=$C$3),OR($E$3="Tous",$E$3="",I2402=$E$3)),1,0),0)))</f>
        <v>0</v>
      </c>
      <c r="L2402" s="104" t="n">
        <f aca="false">L2401+K2402</f>
        <v>19</v>
      </c>
    </row>
    <row r="2403" customFormat="false" ht="15" hidden="true" customHeight="true" outlineLevel="0" collapsed="false">
      <c r="F2403" s="116"/>
      <c r="G2403" s="116"/>
      <c r="K2403" s="104" t="n">
        <f aca="false">IF(A2403="",0,IF(IFERROR(VLOOKUP(A2403,Skills!$A:$M,13,FALSE()),"")="COS",0,IF(OR(I2403="En cours",I2403="À venir",I2403="À planifier"),IF(AND(OR($C$3="Tous",$C$3="",C2403=$C$3),OR($E$3="Tous",$E$3="",I2403=$E$3)),1,0),0)))</f>
        <v>0</v>
      </c>
      <c r="L2403" s="104" t="n">
        <f aca="false">L2402+K2403</f>
        <v>19</v>
      </c>
    </row>
    <row r="2404" customFormat="false" ht="15" hidden="true" customHeight="true" outlineLevel="0" collapsed="false">
      <c r="F2404" s="116"/>
      <c r="G2404" s="116"/>
      <c r="K2404" s="104" t="n">
        <f aca="false">IF(A2404="",0,IF(IFERROR(VLOOKUP(A2404,Skills!$A:$M,13,FALSE()),"")="COS",0,IF(OR(I2404="En cours",I2404="À venir",I2404="À planifier"),IF(AND(OR($C$3="Tous",$C$3="",C2404=$C$3),OR($E$3="Tous",$E$3="",I2404=$E$3)),1,0),0)))</f>
        <v>0</v>
      </c>
      <c r="L2404" s="104" t="n">
        <f aca="false">L2403+K2404</f>
        <v>19</v>
      </c>
    </row>
    <row r="2405" customFormat="false" ht="15" hidden="true" customHeight="true" outlineLevel="0" collapsed="false">
      <c r="F2405" s="116"/>
      <c r="G2405" s="116"/>
      <c r="K2405" s="104" t="n">
        <f aca="false">IF(A2405="",0,IF(IFERROR(VLOOKUP(A2405,Skills!$A:$M,13,FALSE()),"")="COS",0,IF(OR(I2405="En cours",I2405="À venir",I2405="À planifier"),IF(AND(OR($C$3="Tous",$C$3="",C2405=$C$3),OR($E$3="Tous",$E$3="",I2405=$E$3)),1,0),0)))</f>
        <v>0</v>
      </c>
      <c r="L2405" s="104" t="n">
        <f aca="false">L2404+K2405</f>
        <v>19</v>
      </c>
    </row>
    <row r="2406" customFormat="false" ht="15" hidden="true" customHeight="true" outlineLevel="0" collapsed="false">
      <c r="F2406" s="116"/>
      <c r="G2406" s="116"/>
      <c r="K2406" s="104" t="n">
        <f aca="false">IF(A2406="",0,IF(IFERROR(VLOOKUP(A2406,Skills!$A:$M,13,FALSE()),"")="COS",0,IF(OR(I2406="En cours",I2406="À venir",I2406="À planifier"),IF(AND(OR($C$3="Tous",$C$3="",C2406=$C$3),OR($E$3="Tous",$E$3="",I2406=$E$3)),1,0),0)))</f>
        <v>0</v>
      </c>
      <c r="L2406" s="104" t="n">
        <f aca="false">L2405+K2406</f>
        <v>19</v>
      </c>
    </row>
    <row r="2407" customFormat="false" ht="15" hidden="true" customHeight="true" outlineLevel="0" collapsed="false">
      <c r="F2407" s="116"/>
      <c r="G2407" s="116"/>
      <c r="K2407" s="104" t="n">
        <f aca="false">IF(A2407="",0,IF(IFERROR(VLOOKUP(A2407,Skills!$A:$M,13,FALSE()),"")="COS",0,IF(OR(I2407="En cours",I2407="À venir",I2407="À planifier"),IF(AND(OR($C$3="Tous",$C$3="",C2407=$C$3),OR($E$3="Tous",$E$3="",I2407=$E$3)),1,0),0)))</f>
        <v>0</v>
      </c>
      <c r="L2407" s="104" t="n">
        <f aca="false">L2406+K2407</f>
        <v>19</v>
      </c>
    </row>
    <row r="2408" customFormat="false" ht="15" hidden="true" customHeight="true" outlineLevel="0" collapsed="false">
      <c r="F2408" s="116"/>
      <c r="G2408" s="116"/>
      <c r="K2408" s="104" t="n">
        <f aca="false">IF(A2408="",0,IF(IFERROR(VLOOKUP(A2408,Skills!$A:$M,13,FALSE()),"")="COS",0,IF(OR(I2408="En cours",I2408="À venir",I2408="À planifier"),IF(AND(OR($C$3="Tous",$C$3="",C2408=$C$3),OR($E$3="Tous",$E$3="",I2408=$E$3)),1,0),0)))</f>
        <v>0</v>
      </c>
      <c r="L2408" s="104" t="n">
        <f aca="false">L2407+K2408</f>
        <v>19</v>
      </c>
    </row>
    <row r="2409" customFormat="false" ht="15" hidden="true" customHeight="true" outlineLevel="0" collapsed="false">
      <c r="F2409" s="116"/>
      <c r="G2409" s="116"/>
      <c r="K2409" s="104" t="n">
        <f aca="false">IF(A2409="",0,IF(IFERROR(VLOOKUP(A2409,Skills!$A:$M,13,FALSE()),"")="COS",0,IF(OR(I2409="En cours",I2409="À venir",I2409="À planifier"),IF(AND(OR($C$3="Tous",$C$3="",C2409=$C$3),OR($E$3="Tous",$E$3="",I2409=$E$3)),1,0),0)))</f>
        <v>0</v>
      </c>
      <c r="L2409" s="104" t="n">
        <f aca="false">L2408+K2409</f>
        <v>19</v>
      </c>
    </row>
    <row r="2410" customFormat="false" ht="15" hidden="true" customHeight="true" outlineLevel="0" collapsed="false">
      <c r="F2410" s="116"/>
      <c r="G2410" s="116"/>
      <c r="K2410" s="104" t="n">
        <f aca="false">IF(A2410="",0,IF(IFERROR(VLOOKUP(A2410,Skills!$A:$M,13,FALSE()),"")="COS",0,IF(OR(I2410="En cours",I2410="À venir",I2410="À planifier"),IF(AND(OR($C$3="Tous",$C$3="",C2410=$C$3),OR($E$3="Tous",$E$3="",I2410=$E$3)),1,0),0)))</f>
        <v>0</v>
      </c>
      <c r="L2410" s="104" t="n">
        <f aca="false">L2409+K2410</f>
        <v>19</v>
      </c>
    </row>
    <row r="2411" customFormat="false" ht="15" hidden="true" customHeight="true" outlineLevel="0" collapsed="false">
      <c r="F2411" s="116"/>
      <c r="G2411" s="116"/>
      <c r="K2411" s="104" t="n">
        <f aca="false">IF(A2411="",0,IF(IFERROR(VLOOKUP(A2411,Skills!$A:$M,13,FALSE()),"")="COS",0,IF(OR(I2411="En cours",I2411="À venir",I2411="À planifier"),IF(AND(OR($C$3="Tous",$C$3="",C2411=$C$3),OR($E$3="Tous",$E$3="",I2411=$E$3)),1,0),0)))</f>
        <v>0</v>
      </c>
      <c r="L2411" s="104" t="n">
        <f aca="false">L2410+K2411</f>
        <v>19</v>
      </c>
    </row>
    <row r="2412" customFormat="false" ht="15" hidden="true" customHeight="true" outlineLevel="0" collapsed="false">
      <c r="F2412" s="116"/>
      <c r="G2412" s="116"/>
      <c r="K2412" s="104" t="n">
        <f aca="false">IF(A2412="",0,IF(IFERROR(VLOOKUP(A2412,Skills!$A:$M,13,FALSE()),"")="COS",0,IF(OR(I2412="En cours",I2412="À venir",I2412="À planifier"),IF(AND(OR($C$3="Tous",$C$3="",C2412=$C$3),OR($E$3="Tous",$E$3="",I2412=$E$3)),1,0),0)))</f>
        <v>0</v>
      </c>
      <c r="L2412" s="104" t="n">
        <f aca="false">L2411+K2412</f>
        <v>19</v>
      </c>
    </row>
    <row r="2413" customFormat="false" ht="15" hidden="true" customHeight="true" outlineLevel="0" collapsed="false">
      <c r="F2413" s="116"/>
      <c r="G2413" s="116"/>
      <c r="K2413" s="104" t="n">
        <f aca="false">IF(A2413="",0,IF(IFERROR(VLOOKUP(A2413,Skills!$A:$M,13,FALSE()),"")="COS",0,IF(OR(I2413="En cours",I2413="À venir",I2413="À planifier"),IF(AND(OR($C$3="Tous",$C$3="",C2413=$C$3),OR($E$3="Tous",$E$3="",I2413=$E$3)),1,0),0)))</f>
        <v>0</v>
      </c>
      <c r="L2413" s="104" t="n">
        <f aca="false">L2412+K2413</f>
        <v>19</v>
      </c>
    </row>
    <row r="2414" customFormat="false" ht="15" hidden="true" customHeight="true" outlineLevel="0" collapsed="false">
      <c r="F2414" s="116"/>
      <c r="G2414" s="116"/>
      <c r="K2414" s="104" t="n">
        <f aca="false">IF(A2414="",0,IF(IFERROR(VLOOKUP(A2414,Skills!$A:$M,13,FALSE()),"")="COS",0,IF(OR(I2414="En cours",I2414="À venir",I2414="À planifier"),IF(AND(OR($C$3="Tous",$C$3="",C2414=$C$3),OR($E$3="Tous",$E$3="",I2414=$E$3)),1,0),0)))</f>
        <v>0</v>
      </c>
      <c r="L2414" s="104" t="n">
        <f aca="false">L2413+K2414</f>
        <v>19</v>
      </c>
    </row>
    <row r="2415" customFormat="false" ht="15" hidden="true" customHeight="true" outlineLevel="0" collapsed="false">
      <c r="F2415" s="116"/>
      <c r="G2415" s="116"/>
      <c r="K2415" s="104" t="n">
        <f aca="false">IF(A2415="",0,IF(IFERROR(VLOOKUP(A2415,Skills!$A:$M,13,FALSE()),"")="COS",0,IF(OR(I2415="En cours",I2415="À venir",I2415="À planifier"),IF(AND(OR($C$3="Tous",$C$3="",C2415=$C$3),OR($E$3="Tous",$E$3="",I2415=$E$3)),1,0),0)))</f>
        <v>0</v>
      </c>
      <c r="L2415" s="104" t="n">
        <f aca="false">L2414+K2415</f>
        <v>19</v>
      </c>
    </row>
    <row r="2416" customFormat="false" ht="15" hidden="true" customHeight="true" outlineLevel="0" collapsed="false">
      <c r="F2416" s="116"/>
      <c r="G2416" s="116"/>
      <c r="K2416" s="104" t="n">
        <f aca="false">IF(A2416="",0,IF(IFERROR(VLOOKUP(A2416,Skills!$A:$M,13,FALSE()),"")="COS",0,IF(OR(I2416="En cours",I2416="À venir",I2416="À planifier"),IF(AND(OR($C$3="Tous",$C$3="",C2416=$C$3),OR($E$3="Tous",$E$3="",I2416=$E$3)),1,0),0)))</f>
        <v>0</v>
      </c>
      <c r="L2416" s="104" t="n">
        <f aca="false">L2415+K2416</f>
        <v>19</v>
      </c>
    </row>
    <row r="2417" customFormat="false" ht="15" hidden="true" customHeight="true" outlineLevel="0" collapsed="false">
      <c r="F2417" s="116"/>
      <c r="G2417" s="116"/>
      <c r="K2417" s="104" t="n">
        <f aca="false">IF(A2417="",0,IF(IFERROR(VLOOKUP(A2417,Skills!$A:$M,13,FALSE()),"")="COS",0,IF(OR(I2417="En cours",I2417="À venir",I2417="À planifier"),IF(AND(OR($C$3="Tous",$C$3="",C2417=$C$3),OR($E$3="Tous",$E$3="",I2417=$E$3)),1,0),0)))</f>
        <v>0</v>
      </c>
      <c r="L2417" s="104" t="n">
        <f aca="false">L2416+K2417</f>
        <v>19</v>
      </c>
    </row>
    <row r="2418" customFormat="false" ht="15" hidden="true" customHeight="true" outlineLevel="0" collapsed="false">
      <c r="F2418" s="116"/>
      <c r="G2418" s="116"/>
      <c r="K2418" s="104" t="n">
        <f aca="false">IF(A2418="",0,IF(IFERROR(VLOOKUP(A2418,Skills!$A:$M,13,FALSE()),"")="COS",0,IF(OR(I2418="En cours",I2418="À venir",I2418="À planifier"),IF(AND(OR($C$3="Tous",$C$3="",C2418=$C$3),OR($E$3="Tous",$E$3="",I2418=$E$3)),1,0),0)))</f>
        <v>0</v>
      </c>
      <c r="L2418" s="104" t="n">
        <f aca="false">L2417+K2418</f>
        <v>19</v>
      </c>
    </row>
    <row r="2419" customFormat="false" ht="15" hidden="true" customHeight="true" outlineLevel="0" collapsed="false">
      <c r="F2419" s="116"/>
      <c r="G2419" s="116"/>
      <c r="K2419" s="104" t="n">
        <f aca="false">IF(A2419="",0,IF(IFERROR(VLOOKUP(A2419,Skills!$A:$M,13,FALSE()),"")="COS",0,IF(OR(I2419="En cours",I2419="À venir",I2419="À planifier"),IF(AND(OR($C$3="Tous",$C$3="",C2419=$C$3),OR($E$3="Tous",$E$3="",I2419=$E$3)),1,0),0)))</f>
        <v>0</v>
      </c>
      <c r="L2419" s="104" t="n">
        <f aca="false">L2418+K2419</f>
        <v>19</v>
      </c>
    </row>
    <row r="2420" customFormat="false" ht="15" hidden="true" customHeight="true" outlineLevel="0" collapsed="false">
      <c r="F2420" s="116"/>
      <c r="G2420" s="116"/>
      <c r="K2420" s="104" t="n">
        <f aca="false">IF(A2420="",0,IF(IFERROR(VLOOKUP(A2420,Skills!$A:$M,13,FALSE()),"")="COS",0,IF(OR(I2420="En cours",I2420="À venir",I2420="À planifier"),IF(AND(OR($C$3="Tous",$C$3="",C2420=$C$3),OR($E$3="Tous",$E$3="",I2420=$E$3)),1,0),0)))</f>
        <v>0</v>
      </c>
      <c r="L2420" s="104" t="n">
        <f aca="false">L2419+K2420</f>
        <v>19</v>
      </c>
    </row>
    <row r="2421" customFormat="false" ht="15" hidden="true" customHeight="true" outlineLevel="0" collapsed="false">
      <c r="F2421" s="116"/>
      <c r="G2421" s="116"/>
      <c r="K2421" s="104" t="n">
        <f aca="false">IF(A2421="",0,IF(IFERROR(VLOOKUP(A2421,Skills!$A:$M,13,FALSE()),"")="COS",0,IF(OR(I2421="En cours",I2421="À venir",I2421="À planifier"),IF(AND(OR($C$3="Tous",$C$3="",C2421=$C$3),OR($E$3="Tous",$E$3="",I2421=$E$3)),1,0),0)))</f>
        <v>0</v>
      </c>
      <c r="L2421" s="104" t="n">
        <f aca="false">L2420+K2421</f>
        <v>19</v>
      </c>
    </row>
    <row r="2422" customFormat="false" ht="15" hidden="true" customHeight="true" outlineLevel="0" collapsed="false">
      <c r="F2422" s="116"/>
      <c r="G2422" s="116"/>
      <c r="K2422" s="104" t="n">
        <f aca="false">IF(A2422="",0,IF(IFERROR(VLOOKUP(A2422,Skills!$A:$M,13,FALSE()),"")="COS",0,IF(OR(I2422="En cours",I2422="À venir",I2422="À planifier"),IF(AND(OR($C$3="Tous",$C$3="",C2422=$C$3),OR($E$3="Tous",$E$3="",I2422=$E$3)),1,0),0)))</f>
        <v>0</v>
      </c>
      <c r="L2422" s="104" t="n">
        <f aca="false">L2421+K2422</f>
        <v>19</v>
      </c>
    </row>
    <row r="2423" customFormat="false" ht="15" hidden="true" customHeight="true" outlineLevel="0" collapsed="false">
      <c r="F2423" s="116"/>
      <c r="G2423" s="116"/>
      <c r="K2423" s="104" t="n">
        <f aca="false">IF(A2423="",0,IF(IFERROR(VLOOKUP(A2423,Skills!$A:$M,13,FALSE()),"")="COS",0,IF(OR(I2423="En cours",I2423="À venir",I2423="À planifier"),IF(AND(OR($C$3="Tous",$C$3="",C2423=$C$3),OR($E$3="Tous",$E$3="",I2423=$E$3)),1,0),0)))</f>
        <v>0</v>
      </c>
      <c r="L2423" s="104" t="n">
        <f aca="false">L2422+K2423</f>
        <v>19</v>
      </c>
    </row>
    <row r="2424" customFormat="false" ht="15" hidden="true" customHeight="true" outlineLevel="0" collapsed="false">
      <c r="F2424" s="116"/>
      <c r="G2424" s="116"/>
      <c r="K2424" s="104" t="n">
        <f aca="false">IF(A2424="",0,IF(IFERROR(VLOOKUP(A2424,Skills!$A:$M,13,FALSE()),"")="COS",0,IF(OR(I2424="En cours",I2424="À venir",I2424="À planifier"),IF(AND(OR($C$3="Tous",$C$3="",C2424=$C$3),OR($E$3="Tous",$E$3="",I2424=$E$3)),1,0),0)))</f>
        <v>0</v>
      </c>
      <c r="L2424" s="104" t="n">
        <f aca="false">L2423+K2424</f>
        <v>19</v>
      </c>
    </row>
    <row r="2425" customFormat="false" ht="15" hidden="true" customHeight="true" outlineLevel="0" collapsed="false">
      <c r="F2425" s="116"/>
      <c r="G2425" s="116"/>
      <c r="K2425" s="104" t="n">
        <f aca="false">IF(A2425="",0,IF(IFERROR(VLOOKUP(A2425,Skills!$A:$M,13,FALSE()),"")="COS",0,IF(OR(I2425="En cours",I2425="À venir",I2425="À planifier"),IF(AND(OR($C$3="Tous",$C$3="",C2425=$C$3),OR($E$3="Tous",$E$3="",I2425=$E$3)),1,0),0)))</f>
        <v>0</v>
      </c>
      <c r="L2425" s="104" t="n">
        <f aca="false">L2424+K2425</f>
        <v>19</v>
      </c>
    </row>
    <row r="2426" customFormat="false" ht="15" hidden="true" customHeight="true" outlineLevel="0" collapsed="false">
      <c r="F2426" s="116"/>
      <c r="G2426" s="116"/>
      <c r="K2426" s="104" t="n">
        <f aca="false">IF(A2426="",0,IF(IFERROR(VLOOKUP(A2426,Skills!$A:$M,13,FALSE()),"")="COS",0,IF(OR(I2426="En cours",I2426="À venir",I2426="À planifier"),IF(AND(OR($C$3="Tous",$C$3="",C2426=$C$3),OR($E$3="Tous",$E$3="",I2426=$E$3)),1,0),0)))</f>
        <v>0</v>
      </c>
      <c r="L2426" s="104" t="n">
        <f aca="false">L2425+K2426</f>
        <v>19</v>
      </c>
    </row>
    <row r="2427" customFormat="false" ht="15" hidden="true" customHeight="true" outlineLevel="0" collapsed="false">
      <c r="F2427" s="116"/>
      <c r="G2427" s="116"/>
      <c r="K2427" s="104" t="n">
        <f aca="false">IF(A2427="",0,IF(IFERROR(VLOOKUP(A2427,Skills!$A:$M,13,FALSE()),"")="COS",0,IF(OR(I2427="En cours",I2427="À venir",I2427="À planifier"),IF(AND(OR($C$3="Tous",$C$3="",C2427=$C$3),OR($E$3="Tous",$E$3="",I2427=$E$3)),1,0),0)))</f>
        <v>0</v>
      </c>
      <c r="L2427" s="104" t="n">
        <f aca="false">L2426+K2427</f>
        <v>19</v>
      </c>
    </row>
    <row r="2428" customFormat="false" ht="15" hidden="true" customHeight="true" outlineLevel="0" collapsed="false">
      <c r="F2428" s="116"/>
      <c r="G2428" s="116"/>
      <c r="K2428" s="104" t="n">
        <f aca="false">IF(A2428="",0,IF(IFERROR(VLOOKUP(A2428,Skills!$A:$M,13,FALSE()),"")="COS",0,IF(OR(I2428="En cours",I2428="À venir",I2428="À planifier"),IF(AND(OR($C$3="Tous",$C$3="",C2428=$C$3),OR($E$3="Tous",$E$3="",I2428=$E$3)),1,0),0)))</f>
        <v>0</v>
      </c>
      <c r="L2428" s="104" t="n">
        <f aca="false">L2427+K2428</f>
        <v>19</v>
      </c>
    </row>
    <row r="2429" customFormat="false" ht="15" hidden="true" customHeight="true" outlineLevel="0" collapsed="false">
      <c r="F2429" s="116"/>
      <c r="G2429" s="116"/>
      <c r="K2429" s="104" t="n">
        <f aca="false">IF(A2429="",0,IF(IFERROR(VLOOKUP(A2429,Skills!$A:$M,13,FALSE()),"")="COS",0,IF(OR(I2429="En cours",I2429="À venir",I2429="À planifier"),IF(AND(OR($C$3="Tous",$C$3="",C2429=$C$3),OR($E$3="Tous",$E$3="",I2429=$E$3)),1,0),0)))</f>
        <v>0</v>
      </c>
      <c r="L2429" s="104" t="n">
        <f aca="false">L2428+K2429</f>
        <v>19</v>
      </c>
    </row>
    <row r="2430" customFormat="false" ht="15" hidden="true" customHeight="true" outlineLevel="0" collapsed="false">
      <c r="F2430" s="116"/>
      <c r="G2430" s="116"/>
      <c r="K2430" s="104" t="n">
        <f aca="false">IF(A2430="",0,IF(IFERROR(VLOOKUP(A2430,Skills!$A:$M,13,FALSE()),"")="COS",0,IF(OR(I2430="En cours",I2430="À venir",I2430="À planifier"),IF(AND(OR($C$3="Tous",$C$3="",C2430=$C$3),OR($E$3="Tous",$E$3="",I2430=$E$3)),1,0),0)))</f>
        <v>0</v>
      </c>
      <c r="L2430" s="104" t="n">
        <f aca="false">L2429+K2430</f>
        <v>19</v>
      </c>
    </row>
    <row r="2431" customFormat="false" ht="15" hidden="true" customHeight="true" outlineLevel="0" collapsed="false">
      <c r="F2431" s="116"/>
      <c r="G2431" s="116"/>
      <c r="K2431" s="104" t="n">
        <f aca="false">IF(A2431="",0,IF(IFERROR(VLOOKUP(A2431,Skills!$A:$M,13,FALSE()),"")="COS",0,IF(OR(I2431="En cours",I2431="À venir",I2431="À planifier"),IF(AND(OR($C$3="Tous",$C$3="",C2431=$C$3),OR($E$3="Tous",$E$3="",I2431=$E$3)),1,0),0)))</f>
        <v>0</v>
      </c>
      <c r="L2431" s="104" t="n">
        <f aca="false">L2430+K2431</f>
        <v>19</v>
      </c>
    </row>
    <row r="2432" customFormat="false" ht="15" hidden="true" customHeight="true" outlineLevel="0" collapsed="false">
      <c r="F2432" s="116"/>
      <c r="G2432" s="116"/>
      <c r="K2432" s="104" t="n">
        <f aca="false">IF(A2432="",0,IF(IFERROR(VLOOKUP(A2432,Skills!$A:$M,13,FALSE()),"")="COS",0,IF(OR(I2432="En cours",I2432="À venir",I2432="À planifier"),IF(AND(OR($C$3="Tous",$C$3="",C2432=$C$3),OR($E$3="Tous",$E$3="",I2432=$E$3)),1,0),0)))</f>
        <v>0</v>
      </c>
      <c r="L2432" s="104" t="n">
        <f aca="false">L2431+K2432</f>
        <v>19</v>
      </c>
    </row>
    <row r="2433" customFormat="false" ht="15" hidden="true" customHeight="true" outlineLevel="0" collapsed="false">
      <c r="F2433" s="116"/>
      <c r="G2433" s="116"/>
      <c r="K2433" s="104" t="n">
        <f aca="false">IF(A2433="",0,IF(IFERROR(VLOOKUP(A2433,Skills!$A:$M,13,FALSE()),"")="COS",0,IF(OR(I2433="En cours",I2433="À venir",I2433="À planifier"),IF(AND(OR($C$3="Tous",$C$3="",C2433=$C$3),OR($E$3="Tous",$E$3="",I2433=$E$3)),1,0),0)))</f>
        <v>0</v>
      </c>
      <c r="L2433" s="104" t="n">
        <f aca="false">L2432+K2433</f>
        <v>19</v>
      </c>
    </row>
    <row r="2434" customFormat="false" ht="15" hidden="true" customHeight="true" outlineLevel="0" collapsed="false">
      <c r="F2434" s="116"/>
      <c r="G2434" s="116"/>
      <c r="K2434" s="104" t="n">
        <f aca="false">IF(A2434="",0,IF(IFERROR(VLOOKUP(A2434,Skills!$A:$M,13,FALSE()),"")="COS",0,IF(OR(I2434="En cours",I2434="À venir",I2434="À planifier"),IF(AND(OR($C$3="Tous",$C$3="",C2434=$C$3),OR($E$3="Tous",$E$3="",I2434=$E$3)),1,0),0)))</f>
        <v>0</v>
      </c>
      <c r="L2434" s="104" t="n">
        <f aca="false">L2433+K2434</f>
        <v>19</v>
      </c>
    </row>
    <row r="2435" customFormat="false" ht="15" hidden="true" customHeight="true" outlineLevel="0" collapsed="false">
      <c r="F2435" s="116"/>
      <c r="G2435" s="116"/>
      <c r="K2435" s="104" t="n">
        <f aca="false">IF(A2435="",0,IF(IFERROR(VLOOKUP(A2435,Skills!$A:$M,13,FALSE()),"")="COS",0,IF(OR(I2435="En cours",I2435="À venir",I2435="À planifier"),IF(AND(OR($C$3="Tous",$C$3="",C2435=$C$3),OR($E$3="Tous",$E$3="",I2435=$E$3)),1,0),0)))</f>
        <v>0</v>
      </c>
      <c r="L2435" s="104" t="n">
        <f aca="false">L2434+K2435</f>
        <v>19</v>
      </c>
    </row>
    <row r="2436" customFormat="false" ht="15" hidden="true" customHeight="true" outlineLevel="0" collapsed="false">
      <c r="F2436" s="116"/>
      <c r="G2436" s="116"/>
      <c r="K2436" s="104" t="n">
        <f aca="false">IF(A2436="",0,IF(IFERROR(VLOOKUP(A2436,Skills!$A:$M,13,FALSE()),"")="COS",0,IF(OR(I2436="En cours",I2436="À venir",I2436="À planifier"),IF(AND(OR($C$3="Tous",$C$3="",C2436=$C$3),OR($E$3="Tous",$E$3="",I2436=$E$3)),1,0),0)))</f>
        <v>0</v>
      </c>
      <c r="L2436" s="104" t="n">
        <f aca="false">L2435+K2436</f>
        <v>19</v>
      </c>
    </row>
    <row r="2437" customFormat="false" ht="15" hidden="true" customHeight="true" outlineLevel="0" collapsed="false">
      <c r="F2437" s="116"/>
      <c r="G2437" s="116"/>
      <c r="K2437" s="104" t="n">
        <f aca="false">IF(A2437="",0,IF(IFERROR(VLOOKUP(A2437,Skills!$A:$M,13,FALSE()),"")="COS",0,IF(OR(I2437="En cours",I2437="À venir",I2437="À planifier"),IF(AND(OR($C$3="Tous",$C$3="",C2437=$C$3),OR($E$3="Tous",$E$3="",I2437=$E$3)),1,0),0)))</f>
        <v>0</v>
      </c>
      <c r="L2437" s="104" t="n">
        <f aca="false">L2436+K2437</f>
        <v>19</v>
      </c>
    </row>
    <row r="2438" customFormat="false" ht="15" hidden="true" customHeight="true" outlineLevel="0" collapsed="false">
      <c r="F2438" s="116"/>
      <c r="G2438" s="116"/>
      <c r="K2438" s="104" t="n">
        <f aca="false">IF(A2438="",0,IF(IFERROR(VLOOKUP(A2438,Skills!$A:$M,13,FALSE()),"")="COS",0,IF(OR(I2438="En cours",I2438="À venir",I2438="À planifier"),IF(AND(OR($C$3="Tous",$C$3="",C2438=$C$3),OR($E$3="Tous",$E$3="",I2438=$E$3)),1,0),0)))</f>
        <v>0</v>
      </c>
      <c r="L2438" s="104" t="n">
        <f aca="false">L2437+K2438</f>
        <v>19</v>
      </c>
    </row>
    <row r="2439" customFormat="false" ht="15" hidden="true" customHeight="true" outlineLevel="0" collapsed="false">
      <c r="F2439" s="116"/>
      <c r="G2439" s="116"/>
      <c r="K2439" s="104" t="n">
        <f aca="false">IF(A2439="",0,IF(IFERROR(VLOOKUP(A2439,Skills!$A:$M,13,FALSE()),"")="COS",0,IF(OR(I2439="En cours",I2439="À venir",I2439="À planifier"),IF(AND(OR($C$3="Tous",$C$3="",C2439=$C$3),OR($E$3="Tous",$E$3="",I2439=$E$3)),1,0),0)))</f>
        <v>0</v>
      </c>
      <c r="L2439" s="104" t="n">
        <f aca="false">L2438+K2439</f>
        <v>19</v>
      </c>
    </row>
    <row r="2440" customFormat="false" ht="15" hidden="true" customHeight="true" outlineLevel="0" collapsed="false">
      <c r="F2440" s="116"/>
      <c r="G2440" s="116"/>
      <c r="K2440" s="104" t="n">
        <f aca="false">IF(A2440="",0,IF(IFERROR(VLOOKUP(A2440,Skills!$A:$M,13,FALSE()),"")="COS",0,IF(OR(I2440="En cours",I2440="À venir",I2440="À planifier"),IF(AND(OR($C$3="Tous",$C$3="",C2440=$C$3),OR($E$3="Tous",$E$3="",I2440=$E$3)),1,0),0)))</f>
        <v>0</v>
      </c>
      <c r="L2440" s="104" t="n">
        <f aca="false">L2439+K2440</f>
        <v>19</v>
      </c>
    </row>
    <row r="2441" customFormat="false" ht="15" hidden="true" customHeight="true" outlineLevel="0" collapsed="false">
      <c r="F2441" s="116"/>
      <c r="G2441" s="116"/>
      <c r="K2441" s="104" t="n">
        <f aca="false">IF(A2441="",0,IF(IFERROR(VLOOKUP(A2441,Skills!$A:$M,13,FALSE()),"")="COS",0,IF(OR(I2441="En cours",I2441="À venir",I2441="À planifier"),IF(AND(OR($C$3="Tous",$C$3="",C2441=$C$3),OR($E$3="Tous",$E$3="",I2441=$E$3)),1,0),0)))</f>
        <v>0</v>
      </c>
      <c r="L2441" s="104" t="n">
        <f aca="false">L2440+K2441</f>
        <v>19</v>
      </c>
    </row>
    <row r="2442" customFormat="false" ht="15" hidden="true" customHeight="true" outlineLevel="0" collapsed="false">
      <c r="F2442" s="116"/>
      <c r="G2442" s="116"/>
      <c r="K2442" s="104" t="n">
        <f aca="false">IF(A2442="",0,IF(IFERROR(VLOOKUP(A2442,Skills!$A:$M,13,FALSE()),"")="COS",0,IF(OR(I2442="En cours",I2442="À venir",I2442="À planifier"),IF(AND(OR($C$3="Tous",$C$3="",C2442=$C$3),OR($E$3="Tous",$E$3="",I2442=$E$3)),1,0),0)))</f>
        <v>0</v>
      </c>
      <c r="L2442" s="104" t="n">
        <f aca="false">L2441+K2442</f>
        <v>19</v>
      </c>
    </row>
    <row r="2443" customFormat="false" ht="15" hidden="true" customHeight="true" outlineLevel="0" collapsed="false">
      <c r="F2443" s="116"/>
      <c r="G2443" s="116"/>
      <c r="K2443" s="104" t="n">
        <f aca="false">IF(A2443="",0,IF(IFERROR(VLOOKUP(A2443,Skills!$A:$M,13,FALSE()),"")="COS",0,IF(OR(I2443="En cours",I2443="À venir",I2443="À planifier"),IF(AND(OR($C$3="Tous",$C$3="",C2443=$C$3),OR($E$3="Tous",$E$3="",I2443=$E$3)),1,0),0)))</f>
        <v>0</v>
      </c>
      <c r="L2443" s="104" t="n">
        <f aca="false">L2442+K2443</f>
        <v>19</v>
      </c>
    </row>
    <row r="2444" customFormat="false" ht="15" hidden="true" customHeight="true" outlineLevel="0" collapsed="false">
      <c r="F2444" s="116"/>
      <c r="G2444" s="116"/>
      <c r="K2444" s="104" t="n">
        <f aca="false">IF(A2444="",0,IF(IFERROR(VLOOKUP(A2444,Skills!$A:$M,13,FALSE()),"")="COS",0,IF(OR(I2444="En cours",I2444="À venir",I2444="À planifier"),IF(AND(OR($C$3="Tous",$C$3="",C2444=$C$3),OR($E$3="Tous",$E$3="",I2444=$E$3)),1,0),0)))</f>
        <v>0</v>
      </c>
      <c r="L2444" s="104" t="n">
        <f aca="false">L2443+K2444</f>
        <v>19</v>
      </c>
    </row>
    <row r="2445" customFormat="false" ht="15" hidden="true" customHeight="true" outlineLevel="0" collapsed="false">
      <c r="F2445" s="116"/>
      <c r="G2445" s="116"/>
      <c r="K2445" s="104" t="n">
        <f aca="false">IF(A2445="",0,IF(IFERROR(VLOOKUP(A2445,Skills!$A:$M,13,FALSE()),"")="COS",0,IF(OR(I2445="En cours",I2445="À venir",I2445="À planifier"),IF(AND(OR($C$3="Tous",$C$3="",C2445=$C$3),OR($E$3="Tous",$E$3="",I2445=$E$3)),1,0),0)))</f>
        <v>0</v>
      </c>
      <c r="L2445" s="104" t="n">
        <f aca="false">L2444+K2445</f>
        <v>19</v>
      </c>
    </row>
    <row r="2446" customFormat="false" ht="15" hidden="true" customHeight="true" outlineLevel="0" collapsed="false">
      <c r="F2446" s="116"/>
      <c r="G2446" s="116"/>
      <c r="K2446" s="104" t="n">
        <f aca="false">IF(A2446="",0,IF(IFERROR(VLOOKUP(A2446,Skills!$A:$M,13,FALSE()),"")="COS",0,IF(OR(I2446="En cours",I2446="À venir",I2446="À planifier"),IF(AND(OR($C$3="Tous",$C$3="",C2446=$C$3),OR($E$3="Tous",$E$3="",I2446=$E$3)),1,0),0)))</f>
        <v>0</v>
      </c>
      <c r="L2446" s="104" t="n">
        <f aca="false">L2445+K2446</f>
        <v>19</v>
      </c>
    </row>
    <row r="2447" customFormat="false" ht="15" hidden="true" customHeight="true" outlineLevel="0" collapsed="false">
      <c r="F2447" s="116"/>
      <c r="G2447" s="116"/>
      <c r="K2447" s="104" t="n">
        <f aca="false">IF(A2447="",0,IF(IFERROR(VLOOKUP(A2447,Skills!$A:$M,13,FALSE()),"")="COS",0,IF(OR(I2447="En cours",I2447="À venir",I2447="À planifier"),IF(AND(OR($C$3="Tous",$C$3="",C2447=$C$3),OR($E$3="Tous",$E$3="",I2447=$E$3)),1,0),0)))</f>
        <v>0</v>
      </c>
      <c r="L2447" s="104" t="n">
        <f aca="false">L2446+K2447</f>
        <v>19</v>
      </c>
    </row>
    <row r="2448" customFormat="false" ht="15" hidden="true" customHeight="true" outlineLevel="0" collapsed="false">
      <c r="F2448" s="116"/>
      <c r="G2448" s="116"/>
      <c r="K2448" s="104" t="n">
        <f aca="false">IF(A2448="",0,IF(IFERROR(VLOOKUP(A2448,Skills!$A:$M,13,FALSE()),"")="COS",0,IF(OR(I2448="En cours",I2448="À venir",I2448="À planifier"),IF(AND(OR($C$3="Tous",$C$3="",C2448=$C$3),OR($E$3="Tous",$E$3="",I2448=$E$3)),1,0),0)))</f>
        <v>0</v>
      </c>
      <c r="L2448" s="104" t="n">
        <f aca="false">L2447+K2448</f>
        <v>19</v>
      </c>
    </row>
    <row r="2449" customFormat="false" ht="15" hidden="true" customHeight="true" outlineLevel="0" collapsed="false">
      <c r="F2449" s="116"/>
      <c r="G2449" s="116"/>
      <c r="K2449" s="104" t="n">
        <f aca="false">IF(A2449="",0,IF(IFERROR(VLOOKUP(A2449,Skills!$A:$M,13,FALSE()),"")="COS",0,IF(OR(I2449="En cours",I2449="À venir",I2449="À planifier"),IF(AND(OR($C$3="Tous",$C$3="",C2449=$C$3),OR($E$3="Tous",$E$3="",I2449=$E$3)),1,0),0)))</f>
        <v>0</v>
      </c>
      <c r="L2449" s="104" t="n">
        <f aca="false">L2448+K2449</f>
        <v>19</v>
      </c>
    </row>
    <row r="2450" customFormat="false" ht="15" hidden="true" customHeight="true" outlineLevel="0" collapsed="false">
      <c r="F2450" s="116"/>
      <c r="G2450" s="116"/>
      <c r="K2450" s="104" t="n">
        <f aca="false">IF(A2450="",0,IF(IFERROR(VLOOKUP(A2450,Skills!$A:$M,13,FALSE()),"")="COS",0,IF(OR(I2450="En cours",I2450="À venir",I2450="À planifier"),IF(AND(OR($C$3="Tous",$C$3="",C2450=$C$3),OR($E$3="Tous",$E$3="",I2450=$E$3)),1,0),0)))</f>
        <v>0</v>
      </c>
      <c r="L2450" s="104" t="n">
        <f aca="false">L2449+K2450</f>
        <v>19</v>
      </c>
    </row>
    <row r="2451" customFormat="false" ht="15" hidden="true" customHeight="true" outlineLevel="0" collapsed="false">
      <c r="F2451" s="116"/>
      <c r="G2451" s="116"/>
      <c r="K2451" s="104" t="n">
        <f aca="false">IF(A2451="",0,IF(IFERROR(VLOOKUP(A2451,Skills!$A:$M,13,FALSE()),"")="COS",0,IF(OR(I2451="En cours",I2451="À venir",I2451="À planifier"),IF(AND(OR($C$3="Tous",$C$3="",C2451=$C$3),OR($E$3="Tous",$E$3="",I2451=$E$3)),1,0),0)))</f>
        <v>0</v>
      </c>
      <c r="L2451" s="104" t="n">
        <f aca="false">L2450+K2451</f>
        <v>19</v>
      </c>
    </row>
    <row r="2452" customFormat="false" ht="15" hidden="true" customHeight="true" outlineLevel="0" collapsed="false">
      <c r="F2452" s="116"/>
      <c r="G2452" s="116"/>
      <c r="K2452" s="104" t="n">
        <f aca="false">IF(A2452="",0,IF(IFERROR(VLOOKUP(A2452,Skills!$A:$M,13,FALSE()),"")="COS",0,IF(OR(I2452="En cours",I2452="À venir",I2452="À planifier"),IF(AND(OR($C$3="Tous",$C$3="",C2452=$C$3),OR($E$3="Tous",$E$3="",I2452=$E$3)),1,0),0)))</f>
        <v>0</v>
      </c>
      <c r="L2452" s="104" t="n">
        <f aca="false">L2451+K2452</f>
        <v>19</v>
      </c>
    </row>
    <row r="2453" customFormat="false" ht="15" hidden="true" customHeight="true" outlineLevel="0" collapsed="false">
      <c r="F2453" s="116"/>
      <c r="G2453" s="116"/>
      <c r="K2453" s="104" t="n">
        <f aca="false">IF(A2453="",0,IF(IFERROR(VLOOKUP(A2453,Skills!$A:$M,13,FALSE()),"")="COS",0,IF(OR(I2453="En cours",I2453="À venir",I2453="À planifier"),IF(AND(OR($C$3="Tous",$C$3="",C2453=$C$3),OR($E$3="Tous",$E$3="",I2453=$E$3)),1,0),0)))</f>
        <v>0</v>
      </c>
      <c r="L2453" s="104" t="n">
        <f aca="false">L2452+K2453</f>
        <v>19</v>
      </c>
    </row>
    <row r="2454" customFormat="false" ht="15" hidden="true" customHeight="true" outlineLevel="0" collapsed="false">
      <c r="F2454" s="116"/>
      <c r="G2454" s="116"/>
      <c r="K2454" s="104" t="n">
        <f aca="false">IF(A2454="",0,IF(IFERROR(VLOOKUP(A2454,Skills!$A:$M,13,FALSE()),"")="COS",0,IF(OR(I2454="En cours",I2454="À venir",I2454="À planifier"),IF(AND(OR($C$3="Tous",$C$3="",C2454=$C$3),OR($E$3="Tous",$E$3="",I2454=$E$3)),1,0),0)))</f>
        <v>0</v>
      </c>
      <c r="L2454" s="104" t="n">
        <f aca="false">L2453+K2454</f>
        <v>19</v>
      </c>
    </row>
    <row r="2455" customFormat="false" ht="15" hidden="true" customHeight="true" outlineLevel="0" collapsed="false">
      <c r="F2455" s="116"/>
      <c r="G2455" s="116"/>
      <c r="K2455" s="104" t="n">
        <f aca="false">IF(A2455="",0,IF(IFERROR(VLOOKUP(A2455,Skills!$A:$M,13,FALSE()),"")="COS",0,IF(OR(I2455="En cours",I2455="À venir",I2455="À planifier"),IF(AND(OR($C$3="Tous",$C$3="",C2455=$C$3),OR($E$3="Tous",$E$3="",I2455=$E$3)),1,0),0)))</f>
        <v>0</v>
      </c>
      <c r="L2455" s="104" t="n">
        <f aca="false">L2454+K2455</f>
        <v>19</v>
      </c>
    </row>
    <row r="2456" customFormat="false" ht="15" hidden="true" customHeight="true" outlineLevel="0" collapsed="false">
      <c r="F2456" s="116"/>
      <c r="G2456" s="116"/>
      <c r="K2456" s="104" t="n">
        <f aca="false">IF(A2456="",0,IF(IFERROR(VLOOKUP(A2456,Skills!$A:$M,13,FALSE()),"")="COS",0,IF(OR(I2456="En cours",I2456="À venir",I2456="À planifier"),IF(AND(OR($C$3="Tous",$C$3="",C2456=$C$3),OR($E$3="Tous",$E$3="",I2456=$E$3)),1,0),0)))</f>
        <v>0</v>
      </c>
      <c r="L2456" s="104" t="n">
        <f aca="false">L2455+K2456</f>
        <v>19</v>
      </c>
    </row>
    <row r="2457" customFormat="false" ht="15" hidden="true" customHeight="true" outlineLevel="0" collapsed="false">
      <c r="F2457" s="116"/>
      <c r="G2457" s="116"/>
      <c r="K2457" s="104" t="n">
        <f aca="false">IF(A2457="",0,IF(IFERROR(VLOOKUP(A2457,Skills!$A:$M,13,FALSE()),"")="COS",0,IF(OR(I2457="En cours",I2457="À venir",I2457="À planifier"),IF(AND(OR($C$3="Tous",$C$3="",C2457=$C$3),OR($E$3="Tous",$E$3="",I2457=$E$3)),1,0),0)))</f>
        <v>0</v>
      </c>
      <c r="L2457" s="104" t="n">
        <f aca="false">L2456+K2457</f>
        <v>19</v>
      </c>
    </row>
    <row r="2458" customFormat="false" ht="15" hidden="true" customHeight="true" outlineLevel="0" collapsed="false">
      <c r="F2458" s="116"/>
      <c r="G2458" s="116"/>
      <c r="K2458" s="104" t="n">
        <f aca="false">IF(A2458="",0,IF(IFERROR(VLOOKUP(A2458,Skills!$A:$M,13,FALSE()),"")="COS",0,IF(OR(I2458="En cours",I2458="À venir",I2458="À planifier"),IF(AND(OR($C$3="Tous",$C$3="",C2458=$C$3),OR($E$3="Tous",$E$3="",I2458=$E$3)),1,0),0)))</f>
        <v>0</v>
      </c>
      <c r="L2458" s="104" t="n">
        <f aca="false">L2457+K2458</f>
        <v>19</v>
      </c>
    </row>
    <row r="2459" customFormat="false" ht="15" hidden="true" customHeight="true" outlineLevel="0" collapsed="false">
      <c r="F2459" s="116"/>
      <c r="G2459" s="116"/>
      <c r="K2459" s="104" t="n">
        <f aca="false">IF(A2459="",0,IF(IFERROR(VLOOKUP(A2459,Skills!$A:$M,13,FALSE()),"")="COS",0,IF(OR(I2459="En cours",I2459="À venir",I2459="À planifier"),IF(AND(OR($C$3="Tous",$C$3="",C2459=$C$3),OR($E$3="Tous",$E$3="",I2459=$E$3)),1,0),0)))</f>
        <v>0</v>
      </c>
      <c r="L2459" s="104" t="n">
        <f aca="false">L2458+K2459</f>
        <v>19</v>
      </c>
    </row>
    <row r="2460" customFormat="false" ht="15" hidden="true" customHeight="true" outlineLevel="0" collapsed="false">
      <c r="F2460" s="116"/>
      <c r="G2460" s="116"/>
      <c r="K2460" s="104" t="n">
        <f aca="false">IF(A2460="",0,IF(IFERROR(VLOOKUP(A2460,Skills!$A:$M,13,FALSE()),"")="COS",0,IF(OR(I2460="En cours",I2460="À venir",I2460="À planifier"),IF(AND(OR($C$3="Tous",$C$3="",C2460=$C$3),OR($E$3="Tous",$E$3="",I2460=$E$3)),1,0),0)))</f>
        <v>0</v>
      </c>
      <c r="L2460" s="104" t="n">
        <f aca="false">L2459+K2460</f>
        <v>19</v>
      </c>
    </row>
    <row r="2461" customFormat="false" ht="15" hidden="true" customHeight="true" outlineLevel="0" collapsed="false">
      <c r="F2461" s="116"/>
      <c r="G2461" s="116"/>
      <c r="K2461" s="104" t="n">
        <f aca="false">IF(A2461="",0,IF(IFERROR(VLOOKUP(A2461,Skills!$A:$M,13,FALSE()),"")="COS",0,IF(OR(I2461="En cours",I2461="À venir",I2461="À planifier"),IF(AND(OR($C$3="Tous",$C$3="",C2461=$C$3),OR($E$3="Tous",$E$3="",I2461=$E$3)),1,0),0)))</f>
        <v>0</v>
      </c>
      <c r="L2461" s="104" t="n">
        <f aca="false">L2460+K2461</f>
        <v>19</v>
      </c>
    </row>
    <row r="2462" customFormat="false" ht="15" hidden="true" customHeight="true" outlineLevel="0" collapsed="false">
      <c r="F2462" s="116"/>
      <c r="G2462" s="116"/>
      <c r="K2462" s="104" t="n">
        <f aca="false">IF(A2462="",0,IF(IFERROR(VLOOKUP(A2462,Skills!$A:$M,13,FALSE()),"")="COS",0,IF(OR(I2462="En cours",I2462="À venir",I2462="À planifier"),IF(AND(OR($C$3="Tous",$C$3="",C2462=$C$3),OR($E$3="Tous",$E$3="",I2462=$E$3)),1,0),0)))</f>
        <v>0</v>
      </c>
      <c r="L2462" s="104" t="n">
        <f aca="false">L2461+K2462</f>
        <v>19</v>
      </c>
    </row>
    <row r="2463" customFormat="false" ht="15" hidden="true" customHeight="true" outlineLevel="0" collapsed="false">
      <c r="F2463" s="116"/>
      <c r="G2463" s="116"/>
      <c r="K2463" s="104" t="n">
        <f aca="false">IF(A2463="",0,IF(IFERROR(VLOOKUP(A2463,Skills!$A:$M,13,FALSE()),"")="COS",0,IF(OR(I2463="En cours",I2463="À venir",I2463="À planifier"),IF(AND(OR($C$3="Tous",$C$3="",C2463=$C$3),OR($E$3="Tous",$E$3="",I2463=$E$3)),1,0),0)))</f>
        <v>0</v>
      </c>
      <c r="L2463" s="104" t="n">
        <f aca="false">L2462+K2463</f>
        <v>19</v>
      </c>
    </row>
    <row r="2464" customFormat="false" ht="15" hidden="true" customHeight="true" outlineLevel="0" collapsed="false">
      <c r="F2464" s="116"/>
      <c r="G2464" s="116"/>
      <c r="K2464" s="104" t="n">
        <f aca="false">IF(A2464="",0,IF(IFERROR(VLOOKUP(A2464,Skills!$A:$M,13,FALSE()),"")="COS",0,IF(OR(I2464="En cours",I2464="À venir",I2464="À planifier"),IF(AND(OR($C$3="Tous",$C$3="",C2464=$C$3),OR($E$3="Tous",$E$3="",I2464=$E$3)),1,0),0)))</f>
        <v>0</v>
      </c>
      <c r="L2464" s="104" t="n">
        <f aca="false">L2463+K2464</f>
        <v>19</v>
      </c>
    </row>
    <row r="2465" customFormat="false" ht="15" hidden="true" customHeight="true" outlineLevel="0" collapsed="false">
      <c r="F2465" s="116"/>
      <c r="G2465" s="116"/>
      <c r="K2465" s="104" t="n">
        <f aca="false">IF(A2465="",0,IF(IFERROR(VLOOKUP(A2465,Skills!$A:$M,13,FALSE()),"")="COS",0,IF(OR(I2465="En cours",I2465="À venir",I2465="À planifier"),IF(AND(OR($C$3="Tous",$C$3="",C2465=$C$3),OR($E$3="Tous",$E$3="",I2465=$E$3)),1,0),0)))</f>
        <v>0</v>
      </c>
      <c r="L2465" s="104" t="n">
        <f aca="false">L2464+K2465</f>
        <v>19</v>
      </c>
    </row>
    <row r="2466" customFormat="false" ht="15" hidden="true" customHeight="true" outlineLevel="0" collapsed="false">
      <c r="F2466" s="116"/>
      <c r="G2466" s="116"/>
      <c r="K2466" s="104" t="n">
        <f aca="false">IF(A2466="",0,IF(IFERROR(VLOOKUP(A2466,Skills!$A:$M,13,FALSE()),"")="COS",0,IF(OR(I2466="En cours",I2466="À venir",I2466="À planifier"),IF(AND(OR($C$3="Tous",$C$3="",C2466=$C$3),OR($E$3="Tous",$E$3="",I2466=$E$3)),1,0),0)))</f>
        <v>0</v>
      </c>
      <c r="L2466" s="104" t="n">
        <f aca="false">L2465+K2466</f>
        <v>19</v>
      </c>
    </row>
    <row r="2467" customFormat="false" ht="15" hidden="true" customHeight="true" outlineLevel="0" collapsed="false">
      <c r="F2467" s="116"/>
      <c r="G2467" s="116"/>
      <c r="K2467" s="104" t="n">
        <f aca="false">IF(A2467="",0,IF(IFERROR(VLOOKUP(A2467,Skills!$A:$M,13,FALSE()),"")="COS",0,IF(OR(I2467="En cours",I2467="À venir",I2467="À planifier"),IF(AND(OR($C$3="Tous",$C$3="",C2467=$C$3),OR($E$3="Tous",$E$3="",I2467=$E$3)),1,0),0)))</f>
        <v>0</v>
      </c>
      <c r="L2467" s="104" t="n">
        <f aca="false">L2466+K2467</f>
        <v>19</v>
      </c>
    </row>
    <row r="2468" customFormat="false" ht="15" hidden="true" customHeight="true" outlineLevel="0" collapsed="false">
      <c r="F2468" s="116"/>
      <c r="G2468" s="116"/>
      <c r="K2468" s="104" t="n">
        <f aca="false">IF(A2468="",0,IF(IFERROR(VLOOKUP(A2468,Skills!$A:$M,13,FALSE()),"")="COS",0,IF(OR(I2468="En cours",I2468="À venir",I2468="À planifier"),IF(AND(OR($C$3="Tous",$C$3="",C2468=$C$3),OR($E$3="Tous",$E$3="",I2468=$E$3)),1,0),0)))</f>
        <v>0</v>
      </c>
      <c r="L2468" s="104" t="n">
        <f aca="false">L2467+K2468</f>
        <v>19</v>
      </c>
    </row>
    <row r="2469" customFormat="false" ht="15" hidden="true" customHeight="true" outlineLevel="0" collapsed="false">
      <c r="F2469" s="116"/>
      <c r="G2469" s="116"/>
      <c r="K2469" s="104" t="n">
        <f aca="false">IF(A2469="",0,IF(IFERROR(VLOOKUP(A2469,Skills!$A:$M,13,FALSE()),"")="COS",0,IF(OR(I2469="En cours",I2469="À venir",I2469="À planifier"),IF(AND(OR($C$3="Tous",$C$3="",C2469=$C$3),OR($E$3="Tous",$E$3="",I2469=$E$3)),1,0),0)))</f>
        <v>0</v>
      </c>
      <c r="L2469" s="104" t="n">
        <f aca="false">L2468+K2469</f>
        <v>19</v>
      </c>
    </row>
    <row r="2470" customFormat="false" ht="15" hidden="true" customHeight="true" outlineLevel="0" collapsed="false">
      <c r="F2470" s="116"/>
      <c r="G2470" s="116"/>
      <c r="K2470" s="104" t="n">
        <f aca="false">IF(A2470="",0,IF(IFERROR(VLOOKUP(A2470,Skills!$A:$M,13,FALSE()),"")="COS",0,IF(OR(I2470="En cours",I2470="À venir",I2470="À planifier"),IF(AND(OR($C$3="Tous",$C$3="",C2470=$C$3),OR($E$3="Tous",$E$3="",I2470=$E$3)),1,0),0)))</f>
        <v>0</v>
      </c>
      <c r="L2470" s="104" t="n">
        <f aca="false">L2469+K2470</f>
        <v>19</v>
      </c>
    </row>
    <row r="2471" customFormat="false" ht="15" hidden="true" customHeight="true" outlineLevel="0" collapsed="false">
      <c r="F2471" s="116"/>
      <c r="G2471" s="116"/>
      <c r="K2471" s="104" t="n">
        <f aca="false">IF(A2471="",0,IF(IFERROR(VLOOKUP(A2471,Skills!$A:$M,13,FALSE()),"")="COS",0,IF(OR(I2471="En cours",I2471="À venir",I2471="À planifier"),IF(AND(OR($C$3="Tous",$C$3="",C2471=$C$3),OR($E$3="Tous",$E$3="",I2471=$E$3)),1,0),0)))</f>
        <v>0</v>
      </c>
      <c r="L2471" s="104" t="n">
        <f aca="false">L2470+K2471</f>
        <v>19</v>
      </c>
    </row>
    <row r="2472" customFormat="false" ht="15" hidden="true" customHeight="true" outlineLevel="0" collapsed="false">
      <c r="F2472" s="116"/>
      <c r="G2472" s="116"/>
      <c r="K2472" s="104" t="n">
        <f aca="false">IF(A2472="",0,IF(IFERROR(VLOOKUP(A2472,Skills!$A:$M,13,FALSE()),"")="COS",0,IF(OR(I2472="En cours",I2472="À venir",I2472="À planifier"),IF(AND(OR($C$3="Tous",$C$3="",C2472=$C$3),OR($E$3="Tous",$E$3="",I2472=$E$3)),1,0),0)))</f>
        <v>0</v>
      </c>
      <c r="L2472" s="104" t="n">
        <f aca="false">L2471+K2472</f>
        <v>19</v>
      </c>
    </row>
    <row r="2473" customFormat="false" ht="15" hidden="true" customHeight="true" outlineLevel="0" collapsed="false">
      <c r="F2473" s="116"/>
      <c r="G2473" s="116"/>
      <c r="K2473" s="104" t="n">
        <f aca="false">IF(A2473="",0,IF(IFERROR(VLOOKUP(A2473,Skills!$A:$M,13,FALSE()),"")="COS",0,IF(OR(I2473="En cours",I2473="À venir",I2473="À planifier"),IF(AND(OR($C$3="Tous",$C$3="",C2473=$C$3),OR($E$3="Tous",$E$3="",I2473=$E$3)),1,0),0)))</f>
        <v>0</v>
      </c>
      <c r="L2473" s="104" t="n">
        <f aca="false">L2472+K2473</f>
        <v>19</v>
      </c>
    </row>
    <row r="2474" customFormat="false" ht="15" hidden="true" customHeight="true" outlineLevel="0" collapsed="false">
      <c r="F2474" s="116"/>
      <c r="G2474" s="116"/>
      <c r="K2474" s="104" t="n">
        <f aca="false">IF(A2474="",0,IF(IFERROR(VLOOKUP(A2474,Skills!$A:$M,13,FALSE()),"")="COS",0,IF(OR(I2474="En cours",I2474="À venir",I2474="À planifier"),IF(AND(OR($C$3="Tous",$C$3="",C2474=$C$3),OR($E$3="Tous",$E$3="",I2474=$E$3)),1,0),0)))</f>
        <v>0</v>
      </c>
      <c r="L2474" s="104" t="n">
        <f aca="false">L2473+K2474</f>
        <v>19</v>
      </c>
    </row>
    <row r="2475" customFormat="false" ht="15" hidden="true" customHeight="true" outlineLevel="0" collapsed="false">
      <c r="F2475" s="116"/>
      <c r="G2475" s="116"/>
      <c r="K2475" s="104" t="n">
        <f aca="false">IF(A2475="",0,IF(IFERROR(VLOOKUP(A2475,Skills!$A:$M,13,FALSE()),"")="COS",0,IF(OR(I2475="En cours",I2475="À venir",I2475="À planifier"),IF(AND(OR($C$3="Tous",$C$3="",C2475=$C$3),OR($E$3="Tous",$E$3="",I2475=$E$3)),1,0),0)))</f>
        <v>0</v>
      </c>
      <c r="L2475" s="104" t="n">
        <f aca="false">L2474+K2475</f>
        <v>19</v>
      </c>
    </row>
    <row r="2476" customFormat="false" ht="15" hidden="true" customHeight="true" outlineLevel="0" collapsed="false">
      <c r="F2476" s="116"/>
      <c r="G2476" s="116"/>
      <c r="K2476" s="104" t="n">
        <f aca="false">IF(A2476="",0,IF(IFERROR(VLOOKUP(A2476,Skills!$A:$M,13,FALSE()),"")="COS",0,IF(OR(I2476="En cours",I2476="À venir",I2476="À planifier"),IF(AND(OR($C$3="Tous",$C$3="",C2476=$C$3),OR($E$3="Tous",$E$3="",I2476=$E$3)),1,0),0)))</f>
        <v>0</v>
      </c>
      <c r="L2476" s="104" t="n">
        <f aca="false">L2475+K2476</f>
        <v>19</v>
      </c>
    </row>
    <row r="2477" customFormat="false" ht="15" hidden="true" customHeight="true" outlineLevel="0" collapsed="false">
      <c r="F2477" s="116"/>
      <c r="G2477" s="116"/>
      <c r="K2477" s="104" t="n">
        <f aca="false">IF(A2477="",0,IF(IFERROR(VLOOKUP(A2477,Skills!$A:$M,13,FALSE()),"")="COS",0,IF(OR(I2477="En cours",I2477="À venir",I2477="À planifier"),IF(AND(OR($C$3="Tous",$C$3="",C2477=$C$3),OR($E$3="Tous",$E$3="",I2477=$E$3)),1,0),0)))</f>
        <v>0</v>
      </c>
      <c r="L2477" s="104" t="n">
        <f aca="false">L2476+K2477</f>
        <v>19</v>
      </c>
    </row>
    <row r="2478" customFormat="false" ht="15" hidden="true" customHeight="true" outlineLevel="0" collapsed="false">
      <c r="F2478" s="116"/>
      <c r="G2478" s="116"/>
      <c r="K2478" s="104" t="n">
        <f aca="false">IF(A2478="",0,IF(IFERROR(VLOOKUP(A2478,Skills!$A:$M,13,FALSE()),"")="COS",0,IF(OR(I2478="En cours",I2478="À venir",I2478="À planifier"),IF(AND(OR($C$3="Tous",$C$3="",C2478=$C$3),OR($E$3="Tous",$E$3="",I2478=$E$3)),1,0),0)))</f>
        <v>0</v>
      </c>
      <c r="L2478" s="104" t="n">
        <f aca="false">L2477+K2478</f>
        <v>19</v>
      </c>
    </row>
    <row r="2479" customFormat="false" ht="15" hidden="true" customHeight="true" outlineLevel="0" collapsed="false">
      <c r="F2479" s="116"/>
      <c r="G2479" s="116"/>
      <c r="K2479" s="104" t="n">
        <f aca="false">IF(A2479="",0,IF(IFERROR(VLOOKUP(A2479,Skills!$A:$M,13,FALSE()),"")="COS",0,IF(OR(I2479="En cours",I2479="À venir",I2479="À planifier"),IF(AND(OR($C$3="Tous",$C$3="",C2479=$C$3),OR($E$3="Tous",$E$3="",I2479=$E$3)),1,0),0)))</f>
        <v>0</v>
      </c>
      <c r="L2479" s="104" t="n">
        <f aca="false">L2478+K2479</f>
        <v>19</v>
      </c>
    </row>
    <row r="2480" customFormat="false" ht="15" hidden="true" customHeight="true" outlineLevel="0" collapsed="false">
      <c r="F2480" s="116"/>
      <c r="G2480" s="116"/>
      <c r="K2480" s="104" t="n">
        <f aca="false">IF(A2480="",0,IF(IFERROR(VLOOKUP(A2480,Skills!$A:$M,13,FALSE()),"")="COS",0,IF(OR(I2480="En cours",I2480="À venir",I2480="À planifier"),IF(AND(OR($C$3="Tous",$C$3="",C2480=$C$3),OR($E$3="Tous",$E$3="",I2480=$E$3)),1,0),0)))</f>
        <v>0</v>
      </c>
      <c r="L2480" s="104" t="n">
        <f aca="false">L2479+K2480</f>
        <v>19</v>
      </c>
    </row>
    <row r="2481" customFormat="false" ht="15" hidden="true" customHeight="true" outlineLevel="0" collapsed="false">
      <c r="F2481" s="116"/>
      <c r="G2481" s="116"/>
      <c r="K2481" s="104" t="n">
        <f aca="false">IF(A2481="",0,IF(IFERROR(VLOOKUP(A2481,Skills!$A:$M,13,FALSE()),"")="COS",0,IF(OR(I2481="En cours",I2481="À venir",I2481="À planifier"),IF(AND(OR($C$3="Tous",$C$3="",C2481=$C$3),OR($E$3="Tous",$E$3="",I2481=$E$3)),1,0),0)))</f>
        <v>0</v>
      </c>
      <c r="L2481" s="104" t="n">
        <f aca="false">L2480+K2481</f>
        <v>19</v>
      </c>
    </row>
    <row r="2482" customFormat="false" ht="15" hidden="true" customHeight="true" outlineLevel="0" collapsed="false">
      <c r="F2482" s="116"/>
      <c r="G2482" s="116"/>
      <c r="K2482" s="104" t="n">
        <f aca="false">IF(A2482="",0,IF(IFERROR(VLOOKUP(A2482,Skills!$A:$M,13,FALSE()),"")="COS",0,IF(OR(I2482="En cours",I2482="À venir",I2482="À planifier"),IF(AND(OR($C$3="Tous",$C$3="",C2482=$C$3),OR($E$3="Tous",$E$3="",I2482=$E$3)),1,0),0)))</f>
        <v>0</v>
      </c>
      <c r="L2482" s="104" t="n">
        <f aca="false">L2481+K2482</f>
        <v>19</v>
      </c>
    </row>
    <row r="2483" customFormat="false" ht="15" hidden="true" customHeight="true" outlineLevel="0" collapsed="false">
      <c r="F2483" s="116"/>
      <c r="G2483" s="116"/>
      <c r="K2483" s="104" t="n">
        <f aca="false">IF(A2483="",0,IF(IFERROR(VLOOKUP(A2483,Skills!$A:$M,13,FALSE()),"")="COS",0,IF(OR(I2483="En cours",I2483="À venir",I2483="À planifier"),IF(AND(OR($C$3="Tous",$C$3="",C2483=$C$3),OR($E$3="Tous",$E$3="",I2483=$E$3)),1,0),0)))</f>
        <v>0</v>
      </c>
      <c r="L2483" s="104" t="n">
        <f aca="false">L2482+K2483</f>
        <v>19</v>
      </c>
    </row>
    <row r="2484" customFormat="false" ht="15" hidden="true" customHeight="true" outlineLevel="0" collapsed="false">
      <c r="F2484" s="116"/>
      <c r="G2484" s="116"/>
      <c r="K2484" s="104" t="n">
        <f aca="false">IF(A2484="",0,IF(IFERROR(VLOOKUP(A2484,Skills!$A:$M,13,FALSE()),"")="COS",0,IF(OR(I2484="En cours",I2484="À venir",I2484="À planifier"),IF(AND(OR($C$3="Tous",$C$3="",C2484=$C$3),OR($E$3="Tous",$E$3="",I2484=$E$3)),1,0),0)))</f>
        <v>0</v>
      </c>
      <c r="L2484" s="104" t="n">
        <f aca="false">L2483+K2484</f>
        <v>19</v>
      </c>
    </row>
    <row r="2485" customFormat="false" ht="15" hidden="true" customHeight="true" outlineLevel="0" collapsed="false">
      <c r="F2485" s="116"/>
      <c r="G2485" s="116"/>
      <c r="K2485" s="104" t="n">
        <f aca="false">IF(A2485="",0,IF(IFERROR(VLOOKUP(A2485,Skills!$A:$M,13,FALSE()),"")="COS",0,IF(OR(I2485="En cours",I2485="À venir",I2485="À planifier"),IF(AND(OR($C$3="Tous",$C$3="",C2485=$C$3),OR($E$3="Tous",$E$3="",I2485=$E$3)),1,0),0)))</f>
        <v>0</v>
      </c>
      <c r="L2485" s="104" t="n">
        <f aca="false">L2484+K2485</f>
        <v>19</v>
      </c>
    </row>
    <row r="2486" customFormat="false" ht="15" hidden="true" customHeight="true" outlineLevel="0" collapsed="false">
      <c r="F2486" s="116"/>
      <c r="G2486" s="116"/>
      <c r="K2486" s="104" t="n">
        <f aca="false">IF(A2486="",0,IF(IFERROR(VLOOKUP(A2486,Skills!$A:$M,13,FALSE()),"")="COS",0,IF(OR(I2486="En cours",I2486="À venir",I2486="À planifier"),IF(AND(OR($C$3="Tous",$C$3="",C2486=$C$3),OR($E$3="Tous",$E$3="",I2486=$E$3)),1,0),0)))</f>
        <v>0</v>
      </c>
      <c r="L2486" s="104" t="n">
        <f aca="false">L2485+K2486</f>
        <v>19</v>
      </c>
    </row>
    <row r="2487" customFormat="false" ht="15" hidden="true" customHeight="true" outlineLevel="0" collapsed="false">
      <c r="F2487" s="116"/>
      <c r="G2487" s="116"/>
      <c r="K2487" s="104" t="n">
        <f aca="false">IF(A2487="",0,IF(IFERROR(VLOOKUP(A2487,Skills!$A:$M,13,FALSE()),"")="COS",0,IF(OR(I2487="En cours",I2487="À venir",I2487="À planifier"),IF(AND(OR($C$3="Tous",$C$3="",C2487=$C$3),OR($E$3="Tous",$E$3="",I2487=$E$3)),1,0),0)))</f>
        <v>0</v>
      </c>
      <c r="L2487" s="104" t="n">
        <f aca="false">L2486+K2487</f>
        <v>19</v>
      </c>
    </row>
    <row r="2488" customFormat="false" ht="15" hidden="true" customHeight="true" outlineLevel="0" collapsed="false">
      <c r="F2488" s="116"/>
      <c r="G2488" s="116"/>
      <c r="K2488" s="104" t="n">
        <f aca="false">IF(A2488="",0,IF(IFERROR(VLOOKUP(A2488,Skills!$A:$M,13,FALSE()),"")="COS",0,IF(OR(I2488="En cours",I2488="À venir",I2488="À planifier"),IF(AND(OR($C$3="Tous",$C$3="",C2488=$C$3),OR($E$3="Tous",$E$3="",I2488=$E$3)),1,0),0)))</f>
        <v>0</v>
      </c>
      <c r="L2488" s="104" t="n">
        <f aca="false">L2487+K2488</f>
        <v>19</v>
      </c>
    </row>
    <row r="2489" customFormat="false" ht="15" hidden="true" customHeight="true" outlineLevel="0" collapsed="false">
      <c r="F2489" s="116"/>
      <c r="G2489" s="116"/>
      <c r="K2489" s="104" t="n">
        <f aca="false">IF(A2489="",0,IF(IFERROR(VLOOKUP(A2489,Skills!$A:$M,13,FALSE()),"")="COS",0,IF(OR(I2489="En cours",I2489="À venir",I2489="À planifier"),IF(AND(OR($C$3="Tous",$C$3="",C2489=$C$3),OR($E$3="Tous",$E$3="",I2489=$E$3)),1,0),0)))</f>
        <v>0</v>
      </c>
      <c r="L2489" s="104" t="n">
        <f aca="false">L2488+K2489</f>
        <v>19</v>
      </c>
    </row>
    <row r="2490" customFormat="false" ht="15" hidden="true" customHeight="true" outlineLevel="0" collapsed="false">
      <c r="F2490" s="116"/>
      <c r="G2490" s="116"/>
      <c r="K2490" s="104" t="n">
        <f aca="false">IF(A2490="",0,IF(IFERROR(VLOOKUP(A2490,Skills!$A:$M,13,FALSE()),"")="COS",0,IF(OR(I2490="En cours",I2490="À venir",I2490="À planifier"),IF(AND(OR($C$3="Tous",$C$3="",C2490=$C$3),OR($E$3="Tous",$E$3="",I2490=$E$3)),1,0),0)))</f>
        <v>0</v>
      </c>
      <c r="L2490" s="104" t="n">
        <f aca="false">L2489+K2490</f>
        <v>19</v>
      </c>
    </row>
    <row r="2491" customFormat="false" ht="15" hidden="true" customHeight="true" outlineLevel="0" collapsed="false">
      <c r="F2491" s="116"/>
      <c r="G2491" s="116"/>
      <c r="K2491" s="104" t="n">
        <f aca="false">IF(A2491="",0,IF(IFERROR(VLOOKUP(A2491,Skills!$A:$M,13,FALSE()),"")="COS",0,IF(OR(I2491="En cours",I2491="À venir",I2491="À planifier"),IF(AND(OR($C$3="Tous",$C$3="",C2491=$C$3),OR($E$3="Tous",$E$3="",I2491=$E$3)),1,0),0)))</f>
        <v>0</v>
      </c>
      <c r="L2491" s="104" t="n">
        <f aca="false">L2490+K2491</f>
        <v>19</v>
      </c>
    </row>
    <row r="2492" customFormat="false" ht="15" hidden="true" customHeight="true" outlineLevel="0" collapsed="false">
      <c r="F2492" s="116"/>
      <c r="G2492" s="116"/>
      <c r="K2492" s="104" t="n">
        <f aca="false">IF(A2492="",0,IF(IFERROR(VLOOKUP(A2492,Skills!$A:$M,13,FALSE()),"")="COS",0,IF(OR(I2492="En cours",I2492="À venir",I2492="À planifier"),IF(AND(OR($C$3="Tous",$C$3="",C2492=$C$3),OR($E$3="Tous",$E$3="",I2492=$E$3)),1,0),0)))</f>
        <v>0</v>
      </c>
      <c r="L2492" s="104" t="n">
        <f aca="false">L2491+K2492</f>
        <v>19</v>
      </c>
    </row>
    <row r="2493" customFormat="false" ht="15" hidden="true" customHeight="true" outlineLevel="0" collapsed="false">
      <c r="F2493" s="116"/>
      <c r="G2493" s="116"/>
      <c r="K2493" s="104" t="n">
        <f aca="false">IF(A2493="",0,IF(IFERROR(VLOOKUP(A2493,Skills!$A:$M,13,FALSE()),"")="COS",0,IF(OR(I2493="En cours",I2493="À venir",I2493="À planifier"),IF(AND(OR($C$3="Tous",$C$3="",C2493=$C$3),OR($E$3="Tous",$E$3="",I2493=$E$3)),1,0),0)))</f>
        <v>0</v>
      </c>
      <c r="L2493" s="104" t="n">
        <f aca="false">L2492+K2493</f>
        <v>19</v>
      </c>
    </row>
    <row r="2494" customFormat="false" ht="15" hidden="true" customHeight="true" outlineLevel="0" collapsed="false">
      <c r="F2494" s="116"/>
      <c r="G2494" s="116"/>
      <c r="K2494" s="104" t="n">
        <f aca="false">IF(A2494="",0,IF(IFERROR(VLOOKUP(A2494,Skills!$A:$M,13,FALSE()),"")="COS",0,IF(OR(I2494="En cours",I2494="À venir",I2494="À planifier"),IF(AND(OR($C$3="Tous",$C$3="",C2494=$C$3),OR($E$3="Tous",$E$3="",I2494=$E$3)),1,0),0)))</f>
        <v>0</v>
      </c>
      <c r="L2494" s="104" t="n">
        <f aca="false">L2493+K2494</f>
        <v>19</v>
      </c>
    </row>
    <row r="2495" customFormat="false" ht="15" hidden="true" customHeight="true" outlineLevel="0" collapsed="false">
      <c r="F2495" s="116"/>
      <c r="G2495" s="116"/>
      <c r="K2495" s="104" t="n">
        <f aca="false">IF(A2495="",0,IF(IFERROR(VLOOKUP(A2495,Skills!$A:$M,13,FALSE()),"")="COS",0,IF(OR(I2495="En cours",I2495="À venir",I2495="À planifier"),IF(AND(OR($C$3="Tous",$C$3="",C2495=$C$3),OR($E$3="Tous",$E$3="",I2495=$E$3)),1,0),0)))</f>
        <v>0</v>
      </c>
      <c r="L2495" s="104" t="n">
        <f aca="false">L2494+K2495</f>
        <v>19</v>
      </c>
    </row>
    <row r="2496" customFormat="false" ht="15" hidden="true" customHeight="true" outlineLevel="0" collapsed="false">
      <c r="F2496" s="116"/>
      <c r="G2496" s="116"/>
      <c r="K2496" s="104" t="n">
        <f aca="false">IF(A2496="",0,IF(IFERROR(VLOOKUP(A2496,Skills!$A:$M,13,FALSE()),"")="COS",0,IF(OR(I2496="En cours",I2496="À venir",I2496="À planifier"),IF(AND(OR($C$3="Tous",$C$3="",C2496=$C$3),OR($E$3="Tous",$E$3="",I2496=$E$3)),1,0),0)))</f>
        <v>0</v>
      </c>
      <c r="L2496" s="104" t="n">
        <f aca="false">L2495+K2496</f>
        <v>19</v>
      </c>
    </row>
    <row r="2497" customFormat="false" ht="15" hidden="true" customHeight="true" outlineLevel="0" collapsed="false">
      <c r="F2497" s="116"/>
      <c r="G2497" s="116"/>
      <c r="K2497" s="104" t="n">
        <f aca="false">IF(A2497="",0,IF(IFERROR(VLOOKUP(A2497,Skills!$A:$M,13,FALSE()),"")="COS",0,IF(OR(I2497="En cours",I2497="À venir",I2497="À planifier"),IF(AND(OR($C$3="Tous",$C$3="",C2497=$C$3),OR($E$3="Tous",$E$3="",I2497=$E$3)),1,0),0)))</f>
        <v>0</v>
      </c>
      <c r="L2497" s="104" t="n">
        <f aca="false">L2496+K2497</f>
        <v>19</v>
      </c>
    </row>
    <row r="2498" customFormat="false" ht="15" hidden="true" customHeight="true" outlineLevel="0" collapsed="false">
      <c r="F2498" s="116"/>
      <c r="G2498" s="116"/>
      <c r="K2498" s="104" t="n">
        <f aca="false">IF(A2498="",0,IF(IFERROR(VLOOKUP(A2498,Skills!$A:$M,13,FALSE()),"")="COS",0,IF(OR(I2498="En cours",I2498="À venir",I2498="À planifier"),IF(AND(OR($C$3="Tous",$C$3="",C2498=$C$3),OR($E$3="Tous",$E$3="",I2498=$E$3)),1,0),0)))</f>
        <v>0</v>
      </c>
      <c r="L2498" s="104" t="n">
        <f aca="false">L2497+K2498</f>
        <v>19</v>
      </c>
    </row>
    <row r="2499" customFormat="false" ht="15" hidden="true" customHeight="true" outlineLevel="0" collapsed="false">
      <c r="F2499" s="116"/>
      <c r="G2499" s="116"/>
      <c r="K2499" s="104" t="n">
        <f aca="false">IF(A2499="",0,IF(IFERROR(VLOOKUP(A2499,Skills!$A:$M,13,FALSE()),"")="COS",0,IF(OR(I2499="En cours",I2499="À venir",I2499="À planifier"),IF(AND(OR($C$3="Tous",$C$3="",C2499=$C$3),OR($E$3="Tous",$E$3="",I2499=$E$3)),1,0),0)))</f>
        <v>0</v>
      </c>
      <c r="L2499" s="104" t="n">
        <f aca="false">L2498+K2499</f>
        <v>19</v>
      </c>
    </row>
    <row r="2500" customFormat="false" ht="15" hidden="true" customHeight="true" outlineLevel="0" collapsed="false">
      <c r="F2500" s="116"/>
      <c r="G2500" s="116"/>
      <c r="K2500" s="104" t="n">
        <f aca="false">IF(A2500="",0,IF(IFERROR(VLOOKUP(A2500,Skills!$A:$M,13,FALSE()),"")="COS",0,IF(OR(I2500="En cours",I2500="À venir",I2500="À planifier"),IF(AND(OR($C$3="Tous",$C$3="",C2500=$C$3),OR($E$3="Tous",$E$3="",I2500=$E$3)),1,0),0)))</f>
        <v>0</v>
      </c>
      <c r="L2500" s="104" t="n">
        <f aca="false">L2499+K2500</f>
        <v>19</v>
      </c>
    </row>
    <row r="2501" customFormat="false" ht="15" hidden="true" customHeight="true" outlineLevel="0" collapsed="false">
      <c r="F2501" s="116"/>
      <c r="G2501" s="116"/>
      <c r="K2501" s="104" t="n">
        <f aca="false">IF(A2501="",0,IF(IFERROR(VLOOKUP(A2501,Skills!$A:$M,13,FALSE()),"")="COS",0,IF(OR(I2501="En cours",I2501="À venir",I2501="À planifier"),IF(AND(OR($C$3="Tous",$C$3="",C2501=$C$3),OR($E$3="Tous",$E$3="",I2501=$E$3)),1,0),0)))</f>
        <v>0</v>
      </c>
      <c r="L2501" s="104" t="n">
        <f aca="false">L2500+K2501</f>
        <v>19</v>
      </c>
    </row>
    <row r="2502" customFormat="false" ht="15" hidden="true" customHeight="true" outlineLevel="0" collapsed="false">
      <c r="F2502" s="116"/>
      <c r="G2502" s="116"/>
      <c r="K2502" s="104" t="n">
        <f aca="false">IF(A2502="",0,IF(IFERROR(VLOOKUP(A2502,Skills!$A:$M,13,FALSE()),"")="COS",0,IF(OR(I2502="En cours",I2502="À venir",I2502="À planifier"),IF(AND(OR($C$3="Tous",$C$3="",C2502=$C$3),OR($E$3="Tous",$E$3="",I2502=$E$3)),1,0),0)))</f>
        <v>0</v>
      </c>
      <c r="L2502" s="104" t="n">
        <f aca="false">L2501+K2502</f>
        <v>19</v>
      </c>
    </row>
    <row r="2503" customFormat="false" ht="15" hidden="true" customHeight="true" outlineLevel="0" collapsed="false">
      <c r="F2503" s="116"/>
      <c r="G2503" s="116"/>
      <c r="K2503" s="104" t="n">
        <f aca="false">IF(A2503="",0,IF(IFERROR(VLOOKUP(A2503,Skills!$A:$M,13,FALSE()),"")="COS",0,IF(OR(I2503="En cours",I2503="À venir",I2503="À planifier"),IF(AND(OR($C$3="Tous",$C$3="",C2503=$C$3),OR($E$3="Tous",$E$3="",I2503=$E$3)),1,0),0)))</f>
        <v>0</v>
      </c>
      <c r="L2503" s="104" t="n">
        <f aca="false">L2502+K2503</f>
        <v>19</v>
      </c>
    </row>
    <row r="2504" customFormat="false" ht="15" hidden="true" customHeight="true" outlineLevel="0" collapsed="false">
      <c r="F2504" s="116"/>
      <c r="G2504" s="116"/>
      <c r="K2504" s="104" t="n">
        <f aca="false">IF(A2504="",0,IF(IFERROR(VLOOKUP(A2504,Skills!$A:$M,13,FALSE()),"")="COS",0,IF(OR(I2504="En cours",I2504="À venir",I2504="À planifier"),IF(AND(OR($C$3="Tous",$C$3="",C2504=$C$3),OR($E$3="Tous",$E$3="",I2504=$E$3)),1,0),0)))</f>
        <v>0</v>
      </c>
      <c r="L2504" s="104" t="n">
        <f aca="false">L2503+K2504</f>
        <v>19</v>
      </c>
    </row>
    <row r="2505" customFormat="false" ht="15" hidden="true" customHeight="true" outlineLevel="0" collapsed="false">
      <c r="F2505" s="116"/>
      <c r="G2505" s="116"/>
      <c r="K2505" s="104" t="n">
        <f aca="false">IF(A2505="",0,IF(IFERROR(VLOOKUP(A2505,Skills!$A:$M,13,FALSE()),"")="COS",0,IF(OR(I2505="En cours",I2505="À venir",I2505="À planifier"),IF(AND(OR($C$3="Tous",$C$3="",C2505=$C$3),OR($E$3="Tous",$E$3="",I2505=$E$3)),1,0),0)))</f>
        <v>0</v>
      </c>
      <c r="L2505" s="104" t="n">
        <f aca="false">L2504+K2505</f>
        <v>19</v>
      </c>
    </row>
    <row r="2506" customFormat="false" ht="15" hidden="true" customHeight="true" outlineLevel="0" collapsed="false">
      <c r="F2506" s="116"/>
      <c r="G2506" s="116"/>
      <c r="K2506" s="104" t="n">
        <f aca="false">IF(A2506="",0,IF(IFERROR(VLOOKUP(A2506,Skills!$A:$M,13,FALSE()),"")="COS",0,IF(OR(I2506="En cours",I2506="À venir",I2506="À planifier"),IF(AND(OR($C$3="Tous",$C$3="",C2506=$C$3),OR($E$3="Tous",$E$3="",I2506=$E$3)),1,0),0)))</f>
        <v>0</v>
      </c>
      <c r="L2506" s="104" t="n">
        <f aca="false">L2505+K2506</f>
        <v>19</v>
      </c>
    </row>
    <row r="2507" customFormat="false" ht="15" hidden="true" customHeight="true" outlineLevel="0" collapsed="false">
      <c r="F2507" s="116"/>
      <c r="G2507" s="116"/>
      <c r="K2507" s="104" t="n">
        <f aca="false">IF(A2507="",0,IF(IFERROR(VLOOKUP(A2507,Skills!$A:$M,13,FALSE()),"")="COS",0,IF(OR(I2507="En cours",I2507="À venir",I2507="À planifier"),IF(AND(OR($C$3="Tous",$C$3="",C2507=$C$3),OR($E$3="Tous",$E$3="",I2507=$E$3)),1,0),0)))</f>
        <v>0</v>
      </c>
      <c r="L2507" s="104" t="n">
        <f aca="false">L2506+K2507</f>
        <v>19</v>
      </c>
    </row>
    <row r="2508" customFormat="false" ht="15" hidden="true" customHeight="true" outlineLevel="0" collapsed="false">
      <c r="F2508" s="116"/>
      <c r="G2508" s="116"/>
      <c r="K2508" s="104" t="n">
        <f aca="false">IF(A2508="",0,IF(IFERROR(VLOOKUP(A2508,Skills!$A:$M,13,FALSE()),"")="COS",0,IF(OR(I2508="En cours",I2508="À venir",I2508="À planifier"),IF(AND(OR($C$3="Tous",$C$3="",C2508=$C$3),OR($E$3="Tous",$E$3="",I2508=$E$3)),1,0),0)))</f>
        <v>0</v>
      </c>
      <c r="L2508" s="104" t="n">
        <f aca="false">L2507+K2508</f>
        <v>19</v>
      </c>
    </row>
    <row r="2509" customFormat="false" ht="15" hidden="true" customHeight="true" outlineLevel="0" collapsed="false">
      <c r="F2509" s="116"/>
      <c r="G2509" s="116"/>
      <c r="K2509" s="104" t="n">
        <f aca="false">IF(A2509="",0,IF(IFERROR(VLOOKUP(A2509,Skills!$A:$M,13,FALSE()),"")="COS",0,IF(OR(I2509="En cours",I2509="À venir",I2509="À planifier"),IF(AND(OR($C$3="Tous",$C$3="",C2509=$C$3),OR($E$3="Tous",$E$3="",I2509=$E$3)),1,0),0)))</f>
        <v>0</v>
      </c>
      <c r="L2509" s="104" t="n">
        <f aca="false">L2508+K2509</f>
        <v>19</v>
      </c>
    </row>
    <row r="2510" customFormat="false" ht="15" hidden="true" customHeight="true" outlineLevel="0" collapsed="false">
      <c r="F2510" s="116"/>
      <c r="G2510" s="116"/>
      <c r="K2510" s="104" t="n">
        <f aca="false">IF(A2510="",0,IF(IFERROR(VLOOKUP(A2510,Skills!$A:$M,13,FALSE()),"")="COS",0,IF(OR(I2510="En cours",I2510="À venir",I2510="À planifier"),IF(AND(OR($C$3="Tous",$C$3="",C2510=$C$3),OR($E$3="Tous",$E$3="",I2510=$E$3)),1,0),0)))</f>
        <v>0</v>
      </c>
      <c r="L2510" s="104" t="n">
        <f aca="false">L2509+K2510</f>
        <v>19</v>
      </c>
    </row>
    <row r="2511" customFormat="false" ht="15" hidden="true" customHeight="true" outlineLevel="0" collapsed="false">
      <c r="F2511" s="116"/>
      <c r="G2511" s="116"/>
      <c r="K2511" s="104" t="n">
        <f aca="false">IF(A2511="",0,IF(IFERROR(VLOOKUP(A2511,Skills!$A:$M,13,FALSE()),"")="COS",0,IF(OR(I2511="En cours",I2511="À venir",I2511="À planifier"),IF(AND(OR($C$3="Tous",$C$3="",C2511=$C$3),OR($E$3="Tous",$E$3="",I2511=$E$3)),1,0),0)))</f>
        <v>0</v>
      </c>
      <c r="L2511" s="104" t="n">
        <f aca="false">L2510+K2511</f>
        <v>19</v>
      </c>
    </row>
    <row r="2512" customFormat="false" ht="15" hidden="true" customHeight="true" outlineLevel="0" collapsed="false">
      <c r="F2512" s="116"/>
      <c r="G2512" s="116"/>
      <c r="K2512" s="104" t="n">
        <f aca="false">IF(A2512="",0,IF(IFERROR(VLOOKUP(A2512,Skills!$A:$M,13,FALSE()),"")="COS",0,IF(OR(I2512="En cours",I2512="À venir",I2512="À planifier"),IF(AND(OR($C$3="Tous",$C$3="",C2512=$C$3),OR($E$3="Tous",$E$3="",I2512=$E$3)),1,0),0)))</f>
        <v>0</v>
      </c>
      <c r="L2512" s="104" t="n">
        <f aca="false">L2511+K2512</f>
        <v>19</v>
      </c>
    </row>
    <row r="2513" customFormat="false" ht="15" hidden="true" customHeight="true" outlineLevel="0" collapsed="false">
      <c r="F2513" s="116"/>
      <c r="G2513" s="116"/>
      <c r="K2513" s="104" t="n">
        <f aca="false">IF(A2513="",0,IF(IFERROR(VLOOKUP(A2513,Skills!$A:$M,13,FALSE()),"")="COS",0,IF(OR(I2513="En cours",I2513="À venir",I2513="À planifier"),IF(AND(OR($C$3="Tous",$C$3="",C2513=$C$3),OR($E$3="Tous",$E$3="",I2513=$E$3)),1,0),0)))</f>
        <v>0</v>
      </c>
      <c r="L2513" s="104" t="n">
        <f aca="false">L2512+K2513</f>
        <v>19</v>
      </c>
    </row>
    <row r="2514" customFormat="false" ht="15" hidden="true" customHeight="true" outlineLevel="0" collapsed="false">
      <c r="F2514" s="116"/>
      <c r="G2514" s="116"/>
      <c r="K2514" s="104" t="n">
        <f aca="false">IF(A2514="",0,IF(IFERROR(VLOOKUP(A2514,Skills!$A:$M,13,FALSE()),"")="COS",0,IF(OR(I2514="En cours",I2514="À venir",I2514="À planifier"),IF(AND(OR($C$3="Tous",$C$3="",C2514=$C$3),OR($E$3="Tous",$E$3="",I2514=$E$3)),1,0),0)))</f>
        <v>0</v>
      </c>
      <c r="L2514" s="104" t="n">
        <f aca="false">L2513+K2514</f>
        <v>19</v>
      </c>
    </row>
    <row r="2515" customFormat="false" ht="15" hidden="true" customHeight="true" outlineLevel="0" collapsed="false">
      <c r="F2515" s="116"/>
      <c r="G2515" s="116"/>
      <c r="K2515" s="104" t="n">
        <f aca="false">IF(A2515="",0,IF(IFERROR(VLOOKUP(A2515,Skills!$A:$M,13,FALSE()),"")="COS",0,IF(OR(I2515="En cours",I2515="À venir",I2515="À planifier"),IF(AND(OR($C$3="Tous",$C$3="",C2515=$C$3),OR($E$3="Tous",$E$3="",I2515=$E$3)),1,0),0)))</f>
        <v>0</v>
      </c>
      <c r="L2515" s="104" t="n">
        <f aca="false">L2514+K2515</f>
        <v>19</v>
      </c>
    </row>
    <row r="2516" customFormat="false" ht="15" hidden="true" customHeight="true" outlineLevel="0" collapsed="false">
      <c r="F2516" s="116"/>
      <c r="G2516" s="116"/>
      <c r="K2516" s="104" t="n">
        <f aca="false">IF(A2516="",0,IF(IFERROR(VLOOKUP(A2516,Skills!$A:$M,13,FALSE()),"")="COS",0,IF(OR(I2516="En cours",I2516="À venir",I2516="À planifier"),IF(AND(OR($C$3="Tous",$C$3="",C2516=$C$3),OR($E$3="Tous",$E$3="",I2516=$E$3)),1,0),0)))</f>
        <v>0</v>
      </c>
      <c r="L2516" s="104" t="n">
        <f aca="false">L2515+K2516</f>
        <v>19</v>
      </c>
    </row>
    <row r="2517" customFormat="false" ht="15" hidden="true" customHeight="true" outlineLevel="0" collapsed="false">
      <c r="F2517" s="116"/>
      <c r="G2517" s="116"/>
      <c r="K2517" s="104" t="n">
        <f aca="false">IF(A2517="",0,IF(IFERROR(VLOOKUP(A2517,Skills!$A:$M,13,FALSE()),"")="COS",0,IF(OR(I2517="En cours",I2517="À venir",I2517="À planifier"),IF(AND(OR($C$3="Tous",$C$3="",C2517=$C$3),OR($E$3="Tous",$E$3="",I2517=$E$3)),1,0),0)))</f>
        <v>0</v>
      </c>
      <c r="L2517" s="104" t="n">
        <f aca="false">L2516+K2517</f>
        <v>19</v>
      </c>
    </row>
    <row r="2518" customFormat="false" ht="15" hidden="true" customHeight="true" outlineLevel="0" collapsed="false">
      <c r="F2518" s="116"/>
      <c r="G2518" s="116"/>
      <c r="K2518" s="104" t="n">
        <f aca="false">IF(A2518="",0,IF(IFERROR(VLOOKUP(A2518,Skills!$A:$M,13,FALSE()),"")="COS",0,IF(OR(I2518="En cours",I2518="À venir",I2518="À planifier"),IF(AND(OR($C$3="Tous",$C$3="",C2518=$C$3),OR($E$3="Tous",$E$3="",I2518=$E$3)),1,0),0)))</f>
        <v>0</v>
      </c>
      <c r="L2518" s="104" t="n">
        <f aca="false">L2517+K2518</f>
        <v>19</v>
      </c>
    </row>
    <row r="2519" customFormat="false" ht="15" hidden="true" customHeight="true" outlineLevel="0" collapsed="false">
      <c r="F2519" s="116"/>
      <c r="G2519" s="116"/>
      <c r="K2519" s="104" t="n">
        <f aca="false">IF(A2519="",0,IF(IFERROR(VLOOKUP(A2519,Skills!$A:$M,13,FALSE()),"")="COS",0,IF(OR(I2519="En cours",I2519="À venir",I2519="À planifier"),IF(AND(OR($C$3="Tous",$C$3="",C2519=$C$3),OR($E$3="Tous",$E$3="",I2519=$E$3)),1,0),0)))</f>
        <v>0</v>
      </c>
      <c r="L2519" s="104" t="n">
        <f aca="false">L2518+K2519</f>
        <v>19</v>
      </c>
    </row>
    <row r="2520" customFormat="false" ht="15" hidden="true" customHeight="true" outlineLevel="0" collapsed="false">
      <c r="F2520" s="116"/>
      <c r="G2520" s="116"/>
      <c r="K2520" s="104" t="n">
        <f aca="false">IF(A2520="",0,IF(IFERROR(VLOOKUP(A2520,Skills!$A:$M,13,FALSE()),"")="COS",0,IF(OR(I2520="En cours",I2520="À venir",I2520="À planifier"),IF(AND(OR($C$3="Tous",$C$3="",C2520=$C$3),OR($E$3="Tous",$E$3="",I2520=$E$3)),1,0),0)))</f>
        <v>0</v>
      </c>
      <c r="L2520" s="104" t="n">
        <f aca="false">L2519+K2520</f>
        <v>19</v>
      </c>
    </row>
    <row r="2521" customFormat="false" ht="15" hidden="true" customHeight="true" outlineLevel="0" collapsed="false">
      <c r="F2521" s="116"/>
      <c r="G2521" s="116"/>
      <c r="K2521" s="104" t="n">
        <f aca="false">IF(A2521="",0,IF(IFERROR(VLOOKUP(A2521,Skills!$A:$M,13,FALSE()),"")="COS",0,IF(OR(I2521="En cours",I2521="À venir",I2521="À planifier"),IF(AND(OR($C$3="Tous",$C$3="",C2521=$C$3),OR($E$3="Tous",$E$3="",I2521=$E$3)),1,0),0)))</f>
        <v>0</v>
      </c>
      <c r="L2521" s="104" t="n">
        <f aca="false">L2520+K2521</f>
        <v>19</v>
      </c>
    </row>
    <row r="2522" customFormat="false" ht="15" hidden="true" customHeight="true" outlineLevel="0" collapsed="false">
      <c r="F2522" s="116"/>
      <c r="G2522" s="116"/>
      <c r="K2522" s="104" t="n">
        <f aca="false">IF(A2522="",0,IF(IFERROR(VLOOKUP(A2522,Skills!$A:$M,13,FALSE()),"")="COS",0,IF(OR(I2522="En cours",I2522="À venir",I2522="À planifier"),IF(AND(OR($C$3="Tous",$C$3="",C2522=$C$3),OR($E$3="Tous",$E$3="",I2522=$E$3)),1,0),0)))</f>
        <v>0</v>
      </c>
      <c r="L2522" s="104" t="n">
        <f aca="false">L2521+K2522</f>
        <v>19</v>
      </c>
    </row>
    <row r="2523" customFormat="false" ht="15" hidden="true" customHeight="true" outlineLevel="0" collapsed="false">
      <c r="F2523" s="116"/>
      <c r="G2523" s="116"/>
      <c r="K2523" s="104" t="n">
        <f aca="false">IF(A2523="",0,IF(IFERROR(VLOOKUP(A2523,Skills!$A:$M,13,FALSE()),"")="COS",0,IF(OR(I2523="En cours",I2523="À venir",I2523="À planifier"),IF(AND(OR($C$3="Tous",$C$3="",C2523=$C$3),OR($E$3="Tous",$E$3="",I2523=$E$3)),1,0),0)))</f>
        <v>0</v>
      </c>
      <c r="L2523" s="104" t="n">
        <f aca="false">L2522+K2523</f>
        <v>19</v>
      </c>
    </row>
    <row r="2524" customFormat="false" ht="15" hidden="true" customHeight="true" outlineLevel="0" collapsed="false">
      <c r="F2524" s="116"/>
      <c r="G2524" s="116"/>
      <c r="K2524" s="104" t="n">
        <f aca="false">IF(A2524="",0,IF(IFERROR(VLOOKUP(A2524,Skills!$A:$M,13,FALSE()),"")="COS",0,IF(OR(I2524="En cours",I2524="À venir",I2524="À planifier"),IF(AND(OR($C$3="Tous",$C$3="",C2524=$C$3),OR($E$3="Tous",$E$3="",I2524=$E$3)),1,0),0)))</f>
        <v>0</v>
      </c>
      <c r="L2524" s="104" t="n">
        <f aca="false">L2523+K2524</f>
        <v>19</v>
      </c>
    </row>
    <row r="2525" customFormat="false" ht="15" hidden="true" customHeight="true" outlineLevel="0" collapsed="false">
      <c r="F2525" s="116"/>
      <c r="G2525" s="116"/>
      <c r="K2525" s="104" t="n">
        <f aca="false">IF(A2525="",0,IF(IFERROR(VLOOKUP(A2525,Skills!$A:$M,13,FALSE()),"")="COS",0,IF(OR(I2525="En cours",I2525="À venir",I2525="À planifier"),IF(AND(OR($C$3="Tous",$C$3="",C2525=$C$3),OR($E$3="Tous",$E$3="",I2525=$E$3)),1,0),0)))</f>
        <v>0</v>
      </c>
      <c r="L2525" s="104" t="n">
        <f aca="false">L2524+K2525</f>
        <v>19</v>
      </c>
    </row>
    <row r="2526" customFormat="false" ht="15" hidden="true" customHeight="true" outlineLevel="0" collapsed="false">
      <c r="F2526" s="116"/>
      <c r="G2526" s="116"/>
      <c r="K2526" s="104" t="n">
        <f aca="false">IF(A2526="",0,IF(IFERROR(VLOOKUP(A2526,Skills!$A:$M,13,FALSE()),"")="COS",0,IF(OR(I2526="En cours",I2526="À venir",I2526="À planifier"),IF(AND(OR($C$3="Tous",$C$3="",C2526=$C$3),OR($E$3="Tous",$E$3="",I2526=$E$3)),1,0),0)))</f>
        <v>0</v>
      </c>
      <c r="L2526" s="104" t="n">
        <f aca="false">L2525+K2526</f>
        <v>19</v>
      </c>
    </row>
    <row r="2527" customFormat="false" ht="15" hidden="true" customHeight="true" outlineLevel="0" collapsed="false">
      <c r="F2527" s="116"/>
      <c r="G2527" s="116"/>
      <c r="K2527" s="104" t="n">
        <f aca="false">IF(A2527="",0,IF(IFERROR(VLOOKUP(A2527,Skills!$A:$M,13,FALSE()),"")="COS",0,IF(OR(I2527="En cours",I2527="À venir",I2527="À planifier"),IF(AND(OR($C$3="Tous",$C$3="",C2527=$C$3),OR($E$3="Tous",$E$3="",I2527=$E$3)),1,0),0)))</f>
        <v>0</v>
      </c>
      <c r="L2527" s="104" t="n">
        <f aca="false">L2526+K2527</f>
        <v>19</v>
      </c>
    </row>
    <row r="2528" customFormat="false" ht="15" hidden="true" customHeight="true" outlineLevel="0" collapsed="false">
      <c r="F2528" s="116"/>
      <c r="G2528" s="116"/>
      <c r="K2528" s="104" t="n">
        <f aca="false">IF(A2528="",0,IF(IFERROR(VLOOKUP(A2528,Skills!$A:$M,13,FALSE()),"")="COS",0,IF(OR(I2528="En cours",I2528="À venir",I2528="À planifier"),IF(AND(OR($C$3="Tous",$C$3="",C2528=$C$3),OR($E$3="Tous",$E$3="",I2528=$E$3)),1,0),0)))</f>
        <v>0</v>
      </c>
      <c r="L2528" s="104" t="n">
        <f aca="false">L2527+K2528</f>
        <v>19</v>
      </c>
    </row>
    <row r="2529" customFormat="false" ht="15" hidden="true" customHeight="true" outlineLevel="0" collapsed="false">
      <c r="F2529" s="116"/>
      <c r="G2529" s="116"/>
      <c r="K2529" s="104" t="n">
        <f aca="false">IF(A2529="",0,IF(IFERROR(VLOOKUP(A2529,Skills!$A:$M,13,FALSE()),"")="COS",0,IF(OR(I2529="En cours",I2529="À venir",I2529="À planifier"),IF(AND(OR($C$3="Tous",$C$3="",C2529=$C$3),OR($E$3="Tous",$E$3="",I2529=$E$3)),1,0),0)))</f>
        <v>0</v>
      </c>
      <c r="L2529" s="104" t="n">
        <f aca="false">L2528+K2529</f>
        <v>19</v>
      </c>
    </row>
    <row r="2530" customFormat="false" ht="15" hidden="true" customHeight="true" outlineLevel="0" collapsed="false">
      <c r="F2530" s="116"/>
      <c r="G2530" s="116"/>
      <c r="K2530" s="104" t="n">
        <f aca="false">IF(A2530="",0,IF(IFERROR(VLOOKUP(A2530,Skills!$A:$M,13,FALSE()),"")="COS",0,IF(OR(I2530="En cours",I2530="À venir",I2530="À planifier"),IF(AND(OR($C$3="Tous",$C$3="",C2530=$C$3),OR($E$3="Tous",$E$3="",I2530=$E$3)),1,0),0)))</f>
        <v>0</v>
      </c>
      <c r="L2530" s="104" t="n">
        <f aca="false">L2529+K2530</f>
        <v>19</v>
      </c>
    </row>
    <row r="2531" customFormat="false" ht="15" hidden="true" customHeight="true" outlineLevel="0" collapsed="false">
      <c r="F2531" s="116"/>
      <c r="G2531" s="116"/>
      <c r="K2531" s="104" t="n">
        <f aca="false">IF(A2531="",0,IF(IFERROR(VLOOKUP(A2531,Skills!$A:$M,13,FALSE()),"")="COS",0,IF(OR(I2531="En cours",I2531="À venir",I2531="À planifier"),IF(AND(OR($C$3="Tous",$C$3="",C2531=$C$3),OR($E$3="Tous",$E$3="",I2531=$E$3)),1,0),0)))</f>
        <v>0</v>
      </c>
      <c r="L2531" s="104" t="n">
        <f aca="false">L2530+K2531</f>
        <v>19</v>
      </c>
    </row>
    <row r="2532" customFormat="false" ht="15" hidden="true" customHeight="true" outlineLevel="0" collapsed="false">
      <c r="F2532" s="116"/>
      <c r="G2532" s="116"/>
      <c r="K2532" s="104" t="n">
        <f aca="false">IF(A2532="",0,IF(IFERROR(VLOOKUP(A2532,Skills!$A:$M,13,FALSE()),"")="COS",0,IF(OR(I2532="En cours",I2532="À venir",I2532="À planifier"),IF(AND(OR($C$3="Tous",$C$3="",C2532=$C$3),OR($E$3="Tous",$E$3="",I2532=$E$3)),1,0),0)))</f>
        <v>0</v>
      </c>
      <c r="L2532" s="104" t="n">
        <f aca="false">L2531+K2532</f>
        <v>19</v>
      </c>
    </row>
    <row r="2533" customFormat="false" ht="15" hidden="true" customHeight="true" outlineLevel="0" collapsed="false">
      <c r="F2533" s="116"/>
      <c r="G2533" s="116"/>
      <c r="K2533" s="104" t="n">
        <f aca="false">IF(A2533="",0,IF(IFERROR(VLOOKUP(A2533,Skills!$A:$M,13,FALSE()),"")="COS",0,IF(OR(I2533="En cours",I2533="À venir",I2533="À planifier"),IF(AND(OR($C$3="Tous",$C$3="",C2533=$C$3),OR($E$3="Tous",$E$3="",I2533=$E$3)),1,0),0)))</f>
        <v>0</v>
      </c>
      <c r="L2533" s="104" t="n">
        <f aca="false">L2532+K2533</f>
        <v>19</v>
      </c>
    </row>
    <row r="2534" customFormat="false" ht="15" hidden="true" customHeight="true" outlineLevel="0" collapsed="false">
      <c r="F2534" s="116"/>
      <c r="G2534" s="116"/>
      <c r="K2534" s="104" t="n">
        <f aca="false">IF(A2534="",0,IF(IFERROR(VLOOKUP(A2534,Skills!$A:$M,13,FALSE()),"")="COS",0,IF(OR(I2534="En cours",I2534="À venir",I2534="À planifier"),IF(AND(OR($C$3="Tous",$C$3="",C2534=$C$3),OR($E$3="Tous",$E$3="",I2534=$E$3)),1,0),0)))</f>
        <v>0</v>
      </c>
      <c r="L2534" s="104" t="n">
        <f aca="false">L2533+K2534</f>
        <v>19</v>
      </c>
    </row>
    <row r="2535" customFormat="false" ht="15" hidden="true" customHeight="true" outlineLevel="0" collapsed="false">
      <c r="F2535" s="116"/>
      <c r="G2535" s="116"/>
      <c r="K2535" s="104" t="n">
        <f aca="false">IF(A2535="",0,IF(IFERROR(VLOOKUP(A2535,Skills!$A:$M,13,FALSE()),"")="COS",0,IF(OR(I2535="En cours",I2535="À venir",I2535="À planifier"),IF(AND(OR($C$3="Tous",$C$3="",C2535=$C$3),OR($E$3="Tous",$E$3="",I2535=$E$3)),1,0),0)))</f>
        <v>0</v>
      </c>
      <c r="L2535" s="104" t="n">
        <f aca="false">L2534+K2535</f>
        <v>19</v>
      </c>
    </row>
    <row r="2536" customFormat="false" ht="15" hidden="true" customHeight="true" outlineLevel="0" collapsed="false">
      <c r="F2536" s="116"/>
      <c r="G2536" s="116"/>
      <c r="K2536" s="104" t="n">
        <f aca="false">IF(A2536="",0,IF(IFERROR(VLOOKUP(A2536,Skills!$A:$M,13,FALSE()),"")="COS",0,IF(OR(I2536="En cours",I2536="À venir",I2536="À planifier"),IF(AND(OR($C$3="Tous",$C$3="",C2536=$C$3),OR($E$3="Tous",$E$3="",I2536=$E$3)),1,0),0)))</f>
        <v>0</v>
      </c>
      <c r="L2536" s="104" t="n">
        <f aca="false">L2535+K2536</f>
        <v>19</v>
      </c>
    </row>
    <row r="2537" customFormat="false" ht="15" hidden="true" customHeight="true" outlineLevel="0" collapsed="false">
      <c r="F2537" s="116"/>
      <c r="G2537" s="116"/>
      <c r="K2537" s="104" t="n">
        <f aca="false">IF(A2537="",0,IF(IFERROR(VLOOKUP(A2537,Skills!$A:$M,13,FALSE()),"")="COS",0,IF(OR(I2537="En cours",I2537="À venir",I2537="À planifier"),IF(AND(OR($C$3="Tous",$C$3="",C2537=$C$3),OR($E$3="Tous",$E$3="",I2537=$E$3)),1,0),0)))</f>
        <v>0</v>
      </c>
      <c r="L2537" s="104" t="n">
        <f aca="false">L2536+K2537</f>
        <v>19</v>
      </c>
    </row>
    <row r="2538" customFormat="false" ht="15" hidden="true" customHeight="true" outlineLevel="0" collapsed="false">
      <c r="F2538" s="116"/>
      <c r="G2538" s="116"/>
      <c r="K2538" s="104" t="n">
        <f aca="false">IF(A2538="",0,IF(IFERROR(VLOOKUP(A2538,Skills!$A:$M,13,FALSE()),"")="COS",0,IF(OR(I2538="En cours",I2538="À venir",I2538="À planifier"),IF(AND(OR($C$3="Tous",$C$3="",C2538=$C$3),OR($E$3="Tous",$E$3="",I2538=$E$3)),1,0),0)))</f>
        <v>0</v>
      </c>
      <c r="L2538" s="104" t="n">
        <f aca="false">L2537+K2538</f>
        <v>19</v>
      </c>
    </row>
    <row r="2539" customFormat="false" ht="15" hidden="true" customHeight="true" outlineLevel="0" collapsed="false">
      <c r="F2539" s="116"/>
      <c r="G2539" s="116"/>
      <c r="K2539" s="104" t="n">
        <f aca="false">IF(A2539="",0,IF(IFERROR(VLOOKUP(A2539,Skills!$A:$M,13,FALSE()),"")="COS",0,IF(OR(I2539="En cours",I2539="À venir",I2539="À planifier"),IF(AND(OR($C$3="Tous",$C$3="",C2539=$C$3),OR($E$3="Tous",$E$3="",I2539=$E$3)),1,0),0)))</f>
        <v>0</v>
      </c>
      <c r="L2539" s="104" t="n">
        <f aca="false">L2538+K2539</f>
        <v>19</v>
      </c>
    </row>
    <row r="2540" customFormat="false" ht="15" hidden="true" customHeight="true" outlineLevel="0" collapsed="false">
      <c r="F2540" s="116"/>
      <c r="G2540" s="116"/>
      <c r="K2540" s="104" t="n">
        <f aca="false">IF(A2540="",0,IF(IFERROR(VLOOKUP(A2540,Skills!$A:$M,13,FALSE()),"")="COS",0,IF(OR(I2540="En cours",I2540="À venir",I2540="À planifier"),IF(AND(OR($C$3="Tous",$C$3="",C2540=$C$3),OR($E$3="Tous",$E$3="",I2540=$E$3)),1,0),0)))</f>
        <v>0</v>
      </c>
      <c r="L2540" s="104" t="n">
        <f aca="false">L2539+K2540</f>
        <v>19</v>
      </c>
    </row>
    <row r="2541" customFormat="false" ht="15" hidden="true" customHeight="true" outlineLevel="0" collapsed="false">
      <c r="F2541" s="116"/>
      <c r="G2541" s="116"/>
      <c r="K2541" s="104" t="n">
        <f aca="false">IF(A2541="",0,IF(IFERROR(VLOOKUP(A2541,Skills!$A:$M,13,FALSE()),"")="COS",0,IF(OR(I2541="En cours",I2541="À venir",I2541="À planifier"),IF(AND(OR($C$3="Tous",$C$3="",C2541=$C$3),OR($E$3="Tous",$E$3="",I2541=$E$3)),1,0),0)))</f>
        <v>0</v>
      </c>
      <c r="L2541" s="104" t="n">
        <f aca="false">L2540+K2541</f>
        <v>19</v>
      </c>
    </row>
    <row r="2542" customFormat="false" ht="15" hidden="true" customHeight="true" outlineLevel="0" collapsed="false">
      <c r="F2542" s="116"/>
      <c r="G2542" s="116"/>
      <c r="K2542" s="104" t="n">
        <f aca="false">IF(A2542="",0,IF(IFERROR(VLOOKUP(A2542,Skills!$A:$M,13,FALSE()),"")="COS",0,IF(OR(I2542="En cours",I2542="À venir",I2542="À planifier"),IF(AND(OR($C$3="Tous",$C$3="",C2542=$C$3),OR($E$3="Tous",$E$3="",I2542=$E$3)),1,0),0)))</f>
        <v>0</v>
      </c>
      <c r="L2542" s="104" t="n">
        <f aca="false">L2541+K2542</f>
        <v>19</v>
      </c>
    </row>
    <row r="2543" customFormat="false" ht="15" hidden="true" customHeight="true" outlineLevel="0" collapsed="false">
      <c r="F2543" s="116"/>
      <c r="G2543" s="116"/>
      <c r="K2543" s="104" t="n">
        <f aca="false">IF(A2543="",0,IF(IFERROR(VLOOKUP(A2543,Skills!$A:$M,13,FALSE()),"")="COS",0,IF(OR(I2543="En cours",I2543="À venir",I2543="À planifier"),IF(AND(OR($C$3="Tous",$C$3="",C2543=$C$3),OR($E$3="Tous",$E$3="",I2543=$E$3)),1,0),0)))</f>
        <v>0</v>
      </c>
      <c r="L2543" s="104" t="n">
        <f aca="false">L2542+K2543</f>
        <v>19</v>
      </c>
    </row>
    <row r="2544" customFormat="false" ht="15" hidden="true" customHeight="true" outlineLevel="0" collapsed="false">
      <c r="F2544" s="116"/>
      <c r="G2544" s="116"/>
      <c r="K2544" s="104" t="n">
        <f aca="false">IF(A2544="",0,IF(IFERROR(VLOOKUP(A2544,Skills!$A:$M,13,FALSE()),"")="COS",0,IF(OR(I2544="En cours",I2544="À venir",I2544="À planifier"),IF(AND(OR($C$3="Tous",$C$3="",C2544=$C$3),OR($E$3="Tous",$E$3="",I2544=$E$3)),1,0),0)))</f>
        <v>0</v>
      </c>
      <c r="L2544" s="104" t="n">
        <f aca="false">L2543+K2544</f>
        <v>19</v>
      </c>
    </row>
    <row r="2545" customFormat="false" ht="15" hidden="true" customHeight="true" outlineLevel="0" collapsed="false">
      <c r="F2545" s="116"/>
      <c r="G2545" s="116"/>
      <c r="K2545" s="104" t="n">
        <f aca="false">IF(A2545="",0,IF(IFERROR(VLOOKUP(A2545,Skills!$A:$M,13,FALSE()),"")="COS",0,IF(OR(I2545="En cours",I2545="À venir",I2545="À planifier"),IF(AND(OR($C$3="Tous",$C$3="",C2545=$C$3),OR($E$3="Tous",$E$3="",I2545=$E$3)),1,0),0)))</f>
        <v>0</v>
      </c>
      <c r="L2545" s="104" t="n">
        <f aca="false">L2544+K2545</f>
        <v>19</v>
      </c>
    </row>
    <row r="2546" customFormat="false" ht="15" hidden="true" customHeight="true" outlineLevel="0" collapsed="false">
      <c r="F2546" s="116"/>
      <c r="G2546" s="116"/>
      <c r="K2546" s="104" t="n">
        <f aca="false">IF(A2546="",0,IF(IFERROR(VLOOKUP(A2546,Skills!$A:$M,13,FALSE()),"")="COS",0,IF(OR(I2546="En cours",I2546="À venir",I2546="À planifier"),IF(AND(OR($C$3="Tous",$C$3="",C2546=$C$3),OR($E$3="Tous",$E$3="",I2546=$E$3)),1,0),0)))</f>
        <v>0</v>
      </c>
      <c r="L2546" s="104" t="n">
        <f aca="false">L2545+K2546</f>
        <v>19</v>
      </c>
    </row>
    <row r="2547" customFormat="false" ht="15" hidden="true" customHeight="true" outlineLevel="0" collapsed="false">
      <c r="F2547" s="116"/>
      <c r="G2547" s="116"/>
      <c r="K2547" s="104" t="n">
        <f aca="false">IF(A2547="",0,IF(IFERROR(VLOOKUP(A2547,Skills!$A:$M,13,FALSE()),"")="COS",0,IF(OR(I2547="En cours",I2547="À venir",I2547="À planifier"),IF(AND(OR($C$3="Tous",$C$3="",C2547=$C$3),OR($E$3="Tous",$E$3="",I2547=$E$3)),1,0),0)))</f>
        <v>0</v>
      </c>
      <c r="L2547" s="104" t="n">
        <f aca="false">L2546+K2547</f>
        <v>19</v>
      </c>
    </row>
    <row r="2548" customFormat="false" ht="15" hidden="true" customHeight="true" outlineLevel="0" collapsed="false">
      <c r="F2548" s="116"/>
      <c r="G2548" s="116"/>
      <c r="K2548" s="104" t="n">
        <f aca="false">IF(A2548="",0,IF(IFERROR(VLOOKUP(A2548,Skills!$A:$M,13,FALSE()),"")="COS",0,IF(OR(I2548="En cours",I2548="À venir",I2548="À planifier"),IF(AND(OR($C$3="Tous",$C$3="",C2548=$C$3),OR($E$3="Tous",$E$3="",I2548=$E$3)),1,0),0)))</f>
        <v>0</v>
      </c>
      <c r="L2548" s="104" t="n">
        <f aca="false">L2547+K2548</f>
        <v>19</v>
      </c>
    </row>
    <row r="2549" customFormat="false" ht="15" hidden="true" customHeight="true" outlineLevel="0" collapsed="false">
      <c r="F2549" s="116"/>
      <c r="G2549" s="116"/>
      <c r="K2549" s="104" t="n">
        <f aca="false">IF(A2549="",0,IF(IFERROR(VLOOKUP(A2549,Skills!$A:$M,13,FALSE()),"")="COS",0,IF(OR(I2549="En cours",I2549="À venir",I2549="À planifier"),IF(AND(OR($C$3="Tous",$C$3="",C2549=$C$3),OR($E$3="Tous",$E$3="",I2549=$E$3)),1,0),0)))</f>
        <v>0</v>
      </c>
      <c r="L2549" s="104" t="n">
        <f aca="false">L2548+K2549</f>
        <v>19</v>
      </c>
    </row>
    <row r="2550" customFormat="false" ht="15" hidden="true" customHeight="true" outlineLevel="0" collapsed="false">
      <c r="F2550" s="116"/>
      <c r="G2550" s="116"/>
      <c r="K2550" s="104" t="n">
        <f aca="false">IF(A2550="",0,IF(IFERROR(VLOOKUP(A2550,Skills!$A:$M,13,FALSE()),"")="COS",0,IF(OR(I2550="En cours",I2550="À venir",I2550="À planifier"),IF(AND(OR($C$3="Tous",$C$3="",C2550=$C$3),OR($E$3="Tous",$E$3="",I2550=$E$3)),1,0),0)))</f>
        <v>0</v>
      </c>
      <c r="L2550" s="104" t="n">
        <f aca="false">L2549+K2550</f>
        <v>19</v>
      </c>
    </row>
    <row r="2551" customFormat="false" ht="15" hidden="true" customHeight="true" outlineLevel="0" collapsed="false">
      <c r="F2551" s="116"/>
      <c r="G2551" s="116"/>
      <c r="K2551" s="104" t="n">
        <f aca="false">IF(A2551="",0,IF(IFERROR(VLOOKUP(A2551,Skills!$A:$M,13,FALSE()),"")="COS",0,IF(OR(I2551="En cours",I2551="À venir",I2551="À planifier"),IF(AND(OR($C$3="Tous",$C$3="",C2551=$C$3),OR($E$3="Tous",$E$3="",I2551=$E$3)),1,0),0)))</f>
        <v>0</v>
      </c>
      <c r="L2551" s="104" t="n">
        <f aca="false">L2550+K2551</f>
        <v>19</v>
      </c>
    </row>
    <row r="2552" customFormat="false" ht="15" hidden="true" customHeight="true" outlineLevel="0" collapsed="false">
      <c r="F2552" s="116"/>
      <c r="G2552" s="116"/>
      <c r="K2552" s="104" t="n">
        <f aca="false">IF(A2552="",0,IF(IFERROR(VLOOKUP(A2552,Skills!$A:$M,13,FALSE()),"")="COS",0,IF(OR(I2552="En cours",I2552="À venir",I2552="À planifier"),IF(AND(OR($C$3="Tous",$C$3="",C2552=$C$3),OR($E$3="Tous",$E$3="",I2552=$E$3)),1,0),0)))</f>
        <v>0</v>
      </c>
      <c r="L2552" s="104" t="n">
        <f aca="false">L2551+K2552</f>
        <v>19</v>
      </c>
    </row>
    <row r="2553" customFormat="false" ht="15" hidden="true" customHeight="true" outlineLevel="0" collapsed="false">
      <c r="F2553" s="116"/>
      <c r="G2553" s="116"/>
      <c r="K2553" s="104" t="n">
        <f aca="false">IF(A2553="",0,IF(IFERROR(VLOOKUP(A2553,Skills!$A:$M,13,FALSE()),"")="COS",0,IF(OR(I2553="En cours",I2553="À venir",I2553="À planifier"),IF(AND(OR($C$3="Tous",$C$3="",C2553=$C$3),OR($E$3="Tous",$E$3="",I2553=$E$3)),1,0),0)))</f>
        <v>0</v>
      </c>
      <c r="L2553" s="104" t="n">
        <f aca="false">L2552+K2553</f>
        <v>19</v>
      </c>
    </row>
    <row r="2554" customFormat="false" ht="15" hidden="true" customHeight="true" outlineLevel="0" collapsed="false">
      <c r="F2554" s="116"/>
      <c r="G2554" s="116"/>
      <c r="K2554" s="104" t="n">
        <f aca="false">IF(A2554="",0,IF(IFERROR(VLOOKUP(A2554,Skills!$A:$M,13,FALSE()),"")="COS",0,IF(OR(I2554="En cours",I2554="À venir",I2554="À planifier"),IF(AND(OR($C$3="Tous",$C$3="",C2554=$C$3),OR($E$3="Tous",$E$3="",I2554=$E$3)),1,0),0)))</f>
        <v>0</v>
      </c>
      <c r="L2554" s="104" t="n">
        <f aca="false">L2553+K2554</f>
        <v>19</v>
      </c>
    </row>
    <row r="2555" customFormat="false" ht="15" hidden="true" customHeight="true" outlineLevel="0" collapsed="false">
      <c r="F2555" s="116"/>
      <c r="G2555" s="116"/>
      <c r="K2555" s="104" t="n">
        <f aca="false">IF(A2555="",0,IF(IFERROR(VLOOKUP(A2555,Skills!$A:$M,13,FALSE()),"")="COS",0,IF(OR(I2555="En cours",I2555="À venir",I2555="À planifier"),IF(AND(OR($C$3="Tous",$C$3="",C2555=$C$3),OR($E$3="Tous",$E$3="",I2555=$E$3)),1,0),0)))</f>
        <v>0</v>
      </c>
      <c r="L2555" s="104" t="n">
        <f aca="false">L2554+K2555</f>
        <v>19</v>
      </c>
    </row>
    <row r="2556" customFormat="false" ht="15" hidden="true" customHeight="true" outlineLevel="0" collapsed="false">
      <c r="F2556" s="116"/>
      <c r="G2556" s="116"/>
      <c r="K2556" s="104" t="n">
        <f aca="false">IF(A2556="",0,IF(IFERROR(VLOOKUP(A2556,Skills!$A:$M,13,FALSE()),"")="COS",0,IF(OR(I2556="En cours",I2556="À venir",I2556="À planifier"),IF(AND(OR($C$3="Tous",$C$3="",C2556=$C$3),OR($E$3="Tous",$E$3="",I2556=$E$3)),1,0),0)))</f>
        <v>0</v>
      </c>
      <c r="L2556" s="104" t="n">
        <f aca="false">L2555+K2556</f>
        <v>19</v>
      </c>
    </row>
    <row r="2557" customFormat="false" ht="15" hidden="true" customHeight="true" outlineLevel="0" collapsed="false">
      <c r="F2557" s="116"/>
      <c r="G2557" s="116"/>
      <c r="K2557" s="104" t="n">
        <f aca="false">IF(A2557="",0,IF(IFERROR(VLOOKUP(A2557,Skills!$A:$M,13,FALSE()),"")="COS",0,IF(OR(I2557="En cours",I2557="À venir",I2557="À planifier"),IF(AND(OR($C$3="Tous",$C$3="",C2557=$C$3),OR($E$3="Tous",$E$3="",I2557=$E$3)),1,0),0)))</f>
        <v>0</v>
      </c>
      <c r="L2557" s="104" t="n">
        <f aca="false">L2556+K2557</f>
        <v>19</v>
      </c>
    </row>
    <row r="2558" customFormat="false" ht="15" hidden="true" customHeight="true" outlineLevel="0" collapsed="false">
      <c r="F2558" s="116"/>
      <c r="G2558" s="116"/>
      <c r="K2558" s="104" t="n">
        <f aca="false">IF(A2558="",0,IF(IFERROR(VLOOKUP(A2558,Skills!$A:$M,13,FALSE()),"")="COS",0,IF(OR(I2558="En cours",I2558="À venir",I2558="À planifier"),IF(AND(OR($C$3="Tous",$C$3="",C2558=$C$3),OR($E$3="Tous",$E$3="",I2558=$E$3)),1,0),0)))</f>
        <v>0</v>
      </c>
      <c r="L2558" s="104" t="n">
        <f aca="false">L2557+K2558</f>
        <v>19</v>
      </c>
    </row>
    <row r="2559" customFormat="false" ht="15" hidden="true" customHeight="true" outlineLevel="0" collapsed="false">
      <c r="F2559" s="116"/>
      <c r="G2559" s="116"/>
      <c r="K2559" s="104" t="n">
        <f aca="false">IF(A2559="",0,IF(IFERROR(VLOOKUP(A2559,Skills!$A:$M,13,FALSE()),"")="COS",0,IF(OR(I2559="En cours",I2559="À venir",I2559="À planifier"),IF(AND(OR($C$3="Tous",$C$3="",C2559=$C$3),OR($E$3="Tous",$E$3="",I2559=$E$3)),1,0),0)))</f>
        <v>0</v>
      </c>
      <c r="L2559" s="104" t="n">
        <f aca="false">L2558+K2559</f>
        <v>19</v>
      </c>
    </row>
    <row r="2560" customFormat="false" ht="15" hidden="true" customHeight="true" outlineLevel="0" collapsed="false">
      <c r="F2560" s="116"/>
      <c r="G2560" s="116"/>
      <c r="K2560" s="104" t="n">
        <f aca="false">IF(A2560="",0,IF(IFERROR(VLOOKUP(A2560,Skills!$A:$M,13,FALSE()),"")="COS",0,IF(OR(I2560="En cours",I2560="À venir",I2560="À planifier"),IF(AND(OR($C$3="Tous",$C$3="",C2560=$C$3),OR($E$3="Tous",$E$3="",I2560=$E$3)),1,0),0)))</f>
        <v>0</v>
      </c>
      <c r="L2560" s="104" t="n">
        <f aca="false">L2559+K2560</f>
        <v>19</v>
      </c>
    </row>
    <row r="2561" customFormat="false" ht="15" hidden="true" customHeight="true" outlineLevel="0" collapsed="false">
      <c r="F2561" s="116"/>
      <c r="G2561" s="116"/>
      <c r="K2561" s="104" t="n">
        <f aca="false">IF(A2561="",0,IF(IFERROR(VLOOKUP(A2561,Skills!$A:$M,13,FALSE()),"")="COS",0,IF(OR(I2561="En cours",I2561="À venir",I2561="À planifier"),IF(AND(OR($C$3="Tous",$C$3="",C2561=$C$3),OR($E$3="Tous",$E$3="",I2561=$E$3)),1,0),0)))</f>
        <v>0</v>
      </c>
      <c r="L2561" s="104" t="n">
        <f aca="false">L2560+K2561</f>
        <v>19</v>
      </c>
    </row>
    <row r="2562" customFormat="false" ht="15" hidden="true" customHeight="true" outlineLevel="0" collapsed="false">
      <c r="F2562" s="116"/>
      <c r="G2562" s="116"/>
      <c r="K2562" s="104" t="n">
        <f aca="false">IF(A2562="",0,IF(IFERROR(VLOOKUP(A2562,Skills!$A:$M,13,FALSE()),"")="COS",0,IF(OR(I2562="En cours",I2562="À venir",I2562="À planifier"),IF(AND(OR($C$3="Tous",$C$3="",C2562=$C$3),OR($E$3="Tous",$E$3="",I2562=$E$3)),1,0),0)))</f>
        <v>0</v>
      </c>
      <c r="L2562" s="104" t="n">
        <f aca="false">L2561+K2562</f>
        <v>19</v>
      </c>
    </row>
    <row r="2563" customFormat="false" ht="15" hidden="true" customHeight="true" outlineLevel="0" collapsed="false">
      <c r="F2563" s="116"/>
      <c r="G2563" s="116"/>
      <c r="K2563" s="104" t="n">
        <f aca="false">IF(A2563="",0,IF(IFERROR(VLOOKUP(A2563,Skills!$A:$M,13,FALSE()),"")="COS",0,IF(OR(I2563="En cours",I2563="À venir",I2563="À planifier"),IF(AND(OR($C$3="Tous",$C$3="",C2563=$C$3),OR($E$3="Tous",$E$3="",I2563=$E$3)),1,0),0)))</f>
        <v>0</v>
      </c>
      <c r="L2563" s="104" t="n">
        <f aca="false">L2562+K2563</f>
        <v>19</v>
      </c>
    </row>
    <row r="2564" customFormat="false" ht="15" hidden="true" customHeight="true" outlineLevel="0" collapsed="false">
      <c r="F2564" s="116"/>
      <c r="G2564" s="116"/>
      <c r="K2564" s="104" t="n">
        <f aca="false">IF(A2564="",0,IF(IFERROR(VLOOKUP(A2564,Skills!$A:$M,13,FALSE()),"")="COS",0,IF(OR(I2564="En cours",I2564="À venir",I2564="À planifier"),IF(AND(OR($C$3="Tous",$C$3="",C2564=$C$3),OR($E$3="Tous",$E$3="",I2564=$E$3)),1,0),0)))</f>
        <v>0</v>
      </c>
      <c r="L2564" s="104" t="n">
        <f aca="false">L2563+K2564</f>
        <v>19</v>
      </c>
    </row>
    <row r="2565" customFormat="false" ht="15" hidden="true" customHeight="true" outlineLevel="0" collapsed="false">
      <c r="F2565" s="116"/>
      <c r="G2565" s="116"/>
      <c r="K2565" s="104" t="n">
        <f aca="false">IF(A2565="",0,IF(IFERROR(VLOOKUP(A2565,Skills!$A:$M,13,FALSE()),"")="COS",0,IF(OR(I2565="En cours",I2565="À venir",I2565="À planifier"),IF(AND(OR($C$3="Tous",$C$3="",C2565=$C$3),OR($E$3="Tous",$E$3="",I2565=$E$3)),1,0),0)))</f>
        <v>0</v>
      </c>
      <c r="L2565" s="104" t="n">
        <f aca="false">L2564+K2565</f>
        <v>19</v>
      </c>
    </row>
    <row r="2566" customFormat="false" ht="15" hidden="true" customHeight="true" outlineLevel="0" collapsed="false">
      <c r="F2566" s="116"/>
      <c r="G2566" s="116"/>
      <c r="K2566" s="104" t="n">
        <f aca="false">IF(A2566="",0,IF(IFERROR(VLOOKUP(A2566,Skills!$A:$M,13,FALSE()),"")="COS",0,IF(OR(I2566="En cours",I2566="À venir",I2566="À planifier"),IF(AND(OR($C$3="Tous",$C$3="",C2566=$C$3),OR($E$3="Tous",$E$3="",I2566=$E$3)),1,0),0)))</f>
        <v>0</v>
      </c>
      <c r="L2566" s="104" t="n">
        <f aca="false">L2565+K2566</f>
        <v>19</v>
      </c>
    </row>
    <row r="2567" customFormat="false" ht="15" hidden="true" customHeight="true" outlineLevel="0" collapsed="false">
      <c r="F2567" s="116"/>
      <c r="G2567" s="116"/>
      <c r="K2567" s="104" t="n">
        <f aca="false">IF(A2567="",0,IF(IFERROR(VLOOKUP(A2567,Skills!$A:$M,13,FALSE()),"")="COS",0,IF(OR(I2567="En cours",I2567="À venir",I2567="À planifier"),IF(AND(OR($C$3="Tous",$C$3="",C2567=$C$3),OR($E$3="Tous",$E$3="",I2567=$E$3)),1,0),0)))</f>
        <v>0</v>
      </c>
      <c r="L2567" s="104" t="n">
        <f aca="false">L2566+K2567</f>
        <v>19</v>
      </c>
    </row>
    <row r="2568" customFormat="false" ht="15" hidden="true" customHeight="true" outlineLevel="0" collapsed="false">
      <c r="F2568" s="116"/>
      <c r="G2568" s="116"/>
      <c r="K2568" s="104" t="n">
        <f aca="false">IF(A2568="",0,IF(IFERROR(VLOOKUP(A2568,Skills!$A:$M,13,FALSE()),"")="COS",0,IF(OR(I2568="En cours",I2568="À venir",I2568="À planifier"),IF(AND(OR($C$3="Tous",$C$3="",C2568=$C$3),OR($E$3="Tous",$E$3="",I2568=$E$3)),1,0),0)))</f>
        <v>0</v>
      </c>
      <c r="L2568" s="104" t="n">
        <f aca="false">L2567+K2568</f>
        <v>19</v>
      </c>
    </row>
    <row r="2569" customFormat="false" ht="15" hidden="true" customHeight="true" outlineLevel="0" collapsed="false">
      <c r="F2569" s="116"/>
      <c r="G2569" s="116"/>
      <c r="K2569" s="104" t="n">
        <f aca="false">IF(A2569="",0,IF(IFERROR(VLOOKUP(A2569,Skills!$A:$M,13,FALSE()),"")="COS",0,IF(OR(I2569="En cours",I2569="À venir",I2569="À planifier"),IF(AND(OR($C$3="Tous",$C$3="",C2569=$C$3),OR($E$3="Tous",$E$3="",I2569=$E$3)),1,0),0)))</f>
        <v>0</v>
      </c>
      <c r="L2569" s="104" t="n">
        <f aca="false">L2568+K2569</f>
        <v>19</v>
      </c>
    </row>
    <row r="2570" customFormat="false" ht="15" hidden="true" customHeight="true" outlineLevel="0" collapsed="false">
      <c r="F2570" s="116"/>
      <c r="G2570" s="116"/>
      <c r="K2570" s="104" t="n">
        <f aca="false">IF(A2570="",0,IF(IFERROR(VLOOKUP(A2570,Skills!$A:$M,13,FALSE()),"")="COS",0,IF(OR(I2570="En cours",I2570="À venir",I2570="À planifier"),IF(AND(OR($C$3="Tous",$C$3="",C2570=$C$3),OR($E$3="Tous",$E$3="",I2570=$E$3)),1,0),0)))</f>
        <v>0</v>
      </c>
      <c r="L2570" s="104" t="n">
        <f aca="false">L2569+K2570</f>
        <v>19</v>
      </c>
    </row>
    <row r="2571" customFormat="false" ht="15" hidden="true" customHeight="true" outlineLevel="0" collapsed="false">
      <c r="F2571" s="116"/>
      <c r="G2571" s="116"/>
      <c r="K2571" s="104" t="n">
        <f aca="false">IF(A2571="",0,IF(IFERROR(VLOOKUP(A2571,Skills!$A:$M,13,FALSE()),"")="COS",0,IF(OR(I2571="En cours",I2571="À venir",I2571="À planifier"),IF(AND(OR($C$3="Tous",$C$3="",C2571=$C$3),OR($E$3="Tous",$E$3="",I2571=$E$3)),1,0),0)))</f>
        <v>0</v>
      </c>
      <c r="L2571" s="104" t="n">
        <f aca="false">L2570+K2571</f>
        <v>19</v>
      </c>
    </row>
    <row r="2572" customFormat="false" ht="15" hidden="true" customHeight="true" outlineLevel="0" collapsed="false">
      <c r="F2572" s="116"/>
      <c r="G2572" s="116"/>
      <c r="K2572" s="104" t="n">
        <f aca="false">IF(A2572="",0,IF(IFERROR(VLOOKUP(A2572,Skills!$A:$M,13,FALSE()),"")="COS",0,IF(OR(I2572="En cours",I2572="À venir",I2572="À planifier"),IF(AND(OR($C$3="Tous",$C$3="",C2572=$C$3),OR($E$3="Tous",$E$3="",I2572=$E$3)),1,0),0)))</f>
        <v>0</v>
      </c>
      <c r="L2572" s="104" t="n">
        <f aca="false">L2571+K2572</f>
        <v>19</v>
      </c>
    </row>
    <row r="2573" customFormat="false" ht="15" hidden="true" customHeight="true" outlineLevel="0" collapsed="false">
      <c r="F2573" s="116"/>
      <c r="G2573" s="116"/>
      <c r="K2573" s="104" t="n">
        <f aca="false">IF(A2573="",0,IF(IFERROR(VLOOKUP(A2573,Skills!$A:$M,13,FALSE()),"")="COS",0,IF(OR(I2573="En cours",I2573="À venir",I2573="À planifier"),IF(AND(OR($C$3="Tous",$C$3="",C2573=$C$3),OR($E$3="Tous",$E$3="",I2573=$E$3)),1,0),0)))</f>
        <v>0</v>
      </c>
      <c r="L2573" s="104" t="n">
        <f aca="false">L2572+K2573</f>
        <v>19</v>
      </c>
    </row>
    <row r="2574" customFormat="false" ht="15" hidden="true" customHeight="true" outlineLevel="0" collapsed="false">
      <c r="F2574" s="116"/>
      <c r="G2574" s="116"/>
      <c r="K2574" s="104" t="n">
        <f aca="false">IF(A2574="",0,IF(IFERROR(VLOOKUP(A2574,Skills!$A:$M,13,FALSE()),"")="COS",0,IF(OR(I2574="En cours",I2574="À venir",I2574="À planifier"),IF(AND(OR($C$3="Tous",$C$3="",C2574=$C$3),OR($E$3="Tous",$E$3="",I2574=$E$3)),1,0),0)))</f>
        <v>0</v>
      </c>
      <c r="L2574" s="104" t="n">
        <f aca="false">L2573+K2574</f>
        <v>19</v>
      </c>
    </row>
    <row r="2575" customFormat="false" ht="15" hidden="true" customHeight="true" outlineLevel="0" collapsed="false">
      <c r="F2575" s="116"/>
      <c r="G2575" s="116"/>
      <c r="K2575" s="104" t="n">
        <f aca="false">IF(A2575="",0,IF(IFERROR(VLOOKUP(A2575,Skills!$A:$M,13,FALSE()),"")="COS",0,IF(OR(I2575="En cours",I2575="À venir",I2575="À planifier"),IF(AND(OR($C$3="Tous",$C$3="",C2575=$C$3),OR($E$3="Tous",$E$3="",I2575=$E$3)),1,0),0)))</f>
        <v>0</v>
      </c>
      <c r="L2575" s="104" t="n">
        <f aca="false">L2574+K2575</f>
        <v>19</v>
      </c>
    </row>
    <row r="2576" customFormat="false" ht="15" hidden="true" customHeight="true" outlineLevel="0" collapsed="false">
      <c r="F2576" s="116"/>
      <c r="G2576" s="116"/>
      <c r="K2576" s="104" t="n">
        <f aca="false">IF(A2576="",0,IF(IFERROR(VLOOKUP(A2576,Skills!$A:$M,13,FALSE()),"")="COS",0,IF(OR(I2576="En cours",I2576="À venir",I2576="À planifier"),IF(AND(OR($C$3="Tous",$C$3="",C2576=$C$3),OR($E$3="Tous",$E$3="",I2576=$E$3)),1,0),0)))</f>
        <v>0</v>
      </c>
      <c r="L2576" s="104" t="n">
        <f aca="false">L2575+K2576</f>
        <v>19</v>
      </c>
    </row>
    <row r="2577" customFormat="false" ht="15" hidden="true" customHeight="true" outlineLevel="0" collapsed="false">
      <c r="F2577" s="116"/>
      <c r="G2577" s="116"/>
      <c r="K2577" s="104" t="n">
        <f aca="false">IF(A2577="",0,IF(IFERROR(VLOOKUP(A2577,Skills!$A:$M,13,FALSE()),"")="COS",0,IF(OR(I2577="En cours",I2577="À venir",I2577="À planifier"),IF(AND(OR($C$3="Tous",$C$3="",C2577=$C$3),OR($E$3="Tous",$E$3="",I2577=$E$3)),1,0),0)))</f>
        <v>0</v>
      </c>
      <c r="L2577" s="104" t="n">
        <f aca="false">L2576+K2577</f>
        <v>19</v>
      </c>
    </row>
    <row r="2578" customFormat="false" ht="15" hidden="true" customHeight="true" outlineLevel="0" collapsed="false">
      <c r="F2578" s="116"/>
      <c r="G2578" s="116"/>
      <c r="K2578" s="104" t="n">
        <f aca="false">IF(A2578="",0,IF(IFERROR(VLOOKUP(A2578,Skills!$A:$M,13,FALSE()),"")="COS",0,IF(OR(I2578="En cours",I2578="À venir",I2578="À planifier"),IF(AND(OR($C$3="Tous",$C$3="",C2578=$C$3),OR($E$3="Tous",$E$3="",I2578=$E$3)),1,0),0)))</f>
        <v>0</v>
      </c>
      <c r="L2578" s="104" t="n">
        <f aca="false">L2577+K2578</f>
        <v>19</v>
      </c>
    </row>
    <row r="2579" customFormat="false" ht="15" hidden="true" customHeight="true" outlineLevel="0" collapsed="false">
      <c r="F2579" s="116"/>
      <c r="G2579" s="116"/>
      <c r="K2579" s="104" t="n">
        <f aca="false">IF(A2579="",0,IF(IFERROR(VLOOKUP(A2579,Skills!$A:$M,13,FALSE()),"")="COS",0,IF(OR(I2579="En cours",I2579="À venir",I2579="À planifier"),IF(AND(OR($C$3="Tous",$C$3="",C2579=$C$3),OR($E$3="Tous",$E$3="",I2579=$E$3)),1,0),0)))</f>
        <v>0</v>
      </c>
      <c r="L2579" s="104" t="n">
        <f aca="false">L2578+K2579</f>
        <v>19</v>
      </c>
    </row>
    <row r="2580" customFormat="false" ht="15" hidden="true" customHeight="true" outlineLevel="0" collapsed="false">
      <c r="F2580" s="116"/>
      <c r="G2580" s="116"/>
      <c r="K2580" s="104" t="n">
        <f aca="false">IF(A2580="",0,IF(IFERROR(VLOOKUP(A2580,Skills!$A:$M,13,FALSE()),"")="COS",0,IF(OR(I2580="En cours",I2580="À venir",I2580="À planifier"),IF(AND(OR($C$3="Tous",$C$3="",C2580=$C$3),OR($E$3="Tous",$E$3="",I2580=$E$3)),1,0),0)))</f>
        <v>0</v>
      </c>
      <c r="L2580" s="104" t="n">
        <f aca="false">L2579+K2580</f>
        <v>19</v>
      </c>
    </row>
    <row r="2581" customFormat="false" ht="15" hidden="true" customHeight="true" outlineLevel="0" collapsed="false">
      <c r="F2581" s="116"/>
      <c r="G2581" s="116"/>
      <c r="K2581" s="104" t="n">
        <f aca="false">IF(A2581="",0,IF(IFERROR(VLOOKUP(A2581,Skills!$A:$M,13,FALSE()),"")="COS",0,IF(OR(I2581="En cours",I2581="À venir",I2581="À planifier"),IF(AND(OR($C$3="Tous",$C$3="",C2581=$C$3),OR($E$3="Tous",$E$3="",I2581=$E$3)),1,0),0)))</f>
        <v>0</v>
      </c>
      <c r="L2581" s="104" t="n">
        <f aca="false">L2580+K2581</f>
        <v>19</v>
      </c>
    </row>
    <row r="2582" customFormat="false" ht="15" hidden="true" customHeight="true" outlineLevel="0" collapsed="false">
      <c r="F2582" s="116"/>
      <c r="G2582" s="116"/>
      <c r="K2582" s="104" t="n">
        <f aca="false">IF(A2582="",0,IF(IFERROR(VLOOKUP(A2582,Skills!$A:$M,13,FALSE()),"")="COS",0,IF(OR(I2582="En cours",I2582="À venir",I2582="À planifier"),IF(AND(OR($C$3="Tous",$C$3="",C2582=$C$3),OR($E$3="Tous",$E$3="",I2582=$E$3)),1,0),0)))</f>
        <v>0</v>
      </c>
      <c r="L2582" s="104" t="n">
        <f aca="false">L2581+K2582</f>
        <v>19</v>
      </c>
    </row>
    <row r="2583" customFormat="false" ht="15" hidden="true" customHeight="true" outlineLevel="0" collapsed="false">
      <c r="F2583" s="116"/>
      <c r="G2583" s="116"/>
      <c r="K2583" s="104" t="n">
        <f aca="false">IF(A2583="",0,IF(IFERROR(VLOOKUP(A2583,Skills!$A:$M,13,FALSE()),"")="COS",0,IF(OR(I2583="En cours",I2583="À venir",I2583="À planifier"),IF(AND(OR($C$3="Tous",$C$3="",C2583=$C$3),OR($E$3="Tous",$E$3="",I2583=$E$3)),1,0),0)))</f>
        <v>0</v>
      </c>
      <c r="L2583" s="104" t="n">
        <f aca="false">L2582+K2583</f>
        <v>19</v>
      </c>
    </row>
    <row r="2584" customFormat="false" ht="15" hidden="true" customHeight="true" outlineLevel="0" collapsed="false">
      <c r="F2584" s="116"/>
      <c r="G2584" s="116"/>
      <c r="K2584" s="104" t="n">
        <f aca="false">IF(A2584="",0,IF(IFERROR(VLOOKUP(A2584,Skills!$A:$M,13,FALSE()),"")="COS",0,IF(OR(I2584="En cours",I2584="À venir",I2584="À planifier"),IF(AND(OR($C$3="Tous",$C$3="",C2584=$C$3),OR($E$3="Tous",$E$3="",I2584=$E$3)),1,0),0)))</f>
        <v>0</v>
      </c>
      <c r="L2584" s="104" t="n">
        <f aca="false">L2583+K2584</f>
        <v>19</v>
      </c>
    </row>
    <row r="2585" customFormat="false" ht="15" hidden="true" customHeight="true" outlineLevel="0" collapsed="false">
      <c r="F2585" s="116"/>
      <c r="G2585" s="116"/>
      <c r="K2585" s="104" t="n">
        <f aca="false">IF(A2585="",0,IF(IFERROR(VLOOKUP(A2585,Skills!$A:$M,13,FALSE()),"")="COS",0,IF(OR(I2585="En cours",I2585="À venir",I2585="À planifier"),IF(AND(OR($C$3="Tous",$C$3="",C2585=$C$3),OR($E$3="Tous",$E$3="",I2585=$E$3)),1,0),0)))</f>
        <v>0</v>
      </c>
      <c r="L2585" s="104" t="n">
        <f aca="false">L2584+K2585</f>
        <v>19</v>
      </c>
    </row>
    <row r="2586" customFormat="false" ht="15" hidden="true" customHeight="true" outlineLevel="0" collapsed="false">
      <c r="F2586" s="116"/>
      <c r="G2586" s="116"/>
      <c r="K2586" s="104" t="n">
        <f aca="false">IF(A2586="",0,IF(IFERROR(VLOOKUP(A2586,Skills!$A:$M,13,FALSE()),"")="COS",0,IF(OR(I2586="En cours",I2586="À venir",I2586="À planifier"),IF(AND(OR($C$3="Tous",$C$3="",C2586=$C$3),OR($E$3="Tous",$E$3="",I2586=$E$3)),1,0),0)))</f>
        <v>0</v>
      </c>
      <c r="L2586" s="104" t="n">
        <f aca="false">L2585+K2586</f>
        <v>19</v>
      </c>
    </row>
    <row r="2587" customFormat="false" ht="15" hidden="true" customHeight="true" outlineLevel="0" collapsed="false">
      <c r="F2587" s="116"/>
      <c r="G2587" s="116"/>
      <c r="K2587" s="104" t="n">
        <f aca="false">IF(A2587="",0,IF(IFERROR(VLOOKUP(A2587,Skills!$A:$M,13,FALSE()),"")="COS",0,IF(OR(I2587="En cours",I2587="À venir",I2587="À planifier"),IF(AND(OR($C$3="Tous",$C$3="",C2587=$C$3),OR($E$3="Tous",$E$3="",I2587=$E$3)),1,0),0)))</f>
        <v>0</v>
      </c>
      <c r="L2587" s="104" t="n">
        <f aca="false">L2586+K2587</f>
        <v>19</v>
      </c>
    </row>
    <row r="2588" customFormat="false" ht="15" hidden="true" customHeight="true" outlineLevel="0" collapsed="false">
      <c r="F2588" s="116"/>
      <c r="G2588" s="116"/>
      <c r="K2588" s="104" t="n">
        <f aca="false">IF(A2588="",0,IF(IFERROR(VLOOKUP(A2588,Skills!$A:$M,13,FALSE()),"")="COS",0,IF(OR(I2588="En cours",I2588="À venir",I2588="À planifier"),IF(AND(OR($C$3="Tous",$C$3="",C2588=$C$3),OR($E$3="Tous",$E$3="",I2588=$E$3)),1,0),0)))</f>
        <v>0</v>
      </c>
      <c r="L2588" s="104" t="n">
        <f aca="false">L2587+K2588</f>
        <v>19</v>
      </c>
    </row>
    <row r="2589" customFormat="false" ht="15" hidden="true" customHeight="true" outlineLevel="0" collapsed="false">
      <c r="F2589" s="116"/>
      <c r="G2589" s="116"/>
      <c r="K2589" s="104" t="n">
        <f aca="false">IF(A2589="",0,IF(IFERROR(VLOOKUP(A2589,Skills!$A:$M,13,FALSE()),"")="COS",0,IF(OR(I2589="En cours",I2589="À venir",I2589="À planifier"),IF(AND(OR($C$3="Tous",$C$3="",C2589=$C$3),OR($E$3="Tous",$E$3="",I2589=$E$3)),1,0),0)))</f>
        <v>0</v>
      </c>
      <c r="L2589" s="104" t="n">
        <f aca="false">L2588+K2589</f>
        <v>19</v>
      </c>
    </row>
    <row r="2590" customFormat="false" ht="15" hidden="true" customHeight="true" outlineLevel="0" collapsed="false">
      <c r="F2590" s="116"/>
      <c r="G2590" s="116"/>
      <c r="K2590" s="104" t="n">
        <f aca="false">IF(A2590="",0,IF(IFERROR(VLOOKUP(A2590,Skills!$A:$M,13,FALSE()),"")="COS",0,IF(OR(I2590="En cours",I2590="À venir",I2590="À planifier"),IF(AND(OR($C$3="Tous",$C$3="",C2590=$C$3),OR($E$3="Tous",$E$3="",I2590=$E$3)),1,0),0)))</f>
        <v>0</v>
      </c>
      <c r="L2590" s="104" t="n">
        <f aca="false">L2589+K2590</f>
        <v>19</v>
      </c>
    </row>
    <row r="2591" customFormat="false" ht="15" hidden="true" customHeight="true" outlineLevel="0" collapsed="false">
      <c r="F2591" s="116"/>
      <c r="G2591" s="116"/>
      <c r="K2591" s="104" t="n">
        <f aca="false">IF(A2591="",0,IF(IFERROR(VLOOKUP(A2591,Skills!$A:$M,13,FALSE()),"")="COS",0,IF(OR(I2591="En cours",I2591="À venir",I2591="À planifier"),IF(AND(OR($C$3="Tous",$C$3="",C2591=$C$3),OR($E$3="Tous",$E$3="",I2591=$E$3)),1,0),0)))</f>
        <v>0</v>
      </c>
      <c r="L2591" s="104" t="n">
        <f aca="false">L2590+K2591</f>
        <v>19</v>
      </c>
    </row>
    <row r="2592" customFormat="false" ht="15" hidden="true" customHeight="true" outlineLevel="0" collapsed="false">
      <c r="F2592" s="116"/>
      <c r="G2592" s="116"/>
      <c r="K2592" s="104" t="n">
        <f aca="false">IF(A2592="",0,IF(IFERROR(VLOOKUP(A2592,Skills!$A:$M,13,FALSE()),"")="COS",0,IF(OR(I2592="En cours",I2592="À venir",I2592="À planifier"),IF(AND(OR($C$3="Tous",$C$3="",C2592=$C$3),OR($E$3="Tous",$E$3="",I2592=$E$3)),1,0),0)))</f>
        <v>0</v>
      </c>
      <c r="L2592" s="104" t="n">
        <f aca="false">L2591+K2592</f>
        <v>19</v>
      </c>
    </row>
    <row r="2593" customFormat="false" ht="15" hidden="true" customHeight="true" outlineLevel="0" collapsed="false">
      <c r="F2593" s="116"/>
      <c r="G2593" s="116"/>
      <c r="K2593" s="104" t="n">
        <f aca="false">IF(A2593="",0,IF(IFERROR(VLOOKUP(A2593,Skills!$A:$M,13,FALSE()),"")="COS",0,IF(OR(I2593="En cours",I2593="À venir",I2593="À planifier"),IF(AND(OR($C$3="Tous",$C$3="",C2593=$C$3),OR($E$3="Tous",$E$3="",I2593=$E$3)),1,0),0)))</f>
        <v>0</v>
      </c>
      <c r="L2593" s="104" t="n">
        <f aca="false">L2592+K2593</f>
        <v>19</v>
      </c>
    </row>
    <row r="2594" customFormat="false" ht="15" hidden="true" customHeight="true" outlineLevel="0" collapsed="false">
      <c r="F2594" s="116"/>
      <c r="G2594" s="116"/>
      <c r="K2594" s="104" t="n">
        <f aca="false">IF(A2594="",0,IF(IFERROR(VLOOKUP(A2594,Skills!$A:$M,13,FALSE()),"")="COS",0,IF(OR(I2594="En cours",I2594="À venir",I2594="À planifier"),IF(AND(OR($C$3="Tous",$C$3="",C2594=$C$3),OR($E$3="Tous",$E$3="",I2594=$E$3)),1,0),0)))</f>
        <v>0</v>
      </c>
      <c r="L2594" s="104" t="n">
        <f aca="false">L2593+K2594</f>
        <v>19</v>
      </c>
    </row>
    <row r="2595" customFormat="false" ht="15" hidden="true" customHeight="true" outlineLevel="0" collapsed="false">
      <c r="F2595" s="116"/>
      <c r="G2595" s="116"/>
      <c r="K2595" s="104" t="n">
        <f aca="false">IF(A2595="",0,IF(IFERROR(VLOOKUP(A2595,Skills!$A:$M,13,FALSE()),"")="COS",0,IF(OR(I2595="En cours",I2595="À venir",I2595="À planifier"),IF(AND(OR($C$3="Tous",$C$3="",C2595=$C$3),OR($E$3="Tous",$E$3="",I2595=$E$3)),1,0),0)))</f>
        <v>0</v>
      </c>
      <c r="L2595" s="104" t="n">
        <f aca="false">L2594+K2595</f>
        <v>19</v>
      </c>
    </row>
    <row r="2596" customFormat="false" ht="15" hidden="true" customHeight="true" outlineLevel="0" collapsed="false">
      <c r="F2596" s="116"/>
      <c r="G2596" s="116"/>
      <c r="K2596" s="104" t="n">
        <f aca="false">IF(A2596="",0,IF(IFERROR(VLOOKUP(A2596,Skills!$A:$M,13,FALSE()),"")="COS",0,IF(OR(I2596="En cours",I2596="À venir",I2596="À planifier"),IF(AND(OR($C$3="Tous",$C$3="",C2596=$C$3),OR($E$3="Tous",$E$3="",I2596=$E$3)),1,0),0)))</f>
        <v>0</v>
      </c>
      <c r="L2596" s="104" t="n">
        <f aca="false">L2595+K2596</f>
        <v>19</v>
      </c>
    </row>
    <row r="2597" customFormat="false" ht="15" hidden="true" customHeight="true" outlineLevel="0" collapsed="false">
      <c r="F2597" s="116"/>
      <c r="G2597" s="116"/>
      <c r="K2597" s="104" t="n">
        <f aca="false">IF(A2597="",0,IF(IFERROR(VLOOKUP(A2597,Skills!$A:$M,13,FALSE()),"")="COS",0,IF(OR(I2597="En cours",I2597="À venir",I2597="À planifier"),IF(AND(OR($C$3="Tous",$C$3="",C2597=$C$3),OR($E$3="Tous",$E$3="",I2597=$E$3)),1,0),0)))</f>
        <v>0</v>
      </c>
      <c r="L2597" s="104" t="n">
        <f aca="false">L2596+K2597</f>
        <v>19</v>
      </c>
    </row>
    <row r="2598" customFormat="false" ht="15" hidden="true" customHeight="true" outlineLevel="0" collapsed="false">
      <c r="F2598" s="116"/>
      <c r="G2598" s="116"/>
      <c r="K2598" s="104" t="n">
        <f aca="false">IF(A2598="",0,IF(IFERROR(VLOOKUP(A2598,Skills!$A:$M,13,FALSE()),"")="COS",0,IF(OR(I2598="En cours",I2598="À venir",I2598="À planifier"),IF(AND(OR($C$3="Tous",$C$3="",C2598=$C$3),OR($E$3="Tous",$E$3="",I2598=$E$3)),1,0),0)))</f>
        <v>0</v>
      </c>
      <c r="L2598" s="104" t="n">
        <f aca="false">L2597+K2598</f>
        <v>19</v>
      </c>
    </row>
    <row r="2599" customFormat="false" ht="15" hidden="true" customHeight="true" outlineLevel="0" collapsed="false">
      <c r="F2599" s="116"/>
      <c r="G2599" s="116"/>
      <c r="K2599" s="104" t="n">
        <f aca="false">IF(A2599="",0,IF(IFERROR(VLOOKUP(A2599,Skills!$A:$M,13,FALSE()),"")="COS",0,IF(OR(I2599="En cours",I2599="À venir",I2599="À planifier"),IF(AND(OR($C$3="Tous",$C$3="",C2599=$C$3),OR($E$3="Tous",$E$3="",I2599=$E$3)),1,0),0)))</f>
        <v>0</v>
      </c>
      <c r="L2599" s="104" t="n">
        <f aca="false">L2598+K2599</f>
        <v>19</v>
      </c>
    </row>
    <row r="2600" customFormat="false" ht="15" hidden="true" customHeight="true" outlineLevel="0" collapsed="false">
      <c r="F2600" s="116"/>
      <c r="G2600" s="116"/>
      <c r="K2600" s="104" t="n">
        <f aca="false">IF(A2600="",0,IF(IFERROR(VLOOKUP(A2600,Skills!$A:$M,13,FALSE()),"")="COS",0,IF(OR(I2600="En cours",I2600="À venir",I2600="À planifier"),IF(AND(OR($C$3="Tous",$C$3="",C2600=$C$3),OR($E$3="Tous",$E$3="",I2600=$E$3)),1,0),0)))</f>
        <v>0</v>
      </c>
      <c r="L2600" s="104" t="n">
        <f aca="false">L2599+K2600</f>
        <v>19</v>
      </c>
    </row>
    <row r="2601" customFormat="false" ht="15" hidden="true" customHeight="true" outlineLevel="0" collapsed="false">
      <c r="F2601" s="116"/>
      <c r="G2601" s="116"/>
      <c r="K2601" s="104" t="n">
        <f aca="false">IF(A2601="",0,IF(IFERROR(VLOOKUP(A2601,Skills!$A:$M,13,FALSE()),"")="COS",0,IF(OR(I2601="En cours",I2601="À venir",I2601="À planifier"),IF(AND(OR($C$3="Tous",$C$3="",C2601=$C$3),OR($E$3="Tous",$E$3="",I2601=$E$3)),1,0),0)))</f>
        <v>0</v>
      </c>
      <c r="L2601" s="104" t="n">
        <f aca="false">L2600+K2601</f>
        <v>19</v>
      </c>
    </row>
    <row r="2602" customFormat="false" ht="15" hidden="true" customHeight="true" outlineLevel="0" collapsed="false">
      <c r="F2602" s="116"/>
      <c r="G2602" s="116"/>
      <c r="K2602" s="104" t="n">
        <f aca="false">IF(A2602="",0,IF(IFERROR(VLOOKUP(A2602,Skills!$A:$M,13,FALSE()),"")="COS",0,IF(OR(I2602="En cours",I2602="À venir",I2602="À planifier"),IF(AND(OR($C$3="Tous",$C$3="",C2602=$C$3),OR($E$3="Tous",$E$3="",I2602=$E$3)),1,0),0)))</f>
        <v>0</v>
      </c>
      <c r="L2602" s="104" t="n">
        <f aca="false">L2601+K2602</f>
        <v>19</v>
      </c>
    </row>
    <row r="2603" customFormat="false" ht="15" hidden="true" customHeight="true" outlineLevel="0" collapsed="false">
      <c r="F2603" s="116"/>
      <c r="G2603" s="116"/>
      <c r="K2603" s="104" t="n">
        <f aca="false">IF(A2603="",0,IF(IFERROR(VLOOKUP(A2603,Skills!$A:$M,13,FALSE()),"")="COS",0,IF(OR(I2603="En cours",I2603="À venir",I2603="À planifier"),IF(AND(OR($C$3="Tous",$C$3="",C2603=$C$3),OR($E$3="Tous",$E$3="",I2603=$E$3)),1,0),0)))</f>
        <v>0</v>
      </c>
      <c r="L2603" s="104" t="n">
        <f aca="false">L2602+K2603</f>
        <v>19</v>
      </c>
    </row>
    <row r="2604" customFormat="false" ht="15" hidden="true" customHeight="true" outlineLevel="0" collapsed="false">
      <c r="F2604" s="116"/>
      <c r="G2604" s="116"/>
      <c r="K2604" s="104" t="n">
        <f aca="false">IF(A2604="",0,IF(IFERROR(VLOOKUP(A2604,Skills!$A:$M,13,FALSE()),"")="COS",0,IF(OR(I2604="En cours",I2604="À venir",I2604="À planifier"),IF(AND(OR($C$3="Tous",$C$3="",C2604=$C$3),OR($E$3="Tous",$E$3="",I2604=$E$3)),1,0),0)))</f>
        <v>0</v>
      </c>
      <c r="L2604" s="104" t="n">
        <f aca="false">L2603+K2604</f>
        <v>19</v>
      </c>
    </row>
    <row r="2605" customFormat="false" ht="15" hidden="true" customHeight="true" outlineLevel="0" collapsed="false">
      <c r="F2605" s="116"/>
      <c r="G2605" s="116"/>
      <c r="K2605" s="104" t="n">
        <f aca="false">IF(A2605="",0,IF(IFERROR(VLOOKUP(A2605,Skills!$A:$M,13,FALSE()),"")="COS",0,IF(OR(I2605="En cours",I2605="À venir",I2605="À planifier"),IF(AND(OR($C$3="Tous",$C$3="",C2605=$C$3),OR($E$3="Tous",$E$3="",I2605=$E$3)),1,0),0)))</f>
        <v>0</v>
      </c>
      <c r="L2605" s="104" t="n">
        <f aca="false">L2604+K2605</f>
        <v>19</v>
      </c>
    </row>
    <row r="2606" customFormat="false" ht="15" hidden="true" customHeight="true" outlineLevel="0" collapsed="false">
      <c r="F2606" s="116"/>
      <c r="G2606" s="116"/>
      <c r="K2606" s="104" t="n">
        <f aca="false">IF(A2606="",0,IF(IFERROR(VLOOKUP(A2606,Skills!$A:$M,13,FALSE()),"")="COS",0,IF(OR(I2606="En cours",I2606="À venir",I2606="À planifier"),IF(AND(OR($C$3="Tous",$C$3="",C2606=$C$3),OR($E$3="Tous",$E$3="",I2606=$E$3)),1,0),0)))</f>
        <v>0</v>
      </c>
      <c r="L2606" s="104" t="n">
        <f aca="false">L2605+K2606</f>
        <v>19</v>
      </c>
    </row>
    <row r="2607" customFormat="false" ht="15" hidden="true" customHeight="true" outlineLevel="0" collapsed="false">
      <c r="F2607" s="116"/>
      <c r="G2607" s="116"/>
      <c r="K2607" s="104" t="n">
        <f aca="false">IF(A2607="",0,IF(IFERROR(VLOOKUP(A2607,Skills!$A:$M,13,FALSE()),"")="COS",0,IF(OR(I2607="En cours",I2607="À venir",I2607="À planifier"),IF(AND(OR($C$3="Tous",$C$3="",C2607=$C$3),OR($E$3="Tous",$E$3="",I2607=$E$3)),1,0),0)))</f>
        <v>0</v>
      </c>
      <c r="L2607" s="104" t="n">
        <f aca="false">L2606+K2607</f>
        <v>19</v>
      </c>
    </row>
    <row r="2608" customFormat="false" ht="15" hidden="true" customHeight="true" outlineLevel="0" collapsed="false">
      <c r="F2608" s="116"/>
      <c r="G2608" s="116"/>
      <c r="K2608" s="104" t="n">
        <f aca="false">IF(A2608="",0,IF(IFERROR(VLOOKUP(A2608,Skills!$A:$M,13,FALSE()),"")="COS",0,IF(OR(I2608="En cours",I2608="À venir",I2608="À planifier"),IF(AND(OR($C$3="Tous",$C$3="",C2608=$C$3),OR($E$3="Tous",$E$3="",I2608=$E$3)),1,0),0)))</f>
        <v>0</v>
      </c>
      <c r="L2608" s="104" t="n">
        <f aca="false">L2607+K2608</f>
        <v>19</v>
      </c>
    </row>
    <row r="2609" customFormat="false" ht="15" hidden="true" customHeight="true" outlineLevel="0" collapsed="false">
      <c r="F2609" s="116"/>
      <c r="G2609" s="116"/>
      <c r="K2609" s="104" t="n">
        <f aca="false">IF(A2609="",0,IF(IFERROR(VLOOKUP(A2609,Skills!$A:$M,13,FALSE()),"")="COS",0,IF(OR(I2609="En cours",I2609="À venir",I2609="À planifier"),IF(AND(OR($C$3="Tous",$C$3="",C2609=$C$3),OR($E$3="Tous",$E$3="",I2609=$E$3)),1,0),0)))</f>
        <v>0</v>
      </c>
      <c r="L2609" s="104" t="n">
        <f aca="false">L2608+K2609</f>
        <v>19</v>
      </c>
    </row>
    <row r="2610" customFormat="false" ht="15" hidden="true" customHeight="true" outlineLevel="0" collapsed="false">
      <c r="F2610" s="116"/>
      <c r="G2610" s="116"/>
      <c r="K2610" s="104" t="n">
        <f aca="false">IF(A2610="",0,IF(IFERROR(VLOOKUP(A2610,Skills!$A:$M,13,FALSE()),"")="COS",0,IF(OR(I2610="En cours",I2610="À venir",I2610="À planifier"),IF(AND(OR($C$3="Tous",$C$3="",C2610=$C$3),OR($E$3="Tous",$E$3="",I2610=$E$3)),1,0),0)))</f>
        <v>0</v>
      </c>
      <c r="L2610" s="104" t="n">
        <f aca="false">L2609+K2610</f>
        <v>19</v>
      </c>
    </row>
    <row r="2611" customFormat="false" ht="15" hidden="true" customHeight="true" outlineLevel="0" collapsed="false">
      <c r="F2611" s="116"/>
      <c r="G2611" s="116"/>
      <c r="K2611" s="104" t="n">
        <f aca="false">IF(A2611="",0,IF(IFERROR(VLOOKUP(A2611,Skills!$A:$M,13,FALSE()),"")="COS",0,IF(OR(I2611="En cours",I2611="À venir",I2611="À planifier"),IF(AND(OR($C$3="Tous",$C$3="",C2611=$C$3),OR($E$3="Tous",$E$3="",I2611=$E$3)),1,0),0)))</f>
        <v>0</v>
      </c>
      <c r="L2611" s="104" t="n">
        <f aca="false">L2610+K2611</f>
        <v>19</v>
      </c>
    </row>
    <row r="2612" customFormat="false" ht="15" hidden="true" customHeight="true" outlineLevel="0" collapsed="false">
      <c r="F2612" s="116"/>
      <c r="G2612" s="116"/>
      <c r="K2612" s="104" t="n">
        <f aca="false">IF(A2612="",0,IF(IFERROR(VLOOKUP(A2612,Skills!$A:$M,13,FALSE()),"")="COS",0,IF(OR(I2612="En cours",I2612="À venir",I2612="À planifier"),IF(AND(OR($C$3="Tous",$C$3="",C2612=$C$3),OR($E$3="Tous",$E$3="",I2612=$E$3)),1,0),0)))</f>
        <v>0</v>
      </c>
      <c r="L2612" s="104" t="n">
        <f aca="false">L2611+K2612</f>
        <v>19</v>
      </c>
    </row>
    <row r="2613" customFormat="false" ht="15" hidden="true" customHeight="true" outlineLevel="0" collapsed="false">
      <c r="F2613" s="116"/>
      <c r="G2613" s="116"/>
      <c r="K2613" s="104" t="n">
        <f aca="false">IF(A2613="",0,IF(IFERROR(VLOOKUP(A2613,Skills!$A:$M,13,FALSE()),"")="COS",0,IF(OR(I2613="En cours",I2613="À venir",I2613="À planifier"),IF(AND(OR($C$3="Tous",$C$3="",C2613=$C$3),OR($E$3="Tous",$E$3="",I2613=$E$3)),1,0),0)))</f>
        <v>0</v>
      </c>
      <c r="L2613" s="104" t="n">
        <f aca="false">L2612+K2613</f>
        <v>19</v>
      </c>
    </row>
    <row r="2614" customFormat="false" ht="15" hidden="true" customHeight="true" outlineLevel="0" collapsed="false">
      <c r="F2614" s="116"/>
      <c r="G2614" s="116"/>
      <c r="K2614" s="104" t="n">
        <f aca="false">IF(A2614="",0,IF(IFERROR(VLOOKUP(A2614,Skills!$A:$M,13,FALSE()),"")="COS",0,IF(OR(I2614="En cours",I2614="À venir",I2614="À planifier"),IF(AND(OR($C$3="Tous",$C$3="",C2614=$C$3),OR($E$3="Tous",$E$3="",I2614=$E$3)),1,0),0)))</f>
        <v>0</v>
      </c>
      <c r="L2614" s="104" t="n">
        <f aca="false">L2613+K2614</f>
        <v>19</v>
      </c>
    </row>
    <row r="2615" customFormat="false" ht="15" hidden="true" customHeight="true" outlineLevel="0" collapsed="false">
      <c r="F2615" s="116"/>
      <c r="G2615" s="116"/>
      <c r="K2615" s="104" t="n">
        <f aca="false">IF(A2615="",0,IF(IFERROR(VLOOKUP(A2615,Skills!$A:$M,13,FALSE()),"")="COS",0,IF(OR(I2615="En cours",I2615="À venir",I2615="À planifier"),IF(AND(OR($C$3="Tous",$C$3="",C2615=$C$3),OR($E$3="Tous",$E$3="",I2615=$E$3)),1,0),0)))</f>
        <v>0</v>
      </c>
      <c r="L2615" s="104" t="n">
        <f aca="false">L2614+K2615</f>
        <v>19</v>
      </c>
    </row>
    <row r="2616" customFormat="false" ht="15" hidden="true" customHeight="true" outlineLevel="0" collapsed="false">
      <c r="F2616" s="116"/>
      <c r="G2616" s="116"/>
      <c r="K2616" s="104" t="n">
        <f aca="false">IF(A2616="",0,IF(IFERROR(VLOOKUP(A2616,Skills!$A:$M,13,FALSE()),"")="COS",0,IF(OR(I2616="En cours",I2616="À venir",I2616="À planifier"),IF(AND(OR($C$3="Tous",$C$3="",C2616=$C$3),OR($E$3="Tous",$E$3="",I2616=$E$3)),1,0),0)))</f>
        <v>0</v>
      </c>
      <c r="L2616" s="104" t="n">
        <f aca="false">L2615+K2616</f>
        <v>19</v>
      </c>
    </row>
    <row r="2617" customFormat="false" ht="15" hidden="true" customHeight="true" outlineLevel="0" collapsed="false">
      <c r="F2617" s="116"/>
      <c r="G2617" s="116"/>
      <c r="K2617" s="104" t="n">
        <f aca="false">IF(A2617="",0,IF(IFERROR(VLOOKUP(A2617,Skills!$A:$M,13,FALSE()),"")="COS",0,IF(OR(I2617="En cours",I2617="À venir",I2617="À planifier"),IF(AND(OR($C$3="Tous",$C$3="",C2617=$C$3),OR($E$3="Tous",$E$3="",I2617=$E$3)),1,0),0)))</f>
        <v>0</v>
      </c>
      <c r="L2617" s="104" t="n">
        <f aca="false">L2616+K2617</f>
        <v>19</v>
      </c>
    </row>
    <row r="2618" customFormat="false" ht="15" hidden="true" customHeight="true" outlineLevel="0" collapsed="false">
      <c r="F2618" s="116"/>
      <c r="G2618" s="116"/>
      <c r="K2618" s="104" t="n">
        <f aca="false">IF(A2618="",0,IF(IFERROR(VLOOKUP(A2618,Skills!$A:$M,13,FALSE()),"")="COS",0,IF(OR(I2618="En cours",I2618="À venir",I2618="À planifier"),IF(AND(OR($C$3="Tous",$C$3="",C2618=$C$3),OR($E$3="Tous",$E$3="",I2618=$E$3)),1,0),0)))</f>
        <v>0</v>
      </c>
      <c r="L2618" s="104" t="n">
        <f aca="false">L2617+K2618</f>
        <v>19</v>
      </c>
    </row>
    <row r="2619" customFormat="false" ht="15" hidden="true" customHeight="true" outlineLevel="0" collapsed="false">
      <c r="F2619" s="116"/>
      <c r="G2619" s="116"/>
      <c r="K2619" s="104" t="n">
        <f aca="false">IF(A2619="",0,IF(IFERROR(VLOOKUP(A2619,Skills!$A:$M,13,FALSE()),"")="COS",0,IF(OR(I2619="En cours",I2619="À venir",I2619="À planifier"),IF(AND(OR($C$3="Tous",$C$3="",C2619=$C$3),OR($E$3="Tous",$E$3="",I2619=$E$3)),1,0),0)))</f>
        <v>0</v>
      </c>
      <c r="L2619" s="104" t="n">
        <f aca="false">L2618+K2619</f>
        <v>19</v>
      </c>
    </row>
    <row r="2620" customFormat="false" ht="15" hidden="true" customHeight="true" outlineLevel="0" collapsed="false">
      <c r="F2620" s="116"/>
      <c r="G2620" s="116"/>
      <c r="K2620" s="104" t="n">
        <f aca="false">IF(A2620="",0,IF(IFERROR(VLOOKUP(A2620,Skills!$A:$M,13,FALSE()),"")="COS",0,IF(OR(I2620="En cours",I2620="À venir",I2620="À planifier"),IF(AND(OR($C$3="Tous",$C$3="",C2620=$C$3),OR($E$3="Tous",$E$3="",I2620=$E$3)),1,0),0)))</f>
        <v>0</v>
      </c>
      <c r="L2620" s="104" t="n">
        <f aca="false">L2619+K2620</f>
        <v>19</v>
      </c>
    </row>
    <row r="2621" customFormat="false" ht="15" hidden="true" customHeight="true" outlineLevel="0" collapsed="false">
      <c r="F2621" s="116"/>
      <c r="G2621" s="116"/>
      <c r="K2621" s="104" t="n">
        <f aca="false">IF(A2621="",0,IF(IFERROR(VLOOKUP(A2621,Skills!$A:$M,13,FALSE()),"")="COS",0,IF(OR(I2621="En cours",I2621="À venir",I2621="À planifier"),IF(AND(OR($C$3="Tous",$C$3="",C2621=$C$3),OR($E$3="Tous",$E$3="",I2621=$E$3)),1,0),0)))</f>
        <v>0</v>
      </c>
      <c r="L2621" s="104" t="n">
        <f aca="false">L2620+K2621</f>
        <v>19</v>
      </c>
    </row>
    <row r="2622" customFormat="false" ht="15" hidden="true" customHeight="true" outlineLevel="0" collapsed="false">
      <c r="F2622" s="116"/>
      <c r="G2622" s="116"/>
      <c r="K2622" s="104" t="n">
        <f aca="false">IF(A2622="",0,IF(IFERROR(VLOOKUP(A2622,Skills!$A:$M,13,FALSE()),"")="COS",0,IF(OR(I2622="En cours",I2622="À venir",I2622="À planifier"),IF(AND(OR($C$3="Tous",$C$3="",C2622=$C$3),OR($E$3="Tous",$E$3="",I2622=$E$3)),1,0),0)))</f>
        <v>0</v>
      </c>
      <c r="L2622" s="104" t="n">
        <f aca="false">L2621+K2622</f>
        <v>19</v>
      </c>
    </row>
    <row r="2623" customFormat="false" ht="15" hidden="true" customHeight="true" outlineLevel="0" collapsed="false">
      <c r="F2623" s="116"/>
      <c r="G2623" s="116"/>
      <c r="K2623" s="104" t="n">
        <f aca="false">IF(A2623="",0,IF(IFERROR(VLOOKUP(A2623,Skills!$A:$M,13,FALSE()),"")="COS",0,IF(OR(I2623="En cours",I2623="À venir",I2623="À planifier"),IF(AND(OR($C$3="Tous",$C$3="",C2623=$C$3),OR($E$3="Tous",$E$3="",I2623=$E$3)),1,0),0)))</f>
        <v>0</v>
      </c>
      <c r="L2623" s="104" t="n">
        <f aca="false">L2622+K2623</f>
        <v>19</v>
      </c>
    </row>
    <row r="2624" customFormat="false" ht="15" hidden="true" customHeight="true" outlineLevel="0" collapsed="false">
      <c r="F2624" s="116"/>
      <c r="G2624" s="116"/>
      <c r="K2624" s="104" t="n">
        <f aca="false">IF(A2624="",0,IF(IFERROR(VLOOKUP(A2624,Skills!$A:$M,13,FALSE()),"")="COS",0,IF(OR(I2624="En cours",I2624="À venir",I2624="À planifier"),IF(AND(OR($C$3="Tous",$C$3="",C2624=$C$3),OR($E$3="Tous",$E$3="",I2624=$E$3)),1,0),0)))</f>
        <v>0</v>
      </c>
      <c r="L2624" s="104" t="n">
        <f aca="false">L2623+K2624</f>
        <v>19</v>
      </c>
    </row>
    <row r="2625" customFormat="false" ht="15" hidden="true" customHeight="true" outlineLevel="0" collapsed="false">
      <c r="F2625" s="116"/>
      <c r="G2625" s="116"/>
      <c r="K2625" s="104" t="n">
        <f aca="false">IF(A2625="",0,IF(IFERROR(VLOOKUP(A2625,Skills!$A:$M,13,FALSE()),"")="COS",0,IF(OR(I2625="En cours",I2625="À venir",I2625="À planifier"),IF(AND(OR($C$3="Tous",$C$3="",C2625=$C$3),OR($E$3="Tous",$E$3="",I2625=$E$3)),1,0),0)))</f>
        <v>0</v>
      </c>
      <c r="L2625" s="104" t="n">
        <f aca="false">L2624+K2625</f>
        <v>19</v>
      </c>
    </row>
    <row r="2626" customFormat="false" ht="15" hidden="true" customHeight="true" outlineLevel="0" collapsed="false">
      <c r="F2626" s="116"/>
      <c r="G2626" s="116"/>
      <c r="K2626" s="104" t="n">
        <f aca="false">IF(A2626="",0,IF(IFERROR(VLOOKUP(A2626,Skills!$A:$M,13,FALSE()),"")="COS",0,IF(OR(I2626="En cours",I2626="À venir",I2626="À planifier"),IF(AND(OR($C$3="Tous",$C$3="",C2626=$C$3),OR($E$3="Tous",$E$3="",I2626=$E$3)),1,0),0)))</f>
        <v>0</v>
      </c>
      <c r="L2626" s="104" t="n">
        <f aca="false">L2625+K2626</f>
        <v>19</v>
      </c>
    </row>
    <row r="2627" customFormat="false" ht="15" hidden="true" customHeight="true" outlineLevel="0" collapsed="false">
      <c r="F2627" s="116"/>
      <c r="G2627" s="116"/>
      <c r="K2627" s="104" t="n">
        <f aca="false">IF(A2627="",0,IF(IFERROR(VLOOKUP(A2627,Skills!$A:$M,13,FALSE()),"")="COS",0,IF(OR(I2627="En cours",I2627="À venir",I2627="À planifier"),IF(AND(OR($C$3="Tous",$C$3="",C2627=$C$3),OR($E$3="Tous",$E$3="",I2627=$E$3)),1,0),0)))</f>
        <v>0</v>
      </c>
      <c r="L2627" s="104" t="n">
        <f aca="false">L2626+K2627</f>
        <v>19</v>
      </c>
    </row>
    <row r="2628" customFormat="false" ht="15" hidden="true" customHeight="true" outlineLevel="0" collapsed="false">
      <c r="F2628" s="116"/>
      <c r="G2628" s="116"/>
      <c r="K2628" s="104" t="n">
        <f aca="false">IF(A2628="",0,IF(IFERROR(VLOOKUP(A2628,Skills!$A:$M,13,FALSE()),"")="COS",0,IF(OR(I2628="En cours",I2628="À venir",I2628="À planifier"),IF(AND(OR($C$3="Tous",$C$3="",C2628=$C$3),OR($E$3="Tous",$E$3="",I2628=$E$3)),1,0),0)))</f>
        <v>0</v>
      </c>
      <c r="L2628" s="104" t="n">
        <f aca="false">L2627+K2628</f>
        <v>19</v>
      </c>
    </row>
    <row r="2629" customFormat="false" ht="15" hidden="true" customHeight="true" outlineLevel="0" collapsed="false">
      <c r="F2629" s="116"/>
      <c r="G2629" s="116"/>
      <c r="K2629" s="104" t="n">
        <f aca="false">IF(A2629="",0,IF(IFERROR(VLOOKUP(A2629,Skills!$A:$M,13,FALSE()),"")="COS",0,IF(OR(I2629="En cours",I2629="À venir",I2629="À planifier"),IF(AND(OR($C$3="Tous",$C$3="",C2629=$C$3),OR($E$3="Tous",$E$3="",I2629=$E$3)),1,0),0)))</f>
        <v>0</v>
      </c>
      <c r="L2629" s="104" t="n">
        <f aca="false">L2628+K2629</f>
        <v>19</v>
      </c>
    </row>
    <row r="2630" customFormat="false" ht="15" hidden="true" customHeight="true" outlineLevel="0" collapsed="false">
      <c r="F2630" s="116"/>
      <c r="G2630" s="116"/>
      <c r="K2630" s="104" t="n">
        <f aca="false">IF(A2630="",0,IF(IFERROR(VLOOKUP(A2630,Skills!$A:$M,13,FALSE()),"")="COS",0,IF(OR(I2630="En cours",I2630="À venir",I2630="À planifier"),IF(AND(OR($C$3="Tous",$C$3="",C2630=$C$3),OR($E$3="Tous",$E$3="",I2630=$E$3)),1,0),0)))</f>
        <v>0</v>
      </c>
      <c r="L2630" s="104" t="n">
        <f aca="false">L2629+K2630</f>
        <v>19</v>
      </c>
    </row>
    <row r="2631" customFormat="false" ht="15" hidden="true" customHeight="true" outlineLevel="0" collapsed="false">
      <c r="F2631" s="116"/>
      <c r="G2631" s="116"/>
      <c r="K2631" s="104" t="n">
        <f aca="false">IF(A2631="",0,IF(IFERROR(VLOOKUP(A2631,Skills!$A:$M,13,FALSE()),"")="COS",0,IF(OR(I2631="En cours",I2631="À venir",I2631="À planifier"),IF(AND(OR($C$3="Tous",$C$3="",C2631=$C$3),OR($E$3="Tous",$E$3="",I2631=$E$3)),1,0),0)))</f>
        <v>0</v>
      </c>
      <c r="L2631" s="104" t="n">
        <f aca="false">L2630+K2631</f>
        <v>19</v>
      </c>
    </row>
    <row r="2632" customFormat="false" ht="15" hidden="true" customHeight="true" outlineLevel="0" collapsed="false">
      <c r="F2632" s="116"/>
      <c r="G2632" s="116"/>
      <c r="K2632" s="104" t="n">
        <f aca="false">IF(A2632="",0,IF(IFERROR(VLOOKUP(A2632,Skills!$A:$M,13,FALSE()),"")="COS",0,IF(OR(I2632="En cours",I2632="À venir",I2632="À planifier"),IF(AND(OR($C$3="Tous",$C$3="",C2632=$C$3),OR($E$3="Tous",$E$3="",I2632=$E$3)),1,0),0)))</f>
        <v>0</v>
      </c>
      <c r="L2632" s="104" t="n">
        <f aca="false">L2631+K2632</f>
        <v>19</v>
      </c>
    </row>
    <row r="2633" customFormat="false" ht="15" hidden="true" customHeight="true" outlineLevel="0" collapsed="false">
      <c r="F2633" s="116"/>
      <c r="G2633" s="116"/>
      <c r="K2633" s="104" t="n">
        <f aca="false">IF(A2633="",0,IF(IFERROR(VLOOKUP(A2633,Skills!$A:$M,13,FALSE()),"")="COS",0,IF(OR(I2633="En cours",I2633="À venir",I2633="À planifier"),IF(AND(OR($C$3="Tous",$C$3="",C2633=$C$3),OR($E$3="Tous",$E$3="",I2633=$E$3)),1,0),0)))</f>
        <v>0</v>
      </c>
      <c r="L2633" s="104" t="n">
        <f aca="false">L2632+K2633</f>
        <v>19</v>
      </c>
    </row>
    <row r="2634" customFormat="false" ht="15" hidden="true" customHeight="true" outlineLevel="0" collapsed="false">
      <c r="F2634" s="116"/>
      <c r="G2634" s="116"/>
      <c r="K2634" s="104" t="n">
        <f aca="false">IF(A2634="",0,IF(IFERROR(VLOOKUP(A2634,Skills!$A:$M,13,FALSE()),"")="COS",0,IF(OR(I2634="En cours",I2634="À venir",I2634="À planifier"),IF(AND(OR($C$3="Tous",$C$3="",C2634=$C$3),OR($E$3="Tous",$E$3="",I2634=$E$3)),1,0),0)))</f>
        <v>0</v>
      </c>
      <c r="L2634" s="104" t="n">
        <f aca="false">L2633+K2634</f>
        <v>19</v>
      </c>
    </row>
    <row r="2635" customFormat="false" ht="15" hidden="true" customHeight="true" outlineLevel="0" collapsed="false">
      <c r="F2635" s="116"/>
      <c r="G2635" s="116"/>
      <c r="K2635" s="104" t="n">
        <f aca="false">IF(A2635="",0,IF(IFERROR(VLOOKUP(A2635,Skills!$A:$M,13,FALSE()),"")="COS",0,IF(OR(I2635="En cours",I2635="À venir",I2635="À planifier"),IF(AND(OR($C$3="Tous",$C$3="",C2635=$C$3),OR($E$3="Tous",$E$3="",I2635=$E$3)),1,0),0)))</f>
        <v>0</v>
      </c>
      <c r="L2635" s="104" t="n">
        <f aca="false">L2634+K2635</f>
        <v>19</v>
      </c>
    </row>
    <row r="2636" customFormat="false" ht="15" hidden="true" customHeight="true" outlineLevel="0" collapsed="false">
      <c r="F2636" s="116"/>
      <c r="G2636" s="116"/>
      <c r="K2636" s="104" t="n">
        <f aca="false">IF(A2636="",0,IF(IFERROR(VLOOKUP(A2636,Skills!$A:$M,13,FALSE()),"")="COS",0,IF(OR(I2636="En cours",I2636="À venir",I2636="À planifier"),IF(AND(OR($C$3="Tous",$C$3="",C2636=$C$3),OR($E$3="Tous",$E$3="",I2636=$E$3)),1,0),0)))</f>
        <v>0</v>
      </c>
      <c r="L2636" s="104" t="n">
        <f aca="false">L2635+K2636</f>
        <v>19</v>
      </c>
    </row>
    <row r="2637" customFormat="false" ht="15" hidden="true" customHeight="true" outlineLevel="0" collapsed="false">
      <c r="F2637" s="116"/>
      <c r="G2637" s="116"/>
      <c r="K2637" s="104" t="n">
        <f aca="false">IF(A2637="",0,IF(IFERROR(VLOOKUP(A2637,Skills!$A:$M,13,FALSE()),"")="COS",0,IF(OR(I2637="En cours",I2637="À venir",I2637="À planifier"),IF(AND(OR($C$3="Tous",$C$3="",C2637=$C$3),OR($E$3="Tous",$E$3="",I2637=$E$3)),1,0),0)))</f>
        <v>0</v>
      </c>
      <c r="L2637" s="104" t="n">
        <f aca="false">L2636+K2637</f>
        <v>19</v>
      </c>
    </row>
    <row r="2638" customFormat="false" ht="15" hidden="true" customHeight="true" outlineLevel="0" collapsed="false">
      <c r="F2638" s="116"/>
      <c r="G2638" s="116"/>
      <c r="K2638" s="104" t="n">
        <f aca="false">IF(A2638="",0,IF(IFERROR(VLOOKUP(A2638,Skills!$A:$M,13,FALSE()),"")="COS",0,IF(OR(I2638="En cours",I2638="À venir",I2638="À planifier"),IF(AND(OR($C$3="Tous",$C$3="",C2638=$C$3),OR($E$3="Tous",$E$3="",I2638=$E$3)),1,0),0)))</f>
        <v>0</v>
      </c>
      <c r="L2638" s="104" t="n">
        <f aca="false">L2637+K2638</f>
        <v>19</v>
      </c>
    </row>
    <row r="2639" customFormat="false" ht="15" hidden="true" customHeight="true" outlineLevel="0" collapsed="false">
      <c r="F2639" s="116"/>
      <c r="G2639" s="116"/>
      <c r="K2639" s="104" t="n">
        <f aca="false">IF(A2639="",0,IF(IFERROR(VLOOKUP(A2639,Skills!$A:$M,13,FALSE()),"")="COS",0,IF(OR(I2639="En cours",I2639="À venir",I2639="À planifier"),IF(AND(OR($C$3="Tous",$C$3="",C2639=$C$3),OR($E$3="Tous",$E$3="",I2639=$E$3)),1,0),0)))</f>
        <v>0</v>
      </c>
      <c r="L2639" s="104" t="n">
        <f aca="false">L2638+K2639</f>
        <v>19</v>
      </c>
    </row>
    <row r="2640" customFormat="false" ht="15" hidden="true" customHeight="true" outlineLevel="0" collapsed="false">
      <c r="F2640" s="116"/>
      <c r="G2640" s="116"/>
      <c r="K2640" s="104" t="n">
        <f aca="false">IF(A2640="",0,IF(IFERROR(VLOOKUP(A2640,Skills!$A:$M,13,FALSE()),"")="COS",0,IF(OR(I2640="En cours",I2640="À venir",I2640="À planifier"),IF(AND(OR($C$3="Tous",$C$3="",C2640=$C$3),OR($E$3="Tous",$E$3="",I2640=$E$3)),1,0),0)))</f>
        <v>0</v>
      </c>
      <c r="L2640" s="104" t="n">
        <f aca="false">L2639+K2640</f>
        <v>19</v>
      </c>
    </row>
    <row r="2641" customFormat="false" ht="15" hidden="true" customHeight="true" outlineLevel="0" collapsed="false">
      <c r="F2641" s="116"/>
      <c r="G2641" s="116"/>
      <c r="K2641" s="104" t="n">
        <f aca="false">IF(A2641="",0,IF(IFERROR(VLOOKUP(A2641,Skills!$A:$M,13,FALSE()),"")="COS",0,IF(OR(I2641="En cours",I2641="À venir",I2641="À planifier"),IF(AND(OR($C$3="Tous",$C$3="",C2641=$C$3),OR($E$3="Tous",$E$3="",I2641=$E$3)),1,0),0)))</f>
        <v>0</v>
      </c>
      <c r="L2641" s="104" t="n">
        <f aca="false">L2640+K2641</f>
        <v>19</v>
      </c>
    </row>
    <row r="2642" customFormat="false" ht="15" hidden="true" customHeight="true" outlineLevel="0" collapsed="false">
      <c r="F2642" s="116"/>
      <c r="G2642" s="116"/>
      <c r="K2642" s="104" t="n">
        <f aca="false">IF(A2642="",0,IF(IFERROR(VLOOKUP(A2642,Skills!$A:$M,13,FALSE()),"")="COS",0,IF(OR(I2642="En cours",I2642="À venir",I2642="À planifier"),IF(AND(OR($C$3="Tous",$C$3="",C2642=$C$3),OR($E$3="Tous",$E$3="",I2642=$E$3)),1,0),0)))</f>
        <v>0</v>
      </c>
      <c r="L2642" s="104" t="n">
        <f aca="false">L2641+K2642</f>
        <v>19</v>
      </c>
    </row>
    <row r="2643" customFormat="false" ht="15" hidden="true" customHeight="true" outlineLevel="0" collapsed="false">
      <c r="F2643" s="116"/>
      <c r="G2643" s="116"/>
      <c r="K2643" s="104" t="n">
        <f aca="false">IF(A2643="",0,IF(IFERROR(VLOOKUP(A2643,Skills!$A:$M,13,FALSE()),"")="COS",0,IF(OR(I2643="En cours",I2643="À venir",I2643="À planifier"),IF(AND(OR($C$3="Tous",$C$3="",C2643=$C$3),OR($E$3="Tous",$E$3="",I2643=$E$3)),1,0),0)))</f>
        <v>0</v>
      </c>
      <c r="L2643" s="104" t="n">
        <f aca="false">L2642+K2643</f>
        <v>19</v>
      </c>
    </row>
    <row r="2644" customFormat="false" ht="15" hidden="true" customHeight="true" outlineLevel="0" collapsed="false">
      <c r="F2644" s="116"/>
      <c r="G2644" s="116"/>
      <c r="K2644" s="104" t="n">
        <f aca="false">IF(A2644="",0,IF(IFERROR(VLOOKUP(A2644,Skills!$A:$M,13,FALSE()),"")="COS",0,IF(OR(I2644="En cours",I2644="À venir",I2644="À planifier"),IF(AND(OR($C$3="Tous",$C$3="",C2644=$C$3),OR($E$3="Tous",$E$3="",I2644=$E$3)),1,0),0)))</f>
        <v>0</v>
      </c>
      <c r="L2644" s="104" t="n">
        <f aca="false">L2643+K2644</f>
        <v>19</v>
      </c>
    </row>
    <row r="2645" customFormat="false" ht="15" hidden="true" customHeight="true" outlineLevel="0" collapsed="false">
      <c r="F2645" s="116"/>
      <c r="G2645" s="116"/>
      <c r="K2645" s="104" t="n">
        <f aca="false">IF(A2645="",0,IF(IFERROR(VLOOKUP(A2645,Skills!$A:$M,13,FALSE()),"")="COS",0,IF(OR(I2645="En cours",I2645="À venir",I2645="À planifier"),IF(AND(OR($C$3="Tous",$C$3="",C2645=$C$3),OR($E$3="Tous",$E$3="",I2645=$E$3)),1,0),0)))</f>
        <v>0</v>
      </c>
      <c r="L2645" s="104" t="n">
        <f aca="false">L2644+K2645</f>
        <v>19</v>
      </c>
    </row>
    <row r="2646" customFormat="false" ht="15" hidden="true" customHeight="true" outlineLevel="0" collapsed="false">
      <c r="F2646" s="116"/>
      <c r="G2646" s="116"/>
      <c r="K2646" s="104" t="n">
        <f aca="false">IF(A2646="",0,IF(IFERROR(VLOOKUP(A2646,Skills!$A:$M,13,FALSE()),"")="COS",0,IF(OR(I2646="En cours",I2646="À venir",I2646="À planifier"),IF(AND(OR($C$3="Tous",$C$3="",C2646=$C$3),OR($E$3="Tous",$E$3="",I2646=$E$3)),1,0),0)))</f>
        <v>0</v>
      </c>
      <c r="L2646" s="104" t="n">
        <f aca="false">L2645+K2646</f>
        <v>19</v>
      </c>
    </row>
    <row r="2647" customFormat="false" ht="15" hidden="true" customHeight="true" outlineLevel="0" collapsed="false">
      <c r="F2647" s="116"/>
      <c r="G2647" s="116"/>
      <c r="K2647" s="104" t="n">
        <f aca="false">IF(A2647="",0,IF(IFERROR(VLOOKUP(A2647,Skills!$A:$M,13,FALSE()),"")="COS",0,IF(OR(I2647="En cours",I2647="À venir",I2647="À planifier"),IF(AND(OR($C$3="Tous",$C$3="",C2647=$C$3),OR($E$3="Tous",$E$3="",I2647=$E$3)),1,0),0)))</f>
        <v>0</v>
      </c>
      <c r="L2647" s="104" t="n">
        <f aca="false">L2646+K2647</f>
        <v>19</v>
      </c>
    </row>
    <row r="2648" customFormat="false" ht="15" hidden="true" customHeight="true" outlineLevel="0" collapsed="false">
      <c r="F2648" s="116"/>
      <c r="G2648" s="116"/>
      <c r="K2648" s="104" t="n">
        <f aca="false">IF(A2648="",0,IF(IFERROR(VLOOKUP(A2648,Skills!$A:$M,13,FALSE()),"")="COS",0,IF(OR(I2648="En cours",I2648="À venir",I2648="À planifier"),IF(AND(OR($C$3="Tous",$C$3="",C2648=$C$3),OR($E$3="Tous",$E$3="",I2648=$E$3)),1,0),0)))</f>
        <v>0</v>
      </c>
      <c r="L2648" s="104" t="n">
        <f aca="false">L2647+K2648</f>
        <v>19</v>
      </c>
    </row>
    <row r="2649" customFormat="false" ht="15" hidden="true" customHeight="true" outlineLevel="0" collapsed="false">
      <c r="F2649" s="116"/>
      <c r="G2649" s="116"/>
      <c r="K2649" s="104" t="n">
        <f aca="false">IF(A2649="",0,IF(IFERROR(VLOOKUP(A2649,Skills!$A:$M,13,FALSE()),"")="COS",0,IF(OR(I2649="En cours",I2649="À venir",I2649="À planifier"),IF(AND(OR($C$3="Tous",$C$3="",C2649=$C$3),OR($E$3="Tous",$E$3="",I2649=$E$3)),1,0),0)))</f>
        <v>0</v>
      </c>
      <c r="L2649" s="104" t="n">
        <f aca="false">L2648+K2649</f>
        <v>19</v>
      </c>
    </row>
    <row r="2650" customFormat="false" ht="15" hidden="true" customHeight="true" outlineLevel="0" collapsed="false">
      <c r="F2650" s="116"/>
      <c r="G2650" s="116"/>
      <c r="K2650" s="104" t="n">
        <f aca="false">IF(A2650="",0,IF(IFERROR(VLOOKUP(A2650,Skills!$A:$M,13,FALSE()),"")="COS",0,IF(OR(I2650="En cours",I2650="À venir",I2650="À planifier"),IF(AND(OR($C$3="Tous",$C$3="",C2650=$C$3),OR($E$3="Tous",$E$3="",I2650=$E$3)),1,0),0)))</f>
        <v>0</v>
      </c>
      <c r="L2650" s="104" t="n">
        <f aca="false">L2649+K2650</f>
        <v>19</v>
      </c>
    </row>
    <row r="2651" customFormat="false" ht="15" hidden="true" customHeight="true" outlineLevel="0" collapsed="false">
      <c r="F2651" s="116"/>
      <c r="G2651" s="116"/>
      <c r="K2651" s="104" t="n">
        <f aca="false">IF(A2651="",0,IF(IFERROR(VLOOKUP(A2651,Skills!$A:$M,13,FALSE()),"")="COS",0,IF(OR(I2651="En cours",I2651="À venir",I2651="À planifier"),IF(AND(OR($C$3="Tous",$C$3="",C2651=$C$3),OR($E$3="Tous",$E$3="",I2651=$E$3)),1,0),0)))</f>
        <v>0</v>
      </c>
      <c r="L2651" s="104" t="n">
        <f aca="false">L2650+K2651</f>
        <v>19</v>
      </c>
    </row>
    <row r="2652" customFormat="false" ht="15" hidden="true" customHeight="true" outlineLevel="0" collapsed="false">
      <c r="F2652" s="116"/>
      <c r="G2652" s="116"/>
      <c r="K2652" s="104" t="n">
        <f aca="false">IF(A2652="",0,IF(IFERROR(VLOOKUP(A2652,Skills!$A:$M,13,FALSE()),"")="COS",0,IF(OR(I2652="En cours",I2652="À venir",I2652="À planifier"),IF(AND(OR($C$3="Tous",$C$3="",C2652=$C$3),OR($E$3="Tous",$E$3="",I2652=$E$3)),1,0),0)))</f>
        <v>0</v>
      </c>
      <c r="L2652" s="104" t="n">
        <f aca="false">L2651+K2652</f>
        <v>19</v>
      </c>
    </row>
    <row r="2653" customFormat="false" ht="15" hidden="true" customHeight="true" outlineLevel="0" collapsed="false">
      <c r="F2653" s="116"/>
      <c r="G2653" s="116"/>
      <c r="K2653" s="104" t="n">
        <f aca="false">IF(A2653="",0,IF(IFERROR(VLOOKUP(A2653,Skills!$A:$M,13,FALSE()),"")="COS",0,IF(OR(I2653="En cours",I2653="À venir",I2653="À planifier"),IF(AND(OR($C$3="Tous",$C$3="",C2653=$C$3),OR($E$3="Tous",$E$3="",I2653=$E$3)),1,0),0)))</f>
        <v>0</v>
      </c>
      <c r="L2653" s="104" t="n">
        <f aca="false">L2652+K2653</f>
        <v>19</v>
      </c>
    </row>
    <row r="2654" customFormat="false" ht="15" hidden="true" customHeight="true" outlineLevel="0" collapsed="false">
      <c r="F2654" s="116"/>
      <c r="G2654" s="116"/>
      <c r="K2654" s="104" t="n">
        <f aca="false">IF(A2654="",0,IF(IFERROR(VLOOKUP(A2654,Skills!$A:$M,13,FALSE()),"")="COS",0,IF(OR(I2654="En cours",I2654="À venir",I2654="À planifier"),IF(AND(OR($C$3="Tous",$C$3="",C2654=$C$3),OR($E$3="Tous",$E$3="",I2654=$E$3)),1,0),0)))</f>
        <v>0</v>
      </c>
      <c r="L2654" s="104" t="n">
        <f aca="false">L2653+K2654</f>
        <v>19</v>
      </c>
    </row>
    <row r="2655" customFormat="false" ht="15" hidden="true" customHeight="true" outlineLevel="0" collapsed="false">
      <c r="F2655" s="116"/>
      <c r="G2655" s="116"/>
      <c r="K2655" s="104" t="n">
        <f aca="false">IF(A2655="",0,IF(IFERROR(VLOOKUP(A2655,Skills!$A:$M,13,FALSE()),"")="COS",0,IF(OR(I2655="En cours",I2655="À venir",I2655="À planifier"),IF(AND(OR($C$3="Tous",$C$3="",C2655=$C$3),OR($E$3="Tous",$E$3="",I2655=$E$3)),1,0),0)))</f>
        <v>0</v>
      </c>
      <c r="L2655" s="104" t="n">
        <f aca="false">L2654+K2655</f>
        <v>19</v>
      </c>
    </row>
    <row r="2656" customFormat="false" ht="15" hidden="true" customHeight="true" outlineLevel="0" collapsed="false">
      <c r="F2656" s="116"/>
      <c r="G2656" s="116"/>
      <c r="K2656" s="104" t="n">
        <f aca="false">IF(A2656="",0,IF(IFERROR(VLOOKUP(A2656,Skills!$A:$M,13,FALSE()),"")="COS",0,IF(OR(I2656="En cours",I2656="À venir",I2656="À planifier"),IF(AND(OR($C$3="Tous",$C$3="",C2656=$C$3),OR($E$3="Tous",$E$3="",I2656=$E$3)),1,0),0)))</f>
        <v>0</v>
      </c>
      <c r="L2656" s="104" t="n">
        <f aca="false">L2655+K2656</f>
        <v>19</v>
      </c>
    </row>
    <row r="2657" customFormat="false" ht="15" hidden="true" customHeight="true" outlineLevel="0" collapsed="false">
      <c r="F2657" s="116"/>
      <c r="G2657" s="116"/>
      <c r="K2657" s="104" t="n">
        <f aca="false">IF(A2657="",0,IF(IFERROR(VLOOKUP(A2657,Skills!$A:$M,13,FALSE()),"")="COS",0,IF(OR(I2657="En cours",I2657="À venir",I2657="À planifier"),IF(AND(OR($C$3="Tous",$C$3="",C2657=$C$3),OR($E$3="Tous",$E$3="",I2657=$E$3)),1,0),0)))</f>
        <v>0</v>
      </c>
      <c r="L2657" s="104" t="n">
        <f aca="false">L2656+K2657</f>
        <v>19</v>
      </c>
    </row>
    <row r="2658" customFormat="false" ht="15" hidden="true" customHeight="true" outlineLevel="0" collapsed="false">
      <c r="F2658" s="116"/>
      <c r="G2658" s="116"/>
      <c r="K2658" s="104" t="n">
        <f aca="false">IF(A2658="",0,IF(IFERROR(VLOOKUP(A2658,Skills!$A:$M,13,FALSE()),"")="COS",0,IF(OR(I2658="En cours",I2658="À venir",I2658="À planifier"),IF(AND(OR($C$3="Tous",$C$3="",C2658=$C$3),OR($E$3="Tous",$E$3="",I2658=$E$3)),1,0),0)))</f>
        <v>0</v>
      </c>
      <c r="L2658" s="104" t="n">
        <f aca="false">L2657+K2658</f>
        <v>19</v>
      </c>
    </row>
    <row r="2659" customFormat="false" ht="15" hidden="true" customHeight="true" outlineLevel="0" collapsed="false">
      <c r="F2659" s="116"/>
      <c r="G2659" s="116"/>
      <c r="K2659" s="104" t="n">
        <f aca="false">IF(A2659="",0,IF(IFERROR(VLOOKUP(A2659,Skills!$A:$M,13,FALSE()),"")="COS",0,IF(OR(I2659="En cours",I2659="À venir",I2659="À planifier"),IF(AND(OR($C$3="Tous",$C$3="",C2659=$C$3),OR($E$3="Tous",$E$3="",I2659=$E$3)),1,0),0)))</f>
        <v>0</v>
      </c>
      <c r="L2659" s="104" t="n">
        <f aca="false">L2658+K2659</f>
        <v>19</v>
      </c>
    </row>
    <row r="2660" customFormat="false" ht="15" hidden="true" customHeight="true" outlineLevel="0" collapsed="false">
      <c r="F2660" s="116"/>
      <c r="G2660" s="116"/>
      <c r="K2660" s="104" t="n">
        <f aca="false">IF(A2660="",0,IF(IFERROR(VLOOKUP(A2660,Skills!$A:$M,13,FALSE()),"")="COS",0,IF(OR(I2660="En cours",I2660="À venir",I2660="À planifier"),IF(AND(OR($C$3="Tous",$C$3="",C2660=$C$3),OR($E$3="Tous",$E$3="",I2660=$E$3)),1,0),0)))</f>
        <v>0</v>
      </c>
      <c r="L2660" s="104" t="n">
        <f aca="false">L2659+K2660</f>
        <v>19</v>
      </c>
    </row>
    <row r="2661" customFormat="false" ht="15" hidden="true" customHeight="true" outlineLevel="0" collapsed="false">
      <c r="F2661" s="116"/>
      <c r="G2661" s="116"/>
      <c r="K2661" s="104" t="n">
        <f aca="false">IF(A2661="",0,IF(IFERROR(VLOOKUP(A2661,Skills!$A:$M,13,FALSE()),"")="COS",0,IF(OR(I2661="En cours",I2661="À venir",I2661="À planifier"),IF(AND(OR($C$3="Tous",$C$3="",C2661=$C$3),OR($E$3="Tous",$E$3="",I2661=$E$3)),1,0),0)))</f>
        <v>0</v>
      </c>
      <c r="L2661" s="104" t="n">
        <f aca="false">L2660+K2661</f>
        <v>19</v>
      </c>
    </row>
    <row r="2662" customFormat="false" ht="15" hidden="true" customHeight="true" outlineLevel="0" collapsed="false">
      <c r="F2662" s="116"/>
      <c r="G2662" s="116"/>
      <c r="K2662" s="104" t="n">
        <f aca="false">IF(A2662="",0,IF(IFERROR(VLOOKUP(A2662,Skills!$A:$M,13,FALSE()),"")="COS",0,IF(OR(I2662="En cours",I2662="À venir",I2662="À planifier"),IF(AND(OR($C$3="Tous",$C$3="",C2662=$C$3),OR($E$3="Tous",$E$3="",I2662=$E$3)),1,0),0)))</f>
        <v>0</v>
      </c>
      <c r="L2662" s="104" t="n">
        <f aca="false">L2661+K2662</f>
        <v>19</v>
      </c>
    </row>
    <row r="2663" customFormat="false" ht="15" hidden="true" customHeight="true" outlineLevel="0" collapsed="false">
      <c r="F2663" s="116"/>
      <c r="G2663" s="116"/>
      <c r="K2663" s="104" t="n">
        <f aca="false">IF(A2663="",0,IF(IFERROR(VLOOKUP(A2663,Skills!$A:$M,13,FALSE()),"")="COS",0,IF(OR(I2663="En cours",I2663="À venir",I2663="À planifier"),IF(AND(OR($C$3="Tous",$C$3="",C2663=$C$3),OR($E$3="Tous",$E$3="",I2663=$E$3)),1,0),0)))</f>
        <v>0</v>
      </c>
      <c r="L2663" s="104" t="n">
        <f aca="false">L2662+K2663</f>
        <v>19</v>
      </c>
    </row>
    <row r="2664" customFormat="false" ht="15" hidden="true" customHeight="true" outlineLevel="0" collapsed="false">
      <c r="F2664" s="116"/>
      <c r="G2664" s="116"/>
      <c r="K2664" s="104" t="n">
        <f aca="false">IF(A2664="",0,IF(IFERROR(VLOOKUP(A2664,Skills!$A:$M,13,FALSE()),"")="COS",0,IF(OR(I2664="En cours",I2664="À venir",I2664="À planifier"),IF(AND(OR($C$3="Tous",$C$3="",C2664=$C$3),OR($E$3="Tous",$E$3="",I2664=$E$3)),1,0),0)))</f>
        <v>0</v>
      </c>
      <c r="L2664" s="104" t="n">
        <f aca="false">L2663+K2664</f>
        <v>19</v>
      </c>
    </row>
    <row r="2665" customFormat="false" ht="15" hidden="true" customHeight="true" outlineLevel="0" collapsed="false">
      <c r="F2665" s="116"/>
      <c r="G2665" s="116"/>
      <c r="K2665" s="104" t="n">
        <f aca="false">IF(A2665="",0,IF(IFERROR(VLOOKUP(A2665,Skills!$A:$M,13,FALSE()),"")="COS",0,IF(OR(I2665="En cours",I2665="À venir",I2665="À planifier"),IF(AND(OR($C$3="Tous",$C$3="",C2665=$C$3),OR($E$3="Tous",$E$3="",I2665=$E$3)),1,0),0)))</f>
        <v>0</v>
      </c>
      <c r="L2665" s="104" t="n">
        <f aca="false">L2664+K2665</f>
        <v>19</v>
      </c>
    </row>
    <row r="2666" customFormat="false" ht="15" hidden="true" customHeight="true" outlineLevel="0" collapsed="false">
      <c r="F2666" s="116"/>
      <c r="G2666" s="116"/>
      <c r="K2666" s="104" t="n">
        <f aca="false">IF(A2666="",0,IF(IFERROR(VLOOKUP(A2666,Skills!$A:$M,13,FALSE()),"")="COS",0,IF(OR(I2666="En cours",I2666="À venir",I2666="À planifier"),IF(AND(OR($C$3="Tous",$C$3="",C2666=$C$3),OR($E$3="Tous",$E$3="",I2666=$E$3)),1,0),0)))</f>
        <v>0</v>
      </c>
      <c r="L2666" s="104" t="n">
        <f aca="false">L2665+K2666</f>
        <v>19</v>
      </c>
    </row>
    <row r="2667" customFormat="false" ht="15" hidden="true" customHeight="true" outlineLevel="0" collapsed="false">
      <c r="F2667" s="116"/>
      <c r="G2667" s="116"/>
      <c r="K2667" s="104" t="n">
        <f aca="false">IF(A2667="",0,IF(IFERROR(VLOOKUP(A2667,Skills!$A:$M,13,FALSE()),"")="COS",0,IF(OR(I2667="En cours",I2667="À venir",I2667="À planifier"),IF(AND(OR($C$3="Tous",$C$3="",C2667=$C$3),OR($E$3="Tous",$E$3="",I2667=$E$3)),1,0),0)))</f>
        <v>0</v>
      </c>
      <c r="L2667" s="104" t="n">
        <f aca="false">L2666+K2667</f>
        <v>19</v>
      </c>
    </row>
    <row r="2668" customFormat="false" ht="15" hidden="true" customHeight="true" outlineLevel="0" collapsed="false">
      <c r="F2668" s="116"/>
      <c r="G2668" s="116"/>
      <c r="K2668" s="104" t="n">
        <f aca="false">IF(A2668="",0,IF(IFERROR(VLOOKUP(A2668,Skills!$A:$M,13,FALSE()),"")="COS",0,IF(OR(I2668="En cours",I2668="À venir",I2668="À planifier"),IF(AND(OR($C$3="Tous",$C$3="",C2668=$C$3),OR($E$3="Tous",$E$3="",I2668=$E$3)),1,0),0)))</f>
        <v>0</v>
      </c>
      <c r="L2668" s="104" t="n">
        <f aca="false">L2667+K2668</f>
        <v>19</v>
      </c>
    </row>
    <row r="2669" customFormat="false" ht="15" hidden="true" customHeight="true" outlineLevel="0" collapsed="false">
      <c r="F2669" s="116"/>
      <c r="G2669" s="116"/>
      <c r="K2669" s="104" t="n">
        <f aca="false">IF(A2669="",0,IF(IFERROR(VLOOKUP(A2669,Skills!$A:$M,13,FALSE()),"")="COS",0,IF(OR(I2669="En cours",I2669="À venir",I2669="À planifier"),IF(AND(OR($C$3="Tous",$C$3="",C2669=$C$3),OR($E$3="Tous",$E$3="",I2669=$E$3)),1,0),0)))</f>
        <v>0</v>
      </c>
      <c r="L2669" s="104" t="n">
        <f aca="false">L2668+K2669</f>
        <v>19</v>
      </c>
    </row>
    <row r="2670" customFormat="false" ht="15" hidden="true" customHeight="true" outlineLevel="0" collapsed="false">
      <c r="F2670" s="116"/>
      <c r="G2670" s="116"/>
      <c r="K2670" s="104" t="n">
        <f aca="false">IF(A2670="",0,IF(IFERROR(VLOOKUP(A2670,Skills!$A:$M,13,FALSE()),"")="COS",0,IF(OR(I2670="En cours",I2670="À venir",I2670="À planifier"),IF(AND(OR($C$3="Tous",$C$3="",C2670=$C$3),OR($E$3="Tous",$E$3="",I2670=$E$3)),1,0),0)))</f>
        <v>0</v>
      </c>
      <c r="L2670" s="104" t="n">
        <f aca="false">L2669+K2670</f>
        <v>19</v>
      </c>
    </row>
    <row r="2671" customFormat="false" ht="15" hidden="true" customHeight="true" outlineLevel="0" collapsed="false">
      <c r="F2671" s="116"/>
      <c r="G2671" s="116"/>
      <c r="K2671" s="104" t="n">
        <f aca="false">IF(A2671="",0,IF(IFERROR(VLOOKUP(A2671,Skills!$A:$M,13,FALSE()),"")="COS",0,IF(OR(I2671="En cours",I2671="À venir",I2671="À planifier"),IF(AND(OR($C$3="Tous",$C$3="",C2671=$C$3),OR($E$3="Tous",$E$3="",I2671=$E$3)),1,0),0)))</f>
        <v>0</v>
      </c>
      <c r="L2671" s="104" t="n">
        <f aca="false">L2670+K2671</f>
        <v>19</v>
      </c>
    </row>
    <row r="2672" customFormat="false" ht="15" hidden="true" customHeight="true" outlineLevel="0" collapsed="false">
      <c r="F2672" s="116"/>
      <c r="G2672" s="116"/>
      <c r="K2672" s="104" t="n">
        <f aca="false">IF(A2672="",0,IF(IFERROR(VLOOKUP(A2672,Skills!$A:$M,13,FALSE()),"")="COS",0,IF(OR(I2672="En cours",I2672="À venir",I2672="À planifier"),IF(AND(OR($C$3="Tous",$C$3="",C2672=$C$3),OR($E$3="Tous",$E$3="",I2672=$E$3)),1,0),0)))</f>
        <v>0</v>
      </c>
      <c r="L2672" s="104" t="n">
        <f aca="false">L2671+K2672</f>
        <v>19</v>
      </c>
    </row>
    <row r="2673" customFormat="false" ht="15" hidden="true" customHeight="true" outlineLevel="0" collapsed="false">
      <c r="F2673" s="116"/>
      <c r="G2673" s="116"/>
      <c r="K2673" s="104" t="n">
        <f aca="false">IF(A2673="",0,IF(IFERROR(VLOOKUP(A2673,Skills!$A:$M,13,FALSE()),"")="COS",0,IF(OR(I2673="En cours",I2673="À venir",I2673="À planifier"),IF(AND(OR($C$3="Tous",$C$3="",C2673=$C$3),OR($E$3="Tous",$E$3="",I2673=$E$3)),1,0),0)))</f>
        <v>0</v>
      </c>
      <c r="L2673" s="104" t="n">
        <f aca="false">L2672+K2673</f>
        <v>19</v>
      </c>
    </row>
    <row r="2674" customFormat="false" ht="15" hidden="true" customHeight="true" outlineLevel="0" collapsed="false">
      <c r="F2674" s="116"/>
      <c r="G2674" s="116"/>
      <c r="K2674" s="104" t="n">
        <f aca="false">IF(A2674="",0,IF(IFERROR(VLOOKUP(A2674,Skills!$A:$M,13,FALSE()),"")="COS",0,IF(OR(I2674="En cours",I2674="À venir",I2674="À planifier"),IF(AND(OR($C$3="Tous",$C$3="",C2674=$C$3),OR($E$3="Tous",$E$3="",I2674=$E$3)),1,0),0)))</f>
        <v>0</v>
      </c>
      <c r="L2674" s="104" t="n">
        <f aca="false">L2673+K2674</f>
        <v>19</v>
      </c>
    </row>
    <row r="2675" customFormat="false" ht="15" hidden="true" customHeight="true" outlineLevel="0" collapsed="false">
      <c r="F2675" s="116"/>
      <c r="G2675" s="116"/>
      <c r="K2675" s="104" t="n">
        <f aca="false">IF(A2675="",0,IF(IFERROR(VLOOKUP(A2675,Skills!$A:$M,13,FALSE()),"")="COS",0,IF(OR(I2675="En cours",I2675="À venir",I2675="À planifier"),IF(AND(OR($C$3="Tous",$C$3="",C2675=$C$3),OR($E$3="Tous",$E$3="",I2675=$E$3)),1,0),0)))</f>
        <v>0</v>
      </c>
      <c r="L2675" s="104" t="n">
        <f aca="false">L2674+K2675</f>
        <v>19</v>
      </c>
    </row>
    <row r="2676" customFormat="false" ht="15" hidden="true" customHeight="true" outlineLevel="0" collapsed="false">
      <c r="F2676" s="116"/>
      <c r="G2676" s="116"/>
      <c r="K2676" s="104" t="n">
        <f aca="false">IF(A2676="",0,IF(IFERROR(VLOOKUP(A2676,Skills!$A:$M,13,FALSE()),"")="COS",0,IF(OR(I2676="En cours",I2676="À venir",I2676="À planifier"),IF(AND(OR($C$3="Tous",$C$3="",C2676=$C$3),OR($E$3="Tous",$E$3="",I2676=$E$3)),1,0),0)))</f>
        <v>0</v>
      </c>
      <c r="L2676" s="104" t="n">
        <f aca="false">L2675+K2676</f>
        <v>19</v>
      </c>
    </row>
    <row r="2677" customFormat="false" ht="15" hidden="true" customHeight="true" outlineLevel="0" collapsed="false">
      <c r="F2677" s="116"/>
      <c r="G2677" s="116"/>
      <c r="K2677" s="104" t="n">
        <f aca="false">IF(A2677="",0,IF(IFERROR(VLOOKUP(A2677,Skills!$A:$M,13,FALSE()),"")="COS",0,IF(OR(I2677="En cours",I2677="À venir",I2677="À planifier"),IF(AND(OR($C$3="Tous",$C$3="",C2677=$C$3),OR($E$3="Tous",$E$3="",I2677=$E$3)),1,0),0)))</f>
        <v>0</v>
      </c>
      <c r="L2677" s="104" t="n">
        <f aca="false">L2676+K2677</f>
        <v>19</v>
      </c>
    </row>
    <row r="2678" customFormat="false" ht="15" hidden="true" customHeight="true" outlineLevel="0" collapsed="false">
      <c r="F2678" s="116"/>
      <c r="G2678" s="116"/>
      <c r="K2678" s="104" t="n">
        <f aca="false">IF(A2678="",0,IF(IFERROR(VLOOKUP(A2678,Skills!$A:$M,13,FALSE()),"")="COS",0,IF(OR(I2678="En cours",I2678="À venir",I2678="À planifier"),IF(AND(OR($C$3="Tous",$C$3="",C2678=$C$3),OR($E$3="Tous",$E$3="",I2678=$E$3)),1,0),0)))</f>
        <v>0</v>
      </c>
      <c r="L2678" s="104" t="n">
        <f aca="false">L2677+K2678</f>
        <v>19</v>
      </c>
    </row>
    <row r="2679" customFormat="false" ht="15" hidden="true" customHeight="true" outlineLevel="0" collapsed="false">
      <c r="F2679" s="116"/>
      <c r="G2679" s="116"/>
      <c r="K2679" s="104" t="n">
        <f aca="false">IF(A2679="",0,IF(IFERROR(VLOOKUP(A2679,Skills!$A:$M,13,FALSE()),"")="COS",0,IF(OR(I2679="En cours",I2679="À venir",I2679="À planifier"),IF(AND(OR($C$3="Tous",$C$3="",C2679=$C$3),OR($E$3="Tous",$E$3="",I2679=$E$3)),1,0),0)))</f>
        <v>0</v>
      </c>
      <c r="L2679" s="104" t="n">
        <f aca="false">L2678+K2679</f>
        <v>19</v>
      </c>
    </row>
    <row r="2680" customFormat="false" ht="15" hidden="true" customHeight="true" outlineLevel="0" collapsed="false">
      <c r="F2680" s="116"/>
      <c r="G2680" s="116"/>
      <c r="K2680" s="104" t="n">
        <f aca="false">IF(A2680="",0,IF(IFERROR(VLOOKUP(A2680,Skills!$A:$M,13,FALSE()),"")="COS",0,IF(OR(I2680="En cours",I2680="À venir",I2680="À planifier"),IF(AND(OR($C$3="Tous",$C$3="",C2680=$C$3),OR($E$3="Tous",$E$3="",I2680=$E$3)),1,0),0)))</f>
        <v>0</v>
      </c>
      <c r="L2680" s="104" t="n">
        <f aca="false">L2679+K2680</f>
        <v>19</v>
      </c>
    </row>
    <row r="2681" customFormat="false" ht="15" hidden="true" customHeight="true" outlineLevel="0" collapsed="false">
      <c r="F2681" s="116"/>
      <c r="G2681" s="116"/>
      <c r="K2681" s="104" t="n">
        <f aca="false">IF(A2681="",0,IF(IFERROR(VLOOKUP(A2681,Skills!$A:$M,13,FALSE()),"")="COS",0,IF(OR(I2681="En cours",I2681="À venir",I2681="À planifier"),IF(AND(OR($C$3="Tous",$C$3="",C2681=$C$3),OR($E$3="Tous",$E$3="",I2681=$E$3)),1,0),0)))</f>
        <v>0</v>
      </c>
      <c r="L2681" s="104" t="n">
        <f aca="false">L2680+K2681</f>
        <v>19</v>
      </c>
    </row>
    <row r="2682" customFormat="false" ht="15" hidden="true" customHeight="true" outlineLevel="0" collapsed="false">
      <c r="F2682" s="116"/>
      <c r="G2682" s="116"/>
      <c r="K2682" s="104" t="n">
        <f aca="false">IF(A2682="",0,IF(IFERROR(VLOOKUP(A2682,Skills!$A:$M,13,FALSE()),"")="COS",0,IF(OR(I2682="En cours",I2682="À venir",I2682="À planifier"),IF(AND(OR($C$3="Tous",$C$3="",C2682=$C$3),OR($E$3="Tous",$E$3="",I2682=$E$3)),1,0),0)))</f>
        <v>0</v>
      </c>
      <c r="L2682" s="104" t="n">
        <f aca="false">L2681+K2682</f>
        <v>19</v>
      </c>
    </row>
    <row r="2683" customFormat="false" ht="15" hidden="true" customHeight="true" outlineLevel="0" collapsed="false">
      <c r="F2683" s="116"/>
      <c r="G2683" s="116"/>
      <c r="K2683" s="104" t="n">
        <f aca="false">IF(A2683="",0,IF(IFERROR(VLOOKUP(A2683,Skills!$A:$M,13,FALSE()),"")="COS",0,IF(OR(I2683="En cours",I2683="À venir",I2683="À planifier"),IF(AND(OR($C$3="Tous",$C$3="",C2683=$C$3),OR($E$3="Tous",$E$3="",I2683=$E$3)),1,0),0)))</f>
        <v>0</v>
      </c>
      <c r="L2683" s="104" t="n">
        <f aca="false">L2682+K2683</f>
        <v>19</v>
      </c>
    </row>
    <row r="2684" customFormat="false" ht="15" hidden="true" customHeight="true" outlineLevel="0" collapsed="false">
      <c r="F2684" s="116"/>
      <c r="G2684" s="116"/>
      <c r="K2684" s="104" t="n">
        <f aca="false">IF(A2684="",0,IF(IFERROR(VLOOKUP(A2684,Skills!$A:$M,13,FALSE()),"")="COS",0,IF(OR(I2684="En cours",I2684="À venir",I2684="À planifier"),IF(AND(OR($C$3="Tous",$C$3="",C2684=$C$3),OR($E$3="Tous",$E$3="",I2684=$E$3)),1,0),0)))</f>
        <v>0</v>
      </c>
      <c r="L2684" s="104" t="n">
        <f aca="false">L2683+K2684</f>
        <v>19</v>
      </c>
    </row>
    <row r="2685" customFormat="false" ht="15" hidden="true" customHeight="true" outlineLevel="0" collapsed="false">
      <c r="F2685" s="116"/>
      <c r="G2685" s="116"/>
      <c r="K2685" s="104" t="n">
        <f aca="false">IF(A2685="",0,IF(IFERROR(VLOOKUP(A2685,Skills!$A:$M,13,FALSE()),"")="COS",0,IF(OR(I2685="En cours",I2685="À venir",I2685="À planifier"),IF(AND(OR($C$3="Tous",$C$3="",C2685=$C$3),OR($E$3="Tous",$E$3="",I2685=$E$3)),1,0),0)))</f>
        <v>0</v>
      </c>
      <c r="L2685" s="104" t="n">
        <f aca="false">L2684+K2685</f>
        <v>19</v>
      </c>
    </row>
    <row r="2686" customFormat="false" ht="15" hidden="true" customHeight="true" outlineLevel="0" collapsed="false">
      <c r="F2686" s="116"/>
      <c r="G2686" s="116"/>
      <c r="K2686" s="104" t="n">
        <f aca="false">IF(A2686="",0,IF(IFERROR(VLOOKUP(A2686,Skills!$A:$M,13,FALSE()),"")="COS",0,IF(OR(I2686="En cours",I2686="À venir",I2686="À planifier"),IF(AND(OR($C$3="Tous",$C$3="",C2686=$C$3),OR($E$3="Tous",$E$3="",I2686=$E$3)),1,0),0)))</f>
        <v>0</v>
      </c>
      <c r="L2686" s="104" t="n">
        <f aca="false">L2685+K2686</f>
        <v>19</v>
      </c>
    </row>
    <row r="2687" customFormat="false" ht="15" hidden="true" customHeight="true" outlineLevel="0" collapsed="false">
      <c r="F2687" s="116"/>
      <c r="G2687" s="116"/>
      <c r="K2687" s="104" t="n">
        <f aca="false">IF(A2687="",0,IF(IFERROR(VLOOKUP(A2687,Skills!$A:$M,13,FALSE()),"")="COS",0,IF(OR(I2687="En cours",I2687="À venir",I2687="À planifier"),IF(AND(OR($C$3="Tous",$C$3="",C2687=$C$3),OR($E$3="Tous",$E$3="",I2687=$E$3)),1,0),0)))</f>
        <v>0</v>
      </c>
      <c r="L2687" s="104" t="n">
        <f aca="false">L2686+K2687</f>
        <v>19</v>
      </c>
    </row>
    <row r="2688" customFormat="false" ht="15" hidden="true" customHeight="true" outlineLevel="0" collapsed="false">
      <c r="F2688" s="116"/>
      <c r="G2688" s="116"/>
      <c r="K2688" s="104" t="n">
        <f aca="false">IF(A2688="",0,IF(IFERROR(VLOOKUP(A2688,Skills!$A:$M,13,FALSE()),"")="COS",0,IF(OR(I2688="En cours",I2688="À venir",I2688="À planifier"),IF(AND(OR($C$3="Tous",$C$3="",C2688=$C$3),OR($E$3="Tous",$E$3="",I2688=$E$3)),1,0),0)))</f>
        <v>0</v>
      </c>
      <c r="L2688" s="104" t="n">
        <f aca="false">L2687+K2688</f>
        <v>19</v>
      </c>
    </row>
    <row r="2689" customFormat="false" ht="15" hidden="true" customHeight="true" outlineLevel="0" collapsed="false">
      <c r="F2689" s="116"/>
      <c r="G2689" s="116"/>
      <c r="K2689" s="104" t="n">
        <f aca="false">IF(A2689="",0,IF(IFERROR(VLOOKUP(A2689,Skills!$A:$M,13,FALSE()),"")="COS",0,IF(OR(I2689="En cours",I2689="À venir",I2689="À planifier"),IF(AND(OR($C$3="Tous",$C$3="",C2689=$C$3),OR($E$3="Tous",$E$3="",I2689=$E$3)),1,0),0)))</f>
        <v>0</v>
      </c>
      <c r="L2689" s="104" t="n">
        <f aca="false">L2688+K2689</f>
        <v>19</v>
      </c>
    </row>
    <row r="2690" customFormat="false" ht="15" hidden="true" customHeight="true" outlineLevel="0" collapsed="false">
      <c r="F2690" s="116"/>
      <c r="G2690" s="116"/>
      <c r="K2690" s="104" t="n">
        <f aca="false">IF(A2690="",0,IF(IFERROR(VLOOKUP(A2690,Skills!$A:$M,13,FALSE()),"")="COS",0,IF(OR(I2690="En cours",I2690="À venir",I2690="À planifier"),IF(AND(OR($C$3="Tous",$C$3="",C2690=$C$3),OR($E$3="Tous",$E$3="",I2690=$E$3)),1,0),0)))</f>
        <v>0</v>
      </c>
      <c r="L2690" s="104" t="n">
        <f aca="false">L2689+K2690</f>
        <v>19</v>
      </c>
    </row>
    <row r="2691" customFormat="false" ht="15" hidden="true" customHeight="true" outlineLevel="0" collapsed="false">
      <c r="F2691" s="116"/>
      <c r="G2691" s="116"/>
      <c r="K2691" s="104" t="n">
        <f aca="false">IF(A2691="",0,IF(IFERROR(VLOOKUP(A2691,Skills!$A:$M,13,FALSE()),"")="COS",0,IF(OR(I2691="En cours",I2691="À venir",I2691="À planifier"),IF(AND(OR($C$3="Tous",$C$3="",C2691=$C$3),OR($E$3="Tous",$E$3="",I2691=$E$3)),1,0),0)))</f>
        <v>0</v>
      </c>
      <c r="L2691" s="104" t="n">
        <f aca="false">L2690+K2691</f>
        <v>19</v>
      </c>
    </row>
    <row r="2692" customFormat="false" ht="15" hidden="true" customHeight="true" outlineLevel="0" collapsed="false">
      <c r="F2692" s="116"/>
      <c r="G2692" s="116"/>
      <c r="K2692" s="104" t="n">
        <f aca="false">IF(A2692="",0,IF(IFERROR(VLOOKUP(A2692,Skills!$A:$M,13,FALSE()),"")="COS",0,IF(OR(I2692="En cours",I2692="À venir",I2692="À planifier"),IF(AND(OR($C$3="Tous",$C$3="",C2692=$C$3),OR($E$3="Tous",$E$3="",I2692=$E$3)),1,0),0)))</f>
        <v>0</v>
      </c>
      <c r="L2692" s="104" t="n">
        <f aca="false">L2691+K2692</f>
        <v>19</v>
      </c>
    </row>
    <row r="2693" customFormat="false" ht="15" hidden="true" customHeight="true" outlineLevel="0" collapsed="false">
      <c r="F2693" s="116"/>
      <c r="G2693" s="116"/>
      <c r="K2693" s="104" t="n">
        <f aca="false">IF(A2693="",0,IF(IFERROR(VLOOKUP(A2693,Skills!$A:$M,13,FALSE()),"")="COS",0,IF(OR(I2693="En cours",I2693="À venir",I2693="À planifier"),IF(AND(OR($C$3="Tous",$C$3="",C2693=$C$3),OR($E$3="Tous",$E$3="",I2693=$E$3)),1,0),0)))</f>
        <v>0</v>
      </c>
      <c r="L2693" s="104" t="n">
        <f aca="false">L2692+K2693</f>
        <v>19</v>
      </c>
    </row>
    <row r="2694" customFormat="false" ht="15" hidden="true" customHeight="true" outlineLevel="0" collapsed="false">
      <c r="F2694" s="116"/>
      <c r="G2694" s="116"/>
      <c r="K2694" s="104" t="n">
        <f aca="false">IF(A2694="",0,IF(IFERROR(VLOOKUP(A2694,Skills!$A:$M,13,FALSE()),"")="COS",0,IF(OR(I2694="En cours",I2694="À venir",I2694="À planifier"),IF(AND(OR($C$3="Tous",$C$3="",C2694=$C$3),OR($E$3="Tous",$E$3="",I2694=$E$3)),1,0),0)))</f>
        <v>0</v>
      </c>
      <c r="L2694" s="104" t="n">
        <f aca="false">L2693+K2694</f>
        <v>19</v>
      </c>
    </row>
    <row r="2695" customFormat="false" ht="15" hidden="true" customHeight="true" outlineLevel="0" collapsed="false">
      <c r="F2695" s="116"/>
      <c r="G2695" s="116"/>
      <c r="K2695" s="104" t="n">
        <f aca="false">IF(A2695="",0,IF(IFERROR(VLOOKUP(A2695,Skills!$A:$M,13,FALSE()),"")="COS",0,IF(OR(I2695="En cours",I2695="À venir",I2695="À planifier"),IF(AND(OR($C$3="Tous",$C$3="",C2695=$C$3),OR($E$3="Tous",$E$3="",I2695=$E$3)),1,0),0)))</f>
        <v>0</v>
      </c>
      <c r="L2695" s="104" t="n">
        <f aca="false">L2694+K2695</f>
        <v>19</v>
      </c>
    </row>
    <row r="2696" customFormat="false" ht="15" hidden="true" customHeight="true" outlineLevel="0" collapsed="false">
      <c r="F2696" s="116"/>
      <c r="G2696" s="116"/>
      <c r="K2696" s="104" t="n">
        <f aca="false">IF(A2696="",0,IF(IFERROR(VLOOKUP(A2696,Skills!$A:$M,13,FALSE()),"")="COS",0,IF(OR(I2696="En cours",I2696="À venir",I2696="À planifier"),IF(AND(OR($C$3="Tous",$C$3="",C2696=$C$3),OR($E$3="Tous",$E$3="",I2696=$E$3)),1,0),0)))</f>
        <v>0</v>
      </c>
      <c r="L2696" s="104" t="n">
        <f aca="false">L2695+K2696</f>
        <v>19</v>
      </c>
    </row>
    <row r="2697" customFormat="false" ht="15" hidden="true" customHeight="true" outlineLevel="0" collapsed="false">
      <c r="F2697" s="116"/>
      <c r="G2697" s="116"/>
      <c r="K2697" s="104" t="n">
        <f aca="false">IF(A2697="",0,IF(IFERROR(VLOOKUP(A2697,Skills!$A:$M,13,FALSE()),"")="COS",0,IF(OR(I2697="En cours",I2697="À venir",I2697="À planifier"),IF(AND(OR($C$3="Tous",$C$3="",C2697=$C$3),OR($E$3="Tous",$E$3="",I2697=$E$3)),1,0),0)))</f>
        <v>0</v>
      </c>
      <c r="L2697" s="104" t="n">
        <f aca="false">L2696+K2697</f>
        <v>19</v>
      </c>
    </row>
    <row r="2698" customFormat="false" ht="15" hidden="true" customHeight="true" outlineLevel="0" collapsed="false">
      <c r="F2698" s="116"/>
      <c r="G2698" s="116"/>
      <c r="K2698" s="104" t="n">
        <f aca="false">IF(A2698="",0,IF(IFERROR(VLOOKUP(A2698,Skills!$A:$M,13,FALSE()),"")="COS",0,IF(OR(I2698="En cours",I2698="À venir",I2698="À planifier"),IF(AND(OR($C$3="Tous",$C$3="",C2698=$C$3),OR($E$3="Tous",$E$3="",I2698=$E$3)),1,0),0)))</f>
        <v>0</v>
      </c>
      <c r="L2698" s="104" t="n">
        <f aca="false">L2697+K2698</f>
        <v>19</v>
      </c>
    </row>
    <row r="2699" customFormat="false" ht="15" hidden="true" customHeight="true" outlineLevel="0" collapsed="false">
      <c r="F2699" s="116"/>
      <c r="G2699" s="116"/>
      <c r="K2699" s="104" t="n">
        <f aca="false">IF(A2699="",0,IF(IFERROR(VLOOKUP(A2699,Skills!$A:$M,13,FALSE()),"")="COS",0,IF(OR(I2699="En cours",I2699="À venir",I2699="À planifier"),IF(AND(OR($C$3="Tous",$C$3="",C2699=$C$3),OR($E$3="Tous",$E$3="",I2699=$E$3)),1,0),0)))</f>
        <v>0</v>
      </c>
      <c r="L2699" s="104" t="n">
        <f aca="false">L2698+K2699</f>
        <v>19</v>
      </c>
    </row>
    <row r="2700" customFormat="false" ht="15" hidden="true" customHeight="true" outlineLevel="0" collapsed="false">
      <c r="F2700" s="116"/>
      <c r="G2700" s="116"/>
      <c r="K2700" s="104" t="n">
        <f aca="false">IF(A2700="",0,IF(IFERROR(VLOOKUP(A2700,Skills!$A:$M,13,FALSE()),"")="COS",0,IF(OR(I2700="En cours",I2700="À venir",I2700="À planifier"),IF(AND(OR($C$3="Tous",$C$3="",C2700=$C$3),OR($E$3="Tous",$E$3="",I2700=$E$3)),1,0),0)))</f>
        <v>0</v>
      </c>
      <c r="L2700" s="104" t="n">
        <f aca="false">L2699+K2700</f>
        <v>19</v>
      </c>
    </row>
    <row r="2701" customFormat="false" ht="15" hidden="true" customHeight="true" outlineLevel="0" collapsed="false">
      <c r="F2701" s="116"/>
      <c r="G2701" s="116"/>
      <c r="K2701" s="104" t="n">
        <f aca="false">IF(A2701="",0,IF(IFERROR(VLOOKUP(A2701,Skills!$A:$M,13,FALSE()),"")="COS",0,IF(OR(I2701="En cours",I2701="À venir",I2701="À planifier"),IF(AND(OR($C$3="Tous",$C$3="",C2701=$C$3),OR($E$3="Tous",$E$3="",I2701=$E$3)),1,0),0)))</f>
        <v>0</v>
      </c>
      <c r="L2701" s="104" t="n">
        <f aca="false">L2700+K2701</f>
        <v>19</v>
      </c>
    </row>
    <row r="2702" customFormat="false" ht="15" hidden="true" customHeight="true" outlineLevel="0" collapsed="false">
      <c r="F2702" s="116"/>
      <c r="G2702" s="116"/>
      <c r="K2702" s="104" t="n">
        <f aca="false">IF(A2702="",0,IF(IFERROR(VLOOKUP(A2702,Skills!$A:$M,13,FALSE()),"")="COS",0,IF(OR(I2702="En cours",I2702="À venir",I2702="À planifier"),IF(AND(OR($C$3="Tous",$C$3="",C2702=$C$3),OR($E$3="Tous",$E$3="",I2702=$E$3)),1,0),0)))</f>
        <v>0</v>
      </c>
      <c r="L2702" s="104" t="n">
        <f aca="false">L2701+K2702</f>
        <v>19</v>
      </c>
    </row>
    <row r="2703" customFormat="false" ht="15" hidden="true" customHeight="true" outlineLevel="0" collapsed="false">
      <c r="F2703" s="116"/>
      <c r="G2703" s="116"/>
      <c r="K2703" s="104" t="n">
        <f aca="false">IF(A2703="",0,IF(IFERROR(VLOOKUP(A2703,Skills!$A:$M,13,FALSE()),"")="COS",0,IF(OR(I2703="En cours",I2703="À venir",I2703="À planifier"),IF(AND(OR($C$3="Tous",$C$3="",C2703=$C$3),OR($E$3="Tous",$E$3="",I2703=$E$3)),1,0),0)))</f>
        <v>0</v>
      </c>
      <c r="L2703" s="104" t="n">
        <f aca="false">L2702+K2703</f>
        <v>19</v>
      </c>
    </row>
    <row r="2704" customFormat="false" ht="15" hidden="true" customHeight="true" outlineLevel="0" collapsed="false">
      <c r="F2704" s="116"/>
      <c r="G2704" s="116"/>
      <c r="K2704" s="104" t="n">
        <f aca="false">IF(A2704="",0,IF(IFERROR(VLOOKUP(A2704,Skills!$A:$M,13,FALSE()),"")="COS",0,IF(OR(I2704="En cours",I2704="À venir",I2704="À planifier"),IF(AND(OR($C$3="Tous",$C$3="",C2704=$C$3),OR($E$3="Tous",$E$3="",I2704=$E$3)),1,0),0)))</f>
        <v>0</v>
      </c>
      <c r="L2704" s="104" t="n">
        <f aca="false">L2703+K2704</f>
        <v>19</v>
      </c>
    </row>
    <row r="2705" customFormat="false" ht="15" hidden="true" customHeight="true" outlineLevel="0" collapsed="false">
      <c r="F2705" s="116"/>
      <c r="G2705" s="116"/>
      <c r="K2705" s="104" t="n">
        <f aca="false">IF(A2705="",0,IF(IFERROR(VLOOKUP(A2705,Skills!$A:$M,13,FALSE()),"")="COS",0,IF(OR(I2705="En cours",I2705="À venir",I2705="À planifier"),IF(AND(OR($C$3="Tous",$C$3="",C2705=$C$3),OR($E$3="Tous",$E$3="",I2705=$E$3)),1,0),0)))</f>
        <v>0</v>
      </c>
      <c r="L2705" s="104" t="n">
        <f aca="false">L2704+K2705</f>
        <v>19</v>
      </c>
    </row>
    <row r="2706" customFormat="false" ht="15" hidden="true" customHeight="true" outlineLevel="0" collapsed="false">
      <c r="F2706" s="116"/>
      <c r="G2706" s="116"/>
      <c r="K2706" s="104" t="n">
        <f aca="false">IF(A2706="",0,IF(IFERROR(VLOOKUP(A2706,Skills!$A:$M,13,FALSE()),"")="COS",0,IF(OR(I2706="En cours",I2706="À venir",I2706="À planifier"),IF(AND(OR($C$3="Tous",$C$3="",C2706=$C$3),OR($E$3="Tous",$E$3="",I2706=$E$3)),1,0),0)))</f>
        <v>0</v>
      </c>
      <c r="L2706" s="104" t="n">
        <f aca="false">L2705+K2706</f>
        <v>19</v>
      </c>
    </row>
    <row r="2707" customFormat="false" ht="15" hidden="true" customHeight="true" outlineLevel="0" collapsed="false">
      <c r="F2707" s="116"/>
      <c r="G2707" s="116"/>
      <c r="K2707" s="104" t="n">
        <f aca="false">IF(A2707="",0,IF(IFERROR(VLOOKUP(A2707,Skills!$A:$M,13,FALSE()),"")="COS",0,IF(OR(I2707="En cours",I2707="À venir",I2707="À planifier"),IF(AND(OR($C$3="Tous",$C$3="",C2707=$C$3),OR($E$3="Tous",$E$3="",I2707=$E$3)),1,0),0)))</f>
        <v>0</v>
      </c>
      <c r="L2707" s="104" t="n">
        <f aca="false">L2706+K2707</f>
        <v>19</v>
      </c>
    </row>
    <row r="2708" customFormat="false" ht="15" hidden="true" customHeight="true" outlineLevel="0" collapsed="false">
      <c r="F2708" s="116"/>
      <c r="G2708" s="116"/>
      <c r="K2708" s="104" t="n">
        <f aca="false">IF(A2708="",0,IF(IFERROR(VLOOKUP(A2708,Skills!$A:$M,13,FALSE()),"")="COS",0,IF(OR(I2708="En cours",I2708="À venir",I2708="À planifier"),IF(AND(OR($C$3="Tous",$C$3="",C2708=$C$3),OR($E$3="Tous",$E$3="",I2708=$E$3)),1,0),0)))</f>
        <v>0</v>
      </c>
      <c r="L2708" s="104" t="n">
        <f aca="false">L2707+K2708</f>
        <v>19</v>
      </c>
    </row>
    <row r="2709" customFormat="false" ht="15" hidden="true" customHeight="true" outlineLevel="0" collapsed="false">
      <c r="F2709" s="116"/>
      <c r="G2709" s="116"/>
      <c r="K2709" s="104" t="n">
        <f aca="false">IF(A2709="",0,IF(IFERROR(VLOOKUP(A2709,Skills!$A:$M,13,FALSE()),"")="COS",0,IF(OR(I2709="En cours",I2709="À venir",I2709="À planifier"),IF(AND(OR($C$3="Tous",$C$3="",C2709=$C$3),OR($E$3="Tous",$E$3="",I2709=$E$3)),1,0),0)))</f>
        <v>0</v>
      </c>
      <c r="L2709" s="104" t="n">
        <f aca="false">L2708+K2709</f>
        <v>19</v>
      </c>
    </row>
    <row r="2710" customFormat="false" ht="15" hidden="true" customHeight="true" outlineLevel="0" collapsed="false">
      <c r="F2710" s="116"/>
      <c r="G2710" s="116"/>
      <c r="K2710" s="104" t="n">
        <f aca="false">IF(A2710="",0,IF(IFERROR(VLOOKUP(A2710,Skills!$A:$M,13,FALSE()),"")="COS",0,IF(OR(I2710="En cours",I2710="À venir",I2710="À planifier"),IF(AND(OR($C$3="Tous",$C$3="",C2710=$C$3),OR($E$3="Tous",$E$3="",I2710=$E$3)),1,0),0)))</f>
        <v>0</v>
      </c>
      <c r="L2710" s="104" t="n">
        <f aca="false">L2709+K2710</f>
        <v>19</v>
      </c>
    </row>
    <row r="2711" customFormat="false" ht="15" hidden="true" customHeight="true" outlineLevel="0" collapsed="false">
      <c r="F2711" s="116"/>
      <c r="G2711" s="116"/>
      <c r="K2711" s="104" t="n">
        <f aca="false">IF(A2711="",0,IF(IFERROR(VLOOKUP(A2711,Skills!$A:$M,13,FALSE()),"")="COS",0,IF(OR(I2711="En cours",I2711="À venir",I2711="À planifier"),IF(AND(OR($C$3="Tous",$C$3="",C2711=$C$3),OR($E$3="Tous",$E$3="",I2711=$E$3)),1,0),0)))</f>
        <v>0</v>
      </c>
      <c r="L2711" s="104" t="n">
        <f aca="false">L2710+K2711</f>
        <v>19</v>
      </c>
    </row>
    <row r="2712" customFormat="false" ht="15" hidden="true" customHeight="true" outlineLevel="0" collapsed="false">
      <c r="F2712" s="116"/>
      <c r="G2712" s="116"/>
      <c r="K2712" s="104" t="n">
        <f aca="false">IF(A2712="",0,IF(IFERROR(VLOOKUP(A2712,Skills!$A:$M,13,FALSE()),"")="COS",0,IF(OR(I2712="En cours",I2712="À venir",I2712="À planifier"),IF(AND(OR($C$3="Tous",$C$3="",C2712=$C$3),OR($E$3="Tous",$E$3="",I2712=$E$3)),1,0),0)))</f>
        <v>0</v>
      </c>
      <c r="L2712" s="104" t="n">
        <f aca="false">L2711+K2712</f>
        <v>19</v>
      </c>
    </row>
    <row r="2713" customFormat="false" ht="15" hidden="true" customHeight="true" outlineLevel="0" collapsed="false">
      <c r="F2713" s="116"/>
      <c r="G2713" s="116"/>
      <c r="K2713" s="104" t="n">
        <f aca="false">IF(A2713="",0,IF(IFERROR(VLOOKUP(A2713,Skills!$A:$M,13,FALSE()),"")="COS",0,IF(OR(I2713="En cours",I2713="À venir",I2713="À planifier"),IF(AND(OR($C$3="Tous",$C$3="",C2713=$C$3),OR($E$3="Tous",$E$3="",I2713=$E$3)),1,0),0)))</f>
        <v>0</v>
      </c>
      <c r="L2713" s="104" t="n">
        <f aca="false">L2712+K2713</f>
        <v>19</v>
      </c>
    </row>
    <row r="2714" customFormat="false" ht="15" hidden="true" customHeight="true" outlineLevel="0" collapsed="false">
      <c r="F2714" s="116"/>
      <c r="G2714" s="116"/>
      <c r="K2714" s="104" t="n">
        <f aca="false">IF(A2714="",0,IF(IFERROR(VLOOKUP(A2714,Skills!$A:$M,13,FALSE()),"")="COS",0,IF(OR(I2714="En cours",I2714="À venir",I2714="À planifier"),IF(AND(OR($C$3="Tous",$C$3="",C2714=$C$3),OR($E$3="Tous",$E$3="",I2714=$E$3)),1,0),0)))</f>
        <v>0</v>
      </c>
      <c r="L2714" s="104" t="n">
        <f aca="false">L2713+K2714</f>
        <v>19</v>
      </c>
    </row>
    <row r="2715" customFormat="false" ht="15" hidden="true" customHeight="true" outlineLevel="0" collapsed="false">
      <c r="F2715" s="116"/>
      <c r="G2715" s="116"/>
      <c r="K2715" s="104" t="n">
        <f aca="false">IF(A2715="",0,IF(IFERROR(VLOOKUP(A2715,Skills!$A:$M,13,FALSE()),"")="COS",0,IF(OR(I2715="En cours",I2715="À venir",I2715="À planifier"),IF(AND(OR($C$3="Tous",$C$3="",C2715=$C$3),OR($E$3="Tous",$E$3="",I2715=$E$3)),1,0),0)))</f>
        <v>0</v>
      </c>
      <c r="L2715" s="104" t="n">
        <f aca="false">L2714+K2715</f>
        <v>19</v>
      </c>
    </row>
    <row r="2716" customFormat="false" ht="15" hidden="true" customHeight="true" outlineLevel="0" collapsed="false">
      <c r="F2716" s="116"/>
      <c r="G2716" s="116"/>
      <c r="K2716" s="104" t="n">
        <f aca="false">IF(A2716="",0,IF(IFERROR(VLOOKUP(A2716,Skills!$A:$M,13,FALSE()),"")="COS",0,IF(OR(I2716="En cours",I2716="À venir",I2716="À planifier"),IF(AND(OR($C$3="Tous",$C$3="",C2716=$C$3),OR($E$3="Tous",$E$3="",I2716=$E$3)),1,0),0)))</f>
        <v>0</v>
      </c>
      <c r="L2716" s="104" t="n">
        <f aca="false">L2715+K2716</f>
        <v>19</v>
      </c>
    </row>
    <row r="2717" customFormat="false" ht="15" hidden="true" customHeight="true" outlineLevel="0" collapsed="false">
      <c r="F2717" s="116"/>
      <c r="G2717" s="116"/>
      <c r="K2717" s="104" t="n">
        <f aca="false">IF(A2717="",0,IF(IFERROR(VLOOKUP(A2717,Skills!$A:$M,13,FALSE()),"")="COS",0,IF(OR(I2717="En cours",I2717="À venir",I2717="À planifier"),IF(AND(OR($C$3="Tous",$C$3="",C2717=$C$3),OR($E$3="Tous",$E$3="",I2717=$E$3)),1,0),0)))</f>
        <v>0</v>
      </c>
      <c r="L2717" s="104" t="n">
        <f aca="false">L2716+K2717</f>
        <v>19</v>
      </c>
    </row>
    <row r="2718" customFormat="false" ht="15" hidden="true" customHeight="true" outlineLevel="0" collapsed="false">
      <c r="F2718" s="116"/>
      <c r="G2718" s="116"/>
      <c r="K2718" s="104" t="n">
        <f aca="false">IF(A2718="",0,IF(IFERROR(VLOOKUP(A2718,Skills!$A:$M,13,FALSE()),"")="COS",0,IF(OR(I2718="En cours",I2718="À venir",I2718="À planifier"),IF(AND(OR($C$3="Tous",$C$3="",C2718=$C$3),OR($E$3="Tous",$E$3="",I2718=$E$3)),1,0),0)))</f>
        <v>0</v>
      </c>
      <c r="L2718" s="104" t="n">
        <f aca="false">L2717+K2718</f>
        <v>19</v>
      </c>
    </row>
    <row r="2719" customFormat="false" ht="15" hidden="true" customHeight="true" outlineLevel="0" collapsed="false">
      <c r="F2719" s="116"/>
      <c r="G2719" s="116"/>
      <c r="K2719" s="104" t="n">
        <f aca="false">IF(A2719="",0,IF(IFERROR(VLOOKUP(A2719,Skills!$A:$M,13,FALSE()),"")="COS",0,IF(OR(I2719="En cours",I2719="À venir",I2719="À planifier"),IF(AND(OR($C$3="Tous",$C$3="",C2719=$C$3),OR($E$3="Tous",$E$3="",I2719=$E$3)),1,0),0)))</f>
        <v>0</v>
      </c>
      <c r="L2719" s="104" t="n">
        <f aca="false">L2718+K2719</f>
        <v>19</v>
      </c>
    </row>
    <row r="2720" customFormat="false" ht="15" hidden="true" customHeight="true" outlineLevel="0" collapsed="false">
      <c r="F2720" s="116"/>
      <c r="G2720" s="116"/>
      <c r="K2720" s="104" t="n">
        <f aca="false">IF(A2720="",0,IF(IFERROR(VLOOKUP(A2720,Skills!$A:$M,13,FALSE()),"")="COS",0,IF(OR(I2720="En cours",I2720="À venir",I2720="À planifier"),IF(AND(OR($C$3="Tous",$C$3="",C2720=$C$3),OR($E$3="Tous",$E$3="",I2720=$E$3)),1,0),0)))</f>
        <v>0</v>
      </c>
      <c r="L2720" s="104" t="n">
        <f aca="false">L2719+K2720</f>
        <v>19</v>
      </c>
    </row>
    <row r="2721" customFormat="false" ht="15" hidden="true" customHeight="true" outlineLevel="0" collapsed="false">
      <c r="F2721" s="116"/>
      <c r="G2721" s="116"/>
      <c r="K2721" s="104" t="n">
        <f aca="false">IF(A2721="",0,IF(IFERROR(VLOOKUP(A2721,Skills!$A:$M,13,FALSE()),"")="COS",0,IF(OR(I2721="En cours",I2721="À venir",I2721="À planifier"),IF(AND(OR($C$3="Tous",$C$3="",C2721=$C$3),OR($E$3="Tous",$E$3="",I2721=$E$3)),1,0),0)))</f>
        <v>0</v>
      </c>
      <c r="L2721" s="104" t="n">
        <f aca="false">L2720+K2721</f>
        <v>19</v>
      </c>
    </row>
    <row r="2722" customFormat="false" ht="15" hidden="true" customHeight="true" outlineLevel="0" collapsed="false">
      <c r="F2722" s="116"/>
      <c r="G2722" s="116"/>
      <c r="K2722" s="104" t="n">
        <f aca="false">IF(A2722="",0,IF(IFERROR(VLOOKUP(A2722,Skills!$A:$M,13,FALSE()),"")="COS",0,IF(OR(I2722="En cours",I2722="À venir",I2722="À planifier"),IF(AND(OR($C$3="Tous",$C$3="",C2722=$C$3),OR($E$3="Tous",$E$3="",I2722=$E$3)),1,0),0)))</f>
        <v>0</v>
      </c>
      <c r="L2722" s="104" t="n">
        <f aca="false">L2721+K2722</f>
        <v>19</v>
      </c>
    </row>
    <row r="2723" customFormat="false" ht="15" hidden="true" customHeight="true" outlineLevel="0" collapsed="false">
      <c r="F2723" s="116"/>
      <c r="G2723" s="116"/>
      <c r="K2723" s="104" t="n">
        <f aca="false">IF(A2723="",0,IF(IFERROR(VLOOKUP(A2723,Skills!$A:$M,13,FALSE()),"")="COS",0,IF(OR(I2723="En cours",I2723="À venir",I2723="À planifier"),IF(AND(OR($C$3="Tous",$C$3="",C2723=$C$3),OR($E$3="Tous",$E$3="",I2723=$E$3)),1,0),0)))</f>
        <v>0</v>
      </c>
      <c r="L2723" s="104" t="n">
        <f aca="false">L2722+K2723</f>
        <v>19</v>
      </c>
    </row>
    <row r="2724" customFormat="false" ht="15" hidden="true" customHeight="true" outlineLevel="0" collapsed="false">
      <c r="F2724" s="116"/>
      <c r="G2724" s="116"/>
      <c r="K2724" s="104" t="n">
        <f aca="false">IF(A2724="",0,IF(IFERROR(VLOOKUP(A2724,Skills!$A:$M,13,FALSE()),"")="COS",0,IF(OR(I2724="En cours",I2724="À venir",I2724="À planifier"),IF(AND(OR($C$3="Tous",$C$3="",C2724=$C$3),OR($E$3="Tous",$E$3="",I2724=$E$3)),1,0),0)))</f>
        <v>0</v>
      </c>
      <c r="L2724" s="104" t="n">
        <f aca="false">L2723+K2724</f>
        <v>19</v>
      </c>
    </row>
    <row r="2725" customFormat="false" ht="15" hidden="true" customHeight="true" outlineLevel="0" collapsed="false">
      <c r="F2725" s="116"/>
      <c r="G2725" s="116"/>
      <c r="K2725" s="104" t="n">
        <f aca="false">IF(A2725="",0,IF(IFERROR(VLOOKUP(A2725,Skills!$A:$M,13,FALSE()),"")="COS",0,IF(OR(I2725="En cours",I2725="À venir",I2725="À planifier"),IF(AND(OR($C$3="Tous",$C$3="",C2725=$C$3),OR($E$3="Tous",$E$3="",I2725=$E$3)),1,0),0)))</f>
        <v>0</v>
      </c>
      <c r="L2725" s="104" t="n">
        <f aca="false">L2724+K2725</f>
        <v>19</v>
      </c>
    </row>
    <row r="2726" customFormat="false" ht="15" hidden="true" customHeight="true" outlineLevel="0" collapsed="false">
      <c r="F2726" s="116"/>
      <c r="G2726" s="116"/>
      <c r="K2726" s="104" t="n">
        <f aca="false">IF(A2726="",0,IF(IFERROR(VLOOKUP(A2726,Skills!$A:$M,13,FALSE()),"")="COS",0,IF(OR(I2726="En cours",I2726="À venir",I2726="À planifier"),IF(AND(OR($C$3="Tous",$C$3="",C2726=$C$3),OR($E$3="Tous",$E$3="",I2726=$E$3)),1,0),0)))</f>
        <v>0</v>
      </c>
      <c r="L2726" s="104" t="n">
        <f aca="false">L2725+K2726</f>
        <v>19</v>
      </c>
    </row>
    <row r="2727" customFormat="false" ht="15" hidden="true" customHeight="true" outlineLevel="0" collapsed="false">
      <c r="F2727" s="116"/>
      <c r="G2727" s="116"/>
      <c r="K2727" s="104" t="n">
        <f aca="false">IF(A2727="",0,IF(IFERROR(VLOOKUP(A2727,Skills!$A:$M,13,FALSE()),"")="COS",0,IF(OR(I2727="En cours",I2727="À venir",I2727="À planifier"),IF(AND(OR($C$3="Tous",$C$3="",C2727=$C$3),OR($E$3="Tous",$E$3="",I2727=$E$3)),1,0),0)))</f>
        <v>0</v>
      </c>
      <c r="L2727" s="104" t="n">
        <f aca="false">L2726+K2727</f>
        <v>19</v>
      </c>
    </row>
    <row r="2728" customFormat="false" ht="15" hidden="true" customHeight="true" outlineLevel="0" collapsed="false">
      <c r="F2728" s="116"/>
      <c r="G2728" s="116"/>
      <c r="K2728" s="104" t="n">
        <f aca="false">IF(A2728="",0,IF(IFERROR(VLOOKUP(A2728,Skills!$A:$M,13,FALSE()),"")="COS",0,IF(OR(I2728="En cours",I2728="À venir",I2728="À planifier"),IF(AND(OR($C$3="Tous",$C$3="",C2728=$C$3),OR($E$3="Tous",$E$3="",I2728=$E$3)),1,0),0)))</f>
        <v>0</v>
      </c>
      <c r="L2728" s="104" t="n">
        <f aca="false">L2727+K2728</f>
        <v>19</v>
      </c>
    </row>
    <row r="2729" customFormat="false" ht="15" hidden="true" customHeight="true" outlineLevel="0" collapsed="false">
      <c r="F2729" s="116"/>
      <c r="G2729" s="116"/>
      <c r="K2729" s="104" t="n">
        <f aca="false">IF(A2729="",0,IF(IFERROR(VLOOKUP(A2729,Skills!$A:$M,13,FALSE()),"")="COS",0,IF(OR(I2729="En cours",I2729="À venir",I2729="À planifier"),IF(AND(OR($C$3="Tous",$C$3="",C2729=$C$3),OR($E$3="Tous",$E$3="",I2729=$E$3)),1,0),0)))</f>
        <v>0</v>
      </c>
      <c r="L2729" s="104" t="n">
        <f aca="false">L2728+K2729</f>
        <v>19</v>
      </c>
    </row>
    <row r="2730" customFormat="false" ht="15" hidden="true" customHeight="true" outlineLevel="0" collapsed="false">
      <c r="F2730" s="116"/>
      <c r="G2730" s="116"/>
      <c r="K2730" s="104" t="n">
        <f aca="false">IF(A2730="",0,IF(IFERROR(VLOOKUP(A2730,Skills!$A:$M,13,FALSE()),"")="COS",0,IF(OR(I2730="En cours",I2730="À venir",I2730="À planifier"),IF(AND(OR($C$3="Tous",$C$3="",C2730=$C$3),OR($E$3="Tous",$E$3="",I2730=$E$3)),1,0),0)))</f>
        <v>0</v>
      </c>
      <c r="L2730" s="104" t="n">
        <f aca="false">L2729+K2730</f>
        <v>19</v>
      </c>
    </row>
    <row r="2731" customFormat="false" ht="15" hidden="true" customHeight="true" outlineLevel="0" collapsed="false">
      <c r="F2731" s="116"/>
      <c r="G2731" s="116"/>
      <c r="K2731" s="104" t="n">
        <f aca="false">IF(A2731="",0,IF(IFERROR(VLOOKUP(A2731,Skills!$A:$M,13,FALSE()),"")="COS",0,IF(OR(I2731="En cours",I2731="À venir",I2731="À planifier"),IF(AND(OR($C$3="Tous",$C$3="",C2731=$C$3),OR($E$3="Tous",$E$3="",I2731=$E$3)),1,0),0)))</f>
        <v>0</v>
      </c>
      <c r="L2731" s="104" t="n">
        <f aca="false">L2730+K2731</f>
        <v>19</v>
      </c>
    </row>
    <row r="2732" customFormat="false" ht="15" hidden="true" customHeight="true" outlineLevel="0" collapsed="false">
      <c r="F2732" s="116"/>
      <c r="G2732" s="116"/>
      <c r="K2732" s="104" t="n">
        <f aca="false">IF(A2732="",0,IF(IFERROR(VLOOKUP(A2732,Skills!$A:$M,13,FALSE()),"")="COS",0,IF(OR(I2732="En cours",I2732="À venir",I2732="À planifier"),IF(AND(OR($C$3="Tous",$C$3="",C2732=$C$3),OR($E$3="Tous",$E$3="",I2732=$E$3)),1,0),0)))</f>
        <v>0</v>
      </c>
      <c r="L2732" s="104" t="n">
        <f aca="false">L2731+K2732</f>
        <v>19</v>
      </c>
    </row>
    <row r="2733" customFormat="false" ht="15" hidden="true" customHeight="true" outlineLevel="0" collapsed="false">
      <c r="F2733" s="116"/>
      <c r="G2733" s="116"/>
      <c r="K2733" s="104" t="n">
        <f aca="false">IF(A2733="",0,IF(IFERROR(VLOOKUP(A2733,Skills!$A:$M,13,FALSE()),"")="COS",0,IF(OR(I2733="En cours",I2733="À venir",I2733="À planifier"),IF(AND(OR($C$3="Tous",$C$3="",C2733=$C$3),OR($E$3="Tous",$E$3="",I2733=$E$3)),1,0),0)))</f>
        <v>0</v>
      </c>
      <c r="L2733" s="104" t="n">
        <f aca="false">L2732+K2733</f>
        <v>19</v>
      </c>
    </row>
    <row r="2734" customFormat="false" ht="15" hidden="true" customHeight="true" outlineLevel="0" collapsed="false">
      <c r="F2734" s="116"/>
      <c r="G2734" s="116"/>
      <c r="K2734" s="104" t="n">
        <f aca="false">IF(A2734="",0,IF(IFERROR(VLOOKUP(A2734,Skills!$A:$M,13,FALSE()),"")="COS",0,IF(OR(I2734="En cours",I2734="À venir",I2734="À planifier"),IF(AND(OR($C$3="Tous",$C$3="",C2734=$C$3),OR($E$3="Tous",$E$3="",I2734=$E$3)),1,0),0)))</f>
        <v>0</v>
      </c>
      <c r="L2734" s="104" t="n">
        <f aca="false">L2733+K2734</f>
        <v>19</v>
      </c>
    </row>
    <row r="2735" customFormat="false" ht="15" hidden="true" customHeight="true" outlineLevel="0" collapsed="false">
      <c r="F2735" s="116"/>
      <c r="G2735" s="116"/>
      <c r="K2735" s="104" t="n">
        <f aca="false">IF(A2735="",0,IF(IFERROR(VLOOKUP(A2735,Skills!$A:$M,13,FALSE()),"")="COS",0,IF(OR(I2735="En cours",I2735="À venir",I2735="À planifier"),IF(AND(OR($C$3="Tous",$C$3="",C2735=$C$3),OR($E$3="Tous",$E$3="",I2735=$E$3)),1,0),0)))</f>
        <v>0</v>
      </c>
      <c r="L2735" s="104" t="n">
        <f aca="false">L2734+K2735</f>
        <v>19</v>
      </c>
    </row>
    <row r="2736" customFormat="false" ht="15" hidden="true" customHeight="true" outlineLevel="0" collapsed="false">
      <c r="F2736" s="116"/>
      <c r="G2736" s="116"/>
      <c r="K2736" s="104" t="n">
        <f aca="false">IF(A2736="",0,IF(IFERROR(VLOOKUP(A2736,Skills!$A:$M,13,FALSE()),"")="COS",0,IF(OR(I2736="En cours",I2736="À venir",I2736="À planifier"),IF(AND(OR($C$3="Tous",$C$3="",C2736=$C$3),OR($E$3="Tous",$E$3="",I2736=$E$3)),1,0),0)))</f>
        <v>0</v>
      </c>
      <c r="L2736" s="104" t="n">
        <f aca="false">L2735+K2736</f>
        <v>19</v>
      </c>
    </row>
    <row r="2737" customFormat="false" ht="15" hidden="true" customHeight="true" outlineLevel="0" collapsed="false">
      <c r="F2737" s="116"/>
      <c r="G2737" s="116"/>
      <c r="K2737" s="104" t="n">
        <f aca="false">IF(A2737="",0,IF(IFERROR(VLOOKUP(A2737,Skills!$A:$M,13,FALSE()),"")="COS",0,IF(OR(I2737="En cours",I2737="À venir",I2737="À planifier"),IF(AND(OR($C$3="Tous",$C$3="",C2737=$C$3),OR($E$3="Tous",$E$3="",I2737=$E$3)),1,0),0)))</f>
        <v>0</v>
      </c>
      <c r="L2737" s="104" t="n">
        <f aca="false">L2736+K2737</f>
        <v>19</v>
      </c>
    </row>
    <row r="2738" customFormat="false" ht="15" hidden="true" customHeight="true" outlineLevel="0" collapsed="false">
      <c r="F2738" s="116"/>
      <c r="G2738" s="116"/>
      <c r="K2738" s="104" t="n">
        <f aca="false">IF(A2738="",0,IF(IFERROR(VLOOKUP(A2738,Skills!$A:$M,13,FALSE()),"")="COS",0,IF(OR(I2738="En cours",I2738="À venir",I2738="À planifier"),IF(AND(OR($C$3="Tous",$C$3="",C2738=$C$3),OR($E$3="Tous",$E$3="",I2738=$E$3)),1,0),0)))</f>
        <v>0</v>
      </c>
      <c r="L2738" s="104" t="n">
        <f aca="false">L2737+K2738</f>
        <v>19</v>
      </c>
    </row>
    <row r="2739" customFormat="false" ht="15" hidden="true" customHeight="true" outlineLevel="0" collapsed="false">
      <c r="F2739" s="116"/>
      <c r="G2739" s="116"/>
      <c r="K2739" s="104" t="n">
        <f aca="false">IF(A2739="",0,IF(IFERROR(VLOOKUP(A2739,Skills!$A:$M,13,FALSE()),"")="COS",0,IF(OR(I2739="En cours",I2739="À venir",I2739="À planifier"),IF(AND(OR($C$3="Tous",$C$3="",C2739=$C$3),OR($E$3="Tous",$E$3="",I2739=$E$3)),1,0),0)))</f>
        <v>0</v>
      </c>
      <c r="L2739" s="104" t="n">
        <f aca="false">L2738+K2739</f>
        <v>19</v>
      </c>
    </row>
    <row r="2740" customFormat="false" ht="15" hidden="true" customHeight="true" outlineLevel="0" collapsed="false">
      <c r="F2740" s="116"/>
      <c r="G2740" s="116"/>
      <c r="K2740" s="104" t="n">
        <f aca="false">IF(A2740="",0,IF(IFERROR(VLOOKUP(A2740,Skills!$A:$M,13,FALSE()),"")="COS",0,IF(OR(I2740="En cours",I2740="À venir",I2740="À planifier"),IF(AND(OR($C$3="Tous",$C$3="",C2740=$C$3),OR($E$3="Tous",$E$3="",I2740=$E$3)),1,0),0)))</f>
        <v>0</v>
      </c>
      <c r="L2740" s="104" t="n">
        <f aca="false">L2739+K2740</f>
        <v>19</v>
      </c>
    </row>
    <row r="2741" customFormat="false" ht="15" hidden="true" customHeight="true" outlineLevel="0" collapsed="false">
      <c r="F2741" s="116"/>
      <c r="G2741" s="116"/>
      <c r="K2741" s="104" t="n">
        <f aca="false">IF(A2741="",0,IF(IFERROR(VLOOKUP(A2741,Skills!$A:$M,13,FALSE()),"")="COS",0,IF(OR(I2741="En cours",I2741="À venir",I2741="À planifier"),IF(AND(OR($C$3="Tous",$C$3="",C2741=$C$3),OR($E$3="Tous",$E$3="",I2741=$E$3)),1,0),0)))</f>
        <v>0</v>
      </c>
      <c r="L2741" s="104" t="n">
        <f aca="false">L2740+K2741</f>
        <v>19</v>
      </c>
    </row>
    <row r="2742" customFormat="false" ht="15" hidden="true" customHeight="true" outlineLevel="0" collapsed="false">
      <c r="F2742" s="116"/>
      <c r="G2742" s="116"/>
      <c r="K2742" s="104" t="n">
        <f aca="false">IF(A2742="",0,IF(IFERROR(VLOOKUP(A2742,Skills!$A:$M,13,FALSE()),"")="COS",0,IF(OR(I2742="En cours",I2742="À venir",I2742="À planifier"),IF(AND(OR($C$3="Tous",$C$3="",C2742=$C$3),OR($E$3="Tous",$E$3="",I2742=$E$3)),1,0),0)))</f>
        <v>0</v>
      </c>
      <c r="L2742" s="104" t="n">
        <f aca="false">L2741+K2742</f>
        <v>19</v>
      </c>
    </row>
    <row r="2743" customFormat="false" ht="15" hidden="true" customHeight="true" outlineLevel="0" collapsed="false">
      <c r="F2743" s="116"/>
      <c r="G2743" s="116"/>
      <c r="K2743" s="104" t="n">
        <f aca="false">IF(A2743="",0,IF(IFERROR(VLOOKUP(A2743,Skills!$A:$M,13,FALSE()),"")="COS",0,IF(OR(I2743="En cours",I2743="À venir",I2743="À planifier"),IF(AND(OR($C$3="Tous",$C$3="",C2743=$C$3),OR($E$3="Tous",$E$3="",I2743=$E$3)),1,0),0)))</f>
        <v>0</v>
      </c>
      <c r="L2743" s="104" t="n">
        <f aca="false">L2742+K2743</f>
        <v>19</v>
      </c>
    </row>
    <row r="2744" customFormat="false" ht="15" hidden="true" customHeight="true" outlineLevel="0" collapsed="false">
      <c r="F2744" s="116"/>
      <c r="G2744" s="116"/>
      <c r="K2744" s="104" t="n">
        <f aca="false">IF(A2744="",0,IF(IFERROR(VLOOKUP(A2744,Skills!$A:$M,13,FALSE()),"")="COS",0,IF(OR(I2744="En cours",I2744="À venir",I2744="À planifier"),IF(AND(OR($C$3="Tous",$C$3="",C2744=$C$3),OR($E$3="Tous",$E$3="",I2744=$E$3)),1,0),0)))</f>
        <v>0</v>
      </c>
      <c r="L2744" s="104" t="n">
        <f aca="false">L2743+K2744</f>
        <v>19</v>
      </c>
    </row>
    <row r="2745" customFormat="false" ht="15" hidden="true" customHeight="true" outlineLevel="0" collapsed="false">
      <c r="F2745" s="116"/>
      <c r="G2745" s="116"/>
      <c r="K2745" s="104" t="n">
        <f aca="false">IF(A2745="",0,IF(IFERROR(VLOOKUP(A2745,Skills!$A:$M,13,FALSE()),"")="COS",0,IF(OR(I2745="En cours",I2745="À venir",I2745="À planifier"),IF(AND(OR($C$3="Tous",$C$3="",C2745=$C$3),OR($E$3="Tous",$E$3="",I2745=$E$3)),1,0),0)))</f>
        <v>0</v>
      </c>
      <c r="L2745" s="104" t="n">
        <f aca="false">L2744+K2745</f>
        <v>19</v>
      </c>
    </row>
    <row r="2746" customFormat="false" ht="15" hidden="true" customHeight="true" outlineLevel="0" collapsed="false">
      <c r="F2746" s="116"/>
      <c r="G2746" s="116"/>
      <c r="K2746" s="104" t="n">
        <f aca="false">IF(A2746="",0,IF(IFERROR(VLOOKUP(A2746,Skills!$A:$M,13,FALSE()),"")="COS",0,IF(OR(I2746="En cours",I2746="À venir",I2746="À planifier"),IF(AND(OR($C$3="Tous",$C$3="",C2746=$C$3),OR($E$3="Tous",$E$3="",I2746=$E$3)),1,0),0)))</f>
        <v>0</v>
      </c>
      <c r="L2746" s="104" t="n">
        <f aca="false">L2745+K2746</f>
        <v>19</v>
      </c>
    </row>
    <row r="2747" customFormat="false" ht="15" hidden="true" customHeight="true" outlineLevel="0" collapsed="false">
      <c r="F2747" s="116"/>
      <c r="G2747" s="116"/>
      <c r="K2747" s="104" t="n">
        <f aca="false">IF(A2747="",0,IF(IFERROR(VLOOKUP(A2747,Skills!$A:$M,13,FALSE()),"")="COS",0,IF(OR(I2747="En cours",I2747="À venir",I2747="À planifier"),IF(AND(OR($C$3="Tous",$C$3="",C2747=$C$3),OR($E$3="Tous",$E$3="",I2747=$E$3)),1,0),0)))</f>
        <v>0</v>
      </c>
      <c r="L2747" s="104" t="n">
        <f aca="false">L2746+K2747</f>
        <v>19</v>
      </c>
    </row>
    <row r="2748" customFormat="false" ht="15" hidden="true" customHeight="true" outlineLevel="0" collapsed="false">
      <c r="F2748" s="116"/>
      <c r="G2748" s="116"/>
      <c r="K2748" s="104" t="n">
        <f aca="false">IF(A2748="",0,IF(IFERROR(VLOOKUP(A2748,Skills!$A:$M,13,FALSE()),"")="COS",0,IF(OR(I2748="En cours",I2748="À venir",I2748="À planifier"),IF(AND(OR($C$3="Tous",$C$3="",C2748=$C$3),OR($E$3="Tous",$E$3="",I2748=$E$3)),1,0),0)))</f>
        <v>0</v>
      </c>
      <c r="L2748" s="104" t="n">
        <f aca="false">L2747+K2748</f>
        <v>19</v>
      </c>
    </row>
    <row r="2749" customFormat="false" ht="15" hidden="true" customHeight="true" outlineLevel="0" collapsed="false">
      <c r="F2749" s="116"/>
      <c r="G2749" s="116"/>
      <c r="K2749" s="104" t="n">
        <f aca="false">IF(A2749="",0,IF(IFERROR(VLOOKUP(A2749,Skills!$A:$M,13,FALSE()),"")="COS",0,IF(OR(I2749="En cours",I2749="À venir",I2749="À planifier"),IF(AND(OR($C$3="Tous",$C$3="",C2749=$C$3),OR($E$3="Tous",$E$3="",I2749=$E$3)),1,0),0)))</f>
        <v>0</v>
      </c>
      <c r="L2749" s="104" t="n">
        <f aca="false">L2748+K2749</f>
        <v>19</v>
      </c>
    </row>
    <row r="2750" customFormat="false" ht="15" hidden="true" customHeight="true" outlineLevel="0" collapsed="false">
      <c r="F2750" s="116"/>
      <c r="G2750" s="116"/>
      <c r="K2750" s="104" t="n">
        <f aca="false">IF(A2750="",0,IF(IFERROR(VLOOKUP(A2750,Skills!$A:$M,13,FALSE()),"")="COS",0,IF(OR(I2750="En cours",I2750="À venir",I2750="À planifier"),IF(AND(OR($C$3="Tous",$C$3="",C2750=$C$3),OR($E$3="Tous",$E$3="",I2750=$E$3)),1,0),0)))</f>
        <v>0</v>
      </c>
      <c r="L2750" s="104" t="n">
        <f aca="false">L2749+K2750</f>
        <v>19</v>
      </c>
    </row>
    <row r="2751" customFormat="false" ht="15" hidden="true" customHeight="true" outlineLevel="0" collapsed="false">
      <c r="F2751" s="116"/>
      <c r="G2751" s="116"/>
      <c r="K2751" s="104" t="n">
        <f aca="false">IF(A2751="",0,IF(IFERROR(VLOOKUP(A2751,Skills!$A:$M,13,FALSE()),"")="COS",0,IF(OR(I2751="En cours",I2751="À venir",I2751="À planifier"),IF(AND(OR($C$3="Tous",$C$3="",C2751=$C$3),OR($E$3="Tous",$E$3="",I2751=$E$3)),1,0),0)))</f>
        <v>0</v>
      </c>
      <c r="L2751" s="104" t="n">
        <f aca="false">L2750+K2751</f>
        <v>19</v>
      </c>
    </row>
    <row r="2752" customFormat="false" ht="15" hidden="true" customHeight="true" outlineLevel="0" collapsed="false">
      <c r="F2752" s="116"/>
      <c r="G2752" s="116"/>
      <c r="K2752" s="104" t="n">
        <f aca="false">IF(A2752="",0,IF(IFERROR(VLOOKUP(A2752,Skills!$A:$M,13,FALSE()),"")="COS",0,IF(OR(I2752="En cours",I2752="À venir",I2752="À planifier"),IF(AND(OR($C$3="Tous",$C$3="",C2752=$C$3),OR($E$3="Tous",$E$3="",I2752=$E$3)),1,0),0)))</f>
        <v>0</v>
      </c>
      <c r="L2752" s="104" t="n">
        <f aca="false">L2751+K2752</f>
        <v>19</v>
      </c>
    </row>
    <row r="2753" customFormat="false" ht="15" hidden="true" customHeight="true" outlineLevel="0" collapsed="false">
      <c r="F2753" s="116"/>
      <c r="G2753" s="116"/>
      <c r="K2753" s="104" t="n">
        <f aca="false">IF(A2753="",0,IF(IFERROR(VLOOKUP(A2753,Skills!$A:$M,13,FALSE()),"")="COS",0,IF(OR(I2753="En cours",I2753="À venir",I2753="À planifier"),IF(AND(OR($C$3="Tous",$C$3="",C2753=$C$3),OR($E$3="Tous",$E$3="",I2753=$E$3)),1,0),0)))</f>
        <v>0</v>
      </c>
      <c r="L2753" s="104" t="n">
        <f aca="false">L2752+K2753</f>
        <v>19</v>
      </c>
    </row>
    <row r="2754" customFormat="false" ht="15" hidden="true" customHeight="true" outlineLevel="0" collapsed="false">
      <c r="F2754" s="116"/>
      <c r="G2754" s="116"/>
      <c r="K2754" s="104" t="n">
        <f aca="false">IF(A2754="",0,IF(IFERROR(VLOOKUP(A2754,Skills!$A:$M,13,FALSE()),"")="COS",0,IF(OR(I2754="En cours",I2754="À venir",I2754="À planifier"),IF(AND(OR($C$3="Tous",$C$3="",C2754=$C$3),OR($E$3="Tous",$E$3="",I2754=$E$3)),1,0),0)))</f>
        <v>0</v>
      </c>
      <c r="L2754" s="104" t="n">
        <f aca="false">L2753+K2754</f>
        <v>19</v>
      </c>
    </row>
    <row r="2755" customFormat="false" ht="15" hidden="true" customHeight="true" outlineLevel="0" collapsed="false">
      <c r="F2755" s="116"/>
      <c r="G2755" s="116"/>
      <c r="K2755" s="104" t="n">
        <f aca="false">IF(A2755="",0,IF(IFERROR(VLOOKUP(A2755,Skills!$A:$M,13,FALSE()),"")="COS",0,IF(OR(I2755="En cours",I2755="À venir",I2755="À planifier"),IF(AND(OR($C$3="Tous",$C$3="",C2755=$C$3),OR($E$3="Tous",$E$3="",I2755=$E$3)),1,0),0)))</f>
        <v>0</v>
      </c>
      <c r="L2755" s="104" t="n">
        <f aca="false">L2754+K2755</f>
        <v>19</v>
      </c>
    </row>
    <row r="2756" customFormat="false" ht="15" hidden="true" customHeight="true" outlineLevel="0" collapsed="false">
      <c r="F2756" s="116"/>
      <c r="G2756" s="116"/>
      <c r="K2756" s="104" t="n">
        <f aca="false">IF(A2756="",0,IF(IFERROR(VLOOKUP(A2756,Skills!$A:$M,13,FALSE()),"")="COS",0,IF(OR(I2756="En cours",I2756="À venir",I2756="À planifier"),IF(AND(OR($C$3="Tous",$C$3="",C2756=$C$3),OR($E$3="Tous",$E$3="",I2756=$E$3)),1,0),0)))</f>
        <v>0</v>
      </c>
      <c r="L2756" s="104" t="n">
        <f aca="false">L2755+K2756</f>
        <v>19</v>
      </c>
    </row>
    <row r="2757" customFormat="false" ht="15" hidden="true" customHeight="true" outlineLevel="0" collapsed="false">
      <c r="F2757" s="116"/>
      <c r="G2757" s="116"/>
      <c r="K2757" s="104" t="n">
        <f aca="false">IF(A2757="",0,IF(IFERROR(VLOOKUP(A2757,Skills!$A:$M,13,FALSE()),"")="COS",0,IF(OR(I2757="En cours",I2757="À venir",I2757="À planifier"),IF(AND(OR($C$3="Tous",$C$3="",C2757=$C$3),OR($E$3="Tous",$E$3="",I2757=$E$3)),1,0),0)))</f>
        <v>0</v>
      </c>
      <c r="L2757" s="104" t="n">
        <f aca="false">L2756+K2757</f>
        <v>19</v>
      </c>
    </row>
    <row r="2758" customFormat="false" ht="15" hidden="true" customHeight="true" outlineLevel="0" collapsed="false">
      <c r="F2758" s="116"/>
      <c r="G2758" s="116"/>
      <c r="K2758" s="104" t="n">
        <f aca="false">IF(A2758="",0,IF(IFERROR(VLOOKUP(A2758,Skills!$A:$M,13,FALSE()),"")="COS",0,IF(OR(I2758="En cours",I2758="À venir",I2758="À planifier"),IF(AND(OR($C$3="Tous",$C$3="",C2758=$C$3),OR($E$3="Tous",$E$3="",I2758=$E$3)),1,0),0)))</f>
        <v>0</v>
      </c>
      <c r="L2758" s="104" t="n">
        <f aca="false">L2757+K2758</f>
        <v>19</v>
      </c>
    </row>
    <row r="2759" customFormat="false" ht="15" hidden="true" customHeight="true" outlineLevel="0" collapsed="false">
      <c r="F2759" s="116"/>
      <c r="G2759" s="116"/>
      <c r="K2759" s="104" t="n">
        <f aca="false">IF(A2759="",0,IF(IFERROR(VLOOKUP(A2759,Skills!$A:$M,13,FALSE()),"")="COS",0,IF(OR(I2759="En cours",I2759="À venir",I2759="À planifier"),IF(AND(OR($C$3="Tous",$C$3="",C2759=$C$3),OR($E$3="Tous",$E$3="",I2759=$E$3)),1,0),0)))</f>
        <v>0</v>
      </c>
      <c r="L2759" s="104" t="n">
        <f aca="false">L2758+K2759</f>
        <v>19</v>
      </c>
    </row>
    <row r="2760" customFormat="false" ht="15" hidden="true" customHeight="true" outlineLevel="0" collapsed="false">
      <c r="F2760" s="116"/>
      <c r="G2760" s="116"/>
      <c r="K2760" s="104" t="n">
        <f aca="false">IF(A2760="",0,IF(IFERROR(VLOOKUP(A2760,Skills!$A:$M,13,FALSE()),"")="COS",0,IF(OR(I2760="En cours",I2760="À venir",I2760="À planifier"),IF(AND(OR($C$3="Tous",$C$3="",C2760=$C$3),OR($E$3="Tous",$E$3="",I2760=$E$3)),1,0),0)))</f>
        <v>0</v>
      </c>
      <c r="L2760" s="104" t="n">
        <f aca="false">L2759+K2760</f>
        <v>19</v>
      </c>
    </row>
    <row r="2761" customFormat="false" ht="15" hidden="true" customHeight="true" outlineLevel="0" collapsed="false">
      <c r="F2761" s="116"/>
      <c r="G2761" s="116"/>
      <c r="K2761" s="104" t="n">
        <f aca="false">IF(A2761="",0,IF(IFERROR(VLOOKUP(A2761,Skills!$A:$M,13,FALSE()),"")="COS",0,IF(OR(I2761="En cours",I2761="À venir",I2761="À planifier"),IF(AND(OR($C$3="Tous",$C$3="",C2761=$C$3),OR($E$3="Tous",$E$3="",I2761=$E$3)),1,0),0)))</f>
        <v>0</v>
      </c>
      <c r="L2761" s="104" t="n">
        <f aca="false">L2760+K2761</f>
        <v>19</v>
      </c>
    </row>
    <row r="2762" customFormat="false" ht="15" hidden="true" customHeight="true" outlineLevel="0" collapsed="false">
      <c r="F2762" s="116"/>
      <c r="G2762" s="116"/>
      <c r="K2762" s="104" t="n">
        <f aca="false">IF(A2762="",0,IF(IFERROR(VLOOKUP(A2762,Skills!$A:$M,13,FALSE()),"")="COS",0,IF(OR(I2762="En cours",I2762="À venir",I2762="À planifier"),IF(AND(OR($C$3="Tous",$C$3="",C2762=$C$3),OR($E$3="Tous",$E$3="",I2762=$E$3)),1,0),0)))</f>
        <v>0</v>
      </c>
      <c r="L2762" s="104" t="n">
        <f aca="false">L2761+K2762</f>
        <v>19</v>
      </c>
    </row>
    <row r="2763" customFormat="false" ht="15" hidden="true" customHeight="true" outlineLevel="0" collapsed="false">
      <c r="F2763" s="116"/>
      <c r="G2763" s="116"/>
      <c r="K2763" s="104" t="n">
        <f aca="false">IF(A2763="",0,IF(IFERROR(VLOOKUP(A2763,Skills!$A:$M,13,FALSE()),"")="COS",0,IF(OR(I2763="En cours",I2763="À venir",I2763="À planifier"),IF(AND(OR($C$3="Tous",$C$3="",C2763=$C$3),OR($E$3="Tous",$E$3="",I2763=$E$3)),1,0),0)))</f>
        <v>0</v>
      </c>
      <c r="L2763" s="104" t="n">
        <f aca="false">L2762+K2763</f>
        <v>19</v>
      </c>
    </row>
    <row r="2764" customFormat="false" ht="15" hidden="true" customHeight="true" outlineLevel="0" collapsed="false">
      <c r="F2764" s="116"/>
      <c r="G2764" s="116"/>
      <c r="K2764" s="104" t="n">
        <f aca="false">IF(A2764="",0,IF(IFERROR(VLOOKUP(A2764,Skills!$A:$M,13,FALSE()),"")="COS",0,IF(OR(I2764="En cours",I2764="À venir",I2764="À planifier"),IF(AND(OR($C$3="Tous",$C$3="",C2764=$C$3),OR($E$3="Tous",$E$3="",I2764=$E$3)),1,0),0)))</f>
        <v>0</v>
      </c>
      <c r="L2764" s="104" t="n">
        <f aca="false">L2763+K2764</f>
        <v>19</v>
      </c>
    </row>
    <row r="2765" customFormat="false" ht="15" hidden="true" customHeight="true" outlineLevel="0" collapsed="false">
      <c r="F2765" s="116"/>
      <c r="G2765" s="116"/>
      <c r="K2765" s="104" t="n">
        <f aca="false">IF(A2765="",0,IF(IFERROR(VLOOKUP(A2765,Skills!$A:$M,13,FALSE()),"")="COS",0,IF(OR(I2765="En cours",I2765="À venir",I2765="À planifier"),IF(AND(OR($C$3="Tous",$C$3="",C2765=$C$3),OR($E$3="Tous",$E$3="",I2765=$E$3)),1,0),0)))</f>
        <v>0</v>
      </c>
      <c r="L2765" s="104" t="n">
        <f aca="false">L2764+K2765</f>
        <v>19</v>
      </c>
    </row>
    <row r="2766" customFormat="false" ht="15" hidden="true" customHeight="true" outlineLevel="0" collapsed="false">
      <c r="F2766" s="116"/>
      <c r="G2766" s="116"/>
      <c r="K2766" s="104" t="n">
        <f aca="false">IF(A2766="",0,IF(IFERROR(VLOOKUP(A2766,Skills!$A:$M,13,FALSE()),"")="COS",0,IF(OR(I2766="En cours",I2766="À venir",I2766="À planifier"),IF(AND(OR($C$3="Tous",$C$3="",C2766=$C$3),OR($E$3="Tous",$E$3="",I2766=$E$3)),1,0),0)))</f>
        <v>0</v>
      </c>
      <c r="L2766" s="104" t="n">
        <f aca="false">L2765+K2766</f>
        <v>19</v>
      </c>
    </row>
    <row r="2767" customFormat="false" ht="15" hidden="true" customHeight="true" outlineLevel="0" collapsed="false">
      <c r="F2767" s="116"/>
      <c r="G2767" s="116"/>
      <c r="K2767" s="104" t="n">
        <f aca="false">IF(A2767="",0,IF(IFERROR(VLOOKUP(A2767,Skills!$A:$M,13,FALSE()),"")="COS",0,IF(OR(I2767="En cours",I2767="À venir",I2767="À planifier"),IF(AND(OR($C$3="Tous",$C$3="",C2767=$C$3),OR($E$3="Tous",$E$3="",I2767=$E$3)),1,0),0)))</f>
        <v>0</v>
      </c>
      <c r="L2767" s="104" t="n">
        <f aca="false">L2766+K2767</f>
        <v>19</v>
      </c>
    </row>
    <row r="2768" customFormat="false" ht="15" hidden="true" customHeight="true" outlineLevel="0" collapsed="false">
      <c r="F2768" s="116"/>
      <c r="G2768" s="116"/>
      <c r="K2768" s="104" t="n">
        <f aca="false">IF(A2768="",0,IF(IFERROR(VLOOKUP(A2768,Skills!$A:$M,13,FALSE()),"")="COS",0,IF(OR(I2768="En cours",I2768="À venir",I2768="À planifier"),IF(AND(OR($C$3="Tous",$C$3="",C2768=$C$3),OR($E$3="Tous",$E$3="",I2768=$E$3)),1,0),0)))</f>
        <v>0</v>
      </c>
      <c r="L2768" s="104" t="n">
        <f aca="false">L2767+K2768</f>
        <v>19</v>
      </c>
    </row>
    <row r="2769" customFormat="false" ht="15" hidden="true" customHeight="true" outlineLevel="0" collapsed="false">
      <c r="F2769" s="116"/>
      <c r="G2769" s="116"/>
      <c r="K2769" s="104" t="n">
        <f aca="false">IF(A2769="",0,IF(IFERROR(VLOOKUP(A2769,Skills!$A:$M,13,FALSE()),"")="COS",0,IF(OR(I2769="En cours",I2769="À venir",I2769="À planifier"),IF(AND(OR($C$3="Tous",$C$3="",C2769=$C$3),OR($E$3="Tous",$E$3="",I2769=$E$3)),1,0),0)))</f>
        <v>0</v>
      </c>
      <c r="L2769" s="104" t="n">
        <f aca="false">L2768+K2769</f>
        <v>19</v>
      </c>
    </row>
    <row r="2770" customFormat="false" ht="15" hidden="true" customHeight="true" outlineLevel="0" collapsed="false">
      <c r="F2770" s="116"/>
      <c r="G2770" s="116"/>
      <c r="K2770" s="104" t="n">
        <f aca="false">IF(A2770="",0,IF(IFERROR(VLOOKUP(A2770,Skills!$A:$M,13,FALSE()),"")="COS",0,IF(OR(I2770="En cours",I2770="À venir",I2770="À planifier"),IF(AND(OR($C$3="Tous",$C$3="",C2770=$C$3),OR($E$3="Tous",$E$3="",I2770=$E$3)),1,0),0)))</f>
        <v>0</v>
      </c>
      <c r="L2770" s="104" t="n">
        <f aca="false">L2769+K2770</f>
        <v>19</v>
      </c>
    </row>
    <row r="2771" customFormat="false" ht="15" hidden="true" customHeight="true" outlineLevel="0" collapsed="false">
      <c r="F2771" s="116"/>
      <c r="G2771" s="116"/>
      <c r="K2771" s="104" t="n">
        <f aca="false">IF(A2771="",0,IF(IFERROR(VLOOKUP(A2771,Skills!$A:$M,13,FALSE()),"")="COS",0,IF(OR(I2771="En cours",I2771="À venir",I2771="À planifier"),IF(AND(OR($C$3="Tous",$C$3="",C2771=$C$3),OR($E$3="Tous",$E$3="",I2771=$E$3)),1,0),0)))</f>
        <v>0</v>
      </c>
      <c r="L2771" s="104" t="n">
        <f aca="false">L2770+K2771</f>
        <v>19</v>
      </c>
    </row>
    <row r="2772" customFormat="false" ht="15" hidden="true" customHeight="true" outlineLevel="0" collapsed="false">
      <c r="F2772" s="116"/>
      <c r="G2772" s="116"/>
      <c r="K2772" s="104" t="n">
        <f aca="false">IF(A2772="",0,IF(IFERROR(VLOOKUP(A2772,Skills!$A:$M,13,FALSE()),"")="COS",0,IF(OR(I2772="En cours",I2772="À venir",I2772="À planifier"),IF(AND(OR($C$3="Tous",$C$3="",C2772=$C$3),OR($E$3="Tous",$E$3="",I2772=$E$3)),1,0),0)))</f>
        <v>0</v>
      </c>
      <c r="L2772" s="104" t="n">
        <f aca="false">L2771+K2772</f>
        <v>19</v>
      </c>
    </row>
    <row r="2773" customFormat="false" ht="15" hidden="true" customHeight="true" outlineLevel="0" collapsed="false">
      <c r="F2773" s="116"/>
      <c r="G2773" s="116"/>
      <c r="K2773" s="104" t="n">
        <f aca="false">IF(A2773="",0,IF(IFERROR(VLOOKUP(A2773,Skills!$A:$M,13,FALSE()),"")="COS",0,IF(OR(I2773="En cours",I2773="À venir",I2773="À planifier"),IF(AND(OR($C$3="Tous",$C$3="",C2773=$C$3),OR($E$3="Tous",$E$3="",I2773=$E$3)),1,0),0)))</f>
        <v>0</v>
      </c>
      <c r="L2773" s="104" t="n">
        <f aca="false">L2772+K2773</f>
        <v>19</v>
      </c>
    </row>
    <row r="2774" customFormat="false" ht="15" hidden="true" customHeight="true" outlineLevel="0" collapsed="false">
      <c r="F2774" s="116"/>
      <c r="G2774" s="116"/>
      <c r="K2774" s="104" t="n">
        <f aca="false">IF(A2774="",0,IF(IFERROR(VLOOKUP(A2774,Skills!$A:$M,13,FALSE()),"")="COS",0,IF(OR(I2774="En cours",I2774="À venir",I2774="À planifier"),IF(AND(OR($C$3="Tous",$C$3="",C2774=$C$3),OR($E$3="Tous",$E$3="",I2774=$E$3)),1,0),0)))</f>
        <v>0</v>
      </c>
      <c r="L2774" s="104" t="n">
        <f aca="false">L2773+K2774</f>
        <v>19</v>
      </c>
    </row>
    <row r="2775" customFormat="false" ht="15" hidden="true" customHeight="true" outlineLevel="0" collapsed="false">
      <c r="F2775" s="116"/>
      <c r="G2775" s="116"/>
      <c r="K2775" s="104" t="n">
        <f aca="false">IF(A2775="",0,IF(IFERROR(VLOOKUP(A2775,Skills!$A:$M,13,FALSE()),"")="COS",0,IF(OR(I2775="En cours",I2775="À venir",I2775="À planifier"),IF(AND(OR($C$3="Tous",$C$3="",C2775=$C$3),OR($E$3="Tous",$E$3="",I2775=$E$3)),1,0),0)))</f>
        <v>0</v>
      </c>
      <c r="L2775" s="104" t="n">
        <f aca="false">L2774+K2775</f>
        <v>19</v>
      </c>
    </row>
    <row r="2776" customFormat="false" ht="15" hidden="true" customHeight="true" outlineLevel="0" collapsed="false">
      <c r="F2776" s="116"/>
      <c r="G2776" s="116"/>
      <c r="K2776" s="104" t="n">
        <f aca="false">IF(A2776="",0,IF(IFERROR(VLOOKUP(A2776,Skills!$A:$M,13,FALSE()),"")="COS",0,IF(OR(I2776="En cours",I2776="À venir",I2776="À planifier"),IF(AND(OR($C$3="Tous",$C$3="",C2776=$C$3),OR($E$3="Tous",$E$3="",I2776=$E$3)),1,0),0)))</f>
        <v>0</v>
      </c>
      <c r="L2776" s="104" t="n">
        <f aca="false">L2775+K2776</f>
        <v>19</v>
      </c>
    </row>
    <row r="2777" customFormat="false" ht="15" hidden="true" customHeight="true" outlineLevel="0" collapsed="false">
      <c r="F2777" s="116"/>
      <c r="G2777" s="116"/>
      <c r="K2777" s="104" t="n">
        <f aca="false">IF(A2777="",0,IF(IFERROR(VLOOKUP(A2777,Skills!$A:$M,13,FALSE()),"")="COS",0,IF(OR(I2777="En cours",I2777="À venir",I2777="À planifier"),IF(AND(OR($C$3="Tous",$C$3="",C2777=$C$3),OR($E$3="Tous",$E$3="",I2777=$E$3)),1,0),0)))</f>
        <v>0</v>
      </c>
      <c r="L2777" s="104" t="n">
        <f aca="false">L2776+K2777</f>
        <v>19</v>
      </c>
    </row>
    <row r="2778" customFormat="false" ht="15" hidden="true" customHeight="true" outlineLevel="0" collapsed="false">
      <c r="F2778" s="116"/>
      <c r="G2778" s="116"/>
      <c r="K2778" s="104" t="n">
        <f aca="false">IF(A2778="",0,IF(IFERROR(VLOOKUP(A2778,Skills!$A:$M,13,FALSE()),"")="COS",0,IF(OR(I2778="En cours",I2778="À venir",I2778="À planifier"),IF(AND(OR($C$3="Tous",$C$3="",C2778=$C$3),OR($E$3="Tous",$E$3="",I2778=$E$3)),1,0),0)))</f>
        <v>0</v>
      </c>
      <c r="L2778" s="104" t="n">
        <f aca="false">L2777+K2778</f>
        <v>19</v>
      </c>
    </row>
    <row r="2779" customFormat="false" ht="15" hidden="true" customHeight="true" outlineLevel="0" collapsed="false">
      <c r="F2779" s="116"/>
      <c r="G2779" s="116"/>
      <c r="K2779" s="104" t="n">
        <f aca="false">IF(A2779="",0,IF(IFERROR(VLOOKUP(A2779,Skills!$A:$M,13,FALSE()),"")="COS",0,IF(OR(I2779="En cours",I2779="À venir",I2779="À planifier"),IF(AND(OR($C$3="Tous",$C$3="",C2779=$C$3),OR($E$3="Tous",$E$3="",I2779=$E$3)),1,0),0)))</f>
        <v>0</v>
      </c>
      <c r="L2779" s="104" t="n">
        <f aca="false">L2778+K2779</f>
        <v>19</v>
      </c>
    </row>
    <row r="2780" customFormat="false" ht="15" hidden="true" customHeight="true" outlineLevel="0" collapsed="false">
      <c r="F2780" s="116"/>
      <c r="G2780" s="116"/>
      <c r="K2780" s="104" t="n">
        <f aca="false">IF(A2780="",0,IF(IFERROR(VLOOKUP(A2780,Skills!$A:$M,13,FALSE()),"")="COS",0,IF(OR(I2780="En cours",I2780="À venir",I2780="À planifier"),IF(AND(OR($C$3="Tous",$C$3="",C2780=$C$3),OR($E$3="Tous",$E$3="",I2780=$E$3)),1,0),0)))</f>
        <v>0</v>
      </c>
      <c r="L2780" s="104" t="n">
        <f aca="false">L2779+K2780</f>
        <v>19</v>
      </c>
    </row>
    <row r="2781" customFormat="false" ht="15" hidden="true" customHeight="true" outlineLevel="0" collapsed="false">
      <c r="F2781" s="116"/>
      <c r="G2781" s="116"/>
      <c r="K2781" s="104" t="n">
        <f aca="false">IF(A2781="",0,IF(IFERROR(VLOOKUP(A2781,Skills!$A:$M,13,FALSE()),"")="COS",0,IF(OR(I2781="En cours",I2781="À venir",I2781="À planifier"),IF(AND(OR($C$3="Tous",$C$3="",C2781=$C$3),OR($E$3="Tous",$E$3="",I2781=$E$3)),1,0),0)))</f>
        <v>0</v>
      </c>
      <c r="L2781" s="104" t="n">
        <f aca="false">L2780+K2781</f>
        <v>19</v>
      </c>
    </row>
    <row r="2782" customFormat="false" ht="15" hidden="true" customHeight="true" outlineLevel="0" collapsed="false">
      <c r="F2782" s="116"/>
      <c r="G2782" s="116"/>
      <c r="K2782" s="104" t="n">
        <f aca="false">IF(A2782="",0,IF(IFERROR(VLOOKUP(A2782,Skills!$A:$M,13,FALSE()),"")="COS",0,IF(OR(I2782="En cours",I2782="À venir",I2782="À planifier"),IF(AND(OR($C$3="Tous",$C$3="",C2782=$C$3),OR($E$3="Tous",$E$3="",I2782=$E$3)),1,0),0)))</f>
        <v>0</v>
      </c>
      <c r="L2782" s="104" t="n">
        <f aca="false">L2781+K2782</f>
        <v>19</v>
      </c>
    </row>
    <row r="2783" customFormat="false" ht="15" hidden="true" customHeight="true" outlineLevel="0" collapsed="false">
      <c r="F2783" s="116"/>
      <c r="G2783" s="116"/>
      <c r="K2783" s="104" t="n">
        <f aca="false">IF(A2783="",0,IF(IFERROR(VLOOKUP(A2783,Skills!$A:$M,13,FALSE()),"")="COS",0,IF(OR(I2783="En cours",I2783="À venir",I2783="À planifier"),IF(AND(OR($C$3="Tous",$C$3="",C2783=$C$3),OR($E$3="Tous",$E$3="",I2783=$E$3)),1,0),0)))</f>
        <v>0</v>
      </c>
      <c r="L2783" s="104" t="n">
        <f aca="false">L2782+K2783</f>
        <v>19</v>
      </c>
    </row>
    <row r="2784" customFormat="false" ht="15" hidden="true" customHeight="true" outlineLevel="0" collapsed="false">
      <c r="F2784" s="116"/>
      <c r="G2784" s="116"/>
      <c r="K2784" s="104" t="n">
        <f aca="false">IF(A2784="",0,IF(IFERROR(VLOOKUP(A2784,Skills!$A:$M,13,FALSE()),"")="COS",0,IF(OR(I2784="En cours",I2784="À venir",I2784="À planifier"),IF(AND(OR($C$3="Tous",$C$3="",C2784=$C$3),OR($E$3="Tous",$E$3="",I2784=$E$3)),1,0),0)))</f>
        <v>0</v>
      </c>
      <c r="L2784" s="104" t="n">
        <f aca="false">L2783+K2784</f>
        <v>19</v>
      </c>
    </row>
    <row r="2785" customFormat="false" ht="15" hidden="true" customHeight="true" outlineLevel="0" collapsed="false">
      <c r="F2785" s="116"/>
      <c r="G2785" s="116"/>
      <c r="K2785" s="104" t="n">
        <f aca="false">IF(A2785="",0,IF(IFERROR(VLOOKUP(A2785,Skills!$A:$M,13,FALSE()),"")="COS",0,IF(OR(I2785="En cours",I2785="À venir",I2785="À planifier"),IF(AND(OR($C$3="Tous",$C$3="",C2785=$C$3),OR($E$3="Tous",$E$3="",I2785=$E$3)),1,0),0)))</f>
        <v>0</v>
      </c>
      <c r="L2785" s="104" t="n">
        <f aca="false">L2784+K2785</f>
        <v>19</v>
      </c>
    </row>
    <row r="2786" customFormat="false" ht="15" hidden="true" customHeight="true" outlineLevel="0" collapsed="false">
      <c r="F2786" s="116"/>
      <c r="G2786" s="116"/>
      <c r="K2786" s="104" t="n">
        <f aca="false">IF(A2786="",0,IF(IFERROR(VLOOKUP(A2786,Skills!$A:$M,13,FALSE()),"")="COS",0,IF(OR(I2786="En cours",I2786="À venir",I2786="À planifier"),IF(AND(OR($C$3="Tous",$C$3="",C2786=$C$3),OR($E$3="Tous",$E$3="",I2786=$E$3)),1,0),0)))</f>
        <v>0</v>
      </c>
      <c r="L2786" s="104" t="n">
        <f aca="false">L2785+K2786</f>
        <v>19</v>
      </c>
    </row>
    <row r="2787" customFormat="false" ht="15" hidden="true" customHeight="true" outlineLevel="0" collapsed="false">
      <c r="F2787" s="116"/>
      <c r="G2787" s="116"/>
      <c r="K2787" s="104" t="n">
        <f aca="false">IF(A2787="",0,IF(IFERROR(VLOOKUP(A2787,Skills!$A:$M,13,FALSE()),"")="COS",0,IF(OR(I2787="En cours",I2787="À venir",I2787="À planifier"),IF(AND(OR($C$3="Tous",$C$3="",C2787=$C$3),OR($E$3="Tous",$E$3="",I2787=$E$3)),1,0),0)))</f>
        <v>0</v>
      </c>
      <c r="L2787" s="104" t="n">
        <f aca="false">L2786+K2787</f>
        <v>19</v>
      </c>
    </row>
    <row r="2788" customFormat="false" ht="15" hidden="true" customHeight="true" outlineLevel="0" collapsed="false">
      <c r="F2788" s="116"/>
      <c r="G2788" s="116"/>
      <c r="K2788" s="104" t="n">
        <f aca="false">IF(A2788="",0,IF(IFERROR(VLOOKUP(A2788,Skills!$A:$M,13,FALSE()),"")="COS",0,IF(OR(I2788="En cours",I2788="À venir",I2788="À planifier"),IF(AND(OR($C$3="Tous",$C$3="",C2788=$C$3),OR($E$3="Tous",$E$3="",I2788=$E$3)),1,0),0)))</f>
        <v>0</v>
      </c>
      <c r="L2788" s="104" t="n">
        <f aca="false">L2787+K2788</f>
        <v>19</v>
      </c>
    </row>
    <row r="2789" customFormat="false" ht="15" hidden="true" customHeight="true" outlineLevel="0" collapsed="false">
      <c r="F2789" s="116"/>
      <c r="G2789" s="116"/>
      <c r="K2789" s="104" t="n">
        <f aca="false">IF(A2789="",0,IF(IFERROR(VLOOKUP(A2789,Skills!$A:$M,13,FALSE()),"")="COS",0,IF(OR(I2789="En cours",I2789="À venir",I2789="À planifier"),IF(AND(OR($C$3="Tous",$C$3="",C2789=$C$3),OR($E$3="Tous",$E$3="",I2789=$E$3)),1,0),0)))</f>
        <v>0</v>
      </c>
      <c r="L2789" s="104" t="n">
        <f aca="false">L2788+K2789</f>
        <v>19</v>
      </c>
    </row>
    <row r="2790" customFormat="false" ht="15" hidden="true" customHeight="true" outlineLevel="0" collapsed="false">
      <c r="F2790" s="116"/>
      <c r="G2790" s="116"/>
      <c r="K2790" s="104" t="n">
        <f aca="false">IF(A2790="",0,IF(IFERROR(VLOOKUP(A2790,Skills!$A:$M,13,FALSE()),"")="COS",0,IF(OR(I2790="En cours",I2790="À venir",I2790="À planifier"),IF(AND(OR($C$3="Tous",$C$3="",C2790=$C$3),OR($E$3="Tous",$E$3="",I2790=$E$3)),1,0),0)))</f>
        <v>0</v>
      </c>
      <c r="L2790" s="104" t="n">
        <f aca="false">L2789+K2790</f>
        <v>19</v>
      </c>
    </row>
    <row r="2791" customFormat="false" ht="15" hidden="true" customHeight="true" outlineLevel="0" collapsed="false">
      <c r="F2791" s="116"/>
      <c r="G2791" s="116"/>
      <c r="K2791" s="104" t="n">
        <f aca="false">IF(A2791="",0,IF(IFERROR(VLOOKUP(A2791,Skills!$A:$M,13,FALSE()),"")="COS",0,IF(OR(I2791="En cours",I2791="À venir",I2791="À planifier"),IF(AND(OR($C$3="Tous",$C$3="",C2791=$C$3),OR($E$3="Tous",$E$3="",I2791=$E$3)),1,0),0)))</f>
        <v>0</v>
      </c>
      <c r="L2791" s="104" t="n">
        <f aca="false">L2790+K2791</f>
        <v>19</v>
      </c>
    </row>
    <row r="2792" customFormat="false" ht="15" hidden="true" customHeight="true" outlineLevel="0" collapsed="false">
      <c r="F2792" s="116"/>
      <c r="G2792" s="116"/>
      <c r="K2792" s="104" t="n">
        <f aca="false">IF(A2792="",0,IF(IFERROR(VLOOKUP(A2792,Skills!$A:$M,13,FALSE()),"")="COS",0,IF(OR(I2792="En cours",I2792="À venir",I2792="À planifier"),IF(AND(OR($C$3="Tous",$C$3="",C2792=$C$3),OR($E$3="Tous",$E$3="",I2792=$E$3)),1,0),0)))</f>
        <v>0</v>
      </c>
      <c r="L2792" s="104" t="n">
        <f aca="false">L2791+K2792</f>
        <v>19</v>
      </c>
    </row>
    <row r="2793" customFormat="false" ht="15" hidden="true" customHeight="true" outlineLevel="0" collapsed="false">
      <c r="F2793" s="116"/>
      <c r="G2793" s="116"/>
      <c r="K2793" s="104" t="n">
        <f aca="false">IF(A2793="",0,IF(IFERROR(VLOOKUP(A2793,Skills!$A:$M,13,FALSE()),"")="COS",0,IF(OR(I2793="En cours",I2793="À venir",I2793="À planifier"),IF(AND(OR($C$3="Tous",$C$3="",C2793=$C$3),OR($E$3="Tous",$E$3="",I2793=$E$3)),1,0),0)))</f>
        <v>0</v>
      </c>
      <c r="L2793" s="104" t="n">
        <f aca="false">L2792+K2793</f>
        <v>19</v>
      </c>
    </row>
    <row r="2794" customFormat="false" ht="15" hidden="true" customHeight="true" outlineLevel="0" collapsed="false">
      <c r="F2794" s="116"/>
      <c r="G2794" s="116"/>
      <c r="K2794" s="104" t="n">
        <f aca="false">IF(A2794="",0,IF(IFERROR(VLOOKUP(A2794,Skills!$A:$M,13,FALSE()),"")="COS",0,IF(OR(I2794="En cours",I2794="À venir",I2794="À planifier"),IF(AND(OR($C$3="Tous",$C$3="",C2794=$C$3),OR($E$3="Tous",$E$3="",I2794=$E$3)),1,0),0)))</f>
        <v>0</v>
      </c>
      <c r="L2794" s="104" t="n">
        <f aca="false">L2793+K2794</f>
        <v>19</v>
      </c>
    </row>
    <row r="2795" customFormat="false" ht="15" hidden="true" customHeight="true" outlineLevel="0" collapsed="false">
      <c r="F2795" s="116"/>
      <c r="G2795" s="116"/>
      <c r="K2795" s="104" t="n">
        <f aca="false">IF(A2795="",0,IF(IFERROR(VLOOKUP(A2795,Skills!$A:$M,13,FALSE()),"")="COS",0,IF(OR(I2795="En cours",I2795="À venir",I2795="À planifier"),IF(AND(OR($C$3="Tous",$C$3="",C2795=$C$3),OR($E$3="Tous",$E$3="",I2795=$E$3)),1,0),0)))</f>
        <v>0</v>
      </c>
      <c r="L2795" s="104" t="n">
        <f aca="false">L2794+K2795</f>
        <v>19</v>
      </c>
    </row>
    <row r="2796" customFormat="false" ht="15" hidden="true" customHeight="true" outlineLevel="0" collapsed="false">
      <c r="F2796" s="116"/>
      <c r="G2796" s="116"/>
      <c r="K2796" s="104" t="n">
        <f aca="false">IF(A2796="",0,IF(IFERROR(VLOOKUP(A2796,Skills!$A:$M,13,FALSE()),"")="COS",0,IF(OR(I2796="En cours",I2796="À venir",I2796="À planifier"),IF(AND(OR($C$3="Tous",$C$3="",C2796=$C$3),OR($E$3="Tous",$E$3="",I2796=$E$3)),1,0),0)))</f>
        <v>0</v>
      </c>
      <c r="L2796" s="104" t="n">
        <f aca="false">L2795+K2796</f>
        <v>19</v>
      </c>
    </row>
    <row r="2797" customFormat="false" ht="15" hidden="true" customHeight="true" outlineLevel="0" collapsed="false">
      <c r="F2797" s="116"/>
      <c r="G2797" s="116"/>
      <c r="K2797" s="104" t="n">
        <f aca="false">IF(A2797="",0,IF(IFERROR(VLOOKUP(A2797,Skills!$A:$M,13,FALSE()),"")="COS",0,IF(OR(I2797="En cours",I2797="À venir",I2797="À planifier"),IF(AND(OR($C$3="Tous",$C$3="",C2797=$C$3),OR($E$3="Tous",$E$3="",I2797=$E$3)),1,0),0)))</f>
        <v>0</v>
      </c>
      <c r="L2797" s="104" t="n">
        <f aca="false">L2796+K2797</f>
        <v>19</v>
      </c>
    </row>
    <row r="2798" customFormat="false" ht="15" hidden="true" customHeight="true" outlineLevel="0" collapsed="false">
      <c r="F2798" s="116"/>
      <c r="G2798" s="116"/>
      <c r="K2798" s="104" t="n">
        <f aca="false">IF(A2798="",0,IF(IFERROR(VLOOKUP(A2798,Skills!$A:$M,13,FALSE()),"")="COS",0,IF(OR(I2798="En cours",I2798="À venir",I2798="À planifier"),IF(AND(OR($C$3="Tous",$C$3="",C2798=$C$3),OR($E$3="Tous",$E$3="",I2798=$E$3)),1,0),0)))</f>
        <v>0</v>
      </c>
      <c r="L2798" s="104" t="n">
        <f aca="false">L2797+K2798</f>
        <v>19</v>
      </c>
    </row>
    <row r="2799" customFormat="false" ht="15" hidden="true" customHeight="true" outlineLevel="0" collapsed="false">
      <c r="F2799" s="116"/>
      <c r="G2799" s="116"/>
      <c r="K2799" s="104" t="n">
        <f aca="false">IF(A2799="",0,IF(IFERROR(VLOOKUP(A2799,Skills!$A:$M,13,FALSE()),"")="COS",0,IF(OR(I2799="En cours",I2799="À venir",I2799="À planifier"),IF(AND(OR($C$3="Tous",$C$3="",C2799=$C$3),OR($E$3="Tous",$E$3="",I2799=$E$3)),1,0),0)))</f>
        <v>0</v>
      </c>
      <c r="L2799" s="104" t="n">
        <f aca="false">L2798+K2799</f>
        <v>19</v>
      </c>
    </row>
    <row r="2800" customFormat="false" ht="15" hidden="true" customHeight="true" outlineLevel="0" collapsed="false">
      <c r="F2800" s="116"/>
      <c r="G2800" s="116"/>
      <c r="K2800" s="104" t="n">
        <f aca="false">IF(A2800="",0,IF(IFERROR(VLOOKUP(A2800,Skills!$A:$M,13,FALSE()),"")="COS",0,IF(OR(I2800="En cours",I2800="À venir",I2800="À planifier"),IF(AND(OR($C$3="Tous",$C$3="",C2800=$C$3),OR($E$3="Tous",$E$3="",I2800=$E$3)),1,0),0)))</f>
        <v>0</v>
      </c>
      <c r="L2800" s="104" t="n">
        <f aca="false">L2799+K2800</f>
        <v>19</v>
      </c>
    </row>
    <row r="2801" customFormat="false" ht="15" hidden="true" customHeight="true" outlineLevel="0" collapsed="false">
      <c r="F2801" s="116"/>
      <c r="G2801" s="116"/>
      <c r="K2801" s="104" t="n">
        <f aca="false">IF(A2801="",0,IF(IFERROR(VLOOKUP(A2801,Skills!$A:$M,13,FALSE()),"")="COS",0,IF(OR(I2801="En cours",I2801="À venir",I2801="À planifier"),IF(AND(OR($C$3="Tous",$C$3="",C2801=$C$3),OR($E$3="Tous",$E$3="",I2801=$E$3)),1,0),0)))</f>
        <v>0</v>
      </c>
      <c r="L2801" s="104" t="n">
        <f aca="false">L2800+K2801</f>
        <v>19</v>
      </c>
    </row>
    <row r="2802" customFormat="false" ht="15" hidden="true" customHeight="true" outlineLevel="0" collapsed="false">
      <c r="F2802" s="116"/>
      <c r="G2802" s="116"/>
      <c r="K2802" s="104" t="n">
        <f aca="false">IF(A2802="",0,IF(IFERROR(VLOOKUP(A2802,Skills!$A:$M,13,FALSE()),"")="COS",0,IF(OR(I2802="En cours",I2802="À venir",I2802="À planifier"),IF(AND(OR($C$3="Tous",$C$3="",C2802=$C$3),OR($E$3="Tous",$E$3="",I2802=$E$3)),1,0),0)))</f>
        <v>0</v>
      </c>
      <c r="L2802" s="104" t="n">
        <f aca="false">L2801+K2802</f>
        <v>19</v>
      </c>
    </row>
    <row r="2803" customFormat="false" ht="15" hidden="true" customHeight="true" outlineLevel="0" collapsed="false">
      <c r="F2803" s="116"/>
      <c r="G2803" s="116"/>
      <c r="K2803" s="104" t="n">
        <f aca="false">IF(A2803="",0,IF(IFERROR(VLOOKUP(A2803,Skills!$A:$M,13,FALSE()),"")="COS",0,IF(OR(I2803="En cours",I2803="À venir",I2803="À planifier"),IF(AND(OR($C$3="Tous",$C$3="",C2803=$C$3),OR($E$3="Tous",$E$3="",I2803=$E$3)),1,0),0)))</f>
        <v>0</v>
      </c>
      <c r="L2803" s="104" t="n">
        <f aca="false">L2802+K2803</f>
        <v>19</v>
      </c>
    </row>
    <row r="2804" customFormat="false" ht="15" hidden="true" customHeight="true" outlineLevel="0" collapsed="false">
      <c r="F2804" s="116"/>
      <c r="G2804" s="116"/>
      <c r="K2804" s="104" t="n">
        <f aca="false">IF(A2804="",0,IF(IFERROR(VLOOKUP(A2804,Skills!$A:$M,13,FALSE()),"")="COS",0,IF(OR(I2804="En cours",I2804="À venir",I2804="À planifier"),IF(AND(OR($C$3="Tous",$C$3="",C2804=$C$3),OR($E$3="Tous",$E$3="",I2804=$E$3)),1,0),0)))</f>
        <v>0</v>
      </c>
      <c r="L2804" s="104" t="n">
        <f aca="false">L2803+K2804</f>
        <v>19</v>
      </c>
    </row>
    <row r="2805" customFormat="false" ht="15" hidden="true" customHeight="true" outlineLevel="0" collapsed="false">
      <c r="F2805" s="116"/>
      <c r="G2805" s="116"/>
      <c r="K2805" s="104" t="n">
        <f aca="false">IF(A2805="",0,IF(IFERROR(VLOOKUP(A2805,Skills!$A:$M,13,FALSE()),"")="COS",0,IF(OR(I2805="En cours",I2805="À venir",I2805="À planifier"),IF(AND(OR($C$3="Tous",$C$3="",C2805=$C$3),OR($E$3="Tous",$E$3="",I2805=$E$3)),1,0),0)))</f>
        <v>0</v>
      </c>
      <c r="L2805" s="104" t="n">
        <f aca="false">L2804+K2805</f>
        <v>19</v>
      </c>
    </row>
    <row r="2806" customFormat="false" ht="15" hidden="true" customHeight="true" outlineLevel="0" collapsed="false">
      <c r="F2806" s="116"/>
      <c r="G2806" s="116"/>
      <c r="K2806" s="104" t="n">
        <f aca="false">IF(A2806="",0,IF(IFERROR(VLOOKUP(A2806,Skills!$A:$M,13,FALSE()),"")="COS",0,IF(OR(I2806="En cours",I2806="À venir",I2806="À planifier"),IF(AND(OR($C$3="Tous",$C$3="",C2806=$C$3),OR($E$3="Tous",$E$3="",I2806=$E$3)),1,0),0)))</f>
        <v>0</v>
      </c>
      <c r="L2806" s="104" t="n">
        <f aca="false">L2805+K2806</f>
        <v>19</v>
      </c>
    </row>
    <row r="2807" customFormat="false" ht="15" hidden="true" customHeight="true" outlineLevel="0" collapsed="false">
      <c r="F2807" s="116"/>
      <c r="G2807" s="116"/>
      <c r="K2807" s="104" t="n">
        <f aca="false">IF(A2807="",0,IF(IFERROR(VLOOKUP(A2807,Skills!$A:$M,13,FALSE()),"")="COS",0,IF(OR(I2807="En cours",I2807="À venir",I2807="À planifier"),IF(AND(OR($C$3="Tous",$C$3="",C2807=$C$3),OR($E$3="Tous",$E$3="",I2807=$E$3)),1,0),0)))</f>
        <v>0</v>
      </c>
      <c r="L2807" s="104" t="n">
        <f aca="false">L2806+K2807</f>
        <v>19</v>
      </c>
    </row>
    <row r="2808" customFormat="false" ht="15" hidden="true" customHeight="true" outlineLevel="0" collapsed="false">
      <c r="F2808" s="116"/>
      <c r="G2808" s="116"/>
      <c r="K2808" s="104" t="n">
        <f aca="false">IF(A2808="",0,IF(IFERROR(VLOOKUP(A2808,Skills!$A:$M,13,FALSE()),"")="COS",0,IF(OR(I2808="En cours",I2808="À venir",I2808="À planifier"),IF(AND(OR($C$3="Tous",$C$3="",C2808=$C$3),OR($E$3="Tous",$E$3="",I2808=$E$3)),1,0),0)))</f>
        <v>0</v>
      </c>
      <c r="L2808" s="104" t="n">
        <f aca="false">L2807+K2808</f>
        <v>19</v>
      </c>
    </row>
    <row r="2809" customFormat="false" ht="15" hidden="true" customHeight="true" outlineLevel="0" collapsed="false">
      <c r="F2809" s="116"/>
      <c r="G2809" s="116"/>
      <c r="K2809" s="104" t="n">
        <f aca="false">IF(A2809="",0,IF(IFERROR(VLOOKUP(A2809,Skills!$A:$M,13,FALSE()),"")="COS",0,IF(OR(I2809="En cours",I2809="À venir",I2809="À planifier"),IF(AND(OR($C$3="Tous",$C$3="",C2809=$C$3),OR($E$3="Tous",$E$3="",I2809=$E$3)),1,0),0)))</f>
        <v>0</v>
      </c>
      <c r="L2809" s="104" t="n">
        <f aca="false">L2808+K2809</f>
        <v>19</v>
      </c>
    </row>
    <row r="2810" customFormat="false" ht="15" hidden="true" customHeight="true" outlineLevel="0" collapsed="false">
      <c r="F2810" s="116"/>
      <c r="G2810" s="116"/>
      <c r="K2810" s="104" t="n">
        <f aca="false">IF(A2810="",0,IF(IFERROR(VLOOKUP(A2810,Skills!$A:$M,13,FALSE()),"")="COS",0,IF(OR(I2810="En cours",I2810="À venir",I2810="À planifier"),IF(AND(OR($C$3="Tous",$C$3="",C2810=$C$3),OR($E$3="Tous",$E$3="",I2810=$E$3)),1,0),0)))</f>
        <v>0</v>
      </c>
      <c r="L2810" s="104" t="n">
        <f aca="false">L2809+K2810</f>
        <v>19</v>
      </c>
    </row>
    <row r="2811" customFormat="false" ht="15" hidden="true" customHeight="true" outlineLevel="0" collapsed="false">
      <c r="F2811" s="116"/>
      <c r="G2811" s="116"/>
      <c r="K2811" s="104" t="n">
        <f aca="false">IF(A2811="",0,IF(IFERROR(VLOOKUP(A2811,Skills!$A:$M,13,FALSE()),"")="COS",0,IF(OR(I2811="En cours",I2811="À venir",I2811="À planifier"),IF(AND(OR($C$3="Tous",$C$3="",C2811=$C$3),OR($E$3="Tous",$E$3="",I2811=$E$3)),1,0),0)))</f>
        <v>0</v>
      </c>
      <c r="L2811" s="104" t="n">
        <f aca="false">L2810+K2811</f>
        <v>19</v>
      </c>
    </row>
    <row r="2812" customFormat="false" ht="15" hidden="true" customHeight="true" outlineLevel="0" collapsed="false">
      <c r="F2812" s="116"/>
      <c r="G2812" s="116"/>
      <c r="K2812" s="104" t="n">
        <f aca="false">IF(A2812="",0,IF(IFERROR(VLOOKUP(A2812,Skills!$A:$M,13,FALSE()),"")="COS",0,IF(OR(I2812="En cours",I2812="À venir",I2812="À planifier"),IF(AND(OR($C$3="Tous",$C$3="",C2812=$C$3),OR($E$3="Tous",$E$3="",I2812=$E$3)),1,0),0)))</f>
        <v>0</v>
      </c>
      <c r="L2812" s="104" t="n">
        <f aca="false">L2811+K2812</f>
        <v>19</v>
      </c>
    </row>
    <row r="2813" customFormat="false" ht="15" hidden="true" customHeight="true" outlineLevel="0" collapsed="false">
      <c r="F2813" s="116"/>
      <c r="G2813" s="116"/>
      <c r="K2813" s="104" t="n">
        <f aca="false">IF(A2813="",0,IF(IFERROR(VLOOKUP(A2813,Skills!$A:$M,13,FALSE()),"")="COS",0,IF(OR(I2813="En cours",I2813="À venir",I2813="À planifier"),IF(AND(OR($C$3="Tous",$C$3="",C2813=$C$3),OR($E$3="Tous",$E$3="",I2813=$E$3)),1,0),0)))</f>
        <v>0</v>
      </c>
      <c r="L2813" s="104" t="n">
        <f aca="false">L2812+K2813</f>
        <v>19</v>
      </c>
    </row>
    <row r="2814" customFormat="false" ht="15" hidden="true" customHeight="true" outlineLevel="0" collapsed="false">
      <c r="F2814" s="116"/>
      <c r="G2814" s="116"/>
      <c r="K2814" s="104" t="n">
        <f aca="false">IF(A2814="",0,IF(IFERROR(VLOOKUP(A2814,Skills!$A:$M,13,FALSE()),"")="COS",0,IF(OR(I2814="En cours",I2814="À venir",I2814="À planifier"),IF(AND(OR($C$3="Tous",$C$3="",C2814=$C$3),OR($E$3="Tous",$E$3="",I2814=$E$3)),1,0),0)))</f>
        <v>0</v>
      </c>
      <c r="L2814" s="104" t="n">
        <f aca="false">L2813+K2814</f>
        <v>19</v>
      </c>
    </row>
    <row r="2815" customFormat="false" ht="15" hidden="true" customHeight="true" outlineLevel="0" collapsed="false">
      <c r="F2815" s="116"/>
      <c r="G2815" s="116"/>
      <c r="K2815" s="104" t="n">
        <f aca="false">IF(A2815="",0,IF(IFERROR(VLOOKUP(A2815,Skills!$A:$M,13,FALSE()),"")="COS",0,IF(OR(I2815="En cours",I2815="À venir",I2815="À planifier"),IF(AND(OR($C$3="Tous",$C$3="",C2815=$C$3),OR($E$3="Tous",$E$3="",I2815=$E$3)),1,0),0)))</f>
        <v>0</v>
      </c>
      <c r="L2815" s="104" t="n">
        <f aca="false">L2814+K2815</f>
        <v>19</v>
      </c>
    </row>
    <row r="2816" customFormat="false" ht="15" hidden="true" customHeight="true" outlineLevel="0" collapsed="false">
      <c r="F2816" s="116"/>
      <c r="G2816" s="116"/>
      <c r="K2816" s="104" t="n">
        <f aca="false">IF(A2816="",0,IF(IFERROR(VLOOKUP(A2816,Skills!$A:$M,13,FALSE()),"")="COS",0,IF(OR(I2816="En cours",I2816="À venir",I2816="À planifier"),IF(AND(OR($C$3="Tous",$C$3="",C2816=$C$3),OR($E$3="Tous",$E$3="",I2816=$E$3)),1,0),0)))</f>
        <v>0</v>
      </c>
      <c r="L2816" s="104" t="n">
        <f aca="false">L2815+K2816</f>
        <v>19</v>
      </c>
    </row>
    <row r="2817" customFormat="false" ht="15" hidden="true" customHeight="true" outlineLevel="0" collapsed="false">
      <c r="F2817" s="116"/>
      <c r="G2817" s="116"/>
      <c r="K2817" s="104" t="n">
        <f aca="false">IF(A2817="",0,IF(IFERROR(VLOOKUP(A2817,Skills!$A:$M,13,FALSE()),"")="COS",0,IF(OR(I2817="En cours",I2817="À venir",I2817="À planifier"),IF(AND(OR($C$3="Tous",$C$3="",C2817=$C$3),OR($E$3="Tous",$E$3="",I2817=$E$3)),1,0),0)))</f>
        <v>0</v>
      </c>
      <c r="L2817" s="104" t="n">
        <f aca="false">L2816+K2817</f>
        <v>19</v>
      </c>
    </row>
    <row r="2818" customFormat="false" ht="15" hidden="true" customHeight="true" outlineLevel="0" collapsed="false">
      <c r="F2818" s="116"/>
      <c r="G2818" s="116"/>
      <c r="K2818" s="104" t="n">
        <f aca="false">IF(A2818="",0,IF(IFERROR(VLOOKUP(A2818,Skills!$A:$M,13,FALSE()),"")="COS",0,IF(OR(I2818="En cours",I2818="À venir",I2818="À planifier"),IF(AND(OR($C$3="Tous",$C$3="",C2818=$C$3),OR($E$3="Tous",$E$3="",I2818=$E$3)),1,0),0)))</f>
        <v>0</v>
      </c>
      <c r="L2818" s="104" t="n">
        <f aca="false">L2817+K2818</f>
        <v>19</v>
      </c>
    </row>
    <row r="2819" customFormat="false" ht="15" hidden="true" customHeight="true" outlineLevel="0" collapsed="false">
      <c r="F2819" s="116"/>
      <c r="G2819" s="116"/>
      <c r="K2819" s="104" t="n">
        <f aca="false">IF(A2819="",0,IF(IFERROR(VLOOKUP(A2819,Skills!$A:$M,13,FALSE()),"")="COS",0,IF(OR(I2819="En cours",I2819="À venir",I2819="À planifier"),IF(AND(OR($C$3="Tous",$C$3="",C2819=$C$3),OR($E$3="Tous",$E$3="",I2819=$E$3)),1,0),0)))</f>
        <v>0</v>
      </c>
      <c r="L2819" s="104" t="n">
        <f aca="false">L2818+K2819</f>
        <v>19</v>
      </c>
    </row>
    <row r="2820" customFormat="false" ht="15" hidden="true" customHeight="true" outlineLevel="0" collapsed="false">
      <c r="F2820" s="116"/>
      <c r="G2820" s="116"/>
      <c r="K2820" s="104" t="n">
        <f aca="false">IF(A2820="",0,IF(IFERROR(VLOOKUP(A2820,Skills!$A:$M,13,FALSE()),"")="COS",0,IF(OR(I2820="En cours",I2820="À venir",I2820="À planifier"),IF(AND(OR($C$3="Tous",$C$3="",C2820=$C$3),OR($E$3="Tous",$E$3="",I2820=$E$3)),1,0),0)))</f>
        <v>0</v>
      </c>
      <c r="L2820" s="104" t="n">
        <f aca="false">L2819+K2820</f>
        <v>19</v>
      </c>
    </row>
    <row r="2821" customFormat="false" ht="15" hidden="true" customHeight="true" outlineLevel="0" collapsed="false">
      <c r="F2821" s="116"/>
      <c r="G2821" s="116"/>
      <c r="K2821" s="104" t="n">
        <f aca="false">IF(A2821="",0,IF(IFERROR(VLOOKUP(A2821,Skills!$A:$M,13,FALSE()),"")="COS",0,IF(OR(I2821="En cours",I2821="À venir",I2821="À planifier"),IF(AND(OR($C$3="Tous",$C$3="",C2821=$C$3),OR($E$3="Tous",$E$3="",I2821=$E$3)),1,0),0)))</f>
        <v>0</v>
      </c>
      <c r="L2821" s="104" t="n">
        <f aca="false">L2820+K2821</f>
        <v>19</v>
      </c>
    </row>
    <row r="2822" customFormat="false" ht="15" hidden="true" customHeight="true" outlineLevel="0" collapsed="false">
      <c r="F2822" s="116"/>
      <c r="G2822" s="116"/>
      <c r="K2822" s="104" t="n">
        <f aca="false">IF(A2822="",0,IF(IFERROR(VLOOKUP(A2822,Skills!$A:$M,13,FALSE()),"")="COS",0,IF(OR(I2822="En cours",I2822="À venir",I2822="À planifier"),IF(AND(OR($C$3="Tous",$C$3="",C2822=$C$3),OR($E$3="Tous",$E$3="",I2822=$E$3)),1,0),0)))</f>
        <v>0</v>
      </c>
      <c r="L2822" s="104" t="n">
        <f aca="false">L2821+K2822</f>
        <v>19</v>
      </c>
    </row>
    <row r="2823" customFormat="false" ht="15" hidden="true" customHeight="true" outlineLevel="0" collapsed="false">
      <c r="F2823" s="116"/>
      <c r="G2823" s="116"/>
      <c r="K2823" s="104" t="n">
        <f aca="false">IF(A2823="",0,IF(IFERROR(VLOOKUP(A2823,Skills!$A:$M,13,FALSE()),"")="COS",0,IF(OR(I2823="En cours",I2823="À venir",I2823="À planifier"),IF(AND(OR($C$3="Tous",$C$3="",C2823=$C$3),OR($E$3="Tous",$E$3="",I2823=$E$3)),1,0),0)))</f>
        <v>0</v>
      </c>
      <c r="L2823" s="104" t="n">
        <f aca="false">L2822+K2823</f>
        <v>19</v>
      </c>
    </row>
    <row r="2824" customFormat="false" ht="15" hidden="true" customHeight="true" outlineLevel="0" collapsed="false">
      <c r="F2824" s="116"/>
      <c r="G2824" s="116"/>
      <c r="K2824" s="104" t="n">
        <f aca="false">IF(A2824="",0,IF(IFERROR(VLOOKUP(A2824,Skills!$A:$M,13,FALSE()),"")="COS",0,IF(OR(I2824="En cours",I2824="À venir",I2824="À planifier"),IF(AND(OR($C$3="Tous",$C$3="",C2824=$C$3),OR($E$3="Tous",$E$3="",I2824=$E$3)),1,0),0)))</f>
        <v>0</v>
      </c>
      <c r="L2824" s="104" t="n">
        <f aca="false">L2823+K2824</f>
        <v>19</v>
      </c>
    </row>
    <row r="2825" customFormat="false" ht="15" hidden="true" customHeight="true" outlineLevel="0" collapsed="false">
      <c r="F2825" s="116"/>
      <c r="G2825" s="116"/>
      <c r="K2825" s="104" t="n">
        <f aca="false">IF(A2825="",0,IF(IFERROR(VLOOKUP(A2825,Skills!$A:$M,13,FALSE()),"")="COS",0,IF(OR(I2825="En cours",I2825="À venir",I2825="À planifier"),IF(AND(OR($C$3="Tous",$C$3="",C2825=$C$3),OR($E$3="Tous",$E$3="",I2825=$E$3)),1,0),0)))</f>
        <v>0</v>
      </c>
      <c r="L2825" s="104" t="n">
        <f aca="false">L2824+K2825</f>
        <v>19</v>
      </c>
    </row>
    <row r="2826" customFormat="false" ht="15" hidden="true" customHeight="true" outlineLevel="0" collapsed="false">
      <c r="F2826" s="116"/>
      <c r="G2826" s="116"/>
      <c r="K2826" s="104" t="n">
        <f aca="false">IF(A2826="",0,IF(IFERROR(VLOOKUP(A2826,Skills!$A:$M,13,FALSE()),"")="COS",0,IF(OR(I2826="En cours",I2826="À venir",I2826="À planifier"),IF(AND(OR($C$3="Tous",$C$3="",C2826=$C$3),OR($E$3="Tous",$E$3="",I2826=$E$3)),1,0),0)))</f>
        <v>0</v>
      </c>
      <c r="L2826" s="104" t="n">
        <f aca="false">L2825+K2826</f>
        <v>19</v>
      </c>
    </row>
    <row r="2827" customFormat="false" ht="15" hidden="true" customHeight="true" outlineLevel="0" collapsed="false">
      <c r="F2827" s="116"/>
      <c r="G2827" s="116"/>
      <c r="K2827" s="104" t="n">
        <f aca="false">IF(A2827="",0,IF(IFERROR(VLOOKUP(A2827,Skills!$A:$M,13,FALSE()),"")="COS",0,IF(OR(I2827="En cours",I2827="À venir",I2827="À planifier"),IF(AND(OR($C$3="Tous",$C$3="",C2827=$C$3),OR($E$3="Tous",$E$3="",I2827=$E$3)),1,0),0)))</f>
        <v>0</v>
      </c>
      <c r="L2827" s="104" t="n">
        <f aca="false">L2826+K2827</f>
        <v>19</v>
      </c>
    </row>
    <row r="2828" customFormat="false" ht="15" hidden="true" customHeight="true" outlineLevel="0" collapsed="false">
      <c r="F2828" s="116"/>
      <c r="G2828" s="116"/>
      <c r="K2828" s="104" t="n">
        <f aca="false">IF(A2828="",0,IF(IFERROR(VLOOKUP(A2828,Skills!$A:$M,13,FALSE()),"")="COS",0,IF(OR(I2828="En cours",I2828="À venir",I2828="À planifier"),IF(AND(OR($C$3="Tous",$C$3="",C2828=$C$3),OR($E$3="Tous",$E$3="",I2828=$E$3)),1,0),0)))</f>
        <v>0</v>
      </c>
      <c r="L2828" s="104" t="n">
        <f aca="false">L2827+K2828</f>
        <v>19</v>
      </c>
    </row>
    <row r="2829" customFormat="false" ht="15" hidden="true" customHeight="true" outlineLevel="0" collapsed="false">
      <c r="F2829" s="116"/>
      <c r="G2829" s="116"/>
      <c r="K2829" s="104" t="n">
        <f aca="false">IF(A2829="",0,IF(IFERROR(VLOOKUP(A2829,Skills!$A:$M,13,FALSE()),"")="COS",0,IF(OR(I2829="En cours",I2829="À venir",I2829="À planifier"),IF(AND(OR($C$3="Tous",$C$3="",C2829=$C$3),OR($E$3="Tous",$E$3="",I2829=$E$3)),1,0),0)))</f>
        <v>0</v>
      </c>
      <c r="L2829" s="104" t="n">
        <f aca="false">L2828+K2829</f>
        <v>19</v>
      </c>
    </row>
    <row r="2830" customFormat="false" ht="15" hidden="true" customHeight="true" outlineLevel="0" collapsed="false">
      <c r="F2830" s="116"/>
      <c r="G2830" s="116"/>
      <c r="K2830" s="104" t="n">
        <f aca="false">IF(A2830="",0,IF(IFERROR(VLOOKUP(A2830,Skills!$A:$M,13,FALSE()),"")="COS",0,IF(OR(I2830="En cours",I2830="À venir",I2830="À planifier"),IF(AND(OR($C$3="Tous",$C$3="",C2830=$C$3),OR($E$3="Tous",$E$3="",I2830=$E$3)),1,0),0)))</f>
        <v>0</v>
      </c>
      <c r="L2830" s="104" t="n">
        <f aca="false">L2829+K2830</f>
        <v>19</v>
      </c>
    </row>
    <row r="2831" customFormat="false" ht="15" hidden="true" customHeight="true" outlineLevel="0" collapsed="false">
      <c r="F2831" s="116"/>
      <c r="G2831" s="116"/>
      <c r="K2831" s="104" t="n">
        <f aca="false">IF(A2831="",0,IF(IFERROR(VLOOKUP(A2831,Skills!$A:$M,13,FALSE()),"")="COS",0,IF(OR(I2831="En cours",I2831="À venir",I2831="À planifier"),IF(AND(OR($C$3="Tous",$C$3="",C2831=$C$3),OR($E$3="Tous",$E$3="",I2831=$E$3)),1,0),0)))</f>
        <v>0</v>
      </c>
      <c r="L2831" s="104" t="n">
        <f aca="false">L2830+K2831</f>
        <v>19</v>
      </c>
    </row>
    <row r="2832" customFormat="false" ht="15" hidden="true" customHeight="true" outlineLevel="0" collapsed="false">
      <c r="F2832" s="116"/>
      <c r="G2832" s="116"/>
      <c r="K2832" s="104" t="n">
        <f aca="false">IF(A2832="",0,IF(IFERROR(VLOOKUP(A2832,Skills!$A:$M,13,FALSE()),"")="COS",0,IF(OR(I2832="En cours",I2832="À venir",I2832="À planifier"),IF(AND(OR($C$3="Tous",$C$3="",C2832=$C$3),OR($E$3="Tous",$E$3="",I2832=$E$3)),1,0),0)))</f>
        <v>0</v>
      </c>
      <c r="L2832" s="104" t="n">
        <f aca="false">L2831+K2832</f>
        <v>19</v>
      </c>
    </row>
    <row r="2833" customFormat="false" ht="15" hidden="true" customHeight="true" outlineLevel="0" collapsed="false">
      <c r="F2833" s="116"/>
      <c r="G2833" s="116"/>
      <c r="K2833" s="104" t="n">
        <f aca="false">IF(A2833="",0,IF(IFERROR(VLOOKUP(A2833,Skills!$A:$M,13,FALSE()),"")="COS",0,IF(OR(I2833="En cours",I2833="À venir",I2833="À planifier"),IF(AND(OR($C$3="Tous",$C$3="",C2833=$C$3),OR($E$3="Tous",$E$3="",I2833=$E$3)),1,0),0)))</f>
        <v>0</v>
      </c>
      <c r="L2833" s="104" t="n">
        <f aca="false">L2832+K2833</f>
        <v>19</v>
      </c>
    </row>
    <row r="2834" customFormat="false" ht="15" hidden="true" customHeight="true" outlineLevel="0" collapsed="false">
      <c r="F2834" s="116"/>
      <c r="G2834" s="116"/>
      <c r="K2834" s="104" t="n">
        <f aca="false">IF(A2834="",0,IF(IFERROR(VLOOKUP(A2834,Skills!$A:$M,13,FALSE()),"")="COS",0,IF(OR(I2834="En cours",I2834="À venir",I2834="À planifier"),IF(AND(OR($C$3="Tous",$C$3="",C2834=$C$3),OR($E$3="Tous",$E$3="",I2834=$E$3)),1,0),0)))</f>
        <v>0</v>
      </c>
      <c r="L2834" s="104" t="n">
        <f aca="false">L2833+K2834</f>
        <v>19</v>
      </c>
    </row>
    <row r="2835" customFormat="false" ht="15" hidden="true" customHeight="true" outlineLevel="0" collapsed="false">
      <c r="F2835" s="116"/>
      <c r="G2835" s="116"/>
      <c r="K2835" s="104" t="n">
        <f aca="false">IF(A2835="",0,IF(IFERROR(VLOOKUP(A2835,Skills!$A:$M,13,FALSE()),"")="COS",0,IF(OR(I2835="En cours",I2835="À venir",I2835="À planifier"),IF(AND(OR($C$3="Tous",$C$3="",C2835=$C$3),OR($E$3="Tous",$E$3="",I2835=$E$3)),1,0),0)))</f>
        <v>0</v>
      </c>
      <c r="L2835" s="104" t="n">
        <f aca="false">L2834+K2835</f>
        <v>19</v>
      </c>
    </row>
    <row r="2836" customFormat="false" ht="15" hidden="true" customHeight="true" outlineLevel="0" collapsed="false">
      <c r="F2836" s="116"/>
      <c r="G2836" s="116"/>
      <c r="K2836" s="104" t="n">
        <f aca="false">IF(A2836="",0,IF(IFERROR(VLOOKUP(A2836,Skills!$A:$M,13,FALSE()),"")="COS",0,IF(OR(I2836="En cours",I2836="À venir",I2836="À planifier"),IF(AND(OR($C$3="Tous",$C$3="",C2836=$C$3),OR($E$3="Tous",$E$3="",I2836=$E$3)),1,0),0)))</f>
        <v>0</v>
      </c>
      <c r="L2836" s="104" t="n">
        <f aca="false">L2835+K2836</f>
        <v>19</v>
      </c>
    </row>
    <row r="2837" customFormat="false" ht="15" hidden="true" customHeight="true" outlineLevel="0" collapsed="false">
      <c r="F2837" s="116"/>
      <c r="G2837" s="116"/>
      <c r="K2837" s="104" t="n">
        <f aca="false">IF(A2837="",0,IF(IFERROR(VLOOKUP(A2837,Skills!$A:$M,13,FALSE()),"")="COS",0,IF(OR(I2837="En cours",I2837="À venir",I2837="À planifier"),IF(AND(OR($C$3="Tous",$C$3="",C2837=$C$3),OR($E$3="Tous",$E$3="",I2837=$E$3)),1,0),0)))</f>
        <v>0</v>
      </c>
      <c r="L2837" s="104" t="n">
        <f aca="false">L2836+K2837</f>
        <v>19</v>
      </c>
    </row>
    <row r="2838" customFormat="false" ht="15" hidden="true" customHeight="true" outlineLevel="0" collapsed="false">
      <c r="F2838" s="116"/>
      <c r="G2838" s="116"/>
      <c r="K2838" s="104" t="n">
        <f aca="false">IF(A2838="",0,IF(IFERROR(VLOOKUP(A2838,Skills!$A:$M,13,FALSE()),"")="COS",0,IF(OR(I2838="En cours",I2838="À venir",I2838="À planifier"),IF(AND(OR($C$3="Tous",$C$3="",C2838=$C$3),OR($E$3="Tous",$E$3="",I2838=$E$3)),1,0),0)))</f>
        <v>0</v>
      </c>
      <c r="L2838" s="104" t="n">
        <f aca="false">L2837+K2838</f>
        <v>19</v>
      </c>
    </row>
    <row r="2839" customFormat="false" ht="15" hidden="true" customHeight="true" outlineLevel="0" collapsed="false">
      <c r="F2839" s="116"/>
      <c r="G2839" s="116"/>
      <c r="K2839" s="104" t="n">
        <f aca="false">IF(A2839="",0,IF(IFERROR(VLOOKUP(A2839,Skills!$A:$M,13,FALSE()),"")="COS",0,IF(OR(I2839="En cours",I2839="À venir",I2839="À planifier"),IF(AND(OR($C$3="Tous",$C$3="",C2839=$C$3),OR($E$3="Tous",$E$3="",I2839=$E$3)),1,0),0)))</f>
        <v>0</v>
      </c>
      <c r="L2839" s="104" t="n">
        <f aca="false">L2838+K2839</f>
        <v>19</v>
      </c>
    </row>
    <row r="2840" customFormat="false" ht="15" hidden="true" customHeight="true" outlineLevel="0" collapsed="false">
      <c r="F2840" s="116"/>
      <c r="G2840" s="116"/>
      <c r="K2840" s="104" t="n">
        <f aca="false">IF(A2840="",0,IF(IFERROR(VLOOKUP(A2840,Skills!$A:$M,13,FALSE()),"")="COS",0,IF(OR(I2840="En cours",I2840="À venir",I2840="À planifier"),IF(AND(OR($C$3="Tous",$C$3="",C2840=$C$3),OR($E$3="Tous",$E$3="",I2840=$E$3)),1,0),0)))</f>
        <v>0</v>
      </c>
      <c r="L2840" s="104" t="n">
        <f aca="false">L2839+K2840</f>
        <v>19</v>
      </c>
    </row>
    <row r="2841" customFormat="false" ht="15" hidden="true" customHeight="true" outlineLevel="0" collapsed="false">
      <c r="F2841" s="116"/>
      <c r="G2841" s="116"/>
      <c r="K2841" s="104" t="n">
        <f aca="false">IF(A2841="",0,IF(IFERROR(VLOOKUP(A2841,Skills!$A:$M,13,FALSE()),"")="COS",0,IF(OR(I2841="En cours",I2841="À venir",I2841="À planifier"),IF(AND(OR($C$3="Tous",$C$3="",C2841=$C$3),OR($E$3="Tous",$E$3="",I2841=$E$3)),1,0),0)))</f>
        <v>0</v>
      </c>
      <c r="L2841" s="104" t="n">
        <f aca="false">L2840+K2841</f>
        <v>19</v>
      </c>
    </row>
    <row r="2842" customFormat="false" ht="15" hidden="true" customHeight="true" outlineLevel="0" collapsed="false">
      <c r="F2842" s="116"/>
      <c r="G2842" s="116"/>
      <c r="K2842" s="104" t="n">
        <f aca="false">IF(A2842="",0,IF(IFERROR(VLOOKUP(A2842,Skills!$A:$M,13,FALSE()),"")="COS",0,IF(OR(I2842="En cours",I2842="À venir",I2842="À planifier"),IF(AND(OR($C$3="Tous",$C$3="",C2842=$C$3),OR($E$3="Tous",$E$3="",I2842=$E$3)),1,0),0)))</f>
        <v>0</v>
      </c>
      <c r="L2842" s="104" t="n">
        <f aca="false">L2841+K2842</f>
        <v>19</v>
      </c>
    </row>
    <row r="2843" customFormat="false" ht="15" hidden="true" customHeight="true" outlineLevel="0" collapsed="false">
      <c r="F2843" s="116"/>
      <c r="G2843" s="116"/>
      <c r="K2843" s="104" t="n">
        <f aca="false">IF(A2843="",0,IF(IFERROR(VLOOKUP(A2843,Skills!$A:$M,13,FALSE()),"")="COS",0,IF(OR(I2843="En cours",I2843="À venir",I2843="À planifier"),IF(AND(OR($C$3="Tous",$C$3="",C2843=$C$3),OR($E$3="Tous",$E$3="",I2843=$E$3)),1,0),0)))</f>
        <v>0</v>
      </c>
      <c r="L2843" s="104" t="n">
        <f aca="false">L2842+K2843</f>
        <v>19</v>
      </c>
    </row>
    <row r="2844" customFormat="false" ht="15" hidden="true" customHeight="true" outlineLevel="0" collapsed="false">
      <c r="F2844" s="116"/>
      <c r="G2844" s="116"/>
      <c r="K2844" s="104" t="n">
        <f aca="false">IF(A2844="",0,IF(IFERROR(VLOOKUP(A2844,Skills!$A:$M,13,FALSE()),"")="COS",0,IF(OR(I2844="En cours",I2844="À venir",I2844="À planifier"),IF(AND(OR($C$3="Tous",$C$3="",C2844=$C$3),OR($E$3="Tous",$E$3="",I2844=$E$3)),1,0),0)))</f>
        <v>0</v>
      </c>
      <c r="L2844" s="104" t="n">
        <f aca="false">L2843+K2844</f>
        <v>19</v>
      </c>
    </row>
    <row r="2845" customFormat="false" ht="15" hidden="true" customHeight="true" outlineLevel="0" collapsed="false">
      <c r="F2845" s="116"/>
      <c r="G2845" s="116"/>
      <c r="K2845" s="104" t="n">
        <f aca="false">IF(A2845="",0,IF(IFERROR(VLOOKUP(A2845,Skills!$A:$M,13,FALSE()),"")="COS",0,IF(OR(I2845="En cours",I2845="À venir",I2845="À planifier"),IF(AND(OR($C$3="Tous",$C$3="",C2845=$C$3),OR($E$3="Tous",$E$3="",I2845=$E$3)),1,0),0)))</f>
        <v>0</v>
      </c>
      <c r="L2845" s="104" t="n">
        <f aca="false">L2844+K2845</f>
        <v>19</v>
      </c>
    </row>
    <row r="2846" customFormat="false" ht="15" hidden="true" customHeight="true" outlineLevel="0" collapsed="false">
      <c r="F2846" s="116"/>
      <c r="G2846" s="116"/>
      <c r="K2846" s="104" t="n">
        <f aca="false">IF(A2846="",0,IF(IFERROR(VLOOKUP(A2846,Skills!$A:$M,13,FALSE()),"")="COS",0,IF(OR(I2846="En cours",I2846="À venir",I2846="À planifier"),IF(AND(OR($C$3="Tous",$C$3="",C2846=$C$3),OR($E$3="Tous",$E$3="",I2846=$E$3)),1,0),0)))</f>
        <v>0</v>
      </c>
      <c r="L2846" s="104" t="n">
        <f aca="false">L2845+K2846</f>
        <v>19</v>
      </c>
    </row>
    <row r="2847" customFormat="false" ht="15" hidden="true" customHeight="true" outlineLevel="0" collapsed="false">
      <c r="F2847" s="116"/>
      <c r="G2847" s="116"/>
      <c r="K2847" s="104" t="n">
        <f aca="false">IF(A2847="",0,IF(IFERROR(VLOOKUP(A2847,Skills!$A:$M,13,FALSE()),"")="COS",0,IF(OR(I2847="En cours",I2847="À venir",I2847="À planifier"),IF(AND(OR($C$3="Tous",$C$3="",C2847=$C$3),OR($E$3="Tous",$E$3="",I2847=$E$3)),1,0),0)))</f>
        <v>0</v>
      </c>
      <c r="L2847" s="104" t="n">
        <f aca="false">L2846+K2847</f>
        <v>19</v>
      </c>
    </row>
    <row r="2848" customFormat="false" ht="15" hidden="true" customHeight="true" outlineLevel="0" collapsed="false">
      <c r="F2848" s="116"/>
      <c r="G2848" s="116"/>
      <c r="K2848" s="104" t="n">
        <f aca="false">IF(A2848="",0,IF(IFERROR(VLOOKUP(A2848,Skills!$A:$M,13,FALSE()),"")="COS",0,IF(OR(I2848="En cours",I2848="À venir",I2848="À planifier"),IF(AND(OR($C$3="Tous",$C$3="",C2848=$C$3),OR($E$3="Tous",$E$3="",I2848=$E$3)),1,0),0)))</f>
        <v>0</v>
      </c>
      <c r="L2848" s="104" t="n">
        <f aca="false">L2847+K2848</f>
        <v>19</v>
      </c>
    </row>
    <row r="2849" customFormat="false" ht="15" hidden="true" customHeight="true" outlineLevel="0" collapsed="false">
      <c r="F2849" s="116"/>
      <c r="G2849" s="116"/>
      <c r="K2849" s="104" t="n">
        <f aca="false">IF(A2849="",0,IF(IFERROR(VLOOKUP(A2849,Skills!$A:$M,13,FALSE()),"")="COS",0,IF(OR(I2849="En cours",I2849="À venir",I2849="À planifier"),IF(AND(OR($C$3="Tous",$C$3="",C2849=$C$3),OR($E$3="Tous",$E$3="",I2849=$E$3)),1,0),0)))</f>
        <v>0</v>
      </c>
      <c r="L2849" s="104" t="n">
        <f aca="false">L2848+K2849</f>
        <v>19</v>
      </c>
    </row>
    <row r="2850" customFormat="false" ht="15" hidden="true" customHeight="true" outlineLevel="0" collapsed="false">
      <c r="F2850" s="116"/>
      <c r="G2850" s="116"/>
      <c r="K2850" s="104" t="n">
        <f aca="false">IF(A2850="",0,IF(IFERROR(VLOOKUP(A2850,Skills!$A:$M,13,FALSE()),"")="COS",0,IF(OR(I2850="En cours",I2850="À venir",I2850="À planifier"),IF(AND(OR($C$3="Tous",$C$3="",C2850=$C$3),OR($E$3="Tous",$E$3="",I2850=$E$3)),1,0),0)))</f>
        <v>0</v>
      </c>
      <c r="L2850" s="104" t="n">
        <f aca="false">L2849+K2850</f>
        <v>19</v>
      </c>
    </row>
    <row r="2851" customFormat="false" ht="15" hidden="true" customHeight="true" outlineLevel="0" collapsed="false">
      <c r="F2851" s="116"/>
      <c r="G2851" s="116"/>
      <c r="K2851" s="104" t="n">
        <f aca="false">IF(A2851="",0,IF(IFERROR(VLOOKUP(A2851,Skills!$A:$M,13,FALSE()),"")="COS",0,IF(OR(I2851="En cours",I2851="À venir",I2851="À planifier"),IF(AND(OR($C$3="Tous",$C$3="",C2851=$C$3),OR($E$3="Tous",$E$3="",I2851=$E$3)),1,0),0)))</f>
        <v>0</v>
      </c>
      <c r="L2851" s="104" t="n">
        <f aca="false">L2850+K2851</f>
        <v>19</v>
      </c>
    </row>
    <row r="2852" customFormat="false" ht="15" hidden="true" customHeight="true" outlineLevel="0" collapsed="false">
      <c r="F2852" s="116"/>
      <c r="G2852" s="116"/>
      <c r="K2852" s="104" t="n">
        <f aca="false">IF(A2852="",0,IF(IFERROR(VLOOKUP(A2852,Skills!$A:$M,13,FALSE()),"")="COS",0,IF(OR(I2852="En cours",I2852="À venir",I2852="À planifier"),IF(AND(OR($C$3="Tous",$C$3="",C2852=$C$3),OR($E$3="Tous",$E$3="",I2852=$E$3)),1,0),0)))</f>
        <v>0</v>
      </c>
      <c r="L2852" s="104" t="n">
        <f aca="false">L2851+K2852</f>
        <v>19</v>
      </c>
    </row>
    <row r="2853" customFormat="false" ht="15" hidden="true" customHeight="true" outlineLevel="0" collapsed="false">
      <c r="F2853" s="116"/>
      <c r="G2853" s="116"/>
      <c r="K2853" s="104" t="n">
        <f aca="false">IF(A2853="",0,IF(IFERROR(VLOOKUP(A2853,Skills!$A:$M,13,FALSE()),"")="COS",0,IF(OR(I2853="En cours",I2853="À venir",I2853="À planifier"),IF(AND(OR($C$3="Tous",$C$3="",C2853=$C$3),OR($E$3="Tous",$E$3="",I2853=$E$3)),1,0),0)))</f>
        <v>0</v>
      </c>
      <c r="L2853" s="104" t="n">
        <f aca="false">L2852+K2853</f>
        <v>19</v>
      </c>
    </row>
    <row r="2854" customFormat="false" ht="15" hidden="true" customHeight="true" outlineLevel="0" collapsed="false">
      <c r="F2854" s="116"/>
      <c r="G2854" s="116"/>
      <c r="K2854" s="104" t="n">
        <f aca="false">IF(A2854="",0,IF(IFERROR(VLOOKUP(A2854,Skills!$A:$M,13,FALSE()),"")="COS",0,IF(OR(I2854="En cours",I2854="À venir",I2854="À planifier"),IF(AND(OR($C$3="Tous",$C$3="",C2854=$C$3),OR($E$3="Tous",$E$3="",I2854=$E$3)),1,0),0)))</f>
        <v>0</v>
      </c>
      <c r="L2854" s="104" t="n">
        <f aca="false">L2853+K2854</f>
        <v>19</v>
      </c>
    </row>
    <row r="2855" customFormat="false" ht="15" hidden="true" customHeight="true" outlineLevel="0" collapsed="false">
      <c r="F2855" s="116"/>
      <c r="G2855" s="116"/>
      <c r="K2855" s="104" t="n">
        <f aca="false">IF(A2855="",0,IF(IFERROR(VLOOKUP(A2855,Skills!$A:$M,13,FALSE()),"")="COS",0,IF(OR(I2855="En cours",I2855="À venir",I2855="À planifier"),IF(AND(OR($C$3="Tous",$C$3="",C2855=$C$3),OR($E$3="Tous",$E$3="",I2855=$E$3)),1,0),0)))</f>
        <v>0</v>
      </c>
      <c r="L2855" s="104" t="n">
        <f aca="false">L2854+K2855</f>
        <v>19</v>
      </c>
    </row>
    <row r="2856" customFormat="false" ht="15" hidden="true" customHeight="true" outlineLevel="0" collapsed="false">
      <c r="F2856" s="116"/>
      <c r="G2856" s="116"/>
      <c r="K2856" s="104" t="n">
        <f aca="false">IF(A2856="",0,IF(IFERROR(VLOOKUP(A2856,Skills!$A:$M,13,FALSE()),"")="COS",0,IF(OR(I2856="En cours",I2856="À venir",I2856="À planifier"),IF(AND(OR($C$3="Tous",$C$3="",C2856=$C$3),OR($E$3="Tous",$E$3="",I2856=$E$3)),1,0),0)))</f>
        <v>0</v>
      </c>
      <c r="L2856" s="104" t="n">
        <f aca="false">L2855+K2856</f>
        <v>19</v>
      </c>
    </row>
    <row r="2857" customFormat="false" ht="15" hidden="true" customHeight="true" outlineLevel="0" collapsed="false">
      <c r="F2857" s="116"/>
      <c r="G2857" s="116"/>
      <c r="K2857" s="104" t="n">
        <f aca="false">IF(A2857="",0,IF(IFERROR(VLOOKUP(A2857,Skills!$A:$M,13,FALSE()),"")="COS",0,IF(OR(I2857="En cours",I2857="À venir",I2857="À planifier"),IF(AND(OR($C$3="Tous",$C$3="",C2857=$C$3),OR($E$3="Tous",$E$3="",I2857=$E$3)),1,0),0)))</f>
        <v>0</v>
      </c>
      <c r="L2857" s="104" t="n">
        <f aca="false">L2856+K2857</f>
        <v>19</v>
      </c>
    </row>
    <row r="2858" customFormat="false" ht="15" hidden="true" customHeight="true" outlineLevel="0" collapsed="false">
      <c r="F2858" s="116"/>
      <c r="G2858" s="116"/>
      <c r="K2858" s="104" t="n">
        <f aca="false">IF(A2858="",0,IF(IFERROR(VLOOKUP(A2858,Skills!$A:$M,13,FALSE()),"")="COS",0,IF(OR(I2858="En cours",I2858="À venir",I2858="À planifier"),IF(AND(OR($C$3="Tous",$C$3="",C2858=$C$3),OR($E$3="Tous",$E$3="",I2858=$E$3)),1,0),0)))</f>
        <v>0</v>
      </c>
      <c r="L2858" s="104" t="n">
        <f aca="false">L2857+K2858</f>
        <v>19</v>
      </c>
    </row>
    <row r="2859" customFormat="false" ht="15" hidden="true" customHeight="true" outlineLevel="0" collapsed="false">
      <c r="F2859" s="116"/>
      <c r="G2859" s="116"/>
      <c r="K2859" s="104" t="n">
        <f aca="false">IF(A2859="",0,IF(IFERROR(VLOOKUP(A2859,Skills!$A:$M,13,FALSE()),"")="COS",0,IF(OR(I2859="En cours",I2859="À venir",I2859="À planifier"),IF(AND(OR($C$3="Tous",$C$3="",C2859=$C$3),OR($E$3="Tous",$E$3="",I2859=$E$3)),1,0),0)))</f>
        <v>0</v>
      </c>
      <c r="L2859" s="104" t="n">
        <f aca="false">L2858+K2859</f>
        <v>19</v>
      </c>
    </row>
    <row r="2860" customFormat="false" ht="15" hidden="true" customHeight="true" outlineLevel="0" collapsed="false">
      <c r="F2860" s="116"/>
      <c r="G2860" s="116"/>
      <c r="K2860" s="104" t="n">
        <f aca="false">IF(A2860="",0,IF(IFERROR(VLOOKUP(A2860,Skills!$A:$M,13,FALSE()),"")="COS",0,IF(OR(I2860="En cours",I2860="À venir",I2860="À planifier"),IF(AND(OR($C$3="Tous",$C$3="",C2860=$C$3),OR($E$3="Tous",$E$3="",I2860=$E$3)),1,0),0)))</f>
        <v>0</v>
      </c>
      <c r="L2860" s="104" t="n">
        <f aca="false">L2859+K2860</f>
        <v>19</v>
      </c>
    </row>
    <row r="2861" customFormat="false" ht="15" hidden="true" customHeight="true" outlineLevel="0" collapsed="false">
      <c r="F2861" s="116"/>
      <c r="G2861" s="116"/>
      <c r="K2861" s="104" t="n">
        <f aca="false">IF(A2861="",0,IF(IFERROR(VLOOKUP(A2861,Skills!$A:$M,13,FALSE()),"")="COS",0,IF(OR(I2861="En cours",I2861="À venir",I2861="À planifier"),IF(AND(OR($C$3="Tous",$C$3="",C2861=$C$3),OR($E$3="Tous",$E$3="",I2861=$E$3)),1,0),0)))</f>
        <v>0</v>
      </c>
      <c r="L2861" s="104" t="n">
        <f aca="false">L2860+K2861</f>
        <v>19</v>
      </c>
    </row>
    <row r="2862" customFormat="false" ht="15" hidden="true" customHeight="true" outlineLevel="0" collapsed="false">
      <c r="F2862" s="116"/>
      <c r="G2862" s="116"/>
      <c r="K2862" s="104" t="n">
        <f aca="false">IF(A2862="",0,IF(IFERROR(VLOOKUP(A2862,Skills!$A:$M,13,FALSE()),"")="COS",0,IF(OR(I2862="En cours",I2862="À venir",I2862="À planifier"),IF(AND(OR($C$3="Tous",$C$3="",C2862=$C$3),OR($E$3="Tous",$E$3="",I2862=$E$3)),1,0),0)))</f>
        <v>0</v>
      </c>
      <c r="L2862" s="104" t="n">
        <f aca="false">L2861+K2862</f>
        <v>19</v>
      </c>
    </row>
    <row r="2863" customFormat="false" ht="15" hidden="true" customHeight="true" outlineLevel="0" collapsed="false">
      <c r="F2863" s="116"/>
      <c r="G2863" s="116"/>
      <c r="K2863" s="104" t="n">
        <f aca="false">IF(A2863="",0,IF(IFERROR(VLOOKUP(A2863,Skills!$A:$M,13,FALSE()),"")="COS",0,IF(OR(I2863="En cours",I2863="À venir",I2863="À planifier"),IF(AND(OR($C$3="Tous",$C$3="",C2863=$C$3),OR($E$3="Tous",$E$3="",I2863=$E$3)),1,0),0)))</f>
        <v>0</v>
      </c>
      <c r="L2863" s="104" t="n">
        <f aca="false">L2862+K2863</f>
        <v>19</v>
      </c>
    </row>
    <row r="2864" customFormat="false" ht="15" hidden="true" customHeight="true" outlineLevel="0" collapsed="false">
      <c r="F2864" s="116"/>
      <c r="G2864" s="116"/>
      <c r="K2864" s="104" t="n">
        <f aca="false">IF(A2864="",0,IF(IFERROR(VLOOKUP(A2864,Skills!$A:$M,13,FALSE()),"")="COS",0,IF(OR(I2864="En cours",I2864="À venir",I2864="À planifier"),IF(AND(OR($C$3="Tous",$C$3="",C2864=$C$3),OR($E$3="Tous",$E$3="",I2864=$E$3)),1,0),0)))</f>
        <v>0</v>
      </c>
      <c r="L2864" s="104" t="n">
        <f aca="false">L2863+K2864</f>
        <v>19</v>
      </c>
    </row>
    <row r="2865" customFormat="false" ht="15" hidden="true" customHeight="true" outlineLevel="0" collapsed="false">
      <c r="F2865" s="116"/>
      <c r="G2865" s="116"/>
      <c r="K2865" s="104" t="n">
        <f aca="false">IF(A2865="",0,IF(IFERROR(VLOOKUP(A2865,Skills!$A:$M,13,FALSE()),"")="COS",0,IF(OR(I2865="En cours",I2865="À venir",I2865="À planifier"),IF(AND(OR($C$3="Tous",$C$3="",C2865=$C$3),OR($E$3="Tous",$E$3="",I2865=$E$3)),1,0),0)))</f>
        <v>0</v>
      </c>
      <c r="L2865" s="104" t="n">
        <f aca="false">L2864+K2865</f>
        <v>19</v>
      </c>
    </row>
    <row r="2866" customFormat="false" ht="15" hidden="true" customHeight="true" outlineLevel="0" collapsed="false">
      <c r="F2866" s="116"/>
      <c r="G2866" s="116"/>
      <c r="K2866" s="104" t="n">
        <f aca="false">IF(A2866="",0,IF(IFERROR(VLOOKUP(A2866,Skills!$A:$M,13,FALSE()),"")="COS",0,IF(OR(I2866="En cours",I2866="À venir",I2866="À planifier"),IF(AND(OR($C$3="Tous",$C$3="",C2866=$C$3),OR($E$3="Tous",$E$3="",I2866=$E$3)),1,0),0)))</f>
        <v>0</v>
      </c>
      <c r="L2866" s="104" t="n">
        <f aca="false">L2865+K2866</f>
        <v>19</v>
      </c>
    </row>
    <row r="2867" customFormat="false" ht="15" hidden="true" customHeight="true" outlineLevel="0" collapsed="false">
      <c r="F2867" s="116"/>
      <c r="G2867" s="116"/>
      <c r="K2867" s="104" t="n">
        <f aca="false">IF(A2867="",0,IF(IFERROR(VLOOKUP(A2867,Skills!$A:$M,13,FALSE()),"")="COS",0,IF(OR(I2867="En cours",I2867="À venir",I2867="À planifier"),IF(AND(OR($C$3="Tous",$C$3="",C2867=$C$3),OR($E$3="Tous",$E$3="",I2867=$E$3)),1,0),0)))</f>
        <v>0</v>
      </c>
      <c r="L2867" s="104" t="n">
        <f aca="false">L2866+K2867</f>
        <v>19</v>
      </c>
    </row>
    <row r="2868" customFormat="false" ht="15" hidden="true" customHeight="true" outlineLevel="0" collapsed="false">
      <c r="F2868" s="116"/>
      <c r="G2868" s="116"/>
      <c r="K2868" s="104" t="n">
        <f aca="false">IF(A2868="",0,IF(IFERROR(VLOOKUP(A2868,Skills!$A:$M,13,FALSE()),"")="COS",0,IF(OR(I2868="En cours",I2868="À venir",I2868="À planifier"),IF(AND(OR($C$3="Tous",$C$3="",C2868=$C$3),OR($E$3="Tous",$E$3="",I2868=$E$3)),1,0),0)))</f>
        <v>0</v>
      </c>
      <c r="L2868" s="104" t="n">
        <f aca="false">L2867+K2868</f>
        <v>19</v>
      </c>
    </row>
    <row r="2869" customFormat="false" ht="15" hidden="true" customHeight="true" outlineLevel="0" collapsed="false">
      <c r="F2869" s="116"/>
      <c r="G2869" s="116"/>
      <c r="K2869" s="104" t="n">
        <f aca="false">IF(A2869="",0,IF(IFERROR(VLOOKUP(A2869,Skills!$A:$M,13,FALSE()),"")="COS",0,IF(OR(I2869="En cours",I2869="À venir",I2869="À planifier"),IF(AND(OR($C$3="Tous",$C$3="",C2869=$C$3),OR($E$3="Tous",$E$3="",I2869=$E$3)),1,0),0)))</f>
        <v>0</v>
      </c>
      <c r="L2869" s="104" t="n">
        <f aca="false">L2868+K2869</f>
        <v>19</v>
      </c>
    </row>
    <row r="2870" customFormat="false" ht="15" hidden="true" customHeight="true" outlineLevel="0" collapsed="false">
      <c r="F2870" s="116"/>
      <c r="G2870" s="116"/>
      <c r="K2870" s="104" t="n">
        <f aca="false">IF(A2870="",0,IF(IFERROR(VLOOKUP(A2870,Skills!$A:$M,13,FALSE()),"")="COS",0,IF(OR(I2870="En cours",I2870="À venir",I2870="À planifier"),IF(AND(OR($C$3="Tous",$C$3="",C2870=$C$3),OR($E$3="Tous",$E$3="",I2870=$E$3)),1,0),0)))</f>
        <v>0</v>
      </c>
      <c r="L2870" s="104" t="n">
        <f aca="false">L2869+K2870</f>
        <v>19</v>
      </c>
    </row>
    <row r="2871" customFormat="false" ht="15" hidden="true" customHeight="true" outlineLevel="0" collapsed="false">
      <c r="F2871" s="116"/>
      <c r="G2871" s="116"/>
      <c r="K2871" s="104" t="n">
        <f aca="false">IF(A2871="",0,IF(IFERROR(VLOOKUP(A2871,Skills!$A:$M,13,FALSE()),"")="COS",0,IF(OR(I2871="En cours",I2871="À venir",I2871="À planifier"),IF(AND(OR($C$3="Tous",$C$3="",C2871=$C$3),OR($E$3="Tous",$E$3="",I2871=$E$3)),1,0),0)))</f>
        <v>0</v>
      </c>
      <c r="L2871" s="104" t="n">
        <f aca="false">L2870+K2871</f>
        <v>19</v>
      </c>
    </row>
    <row r="2872" customFormat="false" ht="15" hidden="true" customHeight="true" outlineLevel="0" collapsed="false">
      <c r="F2872" s="116"/>
      <c r="G2872" s="116"/>
      <c r="K2872" s="104" t="n">
        <f aca="false">IF(A2872="",0,IF(IFERROR(VLOOKUP(A2872,Skills!$A:$M,13,FALSE()),"")="COS",0,IF(OR(I2872="En cours",I2872="À venir",I2872="À planifier"),IF(AND(OR($C$3="Tous",$C$3="",C2872=$C$3),OR($E$3="Tous",$E$3="",I2872=$E$3)),1,0),0)))</f>
        <v>0</v>
      </c>
      <c r="L2872" s="104" t="n">
        <f aca="false">L2871+K2872</f>
        <v>19</v>
      </c>
    </row>
    <row r="2873" customFormat="false" ht="15" hidden="true" customHeight="true" outlineLevel="0" collapsed="false">
      <c r="F2873" s="116"/>
      <c r="G2873" s="116"/>
      <c r="K2873" s="104" t="n">
        <f aca="false">IF(A2873="",0,IF(IFERROR(VLOOKUP(A2873,Skills!$A:$M,13,FALSE()),"")="COS",0,IF(OR(I2873="En cours",I2873="À venir",I2873="À planifier"),IF(AND(OR($C$3="Tous",$C$3="",C2873=$C$3),OR($E$3="Tous",$E$3="",I2873=$E$3)),1,0),0)))</f>
        <v>0</v>
      </c>
      <c r="L2873" s="104" t="n">
        <f aca="false">L2872+K2873</f>
        <v>19</v>
      </c>
    </row>
    <row r="2874" customFormat="false" ht="15" hidden="true" customHeight="true" outlineLevel="0" collapsed="false">
      <c r="F2874" s="116"/>
      <c r="G2874" s="116"/>
      <c r="K2874" s="104" t="n">
        <f aca="false">IF(A2874="",0,IF(IFERROR(VLOOKUP(A2874,Skills!$A:$M,13,FALSE()),"")="COS",0,IF(OR(I2874="En cours",I2874="À venir",I2874="À planifier"),IF(AND(OR($C$3="Tous",$C$3="",C2874=$C$3),OR($E$3="Tous",$E$3="",I2874=$E$3)),1,0),0)))</f>
        <v>0</v>
      </c>
      <c r="L2874" s="104" t="n">
        <f aca="false">L2873+K2874</f>
        <v>19</v>
      </c>
    </row>
    <row r="2875" customFormat="false" ht="15" hidden="true" customHeight="true" outlineLevel="0" collapsed="false">
      <c r="F2875" s="116"/>
      <c r="G2875" s="116"/>
      <c r="K2875" s="104" t="n">
        <f aca="false">IF(A2875="",0,IF(IFERROR(VLOOKUP(A2875,Skills!$A:$M,13,FALSE()),"")="COS",0,IF(OR(I2875="En cours",I2875="À venir",I2875="À planifier"),IF(AND(OR($C$3="Tous",$C$3="",C2875=$C$3),OR($E$3="Tous",$E$3="",I2875=$E$3)),1,0),0)))</f>
        <v>0</v>
      </c>
      <c r="L2875" s="104" t="n">
        <f aca="false">L2874+K2875</f>
        <v>19</v>
      </c>
    </row>
    <row r="2876" customFormat="false" ht="15" hidden="true" customHeight="true" outlineLevel="0" collapsed="false">
      <c r="F2876" s="116"/>
      <c r="G2876" s="116"/>
      <c r="K2876" s="104" t="n">
        <f aca="false">IF(A2876="",0,IF(IFERROR(VLOOKUP(A2876,Skills!$A:$M,13,FALSE()),"")="COS",0,IF(OR(I2876="En cours",I2876="À venir",I2876="À planifier"),IF(AND(OR($C$3="Tous",$C$3="",C2876=$C$3),OR($E$3="Tous",$E$3="",I2876=$E$3)),1,0),0)))</f>
        <v>0</v>
      </c>
      <c r="L2876" s="104" t="n">
        <f aca="false">L2875+K2876</f>
        <v>19</v>
      </c>
    </row>
    <row r="2877" customFormat="false" ht="15" hidden="true" customHeight="true" outlineLevel="0" collapsed="false">
      <c r="F2877" s="116"/>
      <c r="G2877" s="116"/>
      <c r="K2877" s="104" t="n">
        <f aca="false">IF(A2877="",0,IF(IFERROR(VLOOKUP(A2877,Skills!$A:$M,13,FALSE()),"")="COS",0,IF(OR(I2877="En cours",I2877="À venir",I2877="À planifier"),IF(AND(OR($C$3="Tous",$C$3="",C2877=$C$3),OR($E$3="Tous",$E$3="",I2877=$E$3)),1,0),0)))</f>
        <v>0</v>
      </c>
      <c r="L2877" s="104" t="n">
        <f aca="false">L2876+K2877</f>
        <v>19</v>
      </c>
    </row>
    <row r="2878" customFormat="false" ht="15" hidden="true" customHeight="true" outlineLevel="0" collapsed="false">
      <c r="F2878" s="116"/>
      <c r="G2878" s="116"/>
      <c r="K2878" s="104" t="n">
        <f aca="false">IF(A2878="",0,IF(IFERROR(VLOOKUP(A2878,Skills!$A:$M,13,FALSE()),"")="COS",0,IF(OR(I2878="En cours",I2878="À venir",I2878="À planifier"),IF(AND(OR($C$3="Tous",$C$3="",C2878=$C$3),OR($E$3="Tous",$E$3="",I2878=$E$3)),1,0),0)))</f>
        <v>0</v>
      </c>
      <c r="L2878" s="104" t="n">
        <f aca="false">L2877+K2878</f>
        <v>19</v>
      </c>
    </row>
    <row r="2879" customFormat="false" ht="15" hidden="true" customHeight="true" outlineLevel="0" collapsed="false">
      <c r="F2879" s="116"/>
      <c r="G2879" s="116"/>
      <c r="K2879" s="104" t="n">
        <f aca="false">IF(A2879="",0,IF(IFERROR(VLOOKUP(A2879,Skills!$A:$M,13,FALSE()),"")="COS",0,IF(OR(I2879="En cours",I2879="À venir",I2879="À planifier"),IF(AND(OR($C$3="Tous",$C$3="",C2879=$C$3),OR($E$3="Tous",$E$3="",I2879=$E$3)),1,0),0)))</f>
        <v>0</v>
      </c>
      <c r="L2879" s="104" t="n">
        <f aca="false">L2878+K2879</f>
        <v>19</v>
      </c>
    </row>
    <row r="2880" customFormat="false" ht="15" hidden="true" customHeight="true" outlineLevel="0" collapsed="false">
      <c r="F2880" s="116"/>
      <c r="G2880" s="116"/>
      <c r="K2880" s="104" t="n">
        <f aca="false">IF(A2880="",0,IF(IFERROR(VLOOKUP(A2880,Skills!$A:$M,13,FALSE()),"")="COS",0,IF(OR(I2880="En cours",I2880="À venir",I2880="À planifier"),IF(AND(OR($C$3="Tous",$C$3="",C2880=$C$3),OR($E$3="Tous",$E$3="",I2880=$E$3)),1,0),0)))</f>
        <v>0</v>
      </c>
      <c r="L2880" s="104" t="n">
        <f aca="false">L2879+K2880</f>
        <v>19</v>
      </c>
    </row>
    <row r="2881" customFormat="false" ht="15" hidden="true" customHeight="true" outlineLevel="0" collapsed="false">
      <c r="F2881" s="116"/>
      <c r="G2881" s="116"/>
      <c r="K2881" s="104" t="n">
        <f aca="false">IF(A2881="",0,IF(IFERROR(VLOOKUP(A2881,Skills!$A:$M,13,FALSE()),"")="COS",0,IF(OR(I2881="En cours",I2881="À venir",I2881="À planifier"),IF(AND(OR($C$3="Tous",$C$3="",C2881=$C$3),OR($E$3="Tous",$E$3="",I2881=$E$3)),1,0),0)))</f>
        <v>0</v>
      </c>
      <c r="L2881" s="104" t="n">
        <f aca="false">L2880+K2881</f>
        <v>19</v>
      </c>
    </row>
    <row r="2882" customFormat="false" ht="15" hidden="true" customHeight="true" outlineLevel="0" collapsed="false">
      <c r="F2882" s="116"/>
      <c r="G2882" s="116"/>
      <c r="K2882" s="104" t="n">
        <f aca="false">IF(A2882="",0,IF(IFERROR(VLOOKUP(A2882,Skills!$A:$M,13,FALSE()),"")="COS",0,IF(OR(I2882="En cours",I2882="À venir",I2882="À planifier"),IF(AND(OR($C$3="Tous",$C$3="",C2882=$C$3),OR($E$3="Tous",$E$3="",I2882=$E$3)),1,0),0)))</f>
        <v>0</v>
      </c>
      <c r="L2882" s="104" t="n">
        <f aca="false">L2881+K2882</f>
        <v>19</v>
      </c>
    </row>
    <row r="2883" customFormat="false" ht="15" hidden="true" customHeight="true" outlineLevel="0" collapsed="false">
      <c r="F2883" s="116"/>
      <c r="G2883" s="116"/>
      <c r="K2883" s="104" t="n">
        <f aca="false">IF(A2883="",0,IF(IFERROR(VLOOKUP(A2883,Skills!$A:$M,13,FALSE()),"")="COS",0,IF(OR(I2883="En cours",I2883="À venir",I2883="À planifier"),IF(AND(OR($C$3="Tous",$C$3="",C2883=$C$3),OR($E$3="Tous",$E$3="",I2883=$E$3)),1,0),0)))</f>
        <v>0</v>
      </c>
      <c r="L2883" s="104" t="n">
        <f aca="false">L2882+K2883</f>
        <v>19</v>
      </c>
    </row>
    <row r="2884" customFormat="false" ht="15" hidden="true" customHeight="true" outlineLevel="0" collapsed="false">
      <c r="F2884" s="116"/>
      <c r="G2884" s="116"/>
      <c r="K2884" s="104" t="n">
        <f aca="false">IF(A2884="",0,IF(IFERROR(VLOOKUP(A2884,Skills!$A:$M,13,FALSE()),"")="COS",0,IF(OR(I2884="En cours",I2884="À venir",I2884="À planifier"),IF(AND(OR($C$3="Tous",$C$3="",C2884=$C$3),OR($E$3="Tous",$E$3="",I2884=$E$3)),1,0),0)))</f>
        <v>0</v>
      </c>
      <c r="L2884" s="104" t="n">
        <f aca="false">L2883+K2884</f>
        <v>19</v>
      </c>
    </row>
    <row r="2885" customFormat="false" ht="15" hidden="true" customHeight="true" outlineLevel="0" collapsed="false">
      <c r="F2885" s="116"/>
      <c r="G2885" s="116"/>
      <c r="K2885" s="104" t="n">
        <f aca="false">IF(A2885="",0,IF(IFERROR(VLOOKUP(A2885,Skills!$A:$M,13,FALSE()),"")="COS",0,IF(OR(I2885="En cours",I2885="À venir",I2885="À planifier"),IF(AND(OR($C$3="Tous",$C$3="",C2885=$C$3),OR($E$3="Tous",$E$3="",I2885=$E$3)),1,0),0)))</f>
        <v>0</v>
      </c>
      <c r="L2885" s="104" t="n">
        <f aca="false">L2884+K2885</f>
        <v>19</v>
      </c>
    </row>
    <row r="2886" customFormat="false" ht="15" hidden="true" customHeight="true" outlineLevel="0" collapsed="false">
      <c r="F2886" s="116"/>
      <c r="G2886" s="116"/>
      <c r="K2886" s="104" t="n">
        <f aca="false">IF(A2886="",0,IF(IFERROR(VLOOKUP(A2886,Skills!$A:$M,13,FALSE()),"")="COS",0,IF(OR(I2886="En cours",I2886="À venir",I2886="À planifier"),IF(AND(OR($C$3="Tous",$C$3="",C2886=$C$3),OR($E$3="Tous",$E$3="",I2886=$E$3)),1,0),0)))</f>
        <v>0</v>
      </c>
      <c r="L2886" s="104" t="n">
        <f aca="false">L2885+K2886</f>
        <v>19</v>
      </c>
    </row>
    <row r="2887" customFormat="false" ht="15" hidden="true" customHeight="true" outlineLevel="0" collapsed="false">
      <c r="F2887" s="116"/>
      <c r="G2887" s="116"/>
      <c r="K2887" s="104" t="n">
        <f aca="false">IF(A2887="",0,IF(IFERROR(VLOOKUP(A2887,Skills!$A:$M,13,FALSE()),"")="COS",0,IF(OR(I2887="En cours",I2887="À venir",I2887="À planifier"),IF(AND(OR($C$3="Tous",$C$3="",C2887=$C$3),OR($E$3="Tous",$E$3="",I2887=$E$3)),1,0),0)))</f>
        <v>0</v>
      </c>
      <c r="L2887" s="104" t="n">
        <f aca="false">L2886+K2887</f>
        <v>19</v>
      </c>
    </row>
    <row r="2888" customFormat="false" ht="15" hidden="true" customHeight="true" outlineLevel="0" collapsed="false">
      <c r="F2888" s="116"/>
      <c r="G2888" s="116"/>
      <c r="K2888" s="104" t="n">
        <f aca="false">IF(A2888="",0,IF(IFERROR(VLOOKUP(A2888,Skills!$A:$M,13,FALSE()),"")="COS",0,IF(OR(I2888="En cours",I2888="À venir",I2888="À planifier"),IF(AND(OR($C$3="Tous",$C$3="",C2888=$C$3),OR($E$3="Tous",$E$3="",I2888=$E$3)),1,0),0)))</f>
        <v>0</v>
      </c>
      <c r="L2888" s="104" t="n">
        <f aca="false">L2887+K2888</f>
        <v>19</v>
      </c>
    </row>
    <row r="2889" customFormat="false" ht="15" hidden="true" customHeight="true" outlineLevel="0" collapsed="false">
      <c r="F2889" s="116"/>
      <c r="G2889" s="116"/>
      <c r="K2889" s="104" t="n">
        <f aca="false">IF(A2889="",0,IF(IFERROR(VLOOKUP(A2889,Skills!$A:$M,13,FALSE()),"")="COS",0,IF(OR(I2889="En cours",I2889="À venir",I2889="À planifier"),IF(AND(OR($C$3="Tous",$C$3="",C2889=$C$3),OR($E$3="Tous",$E$3="",I2889=$E$3)),1,0),0)))</f>
        <v>0</v>
      </c>
      <c r="L2889" s="104" t="n">
        <f aca="false">L2888+K2889</f>
        <v>19</v>
      </c>
    </row>
    <row r="2890" customFormat="false" ht="15" hidden="true" customHeight="true" outlineLevel="0" collapsed="false">
      <c r="F2890" s="116"/>
      <c r="G2890" s="116"/>
      <c r="K2890" s="104" t="n">
        <f aca="false">IF(A2890="",0,IF(IFERROR(VLOOKUP(A2890,Skills!$A:$M,13,FALSE()),"")="COS",0,IF(OR(I2890="En cours",I2890="À venir",I2890="À planifier"),IF(AND(OR($C$3="Tous",$C$3="",C2890=$C$3),OR($E$3="Tous",$E$3="",I2890=$E$3)),1,0),0)))</f>
        <v>0</v>
      </c>
      <c r="L2890" s="104" t="n">
        <f aca="false">L2889+K2890</f>
        <v>19</v>
      </c>
    </row>
    <row r="2891" customFormat="false" ht="15" hidden="true" customHeight="true" outlineLevel="0" collapsed="false">
      <c r="F2891" s="116"/>
      <c r="G2891" s="116"/>
      <c r="K2891" s="104" t="n">
        <f aca="false">IF(A2891="",0,IF(IFERROR(VLOOKUP(A2891,Skills!$A:$M,13,FALSE()),"")="COS",0,IF(OR(I2891="En cours",I2891="À venir",I2891="À planifier"),IF(AND(OR($C$3="Tous",$C$3="",C2891=$C$3),OR($E$3="Tous",$E$3="",I2891=$E$3)),1,0),0)))</f>
        <v>0</v>
      </c>
      <c r="L2891" s="104" t="n">
        <f aca="false">L2890+K2891</f>
        <v>19</v>
      </c>
    </row>
    <row r="2892" customFormat="false" ht="15" hidden="true" customHeight="true" outlineLevel="0" collapsed="false">
      <c r="F2892" s="116"/>
      <c r="G2892" s="116"/>
      <c r="K2892" s="104" t="n">
        <f aca="false">IF(A2892="",0,IF(IFERROR(VLOOKUP(A2892,Skills!$A:$M,13,FALSE()),"")="COS",0,IF(OR(I2892="En cours",I2892="À venir",I2892="À planifier"),IF(AND(OR($C$3="Tous",$C$3="",C2892=$C$3),OR($E$3="Tous",$E$3="",I2892=$E$3)),1,0),0)))</f>
        <v>0</v>
      </c>
      <c r="L2892" s="104" t="n">
        <f aca="false">L2891+K2892</f>
        <v>19</v>
      </c>
    </row>
    <row r="2893" customFormat="false" ht="15" hidden="true" customHeight="true" outlineLevel="0" collapsed="false">
      <c r="F2893" s="116"/>
      <c r="G2893" s="116"/>
      <c r="K2893" s="104" t="n">
        <f aca="false">IF(A2893="",0,IF(IFERROR(VLOOKUP(A2893,Skills!$A:$M,13,FALSE()),"")="COS",0,IF(OR(I2893="En cours",I2893="À venir",I2893="À planifier"),IF(AND(OR($C$3="Tous",$C$3="",C2893=$C$3),OR($E$3="Tous",$E$3="",I2893=$E$3)),1,0),0)))</f>
        <v>0</v>
      </c>
      <c r="L2893" s="104" t="n">
        <f aca="false">L2892+K2893</f>
        <v>19</v>
      </c>
    </row>
    <row r="2894" customFormat="false" ht="15" hidden="true" customHeight="true" outlineLevel="0" collapsed="false">
      <c r="F2894" s="116"/>
      <c r="G2894" s="116"/>
      <c r="K2894" s="104" t="n">
        <f aca="false">IF(A2894="",0,IF(IFERROR(VLOOKUP(A2894,Skills!$A:$M,13,FALSE()),"")="COS",0,IF(OR(I2894="En cours",I2894="À venir",I2894="À planifier"),IF(AND(OR($C$3="Tous",$C$3="",C2894=$C$3),OR($E$3="Tous",$E$3="",I2894=$E$3)),1,0),0)))</f>
        <v>0</v>
      </c>
      <c r="L2894" s="104" t="n">
        <f aca="false">L2893+K2894</f>
        <v>19</v>
      </c>
    </row>
    <row r="2895" customFormat="false" ht="15" hidden="true" customHeight="true" outlineLevel="0" collapsed="false">
      <c r="F2895" s="116"/>
      <c r="G2895" s="116"/>
      <c r="K2895" s="104" t="n">
        <f aca="false">IF(A2895="",0,IF(IFERROR(VLOOKUP(A2895,Skills!$A:$M,13,FALSE()),"")="COS",0,IF(OR(I2895="En cours",I2895="À venir",I2895="À planifier"),IF(AND(OR($C$3="Tous",$C$3="",C2895=$C$3),OR($E$3="Tous",$E$3="",I2895=$E$3)),1,0),0)))</f>
        <v>0</v>
      </c>
      <c r="L2895" s="104" t="n">
        <f aca="false">L2894+K2895</f>
        <v>19</v>
      </c>
    </row>
    <row r="2896" customFormat="false" ht="15" hidden="true" customHeight="true" outlineLevel="0" collapsed="false">
      <c r="F2896" s="116"/>
      <c r="G2896" s="116"/>
      <c r="K2896" s="104" t="n">
        <f aca="false">IF(A2896="",0,IF(IFERROR(VLOOKUP(A2896,Skills!$A:$M,13,FALSE()),"")="COS",0,IF(OR(I2896="En cours",I2896="À venir",I2896="À planifier"),IF(AND(OR($C$3="Tous",$C$3="",C2896=$C$3),OR($E$3="Tous",$E$3="",I2896=$E$3)),1,0),0)))</f>
        <v>0</v>
      </c>
      <c r="L2896" s="104" t="n">
        <f aca="false">L2895+K2896</f>
        <v>19</v>
      </c>
    </row>
    <row r="2897" customFormat="false" ht="15" hidden="true" customHeight="true" outlineLevel="0" collapsed="false">
      <c r="F2897" s="116"/>
      <c r="G2897" s="116"/>
      <c r="K2897" s="104" t="n">
        <f aca="false">IF(A2897="",0,IF(IFERROR(VLOOKUP(A2897,Skills!$A:$M,13,FALSE()),"")="COS",0,IF(OR(I2897="En cours",I2897="À venir",I2897="À planifier"),IF(AND(OR($C$3="Tous",$C$3="",C2897=$C$3),OR($E$3="Tous",$E$3="",I2897=$E$3)),1,0),0)))</f>
        <v>0</v>
      </c>
      <c r="L2897" s="104" t="n">
        <f aca="false">L2896+K2897</f>
        <v>19</v>
      </c>
    </row>
    <row r="2898" customFormat="false" ht="15" hidden="true" customHeight="true" outlineLevel="0" collapsed="false">
      <c r="F2898" s="116"/>
      <c r="G2898" s="116"/>
      <c r="K2898" s="104" t="n">
        <f aca="false">IF(A2898="",0,IF(IFERROR(VLOOKUP(A2898,Skills!$A:$M,13,FALSE()),"")="COS",0,IF(OR(I2898="En cours",I2898="À venir",I2898="À planifier"),IF(AND(OR($C$3="Tous",$C$3="",C2898=$C$3),OR($E$3="Tous",$E$3="",I2898=$E$3)),1,0),0)))</f>
        <v>0</v>
      </c>
      <c r="L2898" s="104" t="n">
        <f aca="false">L2897+K2898</f>
        <v>19</v>
      </c>
    </row>
    <row r="2899" customFormat="false" ht="15" hidden="true" customHeight="true" outlineLevel="0" collapsed="false">
      <c r="F2899" s="116"/>
      <c r="G2899" s="116"/>
      <c r="K2899" s="104" t="n">
        <f aca="false">IF(A2899="",0,IF(IFERROR(VLOOKUP(A2899,Skills!$A:$M,13,FALSE()),"")="COS",0,IF(OR(I2899="En cours",I2899="À venir",I2899="À planifier"),IF(AND(OR($C$3="Tous",$C$3="",C2899=$C$3),OR($E$3="Tous",$E$3="",I2899=$E$3)),1,0),0)))</f>
        <v>0</v>
      </c>
      <c r="L2899" s="104" t="n">
        <f aca="false">L2898+K2899</f>
        <v>19</v>
      </c>
    </row>
    <row r="2900" customFormat="false" ht="15" hidden="true" customHeight="true" outlineLevel="0" collapsed="false">
      <c r="F2900" s="116"/>
      <c r="G2900" s="116"/>
      <c r="K2900" s="104" t="n">
        <f aca="false">IF(A2900="",0,IF(IFERROR(VLOOKUP(A2900,Skills!$A:$M,13,FALSE()),"")="COS",0,IF(OR(I2900="En cours",I2900="À venir",I2900="À planifier"),IF(AND(OR($C$3="Tous",$C$3="",C2900=$C$3),OR($E$3="Tous",$E$3="",I2900=$E$3)),1,0),0)))</f>
        <v>0</v>
      </c>
      <c r="L2900" s="104" t="n">
        <f aca="false">L2899+K2900</f>
        <v>19</v>
      </c>
    </row>
    <row r="2901" customFormat="false" ht="15" hidden="true" customHeight="true" outlineLevel="0" collapsed="false">
      <c r="F2901" s="116"/>
      <c r="G2901" s="116"/>
      <c r="K2901" s="104" t="n">
        <f aca="false">IF(A2901="",0,IF(IFERROR(VLOOKUP(A2901,Skills!$A:$M,13,FALSE()),"")="COS",0,IF(OR(I2901="En cours",I2901="À venir",I2901="À planifier"),IF(AND(OR($C$3="Tous",$C$3="",C2901=$C$3),OR($E$3="Tous",$E$3="",I2901=$E$3)),1,0),0)))</f>
        <v>0</v>
      </c>
      <c r="L2901" s="104" t="n">
        <f aca="false">L2900+K2901</f>
        <v>19</v>
      </c>
    </row>
    <row r="2902" customFormat="false" ht="15" hidden="true" customHeight="true" outlineLevel="0" collapsed="false">
      <c r="F2902" s="116"/>
      <c r="G2902" s="116"/>
      <c r="K2902" s="104" t="n">
        <f aca="false">IF(A2902="",0,IF(IFERROR(VLOOKUP(A2902,Skills!$A:$M,13,FALSE()),"")="COS",0,IF(OR(I2902="En cours",I2902="À venir",I2902="À planifier"),IF(AND(OR($C$3="Tous",$C$3="",C2902=$C$3),OR($E$3="Tous",$E$3="",I2902=$E$3)),1,0),0)))</f>
        <v>0</v>
      </c>
      <c r="L2902" s="104" t="n">
        <f aca="false">L2901+K2902</f>
        <v>19</v>
      </c>
    </row>
    <row r="2903" customFormat="false" ht="15" hidden="true" customHeight="true" outlineLevel="0" collapsed="false">
      <c r="F2903" s="116"/>
      <c r="G2903" s="116"/>
      <c r="K2903" s="104" t="n">
        <f aca="false">IF(A2903="",0,IF(IFERROR(VLOOKUP(A2903,Skills!$A:$M,13,FALSE()),"")="COS",0,IF(OR(I2903="En cours",I2903="À venir",I2903="À planifier"),IF(AND(OR($C$3="Tous",$C$3="",C2903=$C$3),OR($E$3="Tous",$E$3="",I2903=$E$3)),1,0),0)))</f>
        <v>0</v>
      </c>
      <c r="L2903" s="104" t="n">
        <f aca="false">L2902+K2903</f>
        <v>19</v>
      </c>
    </row>
    <row r="2904" customFormat="false" ht="15" hidden="true" customHeight="true" outlineLevel="0" collapsed="false">
      <c r="F2904" s="116"/>
      <c r="G2904" s="116"/>
      <c r="K2904" s="104" t="n">
        <f aca="false">IF(A2904="",0,IF(IFERROR(VLOOKUP(A2904,Skills!$A:$M,13,FALSE()),"")="COS",0,IF(OR(I2904="En cours",I2904="À venir",I2904="À planifier"),IF(AND(OR($C$3="Tous",$C$3="",C2904=$C$3),OR($E$3="Tous",$E$3="",I2904=$E$3)),1,0),0)))</f>
        <v>0</v>
      </c>
      <c r="L2904" s="104" t="n">
        <f aca="false">L2903+K2904</f>
        <v>19</v>
      </c>
    </row>
    <row r="2905" customFormat="false" ht="15" hidden="true" customHeight="true" outlineLevel="0" collapsed="false">
      <c r="F2905" s="116"/>
      <c r="G2905" s="116"/>
      <c r="K2905" s="104" t="n">
        <f aca="false">IF(A2905="",0,IF(IFERROR(VLOOKUP(A2905,Skills!$A:$M,13,FALSE()),"")="COS",0,IF(OR(I2905="En cours",I2905="À venir",I2905="À planifier"),IF(AND(OR($C$3="Tous",$C$3="",C2905=$C$3),OR($E$3="Tous",$E$3="",I2905=$E$3)),1,0),0)))</f>
        <v>0</v>
      </c>
      <c r="L2905" s="104" t="n">
        <f aca="false">L2904+K2905</f>
        <v>19</v>
      </c>
    </row>
    <row r="2906" customFormat="false" ht="15" hidden="true" customHeight="true" outlineLevel="0" collapsed="false">
      <c r="F2906" s="116"/>
      <c r="G2906" s="116"/>
      <c r="K2906" s="104" t="n">
        <f aca="false">IF(A2906="",0,IF(IFERROR(VLOOKUP(A2906,Skills!$A:$M,13,FALSE()),"")="COS",0,IF(OR(I2906="En cours",I2906="À venir",I2906="À planifier"),IF(AND(OR($C$3="Tous",$C$3="",C2906=$C$3),OR($E$3="Tous",$E$3="",I2906=$E$3)),1,0),0)))</f>
        <v>0</v>
      </c>
      <c r="L2906" s="104" t="n">
        <f aca="false">L2905+K2906</f>
        <v>19</v>
      </c>
    </row>
    <row r="2907" customFormat="false" ht="15" hidden="true" customHeight="true" outlineLevel="0" collapsed="false">
      <c r="F2907" s="116"/>
      <c r="G2907" s="116"/>
      <c r="K2907" s="104" t="n">
        <f aca="false">IF(A2907="",0,IF(IFERROR(VLOOKUP(A2907,Skills!$A:$M,13,FALSE()),"")="COS",0,IF(OR(I2907="En cours",I2907="À venir",I2907="À planifier"),IF(AND(OR($C$3="Tous",$C$3="",C2907=$C$3),OR($E$3="Tous",$E$3="",I2907=$E$3)),1,0),0)))</f>
        <v>0</v>
      </c>
      <c r="L2907" s="104" t="n">
        <f aca="false">L2906+K2907</f>
        <v>19</v>
      </c>
    </row>
    <row r="2908" customFormat="false" ht="15" hidden="true" customHeight="true" outlineLevel="0" collapsed="false">
      <c r="F2908" s="116"/>
      <c r="G2908" s="116"/>
      <c r="K2908" s="104" t="n">
        <f aca="false">IF(A2908="",0,IF(IFERROR(VLOOKUP(A2908,Skills!$A:$M,13,FALSE()),"")="COS",0,IF(OR(I2908="En cours",I2908="À venir",I2908="À planifier"),IF(AND(OR($C$3="Tous",$C$3="",C2908=$C$3),OR($E$3="Tous",$E$3="",I2908=$E$3)),1,0),0)))</f>
        <v>0</v>
      </c>
      <c r="L2908" s="104" t="n">
        <f aca="false">L2907+K2908</f>
        <v>19</v>
      </c>
    </row>
    <row r="2909" customFormat="false" ht="15" hidden="true" customHeight="true" outlineLevel="0" collapsed="false">
      <c r="F2909" s="116"/>
      <c r="G2909" s="116"/>
      <c r="K2909" s="104" t="n">
        <f aca="false">IF(A2909="",0,IF(IFERROR(VLOOKUP(A2909,Skills!$A:$M,13,FALSE()),"")="COS",0,IF(OR(I2909="En cours",I2909="À venir",I2909="À planifier"),IF(AND(OR($C$3="Tous",$C$3="",C2909=$C$3),OR($E$3="Tous",$E$3="",I2909=$E$3)),1,0),0)))</f>
        <v>0</v>
      </c>
      <c r="L2909" s="104" t="n">
        <f aca="false">L2908+K2909</f>
        <v>19</v>
      </c>
    </row>
    <row r="2910" customFormat="false" ht="15" hidden="true" customHeight="true" outlineLevel="0" collapsed="false">
      <c r="F2910" s="116"/>
      <c r="G2910" s="116"/>
      <c r="K2910" s="104" t="n">
        <f aca="false">IF(A2910="",0,IF(IFERROR(VLOOKUP(A2910,Skills!$A:$M,13,FALSE()),"")="COS",0,IF(OR(I2910="En cours",I2910="À venir",I2910="À planifier"),IF(AND(OR($C$3="Tous",$C$3="",C2910=$C$3),OR($E$3="Tous",$E$3="",I2910=$E$3)),1,0),0)))</f>
        <v>0</v>
      </c>
      <c r="L2910" s="104" t="n">
        <f aca="false">L2909+K2910</f>
        <v>19</v>
      </c>
    </row>
    <row r="2911" customFormat="false" ht="15" hidden="true" customHeight="true" outlineLevel="0" collapsed="false">
      <c r="F2911" s="116"/>
      <c r="G2911" s="116"/>
      <c r="K2911" s="104" t="n">
        <f aca="false">IF(A2911="",0,IF(IFERROR(VLOOKUP(A2911,Skills!$A:$M,13,FALSE()),"")="COS",0,IF(OR(I2911="En cours",I2911="À venir",I2911="À planifier"),IF(AND(OR($C$3="Tous",$C$3="",C2911=$C$3),OR($E$3="Tous",$E$3="",I2911=$E$3)),1,0),0)))</f>
        <v>0</v>
      </c>
      <c r="L2911" s="104" t="n">
        <f aca="false">L2910+K2911</f>
        <v>19</v>
      </c>
    </row>
    <row r="2912" customFormat="false" ht="15" hidden="true" customHeight="true" outlineLevel="0" collapsed="false">
      <c r="F2912" s="116"/>
      <c r="G2912" s="116"/>
      <c r="K2912" s="104" t="n">
        <f aca="false">IF(A2912="",0,IF(IFERROR(VLOOKUP(A2912,Skills!$A:$M,13,FALSE()),"")="COS",0,IF(OR(I2912="En cours",I2912="À venir",I2912="À planifier"),IF(AND(OR($C$3="Tous",$C$3="",C2912=$C$3),OR($E$3="Tous",$E$3="",I2912=$E$3)),1,0),0)))</f>
        <v>0</v>
      </c>
      <c r="L2912" s="104" t="n">
        <f aca="false">L2911+K2912</f>
        <v>19</v>
      </c>
    </row>
    <row r="2913" customFormat="false" ht="15" hidden="true" customHeight="true" outlineLevel="0" collapsed="false">
      <c r="F2913" s="116"/>
      <c r="G2913" s="116"/>
      <c r="K2913" s="104" t="n">
        <f aca="false">IF(A2913="",0,IF(IFERROR(VLOOKUP(A2913,Skills!$A:$M,13,FALSE()),"")="COS",0,IF(OR(I2913="En cours",I2913="À venir",I2913="À planifier"),IF(AND(OR($C$3="Tous",$C$3="",C2913=$C$3),OR($E$3="Tous",$E$3="",I2913=$E$3)),1,0),0)))</f>
        <v>0</v>
      </c>
      <c r="L2913" s="104" t="n">
        <f aca="false">L2912+K2913</f>
        <v>19</v>
      </c>
    </row>
    <row r="2914" customFormat="false" ht="15" hidden="true" customHeight="true" outlineLevel="0" collapsed="false">
      <c r="F2914" s="116"/>
      <c r="G2914" s="116"/>
      <c r="K2914" s="104" t="n">
        <f aca="false">IF(A2914="",0,IF(IFERROR(VLOOKUP(A2914,Skills!$A:$M,13,FALSE()),"")="COS",0,IF(OR(I2914="En cours",I2914="À venir",I2914="À planifier"),IF(AND(OR($C$3="Tous",$C$3="",C2914=$C$3),OR($E$3="Tous",$E$3="",I2914=$E$3)),1,0),0)))</f>
        <v>0</v>
      </c>
      <c r="L2914" s="104" t="n">
        <f aca="false">L2913+K2914</f>
        <v>19</v>
      </c>
    </row>
    <row r="2915" customFormat="false" ht="15" hidden="true" customHeight="true" outlineLevel="0" collapsed="false">
      <c r="F2915" s="116"/>
      <c r="G2915" s="116"/>
      <c r="K2915" s="104" t="n">
        <f aca="false">IF(A2915="",0,IF(IFERROR(VLOOKUP(A2915,Skills!$A:$M,13,FALSE()),"")="COS",0,IF(OR(I2915="En cours",I2915="À venir",I2915="À planifier"),IF(AND(OR($C$3="Tous",$C$3="",C2915=$C$3),OR($E$3="Tous",$E$3="",I2915=$E$3)),1,0),0)))</f>
        <v>0</v>
      </c>
      <c r="L2915" s="104" t="n">
        <f aca="false">L2914+K2915</f>
        <v>19</v>
      </c>
    </row>
    <row r="2916" customFormat="false" ht="15" hidden="true" customHeight="true" outlineLevel="0" collapsed="false">
      <c r="F2916" s="116"/>
      <c r="G2916" s="116"/>
      <c r="K2916" s="104" t="n">
        <f aca="false">IF(A2916="",0,IF(IFERROR(VLOOKUP(A2916,Skills!$A:$M,13,FALSE()),"")="COS",0,IF(OR(I2916="En cours",I2916="À venir",I2916="À planifier"),IF(AND(OR($C$3="Tous",$C$3="",C2916=$C$3),OR($E$3="Tous",$E$3="",I2916=$E$3)),1,0),0)))</f>
        <v>0</v>
      </c>
      <c r="L2916" s="104" t="n">
        <f aca="false">L2915+K2916</f>
        <v>19</v>
      </c>
    </row>
    <row r="2917" customFormat="false" ht="15" hidden="true" customHeight="true" outlineLevel="0" collapsed="false">
      <c r="F2917" s="116"/>
      <c r="G2917" s="116"/>
      <c r="K2917" s="104" t="n">
        <f aca="false">IF(A2917="",0,IF(IFERROR(VLOOKUP(A2917,Skills!$A:$M,13,FALSE()),"")="COS",0,IF(OR(I2917="En cours",I2917="À venir",I2917="À planifier"),IF(AND(OR($C$3="Tous",$C$3="",C2917=$C$3),OR($E$3="Tous",$E$3="",I2917=$E$3)),1,0),0)))</f>
        <v>0</v>
      </c>
      <c r="L2917" s="104" t="n">
        <f aca="false">L2916+K2917</f>
        <v>19</v>
      </c>
    </row>
    <row r="2918" customFormat="false" ht="15" hidden="true" customHeight="true" outlineLevel="0" collapsed="false">
      <c r="F2918" s="116"/>
      <c r="G2918" s="116"/>
      <c r="K2918" s="104" t="n">
        <f aca="false">IF(A2918="",0,IF(IFERROR(VLOOKUP(A2918,Skills!$A:$M,13,FALSE()),"")="COS",0,IF(OR(I2918="En cours",I2918="À venir",I2918="À planifier"),IF(AND(OR($C$3="Tous",$C$3="",C2918=$C$3),OR($E$3="Tous",$E$3="",I2918=$E$3)),1,0),0)))</f>
        <v>0</v>
      </c>
      <c r="L2918" s="104" t="n">
        <f aca="false">L2917+K2918</f>
        <v>19</v>
      </c>
    </row>
    <row r="2919" customFormat="false" ht="15" hidden="true" customHeight="true" outlineLevel="0" collapsed="false">
      <c r="F2919" s="116"/>
      <c r="G2919" s="116"/>
      <c r="K2919" s="104" t="n">
        <f aca="false">IF(A2919="",0,IF(IFERROR(VLOOKUP(A2919,Skills!$A:$M,13,FALSE()),"")="COS",0,IF(OR(I2919="En cours",I2919="À venir",I2919="À planifier"),IF(AND(OR($C$3="Tous",$C$3="",C2919=$C$3),OR($E$3="Tous",$E$3="",I2919=$E$3)),1,0),0)))</f>
        <v>0</v>
      </c>
      <c r="L2919" s="104" t="n">
        <f aca="false">L2918+K2919</f>
        <v>19</v>
      </c>
    </row>
    <row r="2920" customFormat="false" ht="15" hidden="true" customHeight="true" outlineLevel="0" collapsed="false">
      <c r="F2920" s="116"/>
      <c r="G2920" s="116"/>
      <c r="K2920" s="104" t="n">
        <f aca="false">IF(A2920="",0,IF(IFERROR(VLOOKUP(A2920,Skills!$A:$M,13,FALSE()),"")="COS",0,IF(OR(I2920="En cours",I2920="À venir",I2920="À planifier"),IF(AND(OR($C$3="Tous",$C$3="",C2920=$C$3),OR($E$3="Tous",$E$3="",I2920=$E$3)),1,0),0)))</f>
        <v>0</v>
      </c>
      <c r="L2920" s="104" t="n">
        <f aca="false">L2919+K2920</f>
        <v>19</v>
      </c>
    </row>
    <row r="2921" customFormat="false" ht="15" hidden="true" customHeight="true" outlineLevel="0" collapsed="false">
      <c r="F2921" s="116"/>
      <c r="G2921" s="116"/>
      <c r="K2921" s="104" t="n">
        <f aca="false">IF(A2921="",0,IF(IFERROR(VLOOKUP(A2921,Skills!$A:$M,13,FALSE()),"")="COS",0,IF(OR(I2921="En cours",I2921="À venir",I2921="À planifier"),IF(AND(OR($C$3="Tous",$C$3="",C2921=$C$3),OR($E$3="Tous",$E$3="",I2921=$E$3)),1,0),0)))</f>
        <v>0</v>
      </c>
      <c r="L2921" s="104" t="n">
        <f aca="false">L2920+K2921</f>
        <v>19</v>
      </c>
    </row>
    <row r="2922" customFormat="false" ht="15" hidden="true" customHeight="true" outlineLevel="0" collapsed="false">
      <c r="F2922" s="116"/>
      <c r="G2922" s="116"/>
      <c r="K2922" s="104" t="n">
        <f aca="false">IF(A2922="",0,IF(IFERROR(VLOOKUP(A2922,Skills!$A:$M,13,FALSE()),"")="COS",0,IF(OR(I2922="En cours",I2922="À venir",I2922="À planifier"),IF(AND(OR($C$3="Tous",$C$3="",C2922=$C$3),OR($E$3="Tous",$E$3="",I2922=$E$3)),1,0),0)))</f>
        <v>0</v>
      </c>
      <c r="L2922" s="104" t="n">
        <f aca="false">L2921+K2922</f>
        <v>19</v>
      </c>
    </row>
    <row r="2923" customFormat="false" ht="15" hidden="true" customHeight="true" outlineLevel="0" collapsed="false">
      <c r="F2923" s="116"/>
      <c r="G2923" s="116"/>
      <c r="K2923" s="104" t="n">
        <f aca="false">IF(A2923="",0,IF(IFERROR(VLOOKUP(A2923,Skills!$A:$M,13,FALSE()),"")="COS",0,IF(OR(I2923="En cours",I2923="À venir",I2923="À planifier"),IF(AND(OR($C$3="Tous",$C$3="",C2923=$C$3),OR($E$3="Tous",$E$3="",I2923=$E$3)),1,0),0)))</f>
        <v>0</v>
      </c>
      <c r="L2923" s="104" t="n">
        <f aca="false">L2922+K2923</f>
        <v>19</v>
      </c>
    </row>
    <row r="2924" customFormat="false" ht="15" hidden="true" customHeight="true" outlineLevel="0" collapsed="false">
      <c r="F2924" s="116"/>
      <c r="G2924" s="116"/>
      <c r="K2924" s="104" t="n">
        <f aca="false">IF(A2924="",0,IF(IFERROR(VLOOKUP(A2924,Skills!$A:$M,13,FALSE()),"")="COS",0,IF(OR(I2924="En cours",I2924="À venir",I2924="À planifier"),IF(AND(OR($C$3="Tous",$C$3="",C2924=$C$3),OR($E$3="Tous",$E$3="",I2924=$E$3)),1,0),0)))</f>
        <v>0</v>
      </c>
      <c r="L2924" s="104" t="n">
        <f aca="false">L2923+K2924</f>
        <v>19</v>
      </c>
    </row>
    <row r="2925" customFormat="false" ht="15" hidden="true" customHeight="true" outlineLevel="0" collapsed="false">
      <c r="F2925" s="116"/>
      <c r="G2925" s="116"/>
      <c r="K2925" s="104" t="n">
        <f aca="false">IF(A2925="",0,IF(IFERROR(VLOOKUP(A2925,Skills!$A:$M,13,FALSE()),"")="COS",0,IF(OR(I2925="En cours",I2925="À venir",I2925="À planifier"),IF(AND(OR($C$3="Tous",$C$3="",C2925=$C$3),OR($E$3="Tous",$E$3="",I2925=$E$3)),1,0),0)))</f>
        <v>0</v>
      </c>
      <c r="L2925" s="104" t="n">
        <f aca="false">L2924+K2925</f>
        <v>19</v>
      </c>
    </row>
    <row r="2926" customFormat="false" ht="15" hidden="true" customHeight="true" outlineLevel="0" collapsed="false">
      <c r="F2926" s="116"/>
      <c r="G2926" s="116"/>
      <c r="K2926" s="104" t="n">
        <f aca="false">IF(A2926="",0,IF(IFERROR(VLOOKUP(A2926,Skills!$A:$M,13,FALSE()),"")="COS",0,IF(OR(I2926="En cours",I2926="À venir",I2926="À planifier"),IF(AND(OR($C$3="Tous",$C$3="",C2926=$C$3),OR($E$3="Tous",$E$3="",I2926=$E$3)),1,0),0)))</f>
        <v>0</v>
      </c>
      <c r="L2926" s="104" t="n">
        <f aca="false">L2925+K2926</f>
        <v>19</v>
      </c>
    </row>
    <row r="2927" customFormat="false" ht="15" hidden="true" customHeight="true" outlineLevel="0" collapsed="false">
      <c r="F2927" s="116"/>
      <c r="G2927" s="116"/>
      <c r="K2927" s="104" t="n">
        <f aca="false">IF(A2927="",0,IF(IFERROR(VLOOKUP(A2927,Skills!$A:$M,13,FALSE()),"")="COS",0,IF(OR(I2927="En cours",I2927="À venir",I2927="À planifier"),IF(AND(OR($C$3="Tous",$C$3="",C2927=$C$3),OR($E$3="Tous",$E$3="",I2927=$E$3)),1,0),0)))</f>
        <v>0</v>
      </c>
      <c r="L2927" s="104" t="n">
        <f aca="false">L2926+K2927</f>
        <v>19</v>
      </c>
    </row>
    <row r="2928" customFormat="false" ht="15" hidden="true" customHeight="true" outlineLevel="0" collapsed="false">
      <c r="F2928" s="116"/>
      <c r="G2928" s="116"/>
      <c r="K2928" s="104" t="n">
        <f aca="false">IF(A2928="",0,IF(IFERROR(VLOOKUP(A2928,Skills!$A:$M,13,FALSE()),"")="COS",0,IF(OR(I2928="En cours",I2928="À venir",I2928="À planifier"),IF(AND(OR($C$3="Tous",$C$3="",C2928=$C$3),OR($E$3="Tous",$E$3="",I2928=$E$3)),1,0),0)))</f>
        <v>0</v>
      </c>
      <c r="L2928" s="104" t="n">
        <f aca="false">L2927+K2928</f>
        <v>19</v>
      </c>
    </row>
    <row r="2929" customFormat="false" ht="15" hidden="true" customHeight="true" outlineLevel="0" collapsed="false">
      <c r="F2929" s="116"/>
      <c r="G2929" s="116"/>
      <c r="K2929" s="104" t="n">
        <f aca="false">IF(A2929="",0,IF(IFERROR(VLOOKUP(A2929,Skills!$A:$M,13,FALSE()),"")="COS",0,IF(OR(I2929="En cours",I2929="À venir",I2929="À planifier"),IF(AND(OR($C$3="Tous",$C$3="",C2929=$C$3),OR($E$3="Tous",$E$3="",I2929=$E$3)),1,0),0)))</f>
        <v>0</v>
      </c>
      <c r="L2929" s="104" t="n">
        <f aca="false">L2928+K2929</f>
        <v>19</v>
      </c>
    </row>
    <row r="2930" customFormat="false" ht="15" hidden="true" customHeight="true" outlineLevel="0" collapsed="false">
      <c r="F2930" s="116"/>
      <c r="G2930" s="116"/>
      <c r="K2930" s="104" t="n">
        <f aca="false">IF(A2930="",0,IF(IFERROR(VLOOKUP(A2930,Skills!$A:$M,13,FALSE()),"")="COS",0,IF(OR(I2930="En cours",I2930="À venir",I2930="À planifier"),IF(AND(OR($C$3="Tous",$C$3="",C2930=$C$3),OR($E$3="Tous",$E$3="",I2930=$E$3)),1,0),0)))</f>
        <v>0</v>
      </c>
      <c r="L2930" s="104" t="n">
        <f aca="false">L2929+K2930</f>
        <v>19</v>
      </c>
    </row>
    <row r="2931" customFormat="false" ht="15" hidden="true" customHeight="true" outlineLevel="0" collapsed="false">
      <c r="F2931" s="116"/>
      <c r="G2931" s="116"/>
      <c r="K2931" s="104" t="n">
        <f aca="false">IF(A2931="",0,IF(IFERROR(VLOOKUP(A2931,Skills!$A:$M,13,FALSE()),"")="COS",0,IF(OR(I2931="En cours",I2931="À venir",I2931="À planifier"),IF(AND(OR($C$3="Tous",$C$3="",C2931=$C$3),OR($E$3="Tous",$E$3="",I2931=$E$3)),1,0),0)))</f>
        <v>0</v>
      </c>
      <c r="L2931" s="104" t="n">
        <f aca="false">L2930+K2931</f>
        <v>19</v>
      </c>
    </row>
    <row r="2932" customFormat="false" ht="15" hidden="true" customHeight="true" outlineLevel="0" collapsed="false">
      <c r="F2932" s="116"/>
      <c r="G2932" s="116"/>
      <c r="K2932" s="104" t="n">
        <f aca="false">IF(A2932="",0,IF(IFERROR(VLOOKUP(A2932,Skills!$A:$M,13,FALSE()),"")="COS",0,IF(OR(I2932="En cours",I2932="À venir",I2932="À planifier"),IF(AND(OR($C$3="Tous",$C$3="",C2932=$C$3),OR($E$3="Tous",$E$3="",I2932=$E$3)),1,0),0)))</f>
        <v>0</v>
      </c>
      <c r="L2932" s="104" t="n">
        <f aca="false">L2931+K2932</f>
        <v>19</v>
      </c>
    </row>
    <row r="2933" customFormat="false" ht="15" hidden="true" customHeight="true" outlineLevel="0" collapsed="false">
      <c r="F2933" s="116"/>
      <c r="G2933" s="116"/>
      <c r="K2933" s="104" t="n">
        <f aca="false">IF(A2933="",0,IF(IFERROR(VLOOKUP(A2933,Skills!$A:$M,13,FALSE()),"")="COS",0,IF(OR(I2933="En cours",I2933="À venir",I2933="À planifier"),IF(AND(OR($C$3="Tous",$C$3="",C2933=$C$3),OR($E$3="Tous",$E$3="",I2933=$E$3)),1,0),0)))</f>
        <v>0</v>
      </c>
      <c r="L2933" s="104" t="n">
        <f aca="false">L2932+K2933</f>
        <v>19</v>
      </c>
    </row>
    <row r="2934" customFormat="false" ht="15" hidden="true" customHeight="true" outlineLevel="0" collapsed="false">
      <c r="F2934" s="116"/>
      <c r="G2934" s="116"/>
      <c r="K2934" s="104" t="n">
        <f aca="false">IF(A2934="",0,IF(IFERROR(VLOOKUP(A2934,Skills!$A:$M,13,FALSE()),"")="COS",0,IF(OR(I2934="En cours",I2934="À venir",I2934="À planifier"),IF(AND(OR($C$3="Tous",$C$3="",C2934=$C$3),OR($E$3="Tous",$E$3="",I2934=$E$3)),1,0),0)))</f>
        <v>0</v>
      </c>
      <c r="L2934" s="104" t="n">
        <f aca="false">L2933+K2934</f>
        <v>19</v>
      </c>
    </row>
    <row r="2935" customFormat="false" ht="15" hidden="true" customHeight="true" outlineLevel="0" collapsed="false">
      <c r="F2935" s="116"/>
      <c r="G2935" s="116"/>
      <c r="K2935" s="104" t="n">
        <f aca="false">IF(A2935="",0,IF(IFERROR(VLOOKUP(A2935,Skills!$A:$M,13,FALSE()),"")="COS",0,IF(OR(I2935="En cours",I2935="À venir",I2935="À planifier"),IF(AND(OR($C$3="Tous",$C$3="",C2935=$C$3),OR($E$3="Tous",$E$3="",I2935=$E$3)),1,0),0)))</f>
        <v>0</v>
      </c>
      <c r="L2935" s="104" t="n">
        <f aca="false">L2934+K2935</f>
        <v>19</v>
      </c>
    </row>
    <row r="2936" customFormat="false" ht="15" hidden="true" customHeight="true" outlineLevel="0" collapsed="false">
      <c r="F2936" s="116"/>
      <c r="G2936" s="116"/>
      <c r="K2936" s="104" t="n">
        <f aca="false">IF(A2936="",0,IF(IFERROR(VLOOKUP(A2936,Skills!$A:$M,13,FALSE()),"")="COS",0,IF(OR(I2936="En cours",I2936="À venir",I2936="À planifier"),IF(AND(OR($C$3="Tous",$C$3="",C2936=$C$3),OR($E$3="Tous",$E$3="",I2936=$E$3)),1,0),0)))</f>
        <v>0</v>
      </c>
      <c r="L2936" s="104" t="n">
        <f aca="false">L2935+K2936</f>
        <v>19</v>
      </c>
    </row>
    <row r="2937" customFormat="false" ht="15" hidden="true" customHeight="true" outlineLevel="0" collapsed="false">
      <c r="F2937" s="116"/>
      <c r="G2937" s="116"/>
      <c r="K2937" s="104" t="n">
        <f aca="false">IF(A2937="",0,IF(IFERROR(VLOOKUP(A2937,Skills!$A:$M,13,FALSE()),"")="COS",0,IF(OR(I2937="En cours",I2937="À venir",I2937="À planifier"),IF(AND(OR($C$3="Tous",$C$3="",C2937=$C$3),OR($E$3="Tous",$E$3="",I2937=$E$3)),1,0),0)))</f>
        <v>0</v>
      </c>
      <c r="L2937" s="104" t="n">
        <f aca="false">L2936+K2937</f>
        <v>19</v>
      </c>
    </row>
    <row r="2938" customFormat="false" ht="15" hidden="true" customHeight="true" outlineLevel="0" collapsed="false">
      <c r="F2938" s="116"/>
      <c r="G2938" s="116"/>
      <c r="K2938" s="104" t="n">
        <f aca="false">IF(A2938="",0,IF(IFERROR(VLOOKUP(A2938,Skills!$A:$M,13,FALSE()),"")="COS",0,IF(OR(I2938="En cours",I2938="À venir",I2938="À planifier"),IF(AND(OR($C$3="Tous",$C$3="",C2938=$C$3),OR($E$3="Tous",$E$3="",I2938=$E$3)),1,0),0)))</f>
        <v>0</v>
      </c>
      <c r="L2938" s="104" t="n">
        <f aca="false">L2937+K2938</f>
        <v>19</v>
      </c>
    </row>
    <row r="2939" customFormat="false" ht="15" hidden="true" customHeight="true" outlineLevel="0" collapsed="false">
      <c r="F2939" s="116"/>
      <c r="G2939" s="116"/>
      <c r="K2939" s="104" t="n">
        <f aca="false">IF(A2939="",0,IF(IFERROR(VLOOKUP(A2939,Skills!$A:$M,13,FALSE()),"")="COS",0,IF(OR(I2939="En cours",I2939="À venir",I2939="À planifier"),IF(AND(OR($C$3="Tous",$C$3="",C2939=$C$3),OR($E$3="Tous",$E$3="",I2939=$E$3)),1,0),0)))</f>
        <v>0</v>
      </c>
      <c r="L2939" s="104" t="n">
        <f aca="false">L2938+K2939</f>
        <v>19</v>
      </c>
    </row>
    <row r="2940" customFormat="false" ht="15" hidden="true" customHeight="true" outlineLevel="0" collapsed="false">
      <c r="F2940" s="116"/>
      <c r="G2940" s="116"/>
      <c r="K2940" s="104" t="n">
        <f aca="false">IF(A2940="",0,IF(IFERROR(VLOOKUP(A2940,Skills!$A:$M,13,FALSE()),"")="COS",0,IF(OR(I2940="En cours",I2940="À venir",I2940="À planifier"),IF(AND(OR($C$3="Tous",$C$3="",C2940=$C$3),OR($E$3="Tous",$E$3="",I2940=$E$3)),1,0),0)))</f>
        <v>0</v>
      </c>
      <c r="L2940" s="104" t="n">
        <f aca="false">L2939+K2940</f>
        <v>19</v>
      </c>
    </row>
    <row r="2941" customFormat="false" ht="15" hidden="true" customHeight="true" outlineLevel="0" collapsed="false">
      <c r="F2941" s="116"/>
      <c r="G2941" s="116"/>
      <c r="K2941" s="104" t="n">
        <f aca="false">IF(A2941="",0,IF(IFERROR(VLOOKUP(A2941,Skills!$A:$M,13,FALSE()),"")="COS",0,IF(OR(I2941="En cours",I2941="À venir",I2941="À planifier"),IF(AND(OR($C$3="Tous",$C$3="",C2941=$C$3),OR($E$3="Tous",$E$3="",I2941=$E$3)),1,0),0)))</f>
        <v>0</v>
      </c>
      <c r="L2941" s="104" t="n">
        <f aca="false">L2940+K2941</f>
        <v>19</v>
      </c>
    </row>
    <row r="2942" customFormat="false" ht="15" hidden="true" customHeight="true" outlineLevel="0" collapsed="false">
      <c r="F2942" s="116"/>
      <c r="G2942" s="116"/>
      <c r="K2942" s="104" t="n">
        <f aca="false">IF(A2942="",0,IF(IFERROR(VLOOKUP(A2942,Skills!$A:$M,13,FALSE()),"")="COS",0,IF(OR(I2942="En cours",I2942="À venir",I2942="À planifier"),IF(AND(OR($C$3="Tous",$C$3="",C2942=$C$3),OR($E$3="Tous",$E$3="",I2942=$E$3)),1,0),0)))</f>
        <v>0</v>
      </c>
      <c r="L2942" s="104" t="n">
        <f aca="false">L2941+K2942</f>
        <v>19</v>
      </c>
    </row>
    <row r="2943" customFormat="false" ht="15" hidden="true" customHeight="true" outlineLevel="0" collapsed="false">
      <c r="F2943" s="116"/>
      <c r="G2943" s="116"/>
      <c r="K2943" s="104" t="n">
        <f aca="false">IF(A2943="",0,IF(IFERROR(VLOOKUP(A2943,Skills!$A:$M,13,FALSE()),"")="COS",0,IF(OR(I2943="En cours",I2943="À venir",I2943="À planifier"),IF(AND(OR($C$3="Tous",$C$3="",C2943=$C$3),OR($E$3="Tous",$E$3="",I2943=$E$3)),1,0),0)))</f>
        <v>0</v>
      </c>
      <c r="L2943" s="104" t="n">
        <f aca="false">L2942+K2943</f>
        <v>19</v>
      </c>
    </row>
    <row r="2944" customFormat="false" ht="15" hidden="true" customHeight="true" outlineLevel="0" collapsed="false">
      <c r="F2944" s="116"/>
      <c r="G2944" s="116"/>
      <c r="K2944" s="104" t="n">
        <f aca="false">IF(A2944="",0,IF(IFERROR(VLOOKUP(A2944,Skills!$A:$M,13,FALSE()),"")="COS",0,IF(OR(I2944="En cours",I2944="À venir",I2944="À planifier"),IF(AND(OR($C$3="Tous",$C$3="",C2944=$C$3),OR($E$3="Tous",$E$3="",I2944=$E$3)),1,0),0)))</f>
        <v>0</v>
      </c>
      <c r="L2944" s="104" t="n">
        <f aca="false">L2943+K2944</f>
        <v>19</v>
      </c>
    </row>
    <row r="2945" customFormat="false" ht="15" hidden="true" customHeight="true" outlineLevel="0" collapsed="false">
      <c r="F2945" s="116"/>
      <c r="G2945" s="116"/>
      <c r="K2945" s="104" t="n">
        <f aca="false">IF(A2945="",0,IF(IFERROR(VLOOKUP(A2945,Skills!$A:$M,13,FALSE()),"")="COS",0,IF(OR(I2945="En cours",I2945="À venir",I2945="À planifier"),IF(AND(OR($C$3="Tous",$C$3="",C2945=$C$3),OR($E$3="Tous",$E$3="",I2945=$E$3)),1,0),0)))</f>
        <v>0</v>
      </c>
      <c r="L2945" s="104" t="n">
        <f aca="false">L2944+K2945</f>
        <v>19</v>
      </c>
    </row>
    <row r="2946" customFormat="false" ht="15" hidden="true" customHeight="true" outlineLevel="0" collapsed="false">
      <c r="F2946" s="116"/>
      <c r="G2946" s="116"/>
      <c r="K2946" s="104" t="n">
        <f aca="false">IF(A2946="",0,IF(IFERROR(VLOOKUP(A2946,Skills!$A:$M,13,FALSE()),"")="COS",0,IF(OR(I2946="En cours",I2946="À venir",I2946="À planifier"),IF(AND(OR($C$3="Tous",$C$3="",C2946=$C$3),OR($E$3="Tous",$E$3="",I2946=$E$3)),1,0),0)))</f>
        <v>0</v>
      </c>
      <c r="L2946" s="104" t="n">
        <f aca="false">L2945+K2946</f>
        <v>19</v>
      </c>
    </row>
    <row r="2947" customFormat="false" ht="15" hidden="true" customHeight="true" outlineLevel="0" collapsed="false">
      <c r="F2947" s="116"/>
      <c r="G2947" s="116"/>
      <c r="K2947" s="104" t="n">
        <f aca="false">IF(A2947="",0,IF(IFERROR(VLOOKUP(A2947,Skills!$A:$M,13,FALSE()),"")="COS",0,IF(OR(I2947="En cours",I2947="À venir",I2947="À planifier"),IF(AND(OR($C$3="Tous",$C$3="",C2947=$C$3),OR($E$3="Tous",$E$3="",I2947=$E$3)),1,0),0)))</f>
        <v>0</v>
      </c>
      <c r="L2947" s="104" t="n">
        <f aca="false">L2946+K2947</f>
        <v>19</v>
      </c>
    </row>
    <row r="2948" customFormat="false" ht="15" hidden="true" customHeight="true" outlineLevel="0" collapsed="false">
      <c r="F2948" s="116"/>
      <c r="G2948" s="116"/>
      <c r="K2948" s="104" t="n">
        <f aca="false">IF(A2948="",0,IF(IFERROR(VLOOKUP(A2948,Skills!$A:$M,13,FALSE()),"")="COS",0,IF(OR(I2948="En cours",I2948="À venir",I2948="À planifier"),IF(AND(OR($C$3="Tous",$C$3="",C2948=$C$3),OR($E$3="Tous",$E$3="",I2948=$E$3)),1,0),0)))</f>
        <v>0</v>
      </c>
      <c r="L2948" s="104" t="n">
        <f aca="false">L2947+K2948</f>
        <v>19</v>
      </c>
    </row>
    <row r="2949" customFormat="false" ht="15" hidden="true" customHeight="true" outlineLevel="0" collapsed="false">
      <c r="F2949" s="116"/>
      <c r="G2949" s="116"/>
      <c r="K2949" s="104" t="n">
        <f aca="false">IF(A2949="",0,IF(IFERROR(VLOOKUP(A2949,Skills!$A:$M,13,FALSE()),"")="COS",0,IF(OR(I2949="En cours",I2949="À venir",I2949="À planifier"),IF(AND(OR($C$3="Tous",$C$3="",C2949=$C$3),OR($E$3="Tous",$E$3="",I2949=$E$3)),1,0),0)))</f>
        <v>0</v>
      </c>
      <c r="L2949" s="104" t="n">
        <f aca="false">L2948+K2949</f>
        <v>19</v>
      </c>
    </row>
    <row r="2950" customFormat="false" ht="15" hidden="true" customHeight="true" outlineLevel="0" collapsed="false">
      <c r="F2950" s="116"/>
      <c r="G2950" s="116"/>
      <c r="K2950" s="104" t="n">
        <f aca="false">IF(A2950="",0,IF(IFERROR(VLOOKUP(A2950,Skills!$A:$M,13,FALSE()),"")="COS",0,IF(OR(I2950="En cours",I2950="À venir",I2950="À planifier"),IF(AND(OR($C$3="Tous",$C$3="",C2950=$C$3),OR($E$3="Tous",$E$3="",I2950=$E$3)),1,0),0)))</f>
        <v>0</v>
      </c>
      <c r="L2950" s="104" t="n">
        <f aca="false">L2949+K2950</f>
        <v>19</v>
      </c>
    </row>
    <row r="2951" customFormat="false" ht="15" hidden="true" customHeight="true" outlineLevel="0" collapsed="false">
      <c r="F2951" s="116"/>
      <c r="G2951" s="116"/>
      <c r="K2951" s="104" t="n">
        <f aca="false">IF(A2951="",0,IF(IFERROR(VLOOKUP(A2951,Skills!$A:$M,13,FALSE()),"")="COS",0,IF(OR(I2951="En cours",I2951="À venir",I2951="À planifier"),IF(AND(OR($C$3="Tous",$C$3="",C2951=$C$3),OR($E$3="Tous",$E$3="",I2951=$E$3)),1,0),0)))</f>
        <v>0</v>
      </c>
      <c r="L2951" s="104" t="n">
        <f aca="false">L2950+K2951</f>
        <v>19</v>
      </c>
    </row>
    <row r="2952" customFormat="false" ht="15" hidden="true" customHeight="true" outlineLevel="0" collapsed="false">
      <c r="F2952" s="116"/>
      <c r="G2952" s="116"/>
      <c r="K2952" s="104" t="n">
        <f aca="false">IF(A2952="",0,IF(IFERROR(VLOOKUP(A2952,Skills!$A:$M,13,FALSE()),"")="COS",0,IF(OR(I2952="En cours",I2952="À venir",I2952="À planifier"),IF(AND(OR($C$3="Tous",$C$3="",C2952=$C$3),OR($E$3="Tous",$E$3="",I2952=$E$3)),1,0),0)))</f>
        <v>0</v>
      </c>
      <c r="L2952" s="104" t="n">
        <f aca="false">L2951+K2952</f>
        <v>19</v>
      </c>
    </row>
    <row r="2953" customFormat="false" ht="15" hidden="true" customHeight="true" outlineLevel="0" collapsed="false">
      <c r="F2953" s="116"/>
      <c r="G2953" s="116"/>
      <c r="K2953" s="104" t="n">
        <f aca="false">IF(A2953="",0,IF(IFERROR(VLOOKUP(A2953,Skills!$A:$M,13,FALSE()),"")="COS",0,IF(OR(I2953="En cours",I2953="À venir",I2953="À planifier"),IF(AND(OR($C$3="Tous",$C$3="",C2953=$C$3),OR($E$3="Tous",$E$3="",I2953=$E$3)),1,0),0)))</f>
        <v>0</v>
      </c>
      <c r="L2953" s="104" t="n">
        <f aca="false">L2952+K2953</f>
        <v>19</v>
      </c>
    </row>
    <row r="2954" customFormat="false" ht="15" hidden="true" customHeight="true" outlineLevel="0" collapsed="false">
      <c r="F2954" s="116"/>
      <c r="G2954" s="116"/>
      <c r="K2954" s="104" t="n">
        <f aca="false">IF(A2954="",0,IF(IFERROR(VLOOKUP(A2954,Skills!$A:$M,13,FALSE()),"")="COS",0,IF(OR(I2954="En cours",I2954="À venir",I2954="À planifier"),IF(AND(OR($C$3="Tous",$C$3="",C2954=$C$3),OR($E$3="Tous",$E$3="",I2954=$E$3)),1,0),0)))</f>
        <v>0</v>
      </c>
      <c r="L2954" s="104" t="n">
        <f aca="false">L2953+K2954</f>
        <v>19</v>
      </c>
    </row>
    <row r="2955" customFormat="false" ht="15" hidden="true" customHeight="true" outlineLevel="0" collapsed="false">
      <c r="F2955" s="116"/>
      <c r="G2955" s="116"/>
      <c r="K2955" s="104" t="n">
        <f aca="false">IF(A2955="",0,IF(IFERROR(VLOOKUP(A2955,Skills!$A:$M,13,FALSE()),"")="COS",0,IF(OR(I2955="En cours",I2955="À venir",I2955="À planifier"),IF(AND(OR($C$3="Tous",$C$3="",C2955=$C$3),OR($E$3="Tous",$E$3="",I2955=$E$3)),1,0),0)))</f>
        <v>0</v>
      </c>
      <c r="L2955" s="104" t="n">
        <f aca="false">L2954+K2955</f>
        <v>19</v>
      </c>
    </row>
    <row r="2956" customFormat="false" ht="15" hidden="true" customHeight="true" outlineLevel="0" collapsed="false">
      <c r="F2956" s="116"/>
      <c r="G2956" s="116"/>
      <c r="K2956" s="104" t="n">
        <f aca="false">IF(A2956="",0,IF(IFERROR(VLOOKUP(A2956,Skills!$A:$M,13,FALSE()),"")="COS",0,IF(OR(I2956="En cours",I2956="À venir",I2956="À planifier"),IF(AND(OR($C$3="Tous",$C$3="",C2956=$C$3),OR($E$3="Tous",$E$3="",I2956=$E$3)),1,0),0)))</f>
        <v>0</v>
      </c>
      <c r="L2956" s="104" t="n">
        <f aca="false">L2955+K2956</f>
        <v>19</v>
      </c>
    </row>
    <row r="2957" customFormat="false" ht="15" hidden="true" customHeight="true" outlineLevel="0" collapsed="false">
      <c r="F2957" s="116"/>
      <c r="G2957" s="116"/>
      <c r="K2957" s="104" t="n">
        <f aca="false">IF(A2957="",0,IF(IFERROR(VLOOKUP(A2957,Skills!$A:$M,13,FALSE()),"")="COS",0,IF(OR(I2957="En cours",I2957="À venir",I2957="À planifier"),IF(AND(OR($C$3="Tous",$C$3="",C2957=$C$3),OR($E$3="Tous",$E$3="",I2957=$E$3)),1,0),0)))</f>
        <v>0</v>
      </c>
      <c r="L2957" s="104" t="n">
        <f aca="false">L2956+K2957</f>
        <v>19</v>
      </c>
    </row>
    <row r="2958" customFormat="false" ht="15" hidden="true" customHeight="true" outlineLevel="0" collapsed="false">
      <c r="F2958" s="116"/>
      <c r="G2958" s="116"/>
      <c r="K2958" s="104" t="n">
        <f aca="false">IF(A2958="",0,IF(IFERROR(VLOOKUP(A2958,Skills!$A:$M,13,FALSE()),"")="COS",0,IF(OR(I2958="En cours",I2958="À venir",I2958="À planifier"),IF(AND(OR($C$3="Tous",$C$3="",C2958=$C$3),OR($E$3="Tous",$E$3="",I2958=$E$3)),1,0),0)))</f>
        <v>0</v>
      </c>
      <c r="L2958" s="104" t="n">
        <f aca="false">L2957+K2958</f>
        <v>19</v>
      </c>
    </row>
    <row r="2959" customFormat="false" ht="15" hidden="true" customHeight="true" outlineLevel="0" collapsed="false">
      <c r="F2959" s="116"/>
      <c r="G2959" s="116"/>
      <c r="K2959" s="104" t="n">
        <f aca="false">IF(A2959="",0,IF(IFERROR(VLOOKUP(A2959,Skills!$A:$M,13,FALSE()),"")="COS",0,IF(OR(I2959="En cours",I2959="À venir",I2959="À planifier"),IF(AND(OR($C$3="Tous",$C$3="",C2959=$C$3),OR($E$3="Tous",$E$3="",I2959=$E$3)),1,0),0)))</f>
        <v>0</v>
      </c>
      <c r="L2959" s="104" t="n">
        <f aca="false">L2958+K2959</f>
        <v>19</v>
      </c>
    </row>
    <row r="2960" customFormat="false" ht="15" hidden="true" customHeight="true" outlineLevel="0" collapsed="false">
      <c r="F2960" s="116"/>
      <c r="G2960" s="116"/>
      <c r="K2960" s="104" t="n">
        <f aca="false">IF(A2960="",0,IF(IFERROR(VLOOKUP(A2960,Skills!$A:$M,13,FALSE()),"")="COS",0,IF(OR(I2960="En cours",I2960="À venir",I2960="À planifier"),IF(AND(OR($C$3="Tous",$C$3="",C2960=$C$3),OR($E$3="Tous",$E$3="",I2960=$E$3)),1,0),0)))</f>
        <v>0</v>
      </c>
      <c r="L2960" s="104" t="n">
        <f aca="false">L2959+K2960</f>
        <v>19</v>
      </c>
    </row>
    <row r="2961" customFormat="false" ht="15" hidden="true" customHeight="true" outlineLevel="0" collapsed="false">
      <c r="F2961" s="116"/>
      <c r="G2961" s="116"/>
      <c r="K2961" s="104" t="n">
        <f aca="false">IF(A2961="",0,IF(IFERROR(VLOOKUP(A2961,Skills!$A:$M,13,FALSE()),"")="COS",0,IF(OR(I2961="En cours",I2961="À venir",I2961="À planifier"),IF(AND(OR($C$3="Tous",$C$3="",C2961=$C$3),OR($E$3="Tous",$E$3="",I2961=$E$3)),1,0),0)))</f>
        <v>0</v>
      </c>
      <c r="L2961" s="104" t="n">
        <f aca="false">L2960+K2961</f>
        <v>19</v>
      </c>
    </row>
    <row r="2962" customFormat="false" ht="15" hidden="true" customHeight="true" outlineLevel="0" collapsed="false">
      <c r="F2962" s="116"/>
      <c r="G2962" s="116"/>
      <c r="K2962" s="104" t="n">
        <f aca="false">IF(A2962="",0,IF(IFERROR(VLOOKUP(A2962,Skills!$A:$M,13,FALSE()),"")="COS",0,IF(OR(I2962="En cours",I2962="À venir",I2962="À planifier"),IF(AND(OR($C$3="Tous",$C$3="",C2962=$C$3),OR($E$3="Tous",$E$3="",I2962=$E$3)),1,0),0)))</f>
        <v>0</v>
      </c>
      <c r="L2962" s="104" t="n">
        <f aca="false">L2961+K2962</f>
        <v>19</v>
      </c>
    </row>
    <row r="2963" customFormat="false" ht="15" hidden="true" customHeight="true" outlineLevel="0" collapsed="false">
      <c r="F2963" s="116"/>
      <c r="G2963" s="116"/>
      <c r="K2963" s="104" t="n">
        <f aca="false">IF(A2963="",0,IF(IFERROR(VLOOKUP(A2963,Skills!$A:$M,13,FALSE()),"")="COS",0,IF(OR(I2963="En cours",I2963="À venir",I2963="À planifier"),IF(AND(OR($C$3="Tous",$C$3="",C2963=$C$3),OR($E$3="Tous",$E$3="",I2963=$E$3)),1,0),0)))</f>
        <v>0</v>
      </c>
      <c r="L2963" s="104" t="n">
        <f aca="false">L2962+K2963</f>
        <v>19</v>
      </c>
    </row>
    <row r="2964" customFormat="false" ht="15" hidden="true" customHeight="true" outlineLevel="0" collapsed="false">
      <c r="F2964" s="116"/>
      <c r="G2964" s="116"/>
      <c r="K2964" s="104" t="n">
        <f aca="false">IF(A2964="",0,IF(IFERROR(VLOOKUP(A2964,Skills!$A:$M,13,FALSE()),"")="COS",0,IF(OR(I2964="En cours",I2964="À venir",I2964="À planifier"),IF(AND(OR($C$3="Tous",$C$3="",C2964=$C$3),OR($E$3="Tous",$E$3="",I2964=$E$3)),1,0),0)))</f>
        <v>0</v>
      </c>
      <c r="L2964" s="104" t="n">
        <f aca="false">L2963+K2964</f>
        <v>19</v>
      </c>
    </row>
    <row r="2965" customFormat="false" ht="15" hidden="true" customHeight="true" outlineLevel="0" collapsed="false">
      <c r="F2965" s="116"/>
      <c r="G2965" s="116"/>
      <c r="K2965" s="104" t="n">
        <f aca="false">IF(A2965="",0,IF(IFERROR(VLOOKUP(A2965,Skills!$A:$M,13,FALSE()),"")="COS",0,IF(OR(I2965="En cours",I2965="À venir",I2965="À planifier"),IF(AND(OR($C$3="Tous",$C$3="",C2965=$C$3),OR($E$3="Tous",$E$3="",I2965=$E$3)),1,0),0)))</f>
        <v>0</v>
      </c>
      <c r="L2965" s="104" t="n">
        <f aca="false">L2964+K2965</f>
        <v>19</v>
      </c>
    </row>
    <row r="2966" customFormat="false" ht="15" hidden="true" customHeight="true" outlineLevel="0" collapsed="false">
      <c r="F2966" s="116"/>
      <c r="G2966" s="116"/>
      <c r="K2966" s="104" t="n">
        <f aca="false">IF(A2966="",0,IF(IFERROR(VLOOKUP(A2966,Skills!$A:$M,13,FALSE()),"")="COS",0,IF(OR(I2966="En cours",I2966="À venir",I2966="À planifier"),IF(AND(OR($C$3="Tous",$C$3="",C2966=$C$3),OR($E$3="Tous",$E$3="",I2966=$E$3)),1,0),0)))</f>
        <v>0</v>
      </c>
      <c r="L2966" s="104" t="n">
        <f aca="false">L2965+K2966</f>
        <v>19</v>
      </c>
    </row>
    <row r="2967" customFormat="false" ht="15" hidden="true" customHeight="true" outlineLevel="0" collapsed="false">
      <c r="F2967" s="116"/>
      <c r="G2967" s="116"/>
      <c r="K2967" s="104" t="n">
        <f aca="false">IF(A2967="",0,IF(IFERROR(VLOOKUP(A2967,Skills!$A:$M,13,FALSE()),"")="COS",0,IF(OR(I2967="En cours",I2967="À venir",I2967="À planifier"),IF(AND(OR($C$3="Tous",$C$3="",C2967=$C$3),OR($E$3="Tous",$E$3="",I2967=$E$3)),1,0),0)))</f>
        <v>0</v>
      </c>
      <c r="L2967" s="104" t="n">
        <f aca="false">L2966+K2967</f>
        <v>19</v>
      </c>
    </row>
    <row r="2968" customFormat="false" ht="15" hidden="true" customHeight="true" outlineLevel="0" collapsed="false">
      <c r="F2968" s="116"/>
      <c r="G2968" s="116"/>
      <c r="K2968" s="104" t="n">
        <f aca="false">IF(A2968="",0,IF(IFERROR(VLOOKUP(A2968,Skills!$A:$M,13,FALSE()),"")="COS",0,IF(OR(I2968="En cours",I2968="À venir",I2968="À planifier"),IF(AND(OR($C$3="Tous",$C$3="",C2968=$C$3),OR($E$3="Tous",$E$3="",I2968=$E$3)),1,0),0)))</f>
        <v>0</v>
      </c>
      <c r="L2968" s="104" t="n">
        <f aca="false">L2967+K2968</f>
        <v>19</v>
      </c>
    </row>
    <row r="2969" customFormat="false" ht="15" hidden="true" customHeight="true" outlineLevel="0" collapsed="false">
      <c r="F2969" s="116"/>
      <c r="G2969" s="116"/>
      <c r="K2969" s="104" t="n">
        <f aca="false">IF(A2969="",0,IF(IFERROR(VLOOKUP(A2969,Skills!$A:$M,13,FALSE()),"")="COS",0,IF(OR(I2969="En cours",I2969="À venir",I2969="À planifier"),IF(AND(OR($C$3="Tous",$C$3="",C2969=$C$3),OR($E$3="Tous",$E$3="",I2969=$E$3)),1,0),0)))</f>
        <v>0</v>
      </c>
      <c r="L2969" s="104" t="n">
        <f aca="false">L2968+K2969</f>
        <v>19</v>
      </c>
    </row>
    <row r="2970" customFormat="false" ht="15" hidden="true" customHeight="true" outlineLevel="0" collapsed="false">
      <c r="F2970" s="116"/>
      <c r="G2970" s="116"/>
      <c r="K2970" s="104" t="n">
        <f aca="false">IF(A2970="",0,IF(IFERROR(VLOOKUP(A2970,Skills!$A:$M,13,FALSE()),"")="COS",0,IF(OR(I2970="En cours",I2970="À venir",I2970="À planifier"),IF(AND(OR($C$3="Tous",$C$3="",C2970=$C$3),OR($E$3="Tous",$E$3="",I2970=$E$3)),1,0),0)))</f>
        <v>0</v>
      </c>
      <c r="L2970" s="104" t="n">
        <f aca="false">L2969+K2970</f>
        <v>19</v>
      </c>
    </row>
    <row r="2971" customFormat="false" ht="15" hidden="true" customHeight="true" outlineLevel="0" collapsed="false">
      <c r="F2971" s="116"/>
      <c r="G2971" s="116"/>
      <c r="K2971" s="104" t="n">
        <f aca="false">IF(A2971="",0,IF(IFERROR(VLOOKUP(A2971,Skills!$A:$M,13,FALSE()),"")="COS",0,IF(OR(I2971="En cours",I2971="À venir",I2971="À planifier"),IF(AND(OR($C$3="Tous",$C$3="",C2971=$C$3),OR($E$3="Tous",$E$3="",I2971=$E$3)),1,0),0)))</f>
        <v>0</v>
      </c>
      <c r="L2971" s="104" t="n">
        <f aca="false">L2970+K2971</f>
        <v>19</v>
      </c>
    </row>
    <row r="2972" customFormat="false" ht="15" hidden="true" customHeight="true" outlineLevel="0" collapsed="false">
      <c r="F2972" s="116"/>
      <c r="G2972" s="116"/>
      <c r="K2972" s="104" t="n">
        <f aca="false">IF(A2972="",0,IF(IFERROR(VLOOKUP(A2972,Skills!$A:$M,13,FALSE()),"")="COS",0,IF(OR(I2972="En cours",I2972="À venir",I2972="À planifier"),IF(AND(OR($C$3="Tous",$C$3="",C2972=$C$3),OR($E$3="Tous",$E$3="",I2972=$E$3)),1,0),0)))</f>
        <v>0</v>
      </c>
      <c r="L2972" s="104" t="n">
        <f aca="false">L2971+K2972</f>
        <v>19</v>
      </c>
    </row>
    <row r="2973" customFormat="false" ht="15" hidden="true" customHeight="true" outlineLevel="0" collapsed="false">
      <c r="F2973" s="116"/>
      <c r="G2973" s="116"/>
      <c r="K2973" s="104" t="n">
        <f aca="false">IF(A2973="",0,IF(IFERROR(VLOOKUP(A2973,Skills!$A:$M,13,FALSE()),"")="COS",0,IF(OR(I2973="En cours",I2973="À venir",I2973="À planifier"),IF(AND(OR($C$3="Tous",$C$3="",C2973=$C$3),OR($E$3="Tous",$E$3="",I2973=$E$3)),1,0),0)))</f>
        <v>0</v>
      </c>
      <c r="L2973" s="104" t="n">
        <f aca="false">L2972+K2973</f>
        <v>19</v>
      </c>
    </row>
    <row r="2974" customFormat="false" ht="15" hidden="true" customHeight="true" outlineLevel="0" collapsed="false">
      <c r="F2974" s="116"/>
      <c r="G2974" s="116"/>
      <c r="K2974" s="104" t="n">
        <f aca="false">IF(A2974="",0,IF(IFERROR(VLOOKUP(A2974,Skills!$A:$M,13,FALSE()),"")="COS",0,IF(OR(I2974="En cours",I2974="À venir",I2974="À planifier"),IF(AND(OR($C$3="Tous",$C$3="",C2974=$C$3),OR($E$3="Tous",$E$3="",I2974=$E$3)),1,0),0)))</f>
        <v>0</v>
      </c>
      <c r="L2974" s="104" t="n">
        <f aca="false">L2973+K2974</f>
        <v>19</v>
      </c>
    </row>
    <row r="2975" customFormat="false" ht="15" hidden="true" customHeight="true" outlineLevel="0" collapsed="false">
      <c r="F2975" s="116"/>
      <c r="G2975" s="116"/>
      <c r="K2975" s="104" t="n">
        <f aca="false">IF(A2975="",0,IF(IFERROR(VLOOKUP(A2975,Skills!$A:$M,13,FALSE()),"")="COS",0,IF(OR(I2975="En cours",I2975="À venir",I2975="À planifier"),IF(AND(OR($C$3="Tous",$C$3="",C2975=$C$3),OR($E$3="Tous",$E$3="",I2975=$E$3)),1,0),0)))</f>
        <v>0</v>
      </c>
      <c r="L2975" s="104" t="n">
        <f aca="false">L2974+K2975</f>
        <v>19</v>
      </c>
    </row>
    <row r="2976" customFormat="false" ht="15" hidden="true" customHeight="true" outlineLevel="0" collapsed="false">
      <c r="F2976" s="116"/>
      <c r="G2976" s="116"/>
      <c r="K2976" s="104" t="n">
        <f aca="false">IF(A2976="",0,IF(IFERROR(VLOOKUP(A2976,Skills!$A:$M,13,FALSE()),"")="COS",0,IF(OR(I2976="En cours",I2976="À venir",I2976="À planifier"),IF(AND(OR($C$3="Tous",$C$3="",C2976=$C$3),OR($E$3="Tous",$E$3="",I2976=$E$3)),1,0),0)))</f>
        <v>0</v>
      </c>
      <c r="L2976" s="104" t="n">
        <f aca="false">L2975+K2976</f>
        <v>19</v>
      </c>
    </row>
    <row r="2977" customFormat="false" ht="15" hidden="true" customHeight="true" outlineLevel="0" collapsed="false">
      <c r="F2977" s="116"/>
      <c r="G2977" s="116"/>
      <c r="K2977" s="104" t="n">
        <f aca="false">IF(A2977="",0,IF(IFERROR(VLOOKUP(A2977,Skills!$A:$M,13,FALSE()),"")="COS",0,IF(OR(I2977="En cours",I2977="À venir",I2977="À planifier"),IF(AND(OR($C$3="Tous",$C$3="",C2977=$C$3),OR($E$3="Tous",$E$3="",I2977=$E$3)),1,0),0)))</f>
        <v>0</v>
      </c>
      <c r="L2977" s="104" t="n">
        <f aca="false">L2976+K2977</f>
        <v>19</v>
      </c>
    </row>
    <row r="2978" customFormat="false" ht="15" hidden="true" customHeight="true" outlineLevel="0" collapsed="false">
      <c r="F2978" s="116"/>
      <c r="G2978" s="116"/>
      <c r="K2978" s="104" t="n">
        <f aca="false">IF(A2978="",0,IF(IFERROR(VLOOKUP(A2978,Skills!$A:$M,13,FALSE()),"")="COS",0,IF(OR(I2978="En cours",I2978="À venir",I2978="À planifier"),IF(AND(OR($C$3="Tous",$C$3="",C2978=$C$3),OR($E$3="Tous",$E$3="",I2978=$E$3)),1,0),0)))</f>
        <v>0</v>
      </c>
      <c r="L2978" s="104" t="n">
        <f aca="false">L2977+K2978</f>
        <v>19</v>
      </c>
    </row>
    <row r="2979" customFormat="false" ht="15" hidden="true" customHeight="true" outlineLevel="0" collapsed="false">
      <c r="F2979" s="116"/>
      <c r="G2979" s="116"/>
      <c r="K2979" s="104" t="n">
        <f aca="false">IF(A2979="",0,IF(IFERROR(VLOOKUP(A2979,Skills!$A:$M,13,FALSE()),"")="COS",0,IF(OR(I2979="En cours",I2979="À venir",I2979="À planifier"),IF(AND(OR($C$3="Tous",$C$3="",C2979=$C$3),OR($E$3="Tous",$E$3="",I2979=$E$3)),1,0),0)))</f>
        <v>0</v>
      </c>
      <c r="L2979" s="104" t="n">
        <f aca="false">L2978+K2979</f>
        <v>19</v>
      </c>
    </row>
    <row r="2980" customFormat="false" ht="15" hidden="true" customHeight="true" outlineLevel="0" collapsed="false">
      <c r="F2980" s="116"/>
      <c r="G2980" s="116"/>
      <c r="K2980" s="104" t="n">
        <f aca="false">IF(A2980="",0,IF(IFERROR(VLOOKUP(A2980,Skills!$A:$M,13,FALSE()),"")="COS",0,IF(OR(I2980="En cours",I2980="À venir",I2980="À planifier"),IF(AND(OR($C$3="Tous",$C$3="",C2980=$C$3),OR($E$3="Tous",$E$3="",I2980=$E$3)),1,0),0)))</f>
        <v>0</v>
      </c>
      <c r="L2980" s="104" t="n">
        <f aca="false">L2979+K2980</f>
        <v>19</v>
      </c>
    </row>
    <row r="2981" customFormat="false" ht="15" hidden="true" customHeight="true" outlineLevel="0" collapsed="false">
      <c r="F2981" s="116"/>
      <c r="G2981" s="116"/>
      <c r="K2981" s="104" t="n">
        <f aca="false">IF(A2981="",0,IF(IFERROR(VLOOKUP(A2981,Skills!$A:$M,13,FALSE()),"")="COS",0,IF(OR(I2981="En cours",I2981="À venir",I2981="À planifier"),IF(AND(OR($C$3="Tous",$C$3="",C2981=$C$3),OR($E$3="Tous",$E$3="",I2981=$E$3)),1,0),0)))</f>
        <v>0</v>
      </c>
      <c r="L2981" s="104" t="n">
        <f aca="false">L2980+K2981</f>
        <v>19</v>
      </c>
    </row>
    <row r="2982" customFormat="false" ht="15" hidden="true" customHeight="true" outlineLevel="0" collapsed="false">
      <c r="F2982" s="116"/>
      <c r="G2982" s="116"/>
      <c r="K2982" s="104" t="n">
        <f aca="false">IF(A2982="",0,IF(IFERROR(VLOOKUP(A2982,Skills!$A:$M,13,FALSE()),"")="COS",0,IF(OR(I2982="En cours",I2982="À venir",I2982="À planifier"),IF(AND(OR($C$3="Tous",$C$3="",C2982=$C$3),OR($E$3="Tous",$E$3="",I2982=$E$3)),1,0),0)))</f>
        <v>0</v>
      </c>
      <c r="L2982" s="104" t="n">
        <f aca="false">L2981+K2982</f>
        <v>19</v>
      </c>
    </row>
    <row r="2983" customFormat="false" ht="15" hidden="true" customHeight="true" outlineLevel="0" collapsed="false">
      <c r="F2983" s="116"/>
      <c r="G2983" s="116"/>
      <c r="K2983" s="104" t="n">
        <f aca="false">IF(A2983="",0,IF(IFERROR(VLOOKUP(A2983,Skills!$A:$M,13,FALSE()),"")="COS",0,IF(OR(I2983="En cours",I2983="À venir",I2983="À planifier"),IF(AND(OR($C$3="Tous",$C$3="",C2983=$C$3),OR($E$3="Tous",$E$3="",I2983=$E$3)),1,0),0)))</f>
        <v>0</v>
      </c>
      <c r="L2983" s="104" t="n">
        <f aca="false">L2982+K2983</f>
        <v>19</v>
      </c>
    </row>
    <row r="2984" customFormat="false" ht="15" hidden="true" customHeight="true" outlineLevel="0" collapsed="false">
      <c r="F2984" s="116"/>
      <c r="G2984" s="116"/>
      <c r="K2984" s="104" t="n">
        <f aca="false">IF(A2984="",0,IF(IFERROR(VLOOKUP(A2984,Skills!$A:$M,13,FALSE()),"")="COS",0,IF(OR(I2984="En cours",I2984="À venir",I2984="À planifier"),IF(AND(OR($C$3="Tous",$C$3="",C2984=$C$3),OR($E$3="Tous",$E$3="",I2984=$E$3)),1,0),0)))</f>
        <v>0</v>
      </c>
      <c r="L2984" s="104" t="n">
        <f aca="false">L2983+K2984</f>
        <v>19</v>
      </c>
    </row>
    <row r="2985" customFormat="false" ht="15" hidden="true" customHeight="true" outlineLevel="0" collapsed="false">
      <c r="F2985" s="116"/>
      <c r="G2985" s="116"/>
      <c r="K2985" s="104" t="n">
        <f aca="false">IF(A2985="",0,IF(IFERROR(VLOOKUP(A2985,Skills!$A:$M,13,FALSE()),"")="COS",0,IF(OR(I2985="En cours",I2985="À venir",I2985="À planifier"),IF(AND(OR($C$3="Tous",$C$3="",C2985=$C$3),OR($E$3="Tous",$E$3="",I2985=$E$3)),1,0),0)))</f>
        <v>0</v>
      </c>
      <c r="L2985" s="104" t="n">
        <f aca="false">L2984+K2985</f>
        <v>19</v>
      </c>
    </row>
    <row r="2986" customFormat="false" ht="15" hidden="true" customHeight="true" outlineLevel="0" collapsed="false">
      <c r="F2986" s="116"/>
      <c r="G2986" s="116"/>
      <c r="K2986" s="104" t="n">
        <f aca="false">IF(A2986="",0,IF(IFERROR(VLOOKUP(A2986,Skills!$A:$M,13,FALSE()),"")="COS",0,IF(OR(I2986="En cours",I2986="À venir",I2986="À planifier"),IF(AND(OR($C$3="Tous",$C$3="",C2986=$C$3),OR($E$3="Tous",$E$3="",I2986=$E$3)),1,0),0)))</f>
        <v>0</v>
      </c>
      <c r="L2986" s="104" t="n">
        <f aca="false">L2985+K2986</f>
        <v>19</v>
      </c>
    </row>
    <row r="2987" customFormat="false" ht="15" hidden="true" customHeight="true" outlineLevel="0" collapsed="false">
      <c r="F2987" s="116"/>
      <c r="G2987" s="116"/>
      <c r="K2987" s="104" t="n">
        <f aca="false">IF(A2987="",0,IF(IFERROR(VLOOKUP(A2987,Skills!$A:$M,13,FALSE()),"")="COS",0,IF(OR(I2987="En cours",I2987="À venir",I2987="À planifier"),IF(AND(OR($C$3="Tous",$C$3="",C2987=$C$3),OR($E$3="Tous",$E$3="",I2987=$E$3)),1,0),0)))</f>
        <v>0</v>
      </c>
      <c r="L2987" s="104" t="n">
        <f aca="false">L2986+K2987</f>
        <v>19</v>
      </c>
    </row>
    <row r="2988" customFormat="false" ht="15" hidden="true" customHeight="true" outlineLevel="0" collapsed="false">
      <c r="F2988" s="116"/>
      <c r="G2988" s="116"/>
      <c r="K2988" s="104" t="n">
        <f aca="false">IF(A2988="",0,IF(IFERROR(VLOOKUP(A2988,Skills!$A:$M,13,FALSE()),"")="COS",0,IF(OR(I2988="En cours",I2988="À venir",I2988="À planifier"),IF(AND(OR($C$3="Tous",$C$3="",C2988=$C$3),OR($E$3="Tous",$E$3="",I2988=$E$3)),1,0),0)))</f>
        <v>0</v>
      </c>
      <c r="L2988" s="104" t="n">
        <f aca="false">L2987+K2988</f>
        <v>19</v>
      </c>
    </row>
    <row r="2989" customFormat="false" ht="15" hidden="true" customHeight="true" outlineLevel="0" collapsed="false">
      <c r="F2989" s="116"/>
      <c r="G2989" s="116"/>
      <c r="K2989" s="104" t="n">
        <f aca="false">IF(A2989="",0,IF(IFERROR(VLOOKUP(A2989,Skills!$A:$M,13,FALSE()),"")="COS",0,IF(OR(I2989="En cours",I2989="À venir",I2989="À planifier"),IF(AND(OR($C$3="Tous",$C$3="",C2989=$C$3),OR($E$3="Tous",$E$3="",I2989=$E$3)),1,0),0)))</f>
        <v>0</v>
      </c>
      <c r="L2989" s="104" t="n">
        <f aca="false">L2988+K2989</f>
        <v>19</v>
      </c>
    </row>
    <row r="2990" customFormat="false" ht="15" hidden="true" customHeight="true" outlineLevel="0" collapsed="false">
      <c r="F2990" s="116"/>
      <c r="G2990" s="116"/>
      <c r="K2990" s="104" t="n">
        <f aca="false">IF(A2990="",0,IF(IFERROR(VLOOKUP(A2990,Skills!$A:$M,13,FALSE()),"")="COS",0,IF(OR(I2990="En cours",I2990="À venir",I2990="À planifier"),IF(AND(OR($C$3="Tous",$C$3="",C2990=$C$3),OR($E$3="Tous",$E$3="",I2990=$E$3)),1,0),0)))</f>
        <v>0</v>
      </c>
      <c r="L2990" s="104" t="n">
        <f aca="false">L2989+K2990</f>
        <v>19</v>
      </c>
    </row>
    <row r="2991" customFormat="false" ht="15" hidden="true" customHeight="true" outlineLevel="0" collapsed="false">
      <c r="F2991" s="116"/>
      <c r="G2991" s="116"/>
      <c r="K2991" s="104" t="n">
        <f aca="false">IF(A2991="",0,IF(IFERROR(VLOOKUP(A2991,Skills!$A:$M,13,FALSE()),"")="COS",0,IF(OR(I2991="En cours",I2991="À venir",I2991="À planifier"),IF(AND(OR($C$3="Tous",$C$3="",C2991=$C$3),OR($E$3="Tous",$E$3="",I2991=$E$3)),1,0),0)))</f>
        <v>0</v>
      </c>
      <c r="L2991" s="104" t="n">
        <f aca="false">L2990+K2991</f>
        <v>19</v>
      </c>
    </row>
    <row r="2992" customFormat="false" ht="15" hidden="true" customHeight="true" outlineLevel="0" collapsed="false">
      <c r="F2992" s="116"/>
      <c r="G2992" s="116"/>
      <c r="K2992" s="104" t="n">
        <f aca="false">IF(A2992="",0,IF(IFERROR(VLOOKUP(A2992,Skills!$A:$M,13,FALSE()),"")="COS",0,IF(OR(I2992="En cours",I2992="À venir",I2992="À planifier"),IF(AND(OR($C$3="Tous",$C$3="",C2992=$C$3),OR($E$3="Tous",$E$3="",I2992=$E$3)),1,0),0)))</f>
        <v>0</v>
      </c>
      <c r="L2992" s="104" t="n">
        <f aca="false">L2991+K2992</f>
        <v>19</v>
      </c>
    </row>
    <row r="2993" customFormat="false" ht="15" hidden="true" customHeight="true" outlineLevel="0" collapsed="false">
      <c r="F2993" s="116"/>
      <c r="G2993" s="116"/>
      <c r="K2993" s="104" t="n">
        <f aca="false">IF(A2993="",0,IF(IFERROR(VLOOKUP(A2993,Skills!$A:$M,13,FALSE()),"")="COS",0,IF(OR(I2993="En cours",I2993="À venir",I2993="À planifier"),IF(AND(OR($C$3="Tous",$C$3="",C2993=$C$3),OR($E$3="Tous",$E$3="",I2993=$E$3)),1,0),0)))</f>
        <v>0</v>
      </c>
      <c r="L2993" s="104" t="n">
        <f aca="false">L2992+K2993</f>
        <v>19</v>
      </c>
    </row>
    <row r="2994" customFormat="false" ht="15" hidden="true" customHeight="true" outlineLevel="0" collapsed="false">
      <c r="F2994" s="116"/>
      <c r="G2994" s="116"/>
      <c r="K2994" s="104" t="n">
        <f aca="false">IF(A2994="",0,IF(IFERROR(VLOOKUP(A2994,Skills!$A:$M,13,FALSE()),"")="COS",0,IF(OR(I2994="En cours",I2994="À venir",I2994="À planifier"),IF(AND(OR($C$3="Tous",$C$3="",C2994=$C$3),OR($E$3="Tous",$E$3="",I2994=$E$3)),1,0),0)))</f>
        <v>0</v>
      </c>
      <c r="L2994" s="104" t="n">
        <f aca="false">L2993+K2994</f>
        <v>19</v>
      </c>
    </row>
    <row r="2995" customFormat="false" ht="15" hidden="true" customHeight="true" outlineLevel="0" collapsed="false">
      <c r="F2995" s="116"/>
      <c r="G2995" s="116"/>
      <c r="K2995" s="104" t="n">
        <f aca="false">IF(A2995="",0,IF(IFERROR(VLOOKUP(A2995,Skills!$A:$M,13,FALSE()),"")="COS",0,IF(OR(I2995="En cours",I2995="À venir",I2995="À planifier"),IF(AND(OR($C$3="Tous",$C$3="",C2995=$C$3),OR($E$3="Tous",$E$3="",I2995=$E$3)),1,0),0)))</f>
        <v>0</v>
      </c>
      <c r="L2995" s="104" t="n">
        <f aca="false">L2994+K2995</f>
        <v>19</v>
      </c>
    </row>
    <row r="2996" customFormat="false" ht="15" hidden="true" customHeight="true" outlineLevel="0" collapsed="false">
      <c r="F2996" s="116"/>
      <c r="G2996" s="116"/>
      <c r="K2996" s="104" t="n">
        <f aca="false">IF(A2996="",0,IF(IFERROR(VLOOKUP(A2996,Skills!$A:$M,13,FALSE()),"")="COS",0,IF(OR(I2996="En cours",I2996="À venir",I2996="À planifier"),IF(AND(OR($C$3="Tous",$C$3="",C2996=$C$3),OR($E$3="Tous",$E$3="",I2996=$E$3)),1,0),0)))</f>
        <v>0</v>
      </c>
      <c r="L2996" s="104" t="n">
        <f aca="false">L2995+K2996</f>
        <v>19</v>
      </c>
    </row>
    <row r="2997" customFormat="false" ht="15" hidden="true" customHeight="true" outlineLevel="0" collapsed="false">
      <c r="F2997" s="116"/>
      <c r="G2997" s="116"/>
      <c r="K2997" s="104" t="n">
        <f aca="false">IF(A2997="",0,IF(IFERROR(VLOOKUP(A2997,Skills!$A:$M,13,FALSE()),"")="COS",0,IF(OR(I2997="En cours",I2997="À venir",I2997="À planifier"),IF(AND(OR($C$3="Tous",$C$3="",C2997=$C$3),OR($E$3="Tous",$E$3="",I2997=$E$3)),1,0),0)))</f>
        <v>0</v>
      </c>
      <c r="L2997" s="104" t="n">
        <f aca="false">L2996+K2997</f>
        <v>19</v>
      </c>
    </row>
    <row r="2998" customFormat="false" ht="15" hidden="true" customHeight="true" outlineLevel="0" collapsed="false">
      <c r="F2998" s="116"/>
      <c r="G2998" s="116"/>
      <c r="K2998" s="104" t="n">
        <f aca="false">IF(A2998="",0,IF(IFERROR(VLOOKUP(A2998,Skills!$A:$M,13,FALSE()),"")="COS",0,IF(OR(I2998="En cours",I2998="À venir",I2998="À planifier"),IF(AND(OR($C$3="Tous",$C$3="",C2998=$C$3),OR($E$3="Tous",$E$3="",I2998=$E$3)),1,0),0)))</f>
        <v>0</v>
      </c>
      <c r="L2998" s="104" t="n">
        <f aca="false">L2997+K2998</f>
        <v>19</v>
      </c>
    </row>
    <row r="2999" customFormat="false" ht="15" hidden="true" customHeight="true" outlineLevel="0" collapsed="false">
      <c r="F2999" s="116"/>
      <c r="G2999" s="116"/>
      <c r="K2999" s="104" t="n">
        <f aca="false">IF(A2999="",0,IF(IFERROR(VLOOKUP(A2999,Skills!$A:$M,13,FALSE()),"")="COS",0,IF(OR(I2999="En cours",I2999="À venir",I2999="À planifier"),IF(AND(OR($C$3="Tous",$C$3="",C2999=$C$3),OR($E$3="Tous",$E$3="",I2999=$E$3)),1,0),0)))</f>
        <v>0</v>
      </c>
      <c r="L2999" s="104" t="n">
        <f aca="false">L2998+K2999</f>
        <v>19</v>
      </c>
    </row>
    <row r="3000" customFormat="false" ht="15" hidden="true" customHeight="true" outlineLevel="0" collapsed="false">
      <c r="F3000" s="116"/>
      <c r="G3000" s="116"/>
      <c r="K3000" s="104" t="n">
        <f aca="false">IF(A3000="",0,IF(IFERROR(VLOOKUP(A3000,Skills!$A:$M,13,FALSE()),"")="COS",0,IF(OR(I3000="En cours",I3000="À venir",I3000="À planifier"),IF(AND(OR($C$3="Tous",$C$3="",C3000=$C$3),OR($E$3="Tous",$E$3="",I3000=$E$3)),1,0),0)))</f>
        <v>0</v>
      </c>
      <c r="L3000" s="104" t="n">
        <f aca="false">L2999+K3000</f>
        <v>19</v>
      </c>
    </row>
    <row r="3001" customFormat="false" ht="15" hidden="true" customHeight="true" outlineLevel="0" collapsed="false">
      <c r="F3001" s="116"/>
      <c r="G3001" s="116"/>
      <c r="K3001" s="104" t="n">
        <f aca="false">IF(A3001="",0,IF(IFERROR(VLOOKUP(A3001,Skills!$A:$M,13,FALSE()),"")="COS",0,IF(OR(I3001="En cours",I3001="À venir",I3001="À planifier"),IF(AND(OR($C$3="Tous",$C$3="",C3001=$C$3),OR($E$3="Tous",$E$3="",I3001=$E$3)),1,0),0)))</f>
        <v>0</v>
      </c>
      <c r="L3001" s="104" t="n">
        <f aca="false">L3000+K3001</f>
        <v>19</v>
      </c>
    </row>
    <row r="3002" customFormat="false" ht="15" hidden="true" customHeight="true" outlineLevel="0" collapsed="false">
      <c r="F3002" s="116"/>
      <c r="G3002" s="116"/>
      <c r="K3002" s="104" t="n">
        <f aca="false">IF(A3002="",0,IF(IFERROR(VLOOKUP(A3002,Skills!$A:$M,13,FALSE()),"")="COS",0,IF(OR(I3002="En cours",I3002="À venir",I3002="À planifier"),IF(AND(OR($C$3="Tous",$C$3="",C3002=$C$3),OR($E$3="Tous",$E$3="",I3002=$E$3)),1,0),0)))</f>
        <v>0</v>
      </c>
      <c r="L3002" s="104" t="n">
        <f aca="false">L3001+K3002</f>
        <v>19</v>
      </c>
    </row>
    <row r="3003" customFormat="false" ht="15" hidden="true" customHeight="true" outlineLevel="0" collapsed="false">
      <c r="F3003" s="116"/>
      <c r="G3003" s="116"/>
      <c r="K3003" s="104" t="n">
        <f aca="false">IF(A3003="",0,IF(IFERROR(VLOOKUP(A3003,Skills!$A:$M,13,FALSE()),"")="COS",0,IF(OR(I3003="En cours",I3003="À venir",I3003="À planifier"),IF(AND(OR($C$3="Tous",$C$3="",C3003=$C$3),OR($E$3="Tous",$E$3="",I3003=$E$3)),1,0),0)))</f>
        <v>0</v>
      </c>
      <c r="L3003" s="104" t="n">
        <f aca="false">L3002+K3003</f>
        <v>19</v>
      </c>
    </row>
    <row r="3004" customFormat="false" ht="15" hidden="true" customHeight="true" outlineLevel="0" collapsed="false">
      <c r="F3004" s="116"/>
      <c r="G3004" s="116"/>
      <c r="K3004" s="104" t="n">
        <f aca="false">IF(A3004="",0,IF(IFERROR(VLOOKUP(A3004,Skills!$A:$M,13,FALSE()),"")="COS",0,IF(OR(I3004="En cours",I3004="À venir",I3004="À planifier"),IF(AND(OR($C$3="Tous",$C$3="",C3004=$C$3),OR($E$3="Tous",$E$3="",I3004=$E$3)),1,0),0)))</f>
        <v>0</v>
      </c>
      <c r="L3004" s="104" t="n">
        <f aca="false">L3003+K3004</f>
        <v>19</v>
      </c>
    </row>
    <row r="3005" customFormat="false" ht="15" hidden="true" customHeight="true" outlineLevel="0" collapsed="false">
      <c r="F3005" s="116"/>
      <c r="G3005" s="116"/>
      <c r="K3005" s="104" t="n">
        <f aca="false">IF(A3005="",0,IF(IFERROR(VLOOKUP(A3005,Skills!$A:$M,13,FALSE()),"")="COS",0,IF(OR(I3005="En cours",I3005="À venir",I3005="À planifier"),IF(AND(OR($C$3="Tous",$C$3="",C3005=$C$3),OR($E$3="Tous",$E$3="",I3005=$E$3)),1,0),0)))</f>
        <v>0</v>
      </c>
      <c r="L3005" s="104" t="n">
        <f aca="false">L3004+K3005</f>
        <v>19</v>
      </c>
    </row>
    <row r="3006" customFormat="false" ht="15" hidden="true" customHeight="true" outlineLevel="0" collapsed="false">
      <c r="F3006" s="116"/>
      <c r="G3006" s="116"/>
      <c r="K3006" s="104" t="n">
        <f aca="false">IF(A3006="",0,IF(IFERROR(VLOOKUP(A3006,Skills!$A:$M,13,FALSE()),"")="COS",0,IF(OR(I3006="En cours",I3006="À venir",I3006="À planifier"),IF(AND(OR($C$3="Tous",$C$3="",C3006=$C$3),OR($E$3="Tous",$E$3="",I3006=$E$3)),1,0),0)))</f>
        <v>0</v>
      </c>
      <c r="L3006" s="104" t="n">
        <f aca="false">L3005+K3006</f>
        <v>19</v>
      </c>
    </row>
    <row r="3007" customFormat="false" ht="15" hidden="true" customHeight="true" outlineLevel="0" collapsed="false">
      <c r="F3007" s="116"/>
      <c r="G3007" s="116"/>
      <c r="K3007" s="104" t="n">
        <f aca="false">IF(A3007="",0,IF(IFERROR(VLOOKUP(A3007,Skills!$A:$M,13,FALSE()),"")="COS",0,IF(OR(I3007="En cours",I3007="À venir",I3007="À planifier"),IF(AND(OR($C$3="Tous",$C$3="",C3007=$C$3),OR($E$3="Tous",$E$3="",I3007=$E$3)),1,0),0)))</f>
        <v>0</v>
      </c>
      <c r="L3007" s="104" t="n">
        <f aca="false">L3006+K3007</f>
        <v>19</v>
      </c>
    </row>
    <row r="3008" customFormat="false" ht="15" hidden="true" customHeight="true" outlineLevel="0" collapsed="false">
      <c r="F3008" s="116"/>
      <c r="G3008" s="116"/>
      <c r="K3008" s="104" t="n">
        <f aca="false">IF(A3008="",0,IF(IFERROR(VLOOKUP(A3008,Skills!$A:$M,13,FALSE()),"")="COS",0,IF(OR(I3008="En cours",I3008="À venir",I3008="À planifier"),IF(AND(OR($C$3="Tous",$C$3="",C3008=$C$3),OR($E$3="Tous",$E$3="",I3008=$E$3)),1,0),0)))</f>
        <v>0</v>
      </c>
      <c r="L3008" s="104" t="n">
        <f aca="false">L3007+K3008</f>
        <v>19</v>
      </c>
    </row>
    <row r="3009" customFormat="false" ht="15" hidden="true" customHeight="true" outlineLevel="0" collapsed="false">
      <c r="F3009" s="116"/>
      <c r="G3009" s="116"/>
      <c r="K3009" s="104" t="n">
        <f aca="false">IF(A3009="",0,IF(IFERROR(VLOOKUP(A3009,Skills!$A:$M,13,FALSE()),"")="COS",0,IF(OR(I3009="En cours",I3009="À venir",I3009="À planifier"),IF(AND(OR($C$3="Tous",$C$3="",C3009=$C$3),OR($E$3="Tous",$E$3="",I3009=$E$3)),1,0),0)))</f>
        <v>0</v>
      </c>
      <c r="L3009" s="104" t="n">
        <f aca="false">L3008+K3009</f>
        <v>19</v>
      </c>
    </row>
    <row r="3010" customFormat="false" ht="15" hidden="true" customHeight="true" outlineLevel="0" collapsed="false">
      <c r="F3010" s="116"/>
      <c r="G3010" s="116"/>
      <c r="K3010" s="104" t="n">
        <f aca="false">IF(A3010="",0,IF(IFERROR(VLOOKUP(A3010,Skills!$A:$M,13,FALSE()),"")="COS",0,IF(OR(I3010="En cours",I3010="À venir",I3010="À planifier"),IF(AND(OR($C$3="Tous",$C$3="",C3010=$C$3),OR($E$3="Tous",$E$3="",I3010=$E$3)),1,0),0)))</f>
        <v>0</v>
      </c>
      <c r="L3010" s="104" t="n">
        <f aca="false">L3009+K3010</f>
        <v>19</v>
      </c>
    </row>
    <row r="3011" customFormat="false" ht="15" hidden="true" customHeight="true" outlineLevel="0" collapsed="false">
      <c r="F3011" s="116"/>
      <c r="G3011" s="116"/>
      <c r="K3011" s="104" t="n">
        <f aca="false">IF(A3011="",0,IF(IFERROR(VLOOKUP(A3011,Skills!$A:$M,13,FALSE()),"")="COS",0,IF(OR(I3011="En cours",I3011="À venir",I3011="À planifier"),IF(AND(OR($C$3="Tous",$C$3="",C3011=$C$3),OR($E$3="Tous",$E$3="",I3011=$E$3)),1,0),0)))</f>
        <v>0</v>
      </c>
      <c r="L3011" s="104" t="n">
        <f aca="false">L3010+K3011</f>
        <v>19</v>
      </c>
    </row>
    <row r="3012" customFormat="false" ht="15" hidden="true" customHeight="true" outlineLevel="0" collapsed="false">
      <c r="F3012" s="116"/>
      <c r="G3012" s="116"/>
      <c r="K3012" s="104" t="n">
        <f aca="false">IF(A3012="",0,IF(IFERROR(VLOOKUP(A3012,Skills!$A:$M,13,FALSE()),"")="COS",0,IF(OR(I3012="En cours",I3012="À venir",I3012="À planifier"),IF(AND(OR($C$3="Tous",$C$3="",C3012=$C$3),OR($E$3="Tous",$E$3="",I3012=$E$3)),1,0),0)))</f>
        <v>0</v>
      </c>
      <c r="L3012" s="104" t="n">
        <f aca="false">L3011+K3012</f>
        <v>19</v>
      </c>
    </row>
    <row r="3013" customFormat="false" ht="15" hidden="true" customHeight="true" outlineLevel="0" collapsed="false">
      <c r="F3013" s="116"/>
      <c r="G3013" s="116"/>
      <c r="K3013" s="104" t="n">
        <f aca="false">IF(A3013="",0,IF(IFERROR(VLOOKUP(A3013,Skills!$A:$M,13,FALSE()),"")="COS",0,IF(OR(I3013="En cours",I3013="À venir",I3013="À planifier"),IF(AND(OR($C$3="Tous",$C$3="",C3013=$C$3),OR($E$3="Tous",$E$3="",I3013=$E$3)),1,0),0)))</f>
        <v>0</v>
      </c>
      <c r="L3013" s="104" t="n">
        <f aca="false">L3012+K3013</f>
        <v>19</v>
      </c>
    </row>
    <row r="3014" customFormat="false" ht="15" hidden="true" customHeight="true" outlineLevel="0" collapsed="false">
      <c r="F3014" s="116"/>
      <c r="G3014" s="116"/>
      <c r="K3014" s="104" t="n">
        <f aca="false">IF(A3014="",0,IF(IFERROR(VLOOKUP(A3014,Skills!$A:$M,13,FALSE()),"")="COS",0,IF(OR(I3014="En cours",I3014="À venir",I3014="À planifier"),IF(AND(OR($C$3="Tous",$C$3="",C3014=$C$3),OR($E$3="Tous",$E$3="",I3014=$E$3)),1,0),0)))</f>
        <v>0</v>
      </c>
      <c r="L3014" s="104" t="n">
        <f aca="false">L3013+K3014</f>
        <v>19</v>
      </c>
    </row>
    <row r="3015" customFormat="false" ht="15" hidden="true" customHeight="true" outlineLevel="0" collapsed="false">
      <c r="F3015" s="116"/>
      <c r="G3015" s="116"/>
      <c r="K3015" s="104" t="n">
        <f aca="false">IF(A3015="",0,IF(IFERROR(VLOOKUP(A3015,Skills!$A:$M,13,FALSE()),"")="COS",0,IF(OR(I3015="En cours",I3015="À venir",I3015="À planifier"),IF(AND(OR($C$3="Tous",$C$3="",C3015=$C$3),OR($E$3="Tous",$E$3="",I3015=$E$3)),1,0),0)))</f>
        <v>0</v>
      </c>
      <c r="L3015" s="104" t="n">
        <f aca="false">L3014+K3015</f>
        <v>19</v>
      </c>
    </row>
    <row r="3016" customFormat="false" ht="15" hidden="true" customHeight="true" outlineLevel="0" collapsed="false">
      <c r="F3016" s="116"/>
      <c r="G3016" s="116"/>
      <c r="K3016" s="104" t="n">
        <f aca="false">IF(A3016="",0,IF(IFERROR(VLOOKUP(A3016,Skills!$A:$M,13,FALSE()),"")="COS",0,IF(OR(I3016="En cours",I3016="À venir",I3016="À planifier"),IF(AND(OR($C$3="Tous",$C$3="",C3016=$C$3),OR($E$3="Tous",$E$3="",I3016=$E$3)),1,0),0)))</f>
        <v>0</v>
      </c>
      <c r="L3016" s="104" t="n">
        <f aca="false">L3015+K3016</f>
        <v>19</v>
      </c>
    </row>
    <row r="3017" customFormat="false" ht="15" hidden="true" customHeight="true" outlineLevel="0" collapsed="false">
      <c r="F3017" s="116"/>
      <c r="G3017" s="116"/>
      <c r="K3017" s="104" t="n">
        <f aca="false">IF(A3017="",0,IF(IFERROR(VLOOKUP(A3017,Skills!$A:$M,13,FALSE()),"")="COS",0,IF(OR(I3017="En cours",I3017="À venir",I3017="À planifier"),IF(AND(OR($C$3="Tous",$C$3="",C3017=$C$3),OR($E$3="Tous",$E$3="",I3017=$E$3)),1,0),0)))</f>
        <v>0</v>
      </c>
      <c r="L3017" s="104" t="n">
        <f aca="false">L3016+K3017</f>
        <v>19</v>
      </c>
    </row>
    <row r="3018" customFormat="false" ht="15" hidden="true" customHeight="true" outlineLevel="0" collapsed="false">
      <c r="F3018" s="116"/>
      <c r="G3018" s="116"/>
      <c r="K3018" s="104" t="n">
        <f aca="false">IF(A3018="",0,IF(IFERROR(VLOOKUP(A3018,Skills!$A:$M,13,FALSE()),"")="COS",0,IF(OR(I3018="En cours",I3018="À venir",I3018="À planifier"),IF(AND(OR($C$3="Tous",$C$3="",C3018=$C$3),OR($E$3="Tous",$E$3="",I3018=$E$3)),1,0),0)))</f>
        <v>0</v>
      </c>
      <c r="L3018" s="104" t="n">
        <f aca="false">L3017+K3018</f>
        <v>19</v>
      </c>
    </row>
    <row r="3019" customFormat="false" ht="15" hidden="true" customHeight="true" outlineLevel="0" collapsed="false">
      <c r="F3019" s="116"/>
      <c r="G3019" s="116"/>
      <c r="K3019" s="104" t="n">
        <f aca="false">IF(A3019="",0,IF(IFERROR(VLOOKUP(A3019,Skills!$A:$M,13,FALSE()),"")="COS",0,IF(OR(I3019="En cours",I3019="À venir",I3019="À planifier"),IF(AND(OR($C$3="Tous",$C$3="",C3019=$C$3),OR($E$3="Tous",$E$3="",I3019=$E$3)),1,0),0)))</f>
        <v>0</v>
      </c>
      <c r="L3019" s="104" t="n">
        <f aca="false">L3018+K3019</f>
        <v>19</v>
      </c>
    </row>
    <row r="3020" customFormat="false" ht="15" hidden="true" customHeight="true" outlineLevel="0" collapsed="false">
      <c r="F3020" s="116"/>
      <c r="G3020" s="116"/>
      <c r="K3020" s="104" t="n">
        <f aca="false">IF(A3020="",0,IF(IFERROR(VLOOKUP(A3020,Skills!$A:$M,13,FALSE()),"")="COS",0,IF(OR(I3020="En cours",I3020="À venir",I3020="À planifier"),IF(AND(OR($C$3="Tous",$C$3="",C3020=$C$3),OR($E$3="Tous",$E$3="",I3020=$E$3)),1,0),0)))</f>
        <v>0</v>
      </c>
      <c r="L3020" s="104" t="n">
        <f aca="false">L3019+K3020</f>
        <v>19</v>
      </c>
    </row>
    <row r="3021" customFormat="false" ht="15" hidden="true" customHeight="true" outlineLevel="0" collapsed="false">
      <c r="F3021" s="116"/>
      <c r="G3021" s="116"/>
      <c r="K3021" s="104" t="n">
        <f aca="false">IF(A3021="",0,IF(IFERROR(VLOOKUP(A3021,Skills!$A:$M,13,FALSE()),"")="COS",0,IF(OR(I3021="En cours",I3021="À venir",I3021="À planifier"),IF(AND(OR($C$3="Tous",$C$3="",C3021=$C$3),OR($E$3="Tous",$E$3="",I3021=$E$3)),1,0),0)))</f>
        <v>0</v>
      </c>
      <c r="L3021" s="104" t="n">
        <f aca="false">L3020+K3021</f>
        <v>19</v>
      </c>
    </row>
    <row r="3022" customFormat="false" ht="15" hidden="true" customHeight="true" outlineLevel="0" collapsed="false">
      <c r="F3022" s="116"/>
      <c r="G3022" s="116"/>
      <c r="K3022" s="104" t="n">
        <f aca="false">IF(A3022="",0,IF(IFERROR(VLOOKUP(A3022,Skills!$A:$M,13,FALSE()),"")="COS",0,IF(OR(I3022="En cours",I3022="À venir",I3022="À planifier"),IF(AND(OR($C$3="Tous",$C$3="",C3022=$C$3),OR($E$3="Tous",$E$3="",I3022=$E$3)),1,0),0)))</f>
        <v>0</v>
      </c>
      <c r="L3022" s="104" t="n">
        <f aca="false">L3021+K3022</f>
        <v>19</v>
      </c>
    </row>
    <row r="3023" customFormat="false" ht="15" hidden="true" customHeight="true" outlineLevel="0" collapsed="false">
      <c r="F3023" s="116"/>
      <c r="G3023" s="116"/>
      <c r="K3023" s="104" t="n">
        <f aca="false">IF(A3023="",0,IF(IFERROR(VLOOKUP(A3023,Skills!$A:$M,13,FALSE()),"")="COS",0,IF(OR(I3023="En cours",I3023="À venir",I3023="À planifier"),IF(AND(OR($C$3="Tous",$C$3="",C3023=$C$3),OR($E$3="Tous",$E$3="",I3023=$E$3)),1,0),0)))</f>
        <v>0</v>
      </c>
      <c r="L3023" s="104" t="n">
        <f aca="false">L3022+K3023</f>
        <v>19</v>
      </c>
    </row>
    <row r="3024" customFormat="false" ht="15" hidden="true" customHeight="true" outlineLevel="0" collapsed="false">
      <c r="F3024" s="116"/>
      <c r="G3024" s="116"/>
      <c r="K3024" s="104" t="n">
        <f aca="false">IF(A3024="",0,IF(IFERROR(VLOOKUP(A3024,Skills!$A:$M,13,FALSE()),"")="COS",0,IF(OR(I3024="En cours",I3024="À venir",I3024="À planifier"),IF(AND(OR($C$3="Tous",$C$3="",C3024=$C$3),OR($E$3="Tous",$E$3="",I3024=$E$3)),1,0),0)))</f>
        <v>0</v>
      </c>
      <c r="L3024" s="104" t="n">
        <f aca="false">L3023+K3024</f>
        <v>19</v>
      </c>
    </row>
    <row r="3025" customFormat="false" ht="15" hidden="true" customHeight="true" outlineLevel="0" collapsed="false">
      <c r="F3025" s="116"/>
      <c r="G3025" s="116"/>
      <c r="K3025" s="104" t="n">
        <f aca="false">IF(A3025="",0,IF(IFERROR(VLOOKUP(A3025,Skills!$A:$M,13,FALSE()),"")="COS",0,IF(OR(I3025="En cours",I3025="À venir",I3025="À planifier"),IF(AND(OR($C$3="Tous",$C$3="",C3025=$C$3),OR($E$3="Tous",$E$3="",I3025=$E$3)),1,0),0)))</f>
        <v>0</v>
      </c>
      <c r="L3025" s="104" t="n">
        <f aca="false">L3024+K3025</f>
        <v>19</v>
      </c>
    </row>
    <row r="3026" customFormat="false" ht="15" hidden="true" customHeight="true" outlineLevel="0" collapsed="false">
      <c r="F3026" s="116"/>
      <c r="G3026" s="116"/>
      <c r="K3026" s="104" t="n">
        <f aca="false">IF(A3026="",0,IF(IFERROR(VLOOKUP(A3026,Skills!$A:$M,13,FALSE()),"")="COS",0,IF(OR(I3026="En cours",I3026="À venir",I3026="À planifier"),IF(AND(OR($C$3="Tous",$C$3="",C3026=$C$3),OR($E$3="Tous",$E$3="",I3026=$E$3)),1,0),0)))</f>
        <v>0</v>
      </c>
      <c r="L3026" s="104" t="n">
        <f aca="false">L3025+K3026</f>
        <v>19</v>
      </c>
    </row>
    <row r="3027" customFormat="false" ht="15" hidden="true" customHeight="true" outlineLevel="0" collapsed="false">
      <c r="F3027" s="116"/>
      <c r="G3027" s="116"/>
      <c r="K3027" s="104" t="n">
        <f aca="false">IF(A3027="",0,IF(IFERROR(VLOOKUP(A3027,Skills!$A:$M,13,FALSE()),"")="COS",0,IF(OR(I3027="En cours",I3027="À venir",I3027="À planifier"),IF(AND(OR($C$3="Tous",$C$3="",C3027=$C$3),OR($E$3="Tous",$E$3="",I3027=$E$3)),1,0),0)))</f>
        <v>0</v>
      </c>
      <c r="L3027" s="104" t="n">
        <f aca="false">L3026+K3027</f>
        <v>19</v>
      </c>
    </row>
    <row r="3028" customFormat="false" ht="15" hidden="true" customHeight="true" outlineLevel="0" collapsed="false">
      <c r="F3028" s="116"/>
      <c r="G3028" s="116"/>
      <c r="K3028" s="104" t="n">
        <f aca="false">IF(A3028="",0,IF(IFERROR(VLOOKUP(A3028,Skills!$A:$M,13,FALSE()),"")="COS",0,IF(OR(I3028="En cours",I3028="À venir",I3028="À planifier"),IF(AND(OR($C$3="Tous",$C$3="",C3028=$C$3),OR($E$3="Tous",$E$3="",I3028=$E$3)),1,0),0)))</f>
        <v>0</v>
      </c>
      <c r="L3028" s="104" t="n">
        <f aca="false">L3027+K3028</f>
        <v>19</v>
      </c>
    </row>
    <row r="3029" customFormat="false" ht="15" hidden="true" customHeight="true" outlineLevel="0" collapsed="false">
      <c r="F3029" s="116"/>
      <c r="G3029" s="116"/>
      <c r="K3029" s="104" t="n">
        <f aca="false">IF(A3029="",0,IF(IFERROR(VLOOKUP(A3029,Skills!$A:$M,13,FALSE()),"")="COS",0,IF(OR(I3029="En cours",I3029="À venir",I3029="À planifier"),IF(AND(OR($C$3="Tous",$C$3="",C3029=$C$3),OR($E$3="Tous",$E$3="",I3029=$E$3)),1,0),0)))</f>
        <v>0</v>
      </c>
      <c r="L3029" s="104" t="n">
        <f aca="false">L3028+K3029</f>
        <v>19</v>
      </c>
    </row>
    <row r="3030" customFormat="false" ht="15" hidden="true" customHeight="true" outlineLevel="0" collapsed="false">
      <c r="F3030" s="116"/>
      <c r="G3030" s="116"/>
      <c r="K3030" s="104" t="n">
        <f aca="false">IF(A3030="",0,IF(IFERROR(VLOOKUP(A3030,Skills!$A:$M,13,FALSE()),"")="COS",0,IF(OR(I3030="En cours",I3030="À venir",I3030="À planifier"),IF(AND(OR($C$3="Tous",$C$3="",C3030=$C$3),OR($E$3="Tous",$E$3="",I3030=$E$3)),1,0),0)))</f>
        <v>0</v>
      </c>
      <c r="L3030" s="104" t="n">
        <f aca="false">L3029+K3030</f>
        <v>19</v>
      </c>
    </row>
    <row r="3031" customFormat="false" ht="15" hidden="true" customHeight="true" outlineLevel="0" collapsed="false">
      <c r="F3031" s="116"/>
      <c r="G3031" s="116"/>
      <c r="K3031" s="104" t="n">
        <f aca="false">IF(A3031="",0,IF(IFERROR(VLOOKUP(A3031,Skills!$A:$M,13,FALSE()),"")="COS",0,IF(OR(I3031="En cours",I3031="À venir",I3031="À planifier"),IF(AND(OR($C$3="Tous",$C$3="",C3031=$C$3),OR($E$3="Tous",$E$3="",I3031=$E$3)),1,0),0)))</f>
        <v>0</v>
      </c>
      <c r="L3031" s="104" t="n">
        <f aca="false">L3030+K3031</f>
        <v>19</v>
      </c>
    </row>
    <row r="3032" customFormat="false" ht="15" hidden="true" customHeight="true" outlineLevel="0" collapsed="false">
      <c r="F3032" s="116"/>
      <c r="G3032" s="116"/>
      <c r="K3032" s="104" t="n">
        <f aca="false">IF(A3032="",0,IF(IFERROR(VLOOKUP(A3032,Skills!$A:$M,13,FALSE()),"")="COS",0,IF(OR(I3032="En cours",I3032="À venir",I3032="À planifier"),IF(AND(OR($C$3="Tous",$C$3="",C3032=$C$3),OR($E$3="Tous",$E$3="",I3032=$E$3)),1,0),0)))</f>
        <v>0</v>
      </c>
      <c r="L3032" s="104" t="n">
        <f aca="false">L3031+K3032</f>
        <v>19</v>
      </c>
    </row>
    <row r="3033" customFormat="false" ht="15" hidden="true" customHeight="true" outlineLevel="0" collapsed="false">
      <c r="F3033" s="116"/>
      <c r="G3033" s="116"/>
      <c r="K3033" s="104" t="n">
        <f aca="false">IF(A3033="",0,IF(IFERROR(VLOOKUP(A3033,Skills!$A:$M,13,FALSE()),"")="COS",0,IF(OR(I3033="En cours",I3033="À venir",I3033="À planifier"),IF(AND(OR($C$3="Tous",$C$3="",C3033=$C$3),OR($E$3="Tous",$E$3="",I3033=$E$3)),1,0),0)))</f>
        <v>0</v>
      </c>
      <c r="L3033" s="104" t="n">
        <f aca="false">L3032+K3033</f>
        <v>19</v>
      </c>
    </row>
    <row r="3034" customFormat="false" ht="15" hidden="true" customHeight="true" outlineLevel="0" collapsed="false">
      <c r="F3034" s="116"/>
      <c r="G3034" s="116"/>
      <c r="K3034" s="104" t="n">
        <f aca="false">IF(A3034="",0,IF(IFERROR(VLOOKUP(A3034,Skills!$A:$M,13,FALSE()),"")="COS",0,IF(OR(I3034="En cours",I3034="À venir",I3034="À planifier"),IF(AND(OR($C$3="Tous",$C$3="",C3034=$C$3),OR($E$3="Tous",$E$3="",I3034=$E$3)),1,0),0)))</f>
        <v>0</v>
      </c>
      <c r="L3034" s="104" t="n">
        <f aca="false">L3033+K3034</f>
        <v>19</v>
      </c>
    </row>
    <row r="3035" customFormat="false" ht="15" hidden="true" customHeight="true" outlineLevel="0" collapsed="false">
      <c r="F3035" s="116"/>
      <c r="G3035" s="116"/>
      <c r="K3035" s="104" t="n">
        <f aca="false">IF(A3035="",0,IF(IFERROR(VLOOKUP(A3035,Skills!$A:$M,13,FALSE()),"")="COS",0,IF(OR(I3035="En cours",I3035="À venir",I3035="À planifier"),IF(AND(OR($C$3="Tous",$C$3="",C3035=$C$3),OR($E$3="Tous",$E$3="",I3035=$E$3)),1,0),0)))</f>
        <v>0</v>
      </c>
      <c r="L3035" s="104" t="n">
        <f aca="false">L3034+K3035</f>
        <v>19</v>
      </c>
    </row>
    <row r="3036" customFormat="false" ht="15" hidden="true" customHeight="true" outlineLevel="0" collapsed="false">
      <c r="F3036" s="116"/>
      <c r="G3036" s="116"/>
      <c r="K3036" s="104" t="n">
        <f aca="false">IF(A3036="",0,IF(IFERROR(VLOOKUP(A3036,Skills!$A:$M,13,FALSE()),"")="COS",0,IF(OR(I3036="En cours",I3036="À venir",I3036="À planifier"),IF(AND(OR($C$3="Tous",$C$3="",C3036=$C$3),OR($E$3="Tous",$E$3="",I3036=$E$3)),1,0),0)))</f>
        <v>0</v>
      </c>
      <c r="L3036" s="104" t="n">
        <f aca="false">L3035+K3036</f>
        <v>19</v>
      </c>
    </row>
    <row r="3037" customFormat="false" ht="15" hidden="true" customHeight="true" outlineLevel="0" collapsed="false">
      <c r="F3037" s="116"/>
      <c r="G3037" s="116"/>
      <c r="K3037" s="104" t="n">
        <f aca="false">IF(A3037="",0,IF(IFERROR(VLOOKUP(A3037,Skills!$A:$M,13,FALSE()),"")="COS",0,IF(OR(I3037="En cours",I3037="À venir",I3037="À planifier"),IF(AND(OR($C$3="Tous",$C$3="",C3037=$C$3),OR($E$3="Tous",$E$3="",I3037=$E$3)),1,0),0)))</f>
        <v>0</v>
      </c>
      <c r="L3037" s="104" t="n">
        <f aca="false">L3036+K3037</f>
        <v>19</v>
      </c>
    </row>
    <row r="3038" customFormat="false" ht="15" hidden="true" customHeight="true" outlineLevel="0" collapsed="false">
      <c r="F3038" s="116"/>
      <c r="G3038" s="116"/>
      <c r="K3038" s="104" t="n">
        <f aca="false">IF(A3038="",0,IF(IFERROR(VLOOKUP(A3038,Skills!$A:$M,13,FALSE()),"")="COS",0,IF(OR(I3038="En cours",I3038="À venir",I3038="À planifier"),IF(AND(OR($C$3="Tous",$C$3="",C3038=$C$3),OR($E$3="Tous",$E$3="",I3038=$E$3)),1,0),0)))</f>
        <v>0</v>
      </c>
      <c r="L3038" s="104" t="n">
        <f aca="false">L3037+K3038</f>
        <v>19</v>
      </c>
    </row>
    <row r="3039" customFormat="false" ht="15" hidden="true" customHeight="true" outlineLevel="0" collapsed="false">
      <c r="F3039" s="116"/>
      <c r="G3039" s="116"/>
      <c r="K3039" s="104" t="n">
        <f aca="false">IF(A3039="",0,IF(IFERROR(VLOOKUP(A3039,Skills!$A:$M,13,FALSE()),"")="COS",0,IF(OR(I3039="En cours",I3039="À venir",I3039="À planifier"),IF(AND(OR($C$3="Tous",$C$3="",C3039=$C$3),OR($E$3="Tous",$E$3="",I3039=$E$3)),1,0),0)))</f>
        <v>0</v>
      </c>
      <c r="L3039" s="104" t="n">
        <f aca="false">L3038+K3039</f>
        <v>19</v>
      </c>
    </row>
    <row r="3040" customFormat="false" ht="15" hidden="true" customHeight="true" outlineLevel="0" collapsed="false">
      <c r="F3040" s="116"/>
      <c r="G3040" s="116"/>
      <c r="K3040" s="104" t="n">
        <f aca="false">IF(A3040="",0,IF(IFERROR(VLOOKUP(A3040,Skills!$A:$M,13,FALSE()),"")="COS",0,IF(OR(I3040="En cours",I3040="À venir",I3040="À planifier"),IF(AND(OR($C$3="Tous",$C$3="",C3040=$C$3),OR($E$3="Tous",$E$3="",I3040=$E$3)),1,0),0)))</f>
        <v>0</v>
      </c>
      <c r="L3040" s="104" t="n">
        <f aca="false">L3039+K3040</f>
        <v>19</v>
      </c>
    </row>
    <row r="3041" customFormat="false" ht="15" hidden="true" customHeight="true" outlineLevel="0" collapsed="false">
      <c r="F3041" s="116"/>
      <c r="G3041" s="116"/>
      <c r="K3041" s="104" t="n">
        <f aca="false">IF(A3041="",0,IF(IFERROR(VLOOKUP(A3041,Skills!$A:$M,13,FALSE()),"")="COS",0,IF(OR(I3041="En cours",I3041="À venir",I3041="À planifier"),IF(AND(OR($C$3="Tous",$C$3="",C3041=$C$3),OR($E$3="Tous",$E$3="",I3041=$E$3)),1,0),0)))</f>
        <v>0</v>
      </c>
      <c r="L3041" s="104" t="n">
        <f aca="false">L3040+K3041</f>
        <v>19</v>
      </c>
    </row>
    <row r="3042" customFormat="false" ht="15" hidden="true" customHeight="true" outlineLevel="0" collapsed="false">
      <c r="F3042" s="116"/>
      <c r="G3042" s="116"/>
      <c r="K3042" s="104" t="n">
        <f aca="false">IF(A3042="",0,IF(IFERROR(VLOOKUP(A3042,Skills!$A:$M,13,FALSE()),"")="COS",0,IF(OR(I3042="En cours",I3042="À venir",I3042="À planifier"),IF(AND(OR($C$3="Tous",$C$3="",C3042=$C$3),OR($E$3="Tous",$E$3="",I3042=$E$3)),1,0),0)))</f>
        <v>0</v>
      </c>
      <c r="L3042" s="104" t="n">
        <f aca="false">L3041+K3042</f>
        <v>19</v>
      </c>
    </row>
    <row r="3043" customFormat="false" ht="15" hidden="true" customHeight="true" outlineLevel="0" collapsed="false">
      <c r="F3043" s="116"/>
      <c r="G3043" s="116"/>
      <c r="K3043" s="104" t="n">
        <f aca="false">IF(A3043="",0,IF(IFERROR(VLOOKUP(A3043,Skills!$A:$M,13,FALSE()),"")="COS",0,IF(OR(I3043="En cours",I3043="À venir",I3043="À planifier"),IF(AND(OR($C$3="Tous",$C$3="",C3043=$C$3),OR($E$3="Tous",$E$3="",I3043=$E$3)),1,0),0)))</f>
        <v>0</v>
      </c>
      <c r="L3043" s="104" t="n">
        <f aca="false">L3042+K3043</f>
        <v>19</v>
      </c>
    </row>
    <row r="3044" customFormat="false" ht="15" hidden="true" customHeight="true" outlineLevel="0" collapsed="false">
      <c r="F3044" s="116"/>
      <c r="G3044" s="116"/>
      <c r="K3044" s="104" t="n">
        <f aca="false">IF(A3044="",0,IF(IFERROR(VLOOKUP(A3044,Skills!$A:$M,13,FALSE()),"")="COS",0,IF(OR(I3044="En cours",I3044="À venir",I3044="À planifier"),IF(AND(OR($C$3="Tous",$C$3="",C3044=$C$3),OR($E$3="Tous",$E$3="",I3044=$E$3)),1,0),0)))</f>
        <v>0</v>
      </c>
      <c r="L3044" s="104" t="n">
        <f aca="false">L3043+K3044</f>
        <v>19</v>
      </c>
    </row>
    <row r="3045" customFormat="false" ht="15" hidden="true" customHeight="true" outlineLevel="0" collapsed="false">
      <c r="F3045" s="116"/>
      <c r="G3045" s="116"/>
      <c r="K3045" s="104" t="n">
        <f aca="false">IF(A3045="",0,IF(IFERROR(VLOOKUP(A3045,Skills!$A:$M,13,FALSE()),"")="COS",0,IF(OR(I3045="En cours",I3045="À venir",I3045="À planifier"),IF(AND(OR($C$3="Tous",$C$3="",C3045=$C$3),OR($E$3="Tous",$E$3="",I3045=$E$3)),1,0),0)))</f>
        <v>0</v>
      </c>
      <c r="L3045" s="104" t="n">
        <f aca="false">L3044+K3045</f>
        <v>19</v>
      </c>
    </row>
    <row r="3046" customFormat="false" ht="15" hidden="true" customHeight="true" outlineLevel="0" collapsed="false">
      <c r="F3046" s="116"/>
      <c r="G3046" s="116"/>
      <c r="K3046" s="104" t="n">
        <f aca="false">IF(A3046="",0,IF(IFERROR(VLOOKUP(A3046,Skills!$A:$M,13,FALSE()),"")="COS",0,IF(OR(I3046="En cours",I3046="À venir",I3046="À planifier"),IF(AND(OR($C$3="Tous",$C$3="",C3046=$C$3),OR($E$3="Tous",$E$3="",I3046=$E$3)),1,0),0)))</f>
        <v>0</v>
      </c>
      <c r="L3046" s="104" t="n">
        <f aca="false">L3045+K3046</f>
        <v>19</v>
      </c>
    </row>
    <row r="3047" customFormat="false" ht="15" hidden="true" customHeight="true" outlineLevel="0" collapsed="false">
      <c r="F3047" s="116"/>
      <c r="G3047" s="116"/>
      <c r="K3047" s="104" t="n">
        <f aca="false">IF(A3047="",0,IF(IFERROR(VLOOKUP(A3047,Skills!$A:$M,13,FALSE()),"")="COS",0,IF(OR(I3047="En cours",I3047="À venir",I3047="À planifier"),IF(AND(OR($C$3="Tous",$C$3="",C3047=$C$3),OR($E$3="Tous",$E$3="",I3047=$E$3)),1,0),0)))</f>
        <v>0</v>
      </c>
      <c r="L3047" s="104" t="n">
        <f aca="false">L3046+K3047</f>
        <v>19</v>
      </c>
    </row>
    <row r="3048" customFormat="false" ht="15" hidden="true" customHeight="true" outlineLevel="0" collapsed="false">
      <c r="F3048" s="116"/>
      <c r="G3048" s="116"/>
      <c r="K3048" s="104" t="n">
        <f aca="false">IF(A3048="",0,IF(IFERROR(VLOOKUP(A3048,Skills!$A:$M,13,FALSE()),"")="COS",0,IF(OR(I3048="En cours",I3048="À venir",I3048="À planifier"),IF(AND(OR($C$3="Tous",$C$3="",C3048=$C$3),OR($E$3="Tous",$E$3="",I3048=$E$3)),1,0),0)))</f>
        <v>0</v>
      </c>
      <c r="L3048" s="104" t="n">
        <f aca="false">L3047+K3048</f>
        <v>19</v>
      </c>
    </row>
    <row r="3049" customFormat="false" ht="15" hidden="true" customHeight="true" outlineLevel="0" collapsed="false">
      <c r="F3049" s="116"/>
      <c r="G3049" s="116"/>
      <c r="K3049" s="104" t="n">
        <f aca="false">IF(A3049="",0,IF(IFERROR(VLOOKUP(A3049,Skills!$A:$M,13,FALSE()),"")="COS",0,IF(OR(I3049="En cours",I3049="À venir",I3049="À planifier"),IF(AND(OR($C$3="Tous",$C$3="",C3049=$C$3),OR($E$3="Tous",$E$3="",I3049=$E$3)),1,0),0)))</f>
        <v>0</v>
      </c>
      <c r="L3049" s="104" t="n">
        <f aca="false">L3048+K3049</f>
        <v>19</v>
      </c>
    </row>
    <row r="3050" customFormat="false" ht="15" hidden="true" customHeight="true" outlineLevel="0" collapsed="false">
      <c r="F3050" s="116"/>
      <c r="G3050" s="116"/>
      <c r="K3050" s="104" t="n">
        <f aca="false">IF(A3050="",0,IF(IFERROR(VLOOKUP(A3050,Skills!$A:$M,13,FALSE()),"")="COS",0,IF(OR(I3050="En cours",I3050="À venir",I3050="À planifier"),IF(AND(OR($C$3="Tous",$C$3="",C3050=$C$3),OR($E$3="Tous",$E$3="",I3050=$E$3)),1,0),0)))</f>
        <v>0</v>
      </c>
      <c r="L3050" s="104" t="n">
        <f aca="false">L3049+K3050</f>
        <v>19</v>
      </c>
    </row>
    <row r="3051" customFormat="false" ht="15" hidden="true" customHeight="true" outlineLevel="0" collapsed="false">
      <c r="F3051" s="116"/>
      <c r="G3051" s="116"/>
      <c r="K3051" s="104" t="n">
        <f aca="false">IF(A3051="",0,IF(IFERROR(VLOOKUP(A3051,Skills!$A:$M,13,FALSE()),"")="COS",0,IF(OR(I3051="En cours",I3051="À venir",I3051="À planifier"),IF(AND(OR($C$3="Tous",$C$3="",C3051=$C$3),OR($E$3="Tous",$E$3="",I3051=$E$3)),1,0),0)))</f>
        <v>0</v>
      </c>
      <c r="L3051" s="104" t="n">
        <f aca="false">L3050+K3051</f>
        <v>19</v>
      </c>
    </row>
    <row r="3052" customFormat="false" ht="15" hidden="true" customHeight="true" outlineLevel="0" collapsed="false">
      <c r="F3052" s="116"/>
      <c r="G3052" s="116"/>
      <c r="K3052" s="104" t="n">
        <f aca="false">IF(A3052="",0,IF(IFERROR(VLOOKUP(A3052,Skills!$A:$M,13,FALSE()),"")="COS",0,IF(OR(I3052="En cours",I3052="À venir",I3052="À planifier"),IF(AND(OR($C$3="Tous",$C$3="",C3052=$C$3),OR($E$3="Tous",$E$3="",I3052=$E$3)),1,0),0)))</f>
        <v>0</v>
      </c>
      <c r="L3052" s="104" t="n">
        <f aca="false">L3051+K3052</f>
        <v>19</v>
      </c>
    </row>
    <row r="3053" customFormat="false" ht="15" hidden="true" customHeight="true" outlineLevel="0" collapsed="false">
      <c r="F3053" s="116"/>
      <c r="G3053" s="116"/>
      <c r="K3053" s="104" t="n">
        <f aca="false">IF(A3053="",0,IF(IFERROR(VLOOKUP(A3053,Skills!$A:$M,13,FALSE()),"")="COS",0,IF(OR(I3053="En cours",I3053="À venir",I3053="À planifier"),IF(AND(OR($C$3="Tous",$C$3="",C3053=$C$3),OR($E$3="Tous",$E$3="",I3053=$E$3)),1,0),0)))</f>
        <v>0</v>
      </c>
      <c r="L3053" s="104" t="n">
        <f aca="false">L3052+K3053</f>
        <v>19</v>
      </c>
    </row>
    <row r="3054" customFormat="false" ht="15" hidden="true" customHeight="true" outlineLevel="0" collapsed="false">
      <c r="F3054" s="116"/>
      <c r="G3054" s="116"/>
      <c r="K3054" s="104" t="n">
        <f aca="false">IF(A3054="",0,IF(IFERROR(VLOOKUP(A3054,Skills!$A:$M,13,FALSE()),"")="COS",0,IF(OR(I3054="En cours",I3054="À venir",I3054="À planifier"),IF(AND(OR($C$3="Tous",$C$3="",C3054=$C$3),OR($E$3="Tous",$E$3="",I3054=$E$3)),1,0),0)))</f>
        <v>0</v>
      </c>
      <c r="L3054" s="104" t="n">
        <f aca="false">L3053+K3054</f>
        <v>19</v>
      </c>
    </row>
    <row r="3055" customFormat="false" ht="15" hidden="true" customHeight="true" outlineLevel="0" collapsed="false">
      <c r="F3055" s="116"/>
      <c r="G3055" s="116"/>
      <c r="K3055" s="104" t="n">
        <f aca="false">IF(A3055="",0,IF(IFERROR(VLOOKUP(A3055,Skills!$A:$M,13,FALSE()),"")="COS",0,IF(OR(I3055="En cours",I3055="À venir",I3055="À planifier"),IF(AND(OR($C$3="Tous",$C$3="",C3055=$C$3),OR($E$3="Tous",$E$3="",I3055=$E$3)),1,0),0)))</f>
        <v>0</v>
      </c>
      <c r="L3055" s="104" t="n">
        <f aca="false">L3054+K3055</f>
        <v>19</v>
      </c>
    </row>
    <row r="3056" customFormat="false" ht="15" hidden="true" customHeight="true" outlineLevel="0" collapsed="false">
      <c r="F3056" s="116"/>
      <c r="G3056" s="116"/>
      <c r="K3056" s="104" t="n">
        <f aca="false">IF(A3056="",0,IF(IFERROR(VLOOKUP(A3056,Skills!$A:$M,13,FALSE()),"")="COS",0,IF(OR(I3056="En cours",I3056="À venir",I3056="À planifier"),IF(AND(OR($C$3="Tous",$C$3="",C3056=$C$3),OR($E$3="Tous",$E$3="",I3056=$E$3)),1,0),0)))</f>
        <v>0</v>
      </c>
      <c r="L3056" s="104" t="n">
        <f aca="false">L3055+K3056</f>
        <v>19</v>
      </c>
    </row>
    <row r="3057" customFormat="false" ht="15" hidden="true" customHeight="true" outlineLevel="0" collapsed="false">
      <c r="F3057" s="116"/>
      <c r="G3057" s="116"/>
      <c r="K3057" s="104" t="n">
        <f aca="false">IF(A3057="",0,IF(IFERROR(VLOOKUP(A3057,Skills!$A:$M,13,FALSE()),"")="COS",0,IF(OR(I3057="En cours",I3057="À venir",I3057="À planifier"),IF(AND(OR($C$3="Tous",$C$3="",C3057=$C$3),OR($E$3="Tous",$E$3="",I3057=$E$3)),1,0),0)))</f>
        <v>0</v>
      </c>
      <c r="L3057" s="104" t="n">
        <f aca="false">L3056+K3057</f>
        <v>19</v>
      </c>
    </row>
    <row r="3058" customFormat="false" ht="15" hidden="true" customHeight="true" outlineLevel="0" collapsed="false">
      <c r="F3058" s="116"/>
      <c r="G3058" s="116"/>
      <c r="K3058" s="104" t="n">
        <f aca="false">IF(A3058="",0,IF(IFERROR(VLOOKUP(A3058,Skills!$A:$M,13,FALSE()),"")="COS",0,IF(OR(I3058="En cours",I3058="À venir",I3058="À planifier"),IF(AND(OR($C$3="Tous",$C$3="",C3058=$C$3),OR($E$3="Tous",$E$3="",I3058=$E$3)),1,0),0)))</f>
        <v>0</v>
      </c>
      <c r="L3058" s="104" t="n">
        <f aca="false">L3057+K3058</f>
        <v>19</v>
      </c>
    </row>
    <row r="3059" customFormat="false" ht="15" hidden="true" customHeight="true" outlineLevel="0" collapsed="false">
      <c r="F3059" s="116"/>
      <c r="G3059" s="116"/>
      <c r="K3059" s="104" t="n">
        <f aca="false">IF(A3059="",0,IF(IFERROR(VLOOKUP(A3059,Skills!$A:$M,13,FALSE()),"")="COS",0,IF(OR(I3059="En cours",I3059="À venir",I3059="À planifier"),IF(AND(OR($C$3="Tous",$C$3="",C3059=$C$3),OR($E$3="Tous",$E$3="",I3059=$E$3)),1,0),0)))</f>
        <v>0</v>
      </c>
      <c r="L3059" s="104" t="n">
        <f aca="false">L3058+K3059</f>
        <v>19</v>
      </c>
    </row>
    <row r="3060" customFormat="false" ht="15" hidden="true" customHeight="true" outlineLevel="0" collapsed="false">
      <c r="F3060" s="116"/>
      <c r="G3060" s="116"/>
      <c r="K3060" s="104" t="n">
        <f aca="false">IF(A3060="",0,IF(IFERROR(VLOOKUP(A3060,Skills!$A:$M,13,FALSE()),"")="COS",0,IF(OR(I3060="En cours",I3060="À venir",I3060="À planifier"),IF(AND(OR($C$3="Tous",$C$3="",C3060=$C$3),OR($E$3="Tous",$E$3="",I3060=$E$3)),1,0),0)))</f>
        <v>0</v>
      </c>
      <c r="L3060" s="104" t="n">
        <f aca="false">L3059+K3060</f>
        <v>19</v>
      </c>
    </row>
    <row r="3061" customFormat="false" ht="15" hidden="true" customHeight="true" outlineLevel="0" collapsed="false">
      <c r="F3061" s="116"/>
      <c r="G3061" s="116"/>
      <c r="K3061" s="104" t="n">
        <f aca="false">IF(A3061="",0,IF(IFERROR(VLOOKUP(A3061,Skills!$A:$M,13,FALSE()),"")="COS",0,IF(OR(I3061="En cours",I3061="À venir",I3061="À planifier"),IF(AND(OR($C$3="Tous",$C$3="",C3061=$C$3),OR($E$3="Tous",$E$3="",I3061=$E$3)),1,0),0)))</f>
        <v>0</v>
      </c>
      <c r="L3061" s="104" t="n">
        <f aca="false">L3060+K3061</f>
        <v>19</v>
      </c>
    </row>
    <row r="3062" customFormat="false" ht="15" hidden="true" customHeight="true" outlineLevel="0" collapsed="false">
      <c r="F3062" s="116"/>
      <c r="G3062" s="116"/>
      <c r="K3062" s="104" t="n">
        <f aca="false">IF(A3062="",0,IF(IFERROR(VLOOKUP(A3062,Skills!$A:$M,13,FALSE()),"")="COS",0,IF(OR(I3062="En cours",I3062="À venir",I3062="À planifier"),IF(AND(OR($C$3="Tous",$C$3="",C3062=$C$3),OR($E$3="Tous",$E$3="",I3062=$E$3)),1,0),0)))</f>
        <v>0</v>
      </c>
      <c r="L3062" s="104" t="n">
        <f aca="false">L3061+K3062</f>
        <v>19</v>
      </c>
    </row>
    <row r="3063" customFormat="false" ht="15" hidden="true" customHeight="true" outlineLevel="0" collapsed="false">
      <c r="F3063" s="116"/>
      <c r="G3063" s="116"/>
      <c r="K3063" s="104" t="n">
        <f aca="false">IF(A3063="",0,IF(IFERROR(VLOOKUP(A3063,Skills!$A:$M,13,FALSE()),"")="COS",0,IF(OR(I3063="En cours",I3063="À venir",I3063="À planifier"),IF(AND(OR($C$3="Tous",$C$3="",C3063=$C$3),OR($E$3="Tous",$E$3="",I3063=$E$3)),1,0),0)))</f>
        <v>0</v>
      </c>
      <c r="L3063" s="104" t="n">
        <f aca="false">L3062+K3063</f>
        <v>19</v>
      </c>
    </row>
    <row r="3064" customFormat="false" ht="15" hidden="true" customHeight="true" outlineLevel="0" collapsed="false">
      <c r="F3064" s="116"/>
      <c r="G3064" s="116"/>
      <c r="K3064" s="104" t="n">
        <f aca="false">IF(A3064="",0,IF(IFERROR(VLOOKUP(A3064,Skills!$A:$M,13,FALSE()),"")="COS",0,IF(OR(I3064="En cours",I3064="À venir",I3064="À planifier"),IF(AND(OR($C$3="Tous",$C$3="",C3064=$C$3),OR($E$3="Tous",$E$3="",I3064=$E$3)),1,0),0)))</f>
        <v>0</v>
      </c>
      <c r="L3064" s="104" t="n">
        <f aca="false">L3063+K3064</f>
        <v>19</v>
      </c>
    </row>
    <row r="3065" customFormat="false" ht="15" hidden="true" customHeight="true" outlineLevel="0" collapsed="false">
      <c r="F3065" s="116"/>
      <c r="G3065" s="116"/>
      <c r="K3065" s="104" t="n">
        <f aca="false">IF(A3065="",0,IF(IFERROR(VLOOKUP(A3065,Skills!$A:$M,13,FALSE()),"")="COS",0,IF(OR(I3065="En cours",I3065="À venir",I3065="À planifier"),IF(AND(OR($C$3="Tous",$C$3="",C3065=$C$3),OR($E$3="Tous",$E$3="",I3065=$E$3)),1,0),0)))</f>
        <v>0</v>
      </c>
      <c r="L3065" s="104" t="n">
        <f aca="false">L3064+K3065</f>
        <v>19</v>
      </c>
    </row>
    <row r="3066" customFormat="false" ht="15" hidden="true" customHeight="true" outlineLevel="0" collapsed="false">
      <c r="F3066" s="116"/>
      <c r="G3066" s="116"/>
      <c r="K3066" s="104" t="n">
        <f aca="false">IF(A3066="",0,IF(IFERROR(VLOOKUP(A3066,Skills!$A:$M,13,FALSE()),"")="COS",0,IF(OR(I3066="En cours",I3066="À venir",I3066="À planifier"),IF(AND(OR($C$3="Tous",$C$3="",C3066=$C$3),OR($E$3="Tous",$E$3="",I3066=$E$3)),1,0),0)))</f>
        <v>0</v>
      </c>
      <c r="L3066" s="104" t="n">
        <f aca="false">L3065+K3066</f>
        <v>19</v>
      </c>
    </row>
    <row r="3067" customFormat="false" ht="15" hidden="true" customHeight="true" outlineLevel="0" collapsed="false">
      <c r="F3067" s="116"/>
      <c r="G3067" s="116"/>
      <c r="K3067" s="104" t="n">
        <f aca="false">IF(A3067="",0,IF(IFERROR(VLOOKUP(A3067,Skills!$A:$M,13,FALSE()),"")="COS",0,IF(OR(I3067="En cours",I3067="À venir",I3067="À planifier"),IF(AND(OR($C$3="Tous",$C$3="",C3067=$C$3),OR($E$3="Tous",$E$3="",I3067=$E$3)),1,0),0)))</f>
        <v>0</v>
      </c>
      <c r="L3067" s="104" t="n">
        <f aca="false">L3066+K3067</f>
        <v>19</v>
      </c>
    </row>
    <row r="3068" customFormat="false" ht="15" hidden="true" customHeight="true" outlineLevel="0" collapsed="false">
      <c r="F3068" s="116"/>
      <c r="G3068" s="116"/>
      <c r="K3068" s="104" t="n">
        <f aca="false">IF(A3068="",0,IF(IFERROR(VLOOKUP(A3068,Skills!$A:$M,13,FALSE()),"")="COS",0,IF(OR(I3068="En cours",I3068="À venir",I3068="À planifier"),IF(AND(OR($C$3="Tous",$C$3="",C3068=$C$3),OR($E$3="Tous",$E$3="",I3068=$E$3)),1,0),0)))</f>
        <v>0</v>
      </c>
      <c r="L3068" s="104" t="n">
        <f aca="false">L3067+K3068</f>
        <v>19</v>
      </c>
    </row>
    <row r="3069" customFormat="false" ht="15" hidden="true" customHeight="true" outlineLevel="0" collapsed="false">
      <c r="F3069" s="116"/>
      <c r="G3069" s="116"/>
      <c r="K3069" s="104" t="n">
        <f aca="false">IF(A3069="",0,IF(IFERROR(VLOOKUP(A3069,Skills!$A:$M,13,FALSE()),"")="COS",0,IF(OR(I3069="En cours",I3069="À venir",I3069="À planifier"),IF(AND(OR($C$3="Tous",$C$3="",C3069=$C$3),OR($E$3="Tous",$E$3="",I3069=$E$3)),1,0),0)))</f>
        <v>0</v>
      </c>
      <c r="L3069" s="104" t="n">
        <f aca="false">L3068+K3069</f>
        <v>19</v>
      </c>
    </row>
    <row r="3070" customFormat="false" ht="15" hidden="true" customHeight="true" outlineLevel="0" collapsed="false">
      <c r="F3070" s="116"/>
      <c r="G3070" s="116"/>
      <c r="K3070" s="104" t="n">
        <f aca="false">IF(A3070="",0,IF(IFERROR(VLOOKUP(A3070,Skills!$A:$M,13,FALSE()),"")="COS",0,IF(OR(I3070="En cours",I3070="À venir",I3070="À planifier"),IF(AND(OR($C$3="Tous",$C$3="",C3070=$C$3),OR($E$3="Tous",$E$3="",I3070=$E$3)),1,0),0)))</f>
        <v>0</v>
      </c>
      <c r="L3070" s="104" t="n">
        <f aca="false">L3069+K3070</f>
        <v>19</v>
      </c>
    </row>
    <row r="3071" customFormat="false" ht="15" hidden="true" customHeight="true" outlineLevel="0" collapsed="false">
      <c r="F3071" s="116"/>
      <c r="G3071" s="116"/>
      <c r="K3071" s="104" t="n">
        <f aca="false">IF(A3071="",0,IF(IFERROR(VLOOKUP(A3071,Skills!$A:$M,13,FALSE()),"")="COS",0,IF(OR(I3071="En cours",I3071="À venir",I3071="À planifier"),IF(AND(OR($C$3="Tous",$C$3="",C3071=$C$3),OR($E$3="Tous",$E$3="",I3071=$E$3)),1,0),0)))</f>
        <v>0</v>
      </c>
      <c r="L3071" s="104" t="n">
        <f aca="false">L3070+K3071</f>
        <v>19</v>
      </c>
    </row>
    <row r="3072" customFormat="false" ht="15" hidden="true" customHeight="true" outlineLevel="0" collapsed="false">
      <c r="F3072" s="116"/>
      <c r="G3072" s="116"/>
      <c r="K3072" s="104" t="n">
        <f aca="false">IF(A3072="",0,IF(IFERROR(VLOOKUP(A3072,Skills!$A:$M,13,FALSE()),"")="COS",0,IF(OR(I3072="En cours",I3072="À venir",I3072="À planifier"),IF(AND(OR($C$3="Tous",$C$3="",C3072=$C$3),OR($E$3="Tous",$E$3="",I3072=$E$3)),1,0),0)))</f>
        <v>0</v>
      </c>
      <c r="L3072" s="104" t="n">
        <f aca="false">L3071+K3072</f>
        <v>19</v>
      </c>
    </row>
    <row r="3073" customFormat="false" ht="15" hidden="true" customHeight="true" outlineLevel="0" collapsed="false">
      <c r="F3073" s="116"/>
      <c r="G3073" s="116"/>
      <c r="K3073" s="104" t="n">
        <f aca="false">IF(A3073="",0,IF(IFERROR(VLOOKUP(A3073,Skills!$A:$M,13,FALSE()),"")="COS",0,IF(OR(I3073="En cours",I3073="À venir",I3073="À planifier"),IF(AND(OR($C$3="Tous",$C$3="",C3073=$C$3),OR($E$3="Tous",$E$3="",I3073=$E$3)),1,0),0)))</f>
        <v>0</v>
      </c>
      <c r="L3073" s="104" t="n">
        <f aca="false">L3072+K3073</f>
        <v>19</v>
      </c>
    </row>
    <row r="3074" customFormat="false" ht="15" hidden="true" customHeight="true" outlineLevel="0" collapsed="false">
      <c r="F3074" s="116"/>
      <c r="G3074" s="116"/>
      <c r="K3074" s="104" t="n">
        <f aca="false">IF(A3074="",0,IF(IFERROR(VLOOKUP(A3074,Skills!$A:$M,13,FALSE()),"")="COS",0,IF(OR(I3074="En cours",I3074="À venir",I3074="À planifier"),IF(AND(OR($C$3="Tous",$C$3="",C3074=$C$3),OR($E$3="Tous",$E$3="",I3074=$E$3)),1,0),0)))</f>
        <v>0</v>
      </c>
      <c r="L3074" s="104" t="n">
        <f aca="false">L3073+K3074</f>
        <v>19</v>
      </c>
    </row>
    <row r="3075" customFormat="false" ht="15" hidden="true" customHeight="true" outlineLevel="0" collapsed="false">
      <c r="F3075" s="116"/>
      <c r="G3075" s="116"/>
      <c r="K3075" s="104" t="n">
        <f aca="false">IF(A3075="",0,IF(IFERROR(VLOOKUP(A3075,Skills!$A:$M,13,FALSE()),"")="COS",0,IF(OR(I3075="En cours",I3075="À venir",I3075="À planifier"),IF(AND(OR($C$3="Tous",$C$3="",C3075=$C$3),OR($E$3="Tous",$E$3="",I3075=$E$3)),1,0),0)))</f>
        <v>0</v>
      </c>
      <c r="L3075" s="104" t="n">
        <f aca="false">L3074+K3075</f>
        <v>19</v>
      </c>
    </row>
    <row r="3076" customFormat="false" ht="15" hidden="true" customHeight="true" outlineLevel="0" collapsed="false">
      <c r="F3076" s="116"/>
      <c r="G3076" s="116"/>
      <c r="K3076" s="104" t="n">
        <f aca="false">IF(A3076="",0,IF(IFERROR(VLOOKUP(A3076,Skills!$A:$M,13,FALSE()),"")="COS",0,IF(OR(I3076="En cours",I3076="À venir",I3076="À planifier"),IF(AND(OR($C$3="Tous",$C$3="",C3076=$C$3),OR($E$3="Tous",$E$3="",I3076=$E$3)),1,0),0)))</f>
        <v>0</v>
      </c>
      <c r="L3076" s="104" t="n">
        <f aca="false">L3075+K3076</f>
        <v>19</v>
      </c>
    </row>
    <row r="3077" customFormat="false" ht="15" hidden="true" customHeight="true" outlineLevel="0" collapsed="false">
      <c r="F3077" s="116"/>
      <c r="G3077" s="116"/>
      <c r="K3077" s="104" t="n">
        <f aca="false">IF(A3077="",0,IF(IFERROR(VLOOKUP(A3077,Skills!$A:$M,13,FALSE()),"")="COS",0,IF(OR(I3077="En cours",I3077="À venir",I3077="À planifier"),IF(AND(OR($C$3="Tous",$C$3="",C3077=$C$3),OR($E$3="Tous",$E$3="",I3077=$E$3)),1,0),0)))</f>
        <v>0</v>
      </c>
      <c r="L3077" s="104" t="n">
        <f aca="false">L3076+K3077</f>
        <v>19</v>
      </c>
    </row>
    <row r="3078" customFormat="false" ht="15" hidden="true" customHeight="true" outlineLevel="0" collapsed="false">
      <c r="F3078" s="116"/>
      <c r="G3078" s="116"/>
      <c r="K3078" s="104" t="n">
        <f aca="false">IF(A3078="",0,IF(IFERROR(VLOOKUP(A3078,Skills!$A:$M,13,FALSE()),"")="COS",0,IF(OR(I3078="En cours",I3078="À venir",I3078="À planifier"),IF(AND(OR($C$3="Tous",$C$3="",C3078=$C$3),OR($E$3="Tous",$E$3="",I3078=$E$3)),1,0),0)))</f>
        <v>0</v>
      </c>
      <c r="L3078" s="104" t="n">
        <f aca="false">L3077+K3078</f>
        <v>19</v>
      </c>
    </row>
    <row r="3079" customFormat="false" ht="15" hidden="true" customHeight="true" outlineLevel="0" collapsed="false">
      <c r="F3079" s="116"/>
      <c r="G3079" s="116"/>
      <c r="K3079" s="104" t="n">
        <f aca="false">IF(A3079="",0,IF(IFERROR(VLOOKUP(A3079,Skills!$A:$M,13,FALSE()),"")="COS",0,IF(OR(I3079="En cours",I3079="À venir",I3079="À planifier"),IF(AND(OR($C$3="Tous",$C$3="",C3079=$C$3),OR($E$3="Tous",$E$3="",I3079=$E$3)),1,0),0)))</f>
        <v>0</v>
      </c>
      <c r="L3079" s="104" t="n">
        <f aca="false">L3078+K3079</f>
        <v>19</v>
      </c>
    </row>
    <row r="3080" customFormat="false" ht="15" hidden="true" customHeight="true" outlineLevel="0" collapsed="false">
      <c r="F3080" s="116"/>
      <c r="G3080" s="116"/>
      <c r="K3080" s="104" t="n">
        <f aca="false">IF(A3080="",0,IF(IFERROR(VLOOKUP(A3080,Skills!$A:$M,13,FALSE()),"")="COS",0,IF(OR(I3080="En cours",I3080="À venir",I3080="À planifier"),IF(AND(OR($C$3="Tous",$C$3="",C3080=$C$3),OR($E$3="Tous",$E$3="",I3080=$E$3)),1,0),0)))</f>
        <v>0</v>
      </c>
      <c r="L3080" s="104" t="n">
        <f aca="false">L3079+K3080</f>
        <v>19</v>
      </c>
    </row>
    <row r="3081" customFormat="false" ht="15" hidden="true" customHeight="true" outlineLevel="0" collapsed="false">
      <c r="F3081" s="116"/>
      <c r="G3081" s="116"/>
      <c r="K3081" s="104" t="n">
        <f aca="false">IF(A3081="",0,IF(IFERROR(VLOOKUP(A3081,Skills!$A:$M,13,FALSE()),"")="COS",0,IF(OR(I3081="En cours",I3081="À venir",I3081="À planifier"),IF(AND(OR($C$3="Tous",$C$3="",C3081=$C$3),OR($E$3="Tous",$E$3="",I3081=$E$3)),1,0),0)))</f>
        <v>0</v>
      </c>
      <c r="L3081" s="104" t="n">
        <f aca="false">L3080+K3081</f>
        <v>19</v>
      </c>
    </row>
    <row r="3082" customFormat="false" ht="15" hidden="true" customHeight="true" outlineLevel="0" collapsed="false">
      <c r="F3082" s="116"/>
      <c r="G3082" s="116"/>
      <c r="K3082" s="104" t="n">
        <f aca="false">IF(A3082="",0,IF(IFERROR(VLOOKUP(A3082,Skills!$A:$M,13,FALSE()),"")="COS",0,IF(OR(I3082="En cours",I3082="À venir",I3082="À planifier"),IF(AND(OR($C$3="Tous",$C$3="",C3082=$C$3),OR($E$3="Tous",$E$3="",I3082=$E$3)),1,0),0)))</f>
        <v>0</v>
      </c>
      <c r="L3082" s="104" t="n">
        <f aca="false">L3081+K3082</f>
        <v>19</v>
      </c>
    </row>
    <row r="3083" customFormat="false" ht="15" hidden="true" customHeight="true" outlineLevel="0" collapsed="false">
      <c r="F3083" s="116"/>
      <c r="G3083" s="116"/>
      <c r="K3083" s="104" t="n">
        <f aca="false">IF(A3083="",0,IF(IFERROR(VLOOKUP(A3083,Skills!$A:$M,13,FALSE()),"")="COS",0,IF(OR(I3083="En cours",I3083="À venir",I3083="À planifier"),IF(AND(OR($C$3="Tous",$C$3="",C3083=$C$3),OR($E$3="Tous",$E$3="",I3083=$E$3)),1,0),0)))</f>
        <v>0</v>
      </c>
      <c r="L3083" s="104" t="n">
        <f aca="false">L3082+K3083</f>
        <v>19</v>
      </c>
    </row>
    <row r="3084" customFormat="false" ht="15" hidden="true" customHeight="true" outlineLevel="0" collapsed="false">
      <c r="F3084" s="116"/>
      <c r="G3084" s="116"/>
      <c r="K3084" s="104" t="n">
        <f aca="false">IF(A3084="",0,IF(IFERROR(VLOOKUP(A3084,Skills!$A:$M,13,FALSE()),"")="COS",0,IF(OR(I3084="En cours",I3084="À venir",I3084="À planifier"),IF(AND(OR($C$3="Tous",$C$3="",C3084=$C$3),OR($E$3="Tous",$E$3="",I3084=$E$3)),1,0),0)))</f>
        <v>0</v>
      </c>
      <c r="L3084" s="104" t="n">
        <f aca="false">L3083+K3084</f>
        <v>19</v>
      </c>
    </row>
    <row r="3085" customFormat="false" ht="15" hidden="true" customHeight="true" outlineLevel="0" collapsed="false">
      <c r="F3085" s="116"/>
      <c r="G3085" s="116"/>
      <c r="K3085" s="104" t="n">
        <f aca="false">IF(A3085="",0,IF(IFERROR(VLOOKUP(A3085,Skills!$A:$M,13,FALSE()),"")="COS",0,IF(OR(I3085="En cours",I3085="À venir",I3085="À planifier"),IF(AND(OR($C$3="Tous",$C$3="",C3085=$C$3),OR($E$3="Tous",$E$3="",I3085=$E$3)),1,0),0)))</f>
        <v>0</v>
      </c>
      <c r="L3085" s="104" t="n">
        <f aca="false">L3084+K3085</f>
        <v>19</v>
      </c>
    </row>
    <row r="3086" customFormat="false" ht="15" hidden="true" customHeight="true" outlineLevel="0" collapsed="false">
      <c r="F3086" s="116"/>
      <c r="G3086" s="116"/>
      <c r="K3086" s="104" t="n">
        <f aca="false">IF(A3086="",0,IF(IFERROR(VLOOKUP(A3086,Skills!$A:$M,13,FALSE()),"")="COS",0,IF(OR(I3086="En cours",I3086="À venir",I3086="À planifier"),IF(AND(OR($C$3="Tous",$C$3="",C3086=$C$3),OR($E$3="Tous",$E$3="",I3086=$E$3)),1,0),0)))</f>
        <v>0</v>
      </c>
      <c r="L3086" s="104" t="n">
        <f aca="false">L3085+K3086</f>
        <v>19</v>
      </c>
    </row>
    <row r="3087" customFormat="false" ht="15" hidden="true" customHeight="true" outlineLevel="0" collapsed="false">
      <c r="F3087" s="116"/>
      <c r="G3087" s="116"/>
      <c r="K3087" s="104" t="n">
        <f aca="false">IF(A3087="",0,IF(IFERROR(VLOOKUP(A3087,Skills!$A:$M,13,FALSE()),"")="COS",0,IF(OR(I3087="En cours",I3087="À venir",I3087="À planifier"),IF(AND(OR($C$3="Tous",$C$3="",C3087=$C$3),OR($E$3="Tous",$E$3="",I3087=$E$3)),1,0),0)))</f>
        <v>0</v>
      </c>
      <c r="L3087" s="104" t="n">
        <f aca="false">L3086+K3087</f>
        <v>19</v>
      </c>
    </row>
    <row r="3088" customFormat="false" ht="15" hidden="true" customHeight="true" outlineLevel="0" collapsed="false">
      <c r="F3088" s="116"/>
      <c r="G3088" s="116"/>
      <c r="K3088" s="104" t="n">
        <f aca="false">IF(A3088="",0,IF(IFERROR(VLOOKUP(A3088,Skills!$A:$M,13,FALSE()),"")="COS",0,IF(OR(I3088="En cours",I3088="À venir",I3088="À planifier"),IF(AND(OR($C$3="Tous",$C$3="",C3088=$C$3),OR($E$3="Tous",$E$3="",I3088=$E$3)),1,0),0)))</f>
        <v>0</v>
      </c>
      <c r="L3088" s="104" t="n">
        <f aca="false">L3087+K3088</f>
        <v>19</v>
      </c>
    </row>
    <row r="3089" customFormat="false" ht="15" hidden="true" customHeight="true" outlineLevel="0" collapsed="false">
      <c r="F3089" s="116"/>
      <c r="G3089" s="116"/>
      <c r="K3089" s="104" t="n">
        <f aca="false">IF(A3089="",0,IF(IFERROR(VLOOKUP(A3089,Skills!$A:$M,13,FALSE()),"")="COS",0,IF(OR(I3089="En cours",I3089="À venir",I3089="À planifier"),IF(AND(OR($C$3="Tous",$C$3="",C3089=$C$3),OR($E$3="Tous",$E$3="",I3089=$E$3)),1,0),0)))</f>
        <v>0</v>
      </c>
      <c r="L3089" s="104" t="n">
        <f aca="false">L3088+K3089</f>
        <v>19</v>
      </c>
    </row>
    <row r="3090" customFormat="false" ht="15" hidden="true" customHeight="true" outlineLevel="0" collapsed="false">
      <c r="F3090" s="116"/>
      <c r="G3090" s="116"/>
      <c r="K3090" s="104" t="n">
        <f aca="false">IF(A3090="",0,IF(IFERROR(VLOOKUP(A3090,Skills!$A:$M,13,FALSE()),"")="COS",0,IF(OR(I3090="En cours",I3090="À venir",I3090="À planifier"),IF(AND(OR($C$3="Tous",$C$3="",C3090=$C$3),OR($E$3="Tous",$E$3="",I3090=$E$3)),1,0),0)))</f>
        <v>0</v>
      </c>
      <c r="L3090" s="104" t="n">
        <f aca="false">L3089+K3090</f>
        <v>19</v>
      </c>
    </row>
    <row r="3091" customFormat="false" ht="15" hidden="true" customHeight="true" outlineLevel="0" collapsed="false">
      <c r="F3091" s="116"/>
      <c r="G3091" s="116"/>
      <c r="K3091" s="104" t="n">
        <f aca="false">IF(A3091="",0,IF(IFERROR(VLOOKUP(A3091,Skills!$A:$M,13,FALSE()),"")="COS",0,IF(OR(I3091="En cours",I3091="À venir",I3091="À planifier"),IF(AND(OR($C$3="Tous",$C$3="",C3091=$C$3),OR($E$3="Tous",$E$3="",I3091=$E$3)),1,0),0)))</f>
        <v>0</v>
      </c>
      <c r="L3091" s="104" t="n">
        <f aca="false">L3090+K3091</f>
        <v>19</v>
      </c>
    </row>
    <row r="3092" customFormat="false" ht="15" hidden="true" customHeight="true" outlineLevel="0" collapsed="false">
      <c r="F3092" s="116"/>
      <c r="G3092" s="116"/>
      <c r="K3092" s="104" t="n">
        <f aca="false">IF(A3092="",0,IF(IFERROR(VLOOKUP(A3092,Skills!$A:$M,13,FALSE()),"")="COS",0,IF(OR(I3092="En cours",I3092="À venir",I3092="À planifier"),IF(AND(OR($C$3="Tous",$C$3="",C3092=$C$3),OR($E$3="Tous",$E$3="",I3092=$E$3)),1,0),0)))</f>
        <v>0</v>
      </c>
      <c r="L3092" s="104" t="n">
        <f aca="false">L3091+K3092</f>
        <v>19</v>
      </c>
    </row>
    <row r="3093" customFormat="false" ht="15" hidden="true" customHeight="true" outlineLevel="0" collapsed="false">
      <c r="F3093" s="116"/>
      <c r="G3093" s="116"/>
      <c r="K3093" s="104" t="n">
        <f aca="false">IF(A3093="",0,IF(IFERROR(VLOOKUP(A3093,Skills!$A:$M,13,FALSE()),"")="COS",0,IF(OR(I3093="En cours",I3093="À venir",I3093="À planifier"),IF(AND(OR($C$3="Tous",$C$3="",C3093=$C$3),OR($E$3="Tous",$E$3="",I3093=$E$3)),1,0),0)))</f>
        <v>0</v>
      </c>
      <c r="L3093" s="104" t="n">
        <f aca="false">L3092+K3093</f>
        <v>19</v>
      </c>
    </row>
    <row r="3094" customFormat="false" ht="15" hidden="true" customHeight="true" outlineLevel="0" collapsed="false">
      <c r="F3094" s="116"/>
      <c r="G3094" s="116"/>
      <c r="K3094" s="104" t="n">
        <f aca="false">IF(A3094="",0,IF(IFERROR(VLOOKUP(A3094,Skills!$A:$M,13,FALSE()),"")="COS",0,IF(OR(I3094="En cours",I3094="À venir",I3094="À planifier"),IF(AND(OR($C$3="Tous",$C$3="",C3094=$C$3),OR($E$3="Tous",$E$3="",I3094=$E$3)),1,0),0)))</f>
        <v>0</v>
      </c>
      <c r="L3094" s="104" t="n">
        <f aca="false">L3093+K3094</f>
        <v>19</v>
      </c>
    </row>
    <row r="3095" customFormat="false" ht="15" hidden="true" customHeight="true" outlineLevel="0" collapsed="false">
      <c r="F3095" s="116"/>
      <c r="G3095" s="116"/>
      <c r="K3095" s="104" t="n">
        <f aca="false">IF(A3095="",0,IF(IFERROR(VLOOKUP(A3095,Skills!$A:$M,13,FALSE()),"")="COS",0,IF(OR(I3095="En cours",I3095="À venir",I3095="À planifier"),IF(AND(OR($C$3="Tous",$C$3="",C3095=$C$3),OR($E$3="Tous",$E$3="",I3095=$E$3)),1,0),0)))</f>
        <v>0</v>
      </c>
      <c r="L3095" s="104" t="n">
        <f aca="false">L3094+K3095</f>
        <v>19</v>
      </c>
    </row>
    <row r="3096" customFormat="false" ht="15" hidden="true" customHeight="true" outlineLevel="0" collapsed="false">
      <c r="F3096" s="116"/>
      <c r="G3096" s="116"/>
      <c r="K3096" s="104" t="n">
        <f aca="false">IF(A3096="",0,IF(IFERROR(VLOOKUP(A3096,Skills!$A:$M,13,FALSE()),"")="COS",0,IF(OR(I3096="En cours",I3096="À venir",I3096="À planifier"),IF(AND(OR($C$3="Tous",$C$3="",C3096=$C$3),OR($E$3="Tous",$E$3="",I3096=$E$3)),1,0),0)))</f>
        <v>0</v>
      </c>
      <c r="L3096" s="104" t="n">
        <f aca="false">L3095+K3096</f>
        <v>19</v>
      </c>
    </row>
    <row r="3097" customFormat="false" ht="15" hidden="true" customHeight="true" outlineLevel="0" collapsed="false">
      <c r="F3097" s="116"/>
      <c r="G3097" s="116"/>
      <c r="K3097" s="104" t="n">
        <f aca="false">IF(A3097="",0,IF(IFERROR(VLOOKUP(A3097,Skills!$A:$M,13,FALSE()),"")="COS",0,IF(OR(I3097="En cours",I3097="À venir",I3097="À planifier"),IF(AND(OR($C$3="Tous",$C$3="",C3097=$C$3),OR($E$3="Tous",$E$3="",I3097=$E$3)),1,0),0)))</f>
        <v>0</v>
      </c>
      <c r="L3097" s="104" t="n">
        <f aca="false">L3096+K3097</f>
        <v>19</v>
      </c>
    </row>
    <row r="3098" customFormat="false" ht="15" hidden="true" customHeight="true" outlineLevel="0" collapsed="false">
      <c r="F3098" s="116"/>
      <c r="G3098" s="116"/>
      <c r="K3098" s="104" t="n">
        <f aca="false">IF(A3098="",0,IF(IFERROR(VLOOKUP(A3098,Skills!$A:$M,13,FALSE()),"")="COS",0,IF(OR(I3098="En cours",I3098="À venir",I3098="À planifier"),IF(AND(OR($C$3="Tous",$C$3="",C3098=$C$3),OR($E$3="Tous",$E$3="",I3098=$E$3)),1,0),0)))</f>
        <v>0</v>
      </c>
      <c r="L3098" s="104" t="n">
        <f aca="false">L3097+K3098</f>
        <v>19</v>
      </c>
    </row>
    <row r="3099" customFormat="false" ht="15" hidden="true" customHeight="true" outlineLevel="0" collapsed="false">
      <c r="F3099" s="116"/>
      <c r="G3099" s="116"/>
      <c r="K3099" s="104" t="n">
        <f aca="false">IF(A3099="",0,IF(IFERROR(VLOOKUP(A3099,Skills!$A:$M,13,FALSE()),"")="COS",0,IF(OR(I3099="En cours",I3099="À venir",I3099="À planifier"),IF(AND(OR($C$3="Tous",$C$3="",C3099=$C$3),OR($E$3="Tous",$E$3="",I3099=$E$3)),1,0),0)))</f>
        <v>0</v>
      </c>
      <c r="L3099" s="104" t="n">
        <f aca="false">L3098+K3099</f>
        <v>19</v>
      </c>
    </row>
    <row r="3100" customFormat="false" ht="15" hidden="true" customHeight="true" outlineLevel="0" collapsed="false">
      <c r="F3100" s="116"/>
      <c r="G3100" s="116"/>
      <c r="K3100" s="104" t="n">
        <f aca="false">IF(A3100="",0,IF(IFERROR(VLOOKUP(A3100,Skills!$A:$M,13,FALSE()),"")="COS",0,IF(OR(I3100="En cours",I3100="À venir",I3100="À planifier"),IF(AND(OR($C$3="Tous",$C$3="",C3100=$C$3),OR($E$3="Tous",$E$3="",I3100=$E$3)),1,0),0)))</f>
        <v>0</v>
      </c>
      <c r="L3100" s="104" t="n">
        <f aca="false">L3099+K3100</f>
        <v>19</v>
      </c>
    </row>
    <row r="3101" customFormat="false" ht="15" hidden="true" customHeight="true" outlineLevel="0" collapsed="false">
      <c r="F3101" s="116"/>
      <c r="G3101" s="116"/>
      <c r="K3101" s="104" t="n">
        <f aca="false">IF(A3101="",0,IF(IFERROR(VLOOKUP(A3101,Skills!$A:$M,13,FALSE()),"")="COS",0,IF(OR(I3101="En cours",I3101="À venir",I3101="À planifier"),IF(AND(OR($C$3="Tous",$C$3="",C3101=$C$3),OR($E$3="Tous",$E$3="",I3101=$E$3)),1,0),0)))</f>
        <v>0</v>
      </c>
      <c r="L3101" s="104" t="n">
        <f aca="false">L3100+K3101</f>
        <v>19</v>
      </c>
    </row>
    <row r="3102" customFormat="false" ht="15" hidden="true" customHeight="true" outlineLevel="0" collapsed="false">
      <c r="F3102" s="116"/>
      <c r="G3102" s="116"/>
      <c r="K3102" s="104" t="n">
        <f aca="false">IF(A3102="",0,IF(IFERROR(VLOOKUP(A3102,Skills!$A:$M,13,FALSE()),"")="COS",0,IF(OR(I3102="En cours",I3102="À venir",I3102="À planifier"),IF(AND(OR($C$3="Tous",$C$3="",C3102=$C$3),OR($E$3="Tous",$E$3="",I3102=$E$3)),1,0),0)))</f>
        <v>0</v>
      </c>
      <c r="L3102" s="104" t="n">
        <f aca="false">L3101+K3102</f>
        <v>19</v>
      </c>
    </row>
    <row r="3103" customFormat="false" ht="15" hidden="true" customHeight="true" outlineLevel="0" collapsed="false">
      <c r="F3103" s="116"/>
      <c r="G3103" s="116"/>
      <c r="K3103" s="104" t="n">
        <f aca="false">IF(A3103="",0,IF(IFERROR(VLOOKUP(A3103,Skills!$A:$M,13,FALSE()),"")="COS",0,IF(OR(I3103="En cours",I3103="À venir",I3103="À planifier"),IF(AND(OR($C$3="Tous",$C$3="",C3103=$C$3),OR($E$3="Tous",$E$3="",I3103=$E$3)),1,0),0)))</f>
        <v>0</v>
      </c>
      <c r="L3103" s="104" t="n">
        <f aca="false">L3102+K3103</f>
        <v>19</v>
      </c>
    </row>
    <row r="3104" customFormat="false" ht="15" hidden="true" customHeight="true" outlineLevel="0" collapsed="false">
      <c r="F3104" s="116"/>
      <c r="G3104" s="116"/>
      <c r="K3104" s="104" t="n">
        <f aca="false">IF(A3104="",0,IF(IFERROR(VLOOKUP(A3104,Skills!$A:$M,13,FALSE()),"")="COS",0,IF(OR(I3104="En cours",I3104="À venir",I3104="À planifier"),IF(AND(OR($C$3="Tous",$C$3="",C3104=$C$3),OR($E$3="Tous",$E$3="",I3104=$E$3)),1,0),0)))</f>
        <v>0</v>
      </c>
      <c r="L3104" s="104" t="n">
        <f aca="false">L3103+K3104</f>
        <v>19</v>
      </c>
    </row>
    <row r="3105" customFormat="false" ht="15" hidden="true" customHeight="true" outlineLevel="0" collapsed="false">
      <c r="F3105" s="116"/>
      <c r="G3105" s="116"/>
      <c r="K3105" s="104" t="n">
        <f aca="false">IF(A3105="",0,IF(IFERROR(VLOOKUP(A3105,Skills!$A:$M,13,FALSE()),"")="COS",0,IF(OR(I3105="En cours",I3105="À venir",I3105="À planifier"),IF(AND(OR($C$3="Tous",$C$3="",C3105=$C$3),OR($E$3="Tous",$E$3="",I3105=$E$3)),1,0),0)))</f>
        <v>0</v>
      </c>
      <c r="L3105" s="104" t="n">
        <f aca="false">L3104+K3105</f>
        <v>19</v>
      </c>
    </row>
    <row r="3106" customFormat="false" ht="15" hidden="true" customHeight="true" outlineLevel="0" collapsed="false">
      <c r="F3106" s="116"/>
      <c r="G3106" s="116"/>
      <c r="K3106" s="104" t="n">
        <f aca="false">IF(A3106="",0,IF(IFERROR(VLOOKUP(A3106,Skills!$A:$M,13,FALSE()),"")="COS",0,IF(OR(I3106="En cours",I3106="À venir",I3106="À planifier"),IF(AND(OR($C$3="Tous",$C$3="",C3106=$C$3),OR($E$3="Tous",$E$3="",I3106=$E$3)),1,0),0)))</f>
        <v>0</v>
      </c>
      <c r="L3106" s="104" t="n">
        <f aca="false">L3105+K3106</f>
        <v>19</v>
      </c>
    </row>
    <row r="3107" customFormat="false" ht="15" hidden="true" customHeight="true" outlineLevel="0" collapsed="false">
      <c r="F3107" s="116"/>
      <c r="G3107" s="116"/>
      <c r="K3107" s="104" t="n">
        <f aca="false">IF(A3107="",0,IF(IFERROR(VLOOKUP(A3107,Skills!$A:$M,13,FALSE()),"")="COS",0,IF(OR(I3107="En cours",I3107="À venir",I3107="À planifier"),IF(AND(OR($C$3="Tous",$C$3="",C3107=$C$3),OR($E$3="Tous",$E$3="",I3107=$E$3)),1,0),0)))</f>
        <v>0</v>
      </c>
      <c r="L3107" s="104" t="n">
        <f aca="false">L3106+K3107</f>
        <v>19</v>
      </c>
    </row>
    <row r="3108" customFormat="false" ht="15" hidden="true" customHeight="true" outlineLevel="0" collapsed="false">
      <c r="F3108" s="116"/>
      <c r="G3108" s="116"/>
      <c r="K3108" s="104" t="n">
        <f aca="false">IF(A3108="",0,IF(IFERROR(VLOOKUP(A3108,Skills!$A:$M,13,FALSE()),"")="COS",0,IF(OR(I3108="En cours",I3108="À venir",I3108="À planifier"),IF(AND(OR($C$3="Tous",$C$3="",C3108=$C$3),OR($E$3="Tous",$E$3="",I3108=$E$3)),1,0),0)))</f>
        <v>0</v>
      </c>
      <c r="L3108" s="104" t="n">
        <f aca="false">L3107+K3108</f>
        <v>19</v>
      </c>
    </row>
    <row r="3109" customFormat="false" ht="15" hidden="true" customHeight="true" outlineLevel="0" collapsed="false">
      <c r="F3109" s="116"/>
      <c r="G3109" s="116"/>
      <c r="K3109" s="104" t="n">
        <f aca="false">IF(A3109="",0,IF(IFERROR(VLOOKUP(A3109,Skills!$A:$M,13,FALSE()),"")="COS",0,IF(OR(I3109="En cours",I3109="À venir",I3109="À planifier"),IF(AND(OR($C$3="Tous",$C$3="",C3109=$C$3),OR($E$3="Tous",$E$3="",I3109=$E$3)),1,0),0)))</f>
        <v>0</v>
      </c>
      <c r="L3109" s="104" t="n">
        <f aca="false">L3108+K3109</f>
        <v>19</v>
      </c>
    </row>
    <row r="3110" customFormat="false" ht="15" hidden="true" customHeight="true" outlineLevel="0" collapsed="false">
      <c r="F3110" s="116"/>
      <c r="G3110" s="116"/>
      <c r="K3110" s="104" t="n">
        <f aca="false">IF(A3110="",0,IF(IFERROR(VLOOKUP(A3110,Skills!$A:$M,13,FALSE()),"")="COS",0,IF(OR(I3110="En cours",I3110="À venir",I3110="À planifier"),IF(AND(OR($C$3="Tous",$C$3="",C3110=$C$3),OR($E$3="Tous",$E$3="",I3110=$E$3)),1,0),0)))</f>
        <v>0</v>
      </c>
      <c r="L3110" s="104" t="n">
        <f aca="false">L3109+K3110</f>
        <v>19</v>
      </c>
    </row>
    <row r="3111" customFormat="false" ht="15" hidden="true" customHeight="true" outlineLevel="0" collapsed="false">
      <c r="F3111" s="116"/>
      <c r="G3111" s="116"/>
      <c r="K3111" s="104" t="n">
        <f aca="false">IF(A3111="",0,IF(IFERROR(VLOOKUP(A3111,Skills!$A:$M,13,FALSE()),"")="COS",0,IF(OR(I3111="En cours",I3111="À venir",I3111="À planifier"),IF(AND(OR($C$3="Tous",$C$3="",C3111=$C$3),OR($E$3="Tous",$E$3="",I3111=$E$3)),1,0),0)))</f>
        <v>0</v>
      </c>
      <c r="L3111" s="104" t="n">
        <f aca="false">L3110+K3111</f>
        <v>19</v>
      </c>
    </row>
    <row r="3112" customFormat="false" ht="15" hidden="true" customHeight="true" outlineLevel="0" collapsed="false">
      <c r="F3112" s="116"/>
      <c r="G3112" s="116"/>
      <c r="K3112" s="104" t="n">
        <f aca="false">IF(A3112="",0,IF(IFERROR(VLOOKUP(A3112,Skills!$A:$M,13,FALSE()),"")="COS",0,IF(OR(I3112="En cours",I3112="À venir",I3112="À planifier"),IF(AND(OR($C$3="Tous",$C$3="",C3112=$C$3),OR($E$3="Tous",$E$3="",I3112=$E$3)),1,0),0)))</f>
        <v>0</v>
      </c>
      <c r="L3112" s="104" t="n">
        <f aca="false">L3111+K3112</f>
        <v>19</v>
      </c>
    </row>
    <row r="3113" customFormat="false" ht="15" hidden="true" customHeight="true" outlineLevel="0" collapsed="false">
      <c r="F3113" s="116"/>
      <c r="G3113" s="116"/>
      <c r="K3113" s="104" t="n">
        <f aca="false">IF(A3113="",0,IF(IFERROR(VLOOKUP(A3113,Skills!$A:$M,13,FALSE()),"")="COS",0,IF(OR(I3113="En cours",I3113="À venir",I3113="À planifier"),IF(AND(OR($C$3="Tous",$C$3="",C3113=$C$3),OR($E$3="Tous",$E$3="",I3113=$E$3)),1,0),0)))</f>
        <v>0</v>
      </c>
      <c r="L3113" s="104" t="n">
        <f aca="false">L3112+K3113</f>
        <v>19</v>
      </c>
    </row>
    <row r="3114" customFormat="false" ht="15" hidden="true" customHeight="true" outlineLevel="0" collapsed="false">
      <c r="F3114" s="116"/>
      <c r="G3114" s="116"/>
      <c r="K3114" s="104" t="n">
        <f aca="false">IF(A3114="",0,IF(IFERROR(VLOOKUP(A3114,Skills!$A:$M,13,FALSE()),"")="COS",0,IF(OR(I3114="En cours",I3114="À venir",I3114="À planifier"),IF(AND(OR($C$3="Tous",$C$3="",C3114=$C$3),OR($E$3="Tous",$E$3="",I3114=$E$3)),1,0),0)))</f>
        <v>0</v>
      </c>
      <c r="L3114" s="104" t="n">
        <f aca="false">L3113+K3114</f>
        <v>19</v>
      </c>
    </row>
    <row r="3115" customFormat="false" ht="15" hidden="true" customHeight="true" outlineLevel="0" collapsed="false">
      <c r="F3115" s="116"/>
      <c r="G3115" s="116"/>
      <c r="K3115" s="104" t="n">
        <f aca="false">IF(A3115="",0,IF(IFERROR(VLOOKUP(A3115,Skills!$A:$M,13,FALSE()),"")="COS",0,IF(OR(I3115="En cours",I3115="À venir",I3115="À planifier"),IF(AND(OR($C$3="Tous",$C$3="",C3115=$C$3),OR($E$3="Tous",$E$3="",I3115=$E$3)),1,0),0)))</f>
        <v>0</v>
      </c>
      <c r="L3115" s="104" t="n">
        <f aca="false">L3114+K3115</f>
        <v>19</v>
      </c>
    </row>
    <row r="3116" customFormat="false" ht="15" hidden="true" customHeight="true" outlineLevel="0" collapsed="false">
      <c r="F3116" s="116"/>
      <c r="G3116" s="116"/>
      <c r="K3116" s="104" t="n">
        <f aca="false">IF(A3116="",0,IF(IFERROR(VLOOKUP(A3116,Skills!$A:$M,13,FALSE()),"")="COS",0,IF(OR(I3116="En cours",I3116="À venir",I3116="À planifier"),IF(AND(OR($C$3="Tous",$C$3="",C3116=$C$3),OR($E$3="Tous",$E$3="",I3116=$E$3)),1,0),0)))</f>
        <v>0</v>
      </c>
      <c r="L3116" s="104" t="n">
        <f aca="false">L3115+K3116</f>
        <v>19</v>
      </c>
    </row>
    <row r="3117" customFormat="false" ht="15" hidden="true" customHeight="true" outlineLevel="0" collapsed="false">
      <c r="F3117" s="116"/>
      <c r="G3117" s="116"/>
      <c r="K3117" s="104" t="n">
        <f aca="false">IF(A3117="",0,IF(IFERROR(VLOOKUP(A3117,Skills!$A:$M,13,FALSE()),"")="COS",0,IF(OR(I3117="En cours",I3117="À venir",I3117="À planifier"),IF(AND(OR($C$3="Tous",$C$3="",C3117=$C$3),OR($E$3="Tous",$E$3="",I3117=$E$3)),1,0),0)))</f>
        <v>0</v>
      </c>
      <c r="L3117" s="104" t="n">
        <f aca="false">L3116+K3117</f>
        <v>19</v>
      </c>
    </row>
    <row r="3118" customFormat="false" ht="15" hidden="true" customHeight="true" outlineLevel="0" collapsed="false">
      <c r="F3118" s="116"/>
      <c r="G3118" s="116"/>
      <c r="K3118" s="104" t="n">
        <f aca="false">IF(A3118="",0,IF(IFERROR(VLOOKUP(A3118,Skills!$A:$M,13,FALSE()),"")="COS",0,IF(OR(I3118="En cours",I3118="À venir",I3118="À planifier"),IF(AND(OR($C$3="Tous",$C$3="",C3118=$C$3),OR($E$3="Tous",$E$3="",I3118=$E$3)),1,0),0)))</f>
        <v>0</v>
      </c>
      <c r="L3118" s="104" t="n">
        <f aca="false">L3117+K3118</f>
        <v>19</v>
      </c>
    </row>
    <row r="3119" customFormat="false" ht="15" hidden="true" customHeight="true" outlineLevel="0" collapsed="false">
      <c r="F3119" s="116"/>
      <c r="G3119" s="116"/>
      <c r="K3119" s="104" t="n">
        <f aca="false">IF(A3119="",0,IF(IFERROR(VLOOKUP(A3119,Skills!$A:$M,13,FALSE()),"")="COS",0,IF(OR(I3119="En cours",I3119="À venir",I3119="À planifier"),IF(AND(OR($C$3="Tous",$C$3="",C3119=$C$3),OR($E$3="Tous",$E$3="",I3119=$E$3)),1,0),0)))</f>
        <v>0</v>
      </c>
      <c r="L3119" s="104" t="n">
        <f aca="false">L3118+K3119</f>
        <v>19</v>
      </c>
    </row>
    <row r="3120" customFormat="false" ht="15" hidden="true" customHeight="true" outlineLevel="0" collapsed="false">
      <c r="F3120" s="116"/>
      <c r="G3120" s="116"/>
      <c r="K3120" s="104" t="n">
        <f aca="false">IF(A3120="",0,IF(IFERROR(VLOOKUP(A3120,Skills!$A:$M,13,FALSE()),"")="COS",0,IF(OR(I3120="En cours",I3120="À venir",I3120="À planifier"),IF(AND(OR($C$3="Tous",$C$3="",C3120=$C$3),OR($E$3="Tous",$E$3="",I3120=$E$3)),1,0),0)))</f>
        <v>0</v>
      </c>
      <c r="L3120" s="104" t="n">
        <f aca="false">L3119+K3120</f>
        <v>19</v>
      </c>
    </row>
    <row r="3121" customFormat="false" ht="15" hidden="true" customHeight="true" outlineLevel="0" collapsed="false">
      <c r="F3121" s="116"/>
      <c r="G3121" s="116"/>
      <c r="K3121" s="104" t="n">
        <f aca="false">IF(A3121="",0,IF(IFERROR(VLOOKUP(A3121,Skills!$A:$M,13,FALSE()),"")="COS",0,IF(OR(I3121="En cours",I3121="À venir",I3121="À planifier"),IF(AND(OR($C$3="Tous",$C$3="",C3121=$C$3),OR($E$3="Tous",$E$3="",I3121=$E$3)),1,0),0)))</f>
        <v>0</v>
      </c>
      <c r="L3121" s="104" t="n">
        <f aca="false">L3120+K3121</f>
        <v>19</v>
      </c>
    </row>
    <row r="3122" customFormat="false" ht="15" hidden="true" customHeight="true" outlineLevel="0" collapsed="false">
      <c r="F3122" s="116"/>
      <c r="G3122" s="116"/>
      <c r="K3122" s="104" t="n">
        <f aca="false">IF(A3122="",0,IF(IFERROR(VLOOKUP(A3122,Skills!$A:$M,13,FALSE()),"")="COS",0,IF(OR(I3122="En cours",I3122="À venir",I3122="À planifier"),IF(AND(OR($C$3="Tous",$C$3="",C3122=$C$3),OR($E$3="Tous",$E$3="",I3122=$E$3)),1,0),0)))</f>
        <v>0</v>
      </c>
      <c r="L3122" s="104" t="n">
        <f aca="false">L3121+K3122</f>
        <v>19</v>
      </c>
    </row>
    <row r="3123" customFormat="false" ht="15" hidden="true" customHeight="true" outlineLevel="0" collapsed="false">
      <c r="F3123" s="116"/>
      <c r="G3123" s="116"/>
      <c r="K3123" s="104" t="n">
        <f aca="false">IF(A3123="",0,IF(IFERROR(VLOOKUP(A3123,Skills!$A:$M,13,FALSE()),"")="COS",0,IF(OR(I3123="En cours",I3123="À venir",I3123="À planifier"),IF(AND(OR($C$3="Tous",$C$3="",C3123=$C$3),OR($E$3="Tous",$E$3="",I3123=$E$3)),1,0),0)))</f>
        <v>0</v>
      </c>
      <c r="L3123" s="104" t="n">
        <f aca="false">L3122+K3123</f>
        <v>19</v>
      </c>
    </row>
    <row r="3124" customFormat="false" ht="15" hidden="true" customHeight="true" outlineLevel="0" collapsed="false">
      <c r="F3124" s="116"/>
      <c r="G3124" s="116"/>
      <c r="K3124" s="104" t="n">
        <f aca="false">IF(A3124="",0,IF(IFERROR(VLOOKUP(A3124,Skills!$A:$M,13,FALSE()),"")="COS",0,IF(OR(I3124="En cours",I3124="À venir",I3124="À planifier"),IF(AND(OR($C$3="Tous",$C$3="",C3124=$C$3),OR($E$3="Tous",$E$3="",I3124=$E$3)),1,0),0)))</f>
        <v>0</v>
      </c>
      <c r="L3124" s="104" t="n">
        <f aca="false">L3123+K3124</f>
        <v>19</v>
      </c>
    </row>
    <row r="3125" customFormat="false" ht="15" hidden="true" customHeight="true" outlineLevel="0" collapsed="false">
      <c r="F3125" s="116"/>
      <c r="G3125" s="116"/>
      <c r="K3125" s="104" t="n">
        <f aca="false">IF(A3125="",0,IF(IFERROR(VLOOKUP(A3125,Skills!$A:$M,13,FALSE()),"")="COS",0,IF(OR(I3125="En cours",I3125="À venir",I3125="À planifier"),IF(AND(OR($C$3="Tous",$C$3="",C3125=$C$3),OR($E$3="Tous",$E$3="",I3125=$E$3)),1,0),0)))</f>
        <v>0</v>
      </c>
      <c r="L3125" s="104" t="n">
        <f aca="false">L3124+K3125</f>
        <v>19</v>
      </c>
    </row>
    <row r="3126" customFormat="false" ht="15" hidden="true" customHeight="true" outlineLevel="0" collapsed="false">
      <c r="F3126" s="116"/>
      <c r="G3126" s="116"/>
      <c r="K3126" s="104" t="n">
        <f aca="false">IF(A3126="",0,IF(IFERROR(VLOOKUP(A3126,Skills!$A:$M,13,FALSE()),"")="COS",0,IF(OR(I3126="En cours",I3126="À venir",I3126="À planifier"),IF(AND(OR($C$3="Tous",$C$3="",C3126=$C$3),OR($E$3="Tous",$E$3="",I3126=$E$3)),1,0),0)))</f>
        <v>0</v>
      </c>
      <c r="L3126" s="104" t="n">
        <f aca="false">L3125+K3126</f>
        <v>19</v>
      </c>
    </row>
    <row r="3127" customFormat="false" ht="15" hidden="true" customHeight="true" outlineLevel="0" collapsed="false">
      <c r="F3127" s="116"/>
      <c r="G3127" s="116"/>
      <c r="K3127" s="104" t="n">
        <f aca="false">IF(A3127="",0,IF(IFERROR(VLOOKUP(A3127,Skills!$A:$M,13,FALSE()),"")="COS",0,IF(OR(I3127="En cours",I3127="À venir",I3127="À planifier"),IF(AND(OR($C$3="Tous",$C$3="",C3127=$C$3),OR($E$3="Tous",$E$3="",I3127=$E$3)),1,0),0)))</f>
        <v>0</v>
      </c>
      <c r="L3127" s="104" t="n">
        <f aca="false">L3126+K3127</f>
        <v>19</v>
      </c>
    </row>
    <row r="3128" customFormat="false" ht="15" hidden="true" customHeight="true" outlineLevel="0" collapsed="false">
      <c r="F3128" s="116"/>
      <c r="G3128" s="116"/>
      <c r="K3128" s="104" t="n">
        <f aca="false">IF(A3128="",0,IF(IFERROR(VLOOKUP(A3128,Skills!$A:$M,13,FALSE()),"")="COS",0,IF(OR(I3128="En cours",I3128="À venir",I3128="À planifier"),IF(AND(OR($C$3="Tous",$C$3="",C3128=$C$3),OR($E$3="Tous",$E$3="",I3128=$E$3)),1,0),0)))</f>
        <v>0</v>
      </c>
      <c r="L3128" s="104" t="n">
        <f aca="false">L3127+K3128</f>
        <v>19</v>
      </c>
    </row>
    <row r="3129" customFormat="false" ht="15" hidden="true" customHeight="true" outlineLevel="0" collapsed="false">
      <c r="F3129" s="116"/>
      <c r="G3129" s="116"/>
      <c r="K3129" s="104" t="n">
        <f aca="false">IF(A3129="",0,IF(IFERROR(VLOOKUP(A3129,Skills!$A:$M,13,FALSE()),"")="COS",0,IF(OR(I3129="En cours",I3129="À venir",I3129="À planifier"),IF(AND(OR($C$3="Tous",$C$3="",C3129=$C$3),OR($E$3="Tous",$E$3="",I3129=$E$3)),1,0),0)))</f>
        <v>0</v>
      </c>
      <c r="L3129" s="104" t="n">
        <f aca="false">L3128+K3129</f>
        <v>19</v>
      </c>
    </row>
    <row r="3130" customFormat="false" ht="15" hidden="true" customHeight="true" outlineLevel="0" collapsed="false">
      <c r="F3130" s="116"/>
      <c r="G3130" s="116"/>
      <c r="K3130" s="104" t="n">
        <f aca="false">IF(A3130="",0,IF(IFERROR(VLOOKUP(A3130,Skills!$A:$M,13,FALSE()),"")="COS",0,IF(OR(I3130="En cours",I3130="À venir",I3130="À planifier"),IF(AND(OR($C$3="Tous",$C$3="",C3130=$C$3),OR($E$3="Tous",$E$3="",I3130=$E$3)),1,0),0)))</f>
        <v>0</v>
      </c>
      <c r="L3130" s="104" t="n">
        <f aca="false">L3129+K3130</f>
        <v>19</v>
      </c>
    </row>
    <row r="3131" customFormat="false" ht="15" hidden="true" customHeight="true" outlineLevel="0" collapsed="false">
      <c r="F3131" s="116"/>
      <c r="G3131" s="116"/>
      <c r="K3131" s="104" t="n">
        <f aca="false">IF(A3131="",0,IF(IFERROR(VLOOKUP(A3131,Skills!$A:$M,13,FALSE()),"")="COS",0,IF(OR(I3131="En cours",I3131="À venir",I3131="À planifier"),IF(AND(OR($C$3="Tous",$C$3="",C3131=$C$3),OR($E$3="Tous",$E$3="",I3131=$E$3)),1,0),0)))</f>
        <v>0</v>
      </c>
      <c r="L3131" s="104" t="n">
        <f aca="false">L3130+K3131</f>
        <v>19</v>
      </c>
    </row>
    <row r="3132" customFormat="false" ht="15" hidden="true" customHeight="true" outlineLevel="0" collapsed="false">
      <c r="F3132" s="116"/>
      <c r="G3132" s="116"/>
      <c r="K3132" s="104" t="n">
        <f aca="false">IF(A3132="",0,IF(IFERROR(VLOOKUP(A3132,Skills!$A:$M,13,FALSE()),"")="COS",0,IF(OR(I3132="En cours",I3132="À venir",I3132="À planifier"),IF(AND(OR($C$3="Tous",$C$3="",C3132=$C$3),OR($E$3="Tous",$E$3="",I3132=$E$3)),1,0),0)))</f>
        <v>0</v>
      </c>
      <c r="L3132" s="104" t="n">
        <f aca="false">L3131+K3132</f>
        <v>19</v>
      </c>
    </row>
    <row r="3133" customFormat="false" ht="15" hidden="true" customHeight="true" outlineLevel="0" collapsed="false">
      <c r="F3133" s="116"/>
      <c r="G3133" s="116"/>
      <c r="K3133" s="104" t="n">
        <f aca="false">IF(A3133="",0,IF(IFERROR(VLOOKUP(A3133,Skills!$A:$M,13,FALSE()),"")="COS",0,IF(OR(I3133="En cours",I3133="À venir",I3133="À planifier"),IF(AND(OR($C$3="Tous",$C$3="",C3133=$C$3),OR($E$3="Tous",$E$3="",I3133=$E$3)),1,0),0)))</f>
        <v>0</v>
      </c>
      <c r="L3133" s="104" t="n">
        <f aca="false">L3132+K3133</f>
        <v>19</v>
      </c>
    </row>
    <row r="3134" customFormat="false" ht="15" hidden="true" customHeight="true" outlineLevel="0" collapsed="false">
      <c r="F3134" s="116"/>
      <c r="G3134" s="116"/>
      <c r="K3134" s="104" t="n">
        <f aca="false">IF(A3134="",0,IF(IFERROR(VLOOKUP(A3134,Skills!$A:$M,13,FALSE()),"")="COS",0,IF(OR(I3134="En cours",I3134="À venir",I3134="À planifier"),IF(AND(OR($C$3="Tous",$C$3="",C3134=$C$3),OR($E$3="Tous",$E$3="",I3134=$E$3)),1,0),0)))</f>
        <v>0</v>
      </c>
      <c r="L3134" s="104" t="n">
        <f aca="false">L3133+K3134</f>
        <v>19</v>
      </c>
    </row>
    <row r="3135" customFormat="false" ht="15" hidden="true" customHeight="true" outlineLevel="0" collapsed="false">
      <c r="F3135" s="116"/>
      <c r="G3135" s="116"/>
      <c r="K3135" s="104" t="n">
        <f aca="false">IF(A3135="",0,IF(IFERROR(VLOOKUP(A3135,Skills!$A:$M,13,FALSE()),"")="COS",0,IF(OR(I3135="En cours",I3135="À venir",I3135="À planifier"),IF(AND(OR($C$3="Tous",$C$3="",C3135=$C$3),OR($E$3="Tous",$E$3="",I3135=$E$3)),1,0),0)))</f>
        <v>0</v>
      </c>
      <c r="L3135" s="104" t="n">
        <f aca="false">L3134+K3135</f>
        <v>19</v>
      </c>
    </row>
    <row r="3136" customFormat="false" ht="15" hidden="true" customHeight="true" outlineLevel="0" collapsed="false">
      <c r="F3136" s="116"/>
      <c r="G3136" s="116"/>
      <c r="K3136" s="104" t="n">
        <f aca="false">IF(A3136="",0,IF(IFERROR(VLOOKUP(A3136,Skills!$A:$M,13,FALSE()),"")="COS",0,IF(OR(I3136="En cours",I3136="À venir",I3136="À planifier"),IF(AND(OR($C$3="Tous",$C$3="",C3136=$C$3),OR($E$3="Tous",$E$3="",I3136=$E$3)),1,0),0)))</f>
        <v>0</v>
      </c>
      <c r="L3136" s="104" t="n">
        <f aca="false">L3135+K3136</f>
        <v>19</v>
      </c>
    </row>
    <row r="3137" customFormat="false" ht="15" hidden="true" customHeight="true" outlineLevel="0" collapsed="false">
      <c r="F3137" s="116"/>
      <c r="G3137" s="116"/>
      <c r="K3137" s="104" t="n">
        <f aca="false">IF(A3137="",0,IF(IFERROR(VLOOKUP(A3137,Skills!$A:$M,13,FALSE()),"")="COS",0,IF(OR(I3137="En cours",I3137="À venir",I3137="À planifier"),IF(AND(OR($C$3="Tous",$C$3="",C3137=$C$3),OR($E$3="Tous",$E$3="",I3137=$E$3)),1,0),0)))</f>
        <v>0</v>
      </c>
      <c r="L3137" s="104" t="n">
        <f aca="false">L3136+K3137</f>
        <v>19</v>
      </c>
    </row>
    <row r="3138" customFormat="false" ht="15" hidden="true" customHeight="true" outlineLevel="0" collapsed="false">
      <c r="F3138" s="116"/>
      <c r="G3138" s="116"/>
      <c r="K3138" s="104" t="n">
        <f aca="false">IF(A3138="",0,IF(IFERROR(VLOOKUP(A3138,Skills!$A:$M,13,FALSE()),"")="COS",0,IF(OR(I3138="En cours",I3138="À venir",I3138="À planifier"),IF(AND(OR($C$3="Tous",$C$3="",C3138=$C$3),OR($E$3="Tous",$E$3="",I3138=$E$3)),1,0),0)))</f>
        <v>0</v>
      </c>
      <c r="L3138" s="104" t="n">
        <f aca="false">L3137+K3138</f>
        <v>19</v>
      </c>
    </row>
    <row r="3139" customFormat="false" ht="15" hidden="true" customHeight="true" outlineLevel="0" collapsed="false">
      <c r="F3139" s="116"/>
      <c r="G3139" s="116"/>
      <c r="K3139" s="104" t="n">
        <f aca="false">IF(A3139="",0,IF(IFERROR(VLOOKUP(A3139,Skills!$A:$M,13,FALSE()),"")="COS",0,IF(OR(I3139="En cours",I3139="À venir",I3139="À planifier"),IF(AND(OR($C$3="Tous",$C$3="",C3139=$C$3),OR($E$3="Tous",$E$3="",I3139=$E$3)),1,0),0)))</f>
        <v>0</v>
      </c>
      <c r="L3139" s="104" t="n">
        <f aca="false">L3138+K3139</f>
        <v>19</v>
      </c>
    </row>
    <row r="3140" customFormat="false" ht="15" hidden="true" customHeight="true" outlineLevel="0" collapsed="false">
      <c r="F3140" s="116"/>
      <c r="G3140" s="116"/>
      <c r="K3140" s="104" t="n">
        <f aca="false">IF(A3140="",0,IF(IFERROR(VLOOKUP(A3140,Skills!$A:$M,13,FALSE()),"")="COS",0,IF(OR(I3140="En cours",I3140="À venir",I3140="À planifier"),IF(AND(OR($C$3="Tous",$C$3="",C3140=$C$3),OR($E$3="Tous",$E$3="",I3140=$E$3)),1,0),0)))</f>
        <v>0</v>
      </c>
      <c r="L3140" s="104" t="n">
        <f aca="false">L3139+K3140</f>
        <v>19</v>
      </c>
    </row>
    <row r="3141" customFormat="false" ht="15" hidden="true" customHeight="true" outlineLevel="0" collapsed="false">
      <c r="F3141" s="116"/>
      <c r="G3141" s="116"/>
      <c r="K3141" s="104" t="n">
        <f aca="false">IF(A3141="",0,IF(IFERROR(VLOOKUP(A3141,Skills!$A:$M,13,FALSE()),"")="COS",0,IF(OR(I3141="En cours",I3141="À venir",I3141="À planifier"),IF(AND(OR($C$3="Tous",$C$3="",C3141=$C$3),OR($E$3="Tous",$E$3="",I3141=$E$3)),1,0),0)))</f>
        <v>0</v>
      </c>
      <c r="L3141" s="104" t="n">
        <f aca="false">L3140+K3141</f>
        <v>19</v>
      </c>
    </row>
    <row r="3142" customFormat="false" ht="15" hidden="true" customHeight="true" outlineLevel="0" collapsed="false">
      <c r="F3142" s="116"/>
      <c r="G3142" s="116"/>
      <c r="K3142" s="104" t="n">
        <f aca="false">IF(A3142="",0,IF(IFERROR(VLOOKUP(A3142,Skills!$A:$M,13,FALSE()),"")="COS",0,IF(OR(I3142="En cours",I3142="À venir",I3142="À planifier"),IF(AND(OR($C$3="Tous",$C$3="",C3142=$C$3),OR($E$3="Tous",$E$3="",I3142=$E$3)),1,0),0)))</f>
        <v>0</v>
      </c>
      <c r="L3142" s="104" t="n">
        <f aca="false">L3141+K3142</f>
        <v>19</v>
      </c>
    </row>
    <row r="3143" customFormat="false" ht="15" hidden="true" customHeight="true" outlineLevel="0" collapsed="false">
      <c r="F3143" s="116"/>
      <c r="G3143" s="116"/>
      <c r="K3143" s="104" t="n">
        <f aca="false">IF(A3143="",0,IF(IFERROR(VLOOKUP(A3143,Skills!$A:$M,13,FALSE()),"")="COS",0,IF(OR(I3143="En cours",I3143="À venir",I3143="À planifier"),IF(AND(OR($C$3="Tous",$C$3="",C3143=$C$3),OR($E$3="Tous",$E$3="",I3143=$E$3)),1,0),0)))</f>
        <v>0</v>
      </c>
      <c r="L3143" s="104" t="n">
        <f aca="false">L3142+K3143</f>
        <v>19</v>
      </c>
    </row>
    <row r="3144" customFormat="false" ht="15" hidden="true" customHeight="true" outlineLevel="0" collapsed="false">
      <c r="F3144" s="116"/>
      <c r="G3144" s="116"/>
      <c r="K3144" s="104" t="n">
        <f aca="false">IF(A3144="",0,IF(IFERROR(VLOOKUP(A3144,Skills!$A:$M,13,FALSE()),"")="COS",0,IF(OR(I3144="En cours",I3144="À venir",I3144="À planifier"),IF(AND(OR($C$3="Tous",$C$3="",C3144=$C$3),OR($E$3="Tous",$E$3="",I3144=$E$3)),1,0),0)))</f>
        <v>0</v>
      </c>
      <c r="L3144" s="104" t="n">
        <f aca="false">L3143+K3144</f>
        <v>19</v>
      </c>
    </row>
    <row r="3145" customFormat="false" ht="15" hidden="true" customHeight="true" outlineLevel="0" collapsed="false">
      <c r="F3145" s="116"/>
      <c r="G3145" s="116"/>
      <c r="K3145" s="104" t="n">
        <f aca="false">IF(A3145="",0,IF(IFERROR(VLOOKUP(A3145,Skills!$A:$M,13,FALSE()),"")="COS",0,IF(OR(I3145="En cours",I3145="À venir",I3145="À planifier"),IF(AND(OR($C$3="Tous",$C$3="",C3145=$C$3),OR($E$3="Tous",$E$3="",I3145=$E$3)),1,0),0)))</f>
        <v>0</v>
      </c>
      <c r="L3145" s="104" t="n">
        <f aca="false">L3144+K3145</f>
        <v>19</v>
      </c>
    </row>
    <row r="3146" customFormat="false" ht="15" hidden="true" customHeight="true" outlineLevel="0" collapsed="false">
      <c r="F3146" s="116"/>
      <c r="G3146" s="116"/>
      <c r="K3146" s="104" t="n">
        <f aca="false">IF(A3146="",0,IF(IFERROR(VLOOKUP(A3146,Skills!$A:$M,13,FALSE()),"")="COS",0,IF(OR(I3146="En cours",I3146="À venir",I3146="À planifier"),IF(AND(OR($C$3="Tous",$C$3="",C3146=$C$3),OR($E$3="Tous",$E$3="",I3146=$E$3)),1,0),0)))</f>
        <v>0</v>
      </c>
      <c r="L3146" s="104" t="n">
        <f aca="false">L3145+K3146</f>
        <v>19</v>
      </c>
    </row>
    <row r="3147" customFormat="false" ht="15" hidden="true" customHeight="true" outlineLevel="0" collapsed="false">
      <c r="F3147" s="116"/>
      <c r="G3147" s="116"/>
      <c r="K3147" s="104" t="n">
        <f aca="false">IF(A3147="",0,IF(IFERROR(VLOOKUP(A3147,Skills!$A:$M,13,FALSE()),"")="COS",0,IF(OR(I3147="En cours",I3147="À venir",I3147="À planifier"),IF(AND(OR($C$3="Tous",$C$3="",C3147=$C$3),OR($E$3="Tous",$E$3="",I3147=$E$3)),1,0),0)))</f>
        <v>0</v>
      </c>
      <c r="L3147" s="104" t="n">
        <f aca="false">L3146+K3147</f>
        <v>19</v>
      </c>
    </row>
    <row r="3148" customFormat="false" ht="15" hidden="true" customHeight="true" outlineLevel="0" collapsed="false">
      <c r="F3148" s="116"/>
      <c r="G3148" s="116"/>
      <c r="K3148" s="104" t="n">
        <f aca="false">IF(A3148="",0,IF(IFERROR(VLOOKUP(A3148,Skills!$A:$M,13,FALSE()),"")="COS",0,IF(OR(I3148="En cours",I3148="À venir",I3148="À planifier"),IF(AND(OR($C$3="Tous",$C$3="",C3148=$C$3),OR($E$3="Tous",$E$3="",I3148=$E$3)),1,0),0)))</f>
        <v>0</v>
      </c>
      <c r="L3148" s="104" t="n">
        <f aca="false">L3147+K3148</f>
        <v>19</v>
      </c>
    </row>
    <row r="3149" customFormat="false" ht="15" hidden="true" customHeight="true" outlineLevel="0" collapsed="false">
      <c r="F3149" s="116"/>
      <c r="G3149" s="116"/>
      <c r="K3149" s="104" t="n">
        <f aca="false">IF(A3149="",0,IF(IFERROR(VLOOKUP(A3149,Skills!$A:$M,13,FALSE()),"")="COS",0,IF(OR(I3149="En cours",I3149="À venir",I3149="À planifier"),IF(AND(OR($C$3="Tous",$C$3="",C3149=$C$3),OR($E$3="Tous",$E$3="",I3149=$E$3)),1,0),0)))</f>
        <v>0</v>
      </c>
      <c r="L3149" s="104" t="n">
        <f aca="false">L3148+K3149</f>
        <v>19</v>
      </c>
    </row>
    <row r="3150" customFormat="false" ht="15" hidden="true" customHeight="true" outlineLevel="0" collapsed="false">
      <c r="F3150" s="116"/>
      <c r="G3150" s="116"/>
      <c r="K3150" s="104" t="n">
        <f aca="false">IF(A3150="",0,IF(IFERROR(VLOOKUP(A3150,Skills!$A:$M,13,FALSE()),"")="COS",0,IF(OR(I3150="En cours",I3150="À venir",I3150="À planifier"),IF(AND(OR($C$3="Tous",$C$3="",C3150=$C$3),OR($E$3="Tous",$E$3="",I3150=$E$3)),1,0),0)))</f>
        <v>0</v>
      </c>
      <c r="L3150" s="104" t="n">
        <f aca="false">L3149+K3150</f>
        <v>19</v>
      </c>
    </row>
    <row r="3151" customFormat="false" ht="15" hidden="true" customHeight="true" outlineLevel="0" collapsed="false">
      <c r="F3151" s="116"/>
      <c r="G3151" s="116"/>
      <c r="K3151" s="104" t="n">
        <f aca="false">IF(A3151="",0,IF(IFERROR(VLOOKUP(A3151,Skills!$A:$M,13,FALSE()),"")="COS",0,IF(OR(I3151="En cours",I3151="À venir",I3151="À planifier"),IF(AND(OR($C$3="Tous",$C$3="",C3151=$C$3),OR($E$3="Tous",$E$3="",I3151=$E$3)),1,0),0)))</f>
        <v>0</v>
      </c>
      <c r="L3151" s="104" t="n">
        <f aca="false">L3150+K3151</f>
        <v>19</v>
      </c>
    </row>
    <row r="3152" customFormat="false" ht="15" hidden="true" customHeight="true" outlineLevel="0" collapsed="false">
      <c r="F3152" s="116"/>
      <c r="G3152" s="116"/>
      <c r="K3152" s="104" t="n">
        <f aca="false">IF(A3152="",0,IF(IFERROR(VLOOKUP(A3152,Skills!$A:$M,13,FALSE()),"")="COS",0,IF(OR(I3152="En cours",I3152="À venir",I3152="À planifier"),IF(AND(OR($C$3="Tous",$C$3="",C3152=$C$3),OR($E$3="Tous",$E$3="",I3152=$E$3)),1,0),0)))</f>
        <v>0</v>
      </c>
      <c r="L3152" s="104" t="n">
        <f aca="false">L3151+K3152</f>
        <v>19</v>
      </c>
    </row>
    <row r="3153" customFormat="false" ht="15" hidden="true" customHeight="true" outlineLevel="0" collapsed="false">
      <c r="F3153" s="116"/>
      <c r="G3153" s="116"/>
      <c r="K3153" s="104" t="n">
        <f aca="false">IF(A3153="",0,IF(IFERROR(VLOOKUP(A3153,Skills!$A:$M,13,FALSE()),"")="COS",0,IF(OR(I3153="En cours",I3153="À venir",I3153="À planifier"),IF(AND(OR($C$3="Tous",$C$3="",C3153=$C$3),OR($E$3="Tous",$E$3="",I3153=$E$3)),1,0),0)))</f>
        <v>0</v>
      </c>
      <c r="L3153" s="104" t="n">
        <f aca="false">L3152+K3153</f>
        <v>19</v>
      </c>
    </row>
    <row r="3154" customFormat="false" ht="15" hidden="true" customHeight="true" outlineLevel="0" collapsed="false">
      <c r="F3154" s="116"/>
      <c r="G3154" s="116"/>
      <c r="K3154" s="104" t="n">
        <f aca="false">IF(A3154="",0,IF(IFERROR(VLOOKUP(A3154,Skills!$A:$M,13,FALSE()),"")="COS",0,IF(OR(I3154="En cours",I3154="À venir",I3154="À planifier"),IF(AND(OR($C$3="Tous",$C$3="",C3154=$C$3),OR($E$3="Tous",$E$3="",I3154=$E$3)),1,0),0)))</f>
        <v>0</v>
      </c>
      <c r="L3154" s="104" t="n">
        <f aca="false">L3153+K3154</f>
        <v>19</v>
      </c>
    </row>
    <row r="3155" customFormat="false" ht="15" hidden="true" customHeight="true" outlineLevel="0" collapsed="false">
      <c r="F3155" s="116"/>
      <c r="G3155" s="116"/>
      <c r="K3155" s="104" t="n">
        <f aca="false">IF(A3155="",0,IF(IFERROR(VLOOKUP(A3155,Skills!$A:$M,13,FALSE()),"")="COS",0,IF(OR(I3155="En cours",I3155="À venir",I3155="À planifier"),IF(AND(OR($C$3="Tous",$C$3="",C3155=$C$3),OR($E$3="Tous",$E$3="",I3155=$E$3)),1,0),0)))</f>
        <v>0</v>
      </c>
      <c r="L3155" s="104" t="n">
        <f aca="false">L3154+K3155</f>
        <v>19</v>
      </c>
    </row>
    <row r="3156" customFormat="false" ht="15" hidden="true" customHeight="true" outlineLevel="0" collapsed="false">
      <c r="F3156" s="116"/>
      <c r="G3156" s="116"/>
      <c r="K3156" s="104" t="n">
        <f aca="false">IF(A3156="",0,IF(IFERROR(VLOOKUP(A3156,Skills!$A:$M,13,FALSE()),"")="COS",0,IF(OR(I3156="En cours",I3156="À venir",I3156="À planifier"),IF(AND(OR($C$3="Tous",$C$3="",C3156=$C$3),OR($E$3="Tous",$E$3="",I3156=$E$3)),1,0),0)))</f>
        <v>0</v>
      </c>
      <c r="L3156" s="104" t="n">
        <f aca="false">L3155+K3156</f>
        <v>19</v>
      </c>
    </row>
    <row r="3157" customFormat="false" ht="15" hidden="true" customHeight="true" outlineLevel="0" collapsed="false">
      <c r="F3157" s="116"/>
      <c r="G3157" s="116"/>
      <c r="K3157" s="104" t="n">
        <f aca="false">IF(A3157="",0,IF(IFERROR(VLOOKUP(A3157,Skills!$A:$M,13,FALSE()),"")="COS",0,IF(OR(I3157="En cours",I3157="À venir",I3157="À planifier"),IF(AND(OR($C$3="Tous",$C$3="",C3157=$C$3),OR($E$3="Tous",$E$3="",I3157=$E$3)),1,0),0)))</f>
        <v>0</v>
      </c>
      <c r="L3157" s="104" t="n">
        <f aca="false">L3156+K3157</f>
        <v>19</v>
      </c>
    </row>
    <row r="3158" customFormat="false" ht="15" hidden="true" customHeight="true" outlineLevel="0" collapsed="false">
      <c r="F3158" s="116"/>
      <c r="G3158" s="116"/>
      <c r="K3158" s="104" t="n">
        <f aca="false">IF(A3158="",0,IF(IFERROR(VLOOKUP(A3158,Skills!$A:$M,13,FALSE()),"")="COS",0,IF(OR(I3158="En cours",I3158="À venir",I3158="À planifier"),IF(AND(OR($C$3="Tous",$C$3="",C3158=$C$3),OR($E$3="Tous",$E$3="",I3158=$E$3)),1,0),0)))</f>
        <v>0</v>
      </c>
      <c r="L3158" s="104" t="n">
        <f aca="false">L3157+K3158</f>
        <v>19</v>
      </c>
    </row>
    <row r="3159" customFormat="false" ht="15" hidden="true" customHeight="true" outlineLevel="0" collapsed="false">
      <c r="F3159" s="116"/>
      <c r="G3159" s="116"/>
      <c r="K3159" s="104" t="n">
        <f aca="false">IF(A3159="",0,IF(IFERROR(VLOOKUP(A3159,Skills!$A:$M,13,FALSE()),"")="COS",0,IF(OR(I3159="En cours",I3159="À venir",I3159="À planifier"),IF(AND(OR($C$3="Tous",$C$3="",C3159=$C$3),OR($E$3="Tous",$E$3="",I3159=$E$3)),1,0),0)))</f>
        <v>0</v>
      </c>
      <c r="L3159" s="104" t="n">
        <f aca="false">L3158+K3159</f>
        <v>19</v>
      </c>
    </row>
    <row r="3160" customFormat="false" ht="15" hidden="true" customHeight="true" outlineLevel="0" collapsed="false">
      <c r="F3160" s="116"/>
      <c r="G3160" s="116"/>
      <c r="K3160" s="104" t="n">
        <f aca="false">IF(A3160="",0,IF(IFERROR(VLOOKUP(A3160,Skills!$A:$M,13,FALSE()),"")="COS",0,IF(OR(I3160="En cours",I3160="À venir",I3160="À planifier"),IF(AND(OR($C$3="Tous",$C$3="",C3160=$C$3),OR($E$3="Tous",$E$3="",I3160=$E$3)),1,0),0)))</f>
        <v>0</v>
      </c>
      <c r="L3160" s="104" t="n">
        <f aca="false">L3159+K3160</f>
        <v>19</v>
      </c>
    </row>
    <row r="3161" customFormat="false" ht="15" hidden="true" customHeight="true" outlineLevel="0" collapsed="false">
      <c r="F3161" s="116"/>
      <c r="G3161" s="116"/>
      <c r="K3161" s="104" t="n">
        <f aca="false">IF(A3161="",0,IF(IFERROR(VLOOKUP(A3161,Skills!$A:$M,13,FALSE()),"")="COS",0,IF(OR(I3161="En cours",I3161="À venir",I3161="À planifier"),IF(AND(OR($C$3="Tous",$C$3="",C3161=$C$3),OR($E$3="Tous",$E$3="",I3161=$E$3)),1,0),0)))</f>
        <v>0</v>
      </c>
      <c r="L3161" s="104" t="n">
        <f aca="false">L3160+K3161</f>
        <v>19</v>
      </c>
    </row>
    <row r="3162" customFormat="false" ht="15" hidden="true" customHeight="true" outlineLevel="0" collapsed="false">
      <c r="F3162" s="116"/>
      <c r="G3162" s="116"/>
      <c r="K3162" s="104" t="n">
        <f aca="false">IF(A3162="",0,IF(IFERROR(VLOOKUP(A3162,Skills!$A:$M,13,FALSE()),"")="COS",0,IF(OR(I3162="En cours",I3162="À venir",I3162="À planifier"),IF(AND(OR($C$3="Tous",$C$3="",C3162=$C$3),OR($E$3="Tous",$E$3="",I3162=$E$3)),1,0),0)))</f>
        <v>0</v>
      </c>
      <c r="L3162" s="104" t="n">
        <f aca="false">L3161+K3162</f>
        <v>19</v>
      </c>
    </row>
    <row r="3163" customFormat="false" ht="15" hidden="true" customHeight="true" outlineLevel="0" collapsed="false">
      <c r="F3163" s="116"/>
      <c r="G3163" s="116"/>
      <c r="K3163" s="104" t="n">
        <f aca="false">IF(A3163="",0,IF(IFERROR(VLOOKUP(A3163,Skills!$A:$M,13,FALSE()),"")="COS",0,IF(OR(I3163="En cours",I3163="À venir",I3163="À planifier"),IF(AND(OR($C$3="Tous",$C$3="",C3163=$C$3),OR($E$3="Tous",$E$3="",I3163=$E$3)),1,0),0)))</f>
        <v>0</v>
      </c>
      <c r="L3163" s="104" t="n">
        <f aca="false">L3162+K3163</f>
        <v>19</v>
      </c>
    </row>
    <row r="3164" customFormat="false" ht="15" hidden="true" customHeight="true" outlineLevel="0" collapsed="false">
      <c r="F3164" s="116"/>
      <c r="G3164" s="116"/>
      <c r="K3164" s="104" t="n">
        <f aca="false">IF(A3164="",0,IF(IFERROR(VLOOKUP(A3164,Skills!$A:$M,13,FALSE()),"")="COS",0,IF(OR(I3164="En cours",I3164="À venir",I3164="À planifier"),IF(AND(OR($C$3="Tous",$C$3="",C3164=$C$3),OR($E$3="Tous",$E$3="",I3164=$E$3)),1,0),0)))</f>
        <v>0</v>
      </c>
      <c r="L3164" s="104" t="n">
        <f aca="false">L3163+K3164</f>
        <v>19</v>
      </c>
    </row>
    <row r="3165" customFormat="false" ht="15" hidden="true" customHeight="true" outlineLevel="0" collapsed="false">
      <c r="F3165" s="116"/>
      <c r="G3165" s="116"/>
      <c r="K3165" s="104" t="n">
        <f aca="false">IF(A3165="",0,IF(IFERROR(VLOOKUP(A3165,Skills!$A:$M,13,FALSE()),"")="COS",0,IF(OR(I3165="En cours",I3165="À venir",I3165="À planifier"),IF(AND(OR($C$3="Tous",$C$3="",C3165=$C$3),OR($E$3="Tous",$E$3="",I3165=$E$3)),1,0),0)))</f>
        <v>0</v>
      </c>
      <c r="L3165" s="104" t="n">
        <f aca="false">L3164+K3165</f>
        <v>19</v>
      </c>
    </row>
    <row r="3166" customFormat="false" ht="15" hidden="true" customHeight="true" outlineLevel="0" collapsed="false">
      <c r="F3166" s="116"/>
      <c r="G3166" s="116"/>
      <c r="K3166" s="104" t="n">
        <f aca="false">IF(A3166="",0,IF(IFERROR(VLOOKUP(A3166,Skills!$A:$M,13,FALSE()),"")="COS",0,IF(OR(I3166="En cours",I3166="À venir",I3166="À planifier"),IF(AND(OR($C$3="Tous",$C$3="",C3166=$C$3),OR($E$3="Tous",$E$3="",I3166=$E$3)),1,0),0)))</f>
        <v>0</v>
      </c>
      <c r="L3166" s="104" t="n">
        <f aca="false">L3165+K3166</f>
        <v>19</v>
      </c>
    </row>
    <row r="3167" customFormat="false" ht="15" hidden="true" customHeight="true" outlineLevel="0" collapsed="false">
      <c r="F3167" s="116"/>
      <c r="G3167" s="116"/>
      <c r="K3167" s="104" t="n">
        <f aca="false">IF(A3167="",0,IF(IFERROR(VLOOKUP(A3167,Skills!$A:$M,13,FALSE()),"")="COS",0,IF(OR(I3167="En cours",I3167="À venir",I3167="À planifier"),IF(AND(OR($C$3="Tous",$C$3="",C3167=$C$3),OR($E$3="Tous",$E$3="",I3167=$E$3)),1,0),0)))</f>
        <v>0</v>
      </c>
      <c r="L3167" s="104" t="n">
        <f aca="false">L3166+K3167</f>
        <v>19</v>
      </c>
    </row>
    <row r="3168" customFormat="false" ht="15" hidden="true" customHeight="true" outlineLevel="0" collapsed="false">
      <c r="F3168" s="116"/>
      <c r="G3168" s="116"/>
      <c r="K3168" s="104" t="n">
        <f aca="false">IF(A3168="",0,IF(IFERROR(VLOOKUP(A3168,Skills!$A:$M,13,FALSE()),"")="COS",0,IF(OR(I3168="En cours",I3168="À venir",I3168="À planifier"),IF(AND(OR($C$3="Tous",$C$3="",C3168=$C$3),OR($E$3="Tous",$E$3="",I3168=$E$3)),1,0),0)))</f>
        <v>0</v>
      </c>
      <c r="L3168" s="104" t="n">
        <f aca="false">L3167+K3168</f>
        <v>19</v>
      </c>
    </row>
    <row r="3169" customFormat="false" ht="15" hidden="true" customHeight="true" outlineLevel="0" collapsed="false">
      <c r="F3169" s="116"/>
      <c r="G3169" s="116"/>
      <c r="K3169" s="104" t="n">
        <f aca="false">IF(A3169="",0,IF(IFERROR(VLOOKUP(A3169,Skills!$A:$M,13,FALSE()),"")="COS",0,IF(OR(I3169="En cours",I3169="À venir",I3169="À planifier"),IF(AND(OR($C$3="Tous",$C$3="",C3169=$C$3),OR($E$3="Tous",$E$3="",I3169=$E$3)),1,0),0)))</f>
        <v>0</v>
      </c>
      <c r="L3169" s="104" t="n">
        <f aca="false">L3168+K3169</f>
        <v>19</v>
      </c>
    </row>
    <row r="3170" customFormat="false" ht="15" hidden="true" customHeight="true" outlineLevel="0" collapsed="false">
      <c r="F3170" s="116"/>
      <c r="G3170" s="116"/>
      <c r="K3170" s="104" t="n">
        <f aca="false">IF(A3170="",0,IF(IFERROR(VLOOKUP(A3170,Skills!$A:$M,13,FALSE()),"")="COS",0,IF(OR(I3170="En cours",I3170="À venir",I3170="À planifier"),IF(AND(OR($C$3="Tous",$C$3="",C3170=$C$3),OR($E$3="Tous",$E$3="",I3170=$E$3)),1,0),0)))</f>
        <v>0</v>
      </c>
      <c r="L3170" s="104" t="n">
        <f aca="false">L3169+K3170</f>
        <v>19</v>
      </c>
    </row>
    <row r="3171" customFormat="false" ht="15" hidden="true" customHeight="true" outlineLevel="0" collapsed="false">
      <c r="F3171" s="116"/>
      <c r="G3171" s="116"/>
      <c r="K3171" s="104" t="n">
        <f aca="false">IF(A3171="",0,IF(IFERROR(VLOOKUP(A3171,Skills!$A:$M,13,FALSE()),"")="COS",0,IF(OR(I3171="En cours",I3171="À venir",I3171="À planifier"),IF(AND(OR($C$3="Tous",$C$3="",C3171=$C$3),OR($E$3="Tous",$E$3="",I3171=$E$3)),1,0),0)))</f>
        <v>0</v>
      </c>
      <c r="L3171" s="104" t="n">
        <f aca="false">L3170+K3171</f>
        <v>19</v>
      </c>
    </row>
    <row r="3172" customFormat="false" ht="15" hidden="true" customHeight="true" outlineLevel="0" collapsed="false">
      <c r="F3172" s="116"/>
      <c r="G3172" s="116"/>
      <c r="K3172" s="104" t="n">
        <f aca="false">IF(A3172="",0,IF(IFERROR(VLOOKUP(A3172,Skills!$A:$M,13,FALSE()),"")="COS",0,IF(OR(I3172="En cours",I3172="À venir",I3172="À planifier"),IF(AND(OR($C$3="Tous",$C$3="",C3172=$C$3),OR($E$3="Tous",$E$3="",I3172=$E$3)),1,0),0)))</f>
        <v>0</v>
      </c>
      <c r="L3172" s="104" t="n">
        <f aca="false">L3171+K3172</f>
        <v>19</v>
      </c>
    </row>
    <row r="3173" customFormat="false" ht="15" hidden="true" customHeight="true" outlineLevel="0" collapsed="false">
      <c r="F3173" s="116"/>
      <c r="G3173" s="116"/>
      <c r="K3173" s="104" t="n">
        <f aca="false">IF(A3173="",0,IF(IFERROR(VLOOKUP(A3173,Skills!$A:$M,13,FALSE()),"")="COS",0,IF(OR(I3173="En cours",I3173="À venir",I3173="À planifier"),IF(AND(OR($C$3="Tous",$C$3="",C3173=$C$3),OR($E$3="Tous",$E$3="",I3173=$E$3)),1,0),0)))</f>
        <v>0</v>
      </c>
      <c r="L3173" s="104" t="n">
        <f aca="false">L3172+K3173</f>
        <v>19</v>
      </c>
    </row>
    <row r="3174" customFormat="false" ht="15" hidden="true" customHeight="true" outlineLevel="0" collapsed="false">
      <c r="F3174" s="116"/>
      <c r="G3174" s="116"/>
      <c r="K3174" s="104" t="n">
        <f aca="false">IF(A3174="",0,IF(IFERROR(VLOOKUP(A3174,Skills!$A:$M,13,FALSE()),"")="COS",0,IF(OR(I3174="En cours",I3174="À venir",I3174="À planifier"),IF(AND(OR($C$3="Tous",$C$3="",C3174=$C$3),OR($E$3="Tous",$E$3="",I3174=$E$3)),1,0),0)))</f>
        <v>0</v>
      </c>
      <c r="L3174" s="104" t="n">
        <f aca="false">L3173+K3174</f>
        <v>19</v>
      </c>
    </row>
    <row r="3175" customFormat="false" ht="15" hidden="true" customHeight="true" outlineLevel="0" collapsed="false">
      <c r="F3175" s="116"/>
      <c r="G3175" s="116"/>
      <c r="K3175" s="104" t="n">
        <f aca="false">IF(A3175="",0,IF(IFERROR(VLOOKUP(A3175,Skills!$A:$M,13,FALSE()),"")="COS",0,IF(OR(I3175="En cours",I3175="À venir",I3175="À planifier"),IF(AND(OR($C$3="Tous",$C$3="",C3175=$C$3),OR($E$3="Tous",$E$3="",I3175=$E$3)),1,0),0)))</f>
        <v>0</v>
      </c>
      <c r="L3175" s="104" t="n">
        <f aca="false">L3174+K3175</f>
        <v>19</v>
      </c>
    </row>
    <row r="3176" customFormat="false" ht="15" hidden="true" customHeight="true" outlineLevel="0" collapsed="false">
      <c r="F3176" s="116"/>
      <c r="G3176" s="116"/>
      <c r="K3176" s="104" t="n">
        <f aca="false">IF(A3176="",0,IF(IFERROR(VLOOKUP(A3176,Skills!$A:$M,13,FALSE()),"")="COS",0,IF(OR(I3176="En cours",I3176="À venir",I3176="À planifier"),IF(AND(OR($C$3="Tous",$C$3="",C3176=$C$3),OR($E$3="Tous",$E$3="",I3176=$E$3)),1,0),0)))</f>
        <v>0</v>
      </c>
      <c r="L3176" s="104" t="n">
        <f aca="false">L3175+K3176</f>
        <v>19</v>
      </c>
    </row>
    <row r="3177" customFormat="false" ht="15" hidden="true" customHeight="true" outlineLevel="0" collapsed="false">
      <c r="F3177" s="116"/>
      <c r="G3177" s="116"/>
      <c r="K3177" s="104" t="n">
        <f aca="false">IF(A3177="",0,IF(IFERROR(VLOOKUP(A3177,Skills!$A:$M,13,FALSE()),"")="COS",0,IF(OR(I3177="En cours",I3177="À venir",I3177="À planifier"),IF(AND(OR($C$3="Tous",$C$3="",C3177=$C$3),OR($E$3="Tous",$E$3="",I3177=$E$3)),1,0),0)))</f>
        <v>0</v>
      </c>
      <c r="L3177" s="104" t="n">
        <f aca="false">L3176+K3177</f>
        <v>19</v>
      </c>
    </row>
    <row r="3178" customFormat="false" ht="15" hidden="true" customHeight="true" outlineLevel="0" collapsed="false">
      <c r="F3178" s="116"/>
      <c r="G3178" s="116"/>
      <c r="K3178" s="104" t="n">
        <f aca="false">IF(A3178="",0,IF(IFERROR(VLOOKUP(A3178,Skills!$A:$M,13,FALSE()),"")="COS",0,IF(OR(I3178="En cours",I3178="À venir",I3178="À planifier"),IF(AND(OR($C$3="Tous",$C$3="",C3178=$C$3),OR($E$3="Tous",$E$3="",I3178=$E$3)),1,0),0)))</f>
        <v>0</v>
      </c>
      <c r="L3178" s="104" t="n">
        <f aca="false">L3177+K3178</f>
        <v>19</v>
      </c>
    </row>
    <row r="3179" customFormat="false" ht="15" hidden="true" customHeight="true" outlineLevel="0" collapsed="false">
      <c r="F3179" s="116"/>
      <c r="G3179" s="116"/>
      <c r="K3179" s="104" t="n">
        <f aca="false">IF(A3179="",0,IF(IFERROR(VLOOKUP(A3179,Skills!$A:$M,13,FALSE()),"")="COS",0,IF(OR(I3179="En cours",I3179="À venir",I3179="À planifier"),IF(AND(OR($C$3="Tous",$C$3="",C3179=$C$3),OR($E$3="Tous",$E$3="",I3179=$E$3)),1,0),0)))</f>
        <v>0</v>
      </c>
      <c r="L3179" s="104" t="n">
        <f aca="false">L3178+K3179</f>
        <v>19</v>
      </c>
    </row>
    <row r="3180" customFormat="false" ht="15" hidden="true" customHeight="true" outlineLevel="0" collapsed="false">
      <c r="F3180" s="116"/>
      <c r="G3180" s="116"/>
      <c r="K3180" s="104" t="n">
        <f aca="false">IF(A3180="",0,IF(IFERROR(VLOOKUP(A3180,Skills!$A:$M,13,FALSE()),"")="COS",0,IF(OR(I3180="En cours",I3180="À venir",I3180="À planifier"),IF(AND(OR($C$3="Tous",$C$3="",C3180=$C$3),OR($E$3="Tous",$E$3="",I3180=$E$3)),1,0),0)))</f>
        <v>0</v>
      </c>
      <c r="L3180" s="104" t="n">
        <f aca="false">L3179+K3180</f>
        <v>19</v>
      </c>
    </row>
    <row r="3181" customFormat="false" ht="15" hidden="true" customHeight="true" outlineLevel="0" collapsed="false">
      <c r="F3181" s="116"/>
      <c r="G3181" s="116"/>
      <c r="K3181" s="104" t="n">
        <f aca="false">IF(A3181="",0,IF(IFERROR(VLOOKUP(A3181,Skills!$A:$M,13,FALSE()),"")="COS",0,IF(OR(I3181="En cours",I3181="À venir",I3181="À planifier"),IF(AND(OR($C$3="Tous",$C$3="",C3181=$C$3),OR($E$3="Tous",$E$3="",I3181=$E$3)),1,0),0)))</f>
        <v>0</v>
      </c>
      <c r="L3181" s="104" t="n">
        <f aca="false">L3180+K3181</f>
        <v>19</v>
      </c>
    </row>
    <row r="3182" customFormat="false" ht="15" hidden="true" customHeight="true" outlineLevel="0" collapsed="false">
      <c r="F3182" s="116"/>
      <c r="G3182" s="116"/>
      <c r="K3182" s="104" t="n">
        <f aca="false">IF(A3182="",0,IF(IFERROR(VLOOKUP(A3182,Skills!$A:$M,13,FALSE()),"")="COS",0,IF(OR(I3182="En cours",I3182="À venir",I3182="À planifier"),IF(AND(OR($C$3="Tous",$C$3="",C3182=$C$3),OR($E$3="Tous",$E$3="",I3182=$E$3)),1,0),0)))</f>
        <v>0</v>
      </c>
      <c r="L3182" s="104" t="n">
        <f aca="false">L3181+K3182</f>
        <v>19</v>
      </c>
    </row>
    <row r="3183" customFormat="false" ht="15" hidden="true" customHeight="true" outlineLevel="0" collapsed="false">
      <c r="F3183" s="116"/>
      <c r="G3183" s="116"/>
      <c r="K3183" s="104" t="n">
        <f aca="false">IF(A3183="",0,IF(IFERROR(VLOOKUP(A3183,Skills!$A:$M,13,FALSE()),"")="COS",0,IF(OR(I3183="En cours",I3183="À venir",I3183="À planifier"),IF(AND(OR($C$3="Tous",$C$3="",C3183=$C$3),OR($E$3="Tous",$E$3="",I3183=$E$3)),1,0),0)))</f>
        <v>0</v>
      </c>
      <c r="L3183" s="104" t="n">
        <f aca="false">L3182+K3183</f>
        <v>19</v>
      </c>
    </row>
    <row r="3184" customFormat="false" ht="15" hidden="true" customHeight="true" outlineLevel="0" collapsed="false">
      <c r="F3184" s="116"/>
      <c r="G3184" s="116"/>
      <c r="K3184" s="104" t="n">
        <f aca="false">IF(A3184="",0,IF(IFERROR(VLOOKUP(A3184,Skills!$A:$M,13,FALSE()),"")="COS",0,IF(OR(I3184="En cours",I3184="À venir",I3184="À planifier"),IF(AND(OR($C$3="Tous",$C$3="",C3184=$C$3),OR($E$3="Tous",$E$3="",I3184=$E$3)),1,0),0)))</f>
        <v>0</v>
      </c>
      <c r="L3184" s="104" t="n">
        <f aca="false">L3183+K3184</f>
        <v>19</v>
      </c>
    </row>
    <row r="3185" customFormat="false" ht="15" hidden="true" customHeight="true" outlineLevel="0" collapsed="false">
      <c r="F3185" s="116"/>
      <c r="G3185" s="116"/>
      <c r="K3185" s="104" t="n">
        <f aca="false">IF(A3185="",0,IF(IFERROR(VLOOKUP(A3185,Skills!$A:$M,13,FALSE()),"")="COS",0,IF(OR(I3185="En cours",I3185="À venir",I3185="À planifier"),IF(AND(OR($C$3="Tous",$C$3="",C3185=$C$3),OR($E$3="Tous",$E$3="",I3185=$E$3)),1,0),0)))</f>
        <v>0</v>
      </c>
      <c r="L3185" s="104" t="n">
        <f aca="false">L3184+K3185</f>
        <v>19</v>
      </c>
    </row>
    <row r="3186" customFormat="false" ht="15" hidden="true" customHeight="true" outlineLevel="0" collapsed="false">
      <c r="F3186" s="116"/>
      <c r="G3186" s="116"/>
      <c r="K3186" s="104" t="n">
        <f aca="false">IF(A3186="",0,IF(IFERROR(VLOOKUP(A3186,Skills!$A:$M,13,FALSE()),"")="COS",0,IF(OR(I3186="En cours",I3186="À venir",I3186="À planifier"),IF(AND(OR($C$3="Tous",$C$3="",C3186=$C$3),OR($E$3="Tous",$E$3="",I3186=$E$3)),1,0),0)))</f>
        <v>0</v>
      </c>
      <c r="L3186" s="104" t="n">
        <f aca="false">L3185+K3186</f>
        <v>19</v>
      </c>
    </row>
    <row r="3187" customFormat="false" ht="15" hidden="true" customHeight="true" outlineLevel="0" collapsed="false">
      <c r="F3187" s="116"/>
      <c r="G3187" s="116"/>
      <c r="K3187" s="104" t="n">
        <f aca="false">IF(A3187="",0,IF(IFERROR(VLOOKUP(A3187,Skills!$A:$M,13,FALSE()),"")="COS",0,IF(OR(I3187="En cours",I3187="À venir",I3187="À planifier"),IF(AND(OR($C$3="Tous",$C$3="",C3187=$C$3),OR($E$3="Tous",$E$3="",I3187=$E$3)),1,0),0)))</f>
        <v>0</v>
      </c>
      <c r="L3187" s="104" t="n">
        <f aca="false">L3186+K3187</f>
        <v>19</v>
      </c>
    </row>
    <row r="3188" customFormat="false" ht="15" hidden="true" customHeight="true" outlineLevel="0" collapsed="false">
      <c r="F3188" s="116"/>
      <c r="G3188" s="116"/>
      <c r="K3188" s="104" t="n">
        <f aca="false">IF(A3188="",0,IF(IFERROR(VLOOKUP(A3188,Skills!$A:$M,13,FALSE()),"")="COS",0,IF(OR(I3188="En cours",I3188="À venir",I3188="À planifier"),IF(AND(OR($C$3="Tous",$C$3="",C3188=$C$3),OR($E$3="Tous",$E$3="",I3188=$E$3)),1,0),0)))</f>
        <v>0</v>
      </c>
      <c r="L3188" s="104" t="n">
        <f aca="false">L3187+K3188</f>
        <v>19</v>
      </c>
    </row>
    <row r="3189" customFormat="false" ht="15" hidden="true" customHeight="true" outlineLevel="0" collapsed="false">
      <c r="F3189" s="116"/>
      <c r="G3189" s="116"/>
      <c r="K3189" s="104" t="n">
        <f aca="false">IF(A3189="",0,IF(IFERROR(VLOOKUP(A3189,Skills!$A:$M,13,FALSE()),"")="COS",0,IF(OR(I3189="En cours",I3189="À venir",I3189="À planifier"),IF(AND(OR($C$3="Tous",$C$3="",C3189=$C$3),OR($E$3="Tous",$E$3="",I3189=$E$3)),1,0),0)))</f>
        <v>0</v>
      </c>
      <c r="L3189" s="104" t="n">
        <f aca="false">L3188+K3189</f>
        <v>19</v>
      </c>
    </row>
    <row r="3190" customFormat="false" ht="15" hidden="true" customHeight="true" outlineLevel="0" collapsed="false">
      <c r="F3190" s="116"/>
      <c r="G3190" s="116"/>
      <c r="K3190" s="104" t="n">
        <f aca="false">IF(A3190="",0,IF(IFERROR(VLOOKUP(A3190,Skills!$A:$M,13,FALSE()),"")="COS",0,IF(OR(I3190="En cours",I3190="À venir",I3190="À planifier"),IF(AND(OR($C$3="Tous",$C$3="",C3190=$C$3),OR($E$3="Tous",$E$3="",I3190=$E$3)),1,0),0)))</f>
        <v>0</v>
      </c>
      <c r="L3190" s="104" t="n">
        <f aca="false">L3189+K3190</f>
        <v>19</v>
      </c>
    </row>
    <row r="3191" customFormat="false" ht="15" hidden="true" customHeight="true" outlineLevel="0" collapsed="false">
      <c r="F3191" s="116"/>
      <c r="G3191" s="116"/>
      <c r="K3191" s="104" t="n">
        <f aca="false">IF(A3191="",0,IF(IFERROR(VLOOKUP(A3191,Skills!$A:$M,13,FALSE()),"")="COS",0,IF(OR(I3191="En cours",I3191="À venir",I3191="À planifier"),IF(AND(OR($C$3="Tous",$C$3="",C3191=$C$3),OR($E$3="Tous",$E$3="",I3191=$E$3)),1,0),0)))</f>
        <v>0</v>
      </c>
      <c r="L3191" s="104" t="n">
        <f aca="false">L3190+K3191</f>
        <v>19</v>
      </c>
    </row>
    <row r="3192" customFormat="false" ht="15" hidden="true" customHeight="true" outlineLevel="0" collapsed="false">
      <c r="F3192" s="116"/>
      <c r="G3192" s="116"/>
      <c r="K3192" s="104" t="n">
        <f aca="false">IF(A3192="",0,IF(IFERROR(VLOOKUP(A3192,Skills!$A:$M,13,FALSE()),"")="COS",0,IF(OR(I3192="En cours",I3192="À venir",I3192="À planifier"),IF(AND(OR($C$3="Tous",$C$3="",C3192=$C$3),OR($E$3="Tous",$E$3="",I3192=$E$3)),1,0),0)))</f>
        <v>0</v>
      </c>
      <c r="L3192" s="104" t="n">
        <f aca="false">L3191+K3192</f>
        <v>19</v>
      </c>
    </row>
    <row r="3193" customFormat="false" ht="15" hidden="true" customHeight="true" outlineLevel="0" collapsed="false">
      <c r="F3193" s="116"/>
      <c r="G3193" s="116"/>
      <c r="K3193" s="104" t="n">
        <f aca="false">IF(A3193="",0,IF(IFERROR(VLOOKUP(A3193,Skills!$A:$M,13,FALSE()),"")="COS",0,IF(OR(I3193="En cours",I3193="À venir",I3193="À planifier"),IF(AND(OR($C$3="Tous",$C$3="",C3193=$C$3),OR($E$3="Tous",$E$3="",I3193=$E$3)),1,0),0)))</f>
        <v>0</v>
      </c>
      <c r="L3193" s="104" t="n">
        <f aca="false">L3192+K3193</f>
        <v>19</v>
      </c>
    </row>
    <row r="3194" customFormat="false" ht="15" hidden="true" customHeight="true" outlineLevel="0" collapsed="false">
      <c r="F3194" s="116"/>
      <c r="G3194" s="116"/>
      <c r="K3194" s="104" t="n">
        <f aca="false">IF(A3194="",0,IF(IFERROR(VLOOKUP(A3194,Skills!$A:$M,13,FALSE()),"")="COS",0,IF(OR(I3194="En cours",I3194="À venir",I3194="À planifier"),IF(AND(OR($C$3="Tous",$C$3="",C3194=$C$3),OR($E$3="Tous",$E$3="",I3194=$E$3)),1,0),0)))</f>
        <v>0</v>
      </c>
      <c r="L3194" s="104" t="n">
        <f aca="false">L3193+K3194</f>
        <v>19</v>
      </c>
    </row>
    <row r="3195" customFormat="false" ht="15" hidden="true" customHeight="true" outlineLevel="0" collapsed="false">
      <c r="F3195" s="116"/>
      <c r="G3195" s="116"/>
      <c r="K3195" s="104" t="n">
        <f aca="false">IF(A3195="",0,IF(IFERROR(VLOOKUP(A3195,Skills!$A:$M,13,FALSE()),"")="COS",0,IF(OR(I3195="En cours",I3195="À venir",I3195="À planifier"),IF(AND(OR($C$3="Tous",$C$3="",C3195=$C$3),OR($E$3="Tous",$E$3="",I3195=$E$3)),1,0),0)))</f>
        <v>0</v>
      </c>
      <c r="L3195" s="104" t="n">
        <f aca="false">L3194+K3195</f>
        <v>19</v>
      </c>
    </row>
    <row r="3196" customFormat="false" ht="15" hidden="true" customHeight="true" outlineLevel="0" collapsed="false">
      <c r="F3196" s="116"/>
      <c r="G3196" s="116"/>
      <c r="K3196" s="104" t="n">
        <f aca="false">IF(A3196="",0,IF(IFERROR(VLOOKUP(A3196,Skills!$A:$M,13,FALSE()),"")="COS",0,IF(OR(I3196="En cours",I3196="À venir",I3196="À planifier"),IF(AND(OR($C$3="Tous",$C$3="",C3196=$C$3),OR($E$3="Tous",$E$3="",I3196=$E$3)),1,0),0)))</f>
        <v>0</v>
      </c>
      <c r="L3196" s="104" t="n">
        <f aca="false">L3195+K3196</f>
        <v>19</v>
      </c>
    </row>
    <row r="3197" customFormat="false" ht="15" hidden="true" customHeight="true" outlineLevel="0" collapsed="false">
      <c r="F3197" s="116"/>
      <c r="G3197" s="116"/>
      <c r="K3197" s="104" t="n">
        <f aca="false">IF(A3197="",0,IF(IFERROR(VLOOKUP(A3197,Skills!$A:$M,13,FALSE()),"")="COS",0,IF(OR(I3197="En cours",I3197="À venir",I3197="À planifier"),IF(AND(OR($C$3="Tous",$C$3="",C3197=$C$3),OR($E$3="Tous",$E$3="",I3197=$E$3)),1,0),0)))</f>
        <v>0</v>
      </c>
      <c r="L3197" s="104" t="n">
        <f aca="false">L3196+K3197</f>
        <v>19</v>
      </c>
    </row>
    <row r="3198" customFormat="false" ht="15" hidden="true" customHeight="true" outlineLevel="0" collapsed="false">
      <c r="F3198" s="116"/>
      <c r="G3198" s="116"/>
      <c r="K3198" s="104" t="n">
        <f aca="false">IF(A3198="",0,IF(IFERROR(VLOOKUP(A3198,Skills!$A:$M,13,FALSE()),"")="COS",0,IF(OR(I3198="En cours",I3198="À venir",I3198="À planifier"),IF(AND(OR($C$3="Tous",$C$3="",C3198=$C$3),OR($E$3="Tous",$E$3="",I3198=$E$3)),1,0),0)))</f>
        <v>0</v>
      </c>
      <c r="L3198" s="104" t="n">
        <f aca="false">L3197+K3198</f>
        <v>19</v>
      </c>
    </row>
    <row r="3199" customFormat="false" ht="15" hidden="true" customHeight="true" outlineLevel="0" collapsed="false">
      <c r="F3199" s="116"/>
      <c r="G3199" s="116"/>
      <c r="K3199" s="104" t="n">
        <f aca="false">IF(A3199="",0,IF(IFERROR(VLOOKUP(A3199,Skills!$A:$M,13,FALSE()),"")="COS",0,IF(OR(I3199="En cours",I3199="À venir",I3199="À planifier"),IF(AND(OR($C$3="Tous",$C$3="",C3199=$C$3),OR($E$3="Tous",$E$3="",I3199=$E$3)),1,0),0)))</f>
        <v>0</v>
      </c>
      <c r="L3199" s="104" t="n">
        <f aca="false">L3198+K3199</f>
        <v>19</v>
      </c>
    </row>
    <row r="3200" customFormat="false" ht="15" hidden="true" customHeight="true" outlineLevel="0" collapsed="false">
      <c r="F3200" s="116"/>
      <c r="G3200" s="116"/>
      <c r="K3200" s="104" t="n">
        <f aca="false">IF(A3200="",0,IF(IFERROR(VLOOKUP(A3200,Skills!$A:$M,13,FALSE()),"")="COS",0,IF(OR(I3200="En cours",I3200="À venir",I3200="À planifier"),IF(AND(OR($C$3="Tous",$C$3="",C3200=$C$3),OR($E$3="Tous",$E$3="",I3200=$E$3)),1,0),0)))</f>
        <v>0</v>
      </c>
      <c r="L3200" s="104" t="n">
        <f aca="false">L3199+K3200</f>
        <v>19</v>
      </c>
    </row>
    <row r="3201" customFormat="false" ht="15" hidden="true" customHeight="true" outlineLevel="0" collapsed="false">
      <c r="F3201" s="116"/>
      <c r="G3201" s="116"/>
      <c r="K3201" s="104" t="n">
        <f aca="false">IF(A3201="",0,IF(IFERROR(VLOOKUP(A3201,Skills!$A:$M,13,FALSE()),"")="COS",0,IF(OR(I3201="En cours",I3201="À venir",I3201="À planifier"),IF(AND(OR($C$3="Tous",$C$3="",C3201=$C$3),OR($E$3="Tous",$E$3="",I3201=$E$3)),1,0),0)))</f>
        <v>0</v>
      </c>
      <c r="L3201" s="104" t="n">
        <f aca="false">L3200+K3201</f>
        <v>19</v>
      </c>
    </row>
    <row r="3202" customFormat="false" ht="15" hidden="true" customHeight="true" outlineLevel="0" collapsed="false">
      <c r="F3202" s="116"/>
      <c r="G3202" s="116"/>
      <c r="K3202" s="104" t="n">
        <f aca="false">IF(A3202="",0,IF(IFERROR(VLOOKUP(A3202,Skills!$A:$M,13,FALSE()),"")="COS",0,IF(OR(I3202="En cours",I3202="À venir",I3202="À planifier"),IF(AND(OR($C$3="Tous",$C$3="",C3202=$C$3),OR($E$3="Tous",$E$3="",I3202=$E$3)),1,0),0)))</f>
        <v>0</v>
      </c>
      <c r="L3202" s="104" t="n">
        <f aca="false">L3201+K3202</f>
        <v>19</v>
      </c>
    </row>
    <row r="3203" customFormat="false" ht="15" hidden="true" customHeight="true" outlineLevel="0" collapsed="false">
      <c r="F3203" s="116"/>
      <c r="G3203" s="116"/>
      <c r="K3203" s="104" t="n">
        <f aca="false">IF(A3203="",0,IF(IFERROR(VLOOKUP(A3203,Skills!$A:$M,13,FALSE()),"")="COS",0,IF(OR(I3203="En cours",I3203="À venir",I3203="À planifier"),IF(AND(OR($C$3="Tous",$C$3="",C3203=$C$3),OR($E$3="Tous",$E$3="",I3203=$E$3)),1,0),0)))</f>
        <v>0</v>
      </c>
      <c r="L3203" s="104" t="n">
        <f aca="false">L3202+K3203</f>
        <v>19</v>
      </c>
    </row>
    <row r="3204" customFormat="false" ht="15" hidden="true" customHeight="true" outlineLevel="0" collapsed="false">
      <c r="F3204" s="116"/>
      <c r="G3204" s="116"/>
      <c r="K3204" s="104" t="n">
        <f aca="false">IF(A3204="",0,IF(IFERROR(VLOOKUP(A3204,Skills!$A:$M,13,FALSE()),"")="COS",0,IF(OR(I3204="En cours",I3204="À venir",I3204="À planifier"),IF(AND(OR($C$3="Tous",$C$3="",C3204=$C$3),OR($E$3="Tous",$E$3="",I3204=$E$3)),1,0),0)))</f>
        <v>0</v>
      </c>
      <c r="L3204" s="104" t="n">
        <f aca="false">L3203+K3204</f>
        <v>19</v>
      </c>
    </row>
    <row r="3205" customFormat="false" ht="15" hidden="true" customHeight="true" outlineLevel="0" collapsed="false">
      <c r="F3205" s="116"/>
      <c r="G3205" s="116"/>
      <c r="K3205" s="104" t="n">
        <f aca="false">IF(A3205="",0,IF(IFERROR(VLOOKUP(A3205,Skills!$A:$M,13,FALSE()),"")="COS",0,IF(OR(I3205="En cours",I3205="À venir",I3205="À planifier"),IF(AND(OR($C$3="Tous",$C$3="",C3205=$C$3),OR($E$3="Tous",$E$3="",I3205=$E$3)),1,0),0)))</f>
        <v>0</v>
      </c>
      <c r="L3205" s="104" t="n">
        <f aca="false">L3204+K3205</f>
        <v>19</v>
      </c>
    </row>
    <row r="3206" customFormat="false" ht="15" hidden="true" customHeight="true" outlineLevel="0" collapsed="false">
      <c r="F3206" s="116"/>
      <c r="G3206" s="116"/>
      <c r="K3206" s="104" t="n">
        <f aca="false">IF(A3206="",0,IF(IFERROR(VLOOKUP(A3206,Skills!$A:$M,13,FALSE()),"")="COS",0,IF(OR(I3206="En cours",I3206="À venir",I3206="À planifier"),IF(AND(OR($C$3="Tous",$C$3="",C3206=$C$3),OR($E$3="Tous",$E$3="",I3206=$E$3)),1,0),0)))</f>
        <v>0</v>
      </c>
      <c r="L3206" s="104" t="n">
        <f aca="false">L3205+K3206</f>
        <v>19</v>
      </c>
    </row>
    <row r="3207" customFormat="false" ht="15" hidden="true" customHeight="true" outlineLevel="0" collapsed="false">
      <c r="F3207" s="116"/>
      <c r="G3207" s="116"/>
      <c r="K3207" s="104" t="n">
        <f aca="false">IF(A3207="",0,IF(IFERROR(VLOOKUP(A3207,Skills!$A:$M,13,FALSE()),"")="COS",0,IF(OR(I3207="En cours",I3207="À venir",I3207="À planifier"),IF(AND(OR($C$3="Tous",$C$3="",C3207=$C$3),OR($E$3="Tous",$E$3="",I3207=$E$3)),1,0),0)))</f>
        <v>0</v>
      </c>
      <c r="L3207" s="104" t="n">
        <f aca="false">L3206+K3207</f>
        <v>19</v>
      </c>
    </row>
    <row r="3208" customFormat="false" ht="15" hidden="true" customHeight="true" outlineLevel="0" collapsed="false">
      <c r="F3208" s="116"/>
      <c r="G3208" s="116"/>
      <c r="K3208" s="104" t="n">
        <f aca="false">IF(A3208="",0,IF(IFERROR(VLOOKUP(A3208,Skills!$A:$M,13,FALSE()),"")="COS",0,IF(OR(I3208="En cours",I3208="À venir",I3208="À planifier"),IF(AND(OR($C$3="Tous",$C$3="",C3208=$C$3),OR($E$3="Tous",$E$3="",I3208=$E$3)),1,0),0)))</f>
        <v>0</v>
      </c>
      <c r="L3208" s="104" t="n">
        <f aca="false">L3207+K3208</f>
        <v>19</v>
      </c>
    </row>
    <row r="3209" customFormat="false" ht="15" hidden="true" customHeight="true" outlineLevel="0" collapsed="false">
      <c r="F3209" s="116"/>
      <c r="G3209" s="116"/>
      <c r="K3209" s="104" t="n">
        <f aca="false">IF(A3209="",0,IF(IFERROR(VLOOKUP(A3209,Skills!$A:$M,13,FALSE()),"")="COS",0,IF(OR(I3209="En cours",I3209="À venir",I3209="À planifier"),IF(AND(OR($C$3="Tous",$C$3="",C3209=$C$3),OR($E$3="Tous",$E$3="",I3209=$E$3)),1,0),0)))</f>
        <v>0</v>
      </c>
      <c r="L3209" s="104" t="n">
        <f aca="false">L3208+K3209</f>
        <v>19</v>
      </c>
    </row>
    <row r="3210" customFormat="false" ht="15" hidden="true" customHeight="true" outlineLevel="0" collapsed="false">
      <c r="F3210" s="116"/>
      <c r="G3210" s="116"/>
      <c r="K3210" s="104" t="n">
        <f aca="false">IF(A3210="",0,IF(IFERROR(VLOOKUP(A3210,Skills!$A:$M,13,FALSE()),"")="COS",0,IF(OR(I3210="En cours",I3210="À venir",I3210="À planifier"),IF(AND(OR($C$3="Tous",$C$3="",C3210=$C$3),OR($E$3="Tous",$E$3="",I3210=$E$3)),1,0),0)))</f>
        <v>0</v>
      </c>
      <c r="L3210" s="104" t="n">
        <f aca="false">L3209+K3210</f>
        <v>19</v>
      </c>
    </row>
    <row r="3211" customFormat="false" ht="15" hidden="true" customHeight="true" outlineLevel="0" collapsed="false">
      <c r="F3211" s="116"/>
      <c r="G3211" s="116"/>
      <c r="K3211" s="104" t="n">
        <f aca="false">IF(A3211="",0,IF(IFERROR(VLOOKUP(A3211,Skills!$A:$M,13,FALSE()),"")="COS",0,IF(OR(I3211="En cours",I3211="À venir",I3211="À planifier"),IF(AND(OR($C$3="Tous",$C$3="",C3211=$C$3),OR($E$3="Tous",$E$3="",I3211=$E$3)),1,0),0)))</f>
        <v>0</v>
      </c>
      <c r="L3211" s="104" t="n">
        <f aca="false">L3210+K3211</f>
        <v>19</v>
      </c>
    </row>
    <row r="3212" customFormat="false" ht="15" hidden="true" customHeight="true" outlineLevel="0" collapsed="false">
      <c r="F3212" s="116"/>
      <c r="G3212" s="116"/>
      <c r="K3212" s="104" t="n">
        <f aca="false">IF(A3212="",0,IF(IFERROR(VLOOKUP(A3212,Skills!$A:$M,13,FALSE()),"")="COS",0,IF(OR(I3212="En cours",I3212="À venir",I3212="À planifier"),IF(AND(OR($C$3="Tous",$C$3="",C3212=$C$3),OR($E$3="Tous",$E$3="",I3212=$E$3)),1,0),0)))</f>
        <v>0</v>
      </c>
      <c r="L3212" s="104" t="n">
        <f aca="false">L3211+K3212</f>
        <v>19</v>
      </c>
    </row>
    <row r="3213" customFormat="false" ht="15" hidden="true" customHeight="true" outlineLevel="0" collapsed="false">
      <c r="F3213" s="116"/>
      <c r="G3213" s="116"/>
      <c r="K3213" s="104" t="n">
        <f aca="false">IF(A3213="",0,IF(IFERROR(VLOOKUP(A3213,Skills!$A:$M,13,FALSE()),"")="COS",0,IF(OR(I3213="En cours",I3213="À venir",I3213="À planifier"),IF(AND(OR($C$3="Tous",$C$3="",C3213=$C$3),OR($E$3="Tous",$E$3="",I3213=$E$3)),1,0),0)))</f>
        <v>0</v>
      </c>
      <c r="L3213" s="104" t="n">
        <f aca="false">L3212+K3213</f>
        <v>19</v>
      </c>
    </row>
    <row r="3214" customFormat="false" ht="15" hidden="true" customHeight="true" outlineLevel="0" collapsed="false">
      <c r="F3214" s="116"/>
      <c r="G3214" s="116"/>
      <c r="K3214" s="104" t="n">
        <f aca="false">IF(A3214="",0,IF(IFERROR(VLOOKUP(A3214,Skills!$A:$M,13,FALSE()),"")="COS",0,IF(OR(I3214="En cours",I3214="À venir",I3214="À planifier"),IF(AND(OR($C$3="Tous",$C$3="",C3214=$C$3),OR($E$3="Tous",$E$3="",I3214=$E$3)),1,0),0)))</f>
        <v>0</v>
      </c>
      <c r="L3214" s="104" t="n">
        <f aca="false">L3213+K3214</f>
        <v>19</v>
      </c>
    </row>
    <row r="3215" customFormat="false" ht="15" hidden="true" customHeight="true" outlineLevel="0" collapsed="false">
      <c r="F3215" s="116"/>
      <c r="G3215" s="116"/>
      <c r="K3215" s="104" t="n">
        <f aca="false">IF(A3215="",0,IF(IFERROR(VLOOKUP(A3215,Skills!$A:$M,13,FALSE()),"")="COS",0,IF(OR(I3215="En cours",I3215="À venir",I3215="À planifier"),IF(AND(OR($C$3="Tous",$C$3="",C3215=$C$3),OR($E$3="Tous",$E$3="",I3215=$E$3)),1,0),0)))</f>
        <v>0</v>
      </c>
      <c r="L3215" s="104" t="n">
        <f aca="false">L3214+K3215</f>
        <v>19</v>
      </c>
    </row>
    <row r="3216" customFormat="false" ht="15" hidden="true" customHeight="true" outlineLevel="0" collapsed="false">
      <c r="F3216" s="116"/>
      <c r="G3216" s="116"/>
      <c r="K3216" s="104" t="n">
        <f aca="false">IF(A3216="",0,IF(IFERROR(VLOOKUP(A3216,Skills!$A:$M,13,FALSE()),"")="COS",0,IF(OR(I3216="En cours",I3216="À venir",I3216="À planifier"),IF(AND(OR($C$3="Tous",$C$3="",C3216=$C$3),OR($E$3="Tous",$E$3="",I3216=$E$3)),1,0),0)))</f>
        <v>0</v>
      </c>
      <c r="L3216" s="104" t="n">
        <f aca="false">L3215+K3216</f>
        <v>19</v>
      </c>
    </row>
    <row r="3217" customFormat="false" ht="15" hidden="true" customHeight="true" outlineLevel="0" collapsed="false">
      <c r="F3217" s="116"/>
      <c r="G3217" s="116"/>
      <c r="K3217" s="104" t="n">
        <f aca="false">IF(A3217="",0,IF(IFERROR(VLOOKUP(A3217,Skills!$A:$M,13,FALSE()),"")="COS",0,IF(OR(I3217="En cours",I3217="À venir",I3217="À planifier"),IF(AND(OR($C$3="Tous",$C$3="",C3217=$C$3),OR($E$3="Tous",$E$3="",I3217=$E$3)),1,0),0)))</f>
        <v>0</v>
      </c>
      <c r="L3217" s="104" t="n">
        <f aca="false">L3216+K3217</f>
        <v>19</v>
      </c>
    </row>
    <row r="3218" customFormat="false" ht="15" hidden="true" customHeight="true" outlineLevel="0" collapsed="false">
      <c r="F3218" s="116"/>
      <c r="G3218" s="116"/>
      <c r="K3218" s="104" t="n">
        <f aca="false">IF(A3218="",0,IF(IFERROR(VLOOKUP(A3218,Skills!$A:$M,13,FALSE()),"")="COS",0,IF(OR(I3218="En cours",I3218="À venir",I3218="À planifier"),IF(AND(OR($C$3="Tous",$C$3="",C3218=$C$3),OR($E$3="Tous",$E$3="",I3218=$E$3)),1,0),0)))</f>
        <v>0</v>
      </c>
      <c r="L3218" s="104" t="n">
        <f aca="false">L3217+K3218</f>
        <v>19</v>
      </c>
    </row>
    <row r="3219" customFormat="false" ht="15" hidden="true" customHeight="true" outlineLevel="0" collapsed="false">
      <c r="F3219" s="116"/>
      <c r="G3219" s="116"/>
      <c r="K3219" s="104" t="n">
        <f aca="false">IF(A3219="",0,IF(IFERROR(VLOOKUP(A3219,Skills!$A:$M,13,FALSE()),"")="COS",0,IF(OR(I3219="En cours",I3219="À venir",I3219="À planifier"),IF(AND(OR($C$3="Tous",$C$3="",C3219=$C$3),OR($E$3="Tous",$E$3="",I3219=$E$3)),1,0),0)))</f>
        <v>0</v>
      </c>
      <c r="L3219" s="104" t="n">
        <f aca="false">L3218+K3219</f>
        <v>19</v>
      </c>
    </row>
    <row r="3220" customFormat="false" ht="15" hidden="true" customHeight="true" outlineLevel="0" collapsed="false">
      <c r="F3220" s="116"/>
      <c r="G3220" s="116"/>
      <c r="K3220" s="104" t="n">
        <f aca="false">IF(A3220="",0,IF(IFERROR(VLOOKUP(A3220,Skills!$A:$M,13,FALSE()),"")="COS",0,IF(OR(I3220="En cours",I3220="À venir",I3220="À planifier"),IF(AND(OR($C$3="Tous",$C$3="",C3220=$C$3),OR($E$3="Tous",$E$3="",I3220=$E$3)),1,0),0)))</f>
        <v>0</v>
      </c>
      <c r="L3220" s="104" t="n">
        <f aca="false">L3219+K3220</f>
        <v>19</v>
      </c>
    </row>
    <row r="3221" customFormat="false" ht="15" hidden="true" customHeight="true" outlineLevel="0" collapsed="false">
      <c r="F3221" s="116"/>
      <c r="G3221" s="116"/>
      <c r="K3221" s="104" t="n">
        <f aca="false">IF(A3221="",0,IF(IFERROR(VLOOKUP(A3221,Skills!$A:$M,13,FALSE()),"")="COS",0,IF(OR(I3221="En cours",I3221="À venir",I3221="À planifier"),IF(AND(OR($C$3="Tous",$C$3="",C3221=$C$3),OR($E$3="Tous",$E$3="",I3221=$E$3)),1,0),0)))</f>
        <v>0</v>
      </c>
      <c r="L3221" s="104" t="n">
        <f aca="false">L3220+K3221</f>
        <v>19</v>
      </c>
    </row>
    <row r="3222" customFormat="false" ht="15" hidden="true" customHeight="true" outlineLevel="0" collapsed="false">
      <c r="F3222" s="116"/>
      <c r="G3222" s="116"/>
      <c r="K3222" s="104" t="n">
        <f aca="false">IF(A3222="",0,IF(IFERROR(VLOOKUP(A3222,Skills!$A:$M,13,FALSE()),"")="COS",0,IF(OR(I3222="En cours",I3222="À venir",I3222="À planifier"),IF(AND(OR($C$3="Tous",$C$3="",C3222=$C$3),OR($E$3="Tous",$E$3="",I3222=$E$3)),1,0),0)))</f>
        <v>0</v>
      </c>
      <c r="L3222" s="104" t="n">
        <f aca="false">L3221+K3222</f>
        <v>19</v>
      </c>
    </row>
    <row r="3223" customFormat="false" ht="15" hidden="true" customHeight="true" outlineLevel="0" collapsed="false">
      <c r="F3223" s="116"/>
      <c r="G3223" s="116"/>
      <c r="K3223" s="104" t="n">
        <f aca="false">IF(A3223="",0,IF(IFERROR(VLOOKUP(A3223,Skills!$A:$M,13,FALSE()),"")="COS",0,IF(OR(I3223="En cours",I3223="À venir",I3223="À planifier"),IF(AND(OR($C$3="Tous",$C$3="",C3223=$C$3),OR($E$3="Tous",$E$3="",I3223=$E$3)),1,0),0)))</f>
        <v>0</v>
      </c>
      <c r="L3223" s="104" t="n">
        <f aca="false">L3222+K3223</f>
        <v>19</v>
      </c>
    </row>
    <row r="3224" customFormat="false" ht="15" hidden="true" customHeight="true" outlineLevel="0" collapsed="false">
      <c r="F3224" s="116"/>
      <c r="G3224" s="116"/>
      <c r="K3224" s="104" t="n">
        <f aca="false">IF(A3224="",0,IF(IFERROR(VLOOKUP(A3224,Skills!$A:$M,13,FALSE()),"")="COS",0,IF(OR(I3224="En cours",I3224="À venir",I3224="À planifier"),IF(AND(OR($C$3="Tous",$C$3="",C3224=$C$3),OR($E$3="Tous",$E$3="",I3224=$E$3)),1,0),0)))</f>
        <v>0</v>
      </c>
      <c r="L3224" s="104" t="n">
        <f aca="false">L3223+K3224</f>
        <v>19</v>
      </c>
    </row>
    <row r="3225" customFormat="false" ht="15" hidden="true" customHeight="true" outlineLevel="0" collapsed="false">
      <c r="F3225" s="116"/>
      <c r="G3225" s="116"/>
      <c r="K3225" s="104" t="n">
        <f aca="false">IF(A3225="",0,IF(IFERROR(VLOOKUP(A3225,Skills!$A:$M,13,FALSE()),"")="COS",0,IF(OR(I3225="En cours",I3225="À venir",I3225="À planifier"),IF(AND(OR($C$3="Tous",$C$3="",C3225=$C$3),OR($E$3="Tous",$E$3="",I3225=$E$3)),1,0),0)))</f>
        <v>0</v>
      </c>
      <c r="L3225" s="104" t="n">
        <f aca="false">L3224+K3225</f>
        <v>19</v>
      </c>
    </row>
    <row r="3226" customFormat="false" ht="15" hidden="true" customHeight="true" outlineLevel="0" collapsed="false">
      <c r="F3226" s="116"/>
      <c r="G3226" s="116"/>
      <c r="K3226" s="104" t="n">
        <f aca="false">IF(A3226="",0,IF(IFERROR(VLOOKUP(A3226,Skills!$A:$M,13,FALSE()),"")="COS",0,IF(OR(I3226="En cours",I3226="À venir",I3226="À planifier"),IF(AND(OR($C$3="Tous",$C$3="",C3226=$C$3),OR($E$3="Tous",$E$3="",I3226=$E$3)),1,0),0)))</f>
        <v>0</v>
      </c>
      <c r="L3226" s="104" t="n">
        <f aca="false">L3225+K3226</f>
        <v>19</v>
      </c>
    </row>
    <row r="3227" customFormat="false" ht="15" hidden="true" customHeight="true" outlineLevel="0" collapsed="false">
      <c r="F3227" s="116"/>
      <c r="G3227" s="116"/>
      <c r="K3227" s="104" t="n">
        <f aca="false">IF(A3227="",0,IF(IFERROR(VLOOKUP(A3227,Skills!$A:$M,13,FALSE()),"")="COS",0,IF(OR(I3227="En cours",I3227="À venir",I3227="À planifier"),IF(AND(OR($C$3="Tous",$C$3="",C3227=$C$3),OR($E$3="Tous",$E$3="",I3227=$E$3)),1,0),0)))</f>
        <v>0</v>
      </c>
      <c r="L3227" s="104" t="n">
        <f aca="false">L3226+K3227</f>
        <v>19</v>
      </c>
    </row>
    <row r="3228" customFormat="false" ht="15" hidden="true" customHeight="true" outlineLevel="0" collapsed="false">
      <c r="F3228" s="116"/>
      <c r="G3228" s="116"/>
      <c r="K3228" s="104" t="n">
        <f aca="false">IF(A3228="",0,IF(IFERROR(VLOOKUP(A3228,Skills!$A:$M,13,FALSE()),"")="COS",0,IF(OR(I3228="En cours",I3228="À venir",I3228="À planifier"),IF(AND(OR($C$3="Tous",$C$3="",C3228=$C$3),OR($E$3="Tous",$E$3="",I3228=$E$3)),1,0),0)))</f>
        <v>0</v>
      </c>
      <c r="L3228" s="104" t="n">
        <f aca="false">L3227+K3228</f>
        <v>19</v>
      </c>
    </row>
    <row r="3229" customFormat="false" ht="15" hidden="true" customHeight="true" outlineLevel="0" collapsed="false">
      <c r="F3229" s="116"/>
      <c r="G3229" s="116"/>
      <c r="K3229" s="104" t="n">
        <f aca="false">IF(A3229="",0,IF(IFERROR(VLOOKUP(A3229,Skills!$A:$M,13,FALSE()),"")="COS",0,IF(OR(I3229="En cours",I3229="À venir",I3229="À planifier"),IF(AND(OR($C$3="Tous",$C$3="",C3229=$C$3),OR($E$3="Tous",$E$3="",I3229=$E$3)),1,0),0)))</f>
        <v>0</v>
      </c>
      <c r="L3229" s="104" t="n">
        <f aca="false">L3228+K3229</f>
        <v>19</v>
      </c>
    </row>
    <row r="3230" customFormat="false" ht="15" hidden="true" customHeight="true" outlineLevel="0" collapsed="false">
      <c r="F3230" s="116"/>
      <c r="G3230" s="116"/>
      <c r="K3230" s="104" t="n">
        <f aca="false">IF(A3230="",0,IF(IFERROR(VLOOKUP(A3230,Skills!$A:$M,13,FALSE()),"")="COS",0,IF(OR(I3230="En cours",I3230="À venir",I3230="À planifier"),IF(AND(OR($C$3="Tous",$C$3="",C3230=$C$3),OR($E$3="Tous",$E$3="",I3230=$E$3)),1,0),0)))</f>
        <v>0</v>
      </c>
      <c r="L3230" s="104" t="n">
        <f aca="false">L3229+K3230</f>
        <v>19</v>
      </c>
    </row>
    <row r="3231" customFormat="false" ht="15" hidden="true" customHeight="true" outlineLevel="0" collapsed="false">
      <c r="F3231" s="116"/>
      <c r="G3231" s="116"/>
      <c r="K3231" s="104" t="n">
        <f aca="false">IF(A3231="",0,IF(IFERROR(VLOOKUP(A3231,Skills!$A:$M,13,FALSE()),"")="COS",0,IF(OR(I3231="En cours",I3231="À venir",I3231="À planifier"),IF(AND(OR($C$3="Tous",$C$3="",C3231=$C$3),OR($E$3="Tous",$E$3="",I3231=$E$3)),1,0),0)))</f>
        <v>0</v>
      </c>
      <c r="L3231" s="104" t="n">
        <f aca="false">L3230+K3231</f>
        <v>19</v>
      </c>
    </row>
    <row r="3232" customFormat="false" ht="15" hidden="true" customHeight="true" outlineLevel="0" collapsed="false">
      <c r="F3232" s="116"/>
      <c r="G3232" s="116"/>
      <c r="K3232" s="104" t="n">
        <f aca="false">IF(A3232="",0,IF(IFERROR(VLOOKUP(A3232,Skills!$A:$M,13,FALSE()),"")="COS",0,IF(OR(I3232="En cours",I3232="À venir",I3232="À planifier"),IF(AND(OR($C$3="Tous",$C$3="",C3232=$C$3),OR($E$3="Tous",$E$3="",I3232=$E$3)),1,0),0)))</f>
        <v>0</v>
      </c>
      <c r="L3232" s="104" t="n">
        <f aca="false">L3231+K3232</f>
        <v>19</v>
      </c>
    </row>
    <row r="3233" customFormat="false" ht="15" hidden="true" customHeight="true" outlineLevel="0" collapsed="false">
      <c r="F3233" s="116"/>
      <c r="G3233" s="116"/>
      <c r="K3233" s="104" t="n">
        <f aca="false">IF(A3233="",0,IF(IFERROR(VLOOKUP(A3233,Skills!$A:$M,13,FALSE()),"")="COS",0,IF(OR(I3233="En cours",I3233="À venir",I3233="À planifier"),IF(AND(OR($C$3="Tous",$C$3="",C3233=$C$3),OR($E$3="Tous",$E$3="",I3233=$E$3)),1,0),0)))</f>
        <v>0</v>
      </c>
      <c r="L3233" s="104" t="n">
        <f aca="false">L3232+K3233</f>
        <v>19</v>
      </c>
    </row>
    <row r="3234" customFormat="false" ht="15" hidden="true" customHeight="true" outlineLevel="0" collapsed="false">
      <c r="F3234" s="116"/>
      <c r="G3234" s="116"/>
      <c r="K3234" s="104" t="n">
        <f aca="false">IF(A3234="",0,IF(IFERROR(VLOOKUP(A3234,Skills!$A:$M,13,FALSE()),"")="COS",0,IF(OR(I3234="En cours",I3234="À venir",I3234="À planifier"),IF(AND(OR($C$3="Tous",$C$3="",C3234=$C$3),OR($E$3="Tous",$E$3="",I3234=$E$3)),1,0),0)))</f>
        <v>0</v>
      </c>
      <c r="L3234" s="104" t="n">
        <f aca="false">L3233+K3234</f>
        <v>19</v>
      </c>
    </row>
    <row r="3235" customFormat="false" ht="15" hidden="true" customHeight="true" outlineLevel="0" collapsed="false">
      <c r="F3235" s="116"/>
      <c r="G3235" s="116"/>
      <c r="K3235" s="104" t="n">
        <f aca="false">IF(A3235="",0,IF(IFERROR(VLOOKUP(A3235,Skills!$A:$M,13,FALSE()),"")="COS",0,IF(OR(I3235="En cours",I3235="À venir",I3235="À planifier"),IF(AND(OR($C$3="Tous",$C$3="",C3235=$C$3),OR($E$3="Tous",$E$3="",I3235=$E$3)),1,0),0)))</f>
        <v>0</v>
      </c>
      <c r="L3235" s="104" t="n">
        <f aca="false">L3234+K3235</f>
        <v>19</v>
      </c>
    </row>
    <row r="3236" customFormat="false" ht="15" hidden="true" customHeight="true" outlineLevel="0" collapsed="false">
      <c r="F3236" s="116"/>
      <c r="G3236" s="116"/>
      <c r="K3236" s="104" t="n">
        <f aca="false">IF(A3236="",0,IF(IFERROR(VLOOKUP(A3236,Skills!$A:$M,13,FALSE()),"")="COS",0,IF(OR(I3236="En cours",I3236="À venir",I3236="À planifier"),IF(AND(OR($C$3="Tous",$C$3="",C3236=$C$3),OR($E$3="Tous",$E$3="",I3236=$E$3)),1,0),0)))</f>
        <v>0</v>
      </c>
      <c r="L3236" s="104" t="n">
        <f aca="false">L3235+K3236</f>
        <v>19</v>
      </c>
    </row>
    <row r="3237" customFormat="false" ht="15" hidden="true" customHeight="true" outlineLevel="0" collapsed="false">
      <c r="F3237" s="116"/>
      <c r="G3237" s="116"/>
      <c r="K3237" s="104" t="n">
        <f aca="false">IF(A3237="",0,IF(IFERROR(VLOOKUP(A3237,Skills!$A:$M,13,FALSE()),"")="COS",0,IF(OR(I3237="En cours",I3237="À venir",I3237="À planifier"),IF(AND(OR($C$3="Tous",$C$3="",C3237=$C$3),OR($E$3="Tous",$E$3="",I3237=$E$3)),1,0),0)))</f>
        <v>0</v>
      </c>
      <c r="L3237" s="104" t="n">
        <f aca="false">L3236+K3237</f>
        <v>19</v>
      </c>
    </row>
    <row r="3238" customFormat="false" ht="15" hidden="true" customHeight="true" outlineLevel="0" collapsed="false">
      <c r="F3238" s="116"/>
      <c r="G3238" s="116"/>
      <c r="K3238" s="104" t="n">
        <f aca="false">IF(A3238="",0,IF(IFERROR(VLOOKUP(A3238,Skills!$A:$M,13,FALSE()),"")="COS",0,IF(OR(I3238="En cours",I3238="À venir",I3238="À planifier"),IF(AND(OR($C$3="Tous",$C$3="",C3238=$C$3),OR($E$3="Tous",$E$3="",I3238=$E$3)),1,0),0)))</f>
        <v>0</v>
      </c>
      <c r="L3238" s="104" t="n">
        <f aca="false">L3237+K3238</f>
        <v>19</v>
      </c>
    </row>
    <row r="3239" customFormat="false" ht="15" hidden="true" customHeight="true" outlineLevel="0" collapsed="false">
      <c r="F3239" s="116"/>
      <c r="G3239" s="116"/>
      <c r="K3239" s="104" t="n">
        <f aca="false">IF(A3239="",0,IF(IFERROR(VLOOKUP(A3239,Skills!$A:$M,13,FALSE()),"")="COS",0,IF(OR(I3239="En cours",I3239="À venir",I3239="À planifier"),IF(AND(OR($C$3="Tous",$C$3="",C3239=$C$3),OR($E$3="Tous",$E$3="",I3239=$E$3)),1,0),0)))</f>
        <v>0</v>
      </c>
      <c r="L3239" s="104" t="n">
        <f aca="false">L3238+K3239</f>
        <v>19</v>
      </c>
    </row>
    <row r="3240" customFormat="false" ht="15" hidden="true" customHeight="true" outlineLevel="0" collapsed="false">
      <c r="F3240" s="116"/>
      <c r="G3240" s="116"/>
      <c r="K3240" s="104" t="n">
        <f aca="false">IF(A3240="",0,IF(IFERROR(VLOOKUP(A3240,Skills!$A:$M,13,FALSE()),"")="COS",0,IF(OR(I3240="En cours",I3240="À venir",I3240="À planifier"),IF(AND(OR($C$3="Tous",$C$3="",C3240=$C$3),OR($E$3="Tous",$E$3="",I3240=$E$3)),1,0),0)))</f>
        <v>0</v>
      </c>
      <c r="L3240" s="104" t="n">
        <f aca="false">L3239+K3240</f>
        <v>19</v>
      </c>
    </row>
    <row r="3241" customFormat="false" ht="15" hidden="true" customHeight="true" outlineLevel="0" collapsed="false">
      <c r="F3241" s="116"/>
      <c r="G3241" s="116"/>
      <c r="K3241" s="104" t="n">
        <f aca="false">IF(A3241="",0,IF(IFERROR(VLOOKUP(A3241,Skills!$A:$M,13,FALSE()),"")="COS",0,IF(OR(I3241="En cours",I3241="À venir",I3241="À planifier"),IF(AND(OR($C$3="Tous",$C$3="",C3241=$C$3),OR($E$3="Tous",$E$3="",I3241=$E$3)),1,0),0)))</f>
        <v>0</v>
      </c>
      <c r="L3241" s="104" t="n">
        <f aca="false">L3240+K3241</f>
        <v>19</v>
      </c>
    </row>
    <row r="3242" customFormat="false" ht="15" hidden="true" customHeight="true" outlineLevel="0" collapsed="false">
      <c r="F3242" s="116"/>
      <c r="G3242" s="116"/>
      <c r="K3242" s="104" t="n">
        <f aca="false">IF(A3242="",0,IF(IFERROR(VLOOKUP(A3242,Skills!$A:$M,13,FALSE()),"")="COS",0,IF(OR(I3242="En cours",I3242="À venir",I3242="À planifier"),IF(AND(OR($C$3="Tous",$C$3="",C3242=$C$3),OR($E$3="Tous",$E$3="",I3242=$E$3)),1,0),0)))</f>
        <v>0</v>
      </c>
      <c r="L3242" s="104" t="n">
        <f aca="false">L3241+K3242</f>
        <v>19</v>
      </c>
    </row>
    <row r="3243" customFormat="false" ht="15" hidden="true" customHeight="true" outlineLevel="0" collapsed="false">
      <c r="F3243" s="116"/>
      <c r="G3243" s="116"/>
      <c r="K3243" s="104" t="n">
        <f aca="false">IF(A3243="",0,IF(IFERROR(VLOOKUP(A3243,Skills!$A:$M,13,FALSE()),"")="COS",0,IF(OR(I3243="En cours",I3243="À venir",I3243="À planifier"),IF(AND(OR($C$3="Tous",$C$3="",C3243=$C$3),OR($E$3="Tous",$E$3="",I3243=$E$3)),1,0),0)))</f>
        <v>0</v>
      </c>
      <c r="L3243" s="104" t="n">
        <f aca="false">L3242+K3243</f>
        <v>19</v>
      </c>
    </row>
    <row r="3244" customFormat="false" ht="15" hidden="true" customHeight="true" outlineLevel="0" collapsed="false">
      <c r="F3244" s="116"/>
      <c r="G3244" s="116"/>
      <c r="K3244" s="104" t="n">
        <f aca="false">IF(A3244="",0,IF(IFERROR(VLOOKUP(A3244,Skills!$A:$M,13,FALSE()),"")="COS",0,IF(OR(I3244="En cours",I3244="À venir",I3244="À planifier"),IF(AND(OR($C$3="Tous",$C$3="",C3244=$C$3),OR($E$3="Tous",$E$3="",I3244=$E$3)),1,0),0)))</f>
        <v>0</v>
      </c>
      <c r="L3244" s="104" t="n">
        <f aca="false">L3243+K3244</f>
        <v>19</v>
      </c>
    </row>
    <row r="3245" customFormat="false" ht="15" hidden="true" customHeight="true" outlineLevel="0" collapsed="false">
      <c r="F3245" s="116"/>
      <c r="G3245" s="116"/>
      <c r="K3245" s="104" t="n">
        <f aca="false">IF(A3245="",0,IF(IFERROR(VLOOKUP(A3245,Skills!$A:$M,13,FALSE()),"")="COS",0,IF(OR(I3245="En cours",I3245="À venir",I3245="À planifier"),IF(AND(OR($C$3="Tous",$C$3="",C3245=$C$3),OR($E$3="Tous",$E$3="",I3245=$E$3)),1,0),0)))</f>
        <v>0</v>
      </c>
      <c r="L3245" s="104" t="n">
        <f aca="false">L3244+K3245</f>
        <v>19</v>
      </c>
    </row>
    <row r="3246" customFormat="false" ht="15" hidden="true" customHeight="true" outlineLevel="0" collapsed="false">
      <c r="F3246" s="116"/>
      <c r="G3246" s="116"/>
      <c r="K3246" s="104" t="n">
        <f aca="false">IF(A3246="",0,IF(IFERROR(VLOOKUP(A3246,Skills!$A:$M,13,FALSE()),"")="COS",0,IF(OR(I3246="En cours",I3246="À venir",I3246="À planifier"),IF(AND(OR($C$3="Tous",$C$3="",C3246=$C$3),OR($E$3="Tous",$E$3="",I3246=$E$3)),1,0),0)))</f>
        <v>0</v>
      </c>
      <c r="L3246" s="104" t="n">
        <f aca="false">L3245+K3246</f>
        <v>19</v>
      </c>
    </row>
    <row r="3247" customFormat="false" ht="15" hidden="true" customHeight="true" outlineLevel="0" collapsed="false">
      <c r="F3247" s="116"/>
      <c r="G3247" s="116"/>
      <c r="K3247" s="104" t="n">
        <f aca="false">IF(A3247="",0,IF(IFERROR(VLOOKUP(A3247,Skills!$A:$M,13,FALSE()),"")="COS",0,IF(OR(I3247="En cours",I3247="À venir",I3247="À planifier"),IF(AND(OR($C$3="Tous",$C$3="",C3247=$C$3),OR($E$3="Tous",$E$3="",I3247=$E$3)),1,0),0)))</f>
        <v>0</v>
      </c>
      <c r="L3247" s="104" t="n">
        <f aca="false">L3246+K3247</f>
        <v>19</v>
      </c>
    </row>
    <row r="3248" customFormat="false" ht="15" hidden="true" customHeight="true" outlineLevel="0" collapsed="false">
      <c r="F3248" s="116"/>
      <c r="G3248" s="116"/>
      <c r="K3248" s="104" t="n">
        <f aca="false">IF(A3248="",0,IF(IFERROR(VLOOKUP(A3248,Skills!$A:$M,13,FALSE()),"")="COS",0,IF(OR(I3248="En cours",I3248="À venir",I3248="À planifier"),IF(AND(OR($C$3="Tous",$C$3="",C3248=$C$3),OR($E$3="Tous",$E$3="",I3248=$E$3)),1,0),0)))</f>
        <v>0</v>
      </c>
      <c r="L3248" s="104" t="n">
        <f aca="false">L3247+K3248</f>
        <v>19</v>
      </c>
    </row>
    <row r="3249" customFormat="false" ht="15" hidden="true" customHeight="true" outlineLevel="0" collapsed="false">
      <c r="F3249" s="116"/>
      <c r="G3249" s="116"/>
      <c r="K3249" s="104" t="n">
        <f aca="false">IF(A3249="",0,IF(IFERROR(VLOOKUP(A3249,Skills!$A:$M,13,FALSE()),"")="COS",0,IF(OR(I3249="En cours",I3249="À venir",I3249="À planifier"),IF(AND(OR($C$3="Tous",$C$3="",C3249=$C$3),OR($E$3="Tous",$E$3="",I3249=$E$3)),1,0),0)))</f>
        <v>0</v>
      </c>
      <c r="L3249" s="104" t="n">
        <f aca="false">L3248+K3249</f>
        <v>19</v>
      </c>
    </row>
    <row r="3250" customFormat="false" ht="15" hidden="true" customHeight="true" outlineLevel="0" collapsed="false">
      <c r="F3250" s="116"/>
      <c r="G3250" s="116"/>
      <c r="K3250" s="104" t="n">
        <f aca="false">IF(A3250="",0,IF(IFERROR(VLOOKUP(A3250,Skills!$A:$M,13,FALSE()),"")="COS",0,IF(OR(I3250="En cours",I3250="À venir",I3250="À planifier"),IF(AND(OR($C$3="Tous",$C$3="",C3250=$C$3),OR($E$3="Tous",$E$3="",I3250=$E$3)),1,0),0)))</f>
        <v>0</v>
      </c>
      <c r="L3250" s="104" t="n">
        <f aca="false">L3249+K3250</f>
        <v>19</v>
      </c>
    </row>
    <row r="3251" customFormat="false" ht="15" hidden="true" customHeight="true" outlineLevel="0" collapsed="false">
      <c r="F3251" s="116"/>
      <c r="G3251" s="116"/>
      <c r="K3251" s="104" t="n">
        <f aca="false">IF(A3251="",0,IF(IFERROR(VLOOKUP(A3251,Skills!$A:$M,13,FALSE()),"")="COS",0,IF(OR(I3251="En cours",I3251="À venir",I3251="À planifier"),IF(AND(OR($C$3="Tous",$C$3="",C3251=$C$3),OR($E$3="Tous",$E$3="",I3251=$E$3)),1,0),0)))</f>
        <v>0</v>
      </c>
      <c r="L3251" s="104" t="n">
        <f aca="false">L3250+K3251</f>
        <v>19</v>
      </c>
    </row>
    <row r="3252" customFormat="false" ht="15" hidden="true" customHeight="true" outlineLevel="0" collapsed="false">
      <c r="F3252" s="116"/>
      <c r="G3252" s="116"/>
      <c r="K3252" s="104" t="n">
        <f aca="false">IF(A3252="",0,IF(IFERROR(VLOOKUP(A3252,Skills!$A:$M,13,FALSE()),"")="COS",0,IF(OR(I3252="En cours",I3252="À venir",I3252="À planifier"),IF(AND(OR($C$3="Tous",$C$3="",C3252=$C$3),OR($E$3="Tous",$E$3="",I3252=$E$3)),1,0),0)))</f>
        <v>0</v>
      </c>
      <c r="L3252" s="104" t="n">
        <f aca="false">L3251+K3252</f>
        <v>19</v>
      </c>
    </row>
    <row r="3253" customFormat="false" ht="15" hidden="true" customHeight="true" outlineLevel="0" collapsed="false">
      <c r="F3253" s="116"/>
      <c r="G3253" s="116"/>
      <c r="K3253" s="104" t="n">
        <f aca="false">IF(A3253="",0,IF(IFERROR(VLOOKUP(A3253,Skills!$A:$M,13,FALSE()),"")="COS",0,IF(OR(I3253="En cours",I3253="À venir",I3253="À planifier"),IF(AND(OR($C$3="Tous",$C$3="",C3253=$C$3),OR($E$3="Tous",$E$3="",I3253=$E$3)),1,0),0)))</f>
        <v>0</v>
      </c>
      <c r="L3253" s="104" t="n">
        <f aca="false">L3252+K3253</f>
        <v>19</v>
      </c>
    </row>
    <row r="3254" customFormat="false" ht="15" hidden="true" customHeight="true" outlineLevel="0" collapsed="false">
      <c r="F3254" s="116"/>
      <c r="G3254" s="116"/>
      <c r="K3254" s="104" t="n">
        <f aca="false">IF(A3254="",0,IF(IFERROR(VLOOKUP(A3254,Skills!$A:$M,13,FALSE()),"")="COS",0,IF(OR(I3254="En cours",I3254="À venir",I3254="À planifier"),IF(AND(OR($C$3="Tous",$C$3="",C3254=$C$3),OR($E$3="Tous",$E$3="",I3254=$E$3)),1,0),0)))</f>
        <v>0</v>
      </c>
      <c r="L3254" s="104" t="n">
        <f aca="false">L3253+K3254</f>
        <v>19</v>
      </c>
    </row>
    <row r="3255" customFormat="false" ht="15" hidden="true" customHeight="true" outlineLevel="0" collapsed="false">
      <c r="F3255" s="116"/>
      <c r="G3255" s="116"/>
      <c r="K3255" s="104" t="n">
        <f aca="false">IF(A3255="",0,IF(IFERROR(VLOOKUP(A3255,Skills!$A:$M,13,FALSE()),"")="COS",0,IF(OR(I3255="En cours",I3255="À venir",I3255="À planifier"),IF(AND(OR($C$3="Tous",$C$3="",C3255=$C$3),OR($E$3="Tous",$E$3="",I3255=$E$3)),1,0),0)))</f>
        <v>0</v>
      </c>
      <c r="L3255" s="104" t="n">
        <f aca="false">L3254+K3255</f>
        <v>19</v>
      </c>
    </row>
    <row r="3256" customFormat="false" ht="15" hidden="true" customHeight="true" outlineLevel="0" collapsed="false">
      <c r="F3256" s="116"/>
      <c r="G3256" s="116"/>
      <c r="K3256" s="104" t="n">
        <f aca="false">IF(A3256="",0,IF(IFERROR(VLOOKUP(A3256,Skills!$A:$M,13,FALSE()),"")="COS",0,IF(OR(I3256="En cours",I3256="À venir",I3256="À planifier"),IF(AND(OR($C$3="Tous",$C$3="",C3256=$C$3),OR($E$3="Tous",$E$3="",I3256=$E$3)),1,0),0)))</f>
        <v>0</v>
      </c>
      <c r="L3256" s="104" t="n">
        <f aca="false">L3255+K3256</f>
        <v>19</v>
      </c>
    </row>
    <row r="3257" customFormat="false" ht="15" hidden="true" customHeight="true" outlineLevel="0" collapsed="false">
      <c r="F3257" s="116"/>
      <c r="G3257" s="116"/>
      <c r="K3257" s="104" t="n">
        <f aca="false">IF(A3257="",0,IF(IFERROR(VLOOKUP(A3257,Skills!$A:$M,13,FALSE()),"")="COS",0,IF(OR(I3257="En cours",I3257="À venir",I3257="À planifier"),IF(AND(OR($C$3="Tous",$C$3="",C3257=$C$3),OR($E$3="Tous",$E$3="",I3257=$E$3)),1,0),0)))</f>
        <v>0</v>
      </c>
      <c r="L3257" s="104" t="n">
        <f aca="false">L3256+K3257</f>
        <v>19</v>
      </c>
    </row>
    <row r="3258" customFormat="false" ht="15" hidden="true" customHeight="true" outlineLevel="0" collapsed="false">
      <c r="F3258" s="116"/>
      <c r="G3258" s="116"/>
      <c r="K3258" s="104" t="n">
        <f aca="false">IF(A3258="",0,IF(IFERROR(VLOOKUP(A3258,Skills!$A:$M,13,FALSE()),"")="COS",0,IF(OR(I3258="En cours",I3258="À venir",I3258="À planifier"),IF(AND(OR($C$3="Tous",$C$3="",C3258=$C$3),OR($E$3="Tous",$E$3="",I3258=$E$3)),1,0),0)))</f>
        <v>0</v>
      </c>
      <c r="L3258" s="104" t="n">
        <f aca="false">L3257+K3258</f>
        <v>19</v>
      </c>
    </row>
    <row r="3259" customFormat="false" ht="15" hidden="true" customHeight="true" outlineLevel="0" collapsed="false">
      <c r="F3259" s="116"/>
      <c r="G3259" s="116"/>
      <c r="K3259" s="104" t="n">
        <f aca="false">IF(A3259="",0,IF(IFERROR(VLOOKUP(A3259,Skills!$A:$M,13,FALSE()),"")="COS",0,IF(OR(I3259="En cours",I3259="À venir",I3259="À planifier"),IF(AND(OR($C$3="Tous",$C$3="",C3259=$C$3),OR($E$3="Tous",$E$3="",I3259=$E$3)),1,0),0)))</f>
        <v>0</v>
      </c>
      <c r="L3259" s="104" t="n">
        <f aca="false">L3258+K3259</f>
        <v>19</v>
      </c>
    </row>
    <row r="3260" customFormat="false" ht="15" hidden="true" customHeight="true" outlineLevel="0" collapsed="false">
      <c r="F3260" s="116"/>
      <c r="G3260" s="116"/>
      <c r="K3260" s="104" t="n">
        <f aca="false">IF(A3260="",0,IF(IFERROR(VLOOKUP(A3260,Skills!$A:$M,13,FALSE()),"")="COS",0,IF(OR(I3260="En cours",I3260="À venir",I3260="À planifier"),IF(AND(OR($C$3="Tous",$C$3="",C3260=$C$3),OR($E$3="Tous",$E$3="",I3260=$E$3)),1,0),0)))</f>
        <v>0</v>
      </c>
      <c r="L3260" s="104" t="n">
        <f aca="false">L3259+K3260</f>
        <v>19</v>
      </c>
    </row>
    <row r="3261" customFormat="false" ht="15" hidden="true" customHeight="true" outlineLevel="0" collapsed="false">
      <c r="F3261" s="116"/>
      <c r="G3261" s="116"/>
      <c r="K3261" s="104" t="n">
        <f aca="false">IF(A3261="",0,IF(IFERROR(VLOOKUP(A3261,Skills!$A:$M,13,FALSE()),"")="COS",0,IF(OR(I3261="En cours",I3261="À venir",I3261="À planifier"),IF(AND(OR($C$3="Tous",$C$3="",C3261=$C$3),OR($E$3="Tous",$E$3="",I3261=$E$3)),1,0),0)))</f>
        <v>0</v>
      </c>
      <c r="L3261" s="104" t="n">
        <f aca="false">L3260+K3261</f>
        <v>19</v>
      </c>
    </row>
    <row r="3262" customFormat="false" ht="15" hidden="true" customHeight="true" outlineLevel="0" collapsed="false">
      <c r="F3262" s="116"/>
      <c r="G3262" s="116"/>
      <c r="K3262" s="104" t="n">
        <f aca="false">IF(A3262="",0,IF(IFERROR(VLOOKUP(A3262,Skills!$A:$M,13,FALSE()),"")="COS",0,IF(OR(I3262="En cours",I3262="À venir",I3262="À planifier"),IF(AND(OR($C$3="Tous",$C$3="",C3262=$C$3),OR($E$3="Tous",$E$3="",I3262=$E$3)),1,0),0)))</f>
        <v>0</v>
      </c>
      <c r="L3262" s="104" t="n">
        <f aca="false">L3261+K3262</f>
        <v>19</v>
      </c>
    </row>
    <row r="3263" customFormat="false" ht="15" hidden="true" customHeight="true" outlineLevel="0" collapsed="false">
      <c r="F3263" s="116"/>
      <c r="G3263" s="116"/>
      <c r="K3263" s="104" t="n">
        <f aca="false">IF(A3263="",0,IF(IFERROR(VLOOKUP(A3263,Skills!$A:$M,13,FALSE()),"")="COS",0,IF(OR(I3263="En cours",I3263="À venir",I3263="À planifier"),IF(AND(OR($C$3="Tous",$C$3="",C3263=$C$3),OR($E$3="Tous",$E$3="",I3263=$E$3)),1,0),0)))</f>
        <v>0</v>
      </c>
      <c r="L3263" s="104" t="n">
        <f aca="false">L3262+K3263</f>
        <v>19</v>
      </c>
    </row>
    <row r="3264" customFormat="false" ht="15" hidden="true" customHeight="true" outlineLevel="0" collapsed="false">
      <c r="F3264" s="116"/>
      <c r="G3264" s="116"/>
      <c r="K3264" s="104" t="n">
        <f aca="false">IF(A3264="",0,IF(IFERROR(VLOOKUP(A3264,Skills!$A:$M,13,FALSE()),"")="COS",0,IF(OR(I3264="En cours",I3264="À venir",I3264="À planifier"),IF(AND(OR($C$3="Tous",$C$3="",C3264=$C$3),OR($E$3="Tous",$E$3="",I3264=$E$3)),1,0),0)))</f>
        <v>0</v>
      </c>
      <c r="L3264" s="104" t="n">
        <f aca="false">L3263+K3264</f>
        <v>19</v>
      </c>
    </row>
    <row r="3265" customFormat="false" ht="15" hidden="true" customHeight="true" outlineLevel="0" collapsed="false">
      <c r="F3265" s="116"/>
      <c r="G3265" s="116"/>
      <c r="K3265" s="104" t="n">
        <f aca="false">IF(A3265="",0,IF(IFERROR(VLOOKUP(A3265,Skills!$A:$M,13,FALSE()),"")="COS",0,IF(OR(I3265="En cours",I3265="À venir",I3265="À planifier"),IF(AND(OR($C$3="Tous",$C$3="",C3265=$C$3),OR($E$3="Tous",$E$3="",I3265=$E$3)),1,0),0)))</f>
        <v>0</v>
      </c>
      <c r="L3265" s="104" t="n">
        <f aca="false">L3264+K3265</f>
        <v>19</v>
      </c>
    </row>
    <row r="3266" customFormat="false" ht="15" hidden="true" customHeight="true" outlineLevel="0" collapsed="false">
      <c r="F3266" s="116"/>
      <c r="G3266" s="116"/>
      <c r="K3266" s="104" t="n">
        <f aca="false">IF(A3266="",0,IF(IFERROR(VLOOKUP(A3266,Skills!$A:$M,13,FALSE()),"")="COS",0,IF(OR(I3266="En cours",I3266="À venir",I3266="À planifier"),IF(AND(OR($C$3="Tous",$C$3="",C3266=$C$3),OR($E$3="Tous",$E$3="",I3266=$E$3)),1,0),0)))</f>
        <v>0</v>
      </c>
      <c r="L3266" s="104" t="n">
        <f aca="false">L3265+K3266</f>
        <v>19</v>
      </c>
    </row>
    <row r="3267" customFormat="false" ht="15" hidden="true" customHeight="true" outlineLevel="0" collapsed="false">
      <c r="F3267" s="116"/>
      <c r="G3267" s="116"/>
      <c r="K3267" s="104" t="n">
        <f aca="false">IF(A3267="",0,IF(IFERROR(VLOOKUP(A3267,Skills!$A:$M,13,FALSE()),"")="COS",0,IF(OR(I3267="En cours",I3267="À venir",I3267="À planifier"),IF(AND(OR($C$3="Tous",$C$3="",C3267=$C$3),OR($E$3="Tous",$E$3="",I3267=$E$3)),1,0),0)))</f>
        <v>0</v>
      </c>
      <c r="L3267" s="104" t="n">
        <f aca="false">L3266+K3267</f>
        <v>19</v>
      </c>
    </row>
    <row r="3268" customFormat="false" ht="15" hidden="true" customHeight="true" outlineLevel="0" collapsed="false">
      <c r="F3268" s="116"/>
      <c r="G3268" s="116"/>
      <c r="K3268" s="104" t="n">
        <f aca="false">IF(A3268="",0,IF(IFERROR(VLOOKUP(A3268,Skills!$A:$M,13,FALSE()),"")="COS",0,IF(OR(I3268="En cours",I3268="À venir",I3268="À planifier"),IF(AND(OR($C$3="Tous",$C$3="",C3268=$C$3),OR($E$3="Tous",$E$3="",I3268=$E$3)),1,0),0)))</f>
        <v>0</v>
      </c>
      <c r="L3268" s="104" t="n">
        <f aca="false">L3267+K3268</f>
        <v>19</v>
      </c>
    </row>
    <row r="3269" customFormat="false" ht="15" hidden="true" customHeight="true" outlineLevel="0" collapsed="false">
      <c r="F3269" s="116"/>
      <c r="G3269" s="116"/>
      <c r="K3269" s="104" t="n">
        <f aca="false">IF(A3269="",0,IF(IFERROR(VLOOKUP(A3269,Skills!$A:$M,13,FALSE()),"")="COS",0,IF(OR(I3269="En cours",I3269="À venir",I3269="À planifier"),IF(AND(OR($C$3="Tous",$C$3="",C3269=$C$3),OR($E$3="Tous",$E$3="",I3269=$E$3)),1,0),0)))</f>
        <v>0</v>
      </c>
      <c r="L3269" s="104" t="n">
        <f aca="false">L3268+K3269</f>
        <v>19</v>
      </c>
    </row>
    <row r="3270" customFormat="false" ht="15" hidden="true" customHeight="true" outlineLevel="0" collapsed="false">
      <c r="F3270" s="116"/>
      <c r="G3270" s="116"/>
      <c r="K3270" s="104" t="n">
        <f aca="false">IF(A3270="",0,IF(IFERROR(VLOOKUP(A3270,Skills!$A:$M,13,FALSE()),"")="COS",0,IF(OR(I3270="En cours",I3270="À venir",I3270="À planifier"),IF(AND(OR($C$3="Tous",$C$3="",C3270=$C$3),OR($E$3="Tous",$E$3="",I3270=$E$3)),1,0),0)))</f>
        <v>0</v>
      </c>
      <c r="L3270" s="104" t="n">
        <f aca="false">L3269+K3270</f>
        <v>19</v>
      </c>
    </row>
    <row r="3271" customFormat="false" ht="15" hidden="true" customHeight="true" outlineLevel="0" collapsed="false">
      <c r="F3271" s="116"/>
      <c r="G3271" s="116"/>
      <c r="K3271" s="104" t="n">
        <f aca="false">IF(A3271="",0,IF(IFERROR(VLOOKUP(A3271,Skills!$A:$M,13,FALSE()),"")="COS",0,IF(OR(I3271="En cours",I3271="À venir",I3271="À planifier"),IF(AND(OR($C$3="Tous",$C$3="",C3271=$C$3),OR($E$3="Tous",$E$3="",I3271=$E$3)),1,0),0)))</f>
        <v>0</v>
      </c>
      <c r="L3271" s="104" t="n">
        <f aca="false">L3270+K3271</f>
        <v>19</v>
      </c>
    </row>
    <row r="3272" customFormat="false" ht="15" hidden="true" customHeight="true" outlineLevel="0" collapsed="false">
      <c r="F3272" s="116"/>
      <c r="G3272" s="116"/>
      <c r="K3272" s="104" t="n">
        <f aca="false">IF(A3272="",0,IF(IFERROR(VLOOKUP(A3272,Skills!$A:$M,13,FALSE()),"")="COS",0,IF(OR(I3272="En cours",I3272="À venir",I3272="À planifier"),IF(AND(OR($C$3="Tous",$C$3="",C3272=$C$3),OR($E$3="Tous",$E$3="",I3272=$E$3)),1,0),0)))</f>
        <v>0</v>
      </c>
      <c r="L3272" s="104" t="n">
        <f aca="false">L3271+K3272</f>
        <v>19</v>
      </c>
    </row>
    <row r="3273" customFormat="false" ht="15" hidden="true" customHeight="true" outlineLevel="0" collapsed="false">
      <c r="F3273" s="116"/>
      <c r="G3273" s="116"/>
      <c r="K3273" s="104" t="n">
        <f aca="false">IF(A3273="",0,IF(IFERROR(VLOOKUP(A3273,Skills!$A:$M,13,FALSE()),"")="COS",0,IF(OR(I3273="En cours",I3273="À venir",I3273="À planifier"),IF(AND(OR($C$3="Tous",$C$3="",C3273=$C$3),OR($E$3="Tous",$E$3="",I3273=$E$3)),1,0),0)))</f>
        <v>0</v>
      </c>
      <c r="L3273" s="104" t="n">
        <f aca="false">L3272+K3273</f>
        <v>19</v>
      </c>
    </row>
    <row r="3274" customFormat="false" ht="15" hidden="true" customHeight="true" outlineLevel="0" collapsed="false">
      <c r="F3274" s="116"/>
      <c r="G3274" s="116"/>
      <c r="K3274" s="104" t="n">
        <f aca="false">IF(A3274="",0,IF(IFERROR(VLOOKUP(A3274,Skills!$A:$M,13,FALSE()),"")="COS",0,IF(OR(I3274="En cours",I3274="À venir",I3274="À planifier"),IF(AND(OR($C$3="Tous",$C$3="",C3274=$C$3),OR($E$3="Tous",$E$3="",I3274=$E$3)),1,0),0)))</f>
        <v>0</v>
      </c>
      <c r="L3274" s="104" t="n">
        <f aca="false">L3273+K3274</f>
        <v>19</v>
      </c>
    </row>
    <row r="3275" customFormat="false" ht="15" hidden="true" customHeight="true" outlineLevel="0" collapsed="false">
      <c r="F3275" s="116"/>
      <c r="G3275" s="116"/>
      <c r="K3275" s="104" t="n">
        <f aca="false">IF(A3275="",0,IF(IFERROR(VLOOKUP(A3275,Skills!$A:$M,13,FALSE()),"")="COS",0,IF(OR(I3275="En cours",I3275="À venir",I3275="À planifier"),IF(AND(OR($C$3="Tous",$C$3="",C3275=$C$3),OR($E$3="Tous",$E$3="",I3275=$E$3)),1,0),0)))</f>
        <v>0</v>
      </c>
      <c r="L3275" s="104" t="n">
        <f aca="false">L3274+K3275</f>
        <v>19</v>
      </c>
    </row>
    <row r="3276" customFormat="false" ht="15" hidden="true" customHeight="true" outlineLevel="0" collapsed="false">
      <c r="F3276" s="116"/>
      <c r="G3276" s="116"/>
      <c r="K3276" s="104" t="n">
        <f aca="false">IF(A3276="",0,IF(IFERROR(VLOOKUP(A3276,Skills!$A:$M,13,FALSE()),"")="COS",0,IF(OR(I3276="En cours",I3276="À venir",I3276="À planifier"),IF(AND(OR($C$3="Tous",$C$3="",C3276=$C$3),OR($E$3="Tous",$E$3="",I3276=$E$3)),1,0),0)))</f>
        <v>0</v>
      </c>
      <c r="L3276" s="104" t="n">
        <f aca="false">L3275+K3276</f>
        <v>19</v>
      </c>
    </row>
    <row r="3277" customFormat="false" ht="15" hidden="true" customHeight="true" outlineLevel="0" collapsed="false">
      <c r="F3277" s="116"/>
      <c r="G3277" s="116"/>
      <c r="K3277" s="104" t="n">
        <f aca="false">IF(A3277="",0,IF(IFERROR(VLOOKUP(A3277,Skills!$A:$M,13,FALSE()),"")="COS",0,IF(OR(I3277="En cours",I3277="À venir",I3277="À planifier"),IF(AND(OR($C$3="Tous",$C$3="",C3277=$C$3),OR($E$3="Tous",$E$3="",I3277=$E$3)),1,0),0)))</f>
        <v>0</v>
      </c>
      <c r="L3277" s="104" t="n">
        <f aca="false">L3276+K3277</f>
        <v>19</v>
      </c>
    </row>
    <row r="3278" customFormat="false" ht="15" hidden="true" customHeight="true" outlineLevel="0" collapsed="false">
      <c r="F3278" s="116"/>
      <c r="G3278" s="116"/>
      <c r="K3278" s="104" t="n">
        <f aca="false">IF(A3278="",0,IF(IFERROR(VLOOKUP(A3278,Skills!$A:$M,13,FALSE()),"")="COS",0,IF(OR(I3278="En cours",I3278="À venir",I3278="À planifier"),IF(AND(OR($C$3="Tous",$C$3="",C3278=$C$3),OR($E$3="Tous",$E$3="",I3278=$E$3)),1,0),0)))</f>
        <v>0</v>
      </c>
      <c r="L3278" s="104" t="n">
        <f aca="false">L3277+K3278</f>
        <v>19</v>
      </c>
    </row>
    <row r="3279" customFormat="false" ht="15" hidden="true" customHeight="true" outlineLevel="0" collapsed="false">
      <c r="F3279" s="116"/>
      <c r="G3279" s="116"/>
      <c r="K3279" s="104" t="n">
        <f aca="false">IF(A3279="",0,IF(IFERROR(VLOOKUP(A3279,Skills!$A:$M,13,FALSE()),"")="COS",0,IF(OR(I3279="En cours",I3279="À venir",I3279="À planifier"),IF(AND(OR($C$3="Tous",$C$3="",C3279=$C$3),OR($E$3="Tous",$E$3="",I3279=$E$3)),1,0),0)))</f>
        <v>0</v>
      </c>
      <c r="L3279" s="104" t="n">
        <f aca="false">L3278+K3279</f>
        <v>19</v>
      </c>
    </row>
    <row r="3280" customFormat="false" ht="15" hidden="true" customHeight="true" outlineLevel="0" collapsed="false">
      <c r="F3280" s="116"/>
      <c r="G3280" s="116"/>
      <c r="K3280" s="104" t="n">
        <f aca="false">IF(A3280="",0,IF(IFERROR(VLOOKUP(A3280,Skills!$A:$M,13,FALSE()),"")="COS",0,IF(OR(I3280="En cours",I3280="À venir",I3280="À planifier"),IF(AND(OR($C$3="Tous",$C$3="",C3280=$C$3),OR($E$3="Tous",$E$3="",I3280=$E$3)),1,0),0)))</f>
        <v>0</v>
      </c>
      <c r="L3280" s="104" t="n">
        <f aca="false">L3279+K3280</f>
        <v>19</v>
      </c>
    </row>
    <row r="3281" customFormat="false" ht="15" hidden="true" customHeight="true" outlineLevel="0" collapsed="false">
      <c r="F3281" s="116"/>
      <c r="G3281" s="116"/>
      <c r="K3281" s="104" t="n">
        <f aca="false">IF(A3281="",0,IF(IFERROR(VLOOKUP(A3281,Skills!$A:$M,13,FALSE()),"")="COS",0,IF(OR(I3281="En cours",I3281="À venir",I3281="À planifier"),IF(AND(OR($C$3="Tous",$C$3="",C3281=$C$3),OR($E$3="Tous",$E$3="",I3281=$E$3)),1,0),0)))</f>
        <v>0</v>
      </c>
      <c r="L3281" s="104" t="n">
        <f aca="false">L3280+K3281</f>
        <v>19</v>
      </c>
    </row>
    <row r="3282" customFormat="false" ht="15" hidden="true" customHeight="true" outlineLevel="0" collapsed="false">
      <c r="F3282" s="116"/>
      <c r="G3282" s="116"/>
      <c r="K3282" s="104" t="n">
        <f aca="false">IF(A3282="",0,IF(IFERROR(VLOOKUP(A3282,Skills!$A:$M,13,FALSE()),"")="COS",0,IF(OR(I3282="En cours",I3282="À venir",I3282="À planifier"),IF(AND(OR($C$3="Tous",$C$3="",C3282=$C$3),OR($E$3="Tous",$E$3="",I3282=$E$3)),1,0),0)))</f>
        <v>0</v>
      </c>
      <c r="L3282" s="104" t="n">
        <f aca="false">L3281+K3282</f>
        <v>19</v>
      </c>
    </row>
    <row r="3283" customFormat="false" ht="15" hidden="true" customHeight="true" outlineLevel="0" collapsed="false">
      <c r="F3283" s="116"/>
      <c r="G3283" s="116"/>
      <c r="K3283" s="104" t="n">
        <f aca="false">IF(A3283="",0,IF(IFERROR(VLOOKUP(A3283,Skills!$A:$M,13,FALSE()),"")="COS",0,IF(OR(I3283="En cours",I3283="À venir",I3283="À planifier"),IF(AND(OR($C$3="Tous",$C$3="",C3283=$C$3),OR($E$3="Tous",$E$3="",I3283=$E$3)),1,0),0)))</f>
        <v>0</v>
      </c>
      <c r="L3283" s="104" t="n">
        <f aca="false">L3282+K3283</f>
        <v>19</v>
      </c>
    </row>
    <row r="3284" customFormat="false" ht="15" hidden="true" customHeight="true" outlineLevel="0" collapsed="false">
      <c r="F3284" s="116"/>
      <c r="G3284" s="116"/>
      <c r="K3284" s="104" t="n">
        <f aca="false">IF(A3284="",0,IF(IFERROR(VLOOKUP(A3284,Skills!$A:$M,13,FALSE()),"")="COS",0,IF(OR(I3284="En cours",I3284="À venir",I3284="À planifier"),IF(AND(OR($C$3="Tous",$C$3="",C3284=$C$3),OR($E$3="Tous",$E$3="",I3284=$E$3)),1,0),0)))</f>
        <v>0</v>
      </c>
      <c r="L3284" s="104" t="n">
        <f aca="false">L3283+K3284</f>
        <v>19</v>
      </c>
    </row>
    <row r="3285" customFormat="false" ht="15" hidden="true" customHeight="true" outlineLevel="0" collapsed="false">
      <c r="F3285" s="116"/>
      <c r="G3285" s="116"/>
      <c r="K3285" s="104" t="n">
        <f aca="false">IF(A3285="",0,IF(IFERROR(VLOOKUP(A3285,Skills!$A:$M,13,FALSE()),"")="COS",0,IF(OR(I3285="En cours",I3285="À venir",I3285="À planifier"),IF(AND(OR($C$3="Tous",$C$3="",C3285=$C$3),OR($E$3="Tous",$E$3="",I3285=$E$3)),1,0),0)))</f>
        <v>0</v>
      </c>
      <c r="L3285" s="104" t="n">
        <f aca="false">L3284+K3285</f>
        <v>19</v>
      </c>
    </row>
    <row r="3286" customFormat="false" ht="15" hidden="true" customHeight="true" outlineLevel="0" collapsed="false">
      <c r="F3286" s="116"/>
      <c r="G3286" s="116"/>
      <c r="K3286" s="104" t="n">
        <f aca="false">IF(A3286="",0,IF(IFERROR(VLOOKUP(A3286,Skills!$A:$M,13,FALSE()),"")="COS",0,IF(OR(I3286="En cours",I3286="À venir",I3286="À planifier"),IF(AND(OR($C$3="Tous",$C$3="",C3286=$C$3),OR($E$3="Tous",$E$3="",I3286=$E$3)),1,0),0)))</f>
        <v>0</v>
      </c>
      <c r="L3286" s="104" t="n">
        <f aca="false">L3285+K3286</f>
        <v>19</v>
      </c>
    </row>
    <row r="3287" customFormat="false" ht="15" hidden="true" customHeight="true" outlineLevel="0" collapsed="false">
      <c r="F3287" s="116"/>
      <c r="G3287" s="116"/>
      <c r="K3287" s="104" t="n">
        <f aca="false">IF(A3287="",0,IF(IFERROR(VLOOKUP(A3287,Skills!$A:$M,13,FALSE()),"")="COS",0,IF(OR(I3287="En cours",I3287="À venir",I3287="À planifier"),IF(AND(OR($C$3="Tous",$C$3="",C3287=$C$3),OR($E$3="Tous",$E$3="",I3287=$E$3)),1,0),0)))</f>
        <v>0</v>
      </c>
      <c r="L3287" s="104" t="n">
        <f aca="false">L3286+K3287</f>
        <v>19</v>
      </c>
    </row>
    <row r="3288" customFormat="false" ht="15" hidden="true" customHeight="true" outlineLevel="0" collapsed="false">
      <c r="F3288" s="116"/>
      <c r="G3288" s="116"/>
      <c r="K3288" s="104" t="n">
        <f aca="false">IF(A3288="",0,IF(IFERROR(VLOOKUP(A3288,Skills!$A:$M,13,FALSE()),"")="COS",0,IF(OR(I3288="En cours",I3288="À venir",I3288="À planifier"),IF(AND(OR($C$3="Tous",$C$3="",C3288=$C$3),OR($E$3="Tous",$E$3="",I3288=$E$3)),1,0),0)))</f>
        <v>0</v>
      </c>
      <c r="L3288" s="104" t="n">
        <f aca="false">L3287+K3288</f>
        <v>19</v>
      </c>
    </row>
    <row r="3289" customFormat="false" ht="15" hidden="true" customHeight="true" outlineLevel="0" collapsed="false">
      <c r="F3289" s="116"/>
      <c r="G3289" s="116"/>
      <c r="K3289" s="104" t="n">
        <f aca="false">IF(A3289="",0,IF(IFERROR(VLOOKUP(A3289,Skills!$A:$M,13,FALSE()),"")="COS",0,IF(OR(I3289="En cours",I3289="À venir",I3289="À planifier"),IF(AND(OR($C$3="Tous",$C$3="",C3289=$C$3),OR($E$3="Tous",$E$3="",I3289=$E$3)),1,0),0)))</f>
        <v>0</v>
      </c>
      <c r="L3289" s="104" t="n">
        <f aca="false">L3288+K3289</f>
        <v>19</v>
      </c>
    </row>
    <row r="3290" customFormat="false" ht="15" hidden="true" customHeight="true" outlineLevel="0" collapsed="false">
      <c r="F3290" s="116"/>
      <c r="G3290" s="116"/>
      <c r="K3290" s="104" t="n">
        <f aca="false">IF(A3290="",0,IF(IFERROR(VLOOKUP(A3290,Skills!$A:$M,13,FALSE()),"")="COS",0,IF(OR(I3290="En cours",I3290="À venir",I3290="À planifier"),IF(AND(OR($C$3="Tous",$C$3="",C3290=$C$3),OR($E$3="Tous",$E$3="",I3290=$E$3)),1,0),0)))</f>
        <v>0</v>
      </c>
      <c r="L3290" s="104" t="n">
        <f aca="false">L3289+K3290</f>
        <v>19</v>
      </c>
    </row>
    <row r="3291" customFormat="false" ht="15" hidden="true" customHeight="true" outlineLevel="0" collapsed="false">
      <c r="F3291" s="116"/>
      <c r="G3291" s="116"/>
      <c r="K3291" s="104" t="n">
        <f aca="false">IF(A3291="",0,IF(IFERROR(VLOOKUP(A3291,Skills!$A:$M,13,FALSE()),"")="COS",0,IF(OR(I3291="En cours",I3291="À venir",I3291="À planifier"),IF(AND(OR($C$3="Tous",$C$3="",C3291=$C$3),OR($E$3="Tous",$E$3="",I3291=$E$3)),1,0),0)))</f>
        <v>0</v>
      </c>
      <c r="L3291" s="104" t="n">
        <f aca="false">L3290+K3291</f>
        <v>19</v>
      </c>
    </row>
    <row r="3292" customFormat="false" ht="15" hidden="true" customHeight="true" outlineLevel="0" collapsed="false">
      <c r="F3292" s="116"/>
      <c r="G3292" s="116"/>
      <c r="K3292" s="104" t="n">
        <f aca="false">IF(A3292="",0,IF(IFERROR(VLOOKUP(A3292,Skills!$A:$M,13,FALSE()),"")="COS",0,IF(OR(I3292="En cours",I3292="À venir",I3292="À planifier"),IF(AND(OR($C$3="Tous",$C$3="",C3292=$C$3),OR($E$3="Tous",$E$3="",I3292=$E$3)),1,0),0)))</f>
        <v>0</v>
      </c>
      <c r="L3292" s="104" t="n">
        <f aca="false">L3291+K3292</f>
        <v>19</v>
      </c>
    </row>
    <row r="3293" customFormat="false" ht="15" hidden="true" customHeight="true" outlineLevel="0" collapsed="false">
      <c r="F3293" s="116"/>
      <c r="G3293" s="116"/>
      <c r="K3293" s="104" t="n">
        <f aca="false">IF(A3293="",0,IF(IFERROR(VLOOKUP(A3293,Skills!$A:$M,13,FALSE()),"")="COS",0,IF(OR(I3293="En cours",I3293="À venir",I3293="À planifier"),IF(AND(OR($C$3="Tous",$C$3="",C3293=$C$3),OR($E$3="Tous",$E$3="",I3293=$E$3)),1,0),0)))</f>
        <v>0</v>
      </c>
      <c r="L3293" s="104" t="n">
        <f aca="false">L3292+K3293</f>
        <v>19</v>
      </c>
    </row>
    <row r="3294" customFormat="false" ht="15" hidden="true" customHeight="true" outlineLevel="0" collapsed="false">
      <c r="F3294" s="116"/>
      <c r="G3294" s="116"/>
      <c r="K3294" s="104" t="n">
        <f aca="false">IF(A3294="",0,IF(IFERROR(VLOOKUP(A3294,Skills!$A:$M,13,FALSE()),"")="COS",0,IF(OR(I3294="En cours",I3294="À venir",I3294="À planifier"),IF(AND(OR($C$3="Tous",$C$3="",C3294=$C$3),OR($E$3="Tous",$E$3="",I3294=$E$3)),1,0),0)))</f>
        <v>0</v>
      </c>
      <c r="L3294" s="104" t="n">
        <f aca="false">L3293+K3294</f>
        <v>19</v>
      </c>
    </row>
    <row r="3295" customFormat="false" ht="15" hidden="true" customHeight="true" outlineLevel="0" collapsed="false">
      <c r="F3295" s="116"/>
      <c r="G3295" s="116"/>
      <c r="K3295" s="104" t="n">
        <f aca="false">IF(A3295="",0,IF(IFERROR(VLOOKUP(A3295,Skills!$A:$M,13,FALSE()),"")="COS",0,IF(OR(I3295="En cours",I3295="À venir",I3295="À planifier"),IF(AND(OR($C$3="Tous",$C$3="",C3295=$C$3),OR($E$3="Tous",$E$3="",I3295=$E$3)),1,0),0)))</f>
        <v>0</v>
      </c>
      <c r="L3295" s="104" t="n">
        <f aca="false">L3294+K3295</f>
        <v>19</v>
      </c>
    </row>
    <row r="3296" customFormat="false" ht="15" hidden="true" customHeight="true" outlineLevel="0" collapsed="false">
      <c r="F3296" s="116"/>
      <c r="G3296" s="116"/>
      <c r="K3296" s="104" t="n">
        <f aca="false">IF(A3296="",0,IF(IFERROR(VLOOKUP(A3296,Skills!$A:$M,13,FALSE()),"")="COS",0,IF(OR(I3296="En cours",I3296="À venir",I3296="À planifier"),IF(AND(OR($C$3="Tous",$C$3="",C3296=$C$3),OR($E$3="Tous",$E$3="",I3296=$E$3)),1,0),0)))</f>
        <v>0</v>
      </c>
      <c r="L3296" s="104" t="n">
        <f aca="false">L3295+K3296</f>
        <v>19</v>
      </c>
    </row>
    <row r="3297" customFormat="false" ht="15" hidden="true" customHeight="true" outlineLevel="0" collapsed="false">
      <c r="F3297" s="116"/>
      <c r="G3297" s="116"/>
      <c r="K3297" s="104" t="n">
        <f aca="false">IF(A3297="",0,IF(IFERROR(VLOOKUP(A3297,Skills!$A:$M,13,FALSE()),"")="COS",0,IF(OR(I3297="En cours",I3297="À venir",I3297="À planifier"),IF(AND(OR($C$3="Tous",$C$3="",C3297=$C$3),OR($E$3="Tous",$E$3="",I3297=$E$3)),1,0),0)))</f>
        <v>0</v>
      </c>
      <c r="L3297" s="104" t="n">
        <f aca="false">L3296+K3297</f>
        <v>19</v>
      </c>
    </row>
    <row r="3298" customFormat="false" ht="15" hidden="true" customHeight="true" outlineLevel="0" collapsed="false">
      <c r="F3298" s="116"/>
      <c r="G3298" s="116"/>
      <c r="K3298" s="104" t="n">
        <f aca="false">IF(A3298="",0,IF(IFERROR(VLOOKUP(A3298,Skills!$A:$M,13,FALSE()),"")="COS",0,IF(OR(I3298="En cours",I3298="À venir",I3298="À planifier"),IF(AND(OR($C$3="Tous",$C$3="",C3298=$C$3),OR($E$3="Tous",$E$3="",I3298=$E$3)),1,0),0)))</f>
        <v>0</v>
      </c>
      <c r="L3298" s="104" t="n">
        <f aca="false">L3297+K3298</f>
        <v>19</v>
      </c>
    </row>
    <row r="3299" customFormat="false" ht="15" hidden="true" customHeight="true" outlineLevel="0" collapsed="false">
      <c r="F3299" s="116"/>
      <c r="G3299" s="116"/>
      <c r="K3299" s="104" t="n">
        <f aca="false">IF(A3299="",0,IF(IFERROR(VLOOKUP(A3299,Skills!$A:$M,13,FALSE()),"")="COS",0,IF(OR(I3299="En cours",I3299="À venir",I3299="À planifier"),IF(AND(OR($C$3="Tous",$C$3="",C3299=$C$3),OR($E$3="Tous",$E$3="",I3299=$E$3)),1,0),0)))</f>
        <v>0</v>
      </c>
      <c r="L3299" s="104" t="n">
        <f aca="false">L3298+K3299</f>
        <v>19</v>
      </c>
    </row>
    <row r="3300" customFormat="false" ht="15" hidden="true" customHeight="true" outlineLevel="0" collapsed="false">
      <c r="F3300" s="116"/>
      <c r="G3300" s="116"/>
      <c r="K3300" s="104" t="n">
        <f aca="false">IF(A3300="",0,IF(IFERROR(VLOOKUP(A3300,Skills!$A:$M,13,FALSE()),"")="COS",0,IF(OR(I3300="En cours",I3300="À venir",I3300="À planifier"),IF(AND(OR($C$3="Tous",$C$3="",C3300=$C$3),OR($E$3="Tous",$E$3="",I3300=$E$3)),1,0),0)))</f>
        <v>0</v>
      </c>
      <c r="L3300" s="104" t="n">
        <f aca="false">L3299+K3300</f>
        <v>19</v>
      </c>
    </row>
    <row r="3301" customFormat="false" ht="15" hidden="true" customHeight="true" outlineLevel="0" collapsed="false">
      <c r="F3301" s="116"/>
      <c r="G3301" s="116"/>
      <c r="K3301" s="104" t="n">
        <f aca="false">IF(A3301="",0,IF(IFERROR(VLOOKUP(A3301,Skills!$A:$M,13,FALSE()),"")="COS",0,IF(OR(I3301="En cours",I3301="À venir",I3301="À planifier"),IF(AND(OR($C$3="Tous",$C$3="",C3301=$C$3),OR($E$3="Tous",$E$3="",I3301=$E$3)),1,0),0)))</f>
        <v>0</v>
      </c>
      <c r="L3301" s="104" t="n">
        <f aca="false">L3300+K3301</f>
        <v>19</v>
      </c>
    </row>
    <row r="3302" customFormat="false" ht="15" hidden="true" customHeight="true" outlineLevel="0" collapsed="false">
      <c r="F3302" s="116"/>
      <c r="G3302" s="116"/>
      <c r="K3302" s="104" t="n">
        <f aca="false">IF(A3302="",0,IF(IFERROR(VLOOKUP(A3302,Skills!$A:$M,13,FALSE()),"")="COS",0,IF(OR(I3302="En cours",I3302="À venir",I3302="À planifier"),IF(AND(OR($C$3="Tous",$C$3="",C3302=$C$3),OR($E$3="Tous",$E$3="",I3302=$E$3)),1,0),0)))</f>
        <v>0</v>
      </c>
      <c r="L3302" s="104" t="n">
        <f aca="false">L3301+K3302</f>
        <v>19</v>
      </c>
    </row>
    <row r="3303" customFormat="false" ht="15" hidden="true" customHeight="true" outlineLevel="0" collapsed="false">
      <c r="F3303" s="116"/>
      <c r="G3303" s="116"/>
      <c r="K3303" s="104" t="n">
        <f aca="false">IF(A3303="",0,IF(IFERROR(VLOOKUP(A3303,Skills!$A:$M,13,FALSE()),"")="COS",0,IF(OR(I3303="En cours",I3303="À venir",I3303="À planifier"),IF(AND(OR($C$3="Tous",$C$3="",C3303=$C$3),OR($E$3="Tous",$E$3="",I3303=$E$3)),1,0),0)))</f>
        <v>0</v>
      </c>
      <c r="L3303" s="104" t="n">
        <f aca="false">L3302+K3303</f>
        <v>19</v>
      </c>
    </row>
    <row r="3304" customFormat="false" ht="15" hidden="true" customHeight="true" outlineLevel="0" collapsed="false">
      <c r="F3304" s="116"/>
      <c r="G3304" s="116"/>
      <c r="K3304" s="104" t="n">
        <f aca="false">IF(A3304="",0,IF(IFERROR(VLOOKUP(A3304,Skills!$A:$M,13,FALSE()),"")="COS",0,IF(OR(I3304="En cours",I3304="À venir",I3304="À planifier"),IF(AND(OR($C$3="Tous",$C$3="",C3304=$C$3),OR($E$3="Tous",$E$3="",I3304=$E$3)),1,0),0)))</f>
        <v>0</v>
      </c>
      <c r="L3304" s="104" t="n">
        <f aca="false">L3303+K3304</f>
        <v>19</v>
      </c>
    </row>
    <row r="3305" customFormat="false" ht="15" hidden="true" customHeight="true" outlineLevel="0" collapsed="false">
      <c r="F3305" s="116"/>
      <c r="G3305" s="116"/>
      <c r="K3305" s="104" t="n">
        <f aca="false">IF(A3305="",0,IF(IFERROR(VLOOKUP(A3305,Skills!$A:$M,13,FALSE()),"")="COS",0,IF(OR(I3305="En cours",I3305="À venir",I3305="À planifier"),IF(AND(OR($C$3="Tous",$C$3="",C3305=$C$3),OR($E$3="Tous",$E$3="",I3305=$E$3)),1,0),0)))</f>
        <v>0</v>
      </c>
      <c r="L3305" s="104" t="n">
        <f aca="false">L3304+K3305</f>
        <v>19</v>
      </c>
    </row>
    <row r="3306" customFormat="false" ht="15" hidden="true" customHeight="true" outlineLevel="0" collapsed="false">
      <c r="F3306" s="116"/>
      <c r="G3306" s="116"/>
      <c r="K3306" s="104" t="n">
        <f aca="false">IF(A3306="",0,IF(IFERROR(VLOOKUP(A3306,Skills!$A:$M,13,FALSE()),"")="COS",0,IF(OR(I3306="En cours",I3306="À venir",I3306="À planifier"),IF(AND(OR($C$3="Tous",$C$3="",C3306=$C$3),OR($E$3="Tous",$E$3="",I3306=$E$3)),1,0),0)))</f>
        <v>0</v>
      </c>
      <c r="L3306" s="104" t="n">
        <f aca="false">L3305+K3306</f>
        <v>19</v>
      </c>
    </row>
    <row r="3307" customFormat="false" ht="15" hidden="true" customHeight="true" outlineLevel="0" collapsed="false">
      <c r="F3307" s="116"/>
      <c r="G3307" s="116"/>
      <c r="K3307" s="104" t="n">
        <f aca="false">IF(A3307="",0,IF(IFERROR(VLOOKUP(A3307,Skills!$A:$M,13,FALSE()),"")="COS",0,IF(OR(I3307="En cours",I3307="À venir",I3307="À planifier"),IF(AND(OR($C$3="Tous",$C$3="",C3307=$C$3),OR($E$3="Tous",$E$3="",I3307=$E$3)),1,0),0)))</f>
        <v>0</v>
      </c>
      <c r="L3307" s="104" t="n">
        <f aca="false">L3306+K3307</f>
        <v>19</v>
      </c>
    </row>
    <row r="3308" customFormat="false" ht="15" hidden="true" customHeight="true" outlineLevel="0" collapsed="false">
      <c r="F3308" s="116"/>
      <c r="G3308" s="116"/>
      <c r="K3308" s="104" t="n">
        <f aca="false">IF(A3308="",0,IF(IFERROR(VLOOKUP(A3308,Skills!$A:$M,13,FALSE()),"")="COS",0,IF(OR(I3308="En cours",I3308="À venir",I3308="À planifier"),IF(AND(OR($C$3="Tous",$C$3="",C3308=$C$3),OR($E$3="Tous",$E$3="",I3308=$E$3)),1,0),0)))</f>
        <v>0</v>
      </c>
      <c r="L3308" s="104" t="n">
        <f aca="false">L3307+K3308</f>
        <v>19</v>
      </c>
    </row>
    <row r="3309" customFormat="false" ht="15" hidden="true" customHeight="true" outlineLevel="0" collapsed="false">
      <c r="F3309" s="116"/>
      <c r="G3309" s="116"/>
      <c r="K3309" s="104" t="n">
        <f aca="false">IF(A3309="",0,IF(IFERROR(VLOOKUP(A3309,Skills!$A:$M,13,FALSE()),"")="COS",0,IF(OR(I3309="En cours",I3309="À venir",I3309="À planifier"),IF(AND(OR($C$3="Tous",$C$3="",C3309=$C$3),OR($E$3="Tous",$E$3="",I3309=$E$3)),1,0),0)))</f>
        <v>0</v>
      </c>
      <c r="L3309" s="104" t="n">
        <f aca="false">L3308+K3309</f>
        <v>19</v>
      </c>
    </row>
    <row r="3310" customFormat="false" ht="15" hidden="true" customHeight="true" outlineLevel="0" collapsed="false">
      <c r="F3310" s="116"/>
      <c r="G3310" s="116"/>
      <c r="K3310" s="104" t="n">
        <f aca="false">IF(A3310="",0,IF(IFERROR(VLOOKUP(A3310,Skills!$A:$M,13,FALSE()),"")="COS",0,IF(OR(I3310="En cours",I3310="À venir",I3310="À planifier"),IF(AND(OR($C$3="Tous",$C$3="",C3310=$C$3),OR($E$3="Tous",$E$3="",I3310=$E$3)),1,0),0)))</f>
        <v>0</v>
      </c>
      <c r="L3310" s="104" t="n">
        <f aca="false">L3309+K3310</f>
        <v>19</v>
      </c>
    </row>
    <row r="3311" customFormat="false" ht="15" hidden="true" customHeight="true" outlineLevel="0" collapsed="false">
      <c r="F3311" s="116"/>
      <c r="G3311" s="116"/>
      <c r="K3311" s="104" t="n">
        <f aca="false">IF(A3311="",0,IF(IFERROR(VLOOKUP(A3311,Skills!$A:$M,13,FALSE()),"")="COS",0,IF(OR(I3311="En cours",I3311="À venir",I3311="À planifier"),IF(AND(OR($C$3="Tous",$C$3="",C3311=$C$3),OR($E$3="Tous",$E$3="",I3311=$E$3)),1,0),0)))</f>
        <v>0</v>
      </c>
      <c r="L3311" s="104" t="n">
        <f aca="false">L3310+K3311</f>
        <v>19</v>
      </c>
    </row>
    <row r="3312" customFormat="false" ht="15" hidden="true" customHeight="true" outlineLevel="0" collapsed="false">
      <c r="F3312" s="116"/>
      <c r="G3312" s="116"/>
      <c r="K3312" s="104" t="n">
        <f aca="false">IF(A3312="",0,IF(IFERROR(VLOOKUP(A3312,Skills!$A:$M,13,FALSE()),"")="COS",0,IF(OR(I3312="En cours",I3312="À venir",I3312="À planifier"),IF(AND(OR($C$3="Tous",$C$3="",C3312=$C$3),OR($E$3="Tous",$E$3="",I3312=$E$3)),1,0),0)))</f>
        <v>0</v>
      </c>
      <c r="L3312" s="104" t="n">
        <f aca="false">L3311+K3312</f>
        <v>19</v>
      </c>
    </row>
    <row r="3313" customFormat="false" ht="15" hidden="true" customHeight="true" outlineLevel="0" collapsed="false">
      <c r="F3313" s="116"/>
      <c r="G3313" s="116"/>
      <c r="K3313" s="104" t="n">
        <f aca="false">IF(A3313="",0,IF(IFERROR(VLOOKUP(A3313,Skills!$A:$M,13,FALSE()),"")="COS",0,IF(OR(I3313="En cours",I3313="À venir",I3313="À planifier"),IF(AND(OR($C$3="Tous",$C$3="",C3313=$C$3),OR($E$3="Tous",$E$3="",I3313=$E$3)),1,0),0)))</f>
        <v>0</v>
      </c>
      <c r="L3313" s="104" t="n">
        <f aca="false">L3312+K3313</f>
        <v>19</v>
      </c>
    </row>
    <row r="3314" customFormat="false" ht="15" hidden="true" customHeight="true" outlineLevel="0" collapsed="false">
      <c r="F3314" s="116"/>
      <c r="G3314" s="116"/>
      <c r="K3314" s="104" t="n">
        <f aca="false">IF(A3314="",0,IF(IFERROR(VLOOKUP(A3314,Skills!$A:$M,13,FALSE()),"")="COS",0,IF(OR(I3314="En cours",I3314="À venir",I3314="À planifier"),IF(AND(OR($C$3="Tous",$C$3="",C3314=$C$3),OR($E$3="Tous",$E$3="",I3314=$E$3)),1,0),0)))</f>
        <v>0</v>
      </c>
      <c r="L3314" s="104" t="n">
        <f aca="false">L3313+K3314</f>
        <v>19</v>
      </c>
    </row>
    <row r="3315" customFormat="false" ht="15" hidden="true" customHeight="true" outlineLevel="0" collapsed="false">
      <c r="F3315" s="116"/>
      <c r="G3315" s="116"/>
      <c r="K3315" s="104" t="n">
        <f aca="false">IF(A3315="",0,IF(IFERROR(VLOOKUP(A3315,Skills!$A:$M,13,FALSE()),"")="COS",0,IF(OR(I3315="En cours",I3315="À venir",I3315="À planifier"),IF(AND(OR($C$3="Tous",$C$3="",C3315=$C$3),OR($E$3="Tous",$E$3="",I3315=$E$3)),1,0),0)))</f>
        <v>0</v>
      </c>
      <c r="L3315" s="104" t="n">
        <f aca="false">L3314+K3315</f>
        <v>19</v>
      </c>
    </row>
    <row r="3316" customFormat="false" ht="15" hidden="true" customHeight="true" outlineLevel="0" collapsed="false">
      <c r="F3316" s="116"/>
      <c r="G3316" s="116"/>
      <c r="K3316" s="104" t="n">
        <f aca="false">IF(A3316="",0,IF(IFERROR(VLOOKUP(A3316,Skills!$A:$M,13,FALSE()),"")="COS",0,IF(OR(I3316="En cours",I3316="À venir",I3316="À planifier"),IF(AND(OR($C$3="Tous",$C$3="",C3316=$C$3),OR($E$3="Tous",$E$3="",I3316=$E$3)),1,0),0)))</f>
        <v>0</v>
      </c>
      <c r="L3316" s="104" t="n">
        <f aca="false">L3315+K3316</f>
        <v>19</v>
      </c>
    </row>
    <row r="3317" customFormat="false" ht="15" hidden="true" customHeight="true" outlineLevel="0" collapsed="false">
      <c r="F3317" s="116"/>
      <c r="G3317" s="116"/>
      <c r="K3317" s="104" t="n">
        <f aca="false">IF(A3317="",0,IF(IFERROR(VLOOKUP(A3317,Skills!$A:$M,13,FALSE()),"")="COS",0,IF(OR(I3317="En cours",I3317="À venir",I3317="À planifier"),IF(AND(OR($C$3="Tous",$C$3="",C3317=$C$3),OR($E$3="Tous",$E$3="",I3317=$E$3)),1,0),0)))</f>
        <v>0</v>
      </c>
      <c r="L3317" s="104" t="n">
        <f aca="false">L3316+K3317</f>
        <v>19</v>
      </c>
    </row>
    <row r="3318" customFormat="false" ht="15" hidden="true" customHeight="true" outlineLevel="0" collapsed="false">
      <c r="F3318" s="116"/>
      <c r="G3318" s="116"/>
      <c r="K3318" s="104" t="n">
        <f aca="false">IF(A3318="",0,IF(IFERROR(VLOOKUP(A3318,Skills!$A:$M,13,FALSE()),"")="COS",0,IF(OR(I3318="En cours",I3318="À venir",I3318="À planifier"),IF(AND(OR($C$3="Tous",$C$3="",C3318=$C$3),OR($E$3="Tous",$E$3="",I3318=$E$3)),1,0),0)))</f>
        <v>0</v>
      </c>
      <c r="L3318" s="104" t="n">
        <f aca="false">L3317+K3318</f>
        <v>19</v>
      </c>
    </row>
    <row r="3319" customFormat="false" ht="15" hidden="true" customHeight="true" outlineLevel="0" collapsed="false">
      <c r="F3319" s="116"/>
      <c r="G3319" s="116"/>
      <c r="K3319" s="104" t="n">
        <f aca="false">IF(A3319="",0,IF(IFERROR(VLOOKUP(A3319,Skills!$A:$M,13,FALSE()),"")="COS",0,IF(OR(I3319="En cours",I3319="À venir",I3319="À planifier"),IF(AND(OR($C$3="Tous",$C$3="",C3319=$C$3),OR($E$3="Tous",$E$3="",I3319=$E$3)),1,0),0)))</f>
        <v>0</v>
      </c>
      <c r="L3319" s="104" t="n">
        <f aca="false">L3318+K3319</f>
        <v>19</v>
      </c>
    </row>
    <row r="3320" customFormat="false" ht="15" hidden="true" customHeight="true" outlineLevel="0" collapsed="false">
      <c r="F3320" s="116"/>
      <c r="G3320" s="116"/>
      <c r="K3320" s="104" t="n">
        <f aca="false">IF(A3320="",0,IF(IFERROR(VLOOKUP(A3320,Skills!$A:$M,13,FALSE()),"")="COS",0,IF(OR(I3320="En cours",I3320="À venir",I3320="À planifier"),IF(AND(OR($C$3="Tous",$C$3="",C3320=$C$3),OR($E$3="Tous",$E$3="",I3320=$E$3)),1,0),0)))</f>
        <v>0</v>
      </c>
      <c r="L3320" s="104" t="n">
        <f aca="false">L3319+K3320</f>
        <v>19</v>
      </c>
    </row>
    <row r="3321" customFormat="false" ht="15" hidden="true" customHeight="true" outlineLevel="0" collapsed="false">
      <c r="F3321" s="116"/>
      <c r="G3321" s="116"/>
      <c r="K3321" s="104" t="n">
        <f aca="false">IF(A3321="",0,IF(IFERROR(VLOOKUP(A3321,Skills!$A:$M,13,FALSE()),"")="COS",0,IF(OR(I3321="En cours",I3321="À venir",I3321="À planifier"),IF(AND(OR($C$3="Tous",$C$3="",C3321=$C$3),OR($E$3="Tous",$E$3="",I3321=$E$3)),1,0),0)))</f>
        <v>0</v>
      </c>
      <c r="L3321" s="104" t="n">
        <f aca="false">L3320+K3321</f>
        <v>19</v>
      </c>
    </row>
    <row r="3322" customFormat="false" ht="15" hidden="true" customHeight="true" outlineLevel="0" collapsed="false">
      <c r="F3322" s="116"/>
      <c r="G3322" s="116"/>
      <c r="K3322" s="104" t="n">
        <f aca="false">IF(A3322="",0,IF(IFERROR(VLOOKUP(A3322,Skills!$A:$M,13,FALSE()),"")="COS",0,IF(OR(I3322="En cours",I3322="À venir",I3322="À planifier"),IF(AND(OR($C$3="Tous",$C$3="",C3322=$C$3),OR($E$3="Tous",$E$3="",I3322=$E$3)),1,0),0)))</f>
        <v>0</v>
      </c>
      <c r="L3322" s="104" t="n">
        <f aca="false">L3321+K3322</f>
        <v>19</v>
      </c>
    </row>
    <row r="3323" customFormat="false" ht="15" hidden="true" customHeight="true" outlineLevel="0" collapsed="false">
      <c r="F3323" s="116"/>
      <c r="G3323" s="116"/>
      <c r="K3323" s="104" t="n">
        <f aca="false">IF(A3323="",0,IF(IFERROR(VLOOKUP(A3323,Skills!$A:$M,13,FALSE()),"")="COS",0,IF(OR(I3323="En cours",I3323="À venir",I3323="À planifier"),IF(AND(OR($C$3="Tous",$C$3="",C3323=$C$3),OR($E$3="Tous",$E$3="",I3323=$E$3)),1,0),0)))</f>
        <v>0</v>
      </c>
      <c r="L3323" s="104" t="n">
        <f aca="false">L3322+K3323</f>
        <v>19</v>
      </c>
    </row>
    <row r="3324" customFormat="false" ht="15" hidden="true" customHeight="true" outlineLevel="0" collapsed="false">
      <c r="F3324" s="116"/>
      <c r="G3324" s="116"/>
      <c r="K3324" s="104" t="n">
        <f aca="false">IF(A3324="",0,IF(IFERROR(VLOOKUP(A3324,Skills!$A:$M,13,FALSE()),"")="COS",0,IF(OR(I3324="En cours",I3324="À venir",I3324="À planifier"),IF(AND(OR($C$3="Tous",$C$3="",C3324=$C$3),OR($E$3="Tous",$E$3="",I3324=$E$3)),1,0),0)))</f>
        <v>0</v>
      </c>
      <c r="L3324" s="104" t="n">
        <f aca="false">L3323+K3324</f>
        <v>19</v>
      </c>
    </row>
    <row r="3325" customFormat="false" ht="15" hidden="true" customHeight="true" outlineLevel="0" collapsed="false">
      <c r="F3325" s="116"/>
      <c r="G3325" s="116"/>
      <c r="K3325" s="104" t="n">
        <f aca="false">IF(A3325="",0,IF(IFERROR(VLOOKUP(A3325,Skills!$A:$M,13,FALSE()),"")="COS",0,IF(OR(I3325="En cours",I3325="À venir",I3325="À planifier"),IF(AND(OR($C$3="Tous",$C$3="",C3325=$C$3),OR($E$3="Tous",$E$3="",I3325=$E$3)),1,0),0)))</f>
        <v>0</v>
      </c>
      <c r="L3325" s="104" t="n">
        <f aca="false">L3324+K3325</f>
        <v>19</v>
      </c>
    </row>
    <row r="3326" customFormat="false" ht="15" hidden="true" customHeight="true" outlineLevel="0" collapsed="false">
      <c r="F3326" s="116"/>
      <c r="G3326" s="116"/>
      <c r="K3326" s="104" t="n">
        <f aca="false">IF(A3326="",0,IF(IFERROR(VLOOKUP(A3326,Skills!$A:$M,13,FALSE()),"")="COS",0,IF(OR(I3326="En cours",I3326="À venir",I3326="À planifier"),IF(AND(OR($C$3="Tous",$C$3="",C3326=$C$3),OR($E$3="Tous",$E$3="",I3326=$E$3)),1,0),0)))</f>
        <v>0</v>
      </c>
      <c r="L3326" s="104" t="n">
        <f aca="false">L3325+K3326</f>
        <v>19</v>
      </c>
    </row>
    <row r="3327" customFormat="false" ht="15" hidden="true" customHeight="true" outlineLevel="0" collapsed="false">
      <c r="F3327" s="116"/>
      <c r="G3327" s="116"/>
      <c r="K3327" s="104" t="n">
        <f aca="false">IF(A3327="",0,IF(IFERROR(VLOOKUP(A3327,Skills!$A:$M,13,FALSE()),"")="COS",0,IF(OR(I3327="En cours",I3327="À venir",I3327="À planifier"),IF(AND(OR($C$3="Tous",$C$3="",C3327=$C$3),OR($E$3="Tous",$E$3="",I3327=$E$3)),1,0),0)))</f>
        <v>0</v>
      </c>
      <c r="L3327" s="104" t="n">
        <f aca="false">L3326+K3327</f>
        <v>19</v>
      </c>
    </row>
    <row r="3328" customFormat="false" ht="15" hidden="true" customHeight="true" outlineLevel="0" collapsed="false">
      <c r="F3328" s="116"/>
      <c r="G3328" s="116"/>
      <c r="K3328" s="104" t="n">
        <f aca="false">IF(A3328="",0,IF(IFERROR(VLOOKUP(A3328,Skills!$A:$M,13,FALSE()),"")="COS",0,IF(OR(I3328="En cours",I3328="À venir",I3328="À planifier"),IF(AND(OR($C$3="Tous",$C$3="",C3328=$C$3),OR($E$3="Tous",$E$3="",I3328=$E$3)),1,0),0)))</f>
        <v>0</v>
      </c>
      <c r="L3328" s="104" t="n">
        <f aca="false">L3327+K3328</f>
        <v>19</v>
      </c>
    </row>
    <row r="3329" customFormat="false" ht="15" hidden="true" customHeight="true" outlineLevel="0" collapsed="false">
      <c r="F3329" s="116"/>
      <c r="G3329" s="116"/>
      <c r="K3329" s="104" t="n">
        <f aca="false">IF(A3329="",0,IF(IFERROR(VLOOKUP(A3329,Skills!$A:$M,13,FALSE()),"")="COS",0,IF(OR(I3329="En cours",I3329="À venir",I3329="À planifier"),IF(AND(OR($C$3="Tous",$C$3="",C3329=$C$3),OR($E$3="Tous",$E$3="",I3329=$E$3)),1,0),0)))</f>
        <v>0</v>
      </c>
      <c r="L3329" s="104" t="n">
        <f aca="false">L3328+K3329</f>
        <v>19</v>
      </c>
    </row>
    <row r="3330" customFormat="false" ht="15" hidden="true" customHeight="true" outlineLevel="0" collapsed="false">
      <c r="F3330" s="116"/>
      <c r="G3330" s="116"/>
      <c r="K3330" s="104" t="n">
        <f aca="false">IF(A3330="",0,IF(IFERROR(VLOOKUP(A3330,Skills!$A:$M,13,FALSE()),"")="COS",0,IF(OR(I3330="En cours",I3330="À venir",I3330="À planifier"),IF(AND(OR($C$3="Tous",$C$3="",C3330=$C$3),OR($E$3="Tous",$E$3="",I3330=$E$3)),1,0),0)))</f>
        <v>0</v>
      </c>
      <c r="L3330" s="104" t="n">
        <f aca="false">L3329+K3330</f>
        <v>19</v>
      </c>
    </row>
    <row r="3331" customFormat="false" ht="15" hidden="true" customHeight="true" outlineLevel="0" collapsed="false">
      <c r="F3331" s="116"/>
      <c r="G3331" s="116"/>
      <c r="K3331" s="104" t="n">
        <f aca="false">IF(A3331="",0,IF(IFERROR(VLOOKUP(A3331,Skills!$A:$M,13,FALSE()),"")="COS",0,IF(OR(I3331="En cours",I3331="À venir",I3331="À planifier"),IF(AND(OR($C$3="Tous",$C$3="",C3331=$C$3),OR($E$3="Tous",$E$3="",I3331=$E$3)),1,0),0)))</f>
        <v>0</v>
      </c>
      <c r="L3331" s="104" t="n">
        <f aca="false">L3330+K3331</f>
        <v>19</v>
      </c>
    </row>
    <row r="3332" customFormat="false" ht="15" hidden="true" customHeight="true" outlineLevel="0" collapsed="false">
      <c r="F3332" s="116"/>
      <c r="G3332" s="116"/>
      <c r="K3332" s="104" t="n">
        <f aca="false">IF(A3332="",0,IF(IFERROR(VLOOKUP(A3332,Skills!$A:$M,13,FALSE()),"")="COS",0,IF(OR(I3332="En cours",I3332="À venir",I3332="À planifier"),IF(AND(OR($C$3="Tous",$C$3="",C3332=$C$3),OR($E$3="Tous",$E$3="",I3332=$E$3)),1,0),0)))</f>
        <v>0</v>
      </c>
      <c r="L3332" s="104" t="n">
        <f aca="false">L3331+K3332</f>
        <v>19</v>
      </c>
    </row>
    <row r="3333" customFormat="false" ht="15" hidden="true" customHeight="true" outlineLevel="0" collapsed="false">
      <c r="F3333" s="116"/>
      <c r="G3333" s="116"/>
      <c r="K3333" s="104" t="n">
        <f aca="false">IF(A3333="",0,IF(IFERROR(VLOOKUP(A3333,Skills!$A:$M,13,FALSE()),"")="COS",0,IF(OR(I3333="En cours",I3333="À venir",I3333="À planifier"),IF(AND(OR($C$3="Tous",$C$3="",C3333=$C$3),OR($E$3="Tous",$E$3="",I3333=$E$3)),1,0),0)))</f>
        <v>0</v>
      </c>
      <c r="L3333" s="104" t="n">
        <f aca="false">L3332+K3333</f>
        <v>19</v>
      </c>
    </row>
    <row r="3334" customFormat="false" ht="15" hidden="true" customHeight="true" outlineLevel="0" collapsed="false">
      <c r="F3334" s="116"/>
      <c r="G3334" s="116"/>
      <c r="K3334" s="104" t="n">
        <f aca="false">IF(A3334="",0,IF(IFERROR(VLOOKUP(A3334,Skills!$A:$M,13,FALSE()),"")="COS",0,IF(OR(I3334="En cours",I3334="À venir",I3334="À planifier"),IF(AND(OR($C$3="Tous",$C$3="",C3334=$C$3),OR($E$3="Tous",$E$3="",I3334=$E$3)),1,0),0)))</f>
        <v>0</v>
      </c>
      <c r="L3334" s="104" t="n">
        <f aca="false">L3333+K3334</f>
        <v>19</v>
      </c>
    </row>
    <row r="3335" customFormat="false" ht="15" hidden="true" customHeight="true" outlineLevel="0" collapsed="false">
      <c r="F3335" s="116"/>
      <c r="G3335" s="116"/>
      <c r="K3335" s="104" t="n">
        <f aca="false">IF(A3335="",0,IF(IFERROR(VLOOKUP(A3335,Skills!$A:$M,13,FALSE()),"")="COS",0,IF(OR(I3335="En cours",I3335="À venir",I3335="À planifier"),IF(AND(OR($C$3="Tous",$C$3="",C3335=$C$3),OR($E$3="Tous",$E$3="",I3335=$E$3)),1,0),0)))</f>
        <v>0</v>
      </c>
      <c r="L3335" s="104" t="n">
        <f aca="false">L3334+K3335</f>
        <v>19</v>
      </c>
    </row>
    <row r="3336" customFormat="false" ht="15" hidden="true" customHeight="true" outlineLevel="0" collapsed="false">
      <c r="F3336" s="116"/>
      <c r="G3336" s="116"/>
      <c r="K3336" s="104" t="n">
        <f aca="false">IF(A3336="",0,IF(IFERROR(VLOOKUP(A3336,Skills!$A:$M,13,FALSE()),"")="COS",0,IF(OR(I3336="En cours",I3336="À venir",I3336="À planifier"),IF(AND(OR($C$3="Tous",$C$3="",C3336=$C$3),OR($E$3="Tous",$E$3="",I3336=$E$3)),1,0),0)))</f>
        <v>0</v>
      </c>
      <c r="L3336" s="104" t="n">
        <f aca="false">L3335+K3336</f>
        <v>19</v>
      </c>
    </row>
    <row r="3337" customFormat="false" ht="15" hidden="true" customHeight="true" outlineLevel="0" collapsed="false">
      <c r="F3337" s="116"/>
      <c r="G3337" s="116"/>
      <c r="K3337" s="104" t="n">
        <f aca="false">IF(A3337="",0,IF(IFERROR(VLOOKUP(A3337,Skills!$A:$M,13,FALSE()),"")="COS",0,IF(OR(I3337="En cours",I3337="À venir",I3337="À planifier"),IF(AND(OR($C$3="Tous",$C$3="",C3337=$C$3),OR($E$3="Tous",$E$3="",I3337=$E$3)),1,0),0)))</f>
        <v>0</v>
      </c>
      <c r="L3337" s="104" t="n">
        <f aca="false">L3336+K3337</f>
        <v>19</v>
      </c>
    </row>
    <row r="3338" customFormat="false" ht="15" hidden="true" customHeight="true" outlineLevel="0" collapsed="false">
      <c r="F3338" s="116"/>
      <c r="G3338" s="116"/>
      <c r="K3338" s="104" t="n">
        <f aca="false">IF(A3338="",0,IF(IFERROR(VLOOKUP(A3338,Skills!$A:$M,13,FALSE()),"")="COS",0,IF(OR(I3338="En cours",I3338="À venir",I3338="À planifier"),IF(AND(OR($C$3="Tous",$C$3="",C3338=$C$3),OR($E$3="Tous",$E$3="",I3338=$E$3)),1,0),0)))</f>
        <v>0</v>
      </c>
      <c r="L3338" s="104" t="n">
        <f aca="false">L3337+K3338</f>
        <v>19</v>
      </c>
    </row>
    <row r="3339" customFormat="false" ht="15" hidden="true" customHeight="true" outlineLevel="0" collapsed="false">
      <c r="F3339" s="116"/>
      <c r="G3339" s="116"/>
      <c r="K3339" s="104" t="n">
        <f aca="false">IF(A3339="",0,IF(IFERROR(VLOOKUP(A3339,Skills!$A:$M,13,FALSE()),"")="COS",0,IF(OR(I3339="En cours",I3339="À venir",I3339="À planifier"),IF(AND(OR($C$3="Tous",$C$3="",C3339=$C$3),OR($E$3="Tous",$E$3="",I3339=$E$3)),1,0),0)))</f>
        <v>0</v>
      </c>
      <c r="L3339" s="104" t="n">
        <f aca="false">L3338+K3339</f>
        <v>19</v>
      </c>
    </row>
    <row r="3340" customFormat="false" ht="15" hidden="true" customHeight="true" outlineLevel="0" collapsed="false">
      <c r="F3340" s="116"/>
      <c r="G3340" s="116"/>
      <c r="K3340" s="104" t="n">
        <f aca="false">IF(A3340="",0,IF(IFERROR(VLOOKUP(A3340,Skills!$A:$M,13,FALSE()),"")="COS",0,IF(OR(I3340="En cours",I3340="À venir",I3340="À planifier"),IF(AND(OR($C$3="Tous",$C$3="",C3340=$C$3),OR($E$3="Tous",$E$3="",I3340=$E$3)),1,0),0)))</f>
        <v>0</v>
      </c>
      <c r="L3340" s="104" t="n">
        <f aca="false">L3339+K3340</f>
        <v>19</v>
      </c>
    </row>
    <row r="3341" customFormat="false" ht="15" hidden="true" customHeight="true" outlineLevel="0" collapsed="false">
      <c r="F3341" s="116"/>
      <c r="G3341" s="116"/>
      <c r="K3341" s="104" t="n">
        <f aca="false">IF(A3341="",0,IF(IFERROR(VLOOKUP(A3341,Skills!$A:$M,13,FALSE()),"")="COS",0,IF(OR(I3341="En cours",I3341="À venir",I3341="À planifier"),IF(AND(OR($C$3="Tous",$C$3="",C3341=$C$3),OR($E$3="Tous",$E$3="",I3341=$E$3)),1,0),0)))</f>
        <v>0</v>
      </c>
      <c r="L3341" s="104" t="n">
        <f aca="false">L3340+K3341</f>
        <v>19</v>
      </c>
    </row>
    <row r="3342" customFormat="false" ht="15" hidden="true" customHeight="true" outlineLevel="0" collapsed="false">
      <c r="F3342" s="116"/>
      <c r="G3342" s="116"/>
      <c r="K3342" s="104" t="n">
        <f aca="false">IF(A3342="",0,IF(IFERROR(VLOOKUP(A3342,Skills!$A:$M,13,FALSE()),"")="COS",0,IF(OR(I3342="En cours",I3342="À venir",I3342="À planifier"),IF(AND(OR($C$3="Tous",$C$3="",C3342=$C$3),OR($E$3="Tous",$E$3="",I3342=$E$3)),1,0),0)))</f>
        <v>0</v>
      </c>
      <c r="L3342" s="104" t="n">
        <f aca="false">L3341+K3342</f>
        <v>19</v>
      </c>
    </row>
    <row r="3343" customFormat="false" ht="15" hidden="true" customHeight="true" outlineLevel="0" collapsed="false">
      <c r="F3343" s="116"/>
      <c r="G3343" s="116"/>
      <c r="K3343" s="104" t="n">
        <f aca="false">IF(A3343="",0,IF(IFERROR(VLOOKUP(A3343,Skills!$A:$M,13,FALSE()),"")="COS",0,IF(OR(I3343="En cours",I3343="À venir",I3343="À planifier"),IF(AND(OR($C$3="Tous",$C$3="",C3343=$C$3),OR($E$3="Tous",$E$3="",I3343=$E$3)),1,0),0)))</f>
        <v>0</v>
      </c>
      <c r="L3343" s="104" t="n">
        <f aca="false">L3342+K3343</f>
        <v>19</v>
      </c>
    </row>
    <row r="3344" customFormat="false" ht="15" hidden="true" customHeight="true" outlineLevel="0" collapsed="false">
      <c r="F3344" s="116"/>
      <c r="G3344" s="116"/>
      <c r="K3344" s="104" t="n">
        <f aca="false">IF(A3344="",0,IF(IFERROR(VLOOKUP(A3344,Skills!$A:$M,13,FALSE()),"")="COS",0,IF(OR(I3344="En cours",I3344="À venir",I3344="À planifier"),IF(AND(OR($C$3="Tous",$C$3="",C3344=$C$3),OR($E$3="Tous",$E$3="",I3344=$E$3)),1,0),0)))</f>
        <v>0</v>
      </c>
      <c r="L3344" s="104" t="n">
        <f aca="false">L3343+K3344</f>
        <v>19</v>
      </c>
    </row>
    <row r="3345" customFormat="false" ht="15" hidden="true" customHeight="true" outlineLevel="0" collapsed="false">
      <c r="F3345" s="116"/>
      <c r="G3345" s="116"/>
      <c r="K3345" s="104" t="n">
        <f aca="false">IF(A3345="",0,IF(IFERROR(VLOOKUP(A3345,Skills!$A:$M,13,FALSE()),"")="COS",0,IF(OR(I3345="En cours",I3345="À venir",I3345="À planifier"),IF(AND(OR($C$3="Tous",$C$3="",C3345=$C$3),OR($E$3="Tous",$E$3="",I3345=$E$3)),1,0),0)))</f>
        <v>0</v>
      </c>
      <c r="L3345" s="104" t="n">
        <f aca="false">L3344+K3345</f>
        <v>19</v>
      </c>
    </row>
    <row r="3346" customFormat="false" ht="15" hidden="true" customHeight="true" outlineLevel="0" collapsed="false">
      <c r="F3346" s="116"/>
      <c r="G3346" s="116"/>
      <c r="K3346" s="104" t="n">
        <f aca="false">IF(A3346="",0,IF(IFERROR(VLOOKUP(A3346,Skills!$A:$M,13,FALSE()),"")="COS",0,IF(OR(I3346="En cours",I3346="À venir",I3346="À planifier"),IF(AND(OR($C$3="Tous",$C$3="",C3346=$C$3),OR($E$3="Tous",$E$3="",I3346=$E$3)),1,0),0)))</f>
        <v>0</v>
      </c>
      <c r="L3346" s="104" t="n">
        <f aca="false">L3345+K3346</f>
        <v>19</v>
      </c>
    </row>
    <row r="3347" customFormat="false" ht="15" hidden="true" customHeight="true" outlineLevel="0" collapsed="false">
      <c r="F3347" s="116"/>
      <c r="G3347" s="116"/>
      <c r="K3347" s="104" t="n">
        <f aca="false">IF(A3347="",0,IF(IFERROR(VLOOKUP(A3347,Skills!$A:$M,13,FALSE()),"")="COS",0,IF(OR(I3347="En cours",I3347="À venir",I3347="À planifier"),IF(AND(OR($C$3="Tous",$C$3="",C3347=$C$3),OR($E$3="Tous",$E$3="",I3347=$E$3)),1,0),0)))</f>
        <v>0</v>
      </c>
      <c r="L3347" s="104" t="n">
        <f aca="false">L3346+K3347</f>
        <v>19</v>
      </c>
    </row>
    <row r="3348" customFormat="false" ht="15" hidden="true" customHeight="true" outlineLevel="0" collapsed="false">
      <c r="F3348" s="116"/>
      <c r="G3348" s="116"/>
      <c r="K3348" s="104" t="n">
        <f aca="false">IF(A3348="",0,IF(IFERROR(VLOOKUP(A3348,Skills!$A:$M,13,FALSE()),"")="COS",0,IF(OR(I3348="En cours",I3348="À venir",I3348="À planifier"),IF(AND(OR($C$3="Tous",$C$3="",C3348=$C$3),OR($E$3="Tous",$E$3="",I3348=$E$3)),1,0),0)))</f>
        <v>0</v>
      </c>
      <c r="L3348" s="104" t="n">
        <f aca="false">L3347+K3348</f>
        <v>19</v>
      </c>
    </row>
    <row r="3349" customFormat="false" ht="15" hidden="true" customHeight="true" outlineLevel="0" collapsed="false">
      <c r="F3349" s="116"/>
      <c r="G3349" s="116"/>
      <c r="K3349" s="104" t="n">
        <f aca="false">IF(A3349="",0,IF(IFERROR(VLOOKUP(A3349,Skills!$A:$M,13,FALSE()),"")="COS",0,IF(OR(I3349="En cours",I3349="À venir",I3349="À planifier"),IF(AND(OR($C$3="Tous",$C$3="",C3349=$C$3),OR($E$3="Tous",$E$3="",I3349=$E$3)),1,0),0)))</f>
        <v>0</v>
      </c>
      <c r="L3349" s="104" t="n">
        <f aca="false">L3348+K3349</f>
        <v>19</v>
      </c>
    </row>
    <row r="3350" customFormat="false" ht="15" hidden="true" customHeight="true" outlineLevel="0" collapsed="false">
      <c r="F3350" s="116"/>
      <c r="G3350" s="116"/>
      <c r="K3350" s="104" t="n">
        <f aca="false">IF(A3350="",0,IF(IFERROR(VLOOKUP(A3350,Skills!$A:$M,13,FALSE()),"")="COS",0,IF(OR(I3350="En cours",I3350="À venir",I3350="À planifier"),IF(AND(OR($C$3="Tous",$C$3="",C3350=$C$3),OR($E$3="Tous",$E$3="",I3350=$E$3)),1,0),0)))</f>
        <v>0</v>
      </c>
      <c r="L3350" s="104" t="n">
        <f aca="false">L3349+K3350</f>
        <v>19</v>
      </c>
    </row>
    <row r="3351" customFormat="false" ht="15" hidden="true" customHeight="true" outlineLevel="0" collapsed="false">
      <c r="F3351" s="116"/>
      <c r="G3351" s="116"/>
      <c r="K3351" s="104" t="n">
        <f aca="false">IF(A3351="",0,IF(IFERROR(VLOOKUP(A3351,Skills!$A:$M,13,FALSE()),"")="COS",0,IF(OR(I3351="En cours",I3351="À venir",I3351="À planifier"),IF(AND(OR($C$3="Tous",$C$3="",C3351=$C$3),OR($E$3="Tous",$E$3="",I3351=$E$3)),1,0),0)))</f>
        <v>0</v>
      </c>
      <c r="L3351" s="104" t="n">
        <f aca="false">L3350+K3351</f>
        <v>19</v>
      </c>
    </row>
    <row r="3352" customFormat="false" ht="15" hidden="true" customHeight="true" outlineLevel="0" collapsed="false">
      <c r="F3352" s="116"/>
      <c r="G3352" s="116"/>
      <c r="K3352" s="104" t="n">
        <f aca="false">IF(A3352="",0,IF(IFERROR(VLOOKUP(A3352,Skills!$A:$M,13,FALSE()),"")="COS",0,IF(OR(I3352="En cours",I3352="À venir",I3352="À planifier"),IF(AND(OR($C$3="Tous",$C$3="",C3352=$C$3),OR($E$3="Tous",$E$3="",I3352=$E$3)),1,0),0)))</f>
        <v>0</v>
      </c>
      <c r="L3352" s="104" t="n">
        <f aca="false">L3351+K3352</f>
        <v>19</v>
      </c>
    </row>
    <row r="3353" customFormat="false" ht="15" hidden="true" customHeight="true" outlineLevel="0" collapsed="false">
      <c r="F3353" s="116"/>
      <c r="G3353" s="116"/>
      <c r="K3353" s="104" t="n">
        <f aca="false">IF(A3353="",0,IF(IFERROR(VLOOKUP(A3353,Skills!$A:$M,13,FALSE()),"")="COS",0,IF(OR(I3353="En cours",I3353="À venir",I3353="À planifier"),IF(AND(OR($C$3="Tous",$C$3="",C3353=$C$3),OR($E$3="Tous",$E$3="",I3353=$E$3)),1,0),0)))</f>
        <v>0</v>
      </c>
      <c r="L3353" s="104" t="n">
        <f aca="false">L3352+K3353</f>
        <v>19</v>
      </c>
    </row>
    <row r="3354" customFormat="false" ht="15" hidden="true" customHeight="true" outlineLevel="0" collapsed="false">
      <c r="F3354" s="116"/>
      <c r="G3354" s="116"/>
      <c r="K3354" s="104" t="n">
        <f aca="false">IF(A3354="",0,IF(IFERROR(VLOOKUP(A3354,Skills!$A:$M,13,FALSE()),"")="COS",0,IF(OR(I3354="En cours",I3354="À venir",I3354="À planifier"),IF(AND(OR($C$3="Tous",$C$3="",C3354=$C$3),OR($E$3="Tous",$E$3="",I3354=$E$3)),1,0),0)))</f>
        <v>0</v>
      </c>
      <c r="L3354" s="104" t="n">
        <f aca="false">L3353+K3354</f>
        <v>19</v>
      </c>
    </row>
    <row r="3355" customFormat="false" ht="15" hidden="true" customHeight="true" outlineLevel="0" collapsed="false">
      <c r="F3355" s="116"/>
      <c r="G3355" s="116"/>
      <c r="K3355" s="104" t="n">
        <f aca="false">IF(A3355="",0,IF(IFERROR(VLOOKUP(A3355,Skills!$A:$M,13,FALSE()),"")="COS",0,IF(OR(I3355="En cours",I3355="À venir",I3355="À planifier"),IF(AND(OR($C$3="Tous",$C$3="",C3355=$C$3),OR($E$3="Tous",$E$3="",I3355=$E$3)),1,0),0)))</f>
        <v>0</v>
      </c>
      <c r="L3355" s="104" t="n">
        <f aca="false">L3354+K3355</f>
        <v>19</v>
      </c>
    </row>
    <row r="3356" customFormat="false" ht="15" hidden="true" customHeight="true" outlineLevel="0" collapsed="false">
      <c r="F3356" s="116"/>
      <c r="G3356" s="116"/>
      <c r="K3356" s="104" t="n">
        <f aca="false">IF(A3356="",0,IF(IFERROR(VLOOKUP(A3356,Skills!$A:$M,13,FALSE()),"")="COS",0,IF(OR(I3356="En cours",I3356="À venir",I3356="À planifier"),IF(AND(OR($C$3="Tous",$C$3="",C3356=$C$3),OR($E$3="Tous",$E$3="",I3356=$E$3)),1,0),0)))</f>
        <v>0</v>
      </c>
      <c r="L3356" s="104" t="n">
        <f aca="false">L3355+K3356</f>
        <v>19</v>
      </c>
    </row>
    <row r="3357" customFormat="false" ht="15" hidden="true" customHeight="true" outlineLevel="0" collapsed="false">
      <c r="F3357" s="116"/>
      <c r="G3357" s="116"/>
      <c r="K3357" s="104" t="n">
        <f aca="false">IF(A3357="",0,IF(IFERROR(VLOOKUP(A3357,Skills!$A:$M,13,FALSE()),"")="COS",0,IF(OR(I3357="En cours",I3357="À venir",I3357="À planifier"),IF(AND(OR($C$3="Tous",$C$3="",C3357=$C$3),OR($E$3="Tous",$E$3="",I3357=$E$3)),1,0),0)))</f>
        <v>0</v>
      </c>
      <c r="L3357" s="104" t="n">
        <f aca="false">L3356+K3357</f>
        <v>19</v>
      </c>
    </row>
    <row r="3358" customFormat="false" ht="15" hidden="true" customHeight="true" outlineLevel="0" collapsed="false">
      <c r="F3358" s="116"/>
      <c r="G3358" s="116"/>
      <c r="K3358" s="104" t="n">
        <f aca="false">IF(A3358="",0,IF(IFERROR(VLOOKUP(A3358,Skills!$A:$M,13,FALSE()),"")="COS",0,IF(OR(I3358="En cours",I3358="À venir",I3358="À planifier"),IF(AND(OR($C$3="Tous",$C$3="",C3358=$C$3),OR($E$3="Tous",$E$3="",I3358=$E$3)),1,0),0)))</f>
        <v>0</v>
      </c>
      <c r="L3358" s="104" t="n">
        <f aca="false">L3357+K3358</f>
        <v>19</v>
      </c>
    </row>
    <row r="3359" customFormat="false" ht="15" hidden="true" customHeight="true" outlineLevel="0" collapsed="false">
      <c r="F3359" s="116"/>
      <c r="G3359" s="116"/>
      <c r="K3359" s="104" t="n">
        <f aca="false">IF(A3359="",0,IF(IFERROR(VLOOKUP(A3359,Skills!$A:$M,13,FALSE()),"")="COS",0,IF(OR(I3359="En cours",I3359="À venir",I3359="À planifier"),IF(AND(OR($C$3="Tous",$C$3="",C3359=$C$3),OR($E$3="Tous",$E$3="",I3359=$E$3)),1,0),0)))</f>
        <v>0</v>
      </c>
      <c r="L3359" s="104" t="n">
        <f aca="false">L3358+K3359</f>
        <v>19</v>
      </c>
    </row>
    <row r="3360" customFormat="false" ht="15" hidden="true" customHeight="true" outlineLevel="0" collapsed="false">
      <c r="F3360" s="116"/>
      <c r="G3360" s="116"/>
      <c r="K3360" s="104" t="n">
        <f aca="false">IF(A3360="",0,IF(IFERROR(VLOOKUP(A3360,Skills!$A:$M,13,FALSE()),"")="COS",0,IF(OR(I3360="En cours",I3360="À venir",I3360="À planifier"),IF(AND(OR($C$3="Tous",$C$3="",C3360=$C$3),OR($E$3="Tous",$E$3="",I3360=$E$3)),1,0),0)))</f>
        <v>0</v>
      </c>
      <c r="L3360" s="104" t="n">
        <f aca="false">L3359+K3360</f>
        <v>19</v>
      </c>
    </row>
    <row r="3361" customFormat="false" ht="15" hidden="true" customHeight="true" outlineLevel="0" collapsed="false">
      <c r="F3361" s="116"/>
      <c r="G3361" s="116"/>
      <c r="K3361" s="104" t="n">
        <f aca="false">IF(A3361="",0,IF(IFERROR(VLOOKUP(A3361,Skills!$A:$M,13,FALSE()),"")="COS",0,IF(OR(I3361="En cours",I3361="À venir",I3361="À planifier"),IF(AND(OR($C$3="Tous",$C$3="",C3361=$C$3),OR($E$3="Tous",$E$3="",I3361=$E$3)),1,0),0)))</f>
        <v>0</v>
      </c>
      <c r="L3361" s="104" t="n">
        <f aca="false">L3360+K3361</f>
        <v>19</v>
      </c>
    </row>
    <row r="3362" customFormat="false" ht="15" hidden="true" customHeight="true" outlineLevel="0" collapsed="false">
      <c r="F3362" s="116"/>
      <c r="G3362" s="116"/>
      <c r="K3362" s="104" t="n">
        <f aca="false">IF(A3362="",0,IF(IFERROR(VLOOKUP(A3362,Skills!$A:$M,13,FALSE()),"")="COS",0,IF(OR(I3362="En cours",I3362="À venir",I3362="À planifier"),IF(AND(OR($C$3="Tous",$C$3="",C3362=$C$3),OR($E$3="Tous",$E$3="",I3362=$E$3)),1,0),0)))</f>
        <v>0</v>
      </c>
      <c r="L3362" s="104" t="n">
        <f aca="false">L3361+K3362</f>
        <v>19</v>
      </c>
    </row>
    <row r="3363" customFormat="false" ht="15" hidden="true" customHeight="true" outlineLevel="0" collapsed="false">
      <c r="F3363" s="116"/>
      <c r="G3363" s="116"/>
      <c r="K3363" s="104" t="n">
        <f aca="false">IF(A3363="",0,IF(IFERROR(VLOOKUP(A3363,Skills!$A:$M,13,FALSE()),"")="COS",0,IF(OR(I3363="En cours",I3363="À venir",I3363="À planifier"),IF(AND(OR($C$3="Tous",$C$3="",C3363=$C$3),OR($E$3="Tous",$E$3="",I3363=$E$3)),1,0),0)))</f>
        <v>0</v>
      </c>
      <c r="L3363" s="104" t="n">
        <f aca="false">L3362+K3363</f>
        <v>19</v>
      </c>
    </row>
    <row r="3364" customFormat="false" ht="15" hidden="true" customHeight="true" outlineLevel="0" collapsed="false">
      <c r="F3364" s="116"/>
      <c r="G3364" s="116"/>
      <c r="K3364" s="104" t="n">
        <f aca="false">IF(A3364="",0,IF(IFERROR(VLOOKUP(A3364,Skills!$A:$M,13,FALSE()),"")="COS",0,IF(OR(I3364="En cours",I3364="À venir",I3364="À planifier"),IF(AND(OR($C$3="Tous",$C$3="",C3364=$C$3),OR($E$3="Tous",$E$3="",I3364=$E$3)),1,0),0)))</f>
        <v>0</v>
      </c>
      <c r="L3364" s="104" t="n">
        <f aca="false">L3363+K3364</f>
        <v>19</v>
      </c>
    </row>
    <row r="3365" customFormat="false" ht="15" hidden="true" customHeight="true" outlineLevel="0" collapsed="false">
      <c r="F3365" s="116"/>
      <c r="G3365" s="116"/>
      <c r="K3365" s="104" t="n">
        <f aca="false">IF(A3365="",0,IF(IFERROR(VLOOKUP(A3365,Skills!$A:$M,13,FALSE()),"")="COS",0,IF(OR(I3365="En cours",I3365="À venir",I3365="À planifier"),IF(AND(OR($C$3="Tous",$C$3="",C3365=$C$3),OR($E$3="Tous",$E$3="",I3365=$E$3)),1,0),0)))</f>
        <v>0</v>
      </c>
      <c r="L3365" s="104" t="n">
        <f aca="false">L3364+K3365</f>
        <v>19</v>
      </c>
    </row>
    <row r="3366" customFormat="false" ht="15" hidden="true" customHeight="true" outlineLevel="0" collapsed="false">
      <c r="F3366" s="116"/>
      <c r="G3366" s="116"/>
      <c r="K3366" s="104" t="n">
        <f aca="false">IF(A3366="",0,IF(IFERROR(VLOOKUP(A3366,Skills!$A:$M,13,FALSE()),"")="COS",0,IF(OR(I3366="En cours",I3366="À venir",I3366="À planifier"),IF(AND(OR($C$3="Tous",$C$3="",C3366=$C$3),OR($E$3="Tous",$E$3="",I3366=$E$3)),1,0),0)))</f>
        <v>0</v>
      </c>
      <c r="L3366" s="104" t="n">
        <f aca="false">L3365+K3366</f>
        <v>19</v>
      </c>
    </row>
    <row r="3367" customFormat="false" ht="15" hidden="true" customHeight="true" outlineLevel="0" collapsed="false">
      <c r="F3367" s="116"/>
      <c r="G3367" s="116"/>
      <c r="K3367" s="104" t="n">
        <f aca="false">IF(A3367="",0,IF(IFERROR(VLOOKUP(A3367,Skills!$A:$M,13,FALSE()),"")="COS",0,IF(OR(I3367="En cours",I3367="À venir",I3367="À planifier"),IF(AND(OR($C$3="Tous",$C$3="",C3367=$C$3),OR($E$3="Tous",$E$3="",I3367=$E$3)),1,0),0)))</f>
        <v>0</v>
      </c>
      <c r="L3367" s="104" t="n">
        <f aca="false">L3366+K3367</f>
        <v>19</v>
      </c>
    </row>
    <row r="3368" customFormat="false" ht="15" hidden="true" customHeight="true" outlineLevel="0" collapsed="false">
      <c r="F3368" s="116"/>
      <c r="G3368" s="116"/>
      <c r="K3368" s="104" t="n">
        <f aca="false">IF(A3368="",0,IF(IFERROR(VLOOKUP(A3368,Skills!$A:$M,13,FALSE()),"")="COS",0,IF(OR(I3368="En cours",I3368="À venir",I3368="À planifier"),IF(AND(OR($C$3="Tous",$C$3="",C3368=$C$3),OR($E$3="Tous",$E$3="",I3368=$E$3)),1,0),0)))</f>
        <v>0</v>
      </c>
      <c r="L3368" s="104" t="n">
        <f aca="false">L3367+K3368</f>
        <v>19</v>
      </c>
    </row>
    <row r="3369" customFormat="false" ht="15" hidden="true" customHeight="true" outlineLevel="0" collapsed="false">
      <c r="F3369" s="116"/>
      <c r="G3369" s="116"/>
      <c r="K3369" s="104" t="n">
        <f aca="false">IF(A3369="",0,IF(IFERROR(VLOOKUP(A3369,Skills!$A:$M,13,FALSE()),"")="COS",0,IF(OR(I3369="En cours",I3369="À venir",I3369="À planifier"),IF(AND(OR($C$3="Tous",$C$3="",C3369=$C$3),OR($E$3="Tous",$E$3="",I3369=$E$3)),1,0),0)))</f>
        <v>0</v>
      </c>
      <c r="L3369" s="104" t="n">
        <f aca="false">L3368+K3369</f>
        <v>19</v>
      </c>
    </row>
    <row r="3370" customFormat="false" ht="15" hidden="true" customHeight="true" outlineLevel="0" collapsed="false">
      <c r="F3370" s="116"/>
      <c r="G3370" s="116"/>
      <c r="K3370" s="104" t="n">
        <f aca="false">IF(A3370="",0,IF(IFERROR(VLOOKUP(A3370,Skills!$A:$M,13,FALSE()),"")="COS",0,IF(OR(I3370="En cours",I3370="À venir",I3370="À planifier"),IF(AND(OR($C$3="Tous",$C$3="",C3370=$C$3),OR($E$3="Tous",$E$3="",I3370=$E$3)),1,0),0)))</f>
        <v>0</v>
      </c>
      <c r="L3370" s="104" t="n">
        <f aca="false">L3369+K3370</f>
        <v>19</v>
      </c>
    </row>
    <row r="3371" customFormat="false" ht="15" hidden="true" customHeight="true" outlineLevel="0" collapsed="false">
      <c r="F3371" s="116"/>
      <c r="G3371" s="116"/>
      <c r="K3371" s="104" t="n">
        <f aca="false">IF(A3371="",0,IF(IFERROR(VLOOKUP(A3371,Skills!$A:$M,13,FALSE()),"")="COS",0,IF(OR(I3371="En cours",I3371="À venir",I3371="À planifier"),IF(AND(OR($C$3="Tous",$C$3="",C3371=$C$3),OR($E$3="Tous",$E$3="",I3371=$E$3)),1,0),0)))</f>
        <v>0</v>
      </c>
      <c r="L3371" s="104" t="n">
        <f aca="false">L3370+K3371</f>
        <v>19</v>
      </c>
    </row>
    <row r="3372" customFormat="false" ht="15" hidden="true" customHeight="true" outlineLevel="0" collapsed="false">
      <c r="F3372" s="116"/>
      <c r="G3372" s="116"/>
      <c r="K3372" s="104" t="n">
        <f aca="false">IF(A3372="",0,IF(IFERROR(VLOOKUP(A3372,Skills!$A:$M,13,FALSE()),"")="COS",0,IF(OR(I3372="En cours",I3372="À venir",I3372="À planifier"),IF(AND(OR($C$3="Tous",$C$3="",C3372=$C$3),OR($E$3="Tous",$E$3="",I3372=$E$3)),1,0),0)))</f>
        <v>0</v>
      </c>
      <c r="L3372" s="104" t="n">
        <f aca="false">L3371+K3372</f>
        <v>19</v>
      </c>
    </row>
    <row r="3373" customFormat="false" ht="15" hidden="true" customHeight="true" outlineLevel="0" collapsed="false">
      <c r="F3373" s="116"/>
      <c r="G3373" s="116"/>
      <c r="K3373" s="104" t="n">
        <f aca="false">IF(A3373="",0,IF(IFERROR(VLOOKUP(A3373,Skills!$A:$M,13,FALSE()),"")="COS",0,IF(OR(I3373="En cours",I3373="À venir",I3373="À planifier"),IF(AND(OR($C$3="Tous",$C$3="",C3373=$C$3),OR($E$3="Tous",$E$3="",I3373=$E$3)),1,0),0)))</f>
        <v>0</v>
      </c>
      <c r="L3373" s="104" t="n">
        <f aca="false">L3372+K3373</f>
        <v>19</v>
      </c>
    </row>
    <row r="3374" customFormat="false" ht="15" hidden="true" customHeight="true" outlineLevel="0" collapsed="false">
      <c r="F3374" s="116"/>
      <c r="G3374" s="116"/>
      <c r="K3374" s="104" t="n">
        <f aca="false">IF(A3374="",0,IF(IFERROR(VLOOKUP(A3374,Skills!$A:$M,13,FALSE()),"")="COS",0,IF(OR(I3374="En cours",I3374="À venir",I3374="À planifier"),IF(AND(OR($C$3="Tous",$C$3="",C3374=$C$3),OR($E$3="Tous",$E$3="",I3374=$E$3)),1,0),0)))</f>
        <v>0</v>
      </c>
      <c r="L3374" s="104" t="n">
        <f aca="false">L3373+K3374</f>
        <v>19</v>
      </c>
    </row>
    <row r="3375" customFormat="false" ht="15" hidden="true" customHeight="true" outlineLevel="0" collapsed="false">
      <c r="F3375" s="116"/>
      <c r="G3375" s="116"/>
      <c r="K3375" s="104" t="n">
        <f aca="false">IF(A3375="",0,IF(IFERROR(VLOOKUP(A3375,Skills!$A:$M,13,FALSE()),"")="COS",0,IF(OR(I3375="En cours",I3375="À venir",I3375="À planifier"),IF(AND(OR($C$3="Tous",$C$3="",C3375=$C$3),OR($E$3="Tous",$E$3="",I3375=$E$3)),1,0),0)))</f>
        <v>0</v>
      </c>
      <c r="L3375" s="104" t="n">
        <f aca="false">L3374+K3375</f>
        <v>19</v>
      </c>
    </row>
    <row r="3376" customFormat="false" ht="15" hidden="true" customHeight="true" outlineLevel="0" collapsed="false">
      <c r="F3376" s="116"/>
      <c r="G3376" s="116"/>
      <c r="K3376" s="104" t="n">
        <f aca="false">IF(A3376="",0,IF(IFERROR(VLOOKUP(A3376,Skills!$A:$M,13,FALSE()),"")="COS",0,IF(OR(I3376="En cours",I3376="À venir",I3376="À planifier"),IF(AND(OR($C$3="Tous",$C$3="",C3376=$C$3),OR($E$3="Tous",$E$3="",I3376=$E$3)),1,0),0)))</f>
        <v>0</v>
      </c>
      <c r="L3376" s="104" t="n">
        <f aca="false">L3375+K3376</f>
        <v>19</v>
      </c>
    </row>
    <row r="3377" customFormat="false" ht="15" hidden="true" customHeight="true" outlineLevel="0" collapsed="false">
      <c r="F3377" s="116"/>
      <c r="G3377" s="116"/>
      <c r="K3377" s="104" t="n">
        <f aca="false">IF(A3377="",0,IF(IFERROR(VLOOKUP(A3377,Skills!$A:$M,13,FALSE()),"")="COS",0,IF(OR(I3377="En cours",I3377="À venir",I3377="À planifier"),IF(AND(OR($C$3="Tous",$C$3="",C3377=$C$3),OR($E$3="Tous",$E$3="",I3377=$E$3)),1,0),0)))</f>
        <v>0</v>
      </c>
      <c r="L3377" s="104" t="n">
        <f aca="false">L3376+K3377</f>
        <v>19</v>
      </c>
    </row>
    <row r="3378" customFormat="false" ht="15" hidden="true" customHeight="true" outlineLevel="0" collapsed="false">
      <c r="F3378" s="116"/>
      <c r="G3378" s="116"/>
      <c r="K3378" s="104" t="n">
        <f aca="false">IF(A3378="",0,IF(IFERROR(VLOOKUP(A3378,Skills!$A:$M,13,FALSE()),"")="COS",0,IF(OR(I3378="En cours",I3378="À venir",I3378="À planifier"),IF(AND(OR($C$3="Tous",$C$3="",C3378=$C$3),OR($E$3="Tous",$E$3="",I3378=$E$3)),1,0),0)))</f>
        <v>0</v>
      </c>
      <c r="L3378" s="104" t="n">
        <f aca="false">L3377+K3378</f>
        <v>19</v>
      </c>
    </row>
    <row r="3379" customFormat="false" ht="15" hidden="true" customHeight="true" outlineLevel="0" collapsed="false">
      <c r="F3379" s="116"/>
      <c r="G3379" s="116"/>
      <c r="K3379" s="104" t="n">
        <f aca="false">IF(A3379="",0,IF(IFERROR(VLOOKUP(A3379,Skills!$A:$M,13,FALSE()),"")="COS",0,IF(OR(I3379="En cours",I3379="À venir",I3379="À planifier"),IF(AND(OR($C$3="Tous",$C$3="",C3379=$C$3),OR($E$3="Tous",$E$3="",I3379=$E$3)),1,0),0)))</f>
        <v>0</v>
      </c>
      <c r="L3379" s="104" t="n">
        <f aca="false">L3378+K3379</f>
        <v>19</v>
      </c>
    </row>
    <row r="3380" customFormat="false" ht="15" hidden="true" customHeight="true" outlineLevel="0" collapsed="false">
      <c r="F3380" s="116"/>
      <c r="G3380" s="116"/>
      <c r="K3380" s="104" t="n">
        <f aca="false">IF(A3380="",0,IF(IFERROR(VLOOKUP(A3380,Skills!$A:$M,13,FALSE()),"")="COS",0,IF(OR(I3380="En cours",I3380="À venir",I3380="À planifier"),IF(AND(OR($C$3="Tous",$C$3="",C3380=$C$3),OR($E$3="Tous",$E$3="",I3380=$E$3)),1,0),0)))</f>
        <v>0</v>
      </c>
      <c r="L3380" s="104" t="n">
        <f aca="false">L3379+K3380</f>
        <v>19</v>
      </c>
    </row>
    <row r="3381" customFormat="false" ht="15" hidden="true" customHeight="true" outlineLevel="0" collapsed="false">
      <c r="F3381" s="116"/>
      <c r="G3381" s="116"/>
      <c r="K3381" s="104" t="n">
        <f aca="false">IF(A3381="",0,IF(IFERROR(VLOOKUP(A3381,Skills!$A:$M,13,FALSE()),"")="COS",0,IF(OR(I3381="En cours",I3381="À venir",I3381="À planifier"),IF(AND(OR($C$3="Tous",$C$3="",C3381=$C$3),OR($E$3="Tous",$E$3="",I3381=$E$3)),1,0),0)))</f>
        <v>0</v>
      </c>
      <c r="L3381" s="104" t="n">
        <f aca="false">L3380+K3381</f>
        <v>19</v>
      </c>
    </row>
    <row r="3382" customFormat="false" ht="15" hidden="true" customHeight="true" outlineLevel="0" collapsed="false">
      <c r="F3382" s="116"/>
      <c r="G3382" s="116"/>
      <c r="K3382" s="104" t="n">
        <f aca="false">IF(A3382="",0,IF(IFERROR(VLOOKUP(A3382,Skills!$A:$M,13,FALSE()),"")="COS",0,IF(OR(I3382="En cours",I3382="À venir",I3382="À planifier"),IF(AND(OR($C$3="Tous",$C$3="",C3382=$C$3),OR($E$3="Tous",$E$3="",I3382=$E$3)),1,0),0)))</f>
        <v>0</v>
      </c>
      <c r="L3382" s="104" t="n">
        <f aca="false">L3381+K3382</f>
        <v>19</v>
      </c>
    </row>
    <row r="3383" customFormat="false" ht="15" hidden="true" customHeight="true" outlineLevel="0" collapsed="false">
      <c r="F3383" s="116"/>
      <c r="G3383" s="116"/>
      <c r="K3383" s="104" t="n">
        <f aca="false">IF(A3383="",0,IF(IFERROR(VLOOKUP(A3383,Skills!$A:$M,13,FALSE()),"")="COS",0,IF(OR(I3383="En cours",I3383="À venir",I3383="À planifier"),IF(AND(OR($C$3="Tous",$C$3="",C3383=$C$3),OR($E$3="Tous",$E$3="",I3383=$E$3)),1,0),0)))</f>
        <v>0</v>
      </c>
      <c r="L3383" s="104" t="n">
        <f aca="false">L3382+K3383</f>
        <v>19</v>
      </c>
    </row>
    <row r="3384" customFormat="false" ht="15" hidden="true" customHeight="true" outlineLevel="0" collapsed="false">
      <c r="F3384" s="116"/>
      <c r="G3384" s="116"/>
      <c r="K3384" s="104" t="n">
        <f aca="false">IF(A3384="",0,IF(IFERROR(VLOOKUP(A3384,Skills!$A:$M,13,FALSE()),"")="COS",0,IF(OR(I3384="En cours",I3384="À venir",I3384="À planifier"),IF(AND(OR($C$3="Tous",$C$3="",C3384=$C$3),OR($E$3="Tous",$E$3="",I3384=$E$3)),1,0),0)))</f>
        <v>0</v>
      </c>
      <c r="L3384" s="104" t="n">
        <f aca="false">L3383+K3384</f>
        <v>19</v>
      </c>
    </row>
    <row r="3385" customFormat="false" ht="15" hidden="true" customHeight="true" outlineLevel="0" collapsed="false">
      <c r="F3385" s="116"/>
      <c r="G3385" s="116"/>
      <c r="K3385" s="104" t="n">
        <f aca="false">IF(A3385="",0,IF(IFERROR(VLOOKUP(A3385,Skills!$A:$M,13,FALSE()),"")="COS",0,IF(OR(I3385="En cours",I3385="À venir",I3385="À planifier"),IF(AND(OR($C$3="Tous",$C$3="",C3385=$C$3),OR($E$3="Tous",$E$3="",I3385=$E$3)),1,0),0)))</f>
        <v>0</v>
      </c>
      <c r="L3385" s="104" t="n">
        <f aca="false">L3384+K3385</f>
        <v>19</v>
      </c>
    </row>
    <row r="3386" customFormat="false" ht="15" hidden="true" customHeight="true" outlineLevel="0" collapsed="false">
      <c r="F3386" s="116"/>
      <c r="G3386" s="116"/>
      <c r="K3386" s="104" t="n">
        <f aca="false">IF(A3386="",0,IF(IFERROR(VLOOKUP(A3386,Skills!$A:$M,13,FALSE()),"")="COS",0,IF(OR(I3386="En cours",I3386="À venir",I3386="À planifier"),IF(AND(OR($C$3="Tous",$C$3="",C3386=$C$3),OR($E$3="Tous",$E$3="",I3386=$E$3)),1,0),0)))</f>
        <v>0</v>
      </c>
      <c r="L3386" s="104" t="n">
        <f aca="false">L3385+K3386</f>
        <v>19</v>
      </c>
    </row>
    <row r="3387" customFormat="false" ht="15" hidden="true" customHeight="true" outlineLevel="0" collapsed="false">
      <c r="F3387" s="116"/>
      <c r="G3387" s="116"/>
      <c r="K3387" s="104" t="n">
        <f aca="false">IF(A3387="",0,IF(IFERROR(VLOOKUP(A3387,Skills!$A:$M,13,FALSE()),"")="COS",0,IF(OR(I3387="En cours",I3387="À venir",I3387="À planifier"),IF(AND(OR($C$3="Tous",$C$3="",C3387=$C$3),OR($E$3="Tous",$E$3="",I3387=$E$3)),1,0),0)))</f>
        <v>0</v>
      </c>
      <c r="L3387" s="104" t="n">
        <f aca="false">L3386+K3387</f>
        <v>19</v>
      </c>
    </row>
    <row r="3388" customFormat="false" ht="15" hidden="true" customHeight="true" outlineLevel="0" collapsed="false">
      <c r="F3388" s="116"/>
      <c r="G3388" s="116"/>
      <c r="K3388" s="104" t="n">
        <f aca="false">IF(A3388="",0,IF(IFERROR(VLOOKUP(A3388,Skills!$A:$M,13,FALSE()),"")="COS",0,IF(OR(I3388="En cours",I3388="À venir",I3388="À planifier"),IF(AND(OR($C$3="Tous",$C$3="",C3388=$C$3),OR($E$3="Tous",$E$3="",I3388=$E$3)),1,0),0)))</f>
        <v>0</v>
      </c>
      <c r="L3388" s="104" t="n">
        <f aca="false">L3387+K3388</f>
        <v>19</v>
      </c>
    </row>
    <row r="3389" customFormat="false" ht="15" hidden="true" customHeight="true" outlineLevel="0" collapsed="false">
      <c r="F3389" s="116"/>
      <c r="G3389" s="116"/>
      <c r="K3389" s="104" t="n">
        <f aca="false">IF(A3389="",0,IF(IFERROR(VLOOKUP(A3389,Skills!$A:$M,13,FALSE()),"")="COS",0,IF(OR(I3389="En cours",I3389="À venir",I3389="À planifier"),IF(AND(OR($C$3="Tous",$C$3="",C3389=$C$3),OR($E$3="Tous",$E$3="",I3389=$E$3)),1,0),0)))</f>
        <v>0</v>
      </c>
      <c r="L3389" s="104" t="n">
        <f aca="false">L3388+K3389</f>
        <v>19</v>
      </c>
    </row>
    <row r="3390" customFormat="false" ht="15" hidden="true" customHeight="true" outlineLevel="0" collapsed="false">
      <c r="F3390" s="116"/>
      <c r="G3390" s="116"/>
      <c r="K3390" s="104" t="n">
        <f aca="false">IF(A3390="",0,IF(IFERROR(VLOOKUP(A3390,Skills!$A:$M,13,FALSE()),"")="COS",0,IF(OR(I3390="En cours",I3390="À venir",I3390="À planifier"),IF(AND(OR($C$3="Tous",$C$3="",C3390=$C$3),OR($E$3="Tous",$E$3="",I3390=$E$3)),1,0),0)))</f>
        <v>0</v>
      </c>
      <c r="L3390" s="104" t="n">
        <f aca="false">L3389+K3390</f>
        <v>19</v>
      </c>
    </row>
    <row r="3391" customFormat="false" ht="15" hidden="true" customHeight="true" outlineLevel="0" collapsed="false">
      <c r="F3391" s="116"/>
      <c r="G3391" s="116"/>
      <c r="K3391" s="104" t="n">
        <f aca="false">IF(A3391="",0,IF(IFERROR(VLOOKUP(A3391,Skills!$A:$M,13,FALSE()),"")="COS",0,IF(OR(I3391="En cours",I3391="À venir",I3391="À planifier"),IF(AND(OR($C$3="Tous",$C$3="",C3391=$C$3),OR($E$3="Tous",$E$3="",I3391=$E$3)),1,0),0)))</f>
        <v>0</v>
      </c>
      <c r="L3391" s="104" t="n">
        <f aca="false">L3390+K3391</f>
        <v>19</v>
      </c>
    </row>
    <row r="3392" customFormat="false" ht="15" hidden="true" customHeight="true" outlineLevel="0" collapsed="false">
      <c r="F3392" s="116"/>
      <c r="G3392" s="116"/>
      <c r="K3392" s="104" t="n">
        <f aca="false">IF(A3392="",0,IF(IFERROR(VLOOKUP(A3392,Skills!$A:$M,13,FALSE()),"")="COS",0,IF(OR(I3392="En cours",I3392="À venir",I3392="À planifier"),IF(AND(OR($C$3="Tous",$C$3="",C3392=$C$3),OR($E$3="Tous",$E$3="",I3392=$E$3)),1,0),0)))</f>
        <v>0</v>
      </c>
      <c r="L3392" s="104" t="n">
        <f aca="false">L3391+K3392</f>
        <v>19</v>
      </c>
    </row>
    <row r="3393" customFormat="false" ht="15" hidden="true" customHeight="true" outlineLevel="0" collapsed="false">
      <c r="F3393" s="116"/>
      <c r="G3393" s="116"/>
      <c r="K3393" s="104" t="n">
        <f aca="false">IF(A3393="",0,IF(IFERROR(VLOOKUP(A3393,Skills!$A:$M,13,FALSE()),"")="COS",0,IF(OR(I3393="En cours",I3393="À venir",I3393="À planifier"),IF(AND(OR($C$3="Tous",$C$3="",C3393=$C$3),OR($E$3="Tous",$E$3="",I3393=$E$3)),1,0),0)))</f>
        <v>0</v>
      </c>
      <c r="L3393" s="104" t="n">
        <f aca="false">L3392+K3393</f>
        <v>19</v>
      </c>
    </row>
    <row r="3394" customFormat="false" ht="15" hidden="true" customHeight="true" outlineLevel="0" collapsed="false">
      <c r="F3394" s="116"/>
      <c r="G3394" s="116"/>
      <c r="K3394" s="104" t="n">
        <f aca="false">IF(A3394="",0,IF(IFERROR(VLOOKUP(A3394,Skills!$A:$M,13,FALSE()),"")="COS",0,IF(OR(I3394="En cours",I3394="À venir",I3394="À planifier"),IF(AND(OR($C$3="Tous",$C$3="",C3394=$C$3),OR($E$3="Tous",$E$3="",I3394=$E$3)),1,0),0)))</f>
        <v>0</v>
      </c>
      <c r="L3394" s="104" t="n">
        <f aca="false">L3393+K3394</f>
        <v>19</v>
      </c>
    </row>
    <row r="3395" customFormat="false" ht="15" hidden="true" customHeight="true" outlineLevel="0" collapsed="false">
      <c r="F3395" s="116"/>
      <c r="G3395" s="116"/>
      <c r="K3395" s="104" t="n">
        <f aca="false">IF(A3395="",0,IF(IFERROR(VLOOKUP(A3395,Skills!$A:$M,13,FALSE()),"")="COS",0,IF(OR(I3395="En cours",I3395="À venir",I3395="À planifier"),IF(AND(OR($C$3="Tous",$C$3="",C3395=$C$3),OR($E$3="Tous",$E$3="",I3395=$E$3)),1,0),0)))</f>
        <v>0</v>
      </c>
      <c r="L3395" s="104" t="n">
        <f aca="false">L3394+K3395</f>
        <v>19</v>
      </c>
    </row>
    <row r="3396" customFormat="false" ht="15" hidden="true" customHeight="true" outlineLevel="0" collapsed="false">
      <c r="F3396" s="116"/>
      <c r="G3396" s="116"/>
      <c r="K3396" s="104" t="n">
        <f aca="false">IF(A3396="",0,IF(IFERROR(VLOOKUP(A3396,Skills!$A:$M,13,FALSE()),"")="COS",0,IF(OR(I3396="En cours",I3396="À venir",I3396="À planifier"),IF(AND(OR($C$3="Tous",$C$3="",C3396=$C$3),OR($E$3="Tous",$E$3="",I3396=$E$3)),1,0),0)))</f>
        <v>0</v>
      </c>
      <c r="L3396" s="104" t="n">
        <f aca="false">L3395+K3396</f>
        <v>19</v>
      </c>
    </row>
    <row r="3397" customFormat="false" ht="15" hidden="true" customHeight="true" outlineLevel="0" collapsed="false">
      <c r="K3397" s="0" t="n">
        <f aca="false">IF(A3397="",0,IF(IFERROR(VLOOKUP(A3397,Skills!$A:$M,13,FALSE()),"")="COS",0,IF(OR(I3397="En cours",I3397="À venir",I3397="À planifier"),IF(AND(OR($C$3="Tous",$C$3="",C3397=$C$3),OR($E$3="Tous",$E$3="",I3397=$E$3)),1,0),0)))</f>
        <v>0</v>
      </c>
      <c r="L3397" s="0" t="n">
        <f aca="false">L3396+K3397</f>
        <v>19</v>
      </c>
    </row>
    <row r="3398" customFormat="false" ht="15" hidden="true" customHeight="true" outlineLevel="0" collapsed="false">
      <c r="K3398" s="0" t="n">
        <f aca="false">IF(A3398="",0,IF(IFERROR(VLOOKUP(A3398,Skills!$A:$M,13,FALSE()),"")="COS",0,IF(OR(I3398="En cours",I3398="À venir",I3398="À planifier"),IF(AND(OR($C$3="Tous",$C$3="",C3398=$C$3),OR($E$3="Tous",$E$3="",I3398=$E$3)),1,0),0)))</f>
        <v>0</v>
      </c>
      <c r="L3398" s="0" t="n">
        <f aca="false">L3397+K3398</f>
        <v>19</v>
      </c>
    </row>
    <row r="3399" customFormat="false" ht="15" hidden="true" customHeight="true" outlineLevel="0" collapsed="false">
      <c r="K3399" s="0" t="n">
        <f aca="false">IF(A3399="",0,IF(IFERROR(VLOOKUP(A3399,Skills!$A:$M,13,FALSE()),"")="COS",0,IF(OR(I3399="En cours",I3399="À venir",I3399="À planifier"),IF(AND(OR($C$3="Tous",$C$3="",C3399=$C$3),OR($E$3="Tous",$E$3="",I3399=$E$3)),1,0),0)))</f>
        <v>0</v>
      </c>
      <c r="L3399" s="0" t="n">
        <f aca="false">L3398+K3399</f>
        <v>19</v>
      </c>
    </row>
    <row r="3400" customFormat="false" ht="15" hidden="true" customHeight="true" outlineLevel="0" collapsed="false">
      <c r="K3400" s="0" t="n">
        <f aca="false">IF(A3400="",0,IF(IFERROR(VLOOKUP(A3400,Skills!$A:$M,13,FALSE()),"")="COS",0,IF(OR(I3400="En cours",I3400="À venir",I3400="À planifier"),IF(AND(OR($C$3="Tous",$C$3="",C3400=$C$3),OR($E$3="Tous",$E$3="",I3400=$E$3)),1,0),0)))</f>
        <v>0</v>
      </c>
      <c r="L3400" s="0" t="n">
        <f aca="false">L3399+K3400</f>
        <v>19</v>
      </c>
    </row>
    <row r="3401" customFormat="false" ht="15" hidden="true" customHeight="true" outlineLevel="0" collapsed="false">
      <c r="K3401" s="0" t="n">
        <f aca="false">IF(A3401="",0,IF(IFERROR(VLOOKUP(A3401,Skills!$A:$M,13,FALSE()),"")="COS",0,IF(OR(I3401="En cours",I3401="À venir",I3401="À planifier"),IF(AND(OR($C$3="Tous",$C$3="",C3401=$C$3),OR($E$3="Tous",$E$3="",I3401=$E$3)),1,0),0)))</f>
        <v>0</v>
      </c>
      <c r="L3401" s="0" t="n">
        <f aca="false">L3400+K3401</f>
        <v>19</v>
      </c>
    </row>
    <row r="3402" customFormat="false" ht="15" hidden="true" customHeight="true" outlineLevel="0" collapsed="false">
      <c r="K3402" s="0" t="n">
        <f aca="false">IF(A3402="",0,IF(IFERROR(VLOOKUP(A3402,Skills!$A:$M,13,FALSE()),"")="COS",0,IF(OR(I3402="En cours",I3402="À venir",I3402="À planifier"),IF(AND(OR($C$3="Tous",$C$3="",C3402=$C$3),OR($E$3="Tous",$E$3="",I3402=$E$3)),1,0),0)))</f>
        <v>0</v>
      </c>
      <c r="L3402" s="0" t="n">
        <f aca="false">L3401+K3402</f>
        <v>19</v>
      </c>
    </row>
    <row r="3403" customFormat="false" ht="15" hidden="true" customHeight="true" outlineLevel="0" collapsed="false">
      <c r="K3403" s="0" t="n">
        <f aca="false">IF(A3403="",0,IF(IFERROR(VLOOKUP(A3403,Skills!$A:$M,13,FALSE()),"")="COS",0,IF(OR(I3403="En cours",I3403="À venir",I3403="À planifier"),IF(AND(OR($C$3="Tous",$C$3="",C3403=$C$3),OR($E$3="Tous",$E$3="",I3403=$E$3)),1,0),0)))</f>
        <v>0</v>
      </c>
      <c r="L3403" s="0" t="n">
        <f aca="false">L3402+K3403</f>
        <v>19</v>
      </c>
    </row>
    <row r="3404" customFormat="false" ht="15" hidden="true" customHeight="true" outlineLevel="0" collapsed="false">
      <c r="K3404" s="0" t="n">
        <f aca="false">IF(A3404="",0,IF(IFERROR(VLOOKUP(A3404,Skills!$A:$M,13,FALSE()),"")="COS",0,IF(OR(I3404="En cours",I3404="À venir",I3404="À planifier"),IF(AND(OR($C$3="Tous",$C$3="",C3404=$C$3),OR($E$3="Tous",$E$3="",I3404=$E$3)),1,0),0)))</f>
        <v>0</v>
      </c>
      <c r="L3404" s="0" t="n">
        <f aca="false">L3403+K3404</f>
        <v>19</v>
      </c>
    </row>
    <row r="3405" customFormat="false" ht="15" hidden="true" customHeight="true" outlineLevel="0" collapsed="false">
      <c r="K3405" s="0" t="n">
        <f aca="false">IF(A3405="",0,IF(IFERROR(VLOOKUP(A3405,Skills!$A:$M,13,FALSE()),"")="COS",0,IF(OR(I3405="En cours",I3405="À venir",I3405="À planifier"),IF(AND(OR($C$3="Tous",$C$3="",C3405=$C$3),OR($E$3="Tous",$E$3="",I3405=$E$3)),1,0),0)))</f>
        <v>0</v>
      </c>
      <c r="L3405" s="0" t="n">
        <f aca="false">L3404+K3405</f>
        <v>19</v>
      </c>
    </row>
    <row r="3406" customFormat="false" ht="15" hidden="true" customHeight="true" outlineLevel="0" collapsed="false">
      <c r="K3406" s="0" t="n">
        <f aca="false">IF(A3406="",0,IF(IFERROR(VLOOKUP(A3406,Skills!$A:$M,13,FALSE()),"")="COS",0,IF(OR(I3406="En cours",I3406="À venir",I3406="À planifier"),IF(AND(OR($C$3="Tous",$C$3="",C3406=$C$3),OR($E$3="Tous",$E$3="",I3406=$E$3)),1,0),0)))</f>
        <v>0</v>
      </c>
      <c r="L3406" s="0" t="n">
        <f aca="false">L3405+K3406</f>
        <v>19</v>
      </c>
    </row>
    <row r="3407" customFormat="false" ht="15" hidden="true" customHeight="true" outlineLevel="0" collapsed="false">
      <c r="K3407" s="0" t="n">
        <f aca="false">IF(A3407="",0,IF(IFERROR(VLOOKUP(A3407,Skills!$A:$M,13,FALSE()),"")="COS",0,IF(OR(I3407="En cours",I3407="À venir",I3407="À planifier"),IF(AND(OR($C$3="Tous",$C$3="",C3407=$C$3),OR($E$3="Tous",$E$3="",I3407=$E$3)),1,0),0)))</f>
        <v>0</v>
      </c>
      <c r="L3407" s="0" t="n">
        <f aca="false">L3406+K3407</f>
        <v>19</v>
      </c>
    </row>
    <row r="3408" customFormat="false" ht="15" hidden="true" customHeight="true" outlineLevel="0" collapsed="false">
      <c r="K3408" s="0" t="n">
        <f aca="false">IF(A3408="",0,IF(IFERROR(VLOOKUP(A3408,Skills!$A:$M,13,FALSE()),"")="COS",0,IF(OR(I3408="En cours",I3408="À venir",I3408="À planifier"),IF(AND(OR($C$3="Tous",$C$3="",C3408=$C$3),OR($E$3="Tous",$E$3="",I3408=$E$3)),1,0),0)))</f>
        <v>0</v>
      </c>
      <c r="L3408" s="0" t="n">
        <f aca="false">L3407+K3408</f>
        <v>19</v>
      </c>
    </row>
    <row r="3409" customFormat="false" ht="15" hidden="true" customHeight="true" outlineLevel="0" collapsed="false">
      <c r="K3409" s="0" t="n">
        <f aca="false">IF(A3409="",0,IF(IFERROR(VLOOKUP(A3409,Skills!$A:$M,13,FALSE()),"")="COS",0,IF(OR(I3409="En cours",I3409="À venir",I3409="À planifier"),IF(AND(OR($C$3="Tous",$C$3="",C3409=$C$3),OR($E$3="Tous",$E$3="",I3409=$E$3)),1,0),0)))</f>
        <v>0</v>
      </c>
      <c r="L3409" s="0" t="n">
        <f aca="false">L3408+K3409</f>
        <v>19</v>
      </c>
    </row>
    <row r="3410" customFormat="false" ht="15" hidden="true" customHeight="true" outlineLevel="0" collapsed="false">
      <c r="K3410" s="0" t="n">
        <f aca="false">IF(A3410="",0,IF(IFERROR(VLOOKUP(A3410,Skills!$A:$M,13,FALSE()),"")="COS",0,IF(OR(I3410="En cours",I3410="À venir",I3410="À planifier"),IF(AND(OR($C$3="Tous",$C$3="",C3410=$C$3),OR($E$3="Tous",$E$3="",I3410=$E$3)),1,0),0)))</f>
        <v>0</v>
      </c>
      <c r="L3410" s="0" t="n">
        <f aca="false">L3409+K3410</f>
        <v>19</v>
      </c>
    </row>
    <row r="3411" customFormat="false" ht="15" hidden="true" customHeight="true" outlineLevel="0" collapsed="false">
      <c r="K3411" s="0" t="n">
        <f aca="false">IF(A3411="",0,IF(IFERROR(VLOOKUP(A3411,Skills!$A:$M,13,FALSE()),"")="COS",0,IF(OR(I3411="En cours",I3411="À venir",I3411="À planifier"),IF(AND(OR($C$3="Tous",$C$3="",C3411=$C$3),OR($E$3="Tous",$E$3="",I3411=$E$3)),1,0),0)))</f>
        <v>0</v>
      </c>
      <c r="L3411" s="0" t="n">
        <f aca="false">L3410+K3411</f>
        <v>19</v>
      </c>
    </row>
    <row r="3412" customFormat="false" ht="15" hidden="true" customHeight="true" outlineLevel="0" collapsed="false">
      <c r="K3412" s="0" t="n">
        <f aca="false">IF(A3412="",0,IF(IFERROR(VLOOKUP(A3412,Skills!$A:$M,13,FALSE()),"")="COS",0,IF(OR(I3412="En cours",I3412="À venir",I3412="À planifier"),IF(AND(OR($C$3="Tous",$C$3="",C3412=$C$3),OR($E$3="Tous",$E$3="",I3412=$E$3)),1,0),0)))</f>
        <v>0</v>
      </c>
      <c r="L3412" s="0" t="n">
        <f aca="false">L3411+K3412</f>
        <v>19</v>
      </c>
    </row>
    <row r="3413" customFormat="false" ht="15" hidden="true" customHeight="true" outlineLevel="0" collapsed="false">
      <c r="K3413" s="0" t="n">
        <f aca="false">IF(A3413="",0,IF(IFERROR(VLOOKUP(A3413,Skills!$A:$M,13,FALSE()),"")="COS",0,IF(OR(I3413="En cours",I3413="À venir",I3413="À planifier"),IF(AND(OR($C$3="Tous",$C$3="",C3413=$C$3),OR($E$3="Tous",$E$3="",I3413=$E$3)),1,0),0)))</f>
        <v>0</v>
      </c>
      <c r="L3413" s="0" t="n">
        <f aca="false">L3412+K3413</f>
        <v>19</v>
      </c>
    </row>
    <row r="3414" customFormat="false" ht="15" hidden="true" customHeight="true" outlineLevel="0" collapsed="false">
      <c r="K3414" s="0" t="n">
        <f aca="false">IF(A3414="",0,IF(IFERROR(VLOOKUP(A3414,Skills!$A:$M,13,FALSE()),"")="COS",0,IF(OR(I3414="En cours",I3414="À venir",I3414="À planifier"),IF(AND(OR($C$3="Tous",$C$3="",C3414=$C$3),OR($E$3="Tous",$E$3="",I3414=$E$3)),1,0),0)))</f>
        <v>0</v>
      </c>
      <c r="L3414" s="0" t="n">
        <f aca="false">L3413+K3414</f>
        <v>19</v>
      </c>
    </row>
    <row r="3415" customFormat="false" ht="15" hidden="true" customHeight="true" outlineLevel="0" collapsed="false">
      <c r="K3415" s="0" t="n">
        <f aca="false">IF(A3415="",0,IF(IFERROR(VLOOKUP(A3415,Skills!$A:$M,13,FALSE()),"")="COS",0,IF(OR(I3415="En cours",I3415="À venir",I3415="À planifier"),IF(AND(OR($C$3="Tous",$C$3="",C3415=$C$3),OR($E$3="Tous",$E$3="",I3415=$E$3)),1,0),0)))</f>
        <v>0</v>
      </c>
      <c r="L3415" s="0" t="n">
        <f aca="false">L3414+K3415</f>
        <v>19</v>
      </c>
    </row>
    <row r="3416" customFormat="false" ht="15" hidden="true" customHeight="true" outlineLevel="0" collapsed="false">
      <c r="K3416" s="0" t="n">
        <f aca="false">IF(A3416="",0,IF(IFERROR(VLOOKUP(A3416,Skills!$A:$M,13,FALSE()),"")="COS",0,IF(OR(I3416="En cours",I3416="À venir",I3416="À planifier"),IF(AND(OR($C$3="Tous",$C$3="",C3416=$C$3),OR($E$3="Tous",$E$3="",I3416=$E$3)),1,0),0)))</f>
        <v>0</v>
      </c>
      <c r="L3416" s="0" t="n">
        <f aca="false">L3415+K3416</f>
        <v>19</v>
      </c>
    </row>
    <row r="3417" customFormat="false" ht="15" hidden="true" customHeight="true" outlineLevel="0" collapsed="false">
      <c r="K3417" s="0" t="n">
        <f aca="false">IF(A3417="",0,IF(IFERROR(VLOOKUP(A3417,Skills!$A:$M,13,FALSE()),"")="COS",0,IF(OR(I3417="En cours",I3417="À venir",I3417="À planifier"),IF(AND(OR($C$3="Tous",$C$3="",C3417=$C$3),OR($E$3="Tous",$E$3="",I3417=$E$3)),1,0),0)))</f>
        <v>0</v>
      </c>
      <c r="L3417" s="0" t="n">
        <f aca="false">L3416+K3417</f>
        <v>19</v>
      </c>
    </row>
    <row r="3418" customFormat="false" ht="15" hidden="true" customHeight="true" outlineLevel="0" collapsed="false">
      <c r="K3418" s="0" t="n">
        <f aca="false">IF(A3418="",0,IF(IFERROR(VLOOKUP(A3418,Skills!$A:$M,13,FALSE()),"")="COS",0,IF(OR(I3418="En cours",I3418="À venir",I3418="À planifier"),IF(AND(OR($C$3="Tous",$C$3="",C3418=$C$3),OR($E$3="Tous",$E$3="",I3418=$E$3)),1,0),0)))</f>
        <v>0</v>
      </c>
      <c r="L3418" s="0" t="n">
        <f aca="false">L3417+K3418</f>
        <v>19</v>
      </c>
    </row>
    <row r="3419" customFormat="false" ht="15" hidden="true" customHeight="true" outlineLevel="0" collapsed="false">
      <c r="K3419" s="0" t="n">
        <f aca="false">IF(A3419="",0,IF(IFERROR(VLOOKUP(A3419,Skills!$A:$M,13,FALSE()),"")="COS",0,IF(OR(I3419="En cours",I3419="À venir",I3419="À planifier"),IF(AND(OR($C$3="Tous",$C$3="",C3419=$C$3),OR($E$3="Tous",$E$3="",I3419=$E$3)),1,0),0)))</f>
        <v>0</v>
      </c>
      <c r="L3419" s="0" t="n">
        <f aca="false">L3418+K3419</f>
        <v>19</v>
      </c>
    </row>
    <row r="3420" customFormat="false" ht="15" hidden="true" customHeight="true" outlineLevel="0" collapsed="false">
      <c r="K3420" s="0" t="n">
        <f aca="false">IF(A3420="",0,IF(IFERROR(VLOOKUP(A3420,Skills!$A:$M,13,FALSE()),"")="COS",0,IF(OR(I3420="En cours",I3420="À venir",I3420="À planifier"),IF(AND(OR($C$3="Tous",$C$3="",C3420=$C$3),OR($E$3="Tous",$E$3="",I3420=$E$3)),1,0),0)))</f>
        <v>0</v>
      </c>
      <c r="L3420" s="0" t="n">
        <f aca="false">L3419+K3420</f>
        <v>19</v>
      </c>
    </row>
    <row r="3421" customFormat="false" ht="15" hidden="true" customHeight="true" outlineLevel="0" collapsed="false">
      <c r="K3421" s="0" t="n">
        <f aca="false">IF(A3421="",0,IF(IFERROR(VLOOKUP(A3421,Skills!$A:$M,13,FALSE()),"")="COS",0,IF(OR(I3421="En cours",I3421="À venir",I3421="À planifier"),IF(AND(OR($C$3="Tous",$C$3="",C3421=$C$3),OR($E$3="Tous",$E$3="",I3421=$E$3)),1,0),0)))</f>
        <v>0</v>
      </c>
      <c r="L3421" s="0" t="n">
        <f aca="false">L3420+K3421</f>
        <v>19</v>
      </c>
    </row>
    <row r="3422" customFormat="false" ht="15" hidden="true" customHeight="true" outlineLevel="0" collapsed="false">
      <c r="K3422" s="0" t="n">
        <f aca="false">IF(A3422="",0,IF(IFERROR(VLOOKUP(A3422,Skills!$A:$M,13,FALSE()),"")="COS",0,IF(OR(I3422="En cours",I3422="À venir",I3422="À planifier"),IF(AND(OR($C$3="Tous",$C$3="",C3422=$C$3),OR($E$3="Tous",$E$3="",I3422=$E$3)),1,0),0)))</f>
        <v>0</v>
      </c>
      <c r="L3422" s="0" t="n">
        <f aca="false">L3421+K3422</f>
        <v>19</v>
      </c>
    </row>
    <row r="3423" customFormat="false" ht="15" hidden="true" customHeight="true" outlineLevel="0" collapsed="false">
      <c r="K3423" s="0" t="n">
        <f aca="false">IF(A3423="",0,IF(IFERROR(VLOOKUP(A3423,Skills!$A:$M,13,FALSE()),"")="COS",0,IF(OR(I3423="En cours",I3423="À venir",I3423="À planifier"),IF(AND(OR($C$3="Tous",$C$3="",C3423=$C$3),OR($E$3="Tous",$E$3="",I3423=$E$3)),1,0),0)))</f>
        <v>0</v>
      </c>
      <c r="L3423" s="0" t="n">
        <f aca="false">L3422+K3423</f>
        <v>19</v>
      </c>
    </row>
    <row r="3424" customFormat="false" ht="15" hidden="true" customHeight="true" outlineLevel="0" collapsed="false">
      <c r="K3424" s="0" t="n">
        <f aca="false">IF(A3424="",0,IF(IFERROR(VLOOKUP(A3424,Skills!$A:$M,13,FALSE()),"")="COS",0,IF(OR(I3424="En cours",I3424="À venir",I3424="À planifier"),IF(AND(OR($C$3="Tous",$C$3="",C3424=$C$3),OR($E$3="Tous",$E$3="",I3424=$E$3)),1,0),0)))</f>
        <v>0</v>
      </c>
      <c r="L3424" s="0" t="n">
        <f aca="false">L3423+K3424</f>
        <v>19</v>
      </c>
    </row>
    <row r="3425" customFormat="false" ht="15" hidden="true" customHeight="true" outlineLevel="0" collapsed="false">
      <c r="K3425" s="0" t="n">
        <f aca="false">IF(A3425="",0,IF(IFERROR(VLOOKUP(A3425,Skills!$A:$M,13,FALSE()),"")="COS",0,IF(OR(I3425="En cours",I3425="À venir",I3425="À planifier"),IF(AND(OR($C$3="Tous",$C$3="",C3425=$C$3),OR($E$3="Tous",$E$3="",I3425=$E$3)),1,0),0)))</f>
        <v>0</v>
      </c>
      <c r="L3425" s="0" t="n">
        <f aca="false">L3424+K3425</f>
        <v>19</v>
      </c>
    </row>
    <row r="3426" customFormat="false" ht="15" hidden="true" customHeight="true" outlineLevel="0" collapsed="false">
      <c r="K3426" s="0" t="n">
        <f aca="false">IF(A3426="",0,IF(IFERROR(VLOOKUP(A3426,Skills!$A:$M,13,FALSE()),"")="COS",0,IF(OR(I3426="En cours",I3426="À venir",I3426="À planifier"),IF(AND(OR($C$3="Tous",$C$3="",C3426=$C$3),OR($E$3="Tous",$E$3="",I3426=$E$3)),1,0),0)))</f>
        <v>0</v>
      </c>
      <c r="L3426" s="0" t="n">
        <f aca="false">L3425+K3426</f>
        <v>19</v>
      </c>
    </row>
    <row r="3427" customFormat="false" ht="15" hidden="true" customHeight="true" outlineLevel="0" collapsed="false">
      <c r="K3427" s="0" t="n">
        <f aca="false">IF(A3427="",0,IF(IFERROR(VLOOKUP(A3427,Skills!$A:$M,13,FALSE()),"")="COS",0,IF(OR(I3427="En cours",I3427="À venir",I3427="À planifier"),IF(AND(OR($C$3="Tous",$C$3="",C3427=$C$3),OR($E$3="Tous",$E$3="",I3427=$E$3)),1,0),0)))</f>
        <v>0</v>
      </c>
      <c r="L3427" s="0" t="n">
        <f aca="false">L3426+K3427</f>
        <v>19</v>
      </c>
    </row>
    <row r="3428" customFormat="false" ht="15" hidden="true" customHeight="true" outlineLevel="0" collapsed="false">
      <c r="K3428" s="0" t="n">
        <f aca="false">IF(A3428="",0,IF(IFERROR(VLOOKUP(A3428,Skills!$A:$M,13,FALSE()),"")="COS",0,IF(OR(I3428="En cours",I3428="À venir",I3428="À planifier"),IF(AND(OR($C$3="Tous",$C$3="",C3428=$C$3),OR($E$3="Tous",$E$3="",I3428=$E$3)),1,0),0)))</f>
        <v>0</v>
      </c>
      <c r="L3428" s="0" t="n">
        <f aca="false">L3427+K3428</f>
        <v>19</v>
      </c>
    </row>
    <row r="3429" customFormat="false" ht="15" hidden="true" customHeight="true" outlineLevel="0" collapsed="false">
      <c r="K3429" s="0" t="n">
        <f aca="false">IF(A3429="",0,IF(IFERROR(VLOOKUP(A3429,Skills!$A:$M,13,FALSE()),"")="COS",0,IF(OR(I3429="En cours",I3429="À venir",I3429="À planifier"),IF(AND(OR($C$3="Tous",$C$3="",C3429=$C$3),OR($E$3="Tous",$E$3="",I3429=$E$3)),1,0),0)))</f>
        <v>0</v>
      </c>
      <c r="L3429" s="0" t="n">
        <f aca="false">L3428+K3429</f>
        <v>19</v>
      </c>
    </row>
    <row r="3430" customFormat="false" ht="15" hidden="true" customHeight="true" outlineLevel="0" collapsed="false">
      <c r="K3430" s="0" t="n">
        <f aca="false">IF(A3430="",0,IF(IFERROR(VLOOKUP(A3430,Skills!$A:$M,13,FALSE()),"")="COS",0,IF(OR(I3430="En cours",I3430="À venir",I3430="À planifier"),IF(AND(OR($C$3="Tous",$C$3="",C3430=$C$3),OR($E$3="Tous",$E$3="",I3430=$E$3)),1,0),0)))</f>
        <v>0</v>
      </c>
      <c r="L3430" s="0" t="n">
        <f aca="false">L3429+K3430</f>
        <v>19</v>
      </c>
    </row>
    <row r="3431" customFormat="false" ht="15" hidden="true" customHeight="true" outlineLevel="0" collapsed="false">
      <c r="K3431" s="0" t="n">
        <f aca="false">IF(A3431="",0,IF(IFERROR(VLOOKUP(A3431,Skills!$A:$M,13,FALSE()),"")="COS",0,IF(OR(I3431="En cours",I3431="À venir",I3431="À planifier"),IF(AND(OR($C$3="Tous",$C$3="",C3431=$C$3),OR($E$3="Tous",$E$3="",I3431=$E$3)),1,0),0)))</f>
        <v>0</v>
      </c>
      <c r="L3431" s="0" t="n">
        <f aca="false">L3430+K3431</f>
        <v>19</v>
      </c>
    </row>
    <row r="3432" customFormat="false" ht="15" hidden="true" customHeight="true" outlineLevel="0" collapsed="false">
      <c r="K3432" s="0" t="n">
        <f aca="false">IF(A3432="",0,IF(IFERROR(VLOOKUP(A3432,Skills!$A:$M,13,FALSE()),"")="COS",0,IF(OR(I3432="En cours",I3432="À venir",I3432="À planifier"),IF(AND(OR($C$3="Tous",$C$3="",C3432=$C$3),OR($E$3="Tous",$E$3="",I3432=$E$3)),1,0),0)))</f>
        <v>0</v>
      </c>
      <c r="L3432" s="0" t="n">
        <f aca="false">L3431+K3432</f>
        <v>19</v>
      </c>
    </row>
    <row r="3433" customFormat="false" ht="15" hidden="true" customHeight="true" outlineLevel="0" collapsed="false">
      <c r="K3433" s="0" t="n">
        <f aca="false">IF(A3433="",0,IF(IFERROR(VLOOKUP(A3433,Skills!$A:$M,13,FALSE()),"")="COS",0,IF(OR(I3433="En cours",I3433="À venir",I3433="À planifier"),IF(AND(OR($C$3="Tous",$C$3="",C3433=$C$3),OR($E$3="Tous",$E$3="",I3433=$E$3)),1,0),0)))</f>
        <v>0</v>
      </c>
      <c r="L3433" s="0" t="n">
        <f aca="false">L3432+K3433</f>
        <v>19</v>
      </c>
    </row>
    <row r="3434" customFormat="false" ht="15" hidden="true" customHeight="true" outlineLevel="0" collapsed="false">
      <c r="K3434" s="0" t="n">
        <f aca="false">IF(A3434="",0,IF(IFERROR(VLOOKUP(A3434,Skills!$A:$M,13,FALSE()),"")="COS",0,IF(OR(I3434="En cours",I3434="À venir",I3434="À planifier"),IF(AND(OR($C$3="Tous",$C$3="",C3434=$C$3),OR($E$3="Tous",$E$3="",I3434=$E$3)),1,0),0)))</f>
        <v>0</v>
      </c>
      <c r="L3434" s="0" t="n">
        <f aca="false">L3433+K3434</f>
        <v>19</v>
      </c>
    </row>
    <row r="3435" customFormat="false" ht="15" hidden="true" customHeight="true" outlineLevel="0" collapsed="false">
      <c r="K3435" s="0" t="n">
        <f aca="false">IF(A3435="",0,IF(IFERROR(VLOOKUP(A3435,Skills!$A:$M,13,FALSE()),"")="COS",0,IF(OR(I3435="En cours",I3435="À venir",I3435="À planifier"),IF(AND(OR($C$3="Tous",$C$3="",C3435=$C$3),OR($E$3="Tous",$E$3="",I3435=$E$3)),1,0),0)))</f>
        <v>0</v>
      </c>
      <c r="L3435" s="0" t="n">
        <f aca="false">L3434+K3435</f>
        <v>19</v>
      </c>
    </row>
    <row r="3436" customFormat="false" ht="15" hidden="true" customHeight="true" outlineLevel="0" collapsed="false">
      <c r="K3436" s="0" t="n">
        <f aca="false">IF(A3436="",0,IF(IFERROR(VLOOKUP(A3436,Skills!$A:$M,13,FALSE()),"")="COS",0,IF(OR(I3436="En cours",I3436="À venir",I3436="À planifier"),IF(AND(OR($C$3="Tous",$C$3="",C3436=$C$3),OR($E$3="Tous",$E$3="",I3436=$E$3)),1,0),0)))</f>
        <v>0</v>
      </c>
      <c r="L3436" s="0" t="n">
        <f aca="false">L3435+K3436</f>
        <v>19</v>
      </c>
    </row>
    <row r="3437" customFormat="false" ht="15" hidden="true" customHeight="true" outlineLevel="0" collapsed="false">
      <c r="K3437" s="0" t="n">
        <f aca="false">IF(A3437="",0,IF(IFERROR(VLOOKUP(A3437,Skills!$A:$M,13,FALSE()),"")="COS",0,IF(OR(I3437="En cours",I3437="À venir",I3437="À planifier"),IF(AND(OR($C$3="Tous",$C$3="",C3437=$C$3),OR($E$3="Tous",$E$3="",I3437=$E$3)),1,0),0)))</f>
        <v>0</v>
      </c>
      <c r="L3437" s="0" t="n">
        <f aca="false">L3436+K3437</f>
        <v>19</v>
      </c>
    </row>
    <row r="3438" customFormat="false" ht="15" hidden="true" customHeight="true" outlineLevel="0" collapsed="false">
      <c r="K3438" s="0" t="n">
        <f aca="false">IF(A3438="",0,IF(IFERROR(VLOOKUP(A3438,Skills!$A:$M,13,FALSE()),"")="COS",0,IF(OR(I3438="En cours",I3438="À venir",I3438="À planifier"),IF(AND(OR($C$3="Tous",$C$3="",C3438=$C$3),OR($E$3="Tous",$E$3="",I3438=$E$3)),1,0),0)))</f>
        <v>0</v>
      </c>
      <c r="L3438" s="0" t="n">
        <f aca="false">L3437+K3438</f>
        <v>19</v>
      </c>
    </row>
    <row r="3439" customFormat="false" ht="15" hidden="true" customHeight="true" outlineLevel="0" collapsed="false">
      <c r="K3439" s="0" t="n">
        <f aca="false">IF(A3439="",0,IF(IFERROR(VLOOKUP(A3439,Skills!$A:$M,13,FALSE()),"")="COS",0,IF(OR(I3439="En cours",I3439="À venir",I3439="À planifier"),IF(AND(OR($C$3="Tous",$C$3="",C3439=$C$3),OR($E$3="Tous",$E$3="",I3439=$E$3)),1,0),0)))</f>
        <v>0</v>
      </c>
      <c r="L3439" s="0" t="n">
        <f aca="false">L3438+K3439</f>
        <v>19</v>
      </c>
    </row>
    <row r="3440" customFormat="false" ht="15" hidden="true" customHeight="true" outlineLevel="0" collapsed="false">
      <c r="K3440" s="0" t="n">
        <f aca="false">IF(A3440="",0,IF(IFERROR(VLOOKUP(A3440,Skills!$A:$M,13,FALSE()),"")="COS",0,IF(OR(I3440="En cours",I3440="À venir",I3440="À planifier"),IF(AND(OR($C$3="Tous",$C$3="",C3440=$C$3),OR($E$3="Tous",$E$3="",I3440=$E$3)),1,0),0)))</f>
        <v>0</v>
      </c>
      <c r="L3440" s="0" t="n">
        <f aca="false">L3439+K3440</f>
        <v>19</v>
      </c>
    </row>
    <row r="3441" customFormat="false" ht="15" hidden="true" customHeight="true" outlineLevel="0" collapsed="false">
      <c r="K3441" s="0" t="n">
        <f aca="false">IF(A3441="",0,IF(IFERROR(VLOOKUP(A3441,Skills!$A:$M,13,FALSE()),"")="COS",0,IF(OR(I3441="En cours",I3441="À venir",I3441="À planifier"),IF(AND(OR($C$3="Tous",$C$3="",C3441=$C$3),OR($E$3="Tous",$E$3="",I3441=$E$3)),1,0),0)))</f>
        <v>0</v>
      </c>
      <c r="L3441" s="0" t="n">
        <f aca="false">L3440+K3441</f>
        <v>19</v>
      </c>
    </row>
    <row r="3442" customFormat="false" ht="15" hidden="true" customHeight="true" outlineLevel="0" collapsed="false">
      <c r="K3442" s="0" t="n">
        <f aca="false">IF(A3442="",0,IF(IFERROR(VLOOKUP(A3442,Skills!$A:$M,13,FALSE()),"")="COS",0,IF(OR(I3442="En cours",I3442="À venir",I3442="À planifier"),IF(AND(OR($C$3="Tous",$C$3="",C3442=$C$3),OR($E$3="Tous",$E$3="",I3442=$E$3)),1,0),0)))</f>
        <v>0</v>
      </c>
      <c r="L3442" s="0" t="n">
        <f aca="false">L3441+K3442</f>
        <v>19</v>
      </c>
    </row>
    <row r="3443" customFormat="false" ht="15" hidden="true" customHeight="true" outlineLevel="0" collapsed="false">
      <c r="K3443" s="0" t="n">
        <f aca="false">IF(A3443="",0,IF(IFERROR(VLOOKUP(A3443,Skills!$A:$M,13,FALSE()),"")="COS",0,IF(OR(I3443="En cours",I3443="À venir",I3443="À planifier"),IF(AND(OR($C$3="Tous",$C$3="",C3443=$C$3),OR($E$3="Tous",$E$3="",I3443=$E$3)),1,0),0)))</f>
        <v>0</v>
      </c>
      <c r="L3443" s="0" t="n">
        <f aca="false">L3442+K3443</f>
        <v>19</v>
      </c>
    </row>
    <row r="3444" customFormat="false" ht="15" hidden="true" customHeight="true" outlineLevel="0" collapsed="false">
      <c r="K3444" s="0" t="n">
        <f aca="false">IF(A3444="",0,IF(IFERROR(VLOOKUP(A3444,Skills!$A:$M,13,FALSE()),"")="COS",0,IF(OR(I3444="En cours",I3444="À venir",I3444="À planifier"),IF(AND(OR($C$3="Tous",$C$3="",C3444=$C$3),OR($E$3="Tous",$E$3="",I3444=$E$3)),1,0),0)))</f>
        <v>0</v>
      </c>
      <c r="L3444" s="0" t="n">
        <f aca="false">L3443+K3444</f>
        <v>19</v>
      </c>
    </row>
    <row r="3445" customFormat="false" ht="15" hidden="true" customHeight="true" outlineLevel="0" collapsed="false">
      <c r="K3445" s="0" t="n">
        <f aca="false">IF(A3445="",0,IF(IFERROR(VLOOKUP(A3445,Skills!$A:$M,13,FALSE()),"")="COS",0,IF(OR(I3445="En cours",I3445="À venir",I3445="À planifier"),IF(AND(OR($C$3="Tous",$C$3="",C3445=$C$3),OR($E$3="Tous",$E$3="",I3445=$E$3)),1,0),0)))</f>
        <v>0</v>
      </c>
      <c r="L3445" s="0" t="n">
        <f aca="false">L3444+K3445</f>
        <v>19</v>
      </c>
    </row>
    <row r="3446" customFormat="false" ht="15" hidden="true" customHeight="true" outlineLevel="0" collapsed="false">
      <c r="K3446" s="0" t="n">
        <f aca="false">IF(A3446="",0,IF(IFERROR(VLOOKUP(A3446,Skills!$A:$M,13,FALSE()),"")="COS",0,IF(OR(I3446="En cours",I3446="À venir",I3446="À planifier"),IF(AND(OR($C$3="Tous",$C$3="",C3446=$C$3),OR($E$3="Tous",$E$3="",I3446=$E$3)),1,0),0)))</f>
        <v>0</v>
      </c>
      <c r="L3446" s="0" t="n">
        <f aca="false">L3445+K3446</f>
        <v>19</v>
      </c>
    </row>
    <row r="3447" customFormat="false" ht="15" hidden="true" customHeight="true" outlineLevel="0" collapsed="false">
      <c r="K3447" s="0" t="n">
        <f aca="false">IF(A3447="",0,IF(IFERROR(VLOOKUP(A3447,Skills!$A:$M,13,FALSE()),"")="COS",0,IF(OR(I3447="En cours",I3447="À venir",I3447="À planifier"),IF(AND(OR($C$3="Tous",$C$3="",C3447=$C$3),OR($E$3="Tous",$E$3="",I3447=$E$3)),1,0),0)))</f>
        <v>0</v>
      </c>
      <c r="L3447" s="0" t="n">
        <f aca="false">L3446+K3447</f>
        <v>19</v>
      </c>
    </row>
    <row r="3448" customFormat="false" ht="15" hidden="true" customHeight="true" outlineLevel="0" collapsed="false">
      <c r="K3448" s="0" t="n">
        <f aca="false">IF(A3448="",0,IF(IFERROR(VLOOKUP(A3448,Skills!$A:$M,13,FALSE()),"")="COS",0,IF(OR(I3448="En cours",I3448="À venir",I3448="À planifier"),IF(AND(OR($C$3="Tous",$C$3="",C3448=$C$3),OR($E$3="Tous",$E$3="",I3448=$E$3)),1,0),0)))</f>
        <v>0</v>
      </c>
      <c r="L3448" s="0" t="n">
        <f aca="false">L3447+K3448</f>
        <v>19</v>
      </c>
    </row>
    <row r="3449" customFormat="false" ht="15" hidden="true" customHeight="true" outlineLevel="0" collapsed="false">
      <c r="K3449" s="0" t="n">
        <f aca="false">IF(A3449="",0,IF(IFERROR(VLOOKUP(A3449,Skills!$A:$M,13,FALSE()),"")="COS",0,IF(OR(I3449="En cours",I3449="À venir",I3449="À planifier"),IF(AND(OR($C$3="Tous",$C$3="",C3449=$C$3),OR($E$3="Tous",$E$3="",I3449=$E$3)),1,0),0)))</f>
        <v>0</v>
      </c>
      <c r="L3449" s="0" t="n">
        <f aca="false">L3448+K3449</f>
        <v>19</v>
      </c>
    </row>
    <row r="3450" customFormat="false" ht="15" hidden="true" customHeight="true" outlineLevel="0" collapsed="false">
      <c r="K3450" s="0" t="n">
        <f aca="false">IF(A3450="",0,IF(IFERROR(VLOOKUP(A3450,Skills!$A:$M,13,FALSE()),"")="COS",0,IF(OR(I3450="En cours",I3450="À venir",I3450="À planifier"),IF(AND(OR($C$3="Tous",$C$3="",C3450=$C$3),OR($E$3="Tous",$E$3="",I3450=$E$3)),1,0),0)))</f>
        <v>0</v>
      </c>
      <c r="L3450" s="0" t="n">
        <f aca="false">L3449+K3450</f>
        <v>19</v>
      </c>
    </row>
    <row r="3451" customFormat="false" ht="15" hidden="true" customHeight="true" outlineLevel="0" collapsed="false">
      <c r="K3451" s="0" t="n">
        <f aca="false">IF(A3451="",0,IF(IFERROR(VLOOKUP(A3451,Skills!$A:$M,13,FALSE()),"")="COS",0,IF(OR(I3451="En cours",I3451="À venir",I3451="À planifier"),IF(AND(OR($C$3="Tous",$C$3="",C3451=$C$3),OR($E$3="Tous",$E$3="",I3451=$E$3)),1,0),0)))</f>
        <v>0</v>
      </c>
      <c r="L3451" s="0" t="n">
        <f aca="false">L3450+K3451</f>
        <v>19</v>
      </c>
    </row>
    <row r="3452" customFormat="false" ht="15" hidden="true" customHeight="true" outlineLevel="0" collapsed="false">
      <c r="K3452" s="0" t="n">
        <f aca="false">IF(A3452="",0,IF(IFERROR(VLOOKUP(A3452,Skills!$A:$M,13,FALSE()),"")="COS",0,IF(OR(I3452="En cours",I3452="À venir",I3452="À planifier"),IF(AND(OR($C$3="Tous",$C$3="",C3452=$C$3),OR($E$3="Tous",$E$3="",I3452=$E$3)),1,0),0)))</f>
        <v>0</v>
      </c>
      <c r="L3452" s="0" t="n">
        <f aca="false">L3451+K3452</f>
        <v>19</v>
      </c>
    </row>
    <row r="3453" customFormat="false" ht="15" hidden="true" customHeight="true" outlineLevel="0" collapsed="false">
      <c r="K3453" s="0" t="n">
        <f aca="false">IF(A3453="",0,IF(IFERROR(VLOOKUP(A3453,Skills!$A:$M,13,FALSE()),"")="COS",0,IF(OR(I3453="En cours",I3453="À venir",I3453="À planifier"),IF(AND(OR($C$3="Tous",$C$3="",C3453=$C$3),OR($E$3="Tous",$E$3="",I3453=$E$3)),1,0),0)))</f>
        <v>0</v>
      </c>
      <c r="L3453" s="0" t="n">
        <f aca="false">L3452+K3453</f>
        <v>19</v>
      </c>
    </row>
    <row r="3454" customFormat="false" ht="15" hidden="true" customHeight="true" outlineLevel="0" collapsed="false">
      <c r="K3454" s="0" t="n">
        <f aca="false">IF(A3454="",0,IF(IFERROR(VLOOKUP(A3454,Skills!$A:$M,13,FALSE()),"")="COS",0,IF(OR(I3454="En cours",I3454="À venir",I3454="À planifier"),IF(AND(OR($C$3="Tous",$C$3="",C3454=$C$3),OR($E$3="Tous",$E$3="",I3454=$E$3)),1,0),0)))</f>
        <v>0</v>
      </c>
      <c r="L3454" s="0" t="n">
        <f aca="false">L3453+K3454</f>
        <v>19</v>
      </c>
    </row>
    <row r="3455" customFormat="false" ht="15" hidden="true" customHeight="true" outlineLevel="0" collapsed="false">
      <c r="K3455" s="0" t="n">
        <f aca="false">IF(A3455="",0,IF(IFERROR(VLOOKUP(A3455,Skills!$A:$M,13,FALSE()),"")="COS",0,IF(OR(I3455="En cours",I3455="À venir",I3455="À planifier"),IF(AND(OR($C$3="Tous",$C$3="",C3455=$C$3),OR($E$3="Tous",$E$3="",I3455=$E$3)),1,0),0)))</f>
        <v>0</v>
      </c>
      <c r="L3455" s="0" t="n">
        <f aca="false">L3454+K3455</f>
        <v>19</v>
      </c>
    </row>
    <row r="3456" customFormat="false" ht="15" hidden="true" customHeight="true" outlineLevel="0" collapsed="false">
      <c r="K3456" s="0" t="n">
        <f aca="false">IF(A3456="",0,IF(IFERROR(VLOOKUP(A3456,Skills!$A:$M,13,FALSE()),"")="COS",0,IF(OR(I3456="En cours",I3456="À venir",I3456="À planifier"),IF(AND(OR($C$3="Tous",$C$3="",C3456=$C$3),OR($E$3="Tous",$E$3="",I3456=$E$3)),1,0),0)))</f>
        <v>0</v>
      </c>
      <c r="L3456" s="0" t="n">
        <f aca="false">L3455+K3456</f>
        <v>19</v>
      </c>
    </row>
    <row r="3457" customFormat="false" ht="15" hidden="true" customHeight="true" outlineLevel="0" collapsed="false">
      <c r="K3457" s="0" t="n">
        <f aca="false">IF(A3457="",0,IF(IFERROR(VLOOKUP(A3457,Skills!$A:$M,13,FALSE()),"")="COS",0,IF(OR(I3457="En cours",I3457="À venir",I3457="À planifier"),IF(AND(OR($C$3="Tous",$C$3="",C3457=$C$3),OR($E$3="Tous",$E$3="",I3457=$E$3)),1,0),0)))</f>
        <v>0</v>
      </c>
      <c r="L3457" s="0" t="n">
        <f aca="false">L3456+K3457</f>
        <v>19</v>
      </c>
    </row>
    <row r="3458" customFormat="false" ht="15" hidden="true" customHeight="true" outlineLevel="0" collapsed="false">
      <c r="K3458" s="0" t="n">
        <f aca="false">IF(A3458="",0,IF(IFERROR(VLOOKUP(A3458,Skills!$A:$M,13,FALSE()),"")="COS",0,IF(OR(I3458="En cours",I3458="À venir",I3458="À planifier"),IF(AND(OR($C$3="Tous",$C$3="",C3458=$C$3),OR($E$3="Tous",$E$3="",I3458=$E$3)),1,0),0)))</f>
        <v>0</v>
      </c>
      <c r="L3458" s="0" t="n">
        <f aca="false">L3457+K3458</f>
        <v>19</v>
      </c>
    </row>
    <row r="3459" customFormat="false" ht="15" hidden="true" customHeight="true" outlineLevel="0" collapsed="false">
      <c r="K3459" s="0" t="n">
        <f aca="false">IF(A3459="",0,IF(IFERROR(VLOOKUP(A3459,Skills!$A:$M,13,FALSE()),"")="COS",0,IF(OR(I3459="En cours",I3459="À venir",I3459="À planifier"),IF(AND(OR($C$3="Tous",$C$3="",C3459=$C$3),OR($E$3="Tous",$E$3="",I3459=$E$3)),1,0),0)))</f>
        <v>0</v>
      </c>
      <c r="L3459" s="0" t="n">
        <f aca="false">L3458+K3459</f>
        <v>19</v>
      </c>
    </row>
    <row r="3460" customFormat="false" ht="15" hidden="true" customHeight="true" outlineLevel="0" collapsed="false">
      <c r="K3460" s="0" t="n">
        <f aca="false">IF(A3460="",0,IF(IFERROR(VLOOKUP(A3460,Skills!$A:$M,13,FALSE()),"")="COS",0,IF(OR(I3460="En cours",I3460="À venir",I3460="À planifier"),IF(AND(OR($C$3="Tous",$C$3="",C3460=$C$3),OR($E$3="Tous",$E$3="",I3460=$E$3)),1,0),0)))</f>
        <v>0</v>
      </c>
      <c r="L3460" s="0" t="n">
        <f aca="false">L3459+K3460</f>
        <v>19</v>
      </c>
    </row>
    <row r="3461" customFormat="false" ht="15" hidden="true" customHeight="true" outlineLevel="0" collapsed="false">
      <c r="K3461" s="0" t="n">
        <f aca="false">IF(A3461="",0,IF(IFERROR(VLOOKUP(A3461,Skills!$A:$M,13,FALSE()),"")="COS",0,IF(OR(I3461="En cours",I3461="À venir",I3461="À planifier"),IF(AND(OR($C$3="Tous",$C$3="",C3461=$C$3),OR($E$3="Tous",$E$3="",I3461=$E$3)),1,0),0)))</f>
        <v>0</v>
      </c>
      <c r="L3461" s="0" t="n">
        <f aca="false">L3460+K3461</f>
        <v>19</v>
      </c>
    </row>
    <row r="3462" customFormat="false" ht="15" hidden="true" customHeight="true" outlineLevel="0" collapsed="false">
      <c r="K3462" s="0" t="n">
        <f aca="false">IF(A3462="",0,IF(IFERROR(VLOOKUP(A3462,Skills!$A:$M,13,FALSE()),"")="COS",0,IF(OR(I3462="En cours",I3462="À venir",I3462="À planifier"),IF(AND(OR($C$3="Tous",$C$3="",C3462=$C$3),OR($E$3="Tous",$E$3="",I3462=$E$3)),1,0),0)))</f>
        <v>0</v>
      </c>
      <c r="L3462" s="0" t="n">
        <f aca="false">L3461+K3462</f>
        <v>19</v>
      </c>
    </row>
    <row r="3463" customFormat="false" ht="15" hidden="true" customHeight="true" outlineLevel="0" collapsed="false">
      <c r="K3463" s="0" t="n">
        <f aca="false">IF(A3463="",0,IF(IFERROR(VLOOKUP(A3463,Skills!$A:$M,13,FALSE()),"")="COS",0,IF(OR(I3463="En cours",I3463="À venir",I3463="À planifier"),IF(AND(OR($C$3="Tous",$C$3="",C3463=$C$3),OR($E$3="Tous",$E$3="",I3463=$E$3)),1,0),0)))</f>
        <v>0</v>
      </c>
      <c r="L3463" s="0" t="n">
        <f aca="false">L3462+K3463</f>
        <v>19</v>
      </c>
    </row>
    <row r="3464" customFormat="false" ht="15" hidden="true" customHeight="true" outlineLevel="0" collapsed="false">
      <c r="K3464" s="0" t="n">
        <f aca="false">IF(A3464="",0,IF(IFERROR(VLOOKUP(A3464,Skills!$A:$M,13,FALSE()),"")="COS",0,IF(OR(I3464="En cours",I3464="À venir",I3464="À planifier"),IF(AND(OR($C$3="Tous",$C$3="",C3464=$C$3),OR($E$3="Tous",$E$3="",I3464=$E$3)),1,0),0)))</f>
        <v>0</v>
      </c>
      <c r="L3464" s="0" t="n">
        <f aca="false">L3463+K3464</f>
        <v>19</v>
      </c>
    </row>
    <row r="3465" customFormat="false" ht="15" hidden="true" customHeight="true" outlineLevel="0" collapsed="false">
      <c r="K3465" s="0" t="n">
        <f aca="false">IF(A3465="",0,IF(IFERROR(VLOOKUP(A3465,Skills!$A:$M,13,FALSE()),"")="COS",0,IF(OR(I3465="En cours",I3465="À venir",I3465="À planifier"),IF(AND(OR($C$3="Tous",$C$3="",C3465=$C$3),OR($E$3="Tous",$E$3="",I3465=$E$3)),1,0),0)))</f>
        <v>0</v>
      </c>
      <c r="L3465" s="0" t="n">
        <f aca="false">L3464+K3465</f>
        <v>19</v>
      </c>
    </row>
    <row r="3466" customFormat="false" ht="15" hidden="true" customHeight="true" outlineLevel="0" collapsed="false">
      <c r="K3466" s="0" t="n">
        <f aca="false">IF(A3466="",0,IF(IFERROR(VLOOKUP(A3466,Skills!$A:$M,13,FALSE()),"")="COS",0,IF(OR(I3466="En cours",I3466="À venir",I3466="À planifier"),IF(AND(OR($C$3="Tous",$C$3="",C3466=$C$3),OR($E$3="Tous",$E$3="",I3466=$E$3)),1,0),0)))</f>
        <v>0</v>
      </c>
      <c r="L3466" s="0" t="n">
        <f aca="false">L3465+K3466</f>
        <v>19</v>
      </c>
    </row>
    <row r="3467" customFormat="false" ht="15" hidden="true" customHeight="true" outlineLevel="0" collapsed="false">
      <c r="K3467" s="0" t="n">
        <f aca="false">IF(A3467="",0,IF(IFERROR(VLOOKUP(A3467,Skills!$A:$M,13,FALSE()),"")="COS",0,IF(OR(I3467="En cours",I3467="À venir",I3467="À planifier"),IF(AND(OR($C$3="Tous",$C$3="",C3467=$C$3),OR($E$3="Tous",$E$3="",I3467=$E$3)),1,0),0)))</f>
        <v>0</v>
      </c>
      <c r="L3467" s="0" t="n">
        <f aca="false">L3466+K3467</f>
        <v>19</v>
      </c>
    </row>
    <row r="3468" customFormat="false" ht="15" hidden="true" customHeight="true" outlineLevel="0" collapsed="false">
      <c r="K3468" s="0" t="n">
        <f aca="false">IF(A3468="",0,IF(IFERROR(VLOOKUP(A3468,Skills!$A:$M,13,FALSE()),"")="COS",0,IF(OR(I3468="En cours",I3468="À venir",I3468="À planifier"),IF(AND(OR($C$3="Tous",$C$3="",C3468=$C$3),OR($E$3="Tous",$E$3="",I3468=$E$3)),1,0),0)))</f>
        <v>0</v>
      </c>
      <c r="L3468" s="0" t="n">
        <f aca="false">L3467+K3468</f>
        <v>19</v>
      </c>
    </row>
    <row r="3469" customFormat="false" ht="15" hidden="true" customHeight="true" outlineLevel="0" collapsed="false">
      <c r="K3469" s="0" t="n">
        <f aca="false">IF(A3469="",0,IF(IFERROR(VLOOKUP(A3469,Skills!$A:$M,13,FALSE()),"")="COS",0,IF(OR(I3469="En cours",I3469="À venir",I3469="À planifier"),IF(AND(OR($C$3="Tous",$C$3="",C3469=$C$3),OR($E$3="Tous",$E$3="",I3469=$E$3)),1,0),0)))</f>
        <v>0</v>
      </c>
      <c r="L3469" s="0" t="n">
        <f aca="false">L3468+K3469</f>
        <v>19</v>
      </c>
    </row>
    <row r="3470" customFormat="false" ht="15" hidden="true" customHeight="true" outlineLevel="0" collapsed="false">
      <c r="K3470" s="0" t="n">
        <f aca="false">IF(A3470="",0,IF(IFERROR(VLOOKUP(A3470,Skills!$A:$M,13,FALSE()),"")="COS",0,IF(OR(I3470="En cours",I3470="À venir",I3470="À planifier"),IF(AND(OR($C$3="Tous",$C$3="",C3470=$C$3),OR($E$3="Tous",$E$3="",I3470=$E$3)),1,0),0)))</f>
        <v>0</v>
      </c>
      <c r="L3470" s="0" t="n">
        <f aca="false">L3469+K3470</f>
        <v>19</v>
      </c>
    </row>
    <row r="3471" customFormat="false" ht="15" hidden="true" customHeight="true" outlineLevel="0" collapsed="false">
      <c r="K3471" s="0" t="n">
        <f aca="false">IF(A3471="",0,IF(IFERROR(VLOOKUP(A3471,Skills!$A:$M,13,FALSE()),"")="COS",0,IF(OR(I3471="En cours",I3471="À venir",I3471="À planifier"),IF(AND(OR($C$3="Tous",$C$3="",C3471=$C$3),OR($E$3="Tous",$E$3="",I3471=$E$3)),1,0),0)))</f>
        <v>0</v>
      </c>
      <c r="L3471" s="0" t="n">
        <f aca="false">L3470+K3471</f>
        <v>19</v>
      </c>
    </row>
    <row r="3472" customFormat="false" ht="15" hidden="true" customHeight="true" outlineLevel="0" collapsed="false">
      <c r="K3472" s="0" t="n">
        <f aca="false">IF(A3472="",0,IF(IFERROR(VLOOKUP(A3472,Skills!$A:$M,13,FALSE()),"")="COS",0,IF(OR(I3472="En cours",I3472="À venir",I3472="À planifier"),IF(AND(OR($C$3="Tous",$C$3="",C3472=$C$3),OR($E$3="Tous",$E$3="",I3472=$E$3)),1,0),0)))</f>
        <v>0</v>
      </c>
      <c r="L3472" s="0" t="n">
        <f aca="false">L3471+K3472</f>
        <v>19</v>
      </c>
    </row>
    <row r="3473" customFormat="false" ht="15" hidden="true" customHeight="true" outlineLevel="0" collapsed="false">
      <c r="K3473" s="0" t="n">
        <f aca="false">IF(A3473="",0,IF(IFERROR(VLOOKUP(A3473,Skills!$A:$M,13,FALSE()),"")="COS",0,IF(OR(I3473="En cours",I3473="À venir",I3473="À planifier"),IF(AND(OR($C$3="Tous",$C$3="",C3473=$C$3),OR($E$3="Tous",$E$3="",I3473=$E$3)),1,0),0)))</f>
        <v>0</v>
      </c>
      <c r="L3473" s="0" t="n">
        <f aca="false">L3472+K3473</f>
        <v>19</v>
      </c>
    </row>
    <row r="3474" customFormat="false" ht="15" hidden="true" customHeight="true" outlineLevel="0" collapsed="false">
      <c r="K3474" s="0" t="n">
        <f aca="false">IF(A3474="",0,IF(IFERROR(VLOOKUP(A3474,Skills!$A:$M,13,FALSE()),"")="COS",0,IF(OR(I3474="En cours",I3474="À venir",I3474="À planifier"),IF(AND(OR($C$3="Tous",$C$3="",C3474=$C$3),OR($E$3="Tous",$E$3="",I3474=$E$3)),1,0),0)))</f>
        <v>0</v>
      </c>
      <c r="L3474" s="0" t="n">
        <f aca="false">L3473+K3474</f>
        <v>19</v>
      </c>
    </row>
    <row r="3475" customFormat="false" ht="15" hidden="true" customHeight="true" outlineLevel="0" collapsed="false">
      <c r="K3475" s="0" t="n">
        <f aca="false">IF(A3475="",0,IF(IFERROR(VLOOKUP(A3475,Skills!$A:$M,13,FALSE()),"")="COS",0,IF(OR(I3475="En cours",I3475="À venir",I3475="À planifier"),IF(AND(OR($C$3="Tous",$C$3="",C3475=$C$3),OR($E$3="Tous",$E$3="",I3475=$E$3)),1,0),0)))</f>
        <v>0</v>
      </c>
      <c r="L3475" s="0" t="n">
        <f aca="false">L3474+K3475</f>
        <v>19</v>
      </c>
    </row>
    <row r="3476" customFormat="false" ht="15" hidden="true" customHeight="true" outlineLevel="0" collapsed="false">
      <c r="K3476" s="0" t="n">
        <f aca="false">IF(A3476="",0,IF(IFERROR(VLOOKUP(A3476,Skills!$A:$M,13,FALSE()),"")="COS",0,IF(OR(I3476="En cours",I3476="À venir",I3476="À planifier"),IF(AND(OR($C$3="Tous",$C$3="",C3476=$C$3),OR($E$3="Tous",$E$3="",I3476=$E$3)),1,0),0)))</f>
        <v>0</v>
      </c>
      <c r="L3476" s="0" t="n">
        <f aca="false">L3475+K3476</f>
        <v>19</v>
      </c>
    </row>
    <row r="3477" customFormat="false" ht="15" hidden="true" customHeight="true" outlineLevel="0" collapsed="false">
      <c r="K3477" s="0" t="n">
        <f aca="false">IF(A3477="",0,IF(IFERROR(VLOOKUP(A3477,Skills!$A:$M,13,FALSE()),"")="COS",0,IF(OR(I3477="En cours",I3477="À venir",I3477="À planifier"),IF(AND(OR($C$3="Tous",$C$3="",C3477=$C$3),OR($E$3="Tous",$E$3="",I3477=$E$3)),1,0),0)))</f>
        <v>0</v>
      </c>
      <c r="L3477" s="0" t="n">
        <f aca="false">L3476+K3477</f>
        <v>19</v>
      </c>
    </row>
    <row r="3478" customFormat="false" ht="15" hidden="true" customHeight="true" outlineLevel="0" collapsed="false">
      <c r="K3478" s="0" t="n">
        <f aca="false">IF(A3478="",0,IF(IFERROR(VLOOKUP(A3478,Skills!$A:$M,13,FALSE()),"")="COS",0,IF(OR(I3478="En cours",I3478="À venir",I3478="À planifier"),IF(AND(OR($C$3="Tous",$C$3="",C3478=$C$3),OR($E$3="Tous",$E$3="",I3478=$E$3)),1,0),0)))</f>
        <v>0</v>
      </c>
      <c r="L3478" s="0" t="n">
        <f aca="false">L3477+K3478</f>
        <v>19</v>
      </c>
    </row>
    <row r="3479" customFormat="false" ht="15" hidden="true" customHeight="true" outlineLevel="0" collapsed="false">
      <c r="K3479" s="0" t="n">
        <f aca="false">IF(A3479="",0,IF(IFERROR(VLOOKUP(A3479,Skills!$A:$M,13,FALSE()),"")="COS",0,IF(OR(I3479="En cours",I3479="À venir",I3479="À planifier"),IF(AND(OR($C$3="Tous",$C$3="",C3479=$C$3),OR($E$3="Tous",$E$3="",I3479=$E$3)),1,0),0)))</f>
        <v>0</v>
      </c>
      <c r="L3479" s="0" t="n">
        <f aca="false">L3478+K3479</f>
        <v>19</v>
      </c>
    </row>
    <row r="3480" customFormat="false" ht="15" hidden="true" customHeight="true" outlineLevel="0" collapsed="false">
      <c r="K3480" s="0" t="n">
        <f aca="false">IF(A3480="",0,IF(IFERROR(VLOOKUP(A3480,Skills!$A:$M,13,FALSE()),"")="COS",0,IF(OR(I3480="En cours",I3480="À venir",I3480="À planifier"),IF(AND(OR($C$3="Tous",$C$3="",C3480=$C$3),OR($E$3="Tous",$E$3="",I3480=$E$3)),1,0),0)))</f>
        <v>0</v>
      </c>
      <c r="L3480" s="0" t="n">
        <f aca="false">L3479+K3480</f>
        <v>19</v>
      </c>
    </row>
    <row r="3481" customFormat="false" ht="15" hidden="true" customHeight="true" outlineLevel="0" collapsed="false">
      <c r="K3481" s="0" t="n">
        <f aca="false">IF(A3481="",0,IF(IFERROR(VLOOKUP(A3481,Skills!$A:$M,13,FALSE()),"")="COS",0,IF(OR(I3481="En cours",I3481="À venir",I3481="À planifier"),IF(AND(OR($C$3="Tous",$C$3="",C3481=$C$3),OR($E$3="Tous",$E$3="",I3481=$E$3)),1,0),0)))</f>
        <v>0</v>
      </c>
      <c r="L3481" s="0" t="n">
        <f aca="false">L3480+K3481</f>
        <v>19</v>
      </c>
    </row>
    <row r="3482" customFormat="false" ht="15" hidden="true" customHeight="true" outlineLevel="0" collapsed="false">
      <c r="K3482" s="0" t="n">
        <f aca="false">IF(A3482="",0,IF(IFERROR(VLOOKUP(A3482,Skills!$A:$M,13,FALSE()),"")="COS",0,IF(OR(I3482="En cours",I3482="À venir",I3482="À planifier"),IF(AND(OR($C$3="Tous",$C$3="",C3482=$C$3),OR($E$3="Tous",$E$3="",I3482=$E$3)),1,0),0)))</f>
        <v>0</v>
      </c>
      <c r="L3482" s="0" t="n">
        <f aca="false">L3481+K3482</f>
        <v>19</v>
      </c>
    </row>
    <row r="3483" customFormat="false" ht="15" hidden="true" customHeight="true" outlineLevel="0" collapsed="false">
      <c r="K3483" s="0" t="n">
        <f aca="false">IF(A3483="",0,IF(IFERROR(VLOOKUP(A3483,Skills!$A:$M,13,FALSE()),"")="COS",0,IF(OR(I3483="En cours",I3483="À venir",I3483="À planifier"),IF(AND(OR($C$3="Tous",$C$3="",C3483=$C$3),OR($E$3="Tous",$E$3="",I3483=$E$3)),1,0),0)))</f>
        <v>0</v>
      </c>
      <c r="L3483" s="0" t="n">
        <f aca="false">L3482+K3483</f>
        <v>19</v>
      </c>
    </row>
    <row r="3484" customFormat="false" ht="15" hidden="true" customHeight="true" outlineLevel="0" collapsed="false">
      <c r="K3484" s="0" t="n">
        <f aca="false">IF(A3484="",0,IF(IFERROR(VLOOKUP(A3484,Skills!$A:$M,13,FALSE()),"")="COS",0,IF(OR(I3484="En cours",I3484="À venir",I3484="À planifier"),IF(AND(OR($C$3="Tous",$C$3="",C3484=$C$3),OR($E$3="Tous",$E$3="",I3484=$E$3)),1,0),0)))</f>
        <v>0</v>
      </c>
      <c r="L3484" s="0" t="n">
        <f aca="false">L3483+K3484</f>
        <v>19</v>
      </c>
    </row>
    <row r="3485" customFormat="false" ht="15" hidden="true" customHeight="true" outlineLevel="0" collapsed="false">
      <c r="K3485" s="0" t="n">
        <f aca="false">IF(A3485="",0,IF(IFERROR(VLOOKUP(A3485,Skills!$A:$M,13,FALSE()),"")="COS",0,IF(OR(I3485="En cours",I3485="À venir",I3485="À planifier"),IF(AND(OR($C$3="Tous",$C$3="",C3485=$C$3),OR($E$3="Tous",$E$3="",I3485=$E$3)),1,0),0)))</f>
        <v>0</v>
      </c>
      <c r="L3485" s="0" t="n">
        <f aca="false">L3484+K3485</f>
        <v>19</v>
      </c>
    </row>
    <row r="3486" customFormat="false" ht="15" hidden="true" customHeight="true" outlineLevel="0" collapsed="false">
      <c r="K3486" s="0" t="n">
        <f aca="false">IF(A3486="",0,IF(IFERROR(VLOOKUP(A3486,Skills!$A:$M,13,FALSE()),"")="COS",0,IF(OR(I3486="En cours",I3486="À venir",I3486="À planifier"),IF(AND(OR($C$3="Tous",$C$3="",C3486=$C$3),OR($E$3="Tous",$E$3="",I3486=$E$3)),1,0),0)))</f>
        <v>0</v>
      </c>
      <c r="L3486" s="0" t="n">
        <f aca="false">L3485+K3486</f>
        <v>19</v>
      </c>
    </row>
    <row r="3487" customFormat="false" ht="15" hidden="true" customHeight="true" outlineLevel="0" collapsed="false">
      <c r="K3487" s="0" t="n">
        <f aca="false">IF(A3487="",0,IF(IFERROR(VLOOKUP(A3487,Skills!$A:$M,13,FALSE()),"")="COS",0,IF(OR(I3487="En cours",I3487="À venir",I3487="À planifier"),IF(AND(OR($C$3="Tous",$C$3="",C3487=$C$3),OR($E$3="Tous",$E$3="",I3487=$E$3)),1,0),0)))</f>
        <v>0</v>
      </c>
      <c r="L3487" s="0" t="n">
        <f aca="false">L3486+K3487</f>
        <v>19</v>
      </c>
    </row>
    <row r="3488" customFormat="false" ht="15" hidden="true" customHeight="true" outlineLevel="0" collapsed="false">
      <c r="K3488" s="0" t="n">
        <f aca="false">IF(A3488="",0,IF(IFERROR(VLOOKUP(A3488,Skills!$A:$M,13,FALSE()),"")="COS",0,IF(OR(I3488="En cours",I3488="À venir",I3488="À planifier"),IF(AND(OR($C$3="Tous",$C$3="",C3488=$C$3),OR($E$3="Tous",$E$3="",I3488=$E$3)),1,0),0)))</f>
        <v>0</v>
      </c>
      <c r="L3488" s="0" t="n">
        <f aca="false">L3487+K3488</f>
        <v>19</v>
      </c>
    </row>
    <row r="3489" customFormat="false" ht="15" hidden="true" customHeight="true" outlineLevel="0" collapsed="false">
      <c r="K3489" s="0" t="n">
        <f aca="false">IF(A3489="",0,IF(IFERROR(VLOOKUP(A3489,Skills!$A:$M,13,FALSE()),"")="COS",0,IF(OR(I3489="En cours",I3489="À venir",I3489="À planifier"),IF(AND(OR($C$3="Tous",$C$3="",C3489=$C$3),OR($E$3="Tous",$E$3="",I3489=$E$3)),1,0),0)))</f>
        <v>0</v>
      </c>
      <c r="L3489" s="0" t="n">
        <f aca="false">L3488+K3489</f>
        <v>19</v>
      </c>
    </row>
    <row r="3490" customFormat="false" ht="15" hidden="true" customHeight="true" outlineLevel="0" collapsed="false">
      <c r="K3490" s="0" t="n">
        <f aca="false">IF(A3490="",0,IF(IFERROR(VLOOKUP(A3490,Skills!$A:$M,13,FALSE()),"")="COS",0,IF(OR(I3490="En cours",I3490="À venir",I3490="À planifier"),IF(AND(OR($C$3="Tous",$C$3="",C3490=$C$3),OR($E$3="Tous",$E$3="",I3490=$E$3)),1,0),0)))</f>
        <v>0</v>
      </c>
      <c r="L3490" s="0" t="n">
        <f aca="false">L3489+K3490</f>
        <v>19</v>
      </c>
    </row>
    <row r="3491" customFormat="false" ht="15" hidden="true" customHeight="true" outlineLevel="0" collapsed="false">
      <c r="K3491" s="0" t="n">
        <f aca="false">IF(A3491="",0,IF(IFERROR(VLOOKUP(A3491,Skills!$A:$M,13,FALSE()),"")="COS",0,IF(OR(I3491="En cours",I3491="À venir",I3491="À planifier"),IF(AND(OR($C$3="Tous",$C$3="",C3491=$C$3),OR($E$3="Tous",$E$3="",I3491=$E$3)),1,0),0)))</f>
        <v>0</v>
      </c>
      <c r="L3491" s="0" t="n">
        <f aca="false">L3490+K3491</f>
        <v>19</v>
      </c>
    </row>
    <row r="3492" customFormat="false" ht="15" hidden="true" customHeight="true" outlineLevel="0" collapsed="false">
      <c r="K3492" s="0" t="n">
        <f aca="false">IF(A3492="",0,IF(IFERROR(VLOOKUP(A3492,Skills!$A:$M,13,FALSE()),"")="COS",0,IF(OR(I3492="En cours",I3492="À venir",I3492="À planifier"),IF(AND(OR($C$3="Tous",$C$3="",C3492=$C$3),OR($E$3="Tous",$E$3="",I3492=$E$3)),1,0),0)))</f>
        <v>0</v>
      </c>
      <c r="L3492" s="0" t="n">
        <f aca="false">L3491+K3492</f>
        <v>19</v>
      </c>
    </row>
    <row r="3493" customFormat="false" ht="15" hidden="true" customHeight="true" outlineLevel="0" collapsed="false">
      <c r="K3493" s="0" t="n">
        <f aca="false">IF(A3493="",0,IF(IFERROR(VLOOKUP(A3493,Skills!$A:$M,13,FALSE()),"")="COS",0,IF(OR(I3493="En cours",I3493="À venir",I3493="À planifier"),IF(AND(OR($C$3="Tous",$C$3="",C3493=$C$3),OR($E$3="Tous",$E$3="",I3493=$E$3)),1,0),0)))</f>
        <v>0</v>
      </c>
      <c r="L3493" s="0" t="n">
        <f aca="false">L3492+K3493</f>
        <v>19</v>
      </c>
    </row>
    <row r="3494" customFormat="false" ht="15" hidden="true" customHeight="true" outlineLevel="0" collapsed="false">
      <c r="K3494" s="0" t="n">
        <f aca="false">IF(A3494="",0,IF(IFERROR(VLOOKUP(A3494,Skills!$A:$M,13,FALSE()),"")="COS",0,IF(OR(I3494="En cours",I3494="À venir",I3494="À planifier"),IF(AND(OR($C$3="Tous",$C$3="",C3494=$C$3),OR($E$3="Tous",$E$3="",I3494=$E$3)),1,0),0)))</f>
        <v>0</v>
      </c>
      <c r="L3494" s="0" t="n">
        <f aca="false">L3493+K3494</f>
        <v>19</v>
      </c>
    </row>
    <row r="3495" customFormat="false" ht="15" hidden="true" customHeight="true" outlineLevel="0" collapsed="false">
      <c r="K3495" s="0" t="n">
        <f aca="false">IF(A3495="",0,IF(IFERROR(VLOOKUP(A3495,Skills!$A:$M,13,FALSE()),"")="COS",0,IF(OR(I3495="En cours",I3495="À venir",I3495="À planifier"),IF(AND(OR($C$3="Tous",$C$3="",C3495=$C$3),OR($E$3="Tous",$E$3="",I3495=$E$3)),1,0),0)))</f>
        <v>0</v>
      </c>
      <c r="L3495" s="0" t="n">
        <f aca="false">L3494+K3495</f>
        <v>19</v>
      </c>
    </row>
    <row r="3496" customFormat="false" ht="15" hidden="true" customHeight="true" outlineLevel="0" collapsed="false">
      <c r="K3496" s="0" t="n">
        <f aca="false">IF(A3496="",0,IF(IFERROR(VLOOKUP(A3496,Skills!$A:$M,13,FALSE()),"")="COS",0,IF(OR(I3496="En cours",I3496="À venir",I3496="À planifier"),IF(AND(OR($C$3="Tous",$C$3="",C3496=$C$3),OR($E$3="Tous",$E$3="",I3496=$E$3)),1,0),0)))</f>
        <v>0</v>
      </c>
      <c r="L3496" s="0" t="n">
        <f aca="false">L3495+K3496</f>
        <v>19</v>
      </c>
    </row>
    <row r="3497" customFormat="false" ht="15" hidden="true" customHeight="true" outlineLevel="0" collapsed="false">
      <c r="K3497" s="0" t="n">
        <f aca="false">IF(A3497="",0,IF(IFERROR(VLOOKUP(A3497,Skills!$A:$M,13,FALSE()),"")="COS",0,IF(OR(I3497="En cours",I3497="À venir",I3497="À planifier"),IF(AND(OR($C$3="Tous",$C$3="",C3497=$C$3),OR($E$3="Tous",$E$3="",I3497=$E$3)),1,0),0)))</f>
        <v>0</v>
      </c>
      <c r="L3497" s="0" t="n">
        <f aca="false">L3496+K3497</f>
        <v>19</v>
      </c>
    </row>
    <row r="3498" customFormat="false" ht="15" hidden="true" customHeight="true" outlineLevel="0" collapsed="false">
      <c r="K3498" s="0" t="n">
        <f aca="false">IF(A3498="",0,IF(IFERROR(VLOOKUP(A3498,Skills!$A:$M,13,FALSE()),"")="COS",0,IF(OR(I3498="En cours",I3498="À venir",I3498="À planifier"),IF(AND(OR($C$3="Tous",$C$3="",C3498=$C$3),OR($E$3="Tous",$E$3="",I3498=$E$3)),1,0),0)))</f>
        <v>0</v>
      </c>
      <c r="L3498" s="0" t="n">
        <f aca="false">L3497+K3498</f>
        <v>19</v>
      </c>
    </row>
    <row r="3499" customFormat="false" ht="15" hidden="true" customHeight="true" outlineLevel="0" collapsed="false">
      <c r="K3499" s="0" t="n">
        <f aca="false">IF(A3499="",0,IF(IFERROR(VLOOKUP(A3499,Skills!$A:$M,13,FALSE()),"")="COS",0,IF(OR(I3499="En cours",I3499="À venir",I3499="À planifier"),IF(AND(OR($C$3="Tous",$C$3="",C3499=$C$3),OR($E$3="Tous",$E$3="",I3499=$E$3)),1,0),0)))</f>
        <v>0</v>
      </c>
      <c r="L3499" s="0" t="n">
        <f aca="false">L3498+K3499</f>
        <v>19</v>
      </c>
    </row>
    <row r="3500" customFormat="false" ht="15" hidden="true" customHeight="true" outlineLevel="0" collapsed="false">
      <c r="K3500" s="0" t="n">
        <f aca="false">IF(A3500="",0,IF(IFERROR(VLOOKUP(A3500,Skills!$A:$M,13,FALSE()),"")="COS",0,IF(OR(I3500="En cours",I3500="À venir",I3500="À planifier"),IF(AND(OR($C$3="Tous",$C$3="",C3500=$C$3),OR($E$3="Tous",$E$3="",I3500=$E$3)),1,0),0)))</f>
        <v>0</v>
      </c>
      <c r="L3500" s="0" t="n">
        <f aca="false">L3499+K3500</f>
        <v>19</v>
      </c>
    </row>
    <row r="3501" customFormat="false" ht="15" hidden="true" customHeight="true" outlineLevel="0" collapsed="false">
      <c r="K3501" s="0" t="n">
        <f aca="false">IF(A3501="",0,IF(IFERROR(VLOOKUP(A3501,Skills!$A:$M,13,FALSE()),"")="COS",0,IF(OR(I3501="En cours",I3501="À venir",I3501="À planifier"),IF(AND(OR($C$3="Tous",$C$3="",C3501=$C$3),OR($E$3="Tous",$E$3="",I3501=$E$3)),1,0),0)))</f>
        <v>0</v>
      </c>
      <c r="L3501" s="0" t="n">
        <f aca="false">L3500+K3501</f>
        <v>19</v>
      </c>
    </row>
    <row r="3502" customFormat="false" ht="15" hidden="true" customHeight="true" outlineLevel="0" collapsed="false">
      <c r="K3502" s="0" t="n">
        <f aca="false">IF(A3502="",0,IF(IFERROR(VLOOKUP(A3502,Skills!$A:$M,13,FALSE()),"")="COS",0,IF(OR(I3502="En cours",I3502="À venir",I3502="À planifier"),IF(AND(OR($C$3="Tous",$C$3="",C3502=$C$3),OR($E$3="Tous",$E$3="",I3502=$E$3)),1,0),0)))</f>
        <v>0</v>
      </c>
      <c r="L3502" s="0" t="n">
        <f aca="false">L3501+K3502</f>
        <v>19</v>
      </c>
    </row>
    <row r="3503" customFormat="false" ht="15" hidden="true" customHeight="true" outlineLevel="0" collapsed="false">
      <c r="K3503" s="0" t="n">
        <f aca="false">IF(A3503="",0,IF(IFERROR(VLOOKUP(A3503,Skills!$A:$M,13,FALSE()),"")="COS",0,IF(OR(I3503="En cours",I3503="À venir",I3503="À planifier"),IF(AND(OR($C$3="Tous",$C$3="",C3503=$C$3),OR($E$3="Tous",$E$3="",I3503=$E$3)),1,0),0)))</f>
        <v>0</v>
      </c>
      <c r="L3503" s="0" t="n">
        <f aca="false">L3502+K3503</f>
        <v>19</v>
      </c>
    </row>
    <row r="3504" customFormat="false" ht="15" hidden="true" customHeight="true" outlineLevel="0" collapsed="false">
      <c r="K3504" s="0" t="n">
        <f aca="false">IF(A3504="",0,IF(IFERROR(VLOOKUP(A3504,Skills!$A:$M,13,FALSE()),"")="COS",0,IF(OR(I3504="En cours",I3504="À venir",I3504="À planifier"),IF(AND(OR($C$3="Tous",$C$3="",C3504=$C$3),OR($E$3="Tous",$E$3="",I3504=$E$3)),1,0),0)))</f>
        <v>0</v>
      </c>
      <c r="L3504" s="0" t="n">
        <f aca="false">L3503+K3504</f>
        <v>19</v>
      </c>
    </row>
    <row r="3505" customFormat="false" ht="15" hidden="true" customHeight="true" outlineLevel="0" collapsed="false">
      <c r="K3505" s="0" t="n">
        <f aca="false">IF(A3505="",0,IF(IFERROR(VLOOKUP(A3505,Skills!$A:$M,13,FALSE()),"")="COS",0,IF(OR(I3505="En cours",I3505="À venir",I3505="À planifier"),IF(AND(OR($C$3="Tous",$C$3="",C3505=$C$3),OR($E$3="Tous",$E$3="",I3505=$E$3)),1,0),0)))</f>
        <v>0</v>
      </c>
      <c r="L3505" s="0" t="n">
        <f aca="false">L3504+K3505</f>
        <v>19</v>
      </c>
    </row>
    <row r="3506" customFormat="false" ht="15" hidden="true" customHeight="true" outlineLevel="0" collapsed="false">
      <c r="K3506" s="0" t="n">
        <f aca="false">IF(A3506="",0,IF(IFERROR(VLOOKUP(A3506,Skills!$A:$M,13,FALSE()),"")="COS",0,IF(OR(I3506="En cours",I3506="À venir",I3506="À planifier"),IF(AND(OR($C$3="Tous",$C$3="",C3506=$C$3),OR($E$3="Tous",$E$3="",I3506=$E$3)),1,0),0)))</f>
        <v>0</v>
      </c>
      <c r="L3506" s="0" t="n">
        <f aca="false">L3505+K3506</f>
        <v>19</v>
      </c>
    </row>
    <row r="3507" customFormat="false" ht="15" hidden="true" customHeight="true" outlineLevel="0" collapsed="false">
      <c r="K3507" s="0" t="n">
        <f aca="false">IF(A3507="",0,IF(IFERROR(VLOOKUP(A3507,Skills!$A:$M,13,FALSE()),"")="COS",0,IF(OR(I3507="En cours",I3507="À venir",I3507="À planifier"),IF(AND(OR($C$3="Tous",$C$3="",C3507=$C$3),OR($E$3="Tous",$E$3="",I3507=$E$3)),1,0),0)))</f>
        <v>0</v>
      </c>
      <c r="L3507" s="0" t="n">
        <f aca="false">L3506+K3507</f>
        <v>19</v>
      </c>
    </row>
    <row r="3508" customFormat="false" ht="15" hidden="true" customHeight="true" outlineLevel="0" collapsed="false">
      <c r="K3508" s="0" t="n">
        <f aca="false">IF(A3508="",0,IF(IFERROR(VLOOKUP(A3508,Skills!$A:$M,13,FALSE()),"")="COS",0,IF(OR(I3508="En cours",I3508="À venir",I3508="À planifier"),IF(AND(OR($C$3="Tous",$C$3="",C3508=$C$3),OR($E$3="Tous",$E$3="",I3508=$E$3)),1,0),0)))</f>
        <v>0</v>
      </c>
      <c r="L3508" s="0" t="n">
        <f aca="false">L3507+K3508</f>
        <v>19</v>
      </c>
    </row>
    <row r="3509" customFormat="false" ht="15" hidden="true" customHeight="true" outlineLevel="0" collapsed="false">
      <c r="K3509" s="0" t="n">
        <f aca="false">IF(A3509="",0,IF(IFERROR(VLOOKUP(A3509,Skills!$A:$M,13,FALSE()),"")="COS",0,IF(OR(I3509="En cours",I3509="À venir",I3509="À planifier"),IF(AND(OR($C$3="Tous",$C$3="",C3509=$C$3),OR($E$3="Tous",$E$3="",I3509=$E$3)),1,0),0)))</f>
        <v>0</v>
      </c>
      <c r="L3509" s="0" t="n">
        <f aca="false">L3508+K3509</f>
        <v>19</v>
      </c>
    </row>
    <row r="3510" customFormat="false" ht="15" hidden="true" customHeight="true" outlineLevel="0" collapsed="false">
      <c r="K3510" s="0" t="n">
        <f aca="false">IF(A3510="",0,IF(IFERROR(VLOOKUP(A3510,Skills!$A:$M,13,FALSE()),"")="COS",0,IF(OR(I3510="En cours",I3510="À venir",I3510="À planifier"),IF(AND(OR($C$3="Tous",$C$3="",C3510=$C$3),OR($E$3="Tous",$E$3="",I3510=$E$3)),1,0),0)))</f>
        <v>0</v>
      </c>
      <c r="L3510" s="0" t="n">
        <f aca="false">L3509+K3510</f>
        <v>19</v>
      </c>
    </row>
    <row r="3511" customFormat="false" ht="15" hidden="true" customHeight="true" outlineLevel="0" collapsed="false">
      <c r="K3511" s="0" t="n">
        <f aca="false">IF(A3511="",0,IF(IFERROR(VLOOKUP(A3511,Skills!$A:$M,13,FALSE()),"")="COS",0,IF(OR(I3511="En cours",I3511="À venir",I3511="À planifier"),IF(AND(OR($C$3="Tous",$C$3="",C3511=$C$3),OR($E$3="Tous",$E$3="",I3511=$E$3)),1,0),0)))</f>
        <v>0</v>
      </c>
      <c r="L3511" s="0" t="n">
        <f aca="false">L3510+K3511</f>
        <v>19</v>
      </c>
    </row>
    <row r="3512" customFormat="false" ht="15" hidden="true" customHeight="true" outlineLevel="0" collapsed="false">
      <c r="K3512" s="0" t="n">
        <f aca="false">IF(A3512="",0,IF(IFERROR(VLOOKUP(A3512,Skills!$A:$M,13,FALSE()),"")="COS",0,IF(OR(I3512="En cours",I3512="À venir",I3512="À planifier"),IF(AND(OR($C$3="Tous",$C$3="",C3512=$C$3),OR($E$3="Tous",$E$3="",I3512=$E$3)),1,0),0)))</f>
        <v>0</v>
      </c>
      <c r="L3512" s="0" t="n">
        <f aca="false">L3511+K3512</f>
        <v>19</v>
      </c>
    </row>
    <row r="3513" customFormat="false" ht="15" hidden="true" customHeight="true" outlineLevel="0" collapsed="false">
      <c r="K3513" s="0" t="n">
        <f aca="false">IF(A3513="",0,IF(IFERROR(VLOOKUP(A3513,Skills!$A:$M,13,FALSE()),"")="COS",0,IF(OR(I3513="En cours",I3513="À venir",I3513="À planifier"),IF(AND(OR($C$3="Tous",$C$3="",C3513=$C$3),OR($E$3="Tous",$E$3="",I3513=$E$3)),1,0),0)))</f>
        <v>0</v>
      </c>
      <c r="L3513" s="0" t="n">
        <f aca="false">L3512+K3513</f>
        <v>19</v>
      </c>
    </row>
    <row r="3514" customFormat="false" ht="15" hidden="true" customHeight="true" outlineLevel="0" collapsed="false">
      <c r="K3514" s="0" t="n">
        <f aca="false">IF(A3514="",0,IF(IFERROR(VLOOKUP(A3514,Skills!$A:$M,13,FALSE()),"")="COS",0,IF(OR(I3514="En cours",I3514="À venir",I3514="À planifier"),IF(AND(OR($C$3="Tous",$C$3="",C3514=$C$3),OR($E$3="Tous",$E$3="",I3514=$E$3)),1,0),0)))</f>
        <v>0</v>
      </c>
      <c r="L3514" s="0" t="n">
        <f aca="false">L3513+K3514</f>
        <v>19</v>
      </c>
    </row>
    <row r="3515" customFormat="false" ht="15" hidden="true" customHeight="true" outlineLevel="0" collapsed="false">
      <c r="K3515" s="0" t="n">
        <f aca="false">IF(A3515="",0,IF(IFERROR(VLOOKUP(A3515,Skills!$A:$M,13,FALSE()),"")="COS",0,IF(OR(I3515="En cours",I3515="À venir",I3515="À planifier"),IF(AND(OR($C$3="Tous",$C$3="",C3515=$C$3),OR($E$3="Tous",$E$3="",I3515=$E$3)),1,0),0)))</f>
        <v>0</v>
      </c>
      <c r="L3515" s="0" t="n">
        <f aca="false">L3514+K3515</f>
        <v>19</v>
      </c>
    </row>
    <row r="3516" customFormat="false" ht="15" hidden="true" customHeight="true" outlineLevel="0" collapsed="false">
      <c r="K3516" s="0" t="n">
        <f aca="false">IF(A3516="",0,IF(IFERROR(VLOOKUP(A3516,Skills!$A:$M,13,FALSE()),"")="COS",0,IF(OR(I3516="En cours",I3516="À venir",I3516="À planifier"),IF(AND(OR($C$3="Tous",$C$3="",C3516=$C$3),OR($E$3="Tous",$E$3="",I3516=$E$3)),1,0),0)))</f>
        <v>0</v>
      </c>
      <c r="L3516" s="0" t="n">
        <f aca="false">L3515+K3516</f>
        <v>19</v>
      </c>
    </row>
    <row r="3517" customFormat="false" ht="15" hidden="true" customHeight="true" outlineLevel="0" collapsed="false">
      <c r="K3517" s="0" t="n">
        <f aca="false">IF(A3517="",0,IF(IFERROR(VLOOKUP(A3517,Skills!$A:$M,13,FALSE()),"")="COS",0,IF(OR(I3517="En cours",I3517="À venir",I3517="À planifier"),IF(AND(OR($C$3="Tous",$C$3="",C3517=$C$3),OR($E$3="Tous",$E$3="",I3517=$E$3)),1,0),0)))</f>
        <v>0</v>
      </c>
      <c r="L3517" s="0" t="n">
        <f aca="false">L3516+K3517</f>
        <v>19</v>
      </c>
    </row>
    <row r="3518" customFormat="false" ht="15" hidden="true" customHeight="true" outlineLevel="0" collapsed="false">
      <c r="K3518" s="0" t="n">
        <f aca="false">IF(A3518="",0,IF(IFERROR(VLOOKUP(A3518,Skills!$A:$M,13,FALSE()),"")="COS",0,IF(OR(I3518="En cours",I3518="À venir",I3518="À planifier"),IF(AND(OR($C$3="Tous",$C$3="",C3518=$C$3),OR($E$3="Tous",$E$3="",I3518=$E$3)),1,0),0)))</f>
        <v>0</v>
      </c>
      <c r="L3518" s="0" t="n">
        <f aca="false">L3517+K3518</f>
        <v>19</v>
      </c>
    </row>
    <row r="3519" customFormat="false" ht="15" hidden="true" customHeight="true" outlineLevel="0" collapsed="false">
      <c r="K3519" s="0" t="n">
        <f aca="false">IF(A3519="",0,IF(IFERROR(VLOOKUP(A3519,Skills!$A:$M,13,FALSE()),"")="COS",0,IF(OR(I3519="En cours",I3519="À venir",I3519="À planifier"),IF(AND(OR($C$3="Tous",$C$3="",C3519=$C$3),OR($E$3="Tous",$E$3="",I3519=$E$3)),1,0),0)))</f>
        <v>0</v>
      </c>
      <c r="L3519" s="0" t="n">
        <f aca="false">L3518+K3519</f>
        <v>19</v>
      </c>
    </row>
    <row r="3520" customFormat="false" ht="15" hidden="true" customHeight="true" outlineLevel="0" collapsed="false">
      <c r="K3520" s="0" t="n">
        <f aca="false">IF(A3520="",0,IF(IFERROR(VLOOKUP(A3520,Skills!$A:$M,13,FALSE()),"")="COS",0,IF(OR(I3520="En cours",I3520="À venir",I3520="À planifier"),IF(AND(OR($C$3="Tous",$C$3="",C3520=$C$3),OR($E$3="Tous",$E$3="",I3520=$E$3)),1,0),0)))</f>
        <v>0</v>
      </c>
      <c r="L3520" s="0" t="n">
        <f aca="false">L3519+K3520</f>
        <v>19</v>
      </c>
    </row>
    <row r="3521" customFormat="false" ht="15" hidden="true" customHeight="true" outlineLevel="0" collapsed="false">
      <c r="K3521" s="0" t="n">
        <f aca="false">IF(A3521="",0,IF(IFERROR(VLOOKUP(A3521,Skills!$A:$M,13,FALSE()),"")="COS",0,IF(OR(I3521="En cours",I3521="À venir",I3521="À planifier"),IF(AND(OR($C$3="Tous",$C$3="",C3521=$C$3),OR($E$3="Tous",$E$3="",I3521=$E$3)),1,0),0)))</f>
        <v>0</v>
      </c>
      <c r="L3521" s="0" t="n">
        <f aca="false">L3520+K3521</f>
        <v>19</v>
      </c>
    </row>
    <row r="3522" customFormat="false" ht="15" hidden="true" customHeight="true" outlineLevel="0" collapsed="false">
      <c r="K3522" s="0" t="n">
        <f aca="false">IF(A3522="",0,IF(IFERROR(VLOOKUP(A3522,Skills!$A:$M,13,FALSE()),"")="COS",0,IF(OR(I3522="En cours",I3522="À venir",I3522="À planifier"),IF(AND(OR($C$3="Tous",$C$3="",C3522=$C$3),OR($E$3="Tous",$E$3="",I3522=$E$3)),1,0),0)))</f>
        <v>0</v>
      </c>
      <c r="L3522" s="0" t="n">
        <f aca="false">L3521+K3522</f>
        <v>19</v>
      </c>
    </row>
    <row r="3523" customFormat="false" ht="15" hidden="true" customHeight="true" outlineLevel="0" collapsed="false">
      <c r="K3523" s="0" t="n">
        <f aca="false">IF(A3523="",0,IF(IFERROR(VLOOKUP(A3523,Skills!$A:$M,13,FALSE()),"")="COS",0,IF(OR(I3523="En cours",I3523="À venir",I3523="À planifier"),IF(AND(OR($C$3="Tous",$C$3="",C3523=$C$3),OR($E$3="Tous",$E$3="",I3523=$E$3)),1,0),0)))</f>
        <v>0</v>
      </c>
      <c r="L3523" s="0" t="n">
        <f aca="false">L3522+K3523</f>
        <v>19</v>
      </c>
    </row>
    <row r="3524" customFormat="false" ht="15" hidden="true" customHeight="true" outlineLevel="0" collapsed="false">
      <c r="K3524" s="0" t="n">
        <f aca="false">IF(A3524="",0,IF(IFERROR(VLOOKUP(A3524,Skills!$A:$M,13,FALSE()),"")="COS",0,IF(OR(I3524="En cours",I3524="À venir",I3524="À planifier"),IF(AND(OR($C$3="Tous",$C$3="",C3524=$C$3),OR($E$3="Tous",$E$3="",I3524=$E$3)),1,0),0)))</f>
        <v>0</v>
      </c>
      <c r="L3524" s="0" t="n">
        <f aca="false">L3523+K3524</f>
        <v>19</v>
      </c>
    </row>
    <row r="3525" customFormat="false" ht="15" hidden="true" customHeight="true" outlineLevel="0" collapsed="false">
      <c r="K3525" s="0" t="n">
        <f aca="false">IF(A3525="",0,IF(IFERROR(VLOOKUP(A3525,Skills!$A:$M,13,FALSE()),"")="COS",0,IF(OR(I3525="En cours",I3525="À venir",I3525="À planifier"),IF(AND(OR($C$3="Tous",$C$3="",C3525=$C$3),OR($E$3="Tous",$E$3="",I3525=$E$3)),1,0),0)))</f>
        <v>0</v>
      </c>
      <c r="L3525" s="0" t="n">
        <f aca="false">L3524+K3525</f>
        <v>19</v>
      </c>
    </row>
    <row r="3526" customFormat="false" ht="15" hidden="true" customHeight="true" outlineLevel="0" collapsed="false">
      <c r="K3526" s="0" t="n">
        <f aca="false">IF(A3526="",0,IF(IFERROR(VLOOKUP(A3526,Skills!$A:$M,13,FALSE()),"")="COS",0,IF(OR(I3526="En cours",I3526="À venir",I3526="À planifier"),IF(AND(OR($C$3="Tous",$C$3="",C3526=$C$3),OR($E$3="Tous",$E$3="",I3526=$E$3)),1,0),0)))</f>
        <v>0</v>
      </c>
      <c r="L3526" s="0" t="n">
        <f aca="false">L3525+K3526</f>
        <v>19</v>
      </c>
    </row>
    <row r="3527" customFormat="false" ht="15" hidden="true" customHeight="true" outlineLevel="0" collapsed="false">
      <c r="K3527" s="0" t="n">
        <f aca="false">IF(A3527="",0,IF(IFERROR(VLOOKUP(A3527,Skills!$A:$M,13,FALSE()),"")="COS",0,IF(OR(I3527="En cours",I3527="À venir",I3527="À planifier"),IF(AND(OR($C$3="Tous",$C$3="",C3527=$C$3),OR($E$3="Tous",$E$3="",I3527=$E$3)),1,0),0)))</f>
        <v>0</v>
      </c>
      <c r="L3527" s="0" t="n">
        <f aca="false">L3526+K3527</f>
        <v>19</v>
      </c>
    </row>
    <row r="3528" customFormat="false" ht="15" hidden="true" customHeight="true" outlineLevel="0" collapsed="false">
      <c r="K3528" s="0" t="n">
        <f aca="false">IF(A3528="",0,IF(IFERROR(VLOOKUP(A3528,Skills!$A:$M,13,FALSE()),"")="COS",0,IF(OR(I3528="En cours",I3528="À venir",I3528="À planifier"),IF(AND(OR($C$3="Tous",$C$3="",C3528=$C$3),OR($E$3="Tous",$E$3="",I3528=$E$3)),1,0),0)))</f>
        <v>0</v>
      </c>
      <c r="L3528" s="0" t="n">
        <f aca="false">L3527+K3528</f>
        <v>19</v>
      </c>
    </row>
    <row r="3529" customFormat="false" ht="15" hidden="true" customHeight="true" outlineLevel="0" collapsed="false">
      <c r="K3529" s="0" t="n">
        <f aca="false">IF(A3529="",0,IF(IFERROR(VLOOKUP(A3529,Skills!$A:$M,13,FALSE()),"")="COS",0,IF(OR(I3529="En cours",I3529="À venir",I3529="À planifier"),IF(AND(OR($C$3="Tous",$C$3="",C3529=$C$3),OR($E$3="Tous",$E$3="",I3529=$E$3)),1,0),0)))</f>
        <v>0</v>
      </c>
      <c r="L3529" s="0" t="n">
        <f aca="false">L3528+K3529</f>
        <v>19</v>
      </c>
    </row>
    <row r="3530" customFormat="false" ht="15" hidden="true" customHeight="true" outlineLevel="0" collapsed="false">
      <c r="K3530" s="0" t="n">
        <f aca="false">IF(A3530="",0,IF(IFERROR(VLOOKUP(A3530,Skills!$A:$M,13,FALSE()),"")="COS",0,IF(OR(I3530="En cours",I3530="À venir",I3530="À planifier"),IF(AND(OR($C$3="Tous",$C$3="",C3530=$C$3),OR($E$3="Tous",$E$3="",I3530=$E$3)),1,0),0)))</f>
        <v>0</v>
      </c>
      <c r="L3530" s="0" t="n">
        <f aca="false">L3529+K3530</f>
        <v>19</v>
      </c>
    </row>
    <row r="3531" customFormat="false" ht="15" hidden="true" customHeight="true" outlineLevel="0" collapsed="false">
      <c r="K3531" s="0" t="n">
        <f aca="false">IF(A3531="",0,IF(IFERROR(VLOOKUP(A3531,Skills!$A:$M,13,FALSE()),"")="COS",0,IF(OR(I3531="En cours",I3531="À venir",I3531="À planifier"),IF(AND(OR($C$3="Tous",$C$3="",C3531=$C$3),OR($E$3="Tous",$E$3="",I3531=$E$3)),1,0),0)))</f>
        <v>0</v>
      </c>
      <c r="L3531" s="0" t="n">
        <f aca="false">L3530+K3531</f>
        <v>19</v>
      </c>
    </row>
    <row r="3532" customFormat="false" ht="15" hidden="true" customHeight="true" outlineLevel="0" collapsed="false">
      <c r="K3532" s="0" t="n">
        <f aca="false">IF(A3532="",0,IF(IFERROR(VLOOKUP(A3532,Skills!$A:$M,13,FALSE()),"")="COS",0,IF(OR(I3532="En cours",I3532="À venir",I3532="À planifier"),IF(AND(OR($C$3="Tous",$C$3="",C3532=$C$3),OR($E$3="Tous",$E$3="",I3532=$E$3)),1,0),0)))</f>
        <v>0</v>
      </c>
      <c r="L3532" s="0" t="n">
        <f aca="false">L3531+K3532</f>
        <v>19</v>
      </c>
    </row>
    <row r="3533" customFormat="false" ht="15" hidden="true" customHeight="true" outlineLevel="0" collapsed="false">
      <c r="K3533" s="0" t="n">
        <f aca="false">IF(A3533="",0,IF(IFERROR(VLOOKUP(A3533,Skills!$A:$M,13,FALSE()),"")="COS",0,IF(OR(I3533="En cours",I3533="À venir",I3533="À planifier"),IF(AND(OR($C$3="Tous",$C$3="",C3533=$C$3),OR($E$3="Tous",$E$3="",I3533=$E$3)),1,0),0)))</f>
        <v>0</v>
      </c>
      <c r="L3533" s="0" t="n">
        <f aca="false">L3532+K3533</f>
        <v>19</v>
      </c>
    </row>
    <row r="3534" customFormat="false" ht="15" hidden="true" customHeight="true" outlineLevel="0" collapsed="false">
      <c r="K3534" s="0" t="n">
        <f aca="false">IF(A3534="",0,IF(IFERROR(VLOOKUP(A3534,Skills!$A:$M,13,FALSE()),"")="COS",0,IF(OR(I3534="En cours",I3534="À venir",I3534="À planifier"),IF(AND(OR($C$3="Tous",$C$3="",C3534=$C$3),OR($E$3="Tous",$E$3="",I3534=$E$3)),1,0),0)))</f>
        <v>0</v>
      </c>
      <c r="L3534" s="0" t="n">
        <f aca="false">L3533+K3534</f>
        <v>19</v>
      </c>
    </row>
    <row r="3535" customFormat="false" ht="15" hidden="true" customHeight="true" outlineLevel="0" collapsed="false">
      <c r="K3535" s="0" t="n">
        <f aca="false">IF(A3535="",0,IF(IFERROR(VLOOKUP(A3535,Skills!$A:$M,13,FALSE()),"")="COS",0,IF(OR(I3535="En cours",I3535="À venir",I3535="À planifier"),IF(AND(OR($C$3="Tous",$C$3="",C3535=$C$3),OR($E$3="Tous",$E$3="",I3535=$E$3)),1,0),0)))</f>
        <v>0</v>
      </c>
      <c r="L3535" s="0" t="n">
        <f aca="false">L3534+K3535</f>
        <v>19</v>
      </c>
    </row>
    <row r="3536" customFormat="false" ht="15" hidden="true" customHeight="true" outlineLevel="0" collapsed="false">
      <c r="K3536" s="0" t="n">
        <f aca="false">IF(A3536="",0,IF(IFERROR(VLOOKUP(A3536,Skills!$A:$M,13,FALSE()),"")="COS",0,IF(OR(I3536="En cours",I3536="À venir",I3536="À planifier"),IF(AND(OR($C$3="Tous",$C$3="",C3536=$C$3),OR($E$3="Tous",$E$3="",I3536=$E$3)),1,0),0)))</f>
        <v>0</v>
      </c>
      <c r="L3536" s="0" t="n">
        <f aca="false">L3535+K3536</f>
        <v>19</v>
      </c>
    </row>
    <row r="3537" customFormat="false" ht="15" hidden="true" customHeight="true" outlineLevel="0" collapsed="false">
      <c r="K3537" s="0" t="n">
        <f aca="false">IF(A3537="",0,IF(IFERROR(VLOOKUP(A3537,Skills!$A:$M,13,FALSE()),"")="COS",0,IF(OR(I3537="En cours",I3537="À venir",I3537="À planifier"),IF(AND(OR($C$3="Tous",$C$3="",C3537=$C$3),OR($E$3="Tous",$E$3="",I3537=$E$3)),1,0),0)))</f>
        <v>0</v>
      </c>
      <c r="L3537" s="0" t="n">
        <f aca="false">L3536+K3537</f>
        <v>19</v>
      </c>
    </row>
    <row r="3538" customFormat="false" ht="15" hidden="true" customHeight="true" outlineLevel="0" collapsed="false">
      <c r="K3538" s="0" t="n">
        <f aca="false">IF(A3538="",0,IF(IFERROR(VLOOKUP(A3538,Skills!$A:$M,13,FALSE()),"")="COS",0,IF(OR(I3538="En cours",I3538="À venir",I3538="À planifier"),IF(AND(OR($C$3="Tous",$C$3="",C3538=$C$3),OR($E$3="Tous",$E$3="",I3538=$E$3)),1,0),0)))</f>
        <v>0</v>
      </c>
      <c r="L3538" s="0" t="n">
        <f aca="false">L3537+K3538</f>
        <v>19</v>
      </c>
    </row>
    <row r="3539" customFormat="false" ht="15" hidden="true" customHeight="true" outlineLevel="0" collapsed="false">
      <c r="K3539" s="0" t="n">
        <f aca="false">IF(A3539="",0,IF(IFERROR(VLOOKUP(A3539,Skills!$A:$M,13,FALSE()),"")="COS",0,IF(OR(I3539="En cours",I3539="À venir",I3539="À planifier"),IF(AND(OR($C$3="Tous",$C$3="",C3539=$C$3),OR($E$3="Tous",$E$3="",I3539=$E$3)),1,0),0)))</f>
        <v>0</v>
      </c>
      <c r="L3539" s="0" t="n">
        <f aca="false">L3538+K3539</f>
        <v>19</v>
      </c>
    </row>
    <row r="3540" customFormat="false" ht="15" hidden="true" customHeight="true" outlineLevel="0" collapsed="false">
      <c r="K3540" s="0" t="n">
        <f aca="false">IF(A3540="",0,IF(IFERROR(VLOOKUP(A3540,Skills!$A:$M,13,FALSE()),"")="COS",0,IF(OR(I3540="En cours",I3540="À venir",I3540="À planifier"),IF(AND(OR($C$3="Tous",$C$3="",C3540=$C$3),OR($E$3="Tous",$E$3="",I3540=$E$3)),1,0),0)))</f>
        <v>0</v>
      </c>
      <c r="L3540" s="0" t="n">
        <f aca="false">L3539+K3540</f>
        <v>19</v>
      </c>
    </row>
    <row r="3541" customFormat="false" ht="15" hidden="true" customHeight="true" outlineLevel="0" collapsed="false">
      <c r="K3541" s="0" t="n">
        <f aca="false">IF(A3541="",0,IF(IFERROR(VLOOKUP(A3541,Skills!$A:$M,13,FALSE()),"")="COS",0,IF(OR(I3541="En cours",I3541="À venir",I3541="À planifier"),IF(AND(OR($C$3="Tous",$C$3="",C3541=$C$3),OR($E$3="Tous",$E$3="",I3541=$E$3)),1,0),0)))</f>
        <v>0</v>
      </c>
      <c r="L3541" s="0" t="n">
        <f aca="false">L3540+K3541</f>
        <v>19</v>
      </c>
    </row>
    <row r="3542" customFormat="false" ht="15" hidden="true" customHeight="true" outlineLevel="0" collapsed="false">
      <c r="K3542" s="0" t="n">
        <f aca="false">IF(A3542="",0,IF(IFERROR(VLOOKUP(A3542,Skills!$A:$M,13,FALSE()),"")="COS",0,IF(OR(I3542="En cours",I3542="À venir",I3542="À planifier"),IF(AND(OR($C$3="Tous",$C$3="",C3542=$C$3),OR($E$3="Tous",$E$3="",I3542=$E$3)),1,0),0)))</f>
        <v>0</v>
      </c>
      <c r="L3542" s="0" t="n">
        <f aca="false">L3541+K3542</f>
        <v>19</v>
      </c>
    </row>
    <row r="3543" customFormat="false" ht="15" hidden="true" customHeight="true" outlineLevel="0" collapsed="false">
      <c r="K3543" s="0" t="n">
        <f aca="false">IF(A3543="",0,IF(IFERROR(VLOOKUP(A3543,Skills!$A:$M,13,FALSE()),"")="COS",0,IF(OR(I3543="En cours",I3543="À venir",I3543="À planifier"),IF(AND(OR($C$3="Tous",$C$3="",C3543=$C$3),OR($E$3="Tous",$E$3="",I3543=$E$3)),1,0),0)))</f>
        <v>0</v>
      </c>
      <c r="L3543" s="0" t="n">
        <f aca="false">L3542+K3543</f>
        <v>19</v>
      </c>
    </row>
    <row r="3544" customFormat="false" ht="15" hidden="true" customHeight="true" outlineLevel="0" collapsed="false">
      <c r="K3544" s="0" t="n">
        <f aca="false">IF(A3544="",0,IF(IFERROR(VLOOKUP(A3544,Skills!$A:$M,13,FALSE()),"")="COS",0,IF(OR(I3544="En cours",I3544="À venir",I3544="À planifier"),IF(AND(OR($C$3="Tous",$C$3="",C3544=$C$3),OR($E$3="Tous",$E$3="",I3544=$E$3)),1,0),0)))</f>
        <v>0</v>
      </c>
      <c r="L3544" s="0" t="n">
        <f aca="false">L3543+K3544</f>
        <v>19</v>
      </c>
    </row>
    <row r="3545" customFormat="false" ht="15" hidden="true" customHeight="true" outlineLevel="0" collapsed="false">
      <c r="K3545" s="0" t="n">
        <f aca="false">IF(A3545="",0,IF(IFERROR(VLOOKUP(A3545,Skills!$A:$M,13,FALSE()),"")="COS",0,IF(OR(I3545="En cours",I3545="À venir",I3545="À planifier"),IF(AND(OR($C$3="Tous",$C$3="",C3545=$C$3),OR($E$3="Tous",$E$3="",I3545=$E$3)),1,0),0)))</f>
        <v>0</v>
      </c>
      <c r="L3545" s="0" t="n">
        <f aca="false">L3544+K3545</f>
        <v>19</v>
      </c>
    </row>
    <row r="3546" customFormat="false" ht="15" hidden="true" customHeight="true" outlineLevel="0" collapsed="false">
      <c r="K3546" s="0" t="n">
        <f aca="false">IF(A3546="",0,IF(IFERROR(VLOOKUP(A3546,Skills!$A:$M,13,FALSE()),"")="COS",0,IF(OR(I3546="En cours",I3546="À venir",I3546="À planifier"),IF(AND(OR($C$3="Tous",$C$3="",C3546=$C$3),OR($E$3="Tous",$E$3="",I3546=$E$3)),1,0),0)))</f>
        <v>0</v>
      </c>
      <c r="L3546" s="0" t="n">
        <f aca="false">L3545+K3546</f>
        <v>19</v>
      </c>
    </row>
    <row r="3547" customFormat="false" ht="15" hidden="true" customHeight="true" outlineLevel="0" collapsed="false">
      <c r="K3547" s="0" t="n">
        <f aca="false">IF(A3547="",0,IF(IFERROR(VLOOKUP(A3547,Skills!$A:$M,13,FALSE()),"")="COS",0,IF(OR(I3547="En cours",I3547="À venir",I3547="À planifier"),IF(AND(OR($C$3="Tous",$C$3="",C3547=$C$3),OR($E$3="Tous",$E$3="",I3547=$E$3)),1,0),0)))</f>
        <v>0</v>
      </c>
      <c r="L3547" s="0" t="n">
        <f aca="false">L3546+K3547</f>
        <v>19</v>
      </c>
    </row>
    <row r="3548" customFormat="false" ht="15" hidden="true" customHeight="true" outlineLevel="0" collapsed="false">
      <c r="K3548" s="0" t="n">
        <f aca="false">IF(A3548="",0,IF(IFERROR(VLOOKUP(A3548,Skills!$A:$M,13,FALSE()),"")="COS",0,IF(OR(I3548="En cours",I3548="À venir",I3548="À planifier"),IF(AND(OR($C$3="Tous",$C$3="",C3548=$C$3),OR($E$3="Tous",$E$3="",I3548=$E$3)),1,0),0)))</f>
        <v>0</v>
      </c>
      <c r="L3548" s="0" t="n">
        <f aca="false">L3547+K3548</f>
        <v>19</v>
      </c>
    </row>
    <row r="3549" customFormat="false" ht="15" hidden="true" customHeight="true" outlineLevel="0" collapsed="false">
      <c r="K3549" s="0" t="n">
        <f aca="false">IF(A3549="",0,IF(IFERROR(VLOOKUP(A3549,Skills!$A:$M,13,FALSE()),"")="COS",0,IF(OR(I3549="En cours",I3549="À venir",I3549="À planifier"),IF(AND(OR($C$3="Tous",$C$3="",C3549=$C$3),OR($E$3="Tous",$E$3="",I3549=$E$3)),1,0),0)))</f>
        <v>0</v>
      </c>
      <c r="L3549" s="0" t="n">
        <f aca="false">L3548+K3549</f>
        <v>19</v>
      </c>
    </row>
    <row r="3550" customFormat="false" ht="15" hidden="true" customHeight="true" outlineLevel="0" collapsed="false">
      <c r="K3550" s="0" t="n">
        <f aca="false">IF(A3550="",0,IF(IFERROR(VLOOKUP(A3550,Skills!$A:$M,13,FALSE()),"")="COS",0,IF(OR(I3550="En cours",I3550="À venir",I3550="À planifier"),IF(AND(OR($C$3="Tous",$C$3="",C3550=$C$3),OR($E$3="Tous",$E$3="",I3550=$E$3)),1,0),0)))</f>
        <v>0</v>
      </c>
      <c r="L3550" s="0" t="n">
        <f aca="false">L3549+K3550</f>
        <v>19</v>
      </c>
    </row>
    <row r="3551" customFormat="false" ht="15" hidden="true" customHeight="true" outlineLevel="0" collapsed="false">
      <c r="K3551" s="0" t="n">
        <f aca="false">IF(A3551="",0,IF(IFERROR(VLOOKUP(A3551,Skills!$A:$M,13,FALSE()),"")="COS",0,IF(OR(I3551="En cours",I3551="À venir",I3551="À planifier"),IF(AND(OR($C$3="Tous",$C$3="",C3551=$C$3),OR($E$3="Tous",$E$3="",I3551=$E$3)),1,0),0)))</f>
        <v>0</v>
      </c>
      <c r="L3551" s="0" t="n">
        <f aca="false">L3550+K3551</f>
        <v>19</v>
      </c>
    </row>
    <row r="3552" customFormat="false" ht="15" hidden="true" customHeight="true" outlineLevel="0" collapsed="false">
      <c r="K3552" s="0" t="n">
        <f aca="false">IF(A3552="",0,IF(IFERROR(VLOOKUP(A3552,Skills!$A:$M,13,FALSE()),"")="COS",0,IF(OR(I3552="En cours",I3552="À venir",I3552="À planifier"),IF(AND(OR($C$3="Tous",$C$3="",C3552=$C$3),OR($E$3="Tous",$E$3="",I3552=$E$3)),1,0),0)))</f>
        <v>0</v>
      </c>
      <c r="L3552" s="0" t="n">
        <f aca="false">L3551+K3552</f>
        <v>19</v>
      </c>
    </row>
    <row r="3553" customFormat="false" ht="15" hidden="true" customHeight="true" outlineLevel="0" collapsed="false">
      <c r="K3553" s="0" t="n">
        <f aca="false">IF(A3553="",0,IF(IFERROR(VLOOKUP(A3553,Skills!$A:$M,13,FALSE()),"")="COS",0,IF(OR(I3553="En cours",I3553="À venir",I3553="À planifier"),IF(AND(OR($C$3="Tous",$C$3="",C3553=$C$3),OR($E$3="Tous",$E$3="",I3553=$E$3)),1,0),0)))</f>
        <v>0</v>
      </c>
      <c r="L3553" s="0" t="n">
        <f aca="false">L3552+K3553</f>
        <v>19</v>
      </c>
    </row>
    <row r="3554" customFormat="false" ht="15" hidden="true" customHeight="true" outlineLevel="0" collapsed="false">
      <c r="K3554" s="0" t="n">
        <f aca="false">IF(A3554="",0,IF(IFERROR(VLOOKUP(A3554,Skills!$A:$M,13,FALSE()),"")="COS",0,IF(OR(I3554="En cours",I3554="À venir",I3554="À planifier"),IF(AND(OR($C$3="Tous",$C$3="",C3554=$C$3),OR($E$3="Tous",$E$3="",I3554=$E$3)),1,0),0)))</f>
        <v>0</v>
      </c>
      <c r="L3554" s="0" t="n">
        <f aca="false">L3553+K3554</f>
        <v>19</v>
      </c>
    </row>
    <row r="3555" customFormat="false" ht="15" hidden="true" customHeight="true" outlineLevel="0" collapsed="false">
      <c r="K3555" s="0" t="n">
        <f aca="false">IF(A3555="",0,IF(IFERROR(VLOOKUP(A3555,Skills!$A:$M,13,FALSE()),"")="COS",0,IF(OR(I3555="En cours",I3555="À venir",I3555="À planifier"),IF(AND(OR($C$3="Tous",$C$3="",C3555=$C$3),OR($E$3="Tous",$E$3="",I3555=$E$3)),1,0),0)))</f>
        <v>0</v>
      </c>
      <c r="L3555" s="0" t="n">
        <f aca="false">L3554+K3555</f>
        <v>19</v>
      </c>
    </row>
    <row r="3556" customFormat="false" ht="15" hidden="true" customHeight="true" outlineLevel="0" collapsed="false">
      <c r="K3556" s="0" t="n">
        <f aca="false">IF(A3556="",0,IF(IFERROR(VLOOKUP(A3556,Skills!$A:$M,13,FALSE()),"")="COS",0,IF(OR(I3556="En cours",I3556="À venir",I3556="À planifier"),IF(AND(OR($C$3="Tous",$C$3="",C3556=$C$3),OR($E$3="Tous",$E$3="",I3556=$E$3)),1,0),0)))</f>
        <v>0</v>
      </c>
      <c r="L3556" s="0" t="n">
        <f aca="false">L3555+K3556</f>
        <v>19</v>
      </c>
    </row>
    <row r="3557" customFormat="false" ht="15" hidden="true" customHeight="true" outlineLevel="0" collapsed="false">
      <c r="K3557" s="0" t="n">
        <f aca="false">IF(A3557="",0,IF(IFERROR(VLOOKUP(A3557,Skills!$A:$M,13,FALSE()),"")="COS",0,IF(OR(I3557="En cours",I3557="À venir",I3557="À planifier"),IF(AND(OR($C$3="Tous",$C$3="",C3557=$C$3),OR($E$3="Tous",$E$3="",I3557=$E$3)),1,0),0)))</f>
        <v>0</v>
      </c>
      <c r="L3557" s="0" t="n">
        <f aca="false">L3556+K3557</f>
        <v>19</v>
      </c>
    </row>
    <row r="3558" customFormat="false" ht="15" hidden="true" customHeight="true" outlineLevel="0" collapsed="false">
      <c r="K3558" s="0" t="n">
        <f aca="false">IF(A3558="",0,IF(IFERROR(VLOOKUP(A3558,Skills!$A:$M,13,FALSE()),"")="COS",0,IF(OR(I3558="En cours",I3558="À venir",I3558="À planifier"),IF(AND(OR($C$3="Tous",$C$3="",C3558=$C$3),OR($E$3="Tous",$E$3="",I3558=$E$3)),1,0),0)))</f>
        <v>0</v>
      </c>
      <c r="L3558" s="0" t="n">
        <f aca="false">L3557+K3558</f>
        <v>19</v>
      </c>
    </row>
    <row r="3559" customFormat="false" ht="15" hidden="true" customHeight="true" outlineLevel="0" collapsed="false">
      <c r="K3559" s="0" t="n">
        <f aca="false">IF(A3559="",0,IF(IFERROR(VLOOKUP(A3559,Skills!$A:$M,13,FALSE()),"")="COS",0,IF(OR(I3559="En cours",I3559="À venir",I3559="À planifier"),IF(AND(OR($C$3="Tous",$C$3="",C3559=$C$3),OR($E$3="Tous",$E$3="",I3559=$E$3)),1,0),0)))</f>
        <v>0</v>
      </c>
      <c r="L3559" s="0" t="n">
        <f aca="false">L3558+K3559</f>
        <v>19</v>
      </c>
    </row>
    <row r="3560" customFormat="false" ht="15" hidden="true" customHeight="true" outlineLevel="0" collapsed="false">
      <c r="K3560" s="0" t="n">
        <f aca="false">IF(A3560="",0,IF(IFERROR(VLOOKUP(A3560,Skills!$A:$M,13,FALSE()),"")="COS",0,IF(OR(I3560="En cours",I3560="À venir",I3560="À planifier"),IF(AND(OR($C$3="Tous",$C$3="",C3560=$C$3),OR($E$3="Tous",$E$3="",I3560=$E$3)),1,0),0)))</f>
        <v>0</v>
      </c>
      <c r="L3560" s="0" t="n">
        <f aca="false">L3559+K3560</f>
        <v>19</v>
      </c>
    </row>
    <row r="3561" customFormat="false" ht="15" hidden="true" customHeight="true" outlineLevel="0" collapsed="false">
      <c r="K3561" s="0" t="n">
        <f aca="false">IF(A3561="",0,IF(IFERROR(VLOOKUP(A3561,Skills!$A:$M,13,FALSE()),"")="COS",0,IF(OR(I3561="En cours",I3561="À venir",I3561="À planifier"),IF(AND(OR($C$3="Tous",$C$3="",C3561=$C$3),OR($E$3="Tous",$E$3="",I3561=$E$3)),1,0),0)))</f>
        <v>0</v>
      </c>
      <c r="L3561" s="0" t="n">
        <f aca="false">L3560+K3561</f>
        <v>19</v>
      </c>
    </row>
    <row r="3562" customFormat="false" ht="15" hidden="true" customHeight="true" outlineLevel="0" collapsed="false">
      <c r="K3562" s="0" t="n">
        <f aca="false">IF(A3562="",0,IF(IFERROR(VLOOKUP(A3562,Skills!$A:$M,13,FALSE()),"")="COS",0,IF(OR(I3562="En cours",I3562="À venir",I3562="À planifier"),IF(AND(OR($C$3="Tous",$C$3="",C3562=$C$3),OR($E$3="Tous",$E$3="",I3562=$E$3)),1,0),0)))</f>
        <v>0</v>
      </c>
      <c r="L3562" s="0" t="n">
        <f aca="false">L3561+K3562</f>
        <v>19</v>
      </c>
    </row>
    <row r="3563" customFormat="false" ht="15" hidden="true" customHeight="true" outlineLevel="0" collapsed="false">
      <c r="K3563" s="0" t="n">
        <f aca="false">IF(A3563="",0,IF(IFERROR(VLOOKUP(A3563,Skills!$A:$M,13,FALSE()),"")="COS",0,IF(OR(I3563="En cours",I3563="À venir",I3563="À planifier"),IF(AND(OR($C$3="Tous",$C$3="",C3563=$C$3),OR($E$3="Tous",$E$3="",I3563=$E$3)),1,0),0)))</f>
        <v>0</v>
      </c>
      <c r="L3563" s="0" t="n">
        <f aca="false">L3562+K3563</f>
        <v>19</v>
      </c>
    </row>
    <row r="3564" customFormat="false" ht="15" hidden="true" customHeight="true" outlineLevel="0" collapsed="false">
      <c r="K3564" s="0" t="n">
        <f aca="false">IF(A3564="",0,IF(IFERROR(VLOOKUP(A3564,Skills!$A:$M,13,FALSE()),"")="COS",0,IF(OR(I3564="En cours",I3564="À venir",I3564="À planifier"),IF(AND(OR($C$3="Tous",$C$3="",C3564=$C$3),OR($E$3="Tous",$E$3="",I3564=$E$3)),1,0),0)))</f>
        <v>0</v>
      </c>
      <c r="L3564" s="0" t="n">
        <f aca="false">L3563+K3564</f>
        <v>19</v>
      </c>
    </row>
    <row r="3565" customFormat="false" ht="15" hidden="true" customHeight="true" outlineLevel="0" collapsed="false">
      <c r="K3565" s="0" t="n">
        <f aca="false">IF(A3565="",0,IF(IFERROR(VLOOKUP(A3565,Skills!$A:$M,13,FALSE()),"")="COS",0,IF(OR(I3565="En cours",I3565="À venir",I3565="À planifier"),IF(AND(OR($C$3="Tous",$C$3="",C3565=$C$3),OR($E$3="Tous",$E$3="",I3565=$E$3)),1,0),0)))</f>
        <v>0</v>
      </c>
      <c r="L3565" s="0" t="n">
        <f aca="false">L3564+K3565</f>
        <v>19</v>
      </c>
    </row>
    <row r="3566" customFormat="false" ht="15" hidden="true" customHeight="true" outlineLevel="0" collapsed="false">
      <c r="K3566" s="0" t="n">
        <f aca="false">IF(A3566="",0,IF(IFERROR(VLOOKUP(A3566,Skills!$A:$M,13,FALSE()),"")="COS",0,IF(OR(I3566="En cours",I3566="À venir",I3566="À planifier"),IF(AND(OR($C$3="Tous",$C$3="",C3566=$C$3),OR($E$3="Tous",$E$3="",I3566=$E$3)),1,0),0)))</f>
        <v>0</v>
      </c>
      <c r="L3566" s="0" t="n">
        <f aca="false">L3565+K3566</f>
        <v>19</v>
      </c>
    </row>
    <row r="3567" customFormat="false" ht="15" hidden="true" customHeight="true" outlineLevel="0" collapsed="false">
      <c r="K3567" s="0" t="n">
        <f aca="false">IF(A3567="",0,IF(IFERROR(VLOOKUP(A3567,Skills!$A:$M,13,FALSE()),"")="COS",0,IF(OR(I3567="En cours",I3567="À venir",I3567="À planifier"),IF(AND(OR($C$3="Tous",$C$3="",C3567=$C$3),OR($E$3="Tous",$E$3="",I3567=$E$3)),1,0),0)))</f>
        <v>0</v>
      </c>
      <c r="L3567" s="0" t="n">
        <f aca="false">L3566+K3567</f>
        <v>19</v>
      </c>
    </row>
    <row r="3568" customFormat="false" ht="15" hidden="true" customHeight="true" outlineLevel="0" collapsed="false">
      <c r="K3568" s="0" t="n">
        <f aca="false">IF(A3568="",0,IF(IFERROR(VLOOKUP(A3568,Skills!$A:$M,13,FALSE()),"")="COS",0,IF(OR(I3568="En cours",I3568="À venir",I3568="À planifier"),IF(AND(OR($C$3="Tous",$C$3="",C3568=$C$3),OR($E$3="Tous",$E$3="",I3568=$E$3)),1,0),0)))</f>
        <v>0</v>
      </c>
      <c r="L3568" s="0" t="n">
        <f aca="false">L3567+K3568</f>
        <v>19</v>
      </c>
    </row>
    <row r="3569" customFormat="false" ht="15" hidden="true" customHeight="true" outlineLevel="0" collapsed="false">
      <c r="K3569" s="0" t="n">
        <f aca="false">IF(A3569="",0,IF(IFERROR(VLOOKUP(A3569,Skills!$A:$M,13,FALSE()),"")="COS",0,IF(OR(I3569="En cours",I3569="À venir",I3569="À planifier"),IF(AND(OR($C$3="Tous",$C$3="",C3569=$C$3),OR($E$3="Tous",$E$3="",I3569=$E$3)),1,0),0)))</f>
        <v>0</v>
      </c>
      <c r="L3569" s="0" t="n">
        <f aca="false">L3568+K3569</f>
        <v>19</v>
      </c>
    </row>
    <row r="3570" customFormat="false" ht="15" hidden="true" customHeight="true" outlineLevel="0" collapsed="false">
      <c r="K3570" s="0" t="n">
        <f aca="false">IF(A3570="",0,IF(IFERROR(VLOOKUP(A3570,Skills!$A:$M,13,FALSE()),"")="COS",0,IF(OR(I3570="En cours",I3570="À venir",I3570="À planifier"),IF(AND(OR($C$3="Tous",$C$3="",C3570=$C$3),OR($E$3="Tous",$E$3="",I3570=$E$3)),1,0),0)))</f>
        <v>0</v>
      </c>
      <c r="L3570" s="0" t="n">
        <f aca="false">L3569+K3570</f>
        <v>19</v>
      </c>
    </row>
    <row r="3571" customFormat="false" ht="15" hidden="true" customHeight="true" outlineLevel="0" collapsed="false">
      <c r="K3571" s="0" t="n">
        <f aca="false">IF(A3571="",0,IF(IFERROR(VLOOKUP(A3571,Skills!$A:$M,13,FALSE()),"")="COS",0,IF(OR(I3571="En cours",I3571="À venir",I3571="À planifier"),IF(AND(OR($C$3="Tous",$C$3="",C3571=$C$3),OR($E$3="Tous",$E$3="",I3571=$E$3)),1,0),0)))</f>
        <v>0</v>
      </c>
      <c r="L3571" s="0" t="n">
        <f aca="false">L3570+K3571</f>
        <v>19</v>
      </c>
    </row>
    <row r="3572" customFormat="false" ht="15" hidden="true" customHeight="true" outlineLevel="0" collapsed="false">
      <c r="K3572" s="0" t="n">
        <f aca="false">IF(A3572="",0,IF(IFERROR(VLOOKUP(A3572,Skills!$A:$M,13,FALSE()),"")="COS",0,IF(OR(I3572="En cours",I3572="À venir",I3572="À planifier"),IF(AND(OR($C$3="Tous",$C$3="",C3572=$C$3),OR($E$3="Tous",$E$3="",I3572=$E$3)),1,0),0)))</f>
        <v>0</v>
      </c>
      <c r="L3572" s="0" t="n">
        <f aca="false">L3571+K3572</f>
        <v>19</v>
      </c>
    </row>
    <row r="3573" customFormat="false" ht="15" hidden="true" customHeight="true" outlineLevel="0" collapsed="false">
      <c r="K3573" s="0" t="n">
        <f aca="false">IF(A3573="",0,IF(IFERROR(VLOOKUP(A3573,Skills!$A:$M,13,FALSE()),"")="COS",0,IF(OR(I3573="En cours",I3573="À venir",I3573="À planifier"),IF(AND(OR($C$3="Tous",$C$3="",C3573=$C$3),OR($E$3="Tous",$E$3="",I3573=$E$3)),1,0),0)))</f>
        <v>0</v>
      </c>
      <c r="L3573" s="0" t="n">
        <f aca="false">L3572+K3573</f>
        <v>19</v>
      </c>
    </row>
    <row r="3574" customFormat="false" ht="15" hidden="true" customHeight="true" outlineLevel="0" collapsed="false">
      <c r="K3574" s="0" t="n">
        <f aca="false">IF(A3574="",0,IF(IFERROR(VLOOKUP(A3574,Skills!$A:$M,13,FALSE()),"")="COS",0,IF(OR(I3574="En cours",I3574="À venir",I3574="À planifier"),IF(AND(OR($C$3="Tous",$C$3="",C3574=$C$3),OR($E$3="Tous",$E$3="",I3574=$E$3)),1,0),0)))</f>
        <v>0</v>
      </c>
      <c r="L3574" s="0" t="n">
        <f aca="false">L3573+K3574</f>
        <v>19</v>
      </c>
    </row>
    <row r="3575" customFormat="false" ht="15" hidden="true" customHeight="true" outlineLevel="0" collapsed="false">
      <c r="K3575" s="0" t="n">
        <f aca="false">IF(A3575="",0,IF(IFERROR(VLOOKUP(A3575,Skills!$A:$M,13,FALSE()),"")="COS",0,IF(OR(I3575="En cours",I3575="À venir",I3575="À planifier"),IF(AND(OR($C$3="Tous",$C$3="",C3575=$C$3),OR($E$3="Tous",$E$3="",I3575=$E$3)),1,0),0)))</f>
        <v>0</v>
      </c>
      <c r="L3575" s="0" t="n">
        <f aca="false">L3574+K3575</f>
        <v>19</v>
      </c>
    </row>
    <row r="3576" customFormat="false" ht="15" hidden="true" customHeight="true" outlineLevel="0" collapsed="false">
      <c r="K3576" s="0" t="n">
        <f aca="false">IF(A3576="",0,IF(IFERROR(VLOOKUP(A3576,Skills!$A:$M,13,FALSE()),"")="COS",0,IF(OR(I3576="En cours",I3576="À venir",I3576="À planifier"),IF(AND(OR($C$3="Tous",$C$3="",C3576=$C$3),OR($E$3="Tous",$E$3="",I3576=$E$3)),1,0),0)))</f>
        <v>0</v>
      </c>
      <c r="L3576" s="0" t="n">
        <f aca="false">L3575+K3576</f>
        <v>19</v>
      </c>
    </row>
    <row r="3577" customFormat="false" ht="15" hidden="true" customHeight="true" outlineLevel="0" collapsed="false">
      <c r="K3577" s="0" t="n">
        <f aca="false">IF(A3577="",0,IF(IFERROR(VLOOKUP(A3577,Skills!$A:$M,13,FALSE()),"")="COS",0,IF(OR(I3577="En cours",I3577="À venir",I3577="À planifier"),IF(AND(OR($C$3="Tous",$C$3="",C3577=$C$3),OR($E$3="Tous",$E$3="",I3577=$E$3)),1,0),0)))</f>
        <v>0</v>
      </c>
      <c r="L3577" s="0" t="n">
        <f aca="false">L3576+K3577</f>
        <v>19</v>
      </c>
    </row>
    <row r="3578" customFormat="false" ht="15" hidden="true" customHeight="true" outlineLevel="0" collapsed="false">
      <c r="K3578" s="0" t="n">
        <f aca="false">IF(A3578="",0,IF(IFERROR(VLOOKUP(A3578,Skills!$A:$M,13,FALSE()),"")="COS",0,IF(OR(I3578="En cours",I3578="À venir",I3578="À planifier"),IF(AND(OR($C$3="Tous",$C$3="",C3578=$C$3),OR($E$3="Tous",$E$3="",I3578=$E$3)),1,0),0)))</f>
        <v>0</v>
      </c>
      <c r="L3578" s="0" t="n">
        <f aca="false">L3577+K3578</f>
        <v>19</v>
      </c>
    </row>
    <row r="3579" customFormat="false" ht="15" hidden="true" customHeight="true" outlineLevel="0" collapsed="false">
      <c r="K3579" s="0" t="n">
        <f aca="false">IF(A3579="",0,IF(IFERROR(VLOOKUP(A3579,Skills!$A:$M,13,FALSE()),"")="COS",0,IF(OR(I3579="En cours",I3579="À venir",I3579="À planifier"),IF(AND(OR($C$3="Tous",$C$3="",C3579=$C$3),OR($E$3="Tous",$E$3="",I3579=$E$3)),1,0),0)))</f>
        <v>0</v>
      </c>
      <c r="L3579" s="0" t="n">
        <f aca="false">L3578+K3579</f>
        <v>19</v>
      </c>
    </row>
    <row r="3580" customFormat="false" ht="15" hidden="true" customHeight="true" outlineLevel="0" collapsed="false">
      <c r="K3580" s="0" t="n">
        <f aca="false">IF(A3580="",0,IF(IFERROR(VLOOKUP(A3580,Skills!$A:$M,13,FALSE()),"")="COS",0,IF(OR(I3580="En cours",I3580="À venir",I3580="À planifier"),IF(AND(OR($C$3="Tous",$C$3="",C3580=$C$3),OR($E$3="Tous",$E$3="",I3580=$E$3)),1,0),0)))</f>
        <v>0</v>
      </c>
      <c r="L3580" s="0" t="n">
        <f aca="false">L3579+K3580</f>
        <v>19</v>
      </c>
    </row>
    <row r="3581" customFormat="false" ht="15" hidden="true" customHeight="true" outlineLevel="0" collapsed="false">
      <c r="K3581" s="0" t="n">
        <f aca="false">IF(A3581="",0,IF(IFERROR(VLOOKUP(A3581,Skills!$A:$M,13,FALSE()),"")="COS",0,IF(OR(I3581="En cours",I3581="À venir",I3581="À planifier"),IF(AND(OR($C$3="Tous",$C$3="",C3581=$C$3),OR($E$3="Tous",$E$3="",I3581=$E$3)),1,0),0)))</f>
        <v>0</v>
      </c>
      <c r="L3581" s="0" t="n">
        <f aca="false">L3580+K3581</f>
        <v>19</v>
      </c>
    </row>
    <row r="3582" customFormat="false" ht="15" hidden="true" customHeight="true" outlineLevel="0" collapsed="false">
      <c r="K3582" s="0" t="n">
        <f aca="false">IF(A3582="",0,IF(IFERROR(VLOOKUP(A3582,Skills!$A:$M,13,FALSE()),"")="COS",0,IF(OR(I3582="En cours",I3582="À venir",I3582="À planifier"),IF(AND(OR($C$3="Tous",$C$3="",C3582=$C$3),OR($E$3="Tous",$E$3="",I3582=$E$3)),1,0),0)))</f>
        <v>0</v>
      </c>
      <c r="L3582" s="0" t="n">
        <f aca="false">L3581+K3582</f>
        <v>19</v>
      </c>
    </row>
    <row r="3583" customFormat="false" ht="15" hidden="true" customHeight="true" outlineLevel="0" collapsed="false">
      <c r="K3583" s="0" t="n">
        <f aca="false">IF(A3583="",0,IF(IFERROR(VLOOKUP(A3583,Skills!$A:$M,13,FALSE()),"")="COS",0,IF(OR(I3583="En cours",I3583="À venir",I3583="À planifier"),IF(AND(OR($C$3="Tous",$C$3="",C3583=$C$3),OR($E$3="Tous",$E$3="",I3583=$E$3)),1,0),0)))</f>
        <v>0</v>
      </c>
      <c r="L3583" s="0" t="n">
        <f aca="false">L3582+K3583</f>
        <v>19</v>
      </c>
    </row>
    <row r="3584" customFormat="false" ht="15" hidden="true" customHeight="true" outlineLevel="0" collapsed="false">
      <c r="K3584" s="0" t="n">
        <f aca="false">IF(A3584="",0,IF(IFERROR(VLOOKUP(A3584,Skills!$A:$M,13,FALSE()),"")="COS",0,IF(OR(I3584="En cours",I3584="À venir",I3584="À planifier"),IF(AND(OR($C$3="Tous",$C$3="",C3584=$C$3),OR($E$3="Tous",$E$3="",I3584=$E$3)),1,0),0)))</f>
        <v>0</v>
      </c>
      <c r="L3584" s="0" t="n">
        <f aca="false">L3583+K3584</f>
        <v>19</v>
      </c>
    </row>
    <row r="3585" customFormat="false" ht="15" hidden="true" customHeight="true" outlineLevel="0" collapsed="false">
      <c r="K3585" s="0" t="n">
        <f aca="false">IF(A3585="",0,IF(IFERROR(VLOOKUP(A3585,Skills!$A:$M,13,FALSE()),"")="COS",0,IF(OR(I3585="En cours",I3585="À venir",I3585="À planifier"),IF(AND(OR($C$3="Tous",$C$3="",C3585=$C$3),OR($E$3="Tous",$E$3="",I3585=$E$3)),1,0),0)))</f>
        <v>0</v>
      </c>
      <c r="L3585" s="0" t="n">
        <f aca="false">L3584+K3585</f>
        <v>19</v>
      </c>
    </row>
    <row r="3586" customFormat="false" ht="15" hidden="true" customHeight="true" outlineLevel="0" collapsed="false">
      <c r="K3586" s="0" t="n">
        <f aca="false">IF(A3586="",0,IF(IFERROR(VLOOKUP(A3586,Skills!$A:$M,13,FALSE()),"")="COS",0,IF(OR(I3586="En cours",I3586="À venir",I3586="À planifier"),IF(AND(OR($C$3="Tous",$C$3="",C3586=$C$3),OR($E$3="Tous",$E$3="",I3586=$E$3)),1,0),0)))</f>
        <v>0</v>
      </c>
      <c r="L3586" s="0" t="n">
        <f aca="false">L3585+K3586</f>
        <v>19</v>
      </c>
    </row>
    <row r="3587" customFormat="false" ht="15" hidden="true" customHeight="true" outlineLevel="0" collapsed="false">
      <c r="K3587" s="0" t="n">
        <f aca="false">IF(A3587="",0,IF(IFERROR(VLOOKUP(A3587,Skills!$A:$M,13,FALSE()),"")="COS",0,IF(OR(I3587="En cours",I3587="À venir",I3587="À planifier"),IF(AND(OR($C$3="Tous",$C$3="",C3587=$C$3),OR($E$3="Tous",$E$3="",I3587=$E$3)),1,0),0)))</f>
        <v>0</v>
      </c>
      <c r="L3587" s="0" t="n">
        <f aca="false">L3586+K3587</f>
        <v>19</v>
      </c>
    </row>
    <row r="3588" customFormat="false" ht="15" hidden="true" customHeight="true" outlineLevel="0" collapsed="false">
      <c r="K3588" s="0" t="n">
        <f aca="false">IF(A3588="",0,IF(IFERROR(VLOOKUP(A3588,Skills!$A:$M,13,FALSE()),"")="COS",0,IF(OR(I3588="En cours",I3588="À venir",I3588="À planifier"),IF(AND(OR($C$3="Tous",$C$3="",C3588=$C$3),OR($E$3="Tous",$E$3="",I3588=$E$3)),1,0),0)))</f>
        <v>0</v>
      </c>
      <c r="L3588" s="0" t="n">
        <f aca="false">L3587+K3588</f>
        <v>19</v>
      </c>
    </row>
    <row r="3589" customFormat="false" ht="15" hidden="true" customHeight="true" outlineLevel="0" collapsed="false">
      <c r="K3589" s="0" t="n">
        <f aca="false">IF(A3589="",0,IF(IFERROR(VLOOKUP(A3589,Skills!$A:$M,13,FALSE()),"")="COS",0,IF(OR(I3589="En cours",I3589="À venir",I3589="À planifier"),IF(AND(OR($C$3="Tous",$C$3="",C3589=$C$3),OR($E$3="Tous",$E$3="",I3589=$E$3)),1,0),0)))</f>
        <v>0</v>
      </c>
      <c r="L3589" s="0" t="n">
        <f aca="false">L3588+K3589</f>
        <v>19</v>
      </c>
    </row>
    <row r="3590" customFormat="false" ht="15" hidden="true" customHeight="true" outlineLevel="0" collapsed="false">
      <c r="K3590" s="0" t="n">
        <f aca="false">IF(A3590="",0,IF(IFERROR(VLOOKUP(A3590,Skills!$A:$M,13,FALSE()),"")="COS",0,IF(OR(I3590="En cours",I3590="À venir",I3590="À planifier"),IF(AND(OR($C$3="Tous",$C$3="",C3590=$C$3),OR($E$3="Tous",$E$3="",I3590=$E$3)),1,0),0)))</f>
        <v>0</v>
      </c>
      <c r="L3590" s="0" t="n">
        <f aca="false">L3589+K3590</f>
        <v>19</v>
      </c>
    </row>
    <row r="3591" customFormat="false" ht="15" hidden="true" customHeight="true" outlineLevel="0" collapsed="false">
      <c r="K3591" s="0" t="n">
        <f aca="false">IF(A3591="",0,IF(IFERROR(VLOOKUP(A3591,Skills!$A:$M,13,FALSE()),"")="COS",0,IF(OR(I3591="En cours",I3591="À venir",I3591="À planifier"),IF(AND(OR($C$3="Tous",$C$3="",C3591=$C$3),OR($E$3="Tous",$E$3="",I3591=$E$3)),1,0),0)))</f>
        <v>0</v>
      </c>
      <c r="L3591" s="0" t="n">
        <f aca="false">L3590+K3591</f>
        <v>19</v>
      </c>
    </row>
    <row r="3592" customFormat="false" ht="15" hidden="true" customHeight="true" outlineLevel="0" collapsed="false">
      <c r="K3592" s="0" t="n">
        <f aca="false">IF(A3592="",0,IF(IFERROR(VLOOKUP(A3592,Skills!$A:$M,13,FALSE()),"")="COS",0,IF(OR(I3592="En cours",I3592="À venir",I3592="À planifier"),IF(AND(OR($C$3="Tous",$C$3="",C3592=$C$3),OR($E$3="Tous",$E$3="",I3592=$E$3)),1,0),0)))</f>
        <v>0</v>
      </c>
      <c r="L3592" s="0" t="n">
        <f aca="false">L3591+K3592</f>
        <v>19</v>
      </c>
    </row>
    <row r="3593" customFormat="false" ht="15" hidden="true" customHeight="true" outlineLevel="0" collapsed="false">
      <c r="K3593" s="0" t="n">
        <f aca="false">IF(A3593="",0,IF(IFERROR(VLOOKUP(A3593,Skills!$A:$M,13,FALSE()),"")="COS",0,IF(OR(I3593="En cours",I3593="À venir",I3593="À planifier"),IF(AND(OR($C$3="Tous",$C$3="",C3593=$C$3),OR($E$3="Tous",$E$3="",I3593=$E$3)),1,0),0)))</f>
        <v>0</v>
      </c>
      <c r="L3593" s="0" t="n">
        <f aca="false">L3592+K3593</f>
        <v>19</v>
      </c>
    </row>
    <row r="3594" customFormat="false" ht="15" hidden="true" customHeight="true" outlineLevel="0" collapsed="false">
      <c r="K3594" s="0" t="n">
        <f aca="false">IF(A3594="",0,IF(IFERROR(VLOOKUP(A3594,Skills!$A:$M,13,FALSE()),"")="COS",0,IF(OR(I3594="En cours",I3594="À venir",I3594="À planifier"),IF(AND(OR($C$3="Tous",$C$3="",C3594=$C$3),OR($E$3="Tous",$E$3="",I3594=$E$3)),1,0),0)))</f>
        <v>0</v>
      </c>
      <c r="L3594" s="0" t="n">
        <f aca="false">L3593+K3594</f>
        <v>19</v>
      </c>
    </row>
    <row r="3595" customFormat="false" ht="15" hidden="true" customHeight="true" outlineLevel="0" collapsed="false">
      <c r="K3595" s="0" t="n">
        <f aca="false">IF(A3595="",0,IF(IFERROR(VLOOKUP(A3595,Skills!$A:$M,13,FALSE()),"")="COS",0,IF(OR(I3595="En cours",I3595="À venir",I3595="À planifier"),IF(AND(OR($C$3="Tous",$C$3="",C3595=$C$3),OR($E$3="Tous",$E$3="",I3595=$E$3)),1,0),0)))</f>
        <v>0</v>
      </c>
      <c r="L3595" s="0" t="n">
        <f aca="false">L3594+K3595</f>
        <v>19</v>
      </c>
    </row>
    <row r="3596" customFormat="false" ht="15" hidden="true" customHeight="true" outlineLevel="0" collapsed="false">
      <c r="K3596" s="0" t="n">
        <f aca="false">IF(A3596="",0,IF(IFERROR(VLOOKUP(A3596,Skills!$A:$M,13,FALSE()),"")="COS",0,IF(OR(I3596="En cours",I3596="À venir",I3596="À planifier"),IF(AND(OR($C$3="Tous",$C$3="",C3596=$C$3),OR($E$3="Tous",$E$3="",I3596=$E$3)),1,0),0)))</f>
        <v>0</v>
      </c>
      <c r="L3596" s="0" t="n">
        <f aca="false">L3595+K3596</f>
        <v>19</v>
      </c>
    </row>
    <row r="3597" customFormat="false" ht="15" hidden="true" customHeight="true" outlineLevel="0" collapsed="false">
      <c r="K3597" s="0" t="n">
        <f aca="false">IF(A3597="",0,IF(IFERROR(VLOOKUP(A3597,Skills!$A:$M,13,FALSE()),"")="COS",0,IF(OR(I3597="En cours",I3597="À venir",I3597="À planifier"),IF(AND(OR($C$3="Tous",$C$3="",C3597=$C$3),OR($E$3="Tous",$E$3="",I3597=$E$3)),1,0),0)))</f>
        <v>0</v>
      </c>
      <c r="L3597" s="0" t="n">
        <f aca="false">L3596+K3597</f>
        <v>19</v>
      </c>
    </row>
    <row r="3598" customFormat="false" ht="15" hidden="true" customHeight="true" outlineLevel="0" collapsed="false">
      <c r="K3598" s="0" t="n">
        <f aca="false">IF(A3598="",0,IF(IFERROR(VLOOKUP(A3598,Skills!$A:$M,13,FALSE()),"")="COS",0,IF(OR(I3598="En cours",I3598="À venir",I3598="À planifier"),IF(AND(OR($C$3="Tous",$C$3="",C3598=$C$3),OR($E$3="Tous",$E$3="",I3598=$E$3)),1,0),0)))</f>
        <v>0</v>
      </c>
      <c r="L3598" s="0" t="n">
        <f aca="false">L3597+K3598</f>
        <v>19</v>
      </c>
    </row>
    <row r="3599" customFormat="false" ht="15" hidden="true" customHeight="true" outlineLevel="0" collapsed="false">
      <c r="K3599" s="0" t="n">
        <f aca="false">IF(A3599="",0,IF(IFERROR(VLOOKUP(A3599,Skills!$A:$M,13,FALSE()),"")="COS",0,IF(OR(I3599="En cours",I3599="À venir",I3599="À planifier"),IF(AND(OR($C$3="Tous",$C$3="",C3599=$C$3),OR($E$3="Tous",$E$3="",I3599=$E$3)),1,0),0)))</f>
        <v>0</v>
      </c>
      <c r="L3599" s="0" t="n">
        <f aca="false">L3598+K3599</f>
        <v>19</v>
      </c>
    </row>
    <row r="3600" customFormat="false" ht="15" hidden="true" customHeight="true" outlineLevel="0" collapsed="false">
      <c r="K3600" s="0" t="n">
        <f aca="false">IF(A3600="",0,IF(IFERROR(VLOOKUP(A3600,Skills!$A:$M,13,FALSE()),"")="COS",0,IF(OR(I3600="En cours",I3600="À venir",I3600="À planifier"),IF(AND(OR($C$3="Tous",$C$3="",C3600=$C$3),OR($E$3="Tous",$E$3="",I3600=$E$3)),1,0),0)))</f>
        <v>0</v>
      </c>
      <c r="L3600" s="0" t="n">
        <f aca="false">L3599+K3600</f>
        <v>19</v>
      </c>
    </row>
    <row r="3601" customFormat="false" ht="15" hidden="true" customHeight="true" outlineLevel="0" collapsed="false">
      <c r="K3601" s="0" t="n">
        <f aca="false">IF(A3601="",0,IF(IFERROR(VLOOKUP(A3601,Skills!$A:$M,13,FALSE()),"")="COS",0,IF(OR(I3601="En cours",I3601="À venir",I3601="À planifier"),IF(AND(OR($C$3="Tous",$C$3="",C3601=$C$3),OR($E$3="Tous",$E$3="",I3601=$E$3)),1,0),0)))</f>
        <v>0</v>
      </c>
      <c r="L3601" s="0" t="n">
        <f aca="false">L3600+K3601</f>
        <v>19</v>
      </c>
    </row>
    <row r="3602" customFormat="false" ht="15" hidden="true" customHeight="true" outlineLevel="0" collapsed="false">
      <c r="K3602" s="0" t="n">
        <f aca="false">IF(A3602="",0,IF(IFERROR(VLOOKUP(A3602,Skills!$A:$M,13,FALSE()),"")="COS",0,IF(OR(I3602="En cours",I3602="À venir",I3602="À planifier"),IF(AND(OR($C$3="Tous",$C$3="",C3602=$C$3),OR($E$3="Tous",$E$3="",I3602=$E$3)),1,0),0)))</f>
        <v>0</v>
      </c>
      <c r="L3602" s="0" t="n">
        <f aca="false">L3601+K3602</f>
        <v>19</v>
      </c>
    </row>
    <row r="3603" customFormat="false" ht="15" hidden="true" customHeight="true" outlineLevel="0" collapsed="false">
      <c r="K3603" s="0" t="n">
        <f aca="false">IF(A3603="",0,IF(IFERROR(VLOOKUP(A3603,Skills!$A:$M,13,FALSE()),"")="COS",0,IF(OR(I3603="En cours",I3603="À venir",I3603="À planifier"),IF(AND(OR($C$3="Tous",$C$3="",C3603=$C$3),OR($E$3="Tous",$E$3="",I3603=$E$3)),1,0),0)))</f>
        <v>0</v>
      </c>
      <c r="L3603" s="0" t="n">
        <f aca="false">L3602+K3603</f>
        <v>19</v>
      </c>
    </row>
    <row r="3604" customFormat="false" ht="15" hidden="true" customHeight="true" outlineLevel="0" collapsed="false">
      <c r="K3604" s="0" t="n">
        <f aca="false">IF(A3604="",0,IF(IFERROR(VLOOKUP(A3604,Skills!$A:$M,13,FALSE()),"")="COS",0,IF(OR(I3604="En cours",I3604="À venir",I3604="À planifier"),IF(AND(OR($C$3="Tous",$C$3="",C3604=$C$3),OR($E$3="Tous",$E$3="",I3604=$E$3)),1,0),0)))</f>
        <v>0</v>
      </c>
      <c r="L3604" s="0" t="n">
        <f aca="false">L3603+K3604</f>
        <v>19</v>
      </c>
    </row>
    <row r="3605" customFormat="false" ht="15" hidden="true" customHeight="true" outlineLevel="0" collapsed="false">
      <c r="K3605" s="0" t="n">
        <f aca="false">IF(A3605="",0,IF(IFERROR(VLOOKUP(A3605,Skills!$A:$M,13,FALSE()),"")="COS",0,IF(OR(I3605="En cours",I3605="À venir",I3605="À planifier"),IF(AND(OR($C$3="Tous",$C$3="",C3605=$C$3),OR($E$3="Tous",$E$3="",I3605=$E$3)),1,0),0)))</f>
        <v>0</v>
      </c>
      <c r="L3605" s="0" t="n">
        <f aca="false">L3604+K3605</f>
        <v>19</v>
      </c>
    </row>
    <row r="3606" customFormat="false" ht="15" hidden="true" customHeight="true" outlineLevel="0" collapsed="false">
      <c r="K3606" s="0" t="n">
        <f aca="false">IF(A3606="",0,IF(IFERROR(VLOOKUP(A3606,Skills!$A:$M,13,FALSE()),"")="COS",0,IF(OR(I3606="En cours",I3606="À venir",I3606="À planifier"),IF(AND(OR($C$3="Tous",$C$3="",C3606=$C$3),OR($E$3="Tous",$E$3="",I3606=$E$3)),1,0),0)))</f>
        <v>0</v>
      </c>
      <c r="L3606" s="0" t="n">
        <f aca="false">L3605+K3606</f>
        <v>19</v>
      </c>
    </row>
    <row r="3607" customFormat="false" ht="15" hidden="true" customHeight="true" outlineLevel="0" collapsed="false">
      <c r="K3607" s="0" t="n">
        <f aca="false">IF(A3607="",0,IF(IFERROR(VLOOKUP(A3607,Skills!$A:$M,13,FALSE()),"")="COS",0,IF(OR(I3607="En cours",I3607="À venir",I3607="À planifier"),IF(AND(OR($C$3="Tous",$C$3="",C3607=$C$3),OR($E$3="Tous",$E$3="",I3607=$E$3)),1,0),0)))</f>
        <v>0</v>
      </c>
      <c r="L3607" s="0" t="n">
        <f aca="false">L3606+K3607</f>
        <v>19</v>
      </c>
    </row>
    <row r="3608" customFormat="false" ht="15" hidden="true" customHeight="true" outlineLevel="0" collapsed="false">
      <c r="K3608" s="0" t="n">
        <f aca="false">IF(A3608="",0,IF(IFERROR(VLOOKUP(A3608,Skills!$A:$M,13,FALSE()),"")="COS",0,IF(OR(I3608="En cours",I3608="À venir",I3608="À planifier"),IF(AND(OR($C$3="Tous",$C$3="",C3608=$C$3),OR($E$3="Tous",$E$3="",I3608=$E$3)),1,0),0)))</f>
        <v>0</v>
      </c>
      <c r="L3608" s="0" t="n">
        <f aca="false">L3607+K3608</f>
        <v>19</v>
      </c>
    </row>
    <row r="3609" customFormat="false" ht="15" hidden="true" customHeight="true" outlineLevel="0" collapsed="false">
      <c r="K3609" s="0" t="n">
        <f aca="false">IF(A3609="",0,IF(IFERROR(VLOOKUP(A3609,Skills!$A:$M,13,FALSE()),"")="COS",0,IF(OR(I3609="En cours",I3609="À venir",I3609="À planifier"),IF(AND(OR($C$3="Tous",$C$3="",C3609=$C$3),OR($E$3="Tous",$E$3="",I3609=$E$3)),1,0),0)))</f>
        <v>0</v>
      </c>
      <c r="L3609" s="0" t="n">
        <f aca="false">L3608+K3609</f>
        <v>19</v>
      </c>
    </row>
    <row r="3610" customFormat="false" ht="15" hidden="true" customHeight="true" outlineLevel="0" collapsed="false">
      <c r="K3610" s="0" t="n">
        <f aca="false">IF(A3610="",0,IF(IFERROR(VLOOKUP(A3610,Skills!$A:$M,13,FALSE()),"")="COS",0,IF(OR(I3610="En cours",I3610="À venir",I3610="À planifier"),IF(AND(OR($C$3="Tous",$C$3="",C3610=$C$3),OR($E$3="Tous",$E$3="",I3610=$E$3)),1,0),0)))</f>
        <v>0</v>
      </c>
      <c r="L3610" s="0" t="n">
        <f aca="false">L3609+K3610</f>
        <v>19</v>
      </c>
    </row>
    <row r="3611" customFormat="false" ht="15" hidden="true" customHeight="true" outlineLevel="0" collapsed="false">
      <c r="K3611" s="0" t="n">
        <f aca="false">IF(A3611="",0,IF(IFERROR(VLOOKUP(A3611,Skills!$A:$M,13,FALSE()),"")="COS",0,IF(OR(I3611="En cours",I3611="À venir",I3611="À planifier"),IF(AND(OR($C$3="Tous",$C$3="",C3611=$C$3),OR($E$3="Tous",$E$3="",I3611=$E$3)),1,0),0)))</f>
        <v>0</v>
      </c>
      <c r="L3611" s="0" t="n">
        <f aca="false">L3610+K3611</f>
        <v>19</v>
      </c>
    </row>
    <row r="3612" customFormat="false" ht="15" hidden="true" customHeight="true" outlineLevel="0" collapsed="false">
      <c r="K3612" s="0" t="n">
        <f aca="false">IF(A3612="",0,IF(IFERROR(VLOOKUP(A3612,Skills!$A:$M,13,FALSE()),"")="COS",0,IF(OR(I3612="En cours",I3612="À venir",I3612="À planifier"),IF(AND(OR($C$3="Tous",$C$3="",C3612=$C$3),OR($E$3="Tous",$E$3="",I3612=$E$3)),1,0),0)))</f>
        <v>0</v>
      </c>
      <c r="L3612" s="0" t="n">
        <f aca="false">L3611+K3612</f>
        <v>19</v>
      </c>
    </row>
    <row r="3613" customFormat="false" ht="15" hidden="true" customHeight="true" outlineLevel="0" collapsed="false">
      <c r="K3613" s="0" t="n">
        <f aca="false">IF(A3613="",0,IF(IFERROR(VLOOKUP(A3613,Skills!$A:$M,13,FALSE()),"")="COS",0,IF(OR(I3613="En cours",I3613="À venir",I3613="À planifier"),IF(AND(OR($C$3="Tous",$C$3="",C3613=$C$3),OR($E$3="Tous",$E$3="",I3613=$E$3)),1,0),0)))</f>
        <v>0</v>
      </c>
      <c r="L3613" s="0" t="n">
        <f aca="false">L3612+K3613</f>
        <v>19</v>
      </c>
    </row>
    <row r="3614" customFormat="false" ht="15" hidden="true" customHeight="true" outlineLevel="0" collapsed="false">
      <c r="K3614" s="0" t="n">
        <f aca="false">IF(A3614="",0,IF(IFERROR(VLOOKUP(A3614,Skills!$A:$M,13,FALSE()),"")="COS",0,IF(OR(I3614="En cours",I3614="À venir",I3614="À planifier"),IF(AND(OR($C$3="Tous",$C$3="",C3614=$C$3),OR($E$3="Tous",$E$3="",I3614=$E$3)),1,0),0)))</f>
        <v>0</v>
      </c>
      <c r="L3614" s="0" t="n">
        <f aca="false">L3613+K3614</f>
        <v>19</v>
      </c>
    </row>
    <row r="3615" customFormat="false" ht="15" hidden="true" customHeight="true" outlineLevel="0" collapsed="false">
      <c r="K3615" s="0" t="n">
        <f aca="false">IF(A3615="",0,IF(IFERROR(VLOOKUP(A3615,Skills!$A:$M,13,FALSE()),"")="COS",0,IF(OR(I3615="En cours",I3615="À venir",I3615="À planifier"),IF(AND(OR($C$3="Tous",$C$3="",C3615=$C$3),OR($E$3="Tous",$E$3="",I3615=$E$3)),1,0),0)))</f>
        <v>0</v>
      </c>
      <c r="L3615" s="0" t="n">
        <f aca="false">L3614+K3615</f>
        <v>19</v>
      </c>
    </row>
    <row r="3616" customFormat="false" ht="15" hidden="true" customHeight="true" outlineLevel="0" collapsed="false">
      <c r="K3616" s="0" t="n">
        <f aca="false">IF(A3616="",0,IF(IFERROR(VLOOKUP(A3616,Skills!$A:$M,13,FALSE()),"")="COS",0,IF(OR(I3616="En cours",I3616="À venir",I3616="À planifier"),IF(AND(OR($C$3="Tous",$C$3="",C3616=$C$3),OR($E$3="Tous",$E$3="",I3616=$E$3)),1,0),0)))</f>
        <v>0</v>
      </c>
      <c r="L3616" s="0" t="n">
        <f aca="false">L3615+K3616</f>
        <v>19</v>
      </c>
    </row>
    <row r="3617" customFormat="false" ht="15" hidden="true" customHeight="true" outlineLevel="0" collapsed="false">
      <c r="K3617" s="0" t="n">
        <f aca="false">IF(A3617="",0,IF(IFERROR(VLOOKUP(A3617,Skills!$A:$M,13,FALSE()),"")="COS",0,IF(OR(I3617="En cours",I3617="À venir",I3617="À planifier"),IF(AND(OR($C$3="Tous",$C$3="",C3617=$C$3),OR($E$3="Tous",$E$3="",I3617=$E$3)),1,0),0)))</f>
        <v>0</v>
      </c>
      <c r="L3617" s="0" t="n">
        <f aca="false">L3616+K3617</f>
        <v>19</v>
      </c>
    </row>
    <row r="3618" customFormat="false" ht="15" hidden="true" customHeight="true" outlineLevel="0" collapsed="false">
      <c r="K3618" s="0" t="n">
        <f aca="false">IF(A3618="",0,IF(IFERROR(VLOOKUP(A3618,Skills!$A:$M,13,FALSE()),"")="COS",0,IF(OR(I3618="En cours",I3618="À venir",I3618="À planifier"),IF(AND(OR($C$3="Tous",$C$3="",C3618=$C$3),OR($E$3="Tous",$E$3="",I3618=$E$3)),1,0),0)))</f>
        <v>0</v>
      </c>
      <c r="L3618" s="0" t="n">
        <f aca="false">L3617+K3618</f>
        <v>19</v>
      </c>
    </row>
    <row r="3619" customFormat="false" ht="15" hidden="true" customHeight="true" outlineLevel="0" collapsed="false">
      <c r="K3619" s="0" t="n">
        <f aca="false">IF(A3619="",0,IF(IFERROR(VLOOKUP(A3619,Skills!$A:$M,13,FALSE()),"")="COS",0,IF(OR(I3619="En cours",I3619="À venir",I3619="À planifier"),IF(AND(OR($C$3="Tous",$C$3="",C3619=$C$3),OR($E$3="Tous",$E$3="",I3619=$E$3)),1,0),0)))</f>
        <v>0</v>
      </c>
      <c r="L3619" s="0" t="n">
        <f aca="false">L3618+K3619</f>
        <v>19</v>
      </c>
    </row>
    <row r="3620" customFormat="false" ht="15" hidden="true" customHeight="true" outlineLevel="0" collapsed="false">
      <c r="K3620" s="0" t="n">
        <f aca="false">IF(A3620="",0,IF(IFERROR(VLOOKUP(A3620,Skills!$A:$M,13,FALSE()),"")="COS",0,IF(OR(I3620="En cours",I3620="À venir",I3620="À planifier"),IF(AND(OR($C$3="Tous",$C$3="",C3620=$C$3),OR($E$3="Tous",$E$3="",I3620=$E$3)),1,0),0)))</f>
        <v>0</v>
      </c>
      <c r="L3620" s="0" t="n">
        <f aca="false">L3619+K3620</f>
        <v>19</v>
      </c>
    </row>
    <row r="3621" customFormat="false" ht="15" hidden="true" customHeight="true" outlineLevel="0" collapsed="false">
      <c r="K3621" s="0" t="n">
        <f aca="false">IF(A3621="",0,IF(IFERROR(VLOOKUP(A3621,Skills!$A:$M,13,FALSE()),"")="COS",0,IF(OR(I3621="En cours",I3621="À venir",I3621="À planifier"),IF(AND(OR($C$3="Tous",$C$3="",C3621=$C$3),OR($E$3="Tous",$E$3="",I3621=$E$3)),1,0),0)))</f>
        <v>0</v>
      </c>
      <c r="L3621" s="0" t="n">
        <f aca="false">L3620+K3621</f>
        <v>19</v>
      </c>
    </row>
    <row r="3622" customFormat="false" ht="15" hidden="true" customHeight="true" outlineLevel="0" collapsed="false">
      <c r="K3622" s="0" t="n">
        <f aca="false">IF(A3622="",0,IF(IFERROR(VLOOKUP(A3622,Skills!$A:$M,13,FALSE()),"")="COS",0,IF(OR(I3622="En cours",I3622="À venir",I3622="À planifier"),IF(AND(OR($C$3="Tous",$C$3="",C3622=$C$3),OR($E$3="Tous",$E$3="",I3622=$E$3)),1,0),0)))</f>
        <v>0</v>
      </c>
      <c r="L3622" s="0" t="n">
        <f aca="false">L3621+K3622</f>
        <v>19</v>
      </c>
    </row>
    <row r="3623" customFormat="false" ht="15" hidden="true" customHeight="true" outlineLevel="0" collapsed="false">
      <c r="K3623" s="0" t="n">
        <f aca="false">IF(A3623="",0,IF(IFERROR(VLOOKUP(A3623,Skills!$A:$M,13,FALSE()),"")="COS",0,IF(OR(I3623="En cours",I3623="À venir",I3623="À planifier"),IF(AND(OR($C$3="Tous",$C$3="",C3623=$C$3),OR($E$3="Tous",$E$3="",I3623=$E$3)),1,0),0)))</f>
        <v>0</v>
      </c>
      <c r="L3623" s="0" t="n">
        <f aca="false">L3622+K3623</f>
        <v>19</v>
      </c>
    </row>
    <row r="3624" customFormat="false" ht="15" hidden="true" customHeight="true" outlineLevel="0" collapsed="false">
      <c r="K3624" s="0" t="n">
        <f aca="false">IF(A3624="",0,IF(IFERROR(VLOOKUP(A3624,Skills!$A:$M,13,FALSE()),"")="COS",0,IF(OR(I3624="En cours",I3624="À venir",I3624="À planifier"),IF(AND(OR($C$3="Tous",$C$3="",C3624=$C$3),OR($E$3="Tous",$E$3="",I3624=$E$3)),1,0),0)))</f>
        <v>0</v>
      </c>
      <c r="L3624" s="0" t="n">
        <f aca="false">L3623+K3624</f>
        <v>19</v>
      </c>
    </row>
    <row r="3625" customFormat="false" ht="15" hidden="true" customHeight="true" outlineLevel="0" collapsed="false">
      <c r="K3625" s="0" t="n">
        <f aca="false">IF(A3625="",0,IF(IFERROR(VLOOKUP(A3625,Skills!$A:$M,13,FALSE()),"")="COS",0,IF(OR(I3625="En cours",I3625="À venir",I3625="À planifier"),IF(AND(OR($C$3="Tous",$C$3="",C3625=$C$3),OR($E$3="Tous",$E$3="",I3625=$E$3)),1,0),0)))</f>
        <v>0</v>
      </c>
      <c r="L3625" s="0" t="n">
        <f aca="false">L3624+K3625</f>
        <v>19</v>
      </c>
    </row>
    <row r="3626" customFormat="false" ht="15" hidden="true" customHeight="true" outlineLevel="0" collapsed="false">
      <c r="K3626" s="0" t="n">
        <f aca="false">IF(A3626="",0,IF(IFERROR(VLOOKUP(A3626,Skills!$A:$M,13,FALSE()),"")="COS",0,IF(OR(I3626="En cours",I3626="À venir",I3626="À planifier"),IF(AND(OR($C$3="Tous",$C$3="",C3626=$C$3),OR($E$3="Tous",$E$3="",I3626=$E$3)),1,0),0)))</f>
        <v>0</v>
      </c>
      <c r="L3626" s="0" t="n">
        <f aca="false">L3625+K3626</f>
        <v>19</v>
      </c>
    </row>
    <row r="3627" customFormat="false" ht="15" hidden="true" customHeight="true" outlineLevel="0" collapsed="false">
      <c r="K3627" s="0" t="n">
        <f aca="false">IF(A3627="",0,IF(IFERROR(VLOOKUP(A3627,Skills!$A:$M,13,FALSE()),"")="COS",0,IF(OR(I3627="En cours",I3627="À venir",I3627="À planifier"),IF(AND(OR($C$3="Tous",$C$3="",C3627=$C$3),OR($E$3="Tous",$E$3="",I3627=$E$3)),1,0),0)))</f>
        <v>0</v>
      </c>
      <c r="L3627" s="0" t="n">
        <f aca="false">L3626+K3627</f>
        <v>19</v>
      </c>
    </row>
    <row r="3628" customFormat="false" ht="15" hidden="true" customHeight="true" outlineLevel="0" collapsed="false">
      <c r="K3628" s="0" t="n">
        <f aca="false">IF(A3628="",0,IF(IFERROR(VLOOKUP(A3628,Skills!$A:$M,13,FALSE()),"")="COS",0,IF(OR(I3628="En cours",I3628="À venir",I3628="À planifier"),IF(AND(OR($C$3="Tous",$C$3="",C3628=$C$3),OR($E$3="Tous",$E$3="",I3628=$E$3)),1,0),0)))</f>
        <v>0</v>
      </c>
      <c r="L3628" s="0" t="n">
        <f aca="false">L3627+K3628</f>
        <v>19</v>
      </c>
    </row>
    <row r="3629" customFormat="false" ht="15" hidden="true" customHeight="true" outlineLevel="0" collapsed="false">
      <c r="K3629" s="0" t="n">
        <f aca="false">IF(A3629="",0,IF(IFERROR(VLOOKUP(A3629,Skills!$A:$M,13,FALSE()),"")="COS",0,IF(OR(I3629="En cours",I3629="À venir",I3629="À planifier"),IF(AND(OR($C$3="Tous",$C$3="",C3629=$C$3),OR($E$3="Tous",$E$3="",I3629=$E$3)),1,0),0)))</f>
        <v>0</v>
      </c>
      <c r="L3629" s="0" t="n">
        <f aca="false">L3628+K3629</f>
        <v>19</v>
      </c>
    </row>
    <row r="3630" customFormat="false" ht="15" hidden="true" customHeight="true" outlineLevel="0" collapsed="false">
      <c r="K3630" s="0" t="n">
        <f aca="false">IF(A3630="",0,IF(IFERROR(VLOOKUP(A3630,Skills!$A:$M,13,FALSE()),"")="COS",0,IF(OR(I3630="En cours",I3630="À venir",I3630="À planifier"),IF(AND(OR($C$3="Tous",$C$3="",C3630=$C$3),OR($E$3="Tous",$E$3="",I3630=$E$3)),1,0),0)))</f>
        <v>0</v>
      </c>
      <c r="L3630" s="0" t="n">
        <f aca="false">L3629+K3630</f>
        <v>19</v>
      </c>
    </row>
    <row r="3631" customFormat="false" ht="15" hidden="true" customHeight="true" outlineLevel="0" collapsed="false">
      <c r="K3631" s="0" t="n">
        <f aca="false">IF(A3631="",0,IF(IFERROR(VLOOKUP(A3631,Skills!$A:$M,13,FALSE()),"")="COS",0,IF(OR(I3631="En cours",I3631="À venir",I3631="À planifier"),IF(AND(OR($C$3="Tous",$C$3="",C3631=$C$3),OR($E$3="Tous",$E$3="",I3631=$E$3)),1,0),0)))</f>
        <v>0</v>
      </c>
      <c r="L3631" s="0" t="n">
        <f aca="false">L3630+K3631</f>
        <v>19</v>
      </c>
    </row>
    <row r="3632" customFormat="false" ht="15" hidden="true" customHeight="true" outlineLevel="0" collapsed="false">
      <c r="K3632" s="0" t="n">
        <f aca="false">IF(A3632="",0,IF(IFERROR(VLOOKUP(A3632,Skills!$A:$M,13,FALSE()),"")="COS",0,IF(OR(I3632="En cours",I3632="À venir",I3632="À planifier"),IF(AND(OR($C$3="Tous",$C$3="",C3632=$C$3),OR($E$3="Tous",$E$3="",I3632=$E$3)),1,0),0)))</f>
        <v>0</v>
      </c>
      <c r="L3632" s="0" t="n">
        <f aca="false">L3631+K3632</f>
        <v>19</v>
      </c>
    </row>
    <row r="3633" customFormat="false" ht="15" hidden="true" customHeight="true" outlineLevel="0" collapsed="false">
      <c r="K3633" s="0" t="n">
        <f aca="false">IF(A3633="",0,IF(IFERROR(VLOOKUP(A3633,Skills!$A:$M,13,FALSE()),"")="COS",0,IF(OR(I3633="En cours",I3633="À venir",I3633="À planifier"),IF(AND(OR($C$3="Tous",$C$3="",C3633=$C$3),OR($E$3="Tous",$E$3="",I3633=$E$3)),1,0),0)))</f>
        <v>0</v>
      </c>
      <c r="L3633" s="0" t="n">
        <f aca="false">L3632+K3633</f>
        <v>19</v>
      </c>
    </row>
    <row r="3634" customFormat="false" ht="15" hidden="true" customHeight="true" outlineLevel="0" collapsed="false">
      <c r="K3634" s="0" t="n">
        <f aca="false">IF(A3634="",0,IF(IFERROR(VLOOKUP(A3634,Skills!$A:$M,13,FALSE()),"")="COS",0,IF(OR(I3634="En cours",I3634="À venir",I3634="À planifier"),IF(AND(OR($C$3="Tous",$C$3="",C3634=$C$3),OR($E$3="Tous",$E$3="",I3634=$E$3)),1,0),0)))</f>
        <v>0</v>
      </c>
      <c r="L3634" s="0" t="n">
        <f aca="false">L3633+K3634</f>
        <v>19</v>
      </c>
    </row>
    <row r="3635" customFormat="false" ht="15" hidden="true" customHeight="true" outlineLevel="0" collapsed="false">
      <c r="K3635" s="0" t="n">
        <f aca="false">IF(A3635="",0,IF(IFERROR(VLOOKUP(A3635,Skills!$A:$M,13,FALSE()),"")="COS",0,IF(OR(I3635="En cours",I3635="À venir",I3635="À planifier"),IF(AND(OR($C$3="Tous",$C$3="",C3635=$C$3),OR($E$3="Tous",$E$3="",I3635=$E$3)),1,0),0)))</f>
        <v>0</v>
      </c>
      <c r="L3635" s="0" t="n">
        <f aca="false">L3634+K3635</f>
        <v>19</v>
      </c>
    </row>
    <row r="3636" customFormat="false" ht="15" hidden="true" customHeight="true" outlineLevel="0" collapsed="false">
      <c r="K3636" s="0" t="n">
        <f aca="false">IF(A3636="",0,IF(IFERROR(VLOOKUP(A3636,Skills!$A:$M,13,FALSE()),"")="COS",0,IF(OR(I3636="En cours",I3636="À venir",I3636="À planifier"),IF(AND(OR($C$3="Tous",$C$3="",C3636=$C$3),OR($E$3="Tous",$E$3="",I3636=$E$3)),1,0),0)))</f>
        <v>0</v>
      </c>
      <c r="L3636" s="0" t="n">
        <f aca="false">L3635+K3636</f>
        <v>19</v>
      </c>
    </row>
    <row r="3637" customFormat="false" ht="15" hidden="true" customHeight="true" outlineLevel="0" collapsed="false">
      <c r="K3637" s="0" t="n">
        <f aca="false">IF(A3637="",0,IF(IFERROR(VLOOKUP(A3637,Skills!$A:$M,13,FALSE()),"")="COS",0,IF(OR(I3637="En cours",I3637="À venir",I3637="À planifier"),IF(AND(OR($C$3="Tous",$C$3="",C3637=$C$3),OR($E$3="Tous",$E$3="",I3637=$E$3)),1,0),0)))</f>
        <v>0</v>
      </c>
      <c r="L3637" s="0" t="n">
        <f aca="false">L3636+K3637</f>
        <v>19</v>
      </c>
    </row>
    <row r="3638" customFormat="false" ht="15" hidden="true" customHeight="true" outlineLevel="0" collapsed="false">
      <c r="K3638" s="0" t="n">
        <f aca="false">IF(A3638="",0,IF(IFERROR(VLOOKUP(A3638,Skills!$A:$M,13,FALSE()),"")="COS",0,IF(OR(I3638="En cours",I3638="À venir",I3638="À planifier"),IF(AND(OR($C$3="Tous",$C$3="",C3638=$C$3),OR($E$3="Tous",$E$3="",I3638=$E$3)),1,0),0)))</f>
        <v>0</v>
      </c>
      <c r="L3638" s="0" t="n">
        <f aca="false">L3637+K3638</f>
        <v>19</v>
      </c>
    </row>
    <row r="3639" customFormat="false" ht="15" hidden="true" customHeight="true" outlineLevel="0" collapsed="false">
      <c r="K3639" s="0" t="n">
        <f aca="false">IF(A3639="",0,IF(IFERROR(VLOOKUP(A3639,Skills!$A:$M,13,FALSE()),"")="COS",0,IF(OR(I3639="En cours",I3639="À venir",I3639="À planifier"),IF(AND(OR($C$3="Tous",$C$3="",C3639=$C$3),OR($E$3="Tous",$E$3="",I3639=$E$3)),1,0),0)))</f>
        <v>0</v>
      </c>
      <c r="L3639" s="0" t="n">
        <f aca="false">L3638+K3639</f>
        <v>19</v>
      </c>
    </row>
    <row r="3640" customFormat="false" ht="15" hidden="true" customHeight="true" outlineLevel="0" collapsed="false">
      <c r="K3640" s="0" t="n">
        <f aca="false">IF(A3640="",0,IF(IFERROR(VLOOKUP(A3640,Skills!$A:$M,13,FALSE()),"")="COS",0,IF(OR(I3640="En cours",I3640="À venir",I3640="À planifier"),IF(AND(OR($C$3="Tous",$C$3="",C3640=$C$3),OR($E$3="Tous",$E$3="",I3640=$E$3)),1,0),0)))</f>
        <v>0</v>
      </c>
      <c r="L3640" s="0" t="n">
        <f aca="false">L3639+K3640</f>
        <v>19</v>
      </c>
    </row>
    <row r="3641" customFormat="false" ht="15" hidden="true" customHeight="true" outlineLevel="0" collapsed="false">
      <c r="K3641" s="0" t="n">
        <f aca="false">IF(A3641="",0,IF(IFERROR(VLOOKUP(A3641,Skills!$A:$M,13,FALSE()),"")="COS",0,IF(OR(I3641="En cours",I3641="À venir",I3641="À planifier"),IF(AND(OR($C$3="Tous",$C$3="",C3641=$C$3),OR($E$3="Tous",$E$3="",I3641=$E$3)),1,0),0)))</f>
        <v>0</v>
      </c>
      <c r="L3641" s="0" t="n">
        <f aca="false">L3640+K3641</f>
        <v>19</v>
      </c>
    </row>
    <row r="3642" customFormat="false" ht="15" hidden="true" customHeight="true" outlineLevel="0" collapsed="false">
      <c r="K3642" s="0" t="n">
        <f aca="false">IF(A3642="",0,IF(IFERROR(VLOOKUP(A3642,Skills!$A:$M,13,FALSE()),"")="COS",0,IF(OR(I3642="En cours",I3642="À venir",I3642="À planifier"),IF(AND(OR($C$3="Tous",$C$3="",C3642=$C$3),OR($E$3="Tous",$E$3="",I3642=$E$3)),1,0),0)))</f>
        <v>0</v>
      </c>
      <c r="L3642" s="0" t="n">
        <f aca="false">L3641+K3642</f>
        <v>19</v>
      </c>
    </row>
    <row r="3643" customFormat="false" ht="15" hidden="true" customHeight="true" outlineLevel="0" collapsed="false">
      <c r="K3643" s="0" t="n">
        <f aca="false">IF(A3643="",0,IF(IFERROR(VLOOKUP(A3643,Skills!$A:$M,13,FALSE()),"")="COS",0,IF(OR(I3643="En cours",I3643="À venir",I3643="À planifier"),IF(AND(OR($C$3="Tous",$C$3="",C3643=$C$3),OR($E$3="Tous",$E$3="",I3643=$E$3)),1,0),0)))</f>
        <v>0</v>
      </c>
      <c r="L3643" s="0" t="n">
        <f aca="false">L3642+K3643</f>
        <v>19</v>
      </c>
    </row>
    <row r="3644" customFormat="false" ht="15" hidden="true" customHeight="true" outlineLevel="0" collapsed="false">
      <c r="K3644" s="0" t="n">
        <f aca="false">IF(A3644="",0,IF(IFERROR(VLOOKUP(A3644,Skills!$A:$M,13,FALSE()),"")="COS",0,IF(OR(I3644="En cours",I3644="À venir",I3644="À planifier"),IF(AND(OR($C$3="Tous",$C$3="",C3644=$C$3),OR($E$3="Tous",$E$3="",I3644=$E$3)),1,0),0)))</f>
        <v>0</v>
      </c>
      <c r="L3644" s="0" t="n">
        <f aca="false">L3643+K3644</f>
        <v>19</v>
      </c>
    </row>
    <row r="3645" customFormat="false" ht="15" hidden="true" customHeight="true" outlineLevel="0" collapsed="false">
      <c r="K3645" s="0" t="n">
        <f aca="false">IF(A3645="",0,IF(IFERROR(VLOOKUP(A3645,Skills!$A:$M,13,FALSE()),"")="COS",0,IF(OR(I3645="En cours",I3645="À venir",I3645="À planifier"),IF(AND(OR($C$3="Tous",$C$3="",C3645=$C$3),OR($E$3="Tous",$E$3="",I3645=$E$3)),1,0),0)))</f>
        <v>0</v>
      </c>
      <c r="L3645" s="0" t="n">
        <f aca="false">L3644+K3645</f>
        <v>19</v>
      </c>
    </row>
    <row r="3646" customFormat="false" ht="15" hidden="true" customHeight="true" outlineLevel="0" collapsed="false">
      <c r="K3646" s="0" t="n">
        <f aca="false">IF(A3646="",0,IF(IFERROR(VLOOKUP(A3646,Skills!$A:$M,13,FALSE()),"")="COS",0,IF(OR(I3646="En cours",I3646="À venir",I3646="À planifier"),IF(AND(OR($C$3="Tous",$C$3="",C3646=$C$3),OR($E$3="Tous",$E$3="",I3646=$E$3)),1,0),0)))</f>
        <v>0</v>
      </c>
      <c r="L3646" s="0" t="n">
        <f aca="false">L3645+K3646</f>
        <v>19</v>
      </c>
    </row>
    <row r="3647" customFormat="false" ht="15" hidden="true" customHeight="true" outlineLevel="0" collapsed="false">
      <c r="K3647" s="0" t="n">
        <f aca="false">IF(A3647="",0,IF(IFERROR(VLOOKUP(A3647,Skills!$A:$M,13,FALSE()),"")="COS",0,IF(OR(I3647="En cours",I3647="À venir",I3647="À planifier"),IF(AND(OR($C$3="Tous",$C$3="",C3647=$C$3),OR($E$3="Tous",$E$3="",I3647=$E$3)),1,0),0)))</f>
        <v>0</v>
      </c>
      <c r="L3647" s="0" t="n">
        <f aca="false">L3646+K3647</f>
        <v>19</v>
      </c>
    </row>
    <row r="3648" customFormat="false" ht="15" hidden="true" customHeight="true" outlineLevel="0" collapsed="false">
      <c r="K3648" s="0" t="n">
        <f aca="false">IF(A3648="",0,IF(IFERROR(VLOOKUP(A3648,Skills!$A:$M,13,FALSE()),"")="COS",0,IF(OR(I3648="En cours",I3648="À venir",I3648="À planifier"),IF(AND(OR($C$3="Tous",$C$3="",C3648=$C$3),OR($E$3="Tous",$E$3="",I3648=$E$3)),1,0),0)))</f>
        <v>0</v>
      </c>
      <c r="L3648" s="0" t="n">
        <f aca="false">L3647+K3648</f>
        <v>19</v>
      </c>
    </row>
    <row r="3649" customFormat="false" ht="15" hidden="true" customHeight="true" outlineLevel="0" collapsed="false">
      <c r="K3649" s="0" t="n">
        <f aca="false">IF(A3649="",0,IF(IFERROR(VLOOKUP(A3649,Skills!$A:$M,13,FALSE()),"")="COS",0,IF(OR(I3649="En cours",I3649="À venir",I3649="À planifier"),IF(AND(OR($C$3="Tous",$C$3="",C3649=$C$3),OR($E$3="Tous",$E$3="",I3649=$E$3)),1,0),0)))</f>
        <v>0</v>
      </c>
      <c r="L3649" s="0" t="n">
        <f aca="false">L3648+K3649</f>
        <v>19</v>
      </c>
    </row>
    <row r="3650" customFormat="false" ht="15" hidden="true" customHeight="true" outlineLevel="0" collapsed="false">
      <c r="K3650" s="0" t="n">
        <f aca="false">IF(A3650="",0,IF(IFERROR(VLOOKUP(A3650,Skills!$A:$M,13,FALSE()),"")="COS",0,IF(OR(I3650="En cours",I3650="À venir",I3650="À planifier"),IF(AND(OR($C$3="Tous",$C$3="",C3650=$C$3),OR($E$3="Tous",$E$3="",I3650=$E$3)),1,0),0)))</f>
        <v>0</v>
      </c>
      <c r="L3650" s="0" t="n">
        <f aca="false">L3649+K3650</f>
        <v>19</v>
      </c>
    </row>
    <row r="3651" customFormat="false" ht="15" hidden="true" customHeight="true" outlineLevel="0" collapsed="false">
      <c r="K3651" s="0" t="n">
        <f aca="false">IF(A3651="",0,IF(IFERROR(VLOOKUP(A3651,Skills!$A:$M,13,FALSE()),"")="COS",0,IF(OR(I3651="En cours",I3651="À venir",I3651="À planifier"),IF(AND(OR($C$3="Tous",$C$3="",C3651=$C$3),OR($E$3="Tous",$E$3="",I3651=$E$3)),1,0),0)))</f>
        <v>0</v>
      </c>
      <c r="L3651" s="0" t="n">
        <f aca="false">L3650+K3651</f>
        <v>19</v>
      </c>
    </row>
    <row r="3652" customFormat="false" ht="15" hidden="true" customHeight="true" outlineLevel="0" collapsed="false">
      <c r="K3652" s="0" t="n">
        <f aca="false">IF(A3652="",0,IF(IFERROR(VLOOKUP(A3652,Skills!$A:$M,13,FALSE()),"")="COS",0,IF(OR(I3652="En cours",I3652="À venir",I3652="À planifier"),IF(AND(OR($C$3="Tous",$C$3="",C3652=$C$3),OR($E$3="Tous",$E$3="",I3652=$E$3)),1,0),0)))</f>
        <v>0</v>
      </c>
      <c r="L3652" s="0" t="n">
        <f aca="false">L3651+K3652</f>
        <v>19</v>
      </c>
    </row>
    <row r="3653" customFormat="false" ht="15" hidden="true" customHeight="true" outlineLevel="0" collapsed="false">
      <c r="K3653" s="0" t="n">
        <f aca="false">IF(A3653="",0,IF(IFERROR(VLOOKUP(A3653,Skills!$A:$M,13,FALSE()),"")="COS",0,IF(OR(I3653="En cours",I3653="À venir",I3653="À planifier"),IF(AND(OR($C$3="Tous",$C$3="",C3653=$C$3),OR($E$3="Tous",$E$3="",I3653=$E$3)),1,0),0)))</f>
        <v>0</v>
      </c>
      <c r="L3653" s="0" t="n">
        <f aca="false">L3652+K3653</f>
        <v>19</v>
      </c>
    </row>
    <row r="3654" customFormat="false" ht="15" hidden="true" customHeight="true" outlineLevel="0" collapsed="false">
      <c r="K3654" s="0" t="n">
        <f aca="false">IF(A3654="",0,IF(IFERROR(VLOOKUP(A3654,Skills!$A:$M,13,FALSE()),"")="COS",0,IF(OR(I3654="En cours",I3654="À venir",I3654="À planifier"),IF(AND(OR($C$3="Tous",$C$3="",C3654=$C$3),OR($E$3="Tous",$E$3="",I3654=$E$3)),1,0),0)))</f>
        <v>0</v>
      </c>
      <c r="L3654" s="0" t="n">
        <f aca="false">L3653+K3654</f>
        <v>19</v>
      </c>
    </row>
    <row r="3655" customFormat="false" ht="15" hidden="true" customHeight="true" outlineLevel="0" collapsed="false">
      <c r="K3655" s="0" t="n">
        <f aca="false">IF(A3655="",0,IF(IFERROR(VLOOKUP(A3655,Skills!$A:$M,13,FALSE()),"")="COS",0,IF(OR(I3655="En cours",I3655="À venir",I3655="À planifier"),IF(AND(OR($C$3="Tous",$C$3="",C3655=$C$3),OR($E$3="Tous",$E$3="",I3655=$E$3)),1,0),0)))</f>
        <v>0</v>
      </c>
      <c r="L3655" s="0" t="n">
        <f aca="false">L3654+K3655</f>
        <v>19</v>
      </c>
    </row>
    <row r="3656" customFormat="false" ht="15" hidden="true" customHeight="true" outlineLevel="0" collapsed="false">
      <c r="K3656" s="0" t="n">
        <f aca="false">IF(A3656="",0,IF(IFERROR(VLOOKUP(A3656,Skills!$A:$M,13,FALSE()),"")="COS",0,IF(OR(I3656="En cours",I3656="À venir",I3656="À planifier"),IF(AND(OR($C$3="Tous",$C$3="",C3656=$C$3),OR($E$3="Tous",$E$3="",I3656=$E$3)),1,0),0)))</f>
        <v>0</v>
      </c>
      <c r="L3656" s="0" t="n">
        <f aca="false">L3655+K3656</f>
        <v>19</v>
      </c>
    </row>
    <row r="3657" customFormat="false" ht="15" hidden="true" customHeight="true" outlineLevel="0" collapsed="false">
      <c r="K3657" s="0" t="n">
        <f aca="false">IF(A3657="",0,IF(IFERROR(VLOOKUP(A3657,Skills!$A:$M,13,FALSE()),"")="COS",0,IF(OR(I3657="En cours",I3657="À venir",I3657="À planifier"),IF(AND(OR($C$3="Tous",$C$3="",C3657=$C$3),OR($E$3="Tous",$E$3="",I3657=$E$3)),1,0),0)))</f>
        <v>0</v>
      </c>
      <c r="L3657" s="0" t="n">
        <f aca="false">L3656+K3657</f>
        <v>19</v>
      </c>
    </row>
    <row r="3658" customFormat="false" ht="15" hidden="true" customHeight="true" outlineLevel="0" collapsed="false">
      <c r="K3658" s="0" t="n">
        <f aca="false">IF(A3658="",0,IF(IFERROR(VLOOKUP(A3658,Skills!$A:$M,13,FALSE()),"")="COS",0,IF(OR(I3658="En cours",I3658="À venir",I3658="À planifier"),IF(AND(OR($C$3="Tous",$C$3="",C3658=$C$3),OR($E$3="Tous",$E$3="",I3658=$E$3)),1,0),0)))</f>
        <v>0</v>
      </c>
      <c r="L3658" s="0" t="n">
        <f aca="false">L3657+K3658</f>
        <v>19</v>
      </c>
    </row>
    <row r="3659" customFormat="false" ht="15" hidden="true" customHeight="true" outlineLevel="0" collapsed="false">
      <c r="K3659" s="0" t="n">
        <f aca="false">IF(A3659="",0,IF(IFERROR(VLOOKUP(A3659,Skills!$A:$M,13,FALSE()),"")="COS",0,IF(OR(I3659="En cours",I3659="À venir",I3659="À planifier"),IF(AND(OR($C$3="Tous",$C$3="",C3659=$C$3),OR($E$3="Tous",$E$3="",I3659=$E$3)),1,0),0)))</f>
        <v>0</v>
      </c>
      <c r="L3659" s="0" t="n">
        <f aca="false">L3658+K3659</f>
        <v>19</v>
      </c>
    </row>
    <row r="3660" customFormat="false" ht="15" hidden="true" customHeight="true" outlineLevel="0" collapsed="false">
      <c r="K3660" s="0" t="n">
        <f aca="false">IF(A3660="",0,IF(IFERROR(VLOOKUP(A3660,Skills!$A:$M,13,FALSE()),"")="COS",0,IF(OR(I3660="En cours",I3660="À venir",I3660="À planifier"),IF(AND(OR($C$3="Tous",$C$3="",C3660=$C$3),OR($E$3="Tous",$E$3="",I3660=$E$3)),1,0),0)))</f>
        <v>0</v>
      </c>
      <c r="L3660" s="0" t="n">
        <f aca="false">L3659+K3660</f>
        <v>19</v>
      </c>
    </row>
    <row r="3661" customFormat="false" ht="15" hidden="true" customHeight="true" outlineLevel="0" collapsed="false">
      <c r="K3661" s="0" t="n">
        <f aca="false">IF(A3661="",0,IF(IFERROR(VLOOKUP(A3661,Skills!$A:$M,13,FALSE()),"")="COS",0,IF(OR(I3661="En cours",I3661="À venir",I3661="À planifier"),IF(AND(OR($C$3="Tous",$C$3="",C3661=$C$3),OR($E$3="Tous",$E$3="",I3661=$E$3)),1,0),0)))</f>
        <v>0</v>
      </c>
      <c r="L3661" s="0" t="n">
        <f aca="false">L3660+K3661</f>
        <v>19</v>
      </c>
    </row>
    <row r="3662" customFormat="false" ht="15" hidden="true" customHeight="true" outlineLevel="0" collapsed="false">
      <c r="K3662" s="0" t="n">
        <f aca="false">IF(A3662="",0,IF(IFERROR(VLOOKUP(A3662,Skills!$A:$M,13,FALSE()),"")="COS",0,IF(OR(I3662="En cours",I3662="À venir",I3662="À planifier"),IF(AND(OR($C$3="Tous",$C$3="",C3662=$C$3),OR($E$3="Tous",$E$3="",I3662=$E$3)),1,0),0)))</f>
        <v>0</v>
      </c>
      <c r="L3662" s="0" t="n">
        <f aca="false">L3661+K3662</f>
        <v>19</v>
      </c>
    </row>
    <row r="3663" customFormat="false" ht="15" hidden="true" customHeight="true" outlineLevel="0" collapsed="false">
      <c r="K3663" s="0" t="n">
        <f aca="false">IF(A3663="",0,IF(IFERROR(VLOOKUP(A3663,Skills!$A:$M,13,FALSE()),"")="COS",0,IF(OR(I3663="En cours",I3663="À venir",I3663="À planifier"),IF(AND(OR($C$3="Tous",$C$3="",C3663=$C$3),OR($E$3="Tous",$E$3="",I3663=$E$3)),1,0),0)))</f>
        <v>0</v>
      </c>
      <c r="L3663" s="0" t="n">
        <f aca="false">L3662+K3663</f>
        <v>19</v>
      </c>
    </row>
    <row r="3664" customFormat="false" ht="15" hidden="true" customHeight="true" outlineLevel="0" collapsed="false">
      <c r="K3664" s="0" t="n">
        <f aca="false">IF(A3664="",0,IF(IFERROR(VLOOKUP(A3664,Skills!$A:$M,13,FALSE()),"")="COS",0,IF(OR(I3664="En cours",I3664="À venir",I3664="À planifier"),IF(AND(OR($C$3="Tous",$C$3="",C3664=$C$3),OR($E$3="Tous",$E$3="",I3664=$E$3)),1,0),0)))</f>
        <v>0</v>
      </c>
      <c r="L3664" s="0" t="n">
        <f aca="false">L3663+K3664</f>
        <v>19</v>
      </c>
    </row>
    <row r="3665" customFormat="false" ht="15" hidden="true" customHeight="true" outlineLevel="0" collapsed="false">
      <c r="K3665" s="0" t="n">
        <f aca="false">IF(A3665="",0,IF(IFERROR(VLOOKUP(A3665,Skills!$A:$M,13,FALSE()),"")="COS",0,IF(OR(I3665="En cours",I3665="À venir",I3665="À planifier"),IF(AND(OR($C$3="Tous",$C$3="",C3665=$C$3),OR($E$3="Tous",$E$3="",I3665=$E$3)),1,0),0)))</f>
        <v>0</v>
      </c>
      <c r="L3665" s="0" t="n">
        <f aca="false">L3664+K3665</f>
        <v>19</v>
      </c>
    </row>
    <row r="3666" customFormat="false" ht="15" hidden="true" customHeight="true" outlineLevel="0" collapsed="false">
      <c r="K3666" s="0" t="n">
        <f aca="false">IF(A3666="",0,IF(IFERROR(VLOOKUP(A3666,Skills!$A:$M,13,FALSE()),"")="COS",0,IF(OR(I3666="En cours",I3666="À venir",I3666="À planifier"),IF(AND(OR($C$3="Tous",$C$3="",C3666=$C$3),OR($E$3="Tous",$E$3="",I3666=$E$3)),1,0),0)))</f>
        <v>0</v>
      </c>
      <c r="L3666" s="0" t="n">
        <f aca="false">L3665+K3666</f>
        <v>19</v>
      </c>
    </row>
    <row r="3667" customFormat="false" ht="15" hidden="true" customHeight="true" outlineLevel="0" collapsed="false">
      <c r="K3667" s="0" t="n">
        <f aca="false">IF(A3667="",0,IF(IFERROR(VLOOKUP(A3667,Skills!$A:$M,13,FALSE()),"")="COS",0,IF(OR(I3667="En cours",I3667="À venir",I3667="À planifier"),IF(AND(OR($C$3="Tous",$C$3="",C3667=$C$3),OR($E$3="Tous",$E$3="",I3667=$E$3)),1,0),0)))</f>
        <v>0</v>
      </c>
      <c r="L3667" s="0" t="n">
        <f aca="false">L3666+K3667</f>
        <v>19</v>
      </c>
    </row>
    <row r="3668" customFormat="false" ht="15" hidden="true" customHeight="true" outlineLevel="0" collapsed="false">
      <c r="K3668" s="0" t="n">
        <f aca="false">IF(A3668="",0,IF(IFERROR(VLOOKUP(A3668,Skills!$A:$M,13,FALSE()),"")="COS",0,IF(OR(I3668="En cours",I3668="À venir",I3668="À planifier"),IF(AND(OR($C$3="Tous",$C$3="",C3668=$C$3),OR($E$3="Tous",$E$3="",I3668=$E$3)),1,0),0)))</f>
        <v>0</v>
      </c>
      <c r="L3668" s="0" t="n">
        <f aca="false">L3667+K3668</f>
        <v>19</v>
      </c>
    </row>
    <row r="3669" customFormat="false" ht="15" hidden="true" customHeight="true" outlineLevel="0" collapsed="false">
      <c r="K3669" s="0" t="n">
        <f aca="false">IF(A3669="",0,IF(IFERROR(VLOOKUP(A3669,Skills!$A:$M,13,FALSE()),"")="COS",0,IF(OR(I3669="En cours",I3669="À venir",I3669="À planifier"),IF(AND(OR($C$3="Tous",$C$3="",C3669=$C$3),OR($E$3="Tous",$E$3="",I3669=$E$3)),1,0),0)))</f>
        <v>0</v>
      </c>
      <c r="L3669" s="0" t="n">
        <f aca="false">L3668+K3669</f>
        <v>19</v>
      </c>
    </row>
    <row r="3670" customFormat="false" ht="15" hidden="true" customHeight="true" outlineLevel="0" collapsed="false">
      <c r="K3670" s="0" t="n">
        <f aca="false">IF(A3670="",0,IF(IFERROR(VLOOKUP(A3670,Skills!$A:$M,13,FALSE()),"")="COS",0,IF(OR(I3670="En cours",I3670="À venir",I3670="À planifier"),IF(AND(OR($C$3="Tous",$C$3="",C3670=$C$3),OR($E$3="Tous",$E$3="",I3670=$E$3)),1,0),0)))</f>
        <v>0</v>
      </c>
      <c r="L3670" s="0" t="n">
        <f aca="false">L3669+K3670</f>
        <v>19</v>
      </c>
    </row>
    <row r="3671" customFormat="false" ht="15" hidden="true" customHeight="true" outlineLevel="0" collapsed="false">
      <c r="K3671" s="0" t="n">
        <f aca="false">IF(A3671="",0,IF(IFERROR(VLOOKUP(A3671,Skills!$A:$M,13,FALSE()),"")="COS",0,IF(OR(I3671="En cours",I3671="À venir",I3671="À planifier"),IF(AND(OR($C$3="Tous",$C$3="",C3671=$C$3),OR($E$3="Tous",$E$3="",I3671=$E$3)),1,0),0)))</f>
        <v>0</v>
      </c>
      <c r="L3671" s="0" t="n">
        <f aca="false">L3670+K3671</f>
        <v>19</v>
      </c>
    </row>
    <row r="3672" customFormat="false" ht="15" hidden="true" customHeight="true" outlineLevel="0" collapsed="false">
      <c r="K3672" s="0" t="n">
        <f aca="false">IF(A3672="",0,IF(IFERROR(VLOOKUP(A3672,Skills!$A:$M,13,FALSE()),"")="COS",0,IF(OR(I3672="En cours",I3672="À venir",I3672="À planifier"),IF(AND(OR($C$3="Tous",$C$3="",C3672=$C$3),OR($E$3="Tous",$E$3="",I3672=$E$3)),1,0),0)))</f>
        <v>0</v>
      </c>
      <c r="L3672" s="0" t="n">
        <f aca="false">L3671+K3672</f>
        <v>19</v>
      </c>
    </row>
    <row r="3673" customFormat="false" ht="15" hidden="true" customHeight="true" outlineLevel="0" collapsed="false">
      <c r="K3673" s="0" t="n">
        <f aca="false">IF(A3673="",0,IF(IFERROR(VLOOKUP(A3673,Skills!$A:$M,13,FALSE()),"")="COS",0,IF(OR(I3673="En cours",I3673="À venir",I3673="À planifier"),IF(AND(OR($C$3="Tous",$C$3="",C3673=$C$3),OR($E$3="Tous",$E$3="",I3673=$E$3)),1,0),0)))</f>
        <v>0</v>
      </c>
      <c r="L3673" s="0" t="n">
        <f aca="false">L3672+K3673</f>
        <v>19</v>
      </c>
    </row>
    <row r="3674" customFormat="false" ht="15" hidden="true" customHeight="true" outlineLevel="0" collapsed="false">
      <c r="K3674" s="0" t="n">
        <f aca="false">IF(A3674="",0,IF(IFERROR(VLOOKUP(A3674,Skills!$A:$M,13,FALSE()),"")="COS",0,IF(OR(I3674="En cours",I3674="À venir",I3674="À planifier"),IF(AND(OR($C$3="Tous",$C$3="",C3674=$C$3),OR($E$3="Tous",$E$3="",I3674=$E$3)),1,0),0)))</f>
        <v>0</v>
      </c>
      <c r="L3674" s="0" t="n">
        <f aca="false">L3673+K3674</f>
        <v>19</v>
      </c>
    </row>
    <row r="3675" customFormat="false" ht="15" hidden="true" customHeight="true" outlineLevel="0" collapsed="false">
      <c r="K3675" s="0" t="n">
        <f aca="false">IF(A3675="",0,IF(IFERROR(VLOOKUP(A3675,Skills!$A:$M,13,FALSE()),"")="COS",0,IF(OR(I3675="En cours",I3675="À venir",I3675="À planifier"),IF(AND(OR($C$3="Tous",$C$3="",C3675=$C$3),OR($E$3="Tous",$E$3="",I3675=$E$3)),1,0),0)))</f>
        <v>0</v>
      </c>
      <c r="L3675" s="0" t="n">
        <f aca="false">L3674+K3675</f>
        <v>19</v>
      </c>
    </row>
    <row r="3676" customFormat="false" ht="15" hidden="true" customHeight="true" outlineLevel="0" collapsed="false">
      <c r="K3676" s="0" t="n">
        <f aca="false">IF(A3676="",0,IF(IFERROR(VLOOKUP(A3676,Skills!$A:$M,13,FALSE()),"")="COS",0,IF(OR(I3676="En cours",I3676="À venir",I3676="À planifier"),IF(AND(OR($C$3="Tous",$C$3="",C3676=$C$3),OR($E$3="Tous",$E$3="",I3676=$E$3)),1,0),0)))</f>
        <v>0</v>
      </c>
      <c r="L3676" s="0" t="n">
        <f aca="false">L3675+K3676</f>
        <v>19</v>
      </c>
    </row>
    <row r="3677" customFormat="false" ht="15" hidden="true" customHeight="true" outlineLevel="0" collapsed="false">
      <c r="K3677" s="0" t="n">
        <f aca="false">IF(A3677="",0,IF(IFERROR(VLOOKUP(A3677,Skills!$A:$M,13,FALSE()),"")="COS",0,IF(OR(I3677="En cours",I3677="À venir",I3677="À planifier"),IF(AND(OR($C$3="Tous",$C$3="",C3677=$C$3),OR($E$3="Tous",$E$3="",I3677=$E$3)),1,0),0)))</f>
        <v>0</v>
      </c>
      <c r="L3677" s="0" t="n">
        <f aca="false">L3676+K3677</f>
        <v>19</v>
      </c>
    </row>
    <row r="3678" customFormat="false" ht="15" hidden="true" customHeight="true" outlineLevel="0" collapsed="false">
      <c r="K3678" s="0" t="n">
        <f aca="false">IF(A3678="",0,IF(IFERROR(VLOOKUP(A3678,Skills!$A:$M,13,FALSE()),"")="COS",0,IF(OR(I3678="En cours",I3678="À venir",I3678="À planifier"),IF(AND(OR($C$3="Tous",$C$3="",C3678=$C$3),OR($E$3="Tous",$E$3="",I3678=$E$3)),1,0),0)))</f>
        <v>0</v>
      </c>
      <c r="L3678" s="0" t="n">
        <f aca="false">L3677+K3678</f>
        <v>19</v>
      </c>
    </row>
    <row r="3679" customFormat="false" ht="15" hidden="true" customHeight="true" outlineLevel="0" collapsed="false">
      <c r="K3679" s="0" t="n">
        <f aca="false">IF(A3679="",0,IF(IFERROR(VLOOKUP(A3679,Skills!$A:$M,13,FALSE()),"")="COS",0,IF(OR(I3679="En cours",I3679="À venir",I3679="À planifier"),IF(AND(OR($C$3="Tous",$C$3="",C3679=$C$3),OR($E$3="Tous",$E$3="",I3679=$E$3)),1,0),0)))</f>
        <v>0</v>
      </c>
      <c r="L3679" s="0" t="n">
        <f aca="false">L3678+K3679</f>
        <v>19</v>
      </c>
    </row>
    <row r="3680" customFormat="false" ht="15" hidden="true" customHeight="true" outlineLevel="0" collapsed="false">
      <c r="K3680" s="0" t="n">
        <f aca="false">IF(A3680="",0,IF(IFERROR(VLOOKUP(A3680,Skills!$A:$M,13,FALSE()),"")="COS",0,IF(OR(I3680="En cours",I3680="À venir",I3680="À planifier"),IF(AND(OR($C$3="Tous",$C$3="",C3680=$C$3),OR($E$3="Tous",$E$3="",I3680=$E$3)),1,0),0)))</f>
        <v>0</v>
      </c>
      <c r="L3680" s="0" t="n">
        <f aca="false">L3679+K3680</f>
        <v>19</v>
      </c>
    </row>
    <row r="3681" customFormat="false" ht="15" hidden="true" customHeight="true" outlineLevel="0" collapsed="false">
      <c r="K3681" s="0" t="n">
        <f aca="false">IF(A3681="",0,IF(IFERROR(VLOOKUP(A3681,Skills!$A:$M,13,FALSE()),"")="COS",0,IF(OR(I3681="En cours",I3681="À venir",I3681="À planifier"),IF(AND(OR($C$3="Tous",$C$3="",C3681=$C$3),OR($E$3="Tous",$E$3="",I3681=$E$3)),1,0),0)))</f>
        <v>0</v>
      </c>
      <c r="L3681" s="0" t="n">
        <f aca="false">L3680+K3681</f>
        <v>19</v>
      </c>
    </row>
    <row r="3682" customFormat="false" ht="15" hidden="true" customHeight="true" outlineLevel="0" collapsed="false">
      <c r="K3682" s="0" t="n">
        <f aca="false">IF(A3682="",0,IF(IFERROR(VLOOKUP(A3682,Skills!$A:$M,13,FALSE()),"")="COS",0,IF(OR(I3682="En cours",I3682="À venir",I3682="À planifier"),IF(AND(OR($C$3="Tous",$C$3="",C3682=$C$3),OR($E$3="Tous",$E$3="",I3682=$E$3)),1,0),0)))</f>
        <v>0</v>
      </c>
      <c r="L3682" s="0" t="n">
        <f aca="false">L3681+K3682</f>
        <v>19</v>
      </c>
    </row>
    <row r="3683" customFormat="false" ht="15" hidden="true" customHeight="true" outlineLevel="0" collapsed="false">
      <c r="K3683" s="0" t="n">
        <f aca="false">IF(A3683="",0,IF(IFERROR(VLOOKUP(A3683,Skills!$A:$M,13,FALSE()),"")="COS",0,IF(OR(I3683="En cours",I3683="À venir",I3683="À planifier"),IF(AND(OR($C$3="Tous",$C$3="",C3683=$C$3),OR($E$3="Tous",$E$3="",I3683=$E$3)),1,0),0)))</f>
        <v>0</v>
      </c>
      <c r="L3683" s="0" t="n">
        <f aca="false">L3682+K3683</f>
        <v>19</v>
      </c>
    </row>
    <row r="3684" customFormat="false" ht="15" hidden="true" customHeight="true" outlineLevel="0" collapsed="false">
      <c r="K3684" s="0" t="n">
        <f aca="false">IF(A3684="",0,IF(IFERROR(VLOOKUP(A3684,Skills!$A:$M,13,FALSE()),"")="COS",0,IF(OR(I3684="En cours",I3684="À venir",I3684="À planifier"),IF(AND(OR($C$3="Tous",$C$3="",C3684=$C$3),OR($E$3="Tous",$E$3="",I3684=$E$3)),1,0),0)))</f>
        <v>0</v>
      </c>
      <c r="L3684" s="0" t="n">
        <f aca="false">L3683+K3684</f>
        <v>19</v>
      </c>
    </row>
    <row r="3685" customFormat="false" ht="15" hidden="true" customHeight="true" outlineLevel="0" collapsed="false">
      <c r="K3685" s="0" t="n">
        <f aca="false">IF(A3685="",0,IF(IFERROR(VLOOKUP(A3685,Skills!$A:$M,13,FALSE()),"")="COS",0,IF(OR(I3685="En cours",I3685="À venir",I3685="À planifier"),IF(AND(OR($C$3="Tous",$C$3="",C3685=$C$3),OR($E$3="Tous",$E$3="",I3685=$E$3)),1,0),0)))</f>
        <v>0</v>
      </c>
      <c r="L3685" s="0" t="n">
        <f aca="false">L3684+K3685</f>
        <v>19</v>
      </c>
    </row>
    <row r="3686" customFormat="false" ht="15" hidden="true" customHeight="true" outlineLevel="0" collapsed="false">
      <c r="K3686" s="0" t="n">
        <f aca="false">IF(A3686="",0,IF(IFERROR(VLOOKUP(A3686,Skills!$A:$M,13,FALSE()),"")="COS",0,IF(OR(I3686="En cours",I3686="À venir",I3686="À planifier"),IF(AND(OR($C$3="Tous",$C$3="",C3686=$C$3),OR($E$3="Tous",$E$3="",I3686=$E$3)),1,0),0)))</f>
        <v>0</v>
      </c>
      <c r="L3686" s="0" t="n">
        <f aca="false">L3685+K3686</f>
        <v>19</v>
      </c>
    </row>
    <row r="3687" customFormat="false" ht="15" hidden="true" customHeight="true" outlineLevel="0" collapsed="false">
      <c r="K3687" s="0" t="n">
        <f aca="false">IF(A3687="",0,IF(IFERROR(VLOOKUP(A3687,Skills!$A:$M,13,FALSE()),"")="COS",0,IF(OR(I3687="En cours",I3687="À venir",I3687="À planifier"),IF(AND(OR($C$3="Tous",$C$3="",C3687=$C$3),OR($E$3="Tous",$E$3="",I3687=$E$3)),1,0),0)))</f>
        <v>0</v>
      </c>
      <c r="L3687" s="0" t="n">
        <f aca="false">L3686+K3687</f>
        <v>19</v>
      </c>
    </row>
    <row r="3688" customFormat="false" ht="15" hidden="true" customHeight="true" outlineLevel="0" collapsed="false">
      <c r="K3688" s="0" t="n">
        <f aca="false">IF(A3688="",0,IF(IFERROR(VLOOKUP(A3688,Skills!$A:$M,13,FALSE()),"")="COS",0,IF(OR(I3688="En cours",I3688="À venir",I3688="À planifier"),IF(AND(OR($C$3="Tous",$C$3="",C3688=$C$3),OR($E$3="Tous",$E$3="",I3688=$E$3)),1,0),0)))</f>
        <v>0</v>
      </c>
      <c r="L3688" s="0" t="n">
        <f aca="false">L3687+K3688</f>
        <v>19</v>
      </c>
    </row>
    <row r="3689" customFormat="false" ht="15" hidden="true" customHeight="true" outlineLevel="0" collapsed="false">
      <c r="K3689" s="0" t="n">
        <f aca="false">IF(A3689="",0,IF(IFERROR(VLOOKUP(A3689,Skills!$A:$M,13,FALSE()),"")="COS",0,IF(OR(I3689="En cours",I3689="À venir",I3689="À planifier"),IF(AND(OR($C$3="Tous",$C$3="",C3689=$C$3),OR($E$3="Tous",$E$3="",I3689=$E$3)),1,0),0)))</f>
        <v>0</v>
      </c>
      <c r="L3689" s="0" t="n">
        <f aca="false">L3688+K3689</f>
        <v>19</v>
      </c>
    </row>
    <row r="3690" customFormat="false" ht="15" hidden="true" customHeight="true" outlineLevel="0" collapsed="false">
      <c r="K3690" s="0" t="n">
        <f aca="false">IF(A3690="",0,IF(IFERROR(VLOOKUP(A3690,Skills!$A:$M,13,FALSE()),"")="COS",0,IF(OR(I3690="En cours",I3690="À venir",I3690="À planifier"),IF(AND(OR($C$3="Tous",$C$3="",C3690=$C$3),OR($E$3="Tous",$E$3="",I3690=$E$3)),1,0),0)))</f>
        <v>0</v>
      </c>
      <c r="L3690" s="0" t="n">
        <f aca="false">L3689+K3690</f>
        <v>19</v>
      </c>
    </row>
    <row r="3691" customFormat="false" ht="15" hidden="true" customHeight="true" outlineLevel="0" collapsed="false">
      <c r="K3691" s="0" t="n">
        <f aca="false">IF(A3691="",0,IF(IFERROR(VLOOKUP(A3691,Skills!$A:$M,13,FALSE()),"")="COS",0,IF(OR(I3691="En cours",I3691="À venir",I3691="À planifier"),IF(AND(OR($C$3="Tous",$C$3="",C3691=$C$3),OR($E$3="Tous",$E$3="",I3691=$E$3)),1,0),0)))</f>
        <v>0</v>
      </c>
      <c r="L3691" s="0" t="n">
        <f aca="false">L3690+K3691</f>
        <v>19</v>
      </c>
    </row>
    <row r="3692" customFormat="false" ht="15" hidden="true" customHeight="true" outlineLevel="0" collapsed="false">
      <c r="K3692" s="0" t="n">
        <f aca="false">IF(A3692="",0,IF(IFERROR(VLOOKUP(A3692,Skills!$A:$M,13,FALSE()),"")="COS",0,IF(OR(I3692="En cours",I3692="À venir",I3692="À planifier"),IF(AND(OR($C$3="Tous",$C$3="",C3692=$C$3),OR($E$3="Tous",$E$3="",I3692=$E$3)),1,0),0)))</f>
        <v>0</v>
      </c>
      <c r="L3692" s="0" t="n">
        <f aca="false">L3691+K3692</f>
        <v>19</v>
      </c>
    </row>
    <row r="3693" customFormat="false" ht="15" hidden="true" customHeight="true" outlineLevel="0" collapsed="false">
      <c r="K3693" s="0" t="n">
        <f aca="false">IF(A3693="",0,IF(IFERROR(VLOOKUP(A3693,Skills!$A:$M,13,FALSE()),"")="COS",0,IF(OR(I3693="En cours",I3693="À venir",I3693="À planifier"),IF(AND(OR($C$3="Tous",$C$3="",C3693=$C$3),OR($E$3="Tous",$E$3="",I3693=$E$3)),1,0),0)))</f>
        <v>0</v>
      </c>
      <c r="L3693" s="0" t="n">
        <f aca="false">L3692+K3693</f>
        <v>19</v>
      </c>
    </row>
    <row r="3694" customFormat="false" ht="15" hidden="true" customHeight="true" outlineLevel="0" collapsed="false">
      <c r="K3694" s="0" t="n">
        <f aca="false">IF(A3694="",0,IF(IFERROR(VLOOKUP(A3694,Skills!$A:$M,13,FALSE()),"")="COS",0,IF(OR(I3694="En cours",I3694="À venir",I3694="À planifier"),IF(AND(OR($C$3="Tous",$C$3="",C3694=$C$3),OR($E$3="Tous",$E$3="",I3694=$E$3)),1,0),0)))</f>
        <v>0</v>
      </c>
      <c r="L3694" s="0" t="n">
        <f aca="false">L3693+K3694</f>
        <v>19</v>
      </c>
    </row>
    <row r="3695" customFormat="false" ht="15" hidden="true" customHeight="true" outlineLevel="0" collapsed="false">
      <c r="K3695" s="0" t="n">
        <f aca="false">IF(A3695="",0,IF(IFERROR(VLOOKUP(A3695,Skills!$A:$M,13,FALSE()),"")="COS",0,IF(OR(I3695="En cours",I3695="À venir",I3695="À planifier"),IF(AND(OR($C$3="Tous",$C$3="",C3695=$C$3),OR($E$3="Tous",$E$3="",I3695=$E$3)),1,0),0)))</f>
        <v>0</v>
      </c>
      <c r="L3695" s="0" t="n">
        <f aca="false">L3694+K3695</f>
        <v>19</v>
      </c>
    </row>
    <row r="3696" customFormat="false" ht="15" hidden="true" customHeight="true" outlineLevel="0" collapsed="false">
      <c r="K3696" s="0" t="n">
        <f aca="false">IF(A3696="",0,IF(IFERROR(VLOOKUP(A3696,Skills!$A:$M,13,FALSE()),"")="COS",0,IF(OR(I3696="En cours",I3696="À venir",I3696="À planifier"),IF(AND(OR($C$3="Tous",$C$3="",C3696=$C$3),OR($E$3="Tous",$E$3="",I3696=$E$3)),1,0),0)))</f>
        <v>0</v>
      </c>
      <c r="L3696" s="0" t="n">
        <f aca="false">L3695+K3696</f>
        <v>19</v>
      </c>
    </row>
    <row r="3697" customFormat="false" ht="15" hidden="true" customHeight="true" outlineLevel="0" collapsed="false">
      <c r="K3697" s="0" t="n">
        <f aca="false">IF(A3697="",0,IF(IFERROR(VLOOKUP(A3697,Skills!$A:$M,13,FALSE()),"")="COS",0,IF(OR(I3697="En cours",I3697="À venir",I3697="À planifier"),IF(AND(OR($C$3="Tous",$C$3="",C3697=$C$3),OR($E$3="Tous",$E$3="",I3697=$E$3)),1,0),0)))</f>
        <v>0</v>
      </c>
      <c r="L3697" s="0" t="n">
        <f aca="false">L3696+K3697</f>
        <v>19</v>
      </c>
    </row>
    <row r="3698" customFormat="false" ht="15" hidden="true" customHeight="true" outlineLevel="0" collapsed="false">
      <c r="K3698" s="0" t="n">
        <f aca="false">IF(A3698="",0,IF(IFERROR(VLOOKUP(A3698,Skills!$A:$M,13,FALSE()),"")="COS",0,IF(OR(I3698="En cours",I3698="À venir",I3698="À planifier"),IF(AND(OR($C$3="Tous",$C$3="",C3698=$C$3),OR($E$3="Tous",$E$3="",I3698=$E$3)),1,0),0)))</f>
        <v>0</v>
      </c>
      <c r="L3698" s="0" t="n">
        <f aca="false">L3697+K3698</f>
        <v>19</v>
      </c>
    </row>
    <row r="3699" customFormat="false" ht="15" hidden="true" customHeight="true" outlineLevel="0" collapsed="false">
      <c r="K3699" s="0" t="n">
        <f aca="false">IF(A3699="",0,IF(IFERROR(VLOOKUP(A3699,Skills!$A:$M,13,FALSE()),"")="COS",0,IF(OR(I3699="En cours",I3699="À venir",I3699="À planifier"),IF(AND(OR($C$3="Tous",$C$3="",C3699=$C$3),OR($E$3="Tous",$E$3="",I3699=$E$3)),1,0),0)))</f>
        <v>0</v>
      </c>
      <c r="L3699" s="0" t="n">
        <f aca="false">L3698+K3699</f>
        <v>19</v>
      </c>
    </row>
    <row r="3700" customFormat="false" ht="15" hidden="true" customHeight="true" outlineLevel="0" collapsed="false">
      <c r="K3700" s="0" t="n">
        <f aca="false">IF(A3700="",0,IF(IFERROR(VLOOKUP(A3700,Skills!$A:$M,13,FALSE()),"")="COS",0,IF(OR(I3700="En cours",I3700="À venir",I3700="À planifier"),IF(AND(OR($C$3="Tous",$C$3="",C3700=$C$3),OR($E$3="Tous",$E$3="",I3700=$E$3)),1,0),0)))</f>
        <v>0</v>
      </c>
      <c r="L3700" s="0" t="n">
        <f aca="false">L3699+K3700</f>
        <v>19</v>
      </c>
    </row>
    <row r="3701" customFormat="false" ht="15" hidden="true" customHeight="true" outlineLevel="0" collapsed="false">
      <c r="K3701" s="0" t="n">
        <f aca="false">IF(A3701="",0,IF(IFERROR(VLOOKUP(A3701,Skills!$A:$M,13,FALSE()),"")="COS",0,IF(OR(I3701="En cours",I3701="À venir",I3701="À planifier"),IF(AND(OR($C$3="Tous",$C$3="",C3701=$C$3),OR($E$3="Tous",$E$3="",I3701=$E$3)),1,0),0)))</f>
        <v>0</v>
      </c>
      <c r="L3701" s="0" t="n">
        <f aca="false">L3700+K3701</f>
        <v>19</v>
      </c>
    </row>
    <row r="3702" customFormat="false" ht="15" hidden="true" customHeight="true" outlineLevel="0" collapsed="false">
      <c r="K3702" s="0" t="n">
        <f aca="false">IF(A3702="",0,IF(IFERROR(VLOOKUP(A3702,Skills!$A:$M,13,FALSE()),"")="COS",0,IF(OR(I3702="En cours",I3702="À venir",I3702="À planifier"),IF(AND(OR($C$3="Tous",$C$3="",C3702=$C$3),OR($E$3="Tous",$E$3="",I3702=$E$3)),1,0),0)))</f>
        <v>0</v>
      </c>
      <c r="L3702" s="0" t="n">
        <f aca="false">L3701+K3702</f>
        <v>19</v>
      </c>
    </row>
    <row r="3703" customFormat="false" ht="15" hidden="true" customHeight="true" outlineLevel="0" collapsed="false">
      <c r="K3703" s="0" t="n">
        <f aca="false">IF(A3703="",0,IF(IFERROR(VLOOKUP(A3703,Skills!$A:$M,13,FALSE()),"")="COS",0,IF(OR(I3703="En cours",I3703="À venir",I3703="À planifier"),IF(AND(OR($C$3="Tous",$C$3="",C3703=$C$3),OR($E$3="Tous",$E$3="",I3703=$E$3)),1,0),0)))</f>
        <v>0</v>
      </c>
      <c r="L3703" s="0" t="n">
        <f aca="false">L3702+K3703</f>
        <v>19</v>
      </c>
    </row>
    <row r="3704" customFormat="false" ht="15" hidden="true" customHeight="true" outlineLevel="0" collapsed="false">
      <c r="K3704" s="0" t="n">
        <f aca="false">IF(A3704="",0,IF(IFERROR(VLOOKUP(A3704,Skills!$A:$M,13,FALSE()),"")="COS",0,IF(OR(I3704="En cours",I3704="À venir",I3704="À planifier"),IF(AND(OR($C$3="Tous",$C$3="",C3704=$C$3),OR($E$3="Tous",$E$3="",I3704=$E$3)),1,0),0)))</f>
        <v>0</v>
      </c>
      <c r="L3704" s="0" t="n">
        <f aca="false">L3703+K3704</f>
        <v>19</v>
      </c>
    </row>
    <row r="3705" customFormat="false" ht="15" hidden="true" customHeight="true" outlineLevel="0" collapsed="false">
      <c r="K3705" s="0" t="n">
        <f aca="false">IF(A3705="",0,IF(IFERROR(VLOOKUP(A3705,Skills!$A:$M,13,FALSE()),"")="COS",0,IF(OR(I3705="En cours",I3705="À venir",I3705="À planifier"),IF(AND(OR($C$3="Tous",$C$3="",C3705=$C$3),OR($E$3="Tous",$E$3="",I3705=$E$3)),1,0),0)))</f>
        <v>0</v>
      </c>
      <c r="L3705" s="0" t="n">
        <f aca="false">L3704+K3705</f>
        <v>19</v>
      </c>
    </row>
    <row r="3706" customFormat="false" ht="15" hidden="true" customHeight="true" outlineLevel="0" collapsed="false">
      <c r="K3706" s="0" t="n">
        <f aca="false">IF(A3706="",0,IF(IFERROR(VLOOKUP(A3706,Skills!$A:$M,13,FALSE()),"")="COS",0,IF(OR(I3706="En cours",I3706="À venir",I3706="À planifier"),IF(AND(OR($C$3="Tous",$C$3="",C3706=$C$3),OR($E$3="Tous",$E$3="",I3706=$E$3)),1,0),0)))</f>
        <v>0</v>
      </c>
      <c r="L3706" s="0" t="n">
        <f aca="false">L3705+K3706</f>
        <v>19</v>
      </c>
    </row>
    <row r="3707" customFormat="false" ht="15" hidden="true" customHeight="true" outlineLevel="0" collapsed="false">
      <c r="K3707" s="0" t="n">
        <f aca="false">IF(A3707="",0,IF(IFERROR(VLOOKUP(A3707,Skills!$A:$M,13,FALSE()),"")="COS",0,IF(OR(I3707="En cours",I3707="À venir",I3707="À planifier"),IF(AND(OR($C$3="Tous",$C$3="",C3707=$C$3),OR($E$3="Tous",$E$3="",I3707=$E$3)),1,0),0)))</f>
        <v>0</v>
      </c>
      <c r="L3707" s="0" t="n">
        <f aca="false">L3706+K3707</f>
        <v>19</v>
      </c>
    </row>
    <row r="3708" customFormat="false" ht="15" hidden="true" customHeight="true" outlineLevel="0" collapsed="false">
      <c r="K3708" s="0" t="n">
        <f aca="false">IF(A3708="",0,IF(IFERROR(VLOOKUP(A3708,Skills!$A:$M,13,FALSE()),"")="COS",0,IF(OR(I3708="En cours",I3708="À venir",I3708="À planifier"),IF(AND(OR($C$3="Tous",$C$3="",C3708=$C$3),OR($E$3="Tous",$E$3="",I3708=$E$3)),1,0),0)))</f>
        <v>0</v>
      </c>
      <c r="L3708" s="0" t="n">
        <f aca="false">L3707+K3708</f>
        <v>19</v>
      </c>
    </row>
    <row r="3709" customFormat="false" ht="15" hidden="true" customHeight="true" outlineLevel="0" collapsed="false">
      <c r="K3709" s="0" t="n">
        <f aca="false">IF(A3709="",0,IF(IFERROR(VLOOKUP(A3709,Skills!$A:$M,13,FALSE()),"")="COS",0,IF(OR(I3709="En cours",I3709="À venir",I3709="À planifier"),IF(AND(OR($C$3="Tous",$C$3="",C3709=$C$3),OR($E$3="Tous",$E$3="",I3709=$E$3)),1,0),0)))</f>
        <v>0</v>
      </c>
      <c r="L3709" s="0" t="n">
        <f aca="false">L3708+K3709</f>
        <v>19</v>
      </c>
    </row>
    <row r="3710" customFormat="false" ht="15" hidden="true" customHeight="true" outlineLevel="0" collapsed="false">
      <c r="K3710" s="0" t="n">
        <f aca="false">IF(A3710="",0,IF(IFERROR(VLOOKUP(A3710,Skills!$A:$M,13,FALSE()),"")="COS",0,IF(OR(I3710="En cours",I3710="À venir",I3710="À planifier"),IF(AND(OR($C$3="Tous",$C$3="",C3710=$C$3),OR($E$3="Tous",$E$3="",I3710=$E$3)),1,0),0)))</f>
        <v>0</v>
      </c>
      <c r="L3710" s="0" t="n">
        <f aca="false">L3709+K3710</f>
        <v>19</v>
      </c>
    </row>
    <row r="3711" customFormat="false" ht="15" hidden="true" customHeight="true" outlineLevel="0" collapsed="false">
      <c r="K3711" s="0" t="n">
        <f aca="false">IF(A3711="",0,IF(IFERROR(VLOOKUP(A3711,Skills!$A:$M,13,FALSE()),"")="COS",0,IF(OR(I3711="En cours",I3711="À venir",I3711="À planifier"),IF(AND(OR($C$3="Tous",$C$3="",C3711=$C$3),OR($E$3="Tous",$E$3="",I3711=$E$3)),1,0),0)))</f>
        <v>0</v>
      </c>
      <c r="L3711" s="0" t="n">
        <f aca="false">L3710+K3711</f>
        <v>19</v>
      </c>
    </row>
    <row r="3712" customFormat="false" ht="15" hidden="true" customHeight="true" outlineLevel="0" collapsed="false">
      <c r="K3712" s="0" t="n">
        <f aca="false">IF(A3712="",0,IF(IFERROR(VLOOKUP(A3712,Skills!$A:$M,13,FALSE()),"")="COS",0,IF(OR(I3712="En cours",I3712="À venir",I3712="À planifier"),IF(AND(OR($C$3="Tous",$C$3="",C3712=$C$3),OR($E$3="Tous",$E$3="",I3712=$E$3)),1,0),0)))</f>
        <v>0</v>
      </c>
      <c r="L3712" s="0" t="n">
        <f aca="false">L3711+K3712</f>
        <v>19</v>
      </c>
    </row>
    <row r="3713" customFormat="false" ht="15" hidden="true" customHeight="true" outlineLevel="0" collapsed="false">
      <c r="K3713" s="0" t="n">
        <f aca="false">IF(A3713="",0,IF(IFERROR(VLOOKUP(A3713,Skills!$A:$M,13,FALSE()),"")="COS",0,IF(OR(I3713="En cours",I3713="À venir",I3713="À planifier"),IF(AND(OR($C$3="Tous",$C$3="",C3713=$C$3),OR($E$3="Tous",$E$3="",I3713=$E$3)),1,0),0)))</f>
        <v>0</v>
      </c>
      <c r="L3713" s="0" t="n">
        <f aca="false">L3712+K3713</f>
        <v>19</v>
      </c>
    </row>
    <row r="3714" customFormat="false" ht="15" hidden="true" customHeight="true" outlineLevel="0" collapsed="false">
      <c r="K3714" s="0" t="n">
        <f aca="false">IF(A3714="",0,IF(IFERROR(VLOOKUP(A3714,Skills!$A:$M,13,FALSE()),"")="COS",0,IF(OR(I3714="En cours",I3714="À venir",I3714="À planifier"),IF(AND(OR($C$3="Tous",$C$3="",C3714=$C$3),OR($E$3="Tous",$E$3="",I3714=$E$3)),1,0),0)))</f>
        <v>0</v>
      </c>
      <c r="L3714" s="0" t="n">
        <f aca="false">L3713+K3714</f>
        <v>19</v>
      </c>
    </row>
    <row r="3715" customFormat="false" ht="15" hidden="true" customHeight="true" outlineLevel="0" collapsed="false">
      <c r="K3715" s="0" t="n">
        <f aca="false">IF(A3715="",0,IF(IFERROR(VLOOKUP(A3715,Skills!$A:$M,13,FALSE()),"")="COS",0,IF(OR(I3715="En cours",I3715="À venir",I3715="À planifier"),IF(AND(OR($C$3="Tous",$C$3="",C3715=$C$3),OR($E$3="Tous",$E$3="",I3715=$E$3)),1,0),0)))</f>
        <v>0</v>
      </c>
      <c r="L3715" s="0" t="n">
        <f aca="false">L3714+K3715</f>
        <v>19</v>
      </c>
    </row>
    <row r="3716" customFormat="false" ht="15" hidden="true" customHeight="true" outlineLevel="0" collapsed="false">
      <c r="K3716" s="0" t="n">
        <f aca="false">IF(A3716="",0,IF(IFERROR(VLOOKUP(A3716,Skills!$A:$M,13,FALSE()),"")="COS",0,IF(OR(I3716="En cours",I3716="À venir",I3716="À planifier"),IF(AND(OR($C$3="Tous",$C$3="",C3716=$C$3),OR($E$3="Tous",$E$3="",I3716=$E$3)),1,0),0)))</f>
        <v>0</v>
      </c>
      <c r="L3716" s="0" t="n">
        <f aca="false">L3715+K3716</f>
        <v>19</v>
      </c>
    </row>
    <row r="3717" customFormat="false" ht="15" hidden="true" customHeight="true" outlineLevel="0" collapsed="false">
      <c r="K3717" s="0" t="n">
        <f aca="false">IF(A3717="",0,IF(IFERROR(VLOOKUP(A3717,Skills!$A:$M,13,FALSE()),"")="COS",0,IF(OR(I3717="En cours",I3717="À venir",I3717="À planifier"),IF(AND(OR($C$3="Tous",$C$3="",C3717=$C$3),OR($E$3="Tous",$E$3="",I3717=$E$3)),1,0),0)))</f>
        <v>0</v>
      </c>
      <c r="L3717" s="0" t="n">
        <f aca="false">L3716+K3717</f>
        <v>19</v>
      </c>
    </row>
    <row r="3718" customFormat="false" ht="15" hidden="true" customHeight="true" outlineLevel="0" collapsed="false">
      <c r="K3718" s="0" t="n">
        <f aca="false">IF(A3718="",0,IF(IFERROR(VLOOKUP(A3718,Skills!$A:$M,13,FALSE()),"")="COS",0,IF(OR(I3718="En cours",I3718="À venir",I3718="À planifier"),IF(AND(OR($C$3="Tous",$C$3="",C3718=$C$3),OR($E$3="Tous",$E$3="",I3718=$E$3)),1,0),0)))</f>
        <v>0</v>
      </c>
      <c r="L3718" s="0" t="n">
        <f aca="false">L3717+K3718</f>
        <v>19</v>
      </c>
    </row>
    <row r="3719" customFormat="false" ht="15" hidden="true" customHeight="true" outlineLevel="0" collapsed="false">
      <c r="K3719" s="0" t="n">
        <f aca="false">IF(A3719="",0,IF(IFERROR(VLOOKUP(A3719,Skills!$A:$M,13,FALSE()),"")="COS",0,IF(OR(I3719="En cours",I3719="À venir",I3719="À planifier"),IF(AND(OR($C$3="Tous",$C$3="",C3719=$C$3),OR($E$3="Tous",$E$3="",I3719=$E$3)),1,0),0)))</f>
        <v>0</v>
      </c>
      <c r="L3719" s="0" t="n">
        <f aca="false">L3718+K3719</f>
        <v>19</v>
      </c>
    </row>
    <row r="3720" customFormat="false" ht="15" hidden="true" customHeight="true" outlineLevel="0" collapsed="false">
      <c r="K3720" s="0" t="n">
        <f aca="false">IF(A3720="",0,IF(IFERROR(VLOOKUP(A3720,Skills!$A:$M,13,FALSE()),"")="COS",0,IF(OR(I3720="En cours",I3720="À venir",I3720="À planifier"),IF(AND(OR($C$3="Tous",$C$3="",C3720=$C$3),OR($E$3="Tous",$E$3="",I3720=$E$3)),1,0),0)))</f>
        <v>0</v>
      </c>
      <c r="L3720" s="0" t="n">
        <f aca="false">L3719+K3720</f>
        <v>19</v>
      </c>
    </row>
    <row r="3721" customFormat="false" ht="15" hidden="true" customHeight="true" outlineLevel="0" collapsed="false">
      <c r="K3721" s="0" t="n">
        <f aca="false">IF(A3721="",0,IF(IFERROR(VLOOKUP(A3721,Skills!$A:$M,13,FALSE()),"")="COS",0,IF(OR(I3721="En cours",I3721="À venir",I3721="À planifier"),IF(AND(OR($C$3="Tous",$C$3="",C3721=$C$3),OR($E$3="Tous",$E$3="",I3721=$E$3)),1,0),0)))</f>
        <v>0</v>
      </c>
      <c r="L3721" s="0" t="n">
        <f aca="false">L3720+K3721</f>
        <v>19</v>
      </c>
    </row>
    <row r="3722" customFormat="false" ht="15" hidden="true" customHeight="true" outlineLevel="0" collapsed="false">
      <c r="K3722" s="0" t="n">
        <f aca="false">IF(A3722="",0,IF(IFERROR(VLOOKUP(A3722,Skills!$A:$M,13,FALSE()),"")="COS",0,IF(OR(I3722="En cours",I3722="À venir",I3722="À planifier"),IF(AND(OR($C$3="Tous",$C$3="",C3722=$C$3),OR($E$3="Tous",$E$3="",I3722=$E$3)),1,0),0)))</f>
        <v>0</v>
      </c>
      <c r="L3722" s="0" t="n">
        <f aca="false">L3721+K3722</f>
        <v>19</v>
      </c>
    </row>
    <row r="3723" customFormat="false" ht="15" hidden="true" customHeight="true" outlineLevel="0" collapsed="false">
      <c r="K3723" s="0" t="n">
        <f aca="false">IF(A3723="",0,IF(IFERROR(VLOOKUP(A3723,Skills!$A:$M,13,FALSE()),"")="COS",0,IF(OR(I3723="En cours",I3723="À venir",I3723="À planifier"),IF(AND(OR($C$3="Tous",$C$3="",C3723=$C$3),OR($E$3="Tous",$E$3="",I3723=$E$3)),1,0),0)))</f>
        <v>0</v>
      </c>
      <c r="L3723" s="0" t="n">
        <f aca="false">L3722+K3723</f>
        <v>19</v>
      </c>
    </row>
    <row r="3724" customFormat="false" ht="15" hidden="true" customHeight="true" outlineLevel="0" collapsed="false">
      <c r="K3724" s="0" t="n">
        <f aca="false">IF(A3724="",0,IF(IFERROR(VLOOKUP(A3724,Skills!$A:$M,13,FALSE()),"")="COS",0,IF(OR(I3724="En cours",I3724="À venir",I3724="À planifier"),IF(AND(OR($C$3="Tous",$C$3="",C3724=$C$3),OR($E$3="Tous",$E$3="",I3724=$E$3)),1,0),0)))</f>
        <v>0</v>
      </c>
      <c r="L3724" s="0" t="n">
        <f aca="false">L3723+K3724</f>
        <v>19</v>
      </c>
    </row>
    <row r="3725" customFormat="false" ht="15" hidden="true" customHeight="true" outlineLevel="0" collapsed="false">
      <c r="K3725" s="0" t="n">
        <f aca="false">IF(A3725="",0,IF(IFERROR(VLOOKUP(A3725,Skills!$A:$M,13,FALSE()),"")="COS",0,IF(OR(I3725="En cours",I3725="À venir",I3725="À planifier"),IF(AND(OR($C$3="Tous",$C$3="",C3725=$C$3),OR($E$3="Tous",$E$3="",I3725=$E$3)),1,0),0)))</f>
        <v>0</v>
      </c>
      <c r="L3725" s="0" t="n">
        <f aca="false">L3724+K3725</f>
        <v>19</v>
      </c>
    </row>
    <row r="3726" customFormat="false" ht="15" hidden="true" customHeight="true" outlineLevel="0" collapsed="false">
      <c r="K3726" s="0" t="n">
        <f aca="false">IF(A3726="",0,IF(IFERROR(VLOOKUP(A3726,Skills!$A:$M,13,FALSE()),"")="COS",0,IF(OR(I3726="En cours",I3726="À venir",I3726="À planifier"),IF(AND(OR($C$3="Tous",$C$3="",C3726=$C$3),OR($E$3="Tous",$E$3="",I3726=$E$3)),1,0),0)))</f>
        <v>0</v>
      </c>
      <c r="L3726" s="0" t="n">
        <f aca="false">L3725+K3726</f>
        <v>19</v>
      </c>
    </row>
    <row r="3727" customFormat="false" ht="15" hidden="true" customHeight="true" outlineLevel="0" collapsed="false">
      <c r="K3727" s="0" t="n">
        <f aca="false">IF(A3727="",0,IF(IFERROR(VLOOKUP(A3727,Skills!$A:$M,13,FALSE()),"")="COS",0,IF(OR(I3727="En cours",I3727="À venir",I3727="À planifier"),IF(AND(OR($C$3="Tous",$C$3="",C3727=$C$3),OR($E$3="Tous",$E$3="",I3727=$E$3)),1,0),0)))</f>
        <v>0</v>
      </c>
      <c r="L3727" s="0" t="n">
        <f aca="false">L3726+K3727</f>
        <v>19</v>
      </c>
    </row>
    <row r="3728" customFormat="false" ht="15" hidden="true" customHeight="true" outlineLevel="0" collapsed="false">
      <c r="K3728" s="0" t="n">
        <f aca="false">IF(A3728="",0,IF(IFERROR(VLOOKUP(A3728,Skills!$A:$M,13,FALSE()),"")="COS",0,IF(OR(I3728="En cours",I3728="À venir",I3728="À planifier"),IF(AND(OR($C$3="Tous",$C$3="",C3728=$C$3),OR($E$3="Tous",$E$3="",I3728=$E$3)),1,0),0)))</f>
        <v>0</v>
      </c>
      <c r="L3728" s="0" t="n">
        <f aca="false">L3727+K3728</f>
        <v>19</v>
      </c>
    </row>
    <row r="3729" customFormat="false" ht="15" hidden="true" customHeight="true" outlineLevel="0" collapsed="false">
      <c r="K3729" s="0" t="n">
        <f aca="false">IF(A3729="",0,IF(IFERROR(VLOOKUP(A3729,Skills!$A:$M,13,FALSE()),"")="COS",0,IF(OR(I3729="En cours",I3729="À venir",I3729="À planifier"),IF(AND(OR($C$3="Tous",$C$3="",C3729=$C$3),OR($E$3="Tous",$E$3="",I3729=$E$3)),1,0),0)))</f>
        <v>0</v>
      </c>
      <c r="L3729" s="0" t="n">
        <f aca="false">L3728+K3729</f>
        <v>19</v>
      </c>
    </row>
    <row r="3730" customFormat="false" ht="15" hidden="true" customHeight="true" outlineLevel="0" collapsed="false">
      <c r="K3730" s="0" t="n">
        <f aca="false">IF(A3730="",0,IF(IFERROR(VLOOKUP(A3730,Skills!$A:$M,13,FALSE()),"")="COS",0,IF(OR(I3730="En cours",I3730="À venir",I3730="À planifier"),IF(AND(OR($C$3="Tous",$C$3="",C3730=$C$3),OR($E$3="Tous",$E$3="",I3730=$E$3)),1,0),0)))</f>
        <v>0</v>
      </c>
      <c r="L3730" s="0" t="n">
        <f aca="false">L3729+K3730</f>
        <v>19</v>
      </c>
    </row>
    <row r="3731" customFormat="false" ht="15" hidden="true" customHeight="true" outlineLevel="0" collapsed="false">
      <c r="K3731" s="0" t="n">
        <f aca="false">IF(A3731="",0,IF(IFERROR(VLOOKUP(A3731,Skills!$A:$M,13,FALSE()),"")="COS",0,IF(OR(I3731="En cours",I3731="À venir",I3731="À planifier"),IF(AND(OR($C$3="Tous",$C$3="",C3731=$C$3),OR($E$3="Tous",$E$3="",I3731=$E$3)),1,0),0)))</f>
        <v>0</v>
      </c>
      <c r="L3731" s="0" t="n">
        <f aca="false">L3730+K3731</f>
        <v>19</v>
      </c>
    </row>
    <row r="3732" customFormat="false" ht="15" hidden="true" customHeight="true" outlineLevel="0" collapsed="false">
      <c r="K3732" s="0" t="n">
        <f aca="false">IF(A3732="",0,IF(IFERROR(VLOOKUP(A3732,Skills!$A:$M,13,FALSE()),"")="COS",0,IF(OR(I3732="En cours",I3732="À venir",I3732="À planifier"),IF(AND(OR($C$3="Tous",$C$3="",C3732=$C$3),OR($E$3="Tous",$E$3="",I3732=$E$3)),1,0),0)))</f>
        <v>0</v>
      </c>
      <c r="L3732" s="0" t="n">
        <f aca="false">L3731+K3732</f>
        <v>19</v>
      </c>
    </row>
    <row r="3733" customFormat="false" ht="15" hidden="true" customHeight="true" outlineLevel="0" collapsed="false">
      <c r="K3733" s="0" t="n">
        <f aca="false">IF(A3733="",0,IF(IFERROR(VLOOKUP(A3733,Skills!$A:$M,13,FALSE()),"")="COS",0,IF(OR(I3733="En cours",I3733="À venir",I3733="À planifier"),IF(AND(OR($C$3="Tous",$C$3="",C3733=$C$3),OR($E$3="Tous",$E$3="",I3733=$E$3)),1,0),0)))</f>
        <v>0</v>
      </c>
      <c r="L3733" s="0" t="n">
        <f aca="false">L3732+K3733</f>
        <v>19</v>
      </c>
    </row>
    <row r="3734" customFormat="false" ht="15" hidden="true" customHeight="true" outlineLevel="0" collapsed="false">
      <c r="K3734" s="0" t="n">
        <f aca="false">IF(A3734="",0,IF(IFERROR(VLOOKUP(A3734,Skills!$A:$M,13,FALSE()),"")="COS",0,IF(OR(I3734="En cours",I3734="À venir",I3734="À planifier"),IF(AND(OR($C$3="Tous",$C$3="",C3734=$C$3),OR($E$3="Tous",$E$3="",I3734=$E$3)),1,0),0)))</f>
        <v>0</v>
      </c>
      <c r="L3734" s="0" t="n">
        <f aca="false">L3733+K3734</f>
        <v>19</v>
      </c>
    </row>
    <row r="3735" customFormat="false" ht="15" hidden="true" customHeight="true" outlineLevel="0" collapsed="false">
      <c r="K3735" s="0" t="n">
        <f aca="false">IF(A3735="",0,IF(IFERROR(VLOOKUP(A3735,Skills!$A:$M,13,FALSE()),"")="COS",0,IF(OR(I3735="En cours",I3735="À venir",I3735="À planifier"),IF(AND(OR($C$3="Tous",$C$3="",C3735=$C$3),OR($E$3="Tous",$E$3="",I3735=$E$3)),1,0),0)))</f>
        <v>0</v>
      </c>
      <c r="L3735" s="0" t="n">
        <f aca="false">L3734+K3735</f>
        <v>19</v>
      </c>
    </row>
    <row r="3736" customFormat="false" ht="15" hidden="true" customHeight="true" outlineLevel="0" collapsed="false">
      <c r="K3736" s="0" t="n">
        <f aca="false">IF(A3736="",0,IF(IFERROR(VLOOKUP(A3736,Skills!$A:$M,13,FALSE()),"")="COS",0,IF(OR(I3736="En cours",I3736="À venir",I3736="À planifier"),IF(AND(OR($C$3="Tous",$C$3="",C3736=$C$3),OR($E$3="Tous",$E$3="",I3736=$E$3)),1,0),0)))</f>
        <v>0</v>
      </c>
      <c r="L3736" s="0" t="n">
        <f aca="false">L3735+K3736</f>
        <v>19</v>
      </c>
    </row>
    <row r="3737" customFormat="false" ht="15" hidden="true" customHeight="true" outlineLevel="0" collapsed="false">
      <c r="K3737" s="0" t="n">
        <f aca="false">IF(A3737="",0,IF(IFERROR(VLOOKUP(A3737,Skills!$A:$M,13,FALSE()),"")="COS",0,IF(OR(I3737="En cours",I3737="À venir",I3737="À planifier"),IF(AND(OR($C$3="Tous",$C$3="",C3737=$C$3),OR($E$3="Tous",$E$3="",I3737=$E$3)),1,0),0)))</f>
        <v>0</v>
      </c>
      <c r="L3737" s="0" t="n">
        <f aca="false">L3736+K3737</f>
        <v>19</v>
      </c>
    </row>
    <row r="3738" customFormat="false" ht="15" hidden="true" customHeight="true" outlineLevel="0" collapsed="false">
      <c r="K3738" s="0" t="n">
        <f aca="false">IF(A3738="",0,IF(IFERROR(VLOOKUP(A3738,Skills!$A:$M,13,FALSE()),"")="COS",0,IF(OR(I3738="En cours",I3738="À venir",I3738="À planifier"),IF(AND(OR($C$3="Tous",$C$3="",C3738=$C$3),OR($E$3="Tous",$E$3="",I3738=$E$3)),1,0),0)))</f>
        <v>0</v>
      </c>
      <c r="L3738" s="0" t="n">
        <f aca="false">L3737+K3738</f>
        <v>19</v>
      </c>
    </row>
    <row r="3739" customFormat="false" ht="15" hidden="true" customHeight="true" outlineLevel="0" collapsed="false">
      <c r="K3739" s="0" t="n">
        <f aca="false">IF(A3739="",0,IF(IFERROR(VLOOKUP(A3739,Skills!$A:$M,13,FALSE()),"")="COS",0,IF(OR(I3739="En cours",I3739="À venir",I3739="À planifier"),IF(AND(OR($C$3="Tous",$C$3="",C3739=$C$3),OR($E$3="Tous",$E$3="",I3739=$E$3)),1,0),0)))</f>
        <v>0</v>
      </c>
      <c r="L3739" s="0" t="n">
        <f aca="false">L3738+K3739</f>
        <v>19</v>
      </c>
    </row>
    <row r="3740" customFormat="false" ht="15" hidden="true" customHeight="true" outlineLevel="0" collapsed="false">
      <c r="K3740" s="0" t="n">
        <f aca="false">IF(A3740="",0,IF(IFERROR(VLOOKUP(A3740,Skills!$A:$M,13,FALSE()),"")="COS",0,IF(OR(I3740="En cours",I3740="À venir",I3740="À planifier"),IF(AND(OR($C$3="Tous",$C$3="",C3740=$C$3),OR($E$3="Tous",$E$3="",I3740=$E$3)),1,0),0)))</f>
        <v>0</v>
      </c>
      <c r="L3740" s="0" t="n">
        <f aca="false">L3739+K3740</f>
        <v>19</v>
      </c>
    </row>
    <row r="3741" customFormat="false" ht="15" hidden="true" customHeight="true" outlineLevel="0" collapsed="false">
      <c r="K3741" s="0" t="n">
        <f aca="false">IF(A3741="",0,IF(IFERROR(VLOOKUP(A3741,Skills!$A:$M,13,FALSE()),"")="COS",0,IF(OR(I3741="En cours",I3741="À venir",I3741="À planifier"),IF(AND(OR($C$3="Tous",$C$3="",C3741=$C$3),OR($E$3="Tous",$E$3="",I3741=$E$3)),1,0),0)))</f>
        <v>0</v>
      </c>
      <c r="L3741" s="0" t="n">
        <f aca="false">L3740+K3741</f>
        <v>19</v>
      </c>
    </row>
    <row r="3742" customFormat="false" ht="15" hidden="true" customHeight="true" outlineLevel="0" collapsed="false">
      <c r="K3742" s="0" t="n">
        <f aca="false">IF(A3742="",0,IF(IFERROR(VLOOKUP(A3742,Skills!$A:$M,13,FALSE()),"")="COS",0,IF(OR(I3742="En cours",I3742="À venir",I3742="À planifier"),IF(AND(OR($C$3="Tous",$C$3="",C3742=$C$3),OR($E$3="Tous",$E$3="",I3742=$E$3)),1,0),0)))</f>
        <v>0</v>
      </c>
      <c r="L3742" s="0" t="n">
        <f aca="false">L3741+K3742</f>
        <v>19</v>
      </c>
    </row>
    <row r="3743" customFormat="false" ht="15" hidden="true" customHeight="true" outlineLevel="0" collapsed="false">
      <c r="K3743" s="0" t="n">
        <f aca="false">IF(A3743="",0,IF(IFERROR(VLOOKUP(A3743,Skills!$A:$M,13,FALSE()),"")="COS",0,IF(OR(I3743="En cours",I3743="À venir",I3743="À planifier"),IF(AND(OR($C$3="Tous",$C$3="",C3743=$C$3),OR($E$3="Tous",$E$3="",I3743=$E$3)),1,0),0)))</f>
        <v>0</v>
      </c>
      <c r="L3743" s="0" t="n">
        <f aca="false">L3742+K3743</f>
        <v>19</v>
      </c>
    </row>
    <row r="3744" customFormat="false" ht="15" hidden="true" customHeight="true" outlineLevel="0" collapsed="false">
      <c r="K3744" s="0" t="n">
        <f aca="false">IF(A3744="",0,IF(IFERROR(VLOOKUP(A3744,Skills!$A:$M,13,FALSE()),"")="COS",0,IF(OR(I3744="En cours",I3744="À venir",I3744="À planifier"),IF(AND(OR($C$3="Tous",$C$3="",C3744=$C$3),OR($E$3="Tous",$E$3="",I3744=$E$3)),1,0),0)))</f>
        <v>0</v>
      </c>
      <c r="L3744" s="0" t="n">
        <f aca="false">L3743+K3744</f>
        <v>19</v>
      </c>
    </row>
    <row r="3745" customFormat="false" ht="15" hidden="true" customHeight="true" outlineLevel="0" collapsed="false">
      <c r="K3745" s="0" t="n">
        <f aca="false">IF(A3745="",0,IF(IFERROR(VLOOKUP(A3745,Skills!$A:$M,13,FALSE()),"")="COS",0,IF(OR(I3745="En cours",I3745="À venir",I3745="À planifier"),IF(AND(OR($C$3="Tous",$C$3="",C3745=$C$3),OR($E$3="Tous",$E$3="",I3745=$E$3)),1,0),0)))</f>
        <v>0</v>
      </c>
      <c r="L3745" s="0" t="n">
        <f aca="false">L3744+K3745</f>
        <v>19</v>
      </c>
    </row>
    <row r="3746" customFormat="false" ht="15" hidden="true" customHeight="true" outlineLevel="0" collapsed="false">
      <c r="K3746" s="0" t="n">
        <f aca="false">IF(A3746="",0,IF(IFERROR(VLOOKUP(A3746,Skills!$A:$M,13,FALSE()),"")="COS",0,IF(OR(I3746="En cours",I3746="À venir",I3746="À planifier"),IF(AND(OR($C$3="Tous",$C$3="",C3746=$C$3),OR($E$3="Tous",$E$3="",I3746=$E$3)),1,0),0)))</f>
        <v>0</v>
      </c>
      <c r="L3746" s="0" t="n">
        <f aca="false">L3745+K3746</f>
        <v>19</v>
      </c>
    </row>
    <row r="3747" customFormat="false" ht="15" hidden="true" customHeight="true" outlineLevel="0" collapsed="false">
      <c r="K3747" s="0" t="n">
        <f aca="false">IF(A3747="",0,IF(IFERROR(VLOOKUP(A3747,Skills!$A:$M,13,FALSE()),"")="COS",0,IF(OR(I3747="En cours",I3747="À venir",I3747="À planifier"),IF(AND(OR($C$3="Tous",$C$3="",C3747=$C$3),OR($E$3="Tous",$E$3="",I3747=$E$3)),1,0),0)))</f>
        <v>0</v>
      </c>
      <c r="L3747" s="0" t="n">
        <f aca="false">L3746+K3747</f>
        <v>19</v>
      </c>
    </row>
    <row r="3748" customFormat="false" ht="15" hidden="true" customHeight="true" outlineLevel="0" collapsed="false">
      <c r="K3748" s="0" t="n">
        <f aca="false">IF(A3748="",0,IF(IFERROR(VLOOKUP(A3748,Skills!$A:$M,13,FALSE()),"")="COS",0,IF(OR(I3748="En cours",I3748="À venir",I3748="À planifier"),IF(AND(OR($C$3="Tous",$C$3="",C3748=$C$3),OR($E$3="Tous",$E$3="",I3748=$E$3)),1,0),0)))</f>
        <v>0</v>
      </c>
      <c r="L3748" s="0" t="n">
        <f aca="false">L3747+K3748</f>
        <v>19</v>
      </c>
    </row>
    <row r="3749" customFormat="false" ht="15" hidden="true" customHeight="true" outlineLevel="0" collapsed="false">
      <c r="K3749" s="0" t="n">
        <f aca="false">IF(A3749="",0,IF(IFERROR(VLOOKUP(A3749,Skills!$A:$M,13,FALSE()),"")="COS",0,IF(OR(I3749="En cours",I3749="À venir",I3749="À planifier"),IF(AND(OR($C$3="Tous",$C$3="",C3749=$C$3),OR($E$3="Tous",$E$3="",I3749=$E$3)),1,0),0)))</f>
        <v>0</v>
      </c>
      <c r="L3749" s="0" t="n">
        <f aca="false">L3748+K3749</f>
        <v>19</v>
      </c>
    </row>
    <row r="3750" customFormat="false" ht="15" hidden="true" customHeight="true" outlineLevel="0" collapsed="false">
      <c r="K3750" s="0" t="n">
        <f aca="false">IF(A3750="",0,IF(IFERROR(VLOOKUP(A3750,Skills!$A:$M,13,FALSE()),"")="COS",0,IF(OR(I3750="En cours",I3750="À venir",I3750="À planifier"),IF(AND(OR($C$3="Tous",$C$3="",C3750=$C$3),OR($E$3="Tous",$E$3="",I3750=$E$3)),1,0),0)))</f>
        <v>0</v>
      </c>
      <c r="L3750" s="0" t="n">
        <f aca="false">L3749+K3750</f>
        <v>19</v>
      </c>
    </row>
    <row r="3751" customFormat="false" ht="15" hidden="true" customHeight="true" outlineLevel="0" collapsed="false">
      <c r="K3751" s="0" t="n">
        <f aca="false">IF(A3751="",0,IF(IFERROR(VLOOKUP(A3751,Skills!$A:$M,13,FALSE()),"")="COS",0,IF(OR(I3751="En cours",I3751="À venir",I3751="À planifier"),IF(AND(OR($C$3="Tous",$C$3="",C3751=$C$3),OR($E$3="Tous",$E$3="",I3751=$E$3)),1,0),0)))</f>
        <v>0</v>
      </c>
      <c r="L3751" s="0" t="n">
        <f aca="false">L3750+K3751</f>
        <v>19</v>
      </c>
    </row>
    <row r="3752" customFormat="false" ht="15" hidden="true" customHeight="true" outlineLevel="0" collapsed="false">
      <c r="K3752" s="0" t="n">
        <f aca="false">IF(A3752="",0,IF(IFERROR(VLOOKUP(A3752,Skills!$A:$M,13,FALSE()),"")="COS",0,IF(OR(I3752="En cours",I3752="À venir",I3752="À planifier"),IF(AND(OR($C$3="Tous",$C$3="",C3752=$C$3),OR($E$3="Tous",$E$3="",I3752=$E$3)),1,0),0)))</f>
        <v>0</v>
      </c>
      <c r="L3752" s="0" t="n">
        <f aca="false">L3751+K3752</f>
        <v>19</v>
      </c>
    </row>
    <row r="3753" customFormat="false" ht="15" hidden="true" customHeight="true" outlineLevel="0" collapsed="false">
      <c r="K3753" s="0" t="n">
        <f aca="false">IF(A3753="",0,IF(IFERROR(VLOOKUP(A3753,Skills!$A:$M,13,FALSE()),"")="COS",0,IF(OR(I3753="En cours",I3753="À venir",I3753="À planifier"),IF(AND(OR($C$3="Tous",$C$3="",C3753=$C$3),OR($E$3="Tous",$E$3="",I3753=$E$3)),1,0),0)))</f>
        <v>0</v>
      </c>
      <c r="L3753" s="0" t="n">
        <f aca="false">L3752+K3753</f>
        <v>19</v>
      </c>
    </row>
    <row r="3754" customFormat="false" ht="15" hidden="true" customHeight="true" outlineLevel="0" collapsed="false">
      <c r="K3754" s="0" t="n">
        <f aca="false">IF(A3754="",0,IF(IFERROR(VLOOKUP(A3754,Skills!$A:$M,13,FALSE()),"")="COS",0,IF(OR(I3754="En cours",I3754="À venir",I3754="À planifier"),IF(AND(OR($C$3="Tous",$C$3="",C3754=$C$3),OR($E$3="Tous",$E$3="",I3754=$E$3)),1,0),0)))</f>
        <v>0</v>
      </c>
      <c r="L3754" s="0" t="n">
        <f aca="false">L3753+K3754</f>
        <v>19</v>
      </c>
    </row>
    <row r="3755" customFormat="false" ht="15" hidden="true" customHeight="true" outlineLevel="0" collapsed="false">
      <c r="K3755" s="0" t="n">
        <f aca="false">IF(A3755="",0,IF(IFERROR(VLOOKUP(A3755,Skills!$A:$M,13,FALSE()),"")="COS",0,IF(OR(I3755="En cours",I3755="À venir",I3755="À planifier"),IF(AND(OR($C$3="Tous",$C$3="",C3755=$C$3),OR($E$3="Tous",$E$3="",I3755=$E$3)),1,0),0)))</f>
        <v>0</v>
      </c>
      <c r="L3755" s="0" t="n">
        <f aca="false">L3754+K3755</f>
        <v>19</v>
      </c>
    </row>
    <row r="3756" customFormat="false" ht="15" hidden="true" customHeight="true" outlineLevel="0" collapsed="false">
      <c r="K3756" s="0" t="n">
        <f aca="false">IF(A3756="",0,IF(IFERROR(VLOOKUP(A3756,Skills!$A:$M,13,FALSE()),"")="COS",0,IF(OR(I3756="En cours",I3756="À venir",I3756="À planifier"),IF(AND(OR($C$3="Tous",$C$3="",C3756=$C$3),OR($E$3="Tous",$E$3="",I3756=$E$3)),1,0),0)))</f>
        <v>0</v>
      </c>
      <c r="L3756" s="0" t="n">
        <f aca="false">L3755+K3756</f>
        <v>19</v>
      </c>
    </row>
    <row r="3757" customFormat="false" ht="15" hidden="true" customHeight="true" outlineLevel="0" collapsed="false">
      <c r="K3757" s="0" t="n">
        <f aca="false">IF(A3757="",0,IF(IFERROR(VLOOKUP(A3757,Skills!$A:$M,13,FALSE()),"")="COS",0,IF(OR(I3757="En cours",I3757="À venir",I3757="À planifier"),IF(AND(OR($C$3="Tous",$C$3="",C3757=$C$3),OR($E$3="Tous",$E$3="",I3757=$E$3)),1,0),0)))</f>
        <v>0</v>
      </c>
      <c r="L3757" s="0" t="n">
        <f aca="false">L3756+K3757</f>
        <v>19</v>
      </c>
    </row>
    <row r="3758" customFormat="false" ht="15" hidden="true" customHeight="true" outlineLevel="0" collapsed="false">
      <c r="K3758" s="0" t="n">
        <f aca="false">IF(A3758="",0,IF(IFERROR(VLOOKUP(A3758,Skills!$A:$M,13,FALSE()),"")="COS",0,IF(OR(I3758="En cours",I3758="À venir",I3758="À planifier"),IF(AND(OR($C$3="Tous",$C$3="",C3758=$C$3),OR($E$3="Tous",$E$3="",I3758=$E$3)),1,0),0)))</f>
        <v>0</v>
      </c>
      <c r="L3758" s="0" t="n">
        <f aca="false">L3757+K3758</f>
        <v>19</v>
      </c>
    </row>
    <row r="3759" customFormat="false" ht="15" hidden="true" customHeight="true" outlineLevel="0" collapsed="false">
      <c r="K3759" s="0" t="n">
        <f aca="false">IF(A3759="",0,IF(IFERROR(VLOOKUP(A3759,Skills!$A:$M,13,FALSE()),"")="COS",0,IF(OR(I3759="En cours",I3759="À venir",I3759="À planifier"),IF(AND(OR($C$3="Tous",$C$3="",C3759=$C$3),OR($E$3="Tous",$E$3="",I3759=$E$3)),1,0),0)))</f>
        <v>0</v>
      </c>
      <c r="L3759" s="0" t="n">
        <f aca="false">L3758+K3759</f>
        <v>19</v>
      </c>
    </row>
    <row r="3760" customFormat="false" ht="15" hidden="true" customHeight="true" outlineLevel="0" collapsed="false">
      <c r="K3760" s="0" t="n">
        <f aca="false">IF(A3760="",0,IF(IFERROR(VLOOKUP(A3760,Skills!$A:$M,13,FALSE()),"")="COS",0,IF(OR(I3760="En cours",I3760="À venir",I3760="À planifier"),IF(AND(OR($C$3="Tous",$C$3="",C3760=$C$3),OR($E$3="Tous",$E$3="",I3760=$E$3)),1,0),0)))</f>
        <v>0</v>
      </c>
      <c r="L3760" s="0" t="n">
        <f aca="false">L3759+K3760</f>
        <v>19</v>
      </c>
    </row>
    <row r="3761" customFormat="false" ht="15" hidden="true" customHeight="true" outlineLevel="0" collapsed="false">
      <c r="K3761" s="0" t="n">
        <f aca="false">IF(A3761="",0,IF(IFERROR(VLOOKUP(A3761,Skills!$A:$M,13,FALSE()),"")="COS",0,IF(OR(I3761="En cours",I3761="À venir",I3761="À planifier"),IF(AND(OR($C$3="Tous",$C$3="",C3761=$C$3),OR($E$3="Tous",$E$3="",I3761=$E$3)),1,0),0)))</f>
        <v>0</v>
      </c>
      <c r="L3761" s="0" t="n">
        <f aca="false">L3760+K3761</f>
        <v>19</v>
      </c>
    </row>
    <row r="3762" customFormat="false" ht="15" hidden="true" customHeight="true" outlineLevel="0" collapsed="false">
      <c r="K3762" s="0" t="n">
        <f aca="false">IF(A3762="",0,IF(IFERROR(VLOOKUP(A3762,Skills!$A:$M,13,FALSE()),"")="COS",0,IF(OR(I3762="En cours",I3762="À venir",I3762="À planifier"),IF(AND(OR($C$3="Tous",$C$3="",C3762=$C$3),OR($E$3="Tous",$E$3="",I3762=$E$3)),1,0),0)))</f>
        <v>0</v>
      </c>
      <c r="L3762" s="0" t="n">
        <f aca="false">L3761+K3762</f>
        <v>19</v>
      </c>
    </row>
    <row r="3763" customFormat="false" ht="15" hidden="true" customHeight="true" outlineLevel="0" collapsed="false">
      <c r="K3763" s="0" t="n">
        <f aca="false">IF(A3763="",0,IF(IFERROR(VLOOKUP(A3763,Skills!$A:$M,13,FALSE()),"")="COS",0,IF(OR(I3763="En cours",I3763="À venir",I3763="À planifier"),IF(AND(OR($C$3="Tous",$C$3="",C3763=$C$3),OR($E$3="Tous",$E$3="",I3763=$E$3)),1,0),0)))</f>
        <v>0</v>
      </c>
      <c r="L3763" s="0" t="n">
        <f aca="false">L3762+K3763</f>
        <v>19</v>
      </c>
    </row>
    <row r="3764" customFormat="false" ht="15" hidden="true" customHeight="true" outlineLevel="0" collapsed="false">
      <c r="K3764" s="0" t="n">
        <f aca="false">IF(A3764="",0,IF(IFERROR(VLOOKUP(A3764,Skills!$A:$M,13,FALSE()),"")="COS",0,IF(OR(I3764="En cours",I3764="À venir",I3764="À planifier"),IF(AND(OR($C$3="Tous",$C$3="",C3764=$C$3),OR($E$3="Tous",$E$3="",I3764=$E$3)),1,0),0)))</f>
        <v>0</v>
      </c>
      <c r="L3764" s="0" t="n">
        <f aca="false">L3763+K3764</f>
        <v>19</v>
      </c>
    </row>
    <row r="3765" customFormat="false" ht="15" hidden="true" customHeight="true" outlineLevel="0" collapsed="false">
      <c r="K3765" s="0" t="n">
        <f aca="false">IF(A3765="",0,IF(IFERROR(VLOOKUP(A3765,Skills!$A:$M,13,FALSE()),"")="COS",0,IF(OR(I3765="En cours",I3765="À venir",I3765="À planifier"),IF(AND(OR($C$3="Tous",$C$3="",C3765=$C$3),OR($E$3="Tous",$E$3="",I3765=$E$3)),1,0),0)))</f>
        <v>0</v>
      </c>
      <c r="L3765" s="0" t="n">
        <f aca="false">L3764+K3765</f>
        <v>19</v>
      </c>
    </row>
    <row r="3766" customFormat="false" ht="15" hidden="true" customHeight="true" outlineLevel="0" collapsed="false">
      <c r="K3766" s="0" t="n">
        <f aca="false">IF(A3766="",0,IF(IFERROR(VLOOKUP(A3766,Skills!$A:$M,13,FALSE()),"")="COS",0,IF(OR(I3766="En cours",I3766="À venir",I3766="À planifier"),IF(AND(OR($C$3="Tous",$C$3="",C3766=$C$3),OR($E$3="Tous",$E$3="",I3766=$E$3)),1,0),0)))</f>
        <v>0</v>
      </c>
      <c r="L3766" s="0" t="n">
        <f aca="false">L3765+K3766</f>
        <v>19</v>
      </c>
    </row>
    <row r="3767" customFormat="false" ht="15" hidden="true" customHeight="true" outlineLevel="0" collapsed="false">
      <c r="K3767" s="0" t="n">
        <f aca="false">IF(A3767="",0,IF(IFERROR(VLOOKUP(A3767,Skills!$A:$M,13,FALSE()),"")="COS",0,IF(OR(I3767="En cours",I3767="À venir",I3767="À planifier"),IF(AND(OR($C$3="Tous",$C$3="",C3767=$C$3),OR($E$3="Tous",$E$3="",I3767=$E$3)),1,0),0)))</f>
        <v>0</v>
      </c>
      <c r="L3767" s="0" t="n">
        <f aca="false">L3766+K3767</f>
        <v>19</v>
      </c>
    </row>
    <row r="3768" customFormat="false" ht="15" hidden="true" customHeight="true" outlineLevel="0" collapsed="false">
      <c r="K3768" s="0" t="n">
        <f aca="false">IF(A3768="",0,IF(IFERROR(VLOOKUP(A3768,Skills!$A:$M,13,FALSE()),"")="COS",0,IF(OR(I3768="En cours",I3768="À venir",I3768="À planifier"),IF(AND(OR($C$3="Tous",$C$3="",C3768=$C$3),OR($E$3="Tous",$E$3="",I3768=$E$3)),1,0),0)))</f>
        <v>0</v>
      </c>
      <c r="L3768" s="0" t="n">
        <f aca="false">L3767+K3768</f>
        <v>19</v>
      </c>
    </row>
    <row r="3769" customFormat="false" ht="15" hidden="true" customHeight="true" outlineLevel="0" collapsed="false">
      <c r="K3769" s="0" t="n">
        <f aca="false">IF(A3769="",0,IF(IFERROR(VLOOKUP(A3769,Skills!$A:$M,13,FALSE()),"")="COS",0,IF(OR(I3769="En cours",I3769="À venir",I3769="À planifier"),IF(AND(OR($C$3="Tous",$C$3="",C3769=$C$3),OR($E$3="Tous",$E$3="",I3769=$E$3)),1,0),0)))</f>
        <v>0</v>
      </c>
      <c r="L3769" s="0" t="n">
        <f aca="false">L3768+K3769</f>
        <v>19</v>
      </c>
    </row>
    <row r="3770" customFormat="false" ht="15" hidden="true" customHeight="true" outlineLevel="0" collapsed="false">
      <c r="K3770" s="0" t="n">
        <f aca="false">IF(A3770="",0,IF(IFERROR(VLOOKUP(A3770,Skills!$A:$M,13,FALSE()),"")="COS",0,IF(OR(I3770="En cours",I3770="À venir",I3770="À planifier"),IF(AND(OR($C$3="Tous",$C$3="",C3770=$C$3),OR($E$3="Tous",$E$3="",I3770=$E$3)),1,0),0)))</f>
        <v>0</v>
      </c>
      <c r="L3770" s="0" t="n">
        <f aca="false">L3769+K3770</f>
        <v>19</v>
      </c>
    </row>
    <row r="3771" customFormat="false" ht="15" hidden="true" customHeight="true" outlineLevel="0" collapsed="false">
      <c r="K3771" s="0" t="n">
        <f aca="false">IF(A3771="",0,IF(IFERROR(VLOOKUP(A3771,Skills!$A:$M,13,FALSE()),"")="COS",0,IF(OR(I3771="En cours",I3771="À venir",I3771="À planifier"),IF(AND(OR($C$3="Tous",$C$3="",C3771=$C$3),OR($E$3="Tous",$E$3="",I3771=$E$3)),1,0),0)))</f>
        <v>0</v>
      </c>
      <c r="L3771" s="0" t="n">
        <f aca="false">L3770+K3771</f>
        <v>19</v>
      </c>
    </row>
    <row r="3772" customFormat="false" ht="15" hidden="true" customHeight="true" outlineLevel="0" collapsed="false">
      <c r="K3772" s="0" t="n">
        <f aca="false">IF(A3772="",0,IF(IFERROR(VLOOKUP(A3772,Skills!$A:$M,13,FALSE()),"")="COS",0,IF(OR(I3772="En cours",I3772="À venir",I3772="À planifier"),IF(AND(OR($C$3="Tous",$C$3="",C3772=$C$3),OR($E$3="Tous",$E$3="",I3772=$E$3)),1,0),0)))</f>
        <v>0</v>
      </c>
      <c r="L3772" s="0" t="n">
        <f aca="false">L3771+K3772</f>
        <v>19</v>
      </c>
    </row>
    <row r="3773" customFormat="false" ht="15" hidden="true" customHeight="true" outlineLevel="0" collapsed="false">
      <c r="K3773" s="0" t="n">
        <f aca="false">IF(A3773="",0,IF(IFERROR(VLOOKUP(A3773,Skills!$A:$M,13,FALSE()),"")="COS",0,IF(OR(I3773="En cours",I3773="À venir",I3773="À planifier"),IF(AND(OR($C$3="Tous",$C$3="",C3773=$C$3),OR($E$3="Tous",$E$3="",I3773=$E$3)),1,0),0)))</f>
        <v>0</v>
      </c>
      <c r="L3773" s="0" t="n">
        <f aca="false">L3772+K3773</f>
        <v>19</v>
      </c>
    </row>
    <row r="3774" customFormat="false" ht="15" hidden="true" customHeight="true" outlineLevel="0" collapsed="false">
      <c r="K3774" s="0" t="n">
        <f aca="false">IF(A3774="",0,IF(IFERROR(VLOOKUP(A3774,Skills!$A:$M,13,FALSE()),"")="COS",0,IF(OR(I3774="En cours",I3774="À venir",I3774="À planifier"),IF(AND(OR($C$3="Tous",$C$3="",C3774=$C$3),OR($E$3="Tous",$E$3="",I3774=$E$3)),1,0),0)))</f>
        <v>0</v>
      </c>
      <c r="L3774" s="0" t="n">
        <f aca="false">L3773+K3774</f>
        <v>19</v>
      </c>
    </row>
    <row r="3775" customFormat="false" ht="15" hidden="true" customHeight="true" outlineLevel="0" collapsed="false">
      <c r="K3775" s="0" t="n">
        <f aca="false">IF(A3775="",0,IF(IFERROR(VLOOKUP(A3775,Skills!$A:$M,13,FALSE()),"")="COS",0,IF(OR(I3775="En cours",I3775="À venir",I3775="À planifier"),IF(AND(OR($C$3="Tous",$C$3="",C3775=$C$3),OR($E$3="Tous",$E$3="",I3775=$E$3)),1,0),0)))</f>
        <v>0</v>
      </c>
      <c r="L3775" s="0" t="n">
        <f aca="false">L3774+K3775</f>
        <v>19</v>
      </c>
    </row>
    <row r="3776" customFormat="false" ht="15" hidden="true" customHeight="true" outlineLevel="0" collapsed="false">
      <c r="K3776" s="0" t="n">
        <f aca="false">IF(A3776="",0,IF(IFERROR(VLOOKUP(A3776,Skills!$A:$M,13,FALSE()),"")="COS",0,IF(OR(I3776="En cours",I3776="À venir",I3776="À planifier"),IF(AND(OR($C$3="Tous",$C$3="",C3776=$C$3),OR($E$3="Tous",$E$3="",I3776=$E$3)),1,0),0)))</f>
        <v>0</v>
      </c>
      <c r="L3776" s="0" t="n">
        <f aca="false">L3775+K3776</f>
        <v>19</v>
      </c>
    </row>
    <row r="3777" customFormat="false" ht="15" hidden="true" customHeight="true" outlineLevel="0" collapsed="false">
      <c r="K3777" s="0" t="n">
        <f aca="false">IF(A3777="",0,IF(IFERROR(VLOOKUP(A3777,Skills!$A:$M,13,FALSE()),"")="COS",0,IF(OR(I3777="En cours",I3777="À venir",I3777="À planifier"),IF(AND(OR($C$3="Tous",$C$3="",C3777=$C$3),OR($E$3="Tous",$E$3="",I3777=$E$3)),1,0),0)))</f>
        <v>0</v>
      </c>
      <c r="L3777" s="0" t="n">
        <f aca="false">L3776+K3777</f>
        <v>19</v>
      </c>
    </row>
    <row r="3778" customFormat="false" ht="15" hidden="true" customHeight="true" outlineLevel="0" collapsed="false">
      <c r="K3778" s="0" t="n">
        <f aca="false">IF(A3778="",0,IF(IFERROR(VLOOKUP(A3778,Skills!$A:$M,13,FALSE()),"")="COS",0,IF(OR(I3778="En cours",I3778="À venir",I3778="À planifier"),IF(AND(OR($C$3="Tous",$C$3="",C3778=$C$3),OR($E$3="Tous",$E$3="",I3778=$E$3)),1,0),0)))</f>
        <v>0</v>
      </c>
      <c r="L3778" s="0" t="n">
        <f aca="false">L3777+K3778</f>
        <v>19</v>
      </c>
    </row>
    <row r="3779" customFormat="false" ht="15" hidden="true" customHeight="true" outlineLevel="0" collapsed="false">
      <c r="K3779" s="0" t="n">
        <f aca="false">IF(A3779="",0,IF(IFERROR(VLOOKUP(A3779,Skills!$A:$M,13,FALSE()),"")="COS",0,IF(OR(I3779="En cours",I3779="À venir",I3779="À planifier"),IF(AND(OR($C$3="Tous",$C$3="",C3779=$C$3),OR($E$3="Tous",$E$3="",I3779=$E$3)),1,0),0)))</f>
        <v>0</v>
      </c>
      <c r="L3779" s="0" t="n">
        <f aca="false">L3778+K3779</f>
        <v>19</v>
      </c>
    </row>
    <row r="3780" customFormat="false" ht="15" hidden="true" customHeight="true" outlineLevel="0" collapsed="false">
      <c r="K3780" s="0" t="n">
        <f aca="false">IF(A3780="",0,IF(IFERROR(VLOOKUP(A3780,Skills!$A:$M,13,FALSE()),"")="COS",0,IF(OR(I3780="En cours",I3780="À venir",I3780="À planifier"),IF(AND(OR($C$3="Tous",$C$3="",C3780=$C$3),OR($E$3="Tous",$E$3="",I3780=$E$3)),1,0),0)))</f>
        <v>0</v>
      </c>
      <c r="L3780" s="0" t="n">
        <f aca="false">L3779+K3780</f>
        <v>19</v>
      </c>
    </row>
    <row r="3781" customFormat="false" ht="15" hidden="true" customHeight="true" outlineLevel="0" collapsed="false">
      <c r="K3781" s="0" t="n">
        <f aca="false">IF(A3781="",0,IF(IFERROR(VLOOKUP(A3781,Skills!$A:$M,13,FALSE()),"")="COS",0,IF(OR(I3781="En cours",I3781="À venir",I3781="À planifier"),IF(AND(OR($C$3="Tous",$C$3="",C3781=$C$3),OR($E$3="Tous",$E$3="",I3781=$E$3)),1,0),0)))</f>
        <v>0</v>
      </c>
      <c r="L3781" s="0" t="n">
        <f aca="false">L3780+K3781</f>
        <v>19</v>
      </c>
    </row>
    <row r="3782" customFormat="false" ht="15" hidden="true" customHeight="true" outlineLevel="0" collapsed="false">
      <c r="K3782" s="0" t="n">
        <f aca="false">IF(A3782="",0,IF(IFERROR(VLOOKUP(A3782,Skills!$A:$M,13,FALSE()),"")="COS",0,IF(OR(I3782="En cours",I3782="À venir",I3782="À planifier"),IF(AND(OR($C$3="Tous",$C$3="",C3782=$C$3),OR($E$3="Tous",$E$3="",I3782=$E$3)),1,0),0)))</f>
        <v>0</v>
      </c>
      <c r="L3782" s="0" t="n">
        <f aca="false">L3781+K3782</f>
        <v>19</v>
      </c>
    </row>
    <row r="3783" customFormat="false" ht="15" hidden="true" customHeight="true" outlineLevel="0" collapsed="false">
      <c r="K3783" s="0" t="n">
        <f aca="false">IF(A3783="",0,IF(IFERROR(VLOOKUP(A3783,Skills!$A:$M,13,FALSE()),"")="COS",0,IF(OR(I3783="En cours",I3783="À venir",I3783="À planifier"),IF(AND(OR($C$3="Tous",$C$3="",C3783=$C$3),OR($E$3="Tous",$E$3="",I3783=$E$3)),1,0),0)))</f>
        <v>0</v>
      </c>
      <c r="L3783" s="0" t="n">
        <f aca="false">L3782+K3783</f>
        <v>19</v>
      </c>
    </row>
    <row r="3784" customFormat="false" ht="15" hidden="true" customHeight="true" outlineLevel="0" collapsed="false">
      <c r="K3784" s="0" t="n">
        <f aca="false">IF(A3784="",0,IF(IFERROR(VLOOKUP(A3784,Skills!$A:$M,13,FALSE()),"")="COS",0,IF(OR(I3784="En cours",I3784="À venir",I3784="À planifier"),IF(AND(OR($C$3="Tous",$C$3="",C3784=$C$3),OR($E$3="Tous",$E$3="",I3784=$E$3)),1,0),0)))</f>
        <v>0</v>
      </c>
      <c r="L3784" s="0" t="n">
        <f aca="false">L3783+K3784</f>
        <v>19</v>
      </c>
    </row>
    <row r="3785" customFormat="false" ht="15" hidden="true" customHeight="true" outlineLevel="0" collapsed="false">
      <c r="K3785" s="0" t="n">
        <f aca="false">IF(A3785="",0,IF(IFERROR(VLOOKUP(A3785,Skills!$A:$M,13,FALSE()),"")="COS",0,IF(OR(I3785="En cours",I3785="À venir",I3785="À planifier"),IF(AND(OR($C$3="Tous",$C$3="",C3785=$C$3),OR($E$3="Tous",$E$3="",I3785=$E$3)),1,0),0)))</f>
        <v>0</v>
      </c>
      <c r="L3785" s="0" t="n">
        <f aca="false">L3784+K3785</f>
        <v>19</v>
      </c>
    </row>
    <row r="3786" customFormat="false" ht="15" hidden="true" customHeight="true" outlineLevel="0" collapsed="false">
      <c r="K3786" s="0" t="n">
        <f aca="false">IF(A3786="",0,IF(IFERROR(VLOOKUP(A3786,Skills!$A:$M,13,FALSE()),"")="COS",0,IF(OR(I3786="En cours",I3786="À venir",I3786="À planifier"),IF(AND(OR($C$3="Tous",$C$3="",C3786=$C$3),OR($E$3="Tous",$E$3="",I3786=$E$3)),1,0),0)))</f>
        <v>0</v>
      </c>
      <c r="L3786" s="0" t="n">
        <f aca="false">L3785+K3786</f>
        <v>19</v>
      </c>
    </row>
    <row r="3787" customFormat="false" ht="15" hidden="true" customHeight="true" outlineLevel="0" collapsed="false">
      <c r="K3787" s="0" t="n">
        <f aca="false">IF(A3787="",0,IF(IFERROR(VLOOKUP(A3787,Skills!$A:$M,13,FALSE()),"")="COS",0,IF(OR(I3787="En cours",I3787="À venir",I3787="À planifier"),IF(AND(OR($C$3="Tous",$C$3="",C3787=$C$3),OR($E$3="Tous",$E$3="",I3787=$E$3)),1,0),0)))</f>
        <v>0</v>
      </c>
      <c r="L3787" s="0" t="n">
        <f aca="false">L3786+K3787</f>
        <v>19</v>
      </c>
    </row>
    <row r="3788" customFormat="false" ht="15" hidden="true" customHeight="true" outlineLevel="0" collapsed="false">
      <c r="K3788" s="0" t="n">
        <f aca="false">IF(A3788="",0,IF(IFERROR(VLOOKUP(A3788,Skills!$A:$M,13,FALSE()),"")="COS",0,IF(OR(I3788="En cours",I3788="À venir",I3788="À planifier"),IF(AND(OR($C$3="Tous",$C$3="",C3788=$C$3),OR($E$3="Tous",$E$3="",I3788=$E$3)),1,0),0)))</f>
        <v>0</v>
      </c>
      <c r="L3788" s="0" t="n">
        <f aca="false">L3787+K3788</f>
        <v>19</v>
      </c>
    </row>
    <row r="3789" customFormat="false" ht="15" hidden="true" customHeight="true" outlineLevel="0" collapsed="false">
      <c r="K3789" s="0" t="n">
        <f aca="false">IF(A3789="",0,IF(IFERROR(VLOOKUP(A3789,Skills!$A:$M,13,FALSE()),"")="COS",0,IF(OR(I3789="En cours",I3789="À venir",I3789="À planifier"),IF(AND(OR($C$3="Tous",$C$3="",C3789=$C$3),OR($E$3="Tous",$E$3="",I3789=$E$3)),1,0),0)))</f>
        <v>0</v>
      </c>
      <c r="L3789" s="0" t="n">
        <f aca="false">L3788+K3789</f>
        <v>19</v>
      </c>
    </row>
    <row r="3790" customFormat="false" ht="15" hidden="true" customHeight="true" outlineLevel="0" collapsed="false">
      <c r="K3790" s="0" t="n">
        <f aca="false">IF(A3790="",0,IF(IFERROR(VLOOKUP(A3790,Skills!$A:$M,13,FALSE()),"")="COS",0,IF(OR(I3790="En cours",I3790="À venir",I3790="À planifier"),IF(AND(OR($C$3="Tous",$C$3="",C3790=$C$3),OR($E$3="Tous",$E$3="",I3790=$E$3)),1,0),0)))</f>
        <v>0</v>
      </c>
      <c r="L3790" s="0" t="n">
        <f aca="false">L3789+K3790</f>
        <v>19</v>
      </c>
    </row>
    <row r="3791" customFormat="false" ht="15" hidden="true" customHeight="true" outlineLevel="0" collapsed="false">
      <c r="K3791" s="0" t="n">
        <f aca="false">IF(A3791="",0,IF(IFERROR(VLOOKUP(A3791,Skills!$A:$M,13,FALSE()),"")="COS",0,IF(OR(I3791="En cours",I3791="À venir",I3791="À planifier"),IF(AND(OR($C$3="Tous",$C$3="",C3791=$C$3),OR($E$3="Tous",$E$3="",I3791=$E$3)),1,0),0)))</f>
        <v>0</v>
      </c>
      <c r="L3791" s="0" t="n">
        <f aca="false">L3790+K3791</f>
        <v>19</v>
      </c>
    </row>
    <row r="3792" customFormat="false" ht="15" hidden="true" customHeight="true" outlineLevel="0" collapsed="false">
      <c r="K3792" s="0" t="n">
        <f aca="false">IF(A3792="",0,IF(IFERROR(VLOOKUP(A3792,Skills!$A:$M,13,FALSE()),"")="COS",0,IF(OR(I3792="En cours",I3792="À venir",I3792="À planifier"),IF(AND(OR($C$3="Tous",$C$3="",C3792=$C$3),OR($E$3="Tous",$E$3="",I3792=$E$3)),1,0),0)))</f>
        <v>0</v>
      </c>
      <c r="L3792" s="0" t="n">
        <f aca="false">L3791+K3792</f>
        <v>19</v>
      </c>
    </row>
    <row r="3793" customFormat="false" ht="15" hidden="true" customHeight="true" outlineLevel="0" collapsed="false">
      <c r="K3793" s="0" t="n">
        <f aca="false">IF(A3793="",0,IF(IFERROR(VLOOKUP(A3793,Skills!$A:$M,13,FALSE()),"")="COS",0,IF(OR(I3793="En cours",I3793="À venir",I3793="À planifier"),IF(AND(OR($C$3="Tous",$C$3="",C3793=$C$3),OR($E$3="Tous",$E$3="",I3793=$E$3)),1,0),0)))</f>
        <v>0</v>
      </c>
      <c r="L3793" s="0" t="n">
        <f aca="false">L3792+K3793</f>
        <v>19</v>
      </c>
    </row>
    <row r="3794" customFormat="false" ht="15" hidden="true" customHeight="true" outlineLevel="0" collapsed="false">
      <c r="K3794" s="0" t="n">
        <f aca="false">IF(A3794="",0,IF(IFERROR(VLOOKUP(A3794,Skills!$A:$M,13,FALSE()),"")="COS",0,IF(OR(I3794="En cours",I3794="À venir",I3794="À planifier"),IF(AND(OR($C$3="Tous",$C$3="",C3794=$C$3),OR($E$3="Tous",$E$3="",I3794=$E$3)),1,0),0)))</f>
        <v>0</v>
      </c>
      <c r="L3794" s="0" t="n">
        <f aca="false">L3793+K3794</f>
        <v>19</v>
      </c>
    </row>
    <row r="3795" customFormat="false" ht="15" hidden="true" customHeight="true" outlineLevel="0" collapsed="false">
      <c r="K3795" s="0" t="n">
        <f aca="false">IF(A3795="",0,IF(IFERROR(VLOOKUP(A3795,Skills!$A:$M,13,FALSE()),"")="COS",0,IF(OR(I3795="En cours",I3795="À venir",I3795="À planifier"),IF(AND(OR($C$3="Tous",$C$3="",C3795=$C$3),OR($E$3="Tous",$E$3="",I3795=$E$3)),1,0),0)))</f>
        <v>0</v>
      </c>
      <c r="L3795" s="0" t="n">
        <f aca="false">L3794+K3795</f>
        <v>19</v>
      </c>
    </row>
    <row r="3796" customFormat="false" ht="15" hidden="true" customHeight="true" outlineLevel="0" collapsed="false">
      <c r="K3796" s="0" t="n">
        <f aca="false">IF(A3796="",0,IF(IFERROR(VLOOKUP(A3796,Skills!$A:$M,13,FALSE()),"")="COS",0,IF(OR(I3796="En cours",I3796="À venir",I3796="À planifier"),IF(AND(OR($C$3="Tous",$C$3="",C3796=$C$3),OR($E$3="Tous",$E$3="",I3796=$E$3)),1,0),0)))</f>
        <v>0</v>
      </c>
      <c r="L3796" s="0" t="n">
        <f aca="false">L3795+K3796</f>
        <v>19</v>
      </c>
    </row>
    <row r="3797" customFormat="false" ht="15" hidden="true" customHeight="true" outlineLevel="0" collapsed="false">
      <c r="K3797" s="0" t="n">
        <f aca="false">IF(A3797="",0,IF(IFERROR(VLOOKUP(A3797,Skills!$A:$M,13,FALSE()),"")="COS",0,IF(OR(I3797="En cours",I3797="À venir",I3797="À planifier"),IF(AND(OR($C$3="Tous",$C$3="",C3797=$C$3),OR($E$3="Tous",$E$3="",I3797=$E$3)),1,0),0)))</f>
        <v>0</v>
      </c>
      <c r="L3797" s="0" t="n">
        <f aca="false">L3796+K3797</f>
        <v>19</v>
      </c>
    </row>
    <row r="3798" customFormat="false" ht="15" hidden="true" customHeight="true" outlineLevel="0" collapsed="false">
      <c r="K3798" s="0" t="n">
        <f aca="false">IF(A3798="",0,IF(IFERROR(VLOOKUP(A3798,Skills!$A:$M,13,FALSE()),"")="COS",0,IF(OR(I3798="En cours",I3798="À venir",I3798="À planifier"),IF(AND(OR($C$3="Tous",$C$3="",C3798=$C$3),OR($E$3="Tous",$E$3="",I3798=$E$3)),1,0),0)))</f>
        <v>0</v>
      </c>
      <c r="L3798" s="0" t="n">
        <f aca="false">L3797+K3798</f>
        <v>19</v>
      </c>
    </row>
    <row r="3799" customFormat="false" ht="15" hidden="true" customHeight="true" outlineLevel="0" collapsed="false">
      <c r="K3799" s="0" t="n">
        <f aca="false">IF(A3799="",0,IF(IFERROR(VLOOKUP(A3799,Skills!$A:$M,13,FALSE()),"")="COS",0,IF(OR(I3799="En cours",I3799="À venir",I3799="À planifier"),IF(AND(OR($C$3="Tous",$C$3="",C3799=$C$3),OR($E$3="Tous",$E$3="",I3799=$E$3)),1,0),0)))</f>
        <v>0</v>
      </c>
      <c r="L3799" s="0" t="n">
        <f aca="false">L3798+K3799</f>
        <v>19</v>
      </c>
    </row>
    <row r="3800" customFormat="false" ht="15" hidden="true" customHeight="true" outlineLevel="0" collapsed="false">
      <c r="K3800" s="0" t="n">
        <f aca="false">IF(A3800="",0,IF(IFERROR(VLOOKUP(A3800,Skills!$A:$M,13,FALSE()),"")="COS",0,IF(OR(I3800="En cours",I3800="À venir",I3800="À planifier"),IF(AND(OR($C$3="Tous",$C$3="",C3800=$C$3),OR($E$3="Tous",$E$3="",I3800=$E$3)),1,0),0)))</f>
        <v>0</v>
      </c>
      <c r="L3800" s="0" t="n">
        <f aca="false">L3799+K3800</f>
        <v>19</v>
      </c>
    </row>
    <row r="3801" customFormat="false" ht="15" hidden="true" customHeight="true" outlineLevel="0" collapsed="false">
      <c r="K3801" s="0" t="n">
        <f aca="false">IF(A3801="",0,IF(IFERROR(VLOOKUP(A3801,Skills!$A:$M,13,FALSE()),"")="COS",0,IF(OR(I3801="En cours",I3801="À venir",I3801="À planifier"),IF(AND(OR($C$3="Tous",$C$3="",C3801=$C$3),OR($E$3="Tous",$E$3="",I3801=$E$3)),1,0),0)))</f>
        <v>0</v>
      </c>
      <c r="L3801" s="0" t="n">
        <f aca="false">L3800+K3801</f>
        <v>19</v>
      </c>
    </row>
    <row r="3802" customFormat="false" ht="15" hidden="true" customHeight="true" outlineLevel="0" collapsed="false">
      <c r="K3802" s="0" t="n">
        <f aca="false">IF(A3802="",0,IF(IFERROR(VLOOKUP(A3802,Skills!$A:$M,13,FALSE()),"")="COS",0,IF(OR(I3802="En cours",I3802="À venir",I3802="À planifier"),IF(AND(OR($C$3="Tous",$C$3="",C3802=$C$3),OR($E$3="Tous",$E$3="",I3802=$E$3)),1,0),0)))</f>
        <v>0</v>
      </c>
      <c r="L3802" s="0" t="n">
        <f aca="false">L3801+K3802</f>
        <v>19</v>
      </c>
    </row>
    <row r="3803" customFormat="false" ht="15" hidden="true" customHeight="true" outlineLevel="0" collapsed="false">
      <c r="K3803" s="0" t="n">
        <f aca="false">IF(A3803="",0,IF(IFERROR(VLOOKUP(A3803,Skills!$A:$M,13,FALSE()),"")="COS",0,IF(OR(I3803="En cours",I3803="À venir",I3803="À planifier"),IF(AND(OR($C$3="Tous",$C$3="",C3803=$C$3),OR($E$3="Tous",$E$3="",I3803=$E$3)),1,0),0)))</f>
        <v>0</v>
      </c>
      <c r="L3803" s="0" t="n">
        <f aca="false">L3802+K3803</f>
        <v>19</v>
      </c>
    </row>
    <row r="3804" customFormat="false" ht="15" hidden="true" customHeight="true" outlineLevel="0" collapsed="false">
      <c r="K3804" s="0" t="n">
        <f aca="false">IF(A3804="",0,IF(IFERROR(VLOOKUP(A3804,Skills!$A:$M,13,FALSE()),"")="COS",0,IF(OR(I3804="En cours",I3804="À venir",I3804="À planifier"),IF(AND(OR($C$3="Tous",$C$3="",C3804=$C$3),OR($E$3="Tous",$E$3="",I3804=$E$3)),1,0),0)))</f>
        <v>0</v>
      </c>
      <c r="L3804" s="0" t="n">
        <f aca="false">L3803+K3804</f>
        <v>19</v>
      </c>
    </row>
    <row r="3805" customFormat="false" ht="15" hidden="true" customHeight="true" outlineLevel="0" collapsed="false">
      <c r="K3805" s="0" t="n">
        <f aca="false">IF(A3805="",0,IF(IFERROR(VLOOKUP(A3805,Skills!$A:$M,13,FALSE()),"")="COS",0,IF(OR(I3805="En cours",I3805="À venir",I3805="À planifier"),IF(AND(OR($C$3="Tous",$C$3="",C3805=$C$3),OR($E$3="Tous",$E$3="",I3805=$E$3)),1,0),0)))</f>
        <v>0</v>
      </c>
      <c r="L3805" s="0" t="n">
        <f aca="false">L3804+K3805</f>
        <v>19</v>
      </c>
    </row>
    <row r="3806" customFormat="false" ht="15" hidden="true" customHeight="true" outlineLevel="0" collapsed="false">
      <c r="K3806" s="0" t="n">
        <f aca="false">IF(A3806="",0,IF(IFERROR(VLOOKUP(A3806,Skills!$A:$M,13,FALSE()),"")="COS",0,IF(OR(I3806="En cours",I3806="À venir",I3806="À planifier"),IF(AND(OR($C$3="Tous",$C$3="",C3806=$C$3),OR($E$3="Tous",$E$3="",I3806=$E$3)),1,0),0)))</f>
        <v>0</v>
      </c>
      <c r="L3806" s="0" t="n">
        <f aca="false">L3805+K3806</f>
        <v>19</v>
      </c>
    </row>
    <row r="3807" customFormat="false" ht="15" hidden="true" customHeight="true" outlineLevel="0" collapsed="false">
      <c r="K3807" s="0" t="n">
        <f aca="false">IF(A3807="",0,IF(IFERROR(VLOOKUP(A3807,Skills!$A:$M,13,FALSE()),"")="COS",0,IF(OR(I3807="En cours",I3807="À venir",I3807="À planifier"),IF(AND(OR($C$3="Tous",$C$3="",C3807=$C$3),OR($E$3="Tous",$E$3="",I3807=$E$3)),1,0),0)))</f>
        <v>0</v>
      </c>
      <c r="L3807" s="0" t="n">
        <f aca="false">L3806+K3807</f>
        <v>19</v>
      </c>
    </row>
    <row r="3808" customFormat="false" ht="15" hidden="true" customHeight="true" outlineLevel="0" collapsed="false">
      <c r="K3808" s="0" t="n">
        <f aca="false">IF(A3808="",0,IF(IFERROR(VLOOKUP(A3808,Skills!$A:$M,13,FALSE()),"")="COS",0,IF(OR(I3808="En cours",I3808="À venir",I3808="À planifier"),IF(AND(OR($C$3="Tous",$C$3="",C3808=$C$3),OR($E$3="Tous",$E$3="",I3808=$E$3)),1,0),0)))</f>
        <v>0</v>
      </c>
      <c r="L3808" s="0" t="n">
        <f aca="false">L3807+K3808</f>
        <v>19</v>
      </c>
    </row>
    <row r="3809" customFormat="false" ht="15" hidden="true" customHeight="true" outlineLevel="0" collapsed="false">
      <c r="K3809" s="0" t="n">
        <f aca="false">IF(A3809="",0,IF(IFERROR(VLOOKUP(A3809,Skills!$A:$M,13,FALSE()),"")="COS",0,IF(OR(I3809="En cours",I3809="À venir",I3809="À planifier"),IF(AND(OR($C$3="Tous",$C$3="",C3809=$C$3),OR($E$3="Tous",$E$3="",I3809=$E$3)),1,0),0)))</f>
        <v>0</v>
      </c>
      <c r="L3809" s="0" t="n">
        <f aca="false">L3808+K3809</f>
        <v>19</v>
      </c>
    </row>
    <row r="3810" customFormat="false" ht="15" hidden="true" customHeight="true" outlineLevel="0" collapsed="false">
      <c r="K3810" s="0" t="n">
        <f aca="false">IF(A3810="",0,IF(IFERROR(VLOOKUP(A3810,Skills!$A:$M,13,FALSE()),"")="COS",0,IF(OR(I3810="En cours",I3810="À venir",I3810="À planifier"),IF(AND(OR($C$3="Tous",$C$3="",C3810=$C$3),OR($E$3="Tous",$E$3="",I3810=$E$3)),1,0),0)))</f>
        <v>0</v>
      </c>
      <c r="L3810" s="0" t="n">
        <f aca="false">L3809+K3810</f>
        <v>19</v>
      </c>
    </row>
    <row r="3811" customFormat="false" ht="15" hidden="true" customHeight="true" outlineLevel="0" collapsed="false">
      <c r="K3811" s="0" t="n">
        <f aca="false">IF(A3811="",0,IF(IFERROR(VLOOKUP(A3811,Skills!$A:$M,13,FALSE()),"")="COS",0,IF(OR(I3811="En cours",I3811="À venir",I3811="À planifier"),IF(AND(OR($C$3="Tous",$C$3="",C3811=$C$3),OR($E$3="Tous",$E$3="",I3811=$E$3)),1,0),0)))</f>
        <v>0</v>
      </c>
      <c r="L3811" s="0" t="n">
        <f aca="false">L3810+K3811</f>
        <v>19</v>
      </c>
    </row>
    <row r="3812" customFormat="false" ht="15" hidden="true" customHeight="true" outlineLevel="0" collapsed="false">
      <c r="K3812" s="0" t="n">
        <f aca="false">IF(A3812="",0,IF(IFERROR(VLOOKUP(A3812,Skills!$A:$M,13,FALSE()),"")="COS",0,IF(OR(I3812="En cours",I3812="À venir",I3812="À planifier"),IF(AND(OR($C$3="Tous",$C$3="",C3812=$C$3),OR($E$3="Tous",$E$3="",I3812=$E$3)),1,0),0)))</f>
        <v>0</v>
      </c>
      <c r="L3812" s="0" t="n">
        <f aca="false">L3811+K3812</f>
        <v>19</v>
      </c>
    </row>
    <row r="3813" customFormat="false" ht="15" hidden="true" customHeight="true" outlineLevel="0" collapsed="false">
      <c r="K3813" s="0" t="n">
        <f aca="false">IF(A3813="",0,IF(IFERROR(VLOOKUP(A3813,Skills!$A:$M,13,FALSE()),"")="COS",0,IF(OR(I3813="En cours",I3813="À venir",I3813="À planifier"),IF(AND(OR($C$3="Tous",$C$3="",C3813=$C$3),OR($E$3="Tous",$E$3="",I3813=$E$3)),1,0),0)))</f>
        <v>0</v>
      </c>
      <c r="L3813" s="0" t="n">
        <f aca="false">L3812+K3813</f>
        <v>19</v>
      </c>
    </row>
    <row r="3814" customFormat="false" ht="15" hidden="true" customHeight="true" outlineLevel="0" collapsed="false">
      <c r="K3814" s="0" t="n">
        <f aca="false">IF(A3814="",0,IF(IFERROR(VLOOKUP(A3814,Skills!$A:$M,13,FALSE()),"")="COS",0,IF(OR(I3814="En cours",I3814="À venir",I3814="À planifier"),IF(AND(OR($C$3="Tous",$C$3="",C3814=$C$3),OR($E$3="Tous",$E$3="",I3814=$E$3)),1,0),0)))</f>
        <v>0</v>
      </c>
      <c r="L3814" s="0" t="n">
        <f aca="false">L3813+K3814</f>
        <v>19</v>
      </c>
    </row>
    <row r="3815" customFormat="false" ht="15" hidden="true" customHeight="true" outlineLevel="0" collapsed="false">
      <c r="K3815" s="0" t="n">
        <f aca="false">IF(A3815="",0,IF(IFERROR(VLOOKUP(A3815,Skills!$A:$M,13,FALSE()),"")="COS",0,IF(OR(I3815="En cours",I3815="À venir",I3815="À planifier"),IF(AND(OR($C$3="Tous",$C$3="",C3815=$C$3),OR($E$3="Tous",$E$3="",I3815=$E$3)),1,0),0)))</f>
        <v>0</v>
      </c>
      <c r="L3815" s="0" t="n">
        <f aca="false">L3814+K3815</f>
        <v>19</v>
      </c>
    </row>
    <row r="3816" customFormat="false" ht="15" hidden="true" customHeight="true" outlineLevel="0" collapsed="false">
      <c r="K3816" s="0" t="n">
        <f aca="false">IF(A3816="",0,IF(IFERROR(VLOOKUP(A3816,Skills!$A:$M,13,FALSE()),"")="COS",0,IF(OR(I3816="En cours",I3816="À venir",I3816="À planifier"),IF(AND(OR($C$3="Tous",$C$3="",C3816=$C$3),OR($E$3="Tous",$E$3="",I3816=$E$3)),1,0),0)))</f>
        <v>0</v>
      </c>
      <c r="L3816" s="0" t="n">
        <f aca="false">L3815+K3816</f>
        <v>19</v>
      </c>
    </row>
    <row r="3817" customFormat="false" ht="15" hidden="true" customHeight="true" outlineLevel="0" collapsed="false">
      <c r="K3817" s="0" t="n">
        <f aca="false">IF(A3817="",0,IF(IFERROR(VLOOKUP(A3817,Skills!$A:$M,13,FALSE()),"")="COS",0,IF(OR(I3817="En cours",I3817="À venir",I3817="À planifier"),IF(AND(OR($C$3="Tous",$C$3="",C3817=$C$3),OR($E$3="Tous",$E$3="",I3817=$E$3)),1,0),0)))</f>
        <v>0</v>
      </c>
      <c r="L3817" s="0" t="n">
        <f aca="false">L3816+K3817</f>
        <v>19</v>
      </c>
    </row>
    <row r="3818" customFormat="false" ht="15" hidden="true" customHeight="true" outlineLevel="0" collapsed="false">
      <c r="K3818" s="0" t="n">
        <f aca="false">IF(A3818="",0,IF(IFERROR(VLOOKUP(A3818,Skills!$A:$M,13,FALSE()),"")="COS",0,IF(OR(I3818="En cours",I3818="À venir",I3818="À planifier"),IF(AND(OR($C$3="Tous",$C$3="",C3818=$C$3),OR($E$3="Tous",$E$3="",I3818=$E$3)),1,0),0)))</f>
        <v>0</v>
      </c>
      <c r="L3818" s="0" t="n">
        <f aca="false">L3817+K3818</f>
        <v>19</v>
      </c>
    </row>
    <row r="3819" customFormat="false" ht="15" hidden="true" customHeight="true" outlineLevel="0" collapsed="false">
      <c r="K3819" s="0" t="n">
        <f aca="false">IF(A3819="",0,IF(IFERROR(VLOOKUP(A3819,Skills!$A:$M,13,FALSE()),"")="COS",0,IF(OR(I3819="En cours",I3819="À venir",I3819="À planifier"),IF(AND(OR($C$3="Tous",$C$3="",C3819=$C$3),OR($E$3="Tous",$E$3="",I3819=$E$3)),1,0),0)))</f>
        <v>0</v>
      </c>
      <c r="L3819" s="0" t="n">
        <f aca="false">L3818+K3819</f>
        <v>19</v>
      </c>
    </row>
    <row r="3820" customFormat="false" ht="15" hidden="true" customHeight="true" outlineLevel="0" collapsed="false">
      <c r="K3820" s="0" t="n">
        <f aca="false">IF(A3820="",0,IF(IFERROR(VLOOKUP(A3820,Skills!$A:$M,13,FALSE()),"")="COS",0,IF(OR(I3820="En cours",I3820="À venir",I3820="À planifier"),IF(AND(OR($C$3="Tous",$C$3="",C3820=$C$3),OR($E$3="Tous",$E$3="",I3820=$E$3)),1,0),0)))</f>
        <v>0</v>
      </c>
      <c r="L3820" s="0" t="n">
        <f aca="false">L3819+K3820</f>
        <v>19</v>
      </c>
    </row>
    <row r="3821" customFormat="false" ht="15" hidden="true" customHeight="true" outlineLevel="0" collapsed="false">
      <c r="K3821" s="0" t="n">
        <f aca="false">IF(A3821="",0,IF(IFERROR(VLOOKUP(A3821,Skills!$A:$M,13,FALSE()),"")="COS",0,IF(OR(I3821="En cours",I3821="À venir",I3821="À planifier"),IF(AND(OR($C$3="Tous",$C$3="",C3821=$C$3),OR($E$3="Tous",$E$3="",I3821=$E$3)),1,0),0)))</f>
        <v>0</v>
      </c>
      <c r="L3821" s="0" t="n">
        <f aca="false">L3820+K3821</f>
        <v>19</v>
      </c>
    </row>
    <row r="3822" customFormat="false" ht="15" hidden="true" customHeight="true" outlineLevel="0" collapsed="false">
      <c r="K3822" s="0" t="n">
        <f aca="false">IF(A3822="",0,IF(IFERROR(VLOOKUP(A3822,Skills!$A:$M,13,FALSE()),"")="COS",0,IF(OR(I3822="En cours",I3822="À venir",I3822="À planifier"),IF(AND(OR($C$3="Tous",$C$3="",C3822=$C$3),OR($E$3="Tous",$E$3="",I3822=$E$3)),1,0),0)))</f>
        <v>0</v>
      </c>
      <c r="L3822" s="0" t="n">
        <f aca="false">L3821+K3822</f>
        <v>19</v>
      </c>
    </row>
    <row r="3823" customFormat="false" ht="15" hidden="true" customHeight="true" outlineLevel="0" collapsed="false">
      <c r="K3823" s="0" t="n">
        <f aca="false">IF(A3823="",0,IF(IFERROR(VLOOKUP(A3823,Skills!$A:$M,13,FALSE()),"")="COS",0,IF(OR(I3823="En cours",I3823="À venir",I3823="À planifier"),IF(AND(OR($C$3="Tous",$C$3="",C3823=$C$3),OR($E$3="Tous",$E$3="",I3823=$E$3)),1,0),0)))</f>
        <v>0</v>
      </c>
      <c r="L3823" s="0" t="n">
        <f aca="false">L3822+K3823</f>
        <v>19</v>
      </c>
    </row>
    <row r="3824" customFormat="false" ht="15" hidden="true" customHeight="true" outlineLevel="0" collapsed="false">
      <c r="K3824" s="0" t="n">
        <f aca="false">IF(A3824="",0,IF(IFERROR(VLOOKUP(A3824,Skills!$A:$M,13,FALSE()),"")="COS",0,IF(OR(I3824="En cours",I3824="À venir",I3824="À planifier"),IF(AND(OR($C$3="Tous",$C$3="",C3824=$C$3),OR($E$3="Tous",$E$3="",I3824=$E$3)),1,0),0)))</f>
        <v>0</v>
      </c>
      <c r="L3824" s="0" t="n">
        <f aca="false">L3823+K3824</f>
        <v>19</v>
      </c>
    </row>
    <row r="3825" customFormat="false" ht="15" hidden="true" customHeight="true" outlineLevel="0" collapsed="false">
      <c r="K3825" s="0" t="n">
        <f aca="false">IF(A3825="",0,IF(IFERROR(VLOOKUP(A3825,Skills!$A:$M,13,FALSE()),"")="COS",0,IF(OR(I3825="En cours",I3825="À venir",I3825="À planifier"),IF(AND(OR($C$3="Tous",$C$3="",C3825=$C$3),OR($E$3="Tous",$E$3="",I3825=$E$3)),1,0),0)))</f>
        <v>0</v>
      </c>
      <c r="L3825" s="0" t="n">
        <f aca="false">L3824+K3825</f>
        <v>19</v>
      </c>
    </row>
    <row r="3826" customFormat="false" ht="15" hidden="true" customHeight="true" outlineLevel="0" collapsed="false">
      <c r="K3826" s="0" t="n">
        <f aca="false">IF(A3826="",0,IF(IFERROR(VLOOKUP(A3826,Skills!$A:$M,13,FALSE()),"")="COS",0,IF(OR(I3826="En cours",I3826="À venir",I3826="À planifier"),IF(AND(OR($C$3="Tous",$C$3="",C3826=$C$3),OR($E$3="Tous",$E$3="",I3826=$E$3)),1,0),0)))</f>
        <v>0</v>
      </c>
      <c r="L3826" s="0" t="n">
        <f aca="false">L3825+K3826</f>
        <v>19</v>
      </c>
    </row>
    <row r="3827" customFormat="false" ht="15" hidden="true" customHeight="true" outlineLevel="0" collapsed="false">
      <c r="K3827" s="0" t="n">
        <f aca="false">IF(A3827="",0,IF(IFERROR(VLOOKUP(A3827,Skills!$A:$M,13,FALSE()),"")="COS",0,IF(OR(I3827="En cours",I3827="À venir",I3827="À planifier"),IF(AND(OR($C$3="Tous",$C$3="",C3827=$C$3),OR($E$3="Tous",$E$3="",I3827=$E$3)),1,0),0)))</f>
        <v>0</v>
      </c>
      <c r="L3827" s="0" t="n">
        <f aca="false">L3826+K3827</f>
        <v>19</v>
      </c>
    </row>
    <row r="3828" customFormat="false" ht="15" hidden="true" customHeight="true" outlineLevel="0" collapsed="false">
      <c r="K3828" s="0" t="n">
        <f aca="false">IF(A3828="",0,IF(IFERROR(VLOOKUP(A3828,Skills!$A:$M,13,FALSE()),"")="COS",0,IF(OR(I3828="En cours",I3828="À venir",I3828="À planifier"),IF(AND(OR($C$3="Tous",$C$3="",C3828=$C$3),OR($E$3="Tous",$E$3="",I3828=$E$3)),1,0),0)))</f>
        <v>0</v>
      </c>
      <c r="L3828" s="0" t="n">
        <f aca="false">L3827+K3828</f>
        <v>19</v>
      </c>
    </row>
    <row r="3829" customFormat="false" ht="15" hidden="true" customHeight="true" outlineLevel="0" collapsed="false">
      <c r="K3829" s="0" t="n">
        <f aca="false">IF(A3829="",0,IF(IFERROR(VLOOKUP(A3829,Skills!$A:$M,13,FALSE()),"")="COS",0,IF(OR(I3829="En cours",I3829="À venir",I3829="À planifier"),IF(AND(OR($C$3="Tous",$C$3="",C3829=$C$3),OR($E$3="Tous",$E$3="",I3829=$E$3)),1,0),0)))</f>
        <v>0</v>
      </c>
      <c r="L3829" s="0" t="n">
        <f aca="false">L3828+K3829</f>
        <v>19</v>
      </c>
    </row>
    <row r="3830" customFormat="false" ht="15" hidden="true" customHeight="true" outlineLevel="0" collapsed="false">
      <c r="K3830" s="0" t="n">
        <f aca="false">IF(A3830="",0,IF(IFERROR(VLOOKUP(A3830,Skills!$A:$M,13,FALSE()),"")="COS",0,IF(OR(I3830="En cours",I3830="À venir",I3830="À planifier"),IF(AND(OR($C$3="Tous",$C$3="",C3830=$C$3),OR($E$3="Tous",$E$3="",I3830=$E$3)),1,0),0)))</f>
        <v>0</v>
      </c>
      <c r="L3830" s="0" t="n">
        <f aca="false">L3829+K3830</f>
        <v>19</v>
      </c>
    </row>
    <row r="3831" customFormat="false" ht="15" hidden="true" customHeight="true" outlineLevel="0" collapsed="false">
      <c r="K3831" s="0" t="n">
        <f aca="false">IF(A3831="",0,IF(IFERROR(VLOOKUP(A3831,Skills!$A:$M,13,FALSE()),"")="COS",0,IF(OR(I3831="En cours",I3831="À venir",I3831="À planifier"),IF(AND(OR($C$3="Tous",$C$3="",C3831=$C$3),OR($E$3="Tous",$E$3="",I3831=$E$3)),1,0),0)))</f>
        <v>0</v>
      </c>
      <c r="L3831" s="0" t="n">
        <f aca="false">L3830+K3831</f>
        <v>19</v>
      </c>
    </row>
    <row r="3832" customFormat="false" ht="15" hidden="true" customHeight="true" outlineLevel="0" collapsed="false">
      <c r="K3832" s="0" t="n">
        <f aca="false">IF(A3832="",0,IF(IFERROR(VLOOKUP(A3832,Skills!$A:$M,13,FALSE()),"")="COS",0,IF(OR(I3832="En cours",I3832="À venir",I3832="À planifier"),IF(AND(OR($C$3="Tous",$C$3="",C3832=$C$3),OR($E$3="Tous",$E$3="",I3832=$E$3)),1,0),0)))</f>
        <v>0</v>
      </c>
      <c r="L3832" s="0" t="n">
        <f aca="false">L3831+K3832</f>
        <v>19</v>
      </c>
    </row>
    <row r="3833" customFormat="false" ht="15" hidden="true" customHeight="true" outlineLevel="0" collapsed="false">
      <c r="K3833" s="0" t="n">
        <f aca="false">IF(A3833="",0,IF(IFERROR(VLOOKUP(A3833,Skills!$A:$M,13,FALSE()),"")="COS",0,IF(OR(I3833="En cours",I3833="À venir",I3833="À planifier"),IF(AND(OR($C$3="Tous",$C$3="",C3833=$C$3),OR($E$3="Tous",$E$3="",I3833=$E$3)),1,0),0)))</f>
        <v>0</v>
      </c>
      <c r="L3833" s="0" t="n">
        <f aca="false">L3832+K3833</f>
        <v>19</v>
      </c>
    </row>
    <row r="3834" customFormat="false" ht="15" hidden="true" customHeight="true" outlineLevel="0" collapsed="false">
      <c r="K3834" s="0" t="n">
        <f aca="false">IF(A3834="",0,IF(IFERROR(VLOOKUP(A3834,Skills!$A:$M,13,FALSE()),"")="COS",0,IF(OR(I3834="En cours",I3834="À venir",I3834="À planifier"),IF(AND(OR($C$3="Tous",$C$3="",C3834=$C$3),OR($E$3="Tous",$E$3="",I3834=$E$3)),1,0),0)))</f>
        <v>0</v>
      </c>
      <c r="L3834" s="0" t="n">
        <f aca="false">L3833+K3834</f>
        <v>19</v>
      </c>
    </row>
    <row r="3835" customFormat="false" ht="15" hidden="true" customHeight="true" outlineLevel="0" collapsed="false">
      <c r="K3835" s="0" t="n">
        <f aca="false">IF(A3835="",0,IF(IFERROR(VLOOKUP(A3835,Skills!$A:$M,13,FALSE()),"")="COS",0,IF(OR(I3835="En cours",I3835="À venir",I3835="À planifier"),IF(AND(OR($C$3="Tous",$C$3="",C3835=$C$3),OR($E$3="Tous",$E$3="",I3835=$E$3)),1,0),0)))</f>
        <v>0</v>
      </c>
      <c r="L3835" s="0" t="n">
        <f aca="false">L3834+K3835</f>
        <v>19</v>
      </c>
    </row>
    <row r="3836" customFormat="false" ht="15" hidden="true" customHeight="true" outlineLevel="0" collapsed="false">
      <c r="K3836" s="0" t="n">
        <f aca="false">IF(A3836="",0,IF(IFERROR(VLOOKUP(A3836,Skills!$A:$M,13,FALSE()),"")="COS",0,IF(OR(I3836="En cours",I3836="À venir",I3836="À planifier"),IF(AND(OR($C$3="Tous",$C$3="",C3836=$C$3),OR($E$3="Tous",$E$3="",I3836=$E$3)),1,0),0)))</f>
        <v>0</v>
      </c>
      <c r="L3836" s="0" t="n">
        <f aca="false">L3835+K3836</f>
        <v>19</v>
      </c>
    </row>
    <row r="3837" customFormat="false" ht="15" hidden="true" customHeight="true" outlineLevel="0" collapsed="false">
      <c r="K3837" s="0" t="n">
        <f aca="false">IF(A3837="",0,IF(IFERROR(VLOOKUP(A3837,Skills!$A:$M,13,FALSE()),"")="COS",0,IF(OR(I3837="En cours",I3837="À venir",I3837="À planifier"),IF(AND(OR($C$3="Tous",$C$3="",C3837=$C$3),OR($E$3="Tous",$E$3="",I3837=$E$3)),1,0),0)))</f>
        <v>0</v>
      </c>
      <c r="L3837" s="0" t="n">
        <f aca="false">L3836+K3837</f>
        <v>19</v>
      </c>
    </row>
    <row r="3838" customFormat="false" ht="15" hidden="true" customHeight="true" outlineLevel="0" collapsed="false">
      <c r="K3838" s="0" t="n">
        <f aca="false">IF(A3838="",0,IF(IFERROR(VLOOKUP(A3838,Skills!$A:$M,13,FALSE()),"")="COS",0,IF(OR(I3838="En cours",I3838="À venir",I3838="À planifier"),IF(AND(OR($C$3="Tous",$C$3="",C3838=$C$3),OR($E$3="Tous",$E$3="",I3838=$E$3)),1,0),0)))</f>
        <v>0</v>
      </c>
      <c r="L3838" s="0" t="n">
        <f aca="false">L3837+K3838</f>
        <v>19</v>
      </c>
    </row>
    <row r="3839" customFormat="false" ht="15" hidden="true" customHeight="true" outlineLevel="0" collapsed="false">
      <c r="K3839" s="0" t="n">
        <f aca="false">IF(A3839="",0,IF(IFERROR(VLOOKUP(A3839,Skills!$A:$M,13,FALSE()),"")="COS",0,IF(OR(I3839="En cours",I3839="À venir",I3839="À planifier"),IF(AND(OR($C$3="Tous",$C$3="",C3839=$C$3),OR($E$3="Tous",$E$3="",I3839=$E$3)),1,0),0)))</f>
        <v>0</v>
      </c>
      <c r="L3839" s="0" t="n">
        <f aca="false">L3838+K3839</f>
        <v>19</v>
      </c>
    </row>
    <row r="3840" customFormat="false" ht="15" hidden="true" customHeight="true" outlineLevel="0" collapsed="false">
      <c r="K3840" s="0" t="n">
        <f aca="false">IF(A3840="",0,IF(IFERROR(VLOOKUP(A3840,Skills!$A:$M,13,FALSE()),"")="COS",0,IF(OR(I3840="En cours",I3840="À venir",I3840="À planifier"),IF(AND(OR($C$3="Tous",$C$3="",C3840=$C$3),OR($E$3="Tous",$E$3="",I3840=$E$3)),1,0),0)))</f>
        <v>0</v>
      </c>
      <c r="L3840" s="0" t="n">
        <f aca="false">L3839+K3840</f>
        <v>19</v>
      </c>
    </row>
    <row r="3841" customFormat="false" ht="15" hidden="true" customHeight="true" outlineLevel="0" collapsed="false">
      <c r="K3841" s="0" t="n">
        <f aca="false">IF(A3841="",0,IF(IFERROR(VLOOKUP(A3841,Skills!$A:$M,13,FALSE()),"")="COS",0,IF(OR(I3841="En cours",I3841="À venir",I3841="À planifier"),IF(AND(OR($C$3="Tous",$C$3="",C3841=$C$3),OR($E$3="Tous",$E$3="",I3841=$E$3)),1,0),0)))</f>
        <v>0</v>
      </c>
      <c r="L3841" s="0" t="n">
        <f aca="false">L3840+K3841</f>
        <v>19</v>
      </c>
    </row>
    <row r="3842" customFormat="false" ht="15" hidden="true" customHeight="true" outlineLevel="0" collapsed="false">
      <c r="K3842" s="0" t="n">
        <f aca="false">IF(A3842="",0,IF(IFERROR(VLOOKUP(A3842,Skills!$A:$M,13,FALSE()),"")="COS",0,IF(OR(I3842="En cours",I3842="À venir",I3842="À planifier"),IF(AND(OR($C$3="Tous",$C$3="",C3842=$C$3),OR($E$3="Tous",$E$3="",I3842=$E$3)),1,0),0)))</f>
        <v>0</v>
      </c>
      <c r="L3842" s="0" t="n">
        <f aca="false">L3841+K3842</f>
        <v>19</v>
      </c>
    </row>
    <row r="3843" customFormat="false" ht="15" hidden="true" customHeight="true" outlineLevel="0" collapsed="false">
      <c r="K3843" s="0" t="n">
        <f aca="false">IF(A3843="",0,IF(IFERROR(VLOOKUP(A3843,Skills!$A:$M,13,FALSE()),"")="COS",0,IF(OR(I3843="En cours",I3843="À venir",I3843="À planifier"),IF(AND(OR($C$3="Tous",$C$3="",C3843=$C$3),OR($E$3="Tous",$E$3="",I3843=$E$3)),1,0),0)))</f>
        <v>0</v>
      </c>
      <c r="L3843" s="0" t="n">
        <f aca="false">L3842+K3843</f>
        <v>19</v>
      </c>
    </row>
    <row r="3844" customFormat="false" ht="15" hidden="true" customHeight="true" outlineLevel="0" collapsed="false">
      <c r="K3844" s="0" t="n">
        <f aca="false">IF(A3844="",0,IF(IFERROR(VLOOKUP(A3844,Skills!$A:$M,13,FALSE()),"")="COS",0,IF(OR(I3844="En cours",I3844="À venir",I3844="À planifier"),IF(AND(OR($C$3="Tous",$C$3="",C3844=$C$3),OR($E$3="Tous",$E$3="",I3844=$E$3)),1,0),0)))</f>
        <v>0</v>
      </c>
      <c r="L3844" s="0" t="n">
        <f aca="false">L3843+K3844</f>
        <v>19</v>
      </c>
    </row>
    <row r="3845" customFormat="false" ht="15" hidden="true" customHeight="true" outlineLevel="0" collapsed="false">
      <c r="K3845" s="0" t="n">
        <f aca="false">IF(A3845="",0,IF(IFERROR(VLOOKUP(A3845,Skills!$A:$M,13,FALSE()),"")="COS",0,IF(OR(I3845="En cours",I3845="À venir",I3845="À planifier"),IF(AND(OR($C$3="Tous",$C$3="",C3845=$C$3),OR($E$3="Tous",$E$3="",I3845=$E$3)),1,0),0)))</f>
        <v>0</v>
      </c>
      <c r="L3845" s="0" t="n">
        <f aca="false">L3844+K3845</f>
        <v>19</v>
      </c>
    </row>
    <row r="3846" customFormat="false" ht="15" hidden="true" customHeight="true" outlineLevel="0" collapsed="false">
      <c r="K3846" s="0" t="n">
        <f aca="false">IF(A3846="",0,IF(IFERROR(VLOOKUP(A3846,Skills!$A:$M,13,FALSE()),"")="COS",0,IF(OR(I3846="En cours",I3846="À venir",I3846="À planifier"),IF(AND(OR($C$3="Tous",$C$3="",C3846=$C$3),OR($E$3="Tous",$E$3="",I3846=$E$3)),1,0),0)))</f>
        <v>0</v>
      </c>
      <c r="L3846" s="0" t="n">
        <f aca="false">L3845+K3846</f>
        <v>19</v>
      </c>
    </row>
    <row r="3847" customFormat="false" ht="15" hidden="true" customHeight="true" outlineLevel="0" collapsed="false">
      <c r="K3847" s="0" t="n">
        <f aca="false">IF(A3847="",0,IF(IFERROR(VLOOKUP(A3847,Skills!$A:$M,13,FALSE()),"")="COS",0,IF(OR(I3847="En cours",I3847="À venir",I3847="À planifier"),IF(AND(OR($C$3="Tous",$C$3="",C3847=$C$3),OR($E$3="Tous",$E$3="",I3847=$E$3)),1,0),0)))</f>
        <v>0</v>
      </c>
      <c r="L3847" s="0" t="n">
        <f aca="false">L3846+K3847</f>
        <v>19</v>
      </c>
    </row>
    <row r="3848" customFormat="false" ht="15" hidden="true" customHeight="true" outlineLevel="0" collapsed="false">
      <c r="K3848" s="0" t="n">
        <f aca="false">IF(A3848="",0,IF(IFERROR(VLOOKUP(A3848,Skills!$A:$M,13,FALSE()),"")="COS",0,IF(OR(I3848="En cours",I3848="À venir",I3848="À planifier"),IF(AND(OR($C$3="Tous",$C$3="",C3848=$C$3),OR($E$3="Tous",$E$3="",I3848=$E$3)),1,0),0)))</f>
        <v>0</v>
      </c>
      <c r="L3848" s="0" t="n">
        <f aca="false">L3847+K3848</f>
        <v>19</v>
      </c>
    </row>
    <row r="3849" customFormat="false" ht="15" hidden="true" customHeight="true" outlineLevel="0" collapsed="false">
      <c r="K3849" s="0" t="n">
        <f aca="false">IF(A3849="",0,IF(IFERROR(VLOOKUP(A3849,Skills!$A:$M,13,FALSE()),"")="COS",0,IF(OR(I3849="En cours",I3849="À venir",I3849="À planifier"),IF(AND(OR($C$3="Tous",$C$3="",C3849=$C$3),OR($E$3="Tous",$E$3="",I3849=$E$3)),1,0),0)))</f>
        <v>0</v>
      </c>
      <c r="L3849" s="0" t="n">
        <f aca="false">L3848+K3849</f>
        <v>19</v>
      </c>
    </row>
    <row r="3850" customFormat="false" ht="15" hidden="true" customHeight="true" outlineLevel="0" collapsed="false">
      <c r="K3850" s="0" t="n">
        <f aca="false">IF(A3850="",0,IF(IFERROR(VLOOKUP(A3850,Skills!$A:$M,13,FALSE()),"")="COS",0,IF(OR(I3850="En cours",I3850="À venir",I3850="À planifier"),IF(AND(OR($C$3="Tous",$C$3="",C3850=$C$3),OR($E$3="Tous",$E$3="",I3850=$E$3)),1,0),0)))</f>
        <v>0</v>
      </c>
      <c r="L3850" s="0" t="n">
        <f aca="false">L3849+K3850</f>
        <v>19</v>
      </c>
    </row>
    <row r="3851" customFormat="false" ht="15" hidden="true" customHeight="true" outlineLevel="0" collapsed="false">
      <c r="K3851" s="0" t="n">
        <f aca="false">IF(A3851="",0,IF(IFERROR(VLOOKUP(A3851,Skills!$A:$M,13,FALSE()),"")="COS",0,IF(OR(I3851="En cours",I3851="À venir",I3851="À planifier"),IF(AND(OR($C$3="Tous",$C$3="",C3851=$C$3),OR($E$3="Tous",$E$3="",I3851=$E$3)),1,0),0)))</f>
        <v>0</v>
      </c>
      <c r="L3851" s="0" t="n">
        <f aca="false">L3850+K3851</f>
        <v>19</v>
      </c>
    </row>
    <row r="3852" customFormat="false" ht="15" hidden="true" customHeight="true" outlineLevel="0" collapsed="false">
      <c r="K3852" s="0" t="n">
        <f aca="false">IF(A3852="",0,IF(IFERROR(VLOOKUP(A3852,Skills!$A:$M,13,FALSE()),"")="COS",0,IF(OR(I3852="En cours",I3852="À venir",I3852="À planifier"),IF(AND(OR($C$3="Tous",$C$3="",C3852=$C$3),OR($E$3="Tous",$E$3="",I3852=$E$3)),1,0),0)))</f>
        <v>0</v>
      </c>
      <c r="L3852" s="0" t="n">
        <f aca="false">L3851+K3852</f>
        <v>19</v>
      </c>
    </row>
    <row r="3853" customFormat="false" ht="15" hidden="true" customHeight="true" outlineLevel="0" collapsed="false">
      <c r="K3853" s="0" t="n">
        <f aca="false">IF(A3853="",0,IF(IFERROR(VLOOKUP(A3853,Skills!$A:$M,13,FALSE()),"")="COS",0,IF(OR(I3853="En cours",I3853="À venir",I3853="À planifier"),IF(AND(OR($C$3="Tous",$C$3="",C3853=$C$3),OR($E$3="Tous",$E$3="",I3853=$E$3)),1,0),0)))</f>
        <v>0</v>
      </c>
      <c r="L3853" s="0" t="n">
        <f aca="false">L3852+K3853</f>
        <v>19</v>
      </c>
    </row>
    <row r="3854" customFormat="false" ht="15" hidden="true" customHeight="true" outlineLevel="0" collapsed="false">
      <c r="K3854" s="0" t="n">
        <f aca="false">IF(A3854="",0,IF(IFERROR(VLOOKUP(A3854,Skills!$A:$M,13,FALSE()),"")="COS",0,IF(OR(I3854="En cours",I3854="À venir",I3854="À planifier"),IF(AND(OR($C$3="Tous",$C$3="",C3854=$C$3),OR($E$3="Tous",$E$3="",I3854=$E$3)),1,0),0)))</f>
        <v>0</v>
      </c>
      <c r="L3854" s="0" t="n">
        <f aca="false">L3853+K3854</f>
        <v>19</v>
      </c>
    </row>
    <row r="3855" customFormat="false" ht="15" hidden="true" customHeight="true" outlineLevel="0" collapsed="false">
      <c r="K3855" s="0" t="n">
        <f aca="false">IF(A3855="",0,IF(IFERROR(VLOOKUP(A3855,Skills!$A:$M,13,FALSE()),"")="COS",0,IF(OR(I3855="En cours",I3855="À venir",I3855="À planifier"),IF(AND(OR($C$3="Tous",$C$3="",C3855=$C$3),OR($E$3="Tous",$E$3="",I3855=$E$3)),1,0),0)))</f>
        <v>0</v>
      </c>
      <c r="L3855" s="0" t="n">
        <f aca="false">L3854+K3855</f>
        <v>19</v>
      </c>
    </row>
    <row r="3856" customFormat="false" ht="15" hidden="true" customHeight="true" outlineLevel="0" collapsed="false">
      <c r="K3856" s="0" t="n">
        <f aca="false">IF(A3856="",0,IF(IFERROR(VLOOKUP(A3856,Skills!$A:$M,13,FALSE()),"")="COS",0,IF(OR(I3856="En cours",I3856="À venir",I3856="À planifier"),IF(AND(OR($C$3="Tous",$C$3="",C3856=$C$3),OR($E$3="Tous",$E$3="",I3856=$E$3)),1,0),0)))</f>
        <v>0</v>
      </c>
      <c r="L3856" s="0" t="n">
        <f aca="false">L3855+K3856</f>
        <v>19</v>
      </c>
    </row>
    <row r="3857" customFormat="false" ht="15" hidden="true" customHeight="true" outlineLevel="0" collapsed="false">
      <c r="K3857" s="0" t="n">
        <f aca="false">IF(A3857="",0,IF(IFERROR(VLOOKUP(A3857,Skills!$A:$M,13,FALSE()),"")="COS",0,IF(OR(I3857="En cours",I3857="À venir",I3857="À planifier"),IF(AND(OR($C$3="Tous",$C$3="",C3857=$C$3),OR($E$3="Tous",$E$3="",I3857=$E$3)),1,0),0)))</f>
        <v>0</v>
      </c>
      <c r="L3857" s="0" t="n">
        <f aca="false">L3856+K3857</f>
        <v>19</v>
      </c>
    </row>
    <row r="3858" customFormat="false" ht="15" hidden="true" customHeight="true" outlineLevel="0" collapsed="false">
      <c r="K3858" s="0" t="n">
        <f aca="false">IF(A3858="",0,IF(IFERROR(VLOOKUP(A3858,Skills!$A:$M,13,FALSE()),"")="COS",0,IF(OR(I3858="En cours",I3858="À venir",I3858="À planifier"),IF(AND(OR($C$3="Tous",$C$3="",C3858=$C$3),OR($E$3="Tous",$E$3="",I3858=$E$3)),1,0),0)))</f>
        <v>0</v>
      </c>
      <c r="L3858" s="0" t="n">
        <f aca="false">L3857+K3858</f>
        <v>19</v>
      </c>
    </row>
    <row r="3859" customFormat="false" ht="15" hidden="true" customHeight="true" outlineLevel="0" collapsed="false">
      <c r="K3859" s="0" t="n">
        <f aca="false">IF(A3859="",0,IF(IFERROR(VLOOKUP(A3859,Skills!$A:$M,13,FALSE()),"")="COS",0,IF(OR(I3859="En cours",I3859="À venir",I3859="À planifier"),IF(AND(OR($C$3="Tous",$C$3="",C3859=$C$3),OR($E$3="Tous",$E$3="",I3859=$E$3)),1,0),0)))</f>
        <v>0</v>
      </c>
      <c r="L3859" s="0" t="n">
        <f aca="false">L3858+K3859</f>
        <v>19</v>
      </c>
    </row>
    <row r="3860" customFormat="false" ht="15" hidden="true" customHeight="true" outlineLevel="0" collapsed="false">
      <c r="K3860" s="0" t="n">
        <f aca="false">IF(A3860="",0,IF(IFERROR(VLOOKUP(A3860,Skills!$A:$M,13,FALSE()),"")="COS",0,IF(OR(I3860="En cours",I3860="À venir",I3860="À planifier"),IF(AND(OR($C$3="Tous",$C$3="",C3860=$C$3),OR($E$3="Tous",$E$3="",I3860=$E$3)),1,0),0)))</f>
        <v>0</v>
      </c>
      <c r="L3860" s="0" t="n">
        <f aca="false">L3859+K3860</f>
        <v>19</v>
      </c>
    </row>
    <row r="3861" customFormat="false" ht="15" hidden="true" customHeight="true" outlineLevel="0" collapsed="false">
      <c r="K3861" s="0" t="n">
        <f aca="false">IF(A3861="",0,IF(IFERROR(VLOOKUP(A3861,Skills!$A:$M,13,FALSE()),"")="COS",0,IF(OR(I3861="En cours",I3861="À venir",I3861="À planifier"),IF(AND(OR($C$3="Tous",$C$3="",C3861=$C$3),OR($E$3="Tous",$E$3="",I3861=$E$3)),1,0),0)))</f>
        <v>0</v>
      </c>
      <c r="L3861" s="0" t="n">
        <f aca="false">L3860+K3861</f>
        <v>19</v>
      </c>
    </row>
    <row r="3862" customFormat="false" ht="15" hidden="true" customHeight="true" outlineLevel="0" collapsed="false">
      <c r="K3862" s="0" t="n">
        <f aca="false">IF(A3862="",0,IF(IFERROR(VLOOKUP(A3862,Skills!$A:$M,13,FALSE()),"")="COS",0,IF(OR(I3862="En cours",I3862="À venir",I3862="À planifier"),IF(AND(OR($C$3="Tous",$C$3="",C3862=$C$3),OR($E$3="Tous",$E$3="",I3862=$E$3)),1,0),0)))</f>
        <v>0</v>
      </c>
      <c r="L3862" s="0" t="n">
        <f aca="false">L3861+K3862</f>
        <v>19</v>
      </c>
    </row>
    <row r="3863" customFormat="false" ht="15" hidden="true" customHeight="true" outlineLevel="0" collapsed="false">
      <c r="K3863" s="0" t="n">
        <f aca="false">IF(A3863="",0,IF(IFERROR(VLOOKUP(A3863,Skills!$A:$M,13,FALSE()),"")="COS",0,IF(OR(I3863="En cours",I3863="À venir",I3863="À planifier"),IF(AND(OR($C$3="Tous",$C$3="",C3863=$C$3),OR($E$3="Tous",$E$3="",I3863=$E$3)),1,0),0)))</f>
        <v>0</v>
      </c>
      <c r="L3863" s="0" t="n">
        <f aca="false">L3862+K3863</f>
        <v>19</v>
      </c>
    </row>
    <row r="3864" customFormat="false" ht="15" hidden="true" customHeight="true" outlineLevel="0" collapsed="false">
      <c r="K3864" s="0" t="n">
        <f aca="false">IF(A3864="",0,IF(IFERROR(VLOOKUP(A3864,Skills!$A:$M,13,FALSE()),"")="COS",0,IF(OR(I3864="En cours",I3864="À venir",I3864="À planifier"),IF(AND(OR($C$3="Tous",$C$3="",C3864=$C$3),OR($E$3="Tous",$E$3="",I3864=$E$3)),1,0),0)))</f>
        <v>0</v>
      </c>
      <c r="L3864" s="0" t="n">
        <f aca="false">L3863+K3864</f>
        <v>19</v>
      </c>
    </row>
    <row r="3865" customFormat="false" ht="15" hidden="true" customHeight="true" outlineLevel="0" collapsed="false">
      <c r="K3865" s="0" t="n">
        <f aca="false">IF(A3865="",0,IF(IFERROR(VLOOKUP(A3865,Skills!$A:$M,13,FALSE()),"")="COS",0,IF(OR(I3865="En cours",I3865="À venir",I3865="À planifier"),IF(AND(OR($C$3="Tous",$C$3="",C3865=$C$3),OR($E$3="Tous",$E$3="",I3865=$E$3)),1,0),0)))</f>
        <v>0</v>
      </c>
      <c r="L3865" s="0" t="n">
        <f aca="false">L3864+K3865</f>
        <v>19</v>
      </c>
    </row>
    <row r="3866" customFormat="false" ht="15" hidden="true" customHeight="true" outlineLevel="0" collapsed="false">
      <c r="K3866" s="0" t="n">
        <f aca="false">IF(A3866="",0,IF(IFERROR(VLOOKUP(A3866,Skills!$A:$M,13,FALSE()),"")="COS",0,IF(OR(I3866="En cours",I3866="À venir",I3866="À planifier"),IF(AND(OR($C$3="Tous",$C$3="",C3866=$C$3),OR($E$3="Tous",$E$3="",I3866=$E$3)),1,0),0)))</f>
        <v>0</v>
      </c>
      <c r="L3866" s="0" t="n">
        <f aca="false">L3865+K3866</f>
        <v>19</v>
      </c>
    </row>
    <row r="3867" customFormat="false" ht="15" hidden="true" customHeight="true" outlineLevel="0" collapsed="false">
      <c r="K3867" s="0" t="n">
        <f aca="false">IF(A3867="",0,IF(IFERROR(VLOOKUP(A3867,Skills!$A:$M,13,FALSE()),"")="COS",0,IF(OR(I3867="En cours",I3867="À venir",I3867="À planifier"),IF(AND(OR($C$3="Tous",$C$3="",C3867=$C$3),OR($E$3="Tous",$E$3="",I3867=$E$3)),1,0),0)))</f>
        <v>0</v>
      </c>
      <c r="L3867" s="0" t="n">
        <f aca="false">L3866+K3867</f>
        <v>19</v>
      </c>
    </row>
    <row r="3868" customFormat="false" ht="15" hidden="true" customHeight="true" outlineLevel="0" collapsed="false">
      <c r="K3868" s="0" t="n">
        <f aca="false">IF(A3868="",0,IF(IFERROR(VLOOKUP(A3868,Skills!$A:$M,13,FALSE()),"")="COS",0,IF(OR(I3868="En cours",I3868="À venir",I3868="À planifier"),IF(AND(OR($C$3="Tous",$C$3="",C3868=$C$3),OR($E$3="Tous",$E$3="",I3868=$E$3)),1,0),0)))</f>
        <v>0</v>
      </c>
      <c r="L3868" s="0" t="n">
        <f aca="false">L3867+K3868</f>
        <v>19</v>
      </c>
    </row>
    <row r="3869" customFormat="false" ht="15" hidden="true" customHeight="true" outlineLevel="0" collapsed="false">
      <c r="K3869" s="0" t="n">
        <f aca="false">IF(A3869="",0,IF(IFERROR(VLOOKUP(A3869,Skills!$A:$M,13,FALSE()),"")="COS",0,IF(OR(I3869="En cours",I3869="À venir",I3869="À planifier"),IF(AND(OR($C$3="Tous",$C$3="",C3869=$C$3),OR($E$3="Tous",$E$3="",I3869=$E$3)),1,0),0)))</f>
        <v>0</v>
      </c>
      <c r="L3869" s="0" t="n">
        <f aca="false">L3868+K3869</f>
        <v>19</v>
      </c>
    </row>
    <row r="3870" customFormat="false" ht="15" hidden="true" customHeight="true" outlineLevel="0" collapsed="false">
      <c r="K3870" s="0" t="n">
        <f aca="false">IF(A3870="",0,IF(IFERROR(VLOOKUP(A3870,Skills!$A:$M,13,FALSE()),"")="COS",0,IF(OR(I3870="En cours",I3870="À venir",I3870="À planifier"),IF(AND(OR($C$3="Tous",$C$3="",C3870=$C$3),OR($E$3="Tous",$E$3="",I3870=$E$3)),1,0),0)))</f>
        <v>0</v>
      </c>
      <c r="L3870" s="0" t="n">
        <f aca="false">L3869+K3870</f>
        <v>19</v>
      </c>
    </row>
    <row r="3871" customFormat="false" ht="15" hidden="true" customHeight="true" outlineLevel="0" collapsed="false">
      <c r="K3871" s="0" t="n">
        <f aca="false">IF(A3871="",0,IF(IFERROR(VLOOKUP(A3871,Skills!$A:$M,13,FALSE()),"")="COS",0,IF(OR(I3871="En cours",I3871="À venir",I3871="À planifier"),IF(AND(OR($C$3="Tous",$C$3="",C3871=$C$3),OR($E$3="Tous",$E$3="",I3871=$E$3)),1,0),0)))</f>
        <v>0</v>
      </c>
      <c r="L3871" s="0" t="n">
        <f aca="false">L3870+K3871</f>
        <v>19</v>
      </c>
    </row>
    <row r="3872" customFormat="false" ht="15" hidden="true" customHeight="true" outlineLevel="0" collapsed="false">
      <c r="K3872" s="0" t="n">
        <f aca="false">IF(A3872="",0,IF(IFERROR(VLOOKUP(A3872,Skills!$A:$M,13,FALSE()),"")="COS",0,IF(OR(I3872="En cours",I3872="À venir",I3872="À planifier"),IF(AND(OR($C$3="Tous",$C$3="",C3872=$C$3),OR($E$3="Tous",$E$3="",I3872=$E$3)),1,0),0)))</f>
        <v>0</v>
      </c>
      <c r="L3872" s="0" t="n">
        <f aca="false">L3871+K3872</f>
        <v>19</v>
      </c>
    </row>
    <row r="3873" customFormat="false" ht="15" hidden="true" customHeight="true" outlineLevel="0" collapsed="false">
      <c r="K3873" s="0" t="n">
        <f aca="false">IF(A3873="",0,IF(IFERROR(VLOOKUP(A3873,Skills!$A:$M,13,FALSE()),"")="COS",0,IF(OR(I3873="En cours",I3873="À venir",I3873="À planifier"),IF(AND(OR($C$3="Tous",$C$3="",C3873=$C$3),OR($E$3="Tous",$E$3="",I3873=$E$3)),1,0),0)))</f>
        <v>0</v>
      </c>
      <c r="L3873" s="0" t="n">
        <f aca="false">L3872+K3873</f>
        <v>19</v>
      </c>
    </row>
    <row r="3874" customFormat="false" ht="15" hidden="true" customHeight="true" outlineLevel="0" collapsed="false">
      <c r="K3874" s="0" t="n">
        <f aca="false">IF(A3874="",0,IF(IFERROR(VLOOKUP(A3874,Skills!$A:$M,13,FALSE()),"")="COS",0,IF(OR(I3874="En cours",I3874="À venir",I3874="À planifier"),IF(AND(OR($C$3="Tous",$C$3="",C3874=$C$3),OR($E$3="Tous",$E$3="",I3874=$E$3)),1,0),0)))</f>
        <v>0</v>
      </c>
      <c r="L3874" s="0" t="n">
        <f aca="false">L3873+K3874</f>
        <v>19</v>
      </c>
    </row>
    <row r="3875" customFormat="false" ht="15" hidden="true" customHeight="true" outlineLevel="0" collapsed="false">
      <c r="K3875" s="0" t="n">
        <f aca="false">IF(A3875="",0,IF(IFERROR(VLOOKUP(A3875,Skills!$A:$M,13,FALSE()),"")="COS",0,IF(OR(I3875="En cours",I3875="À venir",I3875="À planifier"),IF(AND(OR($C$3="Tous",$C$3="",C3875=$C$3),OR($E$3="Tous",$E$3="",I3875=$E$3)),1,0),0)))</f>
        <v>0</v>
      </c>
      <c r="L3875" s="0" t="n">
        <f aca="false">L3874+K3875</f>
        <v>19</v>
      </c>
    </row>
    <row r="3876" customFormat="false" ht="15" hidden="true" customHeight="true" outlineLevel="0" collapsed="false">
      <c r="K3876" s="0" t="n">
        <f aca="false">IF(A3876="",0,IF(IFERROR(VLOOKUP(A3876,Skills!$A:$M,13,FALSE()),"")="COS",0,IF(OR(I3876="En cours",I3876="À venir",I3876="À planifier"),IF(AND(OR($C$3="Tous",$C$3="",C3876=$C$3),OR($E$3="Tous",$E$3="",I3876=$E$3)),1,0),0)))</f>
        <v>0</v>
      </c>
      <c r="L3876" s="0" t="n">
        <f aca="false">L3875+K3876</f>
        <v>19</v>
      </c>
    </row>
    <row r="3877" customFormat="false" ht="15" hidden="true" customHeight="true" outlineLevel="0" collapsed="false">
      <c r="K3877" s="0" t="n">
        <f aca="false">IF(A3877="",0,IF(IFERROR(VLOOKUP(A3877,Skills!$A:$M,13,FALSE()),"")="COS",0,IF(OR(I3877="En cours",I3877="À venir",I3877="À planifier"),IF(AND(OR($C$3="Tous",$C$3="",C3877=$C$3),OR($E$3="Tous",$E$3="",I3877=$E$3)),1,0),0)))</f>
        <v>0</v>
      </c>
      <c r="L3877" s="0" t="n">
        <f aca="false">L3876+K3877</f>
        <v>19</v>
      </c>
    </row>
    <row r="3878" customFormat="false" ht="15" hidden="true" customHeight="true" outlineLevel="0" collapsed="false">
      <c r="K3878" s="0" t="n">
        <f aca="false">IF(A3878="",0,IF(IFERROR(VLOOKUP(A3878,Skills!$A:$M,13,FALSE()),"")="COS",0,IF(OR(I3878="En cours",I3878="À venir",I3878="À planifier"),IF(AND(OR($C$3="Tous",$C$3="",C3878=$C$3),OR($E$3="Tous",$E$3="",I3878=$E$3)),1,0),0)))</f>
        <v>0</v>
      </c>
      <c r="L3878" s="0" t="n">
        <f aca="false">L3877+K3878</f>
        <v>19</v>
      </c>
    </row>
    <row r="3879" customFormat="false" ht="15" hidden="true" customHeight="true" outlineLevel="0" collapsed="false">
      <c r="K3879" s="0" t="n">
        <f aca="false">IF(A3879="",0,IF(IFERROR(VLOOKUP(A3879,Skills!$A:$M,13,FALSE()),"")="COS",0,IF(OR(I3879="En cours",I3879="À venir",I3879="À planifier"),IF(AND(OR($C$3="Tous",$C$3="",C3879=$C$3),OR($E$3="Tous",$E$3="",I3879=$E$3)),1,0),0)))</f>
        <v>0</v>
      </c>
      <c r="L3879" s="0" t="n">
        <f aca="false">L3878+K3879</f>
        <v>19</v>
      </c>
    </row>
    <row r="3880" customFormat="false" ht="15" hidden="true" customHeight="true" outlineLevel="0" collapsed="false">
      <c r="K3880" s="0" t="n">
        <f aca="false">IF(A3880="",0,IF(IFERROR(VLOOKUP(A3880,Skills!$A:$M,13,FALSE()),"")="COS",0,IF(OR(I3880="En cours",I3880="À venir",I3880="À planifier"),IF(AND(OR($C$3="Tous",$C$3="",C3880=$C$3),OR($E$3="Tous",$E$3="",I3880=$E$3)),1,0),0)))</f>
        <v>0</v>
      </c>
      <c r="L3880" s="0" t="n">
        <f aca="false">L3879+K3880</f>
        <v>19</v>
      </c>
    </row>
    <row r="3881" customFormat="false" ht="15" hidden="true" customHeight="true" outlineLevel="0" collapsed="false">
      <c r="K3881" s="0" t="n">
        <f aca="false">IF(A3881="",0,IF(IFERROR(VLOOKUP(A3881,Skills!$A:$M,13,FALSE()),"")="COS",0,IF(OR(I3881="En cours",I3881="À venir",I3881="À planifier"),IF(AND(OR($C$3="Tous",$C$3="",C3881=$C$3),OR($E$3="Tous",$E$3="",I3881=$E$3)),1,0),0)))</f>
        <v>0</v>
      </c>
      <c r="L3881" s="0" t="n">
        <f aca="false">L3880+K3881</f>
        <v>19</v>
      </c>
    </row>
    <row r="3882" customFormat="false" ht="15" hidden="true" customHeight="true" outlineLevel="0" collapsed="false">
      <c r="K3882" s="0" t="n">
        <f aca="false">IF(A3882="",0,IF(IFERROR(VLOOKUP(A3882,Skills!$A:$M,13,FALSE()),"")="COS",0,IF(OR(I3882="En cours",I3882="À venir",I3882="À planifier"),IF(AND(OR($C$3="Tous",$C$3="",C3882=$C$3),OR($E$3="Tous",$E$3="",I3882=$E$3)),1,0),0)))</f>
        <v>0</v>
      </c>
      <c r="L3882" s="0" t="n">
        <f aca="false">L3881+K3882</f>
        <v>19</v>
      </c>
    </row>
    <row r="3883" customFormat="false" ht="15" hidden="true" customHeight="true" outlineLevel="0" collapsed="false">
      <c r="K3883" s="0" t="n">
        <f aca="false">IF(A3883="",0,IF(IFERROR(VLOOKUP(A3883,Skills!$A:$M,13,FALSE()),"")="COS",0,IF(OR(I3883="En cours",I3883="À venir",I3883="À planifier"),IF(AND(OR($C$3="Tous",$C$3="",C3883=$C$3),OR($E$3="Tous",$E$3="",I3883=$E$3)),1,0),0)))</f>
        <v>0</v>
      </c>
      <c r="L3883" s="0" t="n">
        <f aca="false">L3882+K3883</f>
        <v>19</v>
      </c>
    </row>
    <row r="3884" customFormat="false" ht="15" hidden="true" customHeight="true" outlineLevel="0" collapsed="false">
      <c r="K3884" s="0" t="n">
        <f aca="false">IF(A3884="",0,IF(IFERROR(VLOOKUP(A3884,Skills!$A:$M,13,FALSE()),"")="COS",0,IF(OR(I3884="En cours",I3884="À venir",I3884="À planifier"),IF(AND(OR($C$3="Tous",$C$3="",C3884=$C$3),OR($E$3="Tous",$E$3="",I3884=$E$3)),1,0),0)))</f>
        <v>0</v>
      </c>
      <c r="L3884" s="0" t="n">
        <f aca="false">L3883+K3884</f>
        <v>19</v>
      </c>
    </row>
    <row r="3885" customFormat="false" ht="15" hidden="true" customHeight="true" outlineLevel="0" collapsed="false">
      <c r="K3885" s="0" t="n">
        <f aca="false">IF(A3885="",0,IF(IFERROR(VLOOKUP(A3885,Skills!$A:$M,13,FALSE()),"")="COS",0,IF(OR(I3885="En cours",I3885="À venir",I3885="À planifier"),IF(AND(OR($C$3="Tous",$C$3="",C3885=$C$3),OR($E$3="Tous",$E$3="",I3885=$E$3)),1,0),0)))</f>
        <v>0</v>
      </c>
      <c r="L3885" s="0" t="n">
        <f aca="false">L3884+K3885</f>
        <v>19</v>
      </c>
    </row>
    <row r="3886" customFormat="false" ht="15" hidden="true" customHeight="true" outlineLevel="0" collapsed="false">
      <c r="K3886" s="0" t="n">
        <f aca="false">IF(A3886="",0,IF(IFERROR(VLOOKUP(A3886,Skills!$A:$M,13,FALSE()),"")="COS",0,IF(OR(I3886="En cours",I3886="À venir",I3886="À planifier"),IF(AND(OR($C$3="Tous",$C$3="",C3886=$C$3),OR($E$3="Tous",$E$3="",I3886=$E$3)),1,0),0)))</f>
        <v>0</v>
      </c>
      <c r="L3886" s="0" t="n">
        <f aca="false">L3885+K3886</f>
        <v>19</v>
      </c>
    </row>
    <row r="3887" customFormat="false" ht="15" hidden="true" customHeight="true" outlineLevel="0" collapsed="false">
      <c r="K3887" s="0" t="n">
        <f aca="false">IF(A3887="",0,IF(IFERROR(VLOOKUP(A3887,Skills!$A:$M,13,FALSE()),"")="COS",0,IF(OR(I3887="En cours",I3887="À venir",I3887="À planifier"),IF(AND(OR($C$3="Tous",$C$3="",C3887=$C$3),OR($E$3="Tous",$E$3="",I3887=$E$3)),1,0),0)))</f>
        <v>0</v>
      </c>
      <c r="L3887" s="0" t="n">
        <f aca="false">L3886+K3887</f>
        <v>19</v>
      </c>
    </row>
    <row r="3888" customFormat="false" ht="15" hidden="true" customHeight="true" outlineLevel="0" collapsed="false">
      <c r="K3888" s="0" t="n">
        <f aca="false">IF(A3888="",0,IF(IFERROR(VLOOKUP(A3888,Skills!$A:$M,13,FALSE()),"")="COS",0,IF(OR(I3888="En cours",I3888="À venir",I3888="À planifier"),IF(AND(OR($C$3="Tous",$C$3="",C3888=$C$3),OR($E$3="Tous",$E$3="",I3888=$E$3)),1,0),0)))</f>
        <v>0</v>
      </c>
      <c r="L3888" s="0" t="n">
        <f aca="false">L3887+K3888</f>
        <v>19</v>
      </c>
    </row>
    <row r="3889" customFormat="false" ht="15" hidden="true" customHeight="true" outlineLevel="0" collapsed="false">
      <c r="K3889" s="0" t="n">
        <f aca="false">IF(A3889="",0,IF(IFERROR(VLOOKUP(A3889,Skills!$A:$M,13,FALSE()),"")="COS",0,IF(OR(I3889="En cours",I3889="À venir",I3889="À planifier"),IF(AND(OR($C$3="Tous",$C$3="",C3889=$C$3),OR($E$3="Tous",$E$3="",I3889=$E$3)),1,0),0)))</f>
        <v>0</v>
      </c>
      <c r="L3889" s="0" t="n">
        <f aca="false">L3888+K3889</f>
        <v>19</v>
      </c>
    </row>
    <row r="3890" customFormat="false" ht="15" hidden="true" customHeight="true" outlineLevel="0" collapsed="false">
      <c r="K3890" s="0" t="n">
        <f aca="false">IF(A3890="",0,IF(IFERROR(VLOOKUP(A3890,Skills!$A:$M,13,FALSE()),"")="COS",0,IF(OR(I3890="En cours",I3890="À venir",I3890="À planifier"),IF(AND(OR($C$3="Tous",$C$3="",C3890=$C$3),OR($E$3="Tous",$E$3="",I3890=$E$3)),1,0),0)))</f>
        <v>0</v>
      </c>
      <c r="L3890" s="0" t="n">
        <f aca="false">L3889+K3890</f>
        <v>19</v>
      </c>
    </row>
    <row r="3891" customFormat="false" ht="15" hidden="true" customHeight="true" outlineLevel="0" collapsed="false">
      <c r="K3891" s="0" t="n">
        <f aca="false">IF(A3891="",0,IF(IFERROR(VLOOKUP(A3891,Skills!$A:$M,13,FALSE()),"")="COS",0,IF(OR(I3891="En cours",I3891="À venir",I3891="À planifier"),IF(AND(OR($C$3="Tous",$C$3="",C3891=$C$3),OR($E$3="Tous",$E$3="",I3891=$E$3)),1,0),0)))</f>
        <v>0</v>
      </c>
      <c r="L3891" s="0" t="n">
        <f aca="false">L3890+K3891</f>
        <v>19</v>
      </c>
    </row>
    <row r="3892" customFormat="false" ht="15" hidden="true" customHeight="true" outlineLevel="0" collapsed="false">
      <c r="K3892" s="0" t="n">
        <f aca="false">IF(A3892="",0,IF(IFERROR(VLOOKUP(A3892,Skills!$A:$M,13,FALSE()),"")="COS",0,IF(OR(I3892="En cours",I3892="À venir",I3892="À planifier"),IF(AND(OR($C$3="Tous",$C$3="",C3892=$C$3),OR($E$3="Tous",$E$3="",I3892=$E$3)),1,0),0)))</f>
        <v>0</v>
      </c>
      <c r="L3892" s="0" t="n">
        <f aca="false">L3891+K3892</f>
        <v>19</v>
      </c>
    </row>
    <row r="3893" customFormat="false" ht="15" hidden="true" customHeight="true" outlineLevel="0" collapsed="false">
      <c r="K3893" s="0" t="n">
        <f aca="false">IF(A3893="",0,IF(IFERROR(VLOOKUP(A3893,Skills!$A:$M,13,FALSE()),"")="COS",0,IF(OR(I3893="En cours",I3893="À venir",I3893="À planifier"),IF(AND(OR($C$3="Tous",$C$3="",C3893=$C$3),OR($E$3="Tous",$E$3="",I3893=$E$3)),1,0),0)))</f>
        <v>0</v>
      </c>
      <c r="L3893" s="0" t="n">
        <f aca="false">L3892+K3893</f>
        <v>19</v>
      </c>
    </row>
    <row r="3894" customFormat="false" ht="15" hidden="true" customHeight="true" outlineLevel="0" collapsed="false">
      <c r="K3894" s="0" t="n">
        <f aca="false">IF(A3894="",0,IF(IFERROR(VLOOKUP(A3894,Skills!$A:$M,13,FALSE()),"")="COS",0,IF(OR(I3894="En cours",I3894="À venir",I3894="À planifier"),IF(AND(OR($C$3="Tous",$C$3="",C3894=$C$3),OR($E$3="Tous",$E$3="",I3894=$E$3)),1,0),0)))</f>
        <v>0</v>
      </c>
      <c r="L3894" s="0" t="n">
        <f aca="false">L3893+K3894</f>
        <v>19</v>
      </c>
    </row>
    <row r="3895" customFormat="false" ht="15" hidden="true" customHeight="true" outlineLevel="0" collapsed="false">
      <c r="K3895" s="0" t="n">
        <f aca="false">IF(A3895="",0,IF(IFERROR(VLOOKUP(A3895,Skills!$A:$M,13,FALSE()),"")="COS",0,IF(OR(I3895="En cours",I3895="À venir",I3895="À planifier"),IF(AND(OR($C$3="Tous",$C$3="",C3895=$C$3),OR($E$3="Tous",$E$3="",I3895=$E$3)),1,0),0)))</f>
        <v>0</v>
      </c>
      <c r="L3895" s="0" t="n">
        <f aca="false">L3894+K3895</f>
        <v>19</v>
      </c>
    </row>
    <row r="3896" customFormat="false" ht="15" hidden="true" customHeight="true" outlineLevel="0" collapsed="false">
      <c r="K3896" s="0" t="n">
        <f aca="false">IF(A3896="",0,IF(IFERROR(VLOOKUP(A3896,Skills!$A:$M,13,FALSE()),"")="COS",0,IF(OR(I3896="En cours",I3896="À venir",I3896="À planifier"),IF(AND(OR($C$3="Tous",$C$3="",C3896=$C$3),OR($E$3="Tous",$E$3="",I3896=$E$3)),1,0),0)))</f>
        <v>0</v>
      </c>
      <c r="L3896" s="0" t="n">
        <f aca="false">L3895+K3896</f>
        <v>19</v>
      </c>
    </row>
    <row r="3897" customFormat="false" ht="15" hidden="true" customHeight="true" outlineLevel="0" collapsed="false">
      <c r="K3897" s="0" t="n">
        <f aca="false">IF(A3897="",0,IF(IFERROR(VLOOKUP(A3897,Skills!$A:$M,13,FALSE()),"")="COS",0,IF(OR(I3897="En cours",I3897="À venir",I3897="À planifier"),IF(AND(OR($C$3="Tous",$C$3="",C3897=$C$3),OR($E$3="Tous",$E$3="",I3897=$E$3)),1,0),0)))</f>
        <v>0</v>
      </c>
      <c r="L3897" s="0" t="n">
        <f aca="false">L3896+K3897</f>
        <v>19</v>
      </c>
    </row>
    <row r="3898" customFormat="false" ht="15" hidden="true" customHeight="true" outlineLevel="0" collapsed="false">
      <c r="K3898" s="0" t="n">
        <f aca="false">IF(A3898="",0,IF(IFERROR(VLOOKUP(A3898,Skills!$A:$M,13,FALSE()),"")="COS",0,IF(OR(I3898="En cours",I3898="À venir",I3898="À planifier"),IF(AND(OR($C$3="Tous",$C$3="",C3898=$C$3),OR($E$3="Tous",$E$3="",I3898=$E$3)),1,0),0)))</f>
        <v>0</v>
      </c>
      <c r="L3898" s="0" t="n">
        <f aca="false">L3897+K3898</f>
        <v>19</v>
      </c>
    </row>
    <row r="3899" customFormat="false" ht="15" hidden="true" customHeight="true" outlineLevel="0" collapsed="false">
      <c r="K3899" s="0" t="n">
        <f aca="false">IF(A3899="",0,IF(IFERROR(VLOOKUP(A3899,Skills!$A:$M,13,FALSE()),"")="COS",0,IF(OR(I3899="En cours",I3899="À venir",I3899="À planifier"),IF(AND(OR($C$3="Tous",$C$3="",C3899=$C$3),OR($E$3="Tous",$E$3="",I3899=$E$3)),1,0),0)))</f>
        <v>0</v>
      </c>
      <c r="L3899" s="0" t="n">
        <f aca="false">L3898+K3899</f>
        <v>19</v>
      </c>
    </row>
    <row r="3900" customFormat="false" ht="15" hidden="true" customHeight="true" outlineLevel="0" collapsed="false">
      <c r="K3900" s="0" t="n">
        <f aca="false">IF(A3900="",0,IF(IFERROR(VLOOKUP(A3900,Skills!$A:$M,13,FALSE()),"")="COS",0,IF(OR(I3900="En cours",I3900="À venir",I3900="À planifier"),IF(AND(OR($C$3="Tous",$C$3="",C3900=$C$3),OR($E$3="Tous",$E$3="",I3900=$E$3)),1,0),0)))</f>
        <v>0</v>
      </c>
      <c r="L3900" s="0" t="n">
        <f aca="false">L3899+K3900</f>
        <v>19</v>
      </c>
    </row>
    <row r="3901" customFormat="false" ht="15" hidden="true" customHeight="true" outlineLevel="0" collapsed="false">
      <c r="K3901" s="0" t="n">
        <f aca="false">IF(A3901="",0,IF(IFERROR(VLOOKUP(A3901,Skills!$A:$M,13,FALSE()),"")="COS",0,IF(OR(I3901="En cours",I3901="À venir",I3901="À planifier"),IF(AND(OR($C$3="Tous",$C$3="",C3901=$C$3),OR($E$3="Tous",$E$3="",I3901=$E$3)),1,0),0)))</f>
        <v>0</v>
      </c>
      <c r="L3901" s="0" t="n">
        <f aca="false">L3900+K3901</f>
        <v>19</v>
      </c>
    </row>
    <row r="3902" customFormat="false" ht="15" hidden="true" customHeight="true" outlineLevel="0" collapsed="false">
      <c r="K3902" s="0" t="n">
        <f aca="false">IF(A3902="",0,IF(IFERROR(VLOOKUP(A3902,Skills!$A:$M,13,FALSE()),"")="COS",0,IF(OR(I3902="En cours",I3902="À venir",I3902="À planifier"),IF(AND(OR($C$3="Tous",$C$3="",C3902=$C$3),OR($E$3="Tous",$E$3="",I3902=$E$3)),1,0),0)))</f>
        <v>0</v>
      </c>
      <c r="L3902" s="0" t="n">
        <f aca="false">L3901+K3902</f>
        <v>19</v>
      </c>
    </row>
    <row r="3903" customFormat="false" ht="15" hidden="true" customHeight="true" outlineLevel="0" collapsed="false">
      <c r="K3903" s="0" t="n">
        <f aca="false">IF(A3903="",0,IF(IFERROR(VLOOKUP(A3903,Skills!$A:$M,13,FALSE()),"")="COS",0,IF(OR(I3903="En cours",I3903="À venir",I3903="À planifier"),IF(AND(OR($C$3="Tous",$C$3="",C3903=$C$3),OR($E$3="Tous",$E$3="",I3903=$E$3)),1,0),0)))</f>
        <v>0</v>
      </c>
      <c r="L3903" s="0" t="n">
        <f aca="false">L3902+K3903</f>
        <v>19</v>
      </c>
    </row>
    <row r="3904" customFormat="false" ht="15" hidden="true" customHeight="true" outlineLevel="0" collapsed="false">
      <c r="K3904" s="0" t="n">
        <f aca="false">IF(A3904="",0,IF(IFERROR(VLOOKUP(A3904,Skills!$A:$M,13,FALSE()),"")="COS",0,IF(OR(I3904="En cours",I3904="À venir",I3904="À planifier"),IF(AND(OR($C$3="Tous",$C$3="",C3904=$C$3),OR($E$3="Tous",$E$3="",I3904=$E$3)),1,0),0)))</f>
        <v>0</v>
      </c>
      <c r="L3904" s="0" t="n">
        <f aca="false">L3903+K3904</f>
        <v>19</v>
      </c>
    </row>
    <row r="3905" customFormat="false" ht="15" hidden="true" customHeight="true" outlineLevel="0" collapsed="false">
      <c r="K3905" s="0" t="n">
        <f aca="false">IF(A3905="",0,IF(IFERROR(VLOOKUP(A3905,Skills!$A:$M,13,FALSE()),"")="COS",0,IF(OR(I3905="En cours",I3905="À venir",I3905="À planifier"),IF(AND(OR($C$3="Tous",$C$3="",C3905=$C$3),OR($E$3="Tous",$E$3="",I3905=$E$3)),1,0),0)))</f>
        <v>0</v>
      </c>
      <c r="L3905" s="0" t="n">
        <f aca="false">L3904+K3905</f>
        <v>19</v>
      </c>
    </row>
    <row r="3906" customFormat="false" ht="15" hidden="true" customHeight="true" outlineLevel="0" collapsed="false">
      <c r="K3906" s="0" t="n">
        <f aca="false">IF(A3906="",0,IF(IFERROR(VLOOKUP(A3906,Skills!$A:$M,13,FALSE()),"")="COS",0,IF(OR(I3906="En cours",I3906="À venir",I3906="À planifier"),IF(AND(OR($C$3="Tous",$C$3="",C3906=$C$3),OR($E$3="Tous",$E$3="",I3906=$E$3)),1,0),0)))</f>
        <v>0</v>
      </c>
      <c r="L3906" s="0" t="n">
        <f aca="false">L3905+K3906</f>
        <v>19</v>
      </c>
    </row>
    <row r="3907" customFormat="false" ht="15" hidden="true" customHeight="true" outlineLevel="0" collapsed="false">
      <c r="K3907" s="0" t="n">
        <f aca="false">IF(A3907="",0,IF(IFERROR(VLOOKUP(A3907,Skills!$A:$M,13,FALSE()),"")="COS",0,IF(OR(I3907="En cours",I3907="À venir",I3907="À planifier"),IF(AND(OR($C$3="Tous",$C$3="",C3907=$C$3),OR($E$3="Tous",$E$3="",I3907=$E$3)),1,0),0)))</f>
        <v>0</v>
      </c>
      <c r="L3907" s="0" t="n">
        <f aca="false">L3906+K3907</f>
        <v>19</v>
      </c>
    </row>
    <row r="3908" customFormat="false" ht="15" hidden="true" customHeight="true" outlineLevel="0" collapsed="false">
      <c r="K3908" s="0" t="n">
        <f aca="false">IF(A3908="",0,IF(IFERROR(VLOOKUP(A3908,Skills!$A:$M,13,FALSE()),"")="COS",0,IF(OR(I3908="En cours",I3908="À venir",I3908="À planifier"),IF(AND(OR($C$3="Tous",$C$3="",C3908=$C$3),OR($E$3="Tous",$E$3="",I3908=$E$3)),1,0),0)))</f>
        <v>0</v>
      </c>
      <c r="L3908" s="0" t="n">
        <f aca="false">L3907+K3908</f>
        <v>19</v>
      </c>
    </row>
    <row r="3909" customFormat="false" ht="15" hidden="true" customHeight="true" outlineLevel="0" collapsed="false">
      <c r="K3909" s="0" t="n">
        <f aca="false">IF(A3909="",0,IF(IFERROR(VLOOKUP(A3909,Skills!$A:$M,13,FALSE()),"")="COS",0,IF(OR(I3909="En cours",I3909="À venir",I3909="À planifier"),IF(AND(OR($C$3="Tous",$C$3="",C3909=$C$3),OR($E$3="Tous",$E$3="",I3909=$E$3)),1,0),0)))</f>
        <v>0</v>
      </c>
      <c r="L3909" s="0" t="n">
        <f aca="false">L3908+K3909</f>
        <v>19</v>
      </c>
    </row>
    <row r="3910" customFormat="false" ht="15" hidden="true" customHeight="true" outlineLevel="0" collapsed="false">
      <c r="K3910" s="0" t="n">
        <f aca="false">IF(A3910="",0,IF(IFERROR(VLOOKUP(A3910,Skills!$A:$M,13,FALSE()),"")="COS",0,IF(OR(I3910="En cours",I3910="À venir",I3910="À planifier"),IF(AND(OR($C$3="Tous",$C$3="",C3910=$C$3),OR($E$3="Tous",$E$3="",I3910=$E$3)),1,0),0)))</f>
        <v>0</v>
      </c>
      <c r="L3910" s="0" t="n">
        <f aca="false">L3909+K3910</f>
        <v>19</v>
      </c>
    </row>
    <row r="3911" customFormat="false" ht="15" hidden="true" customHeight="true" outlineLevel="0" collapsed="false">
      <c r="K3911" s="0" t="n">
        <f aca="false">IF(A3911="",0,IF(IFERROR(VLOOKUP(A3911,Skills!$A:$M,13,FALSE()),"")="COS",0,IF(OR(I3911="En cours",I3911="À venir",I3911="À planifier"),IF(AND(OR($C$3="Tous",$C$3="",C3911=$C$3),OR($E$3="Tous",$E$3="",I3911=$E$3)),1,0),0)))</f>
        <v>0</v>
      </c>
      <c r="L3911" s="0" t="n">
        <f aca="false">L3910+K3911</f>
        <v>19</v>
      </c>
    </row>
    <row r="3912" customFormat="false" ht="15" hidden="true" customHeight="true" outlineLevel="0" collapsed="false">
      <c r="K3912" s="0" t="n">
        <f aca="false">IF(A3912="",0,IF(IFERROR(VLOOKUP(A3912,Skills!$A:$M,13,FALSE()),"")="COS",0,IF(OR(I3912="En cours",I3912="À venir",I3912="À planifier"),IF(AND(OR($C$3="Tous",$C$3="",C3912=$C$3),OR($E$3="Tous",$E$3="",I3912=$E$3)),1,0),0)))</f>
        <v>0</v>
      </c>
      <c r="L3912" s="0" t="n">
        <f aca="false">L3911+K3912</f>
        <v>19</v>
      </c>
    </row>
    <row r="3913" customFormat="false" ht="15" hidden="true" customHeight="true" outlineLevel="0" collapsed="false">
      <c r="K3913" s="0" t="n">
        <f aca="false">IF(A3913="",0,IF(IFERROR(VLOOKUP(A3913,Skills!$A:$M,13,FALSE()),"")="COS",0,IF(OR(I3913="En cours",I3913="À venir",I3913="À planifier"),IF(AND(OR($C$3="Tous",$C$3="",C3913=$C$3),OR($E$3="Tous",$E$3="",I3913=$E$3)),1,0),0)))</f>
        <v>0</v>
      </c>
      <c r="L3913" s="0" t="n">
        <f aca="false">L3912+K3913</f>
        <v>19</v>
      </c>
    </row>
    <row r="3914" customFormat="false" ht="15" hidden="true" customHeight="true" outlineLevel="0" collapsed="false">
      <c r="K3914" s="0" t="n">
        <f aca="false">IF(A3914="",0,IF(IFERROR(VLOOKUP(A3914,Skills!$A:$M,13,FALSE()),"")="COS",0,IF(OR(I3914="En cours",I3914="À venir",I3914="À planifier"),IF(AND(OR($C$3="Tous",$C$3="",C3914=$C$3),OR($E$3="Tous",$E$3="",I3914=$E$3)),1,0),0)))</f>
        <v>0</v>
      </c>
      <c r="L3914" s="0" t="n">
        <f aca="false">L3913+K3914</f>
        <v>19</v>
      </c>
    </row>
    <row r="3915" customFormat="false" ht="15" hidden="true" customHeight="true" outlineLevel="0" collapsed="false">
      <c r="K3915" s="0" t="n">
        <f aca="false">IF(A3915="",0,IF(IFERROR(VLOOKUP(A3915,Skills!$A:$M,13,FALSE()),"")="COS",0,IF(OR(I3915="En cours",I3915="À venir",I3915="À planifier"),IF(AND(OR($C$3="Tous",$C$3="",C3915=$C$3),OR($E$3="Tous",$E$3="",I3915=$E$3)),1,0),0)))</f>
        <v>0</v>
      </c>
      <c r="L3915" s="0" t="n">
        <f aca="false">L3914+K3915</f>
        <v>19</v>
      </c>
    </row>
    <row r="3916" customFormat="false" ht="15" hidden="true" customHeight="true" outlineLevel="0" collapsed="false">
      <c r="K3916" s="0" t="n">
        <f aca="false">IF(A3916="",0,IF(IFERROR(VLOOKUP(A3916,Skills!$A:$M,13,FALSE()),"")="COS",0,IF(OR(I3916="En cours",I3916="À venir",I3916="À planifier"),IF(AND(OR($C$3="Tous",$C$3="",C3916=$C$3),OR($E$3="Tous",$E$3="",I3916=$E$3)),1,0),0)))</f>
        <v>0</v>
      </c>
      <c r="L3916" s="0" t="n">
        <f aca="false">L3915+K3916</f>
        <v>19</v>
      </c>
    </row>
    <row r="3917" customFormat="false" ht="15" hidden="true" customHeight="true" outlineLevel="0" collapsed="false">
      <c r="K3917" s="0" t="n">
        <f aca="false">IF(A3917="",0,IF(IFERROR(VLOOKUP(A3917,Skills!$A:$M,13,FALSE()),"")="COS",0,IF(OR(I3917="En cours",I3917="À venir",I3917="À planifier"),IF(AND(OR($C$3="Tous",$C$3="",C3917=$C$3),OR($E$3="Tous",$E$3="",I3917=$E$3)),1,0),0)))</f>
        <v>0</v>
      </c>
      <c r="L3917" s="0" t="n">
        <f aca="false">L3916+K3917</f>
        <v>19</v>
      </c>
    </row>
    <row r="3918" customFormat="false" ht="15" hidden="true" customHeight="true" outlineLevel="0" collapsed="false">
      <c r="K3918" s="0" t="n">
        <f aca="false">IF(A3918="",0,IF(IFERROR(VLOOKUP(A3918,Skills!$A:$M,13,FALSE()),"")="COS",0,IF(OR(I3918="En cours",I3918="À venir",I3918="À planifier"),IF(AND(OR($C$3="Tous",$C$3="",C3918=$C$3),OR($E$3="Tous",$E$3="",I3918=$E$3)),1,0),0)))</f>
        <v>0</v>
      </c>
      <c r="L3918" s="0" t="n">
        <f aca="false">L3917+K3918</f>
        <v>19</v>
      </c>
    </row>
    <row r="3919" customFormat="false" ht="15" hidden="true" customHeight="true" outlineLevel="0" collapsed="false">
      <c r="K3919" s="0" t="n">
        <f aca="false">IF(A3919="",0,IF(IFERROR(VLOOKUP(A3919,Skills!$A:$M,13,FALSE()),"")="COS",0,IF(OR(I3919="En cours",I3919="À venir",I3919="À planifier"),IF(AND(OR($C$3="Tous",$C$3="",C3919=$C$3),OR($E$3="Tous",$E$3="",I3919=$E$3)),1,0),0)))</f>
        <v>0</v>
      </c>
      <c r="L3919" s="0" t="n">
        <f aca="false">L3918+K3919</f>
        <v>19</v>
      </c>
    </row>
    <row r="3920" customFormat="false" ht="15" hidden="true" customHeight="true" outlineLevel="0" collapsed="false">
      <c r="K3920" s="0" t="n">
        <f aca="false">IF(A3920="",0,IF(IFERROR(VLOOKUP(A3920,Skills!$A:$M,13,FALSE()),"")="COS",0,IF(OR(I3920="En cours",I3920="À venir",I3920="À planifier"),IF(AND(OR($C$3="Tous",$C$3="",C3920=$C$3),OR($E$3="Tous",$E$3="",I3920=$E$3)),1,0),0)))</f>
        <v>0</v>
      </c>
      <c r="L3920" s="0" t="n">
        <f aca="false">L3919+K3920</f>
        <v>19</v>
      </c>
    </row>
    <row r="3921" customFormat="false" ht="15" hidden="true" customHeight="true" outlineLevel="0" collapsed="false">
      <c r="K3921" s="0" t="n">
        <f aca="false">IF(A3921="",0,IF(IFERROR(VLOOKUP(A3921,Skills!$A:$M,13,FALSE()),"")="COS",0,IF(OR(I3921="En cours",I3921="À venir",I3921="À planifier"),IF(AND(OR($C$3="Tous",$C$3="",C3921=$C$3),OR($E$3="Tous",$E$3="",I3921=$E$3)),1,0),0)))</f>
        <v>0</v>
      </c>
      <c r="L3921" s="0" t="n">
        <f aca="false">L3920+K3921</f>
        <v>19</v>
      </c>
    </row>
    <row r="3922" customFormat="false" ht="15" hidden="true" customHeight="true" outlineLevel="0" collapsed="false">
      <c r="K3922" s="0" t="n">
        <f aca="false">IF(A3922="",0,IF(IFERROR(VLOOKUP(A3922,Skills!$A:$M,13,FALSE()),"")="COS",0,IF(OR(I3922="En cours",I3922="À venir",I3922="À planifier"),IF(AND(OR($C$3="Tous",$C$3="",C3922=$C$3),OR($E$3="Tous",$E$3="",I3922=$E$3)),1,0),0)))</f>
        <v>0</v>
      </c>
      <c r="L3922" s="0" t="n">
        <f aca="false">L3921+K3922</f>
        <v>19</v>
      </c>
    </row>
    <row r="3923" customFormat="false" ht="15" hidden="true" customHeight="true" outlineLevel="0" collapsed="false">
      <c r="K3923" s="0" t="n">
        <f aca="false">IF(A3923="",0,IF(IFERROR(VLOOKUP(A3923,Skills!$A:$M,13,FALSE()),"")="COS",0,IF(OR(I3923="En cours",I3923="À venir",I3923="À planifier"),IF(AND(OR($C$3="Tous",$C$3="",C3923=$C$3),OR($E$3="Tous",$E$3="",I3923=$E$3)),1,0),0)))</f>
        <v>0</v>
      </c>
      <c r="L3923" s="0" t="n">
        <f aca="false">L3922+K3923</f>
        <v>19</v>
      </c>
    </row>
    <row r="3924" customFormat="false" ht="15" hidden="true" customHeight="true" outlineLevel="0" collapsed="false">
      <c r="K3924" s="0" t="n">
        <f aca="false">IF(A3924="",0,IF(IFERROR(VLOOKUP(A3924,Skills!$A:$M,13,FALSE()),"")="COS",0,IF(OR(I3924="En cours",I3924="À venir",I3924="À planifier"),IF(AND(OR($C$3="Tous",$C$3="",C3924=$C$3),OR($E$3="Tous",$E$3="",I3924=$E$3)),1,0),0)))</f>
        <v>0</v>
      </c>
      <c r="L3924" s="0" t="n">
        <f aca="false">L3923+K3924</f>
        <v>19</v>
      </c>
    </row>
    <row r="3925" customFormat="false" ht="15" hidden="true" customHeight="true" outlineLevel="0" collapsed="false">
      <c r="K3925" s="0" t="n">
        <f aca="false">IF(A3925="",0,IF(IFERROR(VLOOKUP(A3925,Skills!$A:$M,13,FALSE()),"")="COS",0,IF(OR(I3925="En cours",I3925="À venir",I3925="À planifier"),IF(AND(OR($C$3="Tous",$C$3="",C3925=$C$3),OR($E$3="Tous",$E$3="",I3925=$E$3)),1,0),0)))</f>
        <v>0</v>
      </c>
      <c r="L3925" s="0" t="n">
        <f aca="false">L3924+K3925</f>
        <v>19</v>
      </c>
    </row>
    <row r="3926" customFormat="false" ht="15" hidden="true" customHeight="true" outlineLevel="0" collapsed="false">
      <c r="K3926" s="0" t="n">
        <f aca="false">IF(A3926="",0,IF(IFERROR(VLOOKUP(A3926,Skills!$A:$M,13,FALSE()),"")="COS",0,IF(OR(I3926="En cours",I3926="À venir",I3926="À planifier"),IF(AND(OR($C$3="Tous",$C$3="",C3926=$C$3),OR($E$3="Tous",$E$3="",I3926=$E$3)),1,0),0)))</f>
        <v>0</v>
      </c>
      <c r="L3926" s="0" t="n">
        <f aca="false">L3925+K3926</f>
        <v>19</v>
      </c>
    </row>
    <row r="3927" customFormat="false" ht="15" hidden="true" customHeight="true" outlineLevel="0" collapsed="false">
      <c r="K3927" s="0" t="n">
        <f aca="false">IF(A3927="",0,IF(IFERROR(VLOOKUP(A3927,Skills!$A:$M,13,FALSE()),"")="COS",0,IF(OR(I3927="En cours",I3927="À venir",I3927="À planifier"),IF(AND(OR($C$3="Tous",$C$3="",C3927=$C$3),OR($E$3="Tous",$E$3="",I3927=$E$3)),1,0),0)))</f>
        <v>0</v>
      </c>
      <c r="L3927" s="0" t="n">
        <f aca="false">L3926+K3927</f>
        <v>19</v>
      </c>
    </row>
    <row r="3928" customFormat="false" ht="15" hidden="true" customHeight="true" outlineLevel="0" collapsed="false">
      <c r="K3928" s="0" t="n">
        <f aca="false">IF(A3928="",0,IF(IFERROR(VLOOKUP(A3928,Skills!$A:$M,13,FALSE()),"")="COS",0,IF(OR(I3928="En cours",I3928="À venir",I3928="À planifier"),IF(AND(OR($C$3="Tous",$C$3="",C3928=$C$3),OR($E$3="Tous",$E$3="",I3928=$E$3)),1,0),0)))</f>
        <v>0</v>
      </c>
      <c r="L3928" s="0" t="n">
        <f aca="false">L3927+K3928</f>
        <v>19</v>
      </c>
    </row>
    <row r="3929" customFormat="false" ht="15" hidden="true" customHeight="true" outlineLevel="0" collapsed="false">
      <c r="K3929" s="0" t="n">
        <f aca="false">IF(A3929="",0,IF(IFERROR(VLOOKUP(A3929,Skills!$A:$M,13,FALSE()),"")="COS",0,IF(OR(I3929="En cours",I3929="À venir",I3929="À planifier"),IF(AND(OR($C$3="Tous",$C$3="",C3929=$C$3),OR($E$3="Tous",$E$3="",I3929=$E$3)),1,0),0)))</f>
        <v>0</v>
      </c>
      <c r="L3929" s="0" t="n">
        <f aca="false">L3928+K3929</f>
        <v>19</v>
      </c>
    </row>
    <row r="3930" customFormat="false" ht="15" hidden="true" customHeight="true" outlineLevel="0" collapsed="false">
      <c r="K3930" s="0" t="n">
        <f aca="false">IF(A3930="",0,IF(IFERROR(VLOOKUP(A3930,Skills!$A:$M,13,FALSE()),"")="COS",0,IF(OR(I3930="En cours",I3930="À venir",I3930="À planifier"),IF(AND(OR($C$3="Tous",$C$3="",C3930=$C$3),OR($E$3="Tous",$E$3="",I3930=$E$3)),1,0),0)))</f>
        <v>0</v>
      </c>
      <c r="L3930" s="0" t="n">
        <f aca="false">L3929+K3930</f>
        <v>19</v>
      </c>
    </row>
    <row r="3931" customFormat="false" ht="15" hidden="true" customHeight="true" outlineLevel="0" collapsed="false">
      <c r="K3931" s="0" t="n">
        <f aca="false">IF(A3931="",0,IF(IFERROR(VLOOKUP(A3931,Skills!$A:$M,13,FALSE()),"")="COS",0,IF(OR(I3931="En cours",I3931="À venir",I3931="À planifier"),IF(AND(OR($C$3="Tous",$C$3="",C3931=$C$3),OR($E$3="Tous",$E$3="",I3931=$E$3)),1,0),0)))</f>
        <v>0</v>
      </c>
      <c r="L3931" s="0" t="n">
        <f aca="false">L3930+K3931</f>
        <v>19</v>
      </c>
    </row>
    <row r="3932" customFormat="false" ht="15" hidden="true" customHeight="true" outlineLevel="0" collapsed="false">
      <c r="K3932" s="0" t="n">
        <f aca="false">IF(A3932="",0,IF(IFERROR(VLOOKUP(A3932,Skills!$A:$M,13,FALSE()),"")="COS",0,IF(OR(I3932="En cours",I3932="À venir",I3932="À planifier"),IF(AND(OR($C$3="Tous",$C$3="",C3932=$C$3),OR($E$3="Tous",$E$3="",I3932=$E$3)),1,0),0)))</f>
        <v>0</v>
      </c>
      <c r="L3932" s="0" t="n">
        <f aca="false">L3931+K3932</f>
        <v>19</v>
      </c>
    </row>
    <row r="3933" customFormat="false" ht="15" hidden="true" customHeight="true" outlineLevel="0" collapsed="false">
      <c r="K3933" s="0" t="n">
        <f aca="false">IF(A3933="",0,IF(IFERROR(VLOOKUP(A3933,Skills!$A:$M,13,FALSE()),"")="COS",0,IF(OR(I3933="En cours",I3933="À venir",I3933="À planifier"),IF(AND(OR($C$3="Tous",$C$3="",C3933=$C$3),OR($E$3="Tous",$E$3="",I3933=$E$3)),1,0),0)))</f>
        <v>0</v>
      </c>
      <c r="L3933" s="0" t="n">
        <f aca="false">L3932+K3933</f>
        <v>19</v>
      </c>
    </row>
    <row r="3934" customFormat="false" ht="15" hidden="true" customHeight="true" outlineLevel="0" collapsed="false">
      <c r="K3934" s="0" t="n">
        <f aca="false">IF(A3934="",0,IF(IFERROR(VLOOKUP(A3934,Skills!$A:$M,13,FALSE()),"")="COS",0,IF(OR(I3934="En cours",I3934="À venir",I3934="À planifier"),IF(AND(OR($C$3="Tous",$C$3="",C3934=$C$3),OR($E$3="Tous",$E$3="",I3934=$E$3)),1,0),0)))</f>
        <v>0</v>
      </c>
      <c r="L3934" s="0" t="n">
        <f aca="false">L3933+K3934</f>
        <v>19</v>
      </c>
    </row>
    <row r="3935" customFormat="false" ht="15" hidden="true" customHeight="true" outlineLevel="0" collapsed="false">
      <c r="K3935" s="0" t="n">
        <f aca="false">IF(A3935="",0,IF(IFERROR(VLOOKUP(A3935,Skills!$A:$M,13,FALSE()),"")="COS",0,IF(OR(I3935="En cours",I3935="À venir",I3935="À planifier"),IF(AND(OR($C$3="Tous",$C$3="",C3935=$C$3),OR($E$3="Tous",$E$3="",I3935=$E$3)),1,0),0)))</f>
        <v>0</v>
      </c>
      <c r="L3935" s="0" t="n">
        <f aca="false">L3934+K3935</f>
        <v>19</v>
      </c>
    </row>
    <row r="3936" customFormat="false" ht="15" hidden="true" customHeight="true" outlineLevel="0" collapsed="false">
      <c r="K3936" s="0" t="n">
        <f aca="false">IF(A3936="",0,IF(IFERROR(VLOOKUP(A3936,Skills!$A:$M,13,FALSE()),"")="COS",0,IF(OR(I3936="En cours",I3936="À venir",I3936="À planifier"),IF(AND(OR($C$3="Tous",$C$3="",C3936=$C$3),OR($E$3="Tous",$E$3="",I3936=$E$3)),1,0),0)))</f>
        <v>0</v>
      </c>
      <c r="L3936" s="0" t="n">
        <f aca="false">L3935+K3936</f>
        <v>19</v>
      </c>
    </row>
    <row r="3937" customFormat="false" ht="15" hidden="true" customHeight="true" outlineLevel="0" collapsed="false">
      <c r="K3937" s="0" t="n">
        <f aca="false">IF(A3937="",0,IF(IFERROR(VLOOKUP(A3937,Skills!$A:$M,13,FALSE()),"")="COS",0,IF(OR(I3937="En cours",I3937="À venir",I3937="À planifier"),IF(AND(OR($C$3="Tous",$C$3="",C3937=$C$3),OR($E$3="Tous",$E$3="",I3937=$E$3)),1,0),0)))</f>
        <v>0</v>
      </c>
      <c r="L3937" s="0" t="n">
        <f aca="false">L3936+K3937</f>
        <v>19</v>
      </c>
    </row>
    <row r="3938" customFormat="false" ht="15" hidden="true" customHeight="true" outlineLevel="0" collapsed="false">
      <c r="K3938" s="0" t="n">
        <f aca="false">IF(A3938="",0,IF(IFERROR(VLOOKUP(A3938,Skills!$A:$M,13,FALSE()),"")="COS",0,IF(OR(I3938="En cours",I3938="À venir",I3938="À planifier"),IF(AND(OR($C$3="Tous",$C$3="",C3938=$C$3),OR($E$3="Tous",$E$3="",I3938=$E$3)),1,0),0)))</f>
        <v>0</v>
      </c>
      <c r="L3938" s="0" t="n">
        <f aca="false">L3937+K3938</f>
        <v>19</v>
      </c>
    </row>
    <row r="3939" customFormat="false" ht="15" hidden="true" customHeight="true" outlineLevel="0" collapsed="false">
      <c r="K3939" s="0" t="n">
        <f aca="false">IF(A3939="",0,IF(IFERROR(VLOOKUP(A3939,Skills!$A:$M,13,FALSE()),"")="COS",0,IF(OR(I3939="En cours",I3939="À venir",I3939="À planifier"),IF(AND(OR($C$3="Tous",$C$3="",C3939=$C$3),OR($E$3="Tous",$E$3="",I3939=$E$3)),1,0),0)))</f>
        <v>0</v>
      </c>
      <c r="L3939" s="0" t="n">
        <f aca="false">L3938+K3939</f>
        <v>19</v>
      </c>
    </row>
    <row r="3940" customFormat="false" ht="15" hidden="true" customHeight="true" outlineLevel="0" collapsed="false">
      <c r="K3940" s="0" t="n">
        <f aca="false">IF(A3940="",0,IF(IFERROR(VLOOKUP(A3940,Skills!$A:$M,13,FALSE()),"")="COS",0,IF(OR(I3940="En cours",I3940="À venir",I3940="À planifier"),IF(AND(OR($C$3="Tous",$C$3="",C3940=$C$3),OR($E$3="Tous",$E$3="",I3940=$E$3)),1,0),0)))</f>
        <v>0</v>
      </c>
      <c r="L3940" s="0" t="n">
        <f aca="false">L3939+K3940</f>
        <v>19</v>
      </c>
    </row>
    <row r="3941" customFormat="false" ht="15" hidden="true" customHeight="true" outlineLevel="0" collapsed="false">
      <c r="K3941" s="0" t="n">
        <f aca="false">IF(A3941="",0,IF(IFERROR(VLOOKUP(A3941,Skills!$A:$M,13,FALSE()),"")="COS",0,IF(OR(I3941="En cours",I3941="À venir",I3941="À planifier"),IF(AND(OR($C$3="Tous",$C$3="",C3941=$C$3),OR($E$3="Tous",$E$3="",I3941=$E$3)),1,0),0)))</f>
        <v>0</v>
      </c>
      <c r="L3941" s="0" t="n">
        <f aca="false">L3940+K3941</f>
        <v>19</v>
      </c>
    </row>
    <row r="3942" customFormat="false" ht="15" hidden="true" customHeight="true" outlineLevel="0" collapsed="false">
      <c r="K3942" s="0" t="n">
        <f aca="false">IF(A3942="",0,IF(IFERROR(VLOOKUP(A3942,Skills!$A:$M,13,FALSE()),"")="COS",0,IF(OR(I3942="En cours",I3942="À venir",I3942="À planifier"),IF(AND(OR($C$3="Tous",$C$3="",C3942=$C$3),OR($E$3="Tous",$E$3="",I3942=$E$3)),1,0),0)))</f>
        <v>0</v>
      </c>
      <c r="L3942" s="0" t="n">
        <f aca="false">L3941+K3942</f>
        <v>19</v>
      </c>
    </row>
    <row r="3943" customFormat="false" ht="15" hidden="true" customHeight="true" outlineLevel="0" collapsed="false">
      <c r="K3943" s="0" t="n">
        <f aca="false">IF(A3943="",0,IF(IFERROR(VLOOKUP(A3943,Skills!$A:$M,13,FALSE()),"")="COS",0,IF(OR(I3943="En cours",I3943="À venir",I3943="À planifier"),IF(AND(OR($C$3="Tous",$C$3="",C3943=$C$3),OR($E$3="Tous",$E$3="",I3943=$E$3)),1,0),0)))</f>
        <v>0</v>
      </c>
      <c r="L3943" s="0" t="n">
        <f aca="false">L3942+K3943</f>
        <v>19</v>
      </c>
    </row>
    <row r="3944" customFormat="false" ht="15" hidden="true" customHeight="true" outlineLevel="0" collapsed="false">
      <c r="K3944" s="0" t="n">
        <f aca="false">IF(A3944="",0,IF(IFERROR(VLOOKUP(A3944,Skills!$A:$M,13,FALSE()),"")="COS",0,IF(OR(I3944="En cours",I3944="À venir",I3944="À planifier"),IF(AND(OR($C$3="Tous",$C$3="",C3944=$C$3),OR($E$3="Tous",$E$3="",I3944=$E$3)),1,0),0)))</f>
        <v>0</v>
      </c>
      <c r="L3944" s="0" t="n">
        <f aca="false">L3943+K3944</f>
        <v>19</v>
      </c>
    </row>
    <row r="3945" customFormat="false" ht="15" hidden="true" customHeight="true" outlineLevel="0" collapsed="false">
      <c r="K3945" s="0" t="n">
        <f aca="false">IF(A3945="",0,IF(IFERROR(VLOOKUP(A3945,Skills!$A:$M,13,FALSE()),"")="COS",0,IF(OR(I3945="En cours",I3945="À venir",I3945="À planifier"),IF(AND(OR($C$3="Tous",$C$3="",C3945=$C$3),OR($E$3="Tous",$E$3="",I3945=$E$3)),1,0),0)))</f>
        <v>0</v>
      </c>
      <c r="L3945" s="0" t="n">
        <f aca="false">L3944+K3945</f>
        <v>19</v>
      </c>
    </row>
    <row r="3946" customFormat="false" ht="15" hidden="true" customHeight="true" outlineLevel="0" collapsed="false">
      <c r="K3946" s="0" t="n">
        <f aca="false">IF(A3946="",0,IF(IFERROR(VLOOKUP(A3946,Skills!$A:$M,13,FALSE()),"")="COS",0,IF(OR(I3946="En cours",I3946="À venir",I3946="À planifier"),IF(AND(OR($C$3="Tous",$C$3="",C3946=$C$3),OR($E$3="Tous",$E$3="",I3946=$E$3)),1,0),0)))</f>
        <v>0</v>
      </c>
      <c r="L3946" s="0" t="n">
        <f aca="false">L3945+K3946</f>
        <v>19</v>
      </c>
    </row>
    <row r="3947" customFormat="false" ht="15" hidden="true" customHeight="true" outlineLevel="0" collapsed="false">
      <c r="K3947" s="0" t="n">
        <f aca="false">IF(A3947="",0,IF(IFERROR(VLOOKUP(A3947,Skills!$A:$M,13,FALSE()),"")="COS",0,IF(OR(I3947="En cours",I3947="À venir",I3947="À planifier"),IF(AND(OR($C$3="Tous",$C$3="",C3947=$C$3),OR($E$3="Tous",$E$3="",I3947=$E$3)),1,0),0)))</f>
        <v>0</v>
      </c>
      <c r="L3947" s="0" t="n">
        <f aca="false">L3946+K3947</f>
        <v>19</v>
      </c>
    </row>
    <row r="3948" customFormat="false" ht="15" hidden="true" customHeight="true" outlineLevel="0" collapsed="false">
      <c r="K3948" s="0" t="n">
        <f aca="false">IF(A3948="",0,IF(IFERROR(VLOOKUP(A3948,Skills!$A:$M,13,FALSE()),"")="COS",0,IF(OR(I3948="En cours",I3948="À venir",I3948="À planifier"),IF(AND(OR($C$3="Tous",$C$3="",C3948=$C$3),OR($E$3="Tous",$E$3="",I3948=$E$3)),1,0),0)))</f>
        <v>0</v>
      </c>
      <c r="L3948" s="0" t="n">
        <f aca="false">L3947+K3948</f>
        <v>19</v>
      </c>
    </row>
    <row r="3949" customFormat="false" ht="15" hidden="true" customHeight="true" outlineLevel="0" collapsed="false">
      <c r="K3949" s="0" t="n">
        <f aca="false">IF(A3949="",0,IF(IFERROR(VLOOKUP(A3949,Skills!$A:$M,13,FALSE()),"")="COS",0,IF(OR(I3949="En cours",I3949="À venir",I3949="À planifier"),IF(AND(OR($C$3="Tous",$C$3="",C3949=$C$3),OR($E$3="Tous",$E$3="",I3949=$E$3)),1,0),0)))</f>
        <v>0</v>
      </c>
      <c r="L3949" s="0" t="n">
        <f aca="false">L3948+K3949</f>
        <v>19</v>
      </c>
    </row>
    <row r="3950" customFormat="false" ht="15" hidden="true" customHeight="true" outlineLevel="0" collapsed="false">
      <c r="K3950" s="0" t="n">
        <f aca="false">IF(A3950="",0,IF(IFERROR(VLOOKUP(A3950,Skills!$A:$M,13,FALSE()),"")="COS",0,IF(OR(I3950="En cours",I3950="À venir",I3950="À planifier"),IF(AND(OR($C$3="Tous",$C$3="",C3950=$C$3),OR($E$3="Tous",$E$3="",I3950=$E$3)),1,0),0)))</f>
        <v>0</v>
      </c>
      <c r="L3950" s="0" t="n">
        <f aca="false">L3949+K3950</f>
        <v>19</v>
      </c>
    </row>
    <row r="3951" customFormat="false" ht="15" hidden="true" customHeight="true" outlineLevel="0" collapsed="false">
      <c r="K3951" s="0" t="n">
        <f aca="false">IF(A3951="",0,IF(IFERROR(VLOOKUP(A3951,Skills!$A:$M,13,FALSE()),"")="COS",0,IF(OR(I3951="En cours",I3951="À venir",I3951="À planifier"),IF(AND(OR($C$3="Tous",$C$3="",C3951=$C$3),OR($E$3="Tous",$E$3="",I3951=$E$3)),1,0),0)))</f>
        <v>0</v>
      </c>
      <c r="L3951" s="0" t="n">
        <f aca="false">L3950+K3951</f>
        <v>19</v>
      </c>
    </row>
    <row r="3952" customFormat="false" ht="15" hidden="true" customHeight="true" outlineLevel="0" collapsed="false">
      <c r="K3952" s="0" t="n">
        <f aca="false">IF(A3952="",0,IF(IFERROR(VLOOKUP(A3952,Skills!$A:$M,13,FALSE()),"")="COS",0,IF(OR(I3952="En cours",I3952="À venir",I3952="À planifier"),IF(AND(OR($C$3="Tous",$C$3="",C3952=$C$3),OR($E$3="Tous",$E$3="",I3952=$E$3)),1,0),0)))</f>
        <v>0</v>
      </c>
      <c r="L3952" s="0" t="n">
        <f aca="false">L3951+K3952</f>
        <v>19</v>
      </c>
    </row>
    <row r="3953" customFormat="false" ht="15" hidden="true" customHeight="true" outlineLevel="0" collapsed="false">
      <c r="K3953" s="0" t="n">
        <f aca="false">IF(A3953="",0,IF(IFERROR(VLOOKUP(A3953,Skills!$A:$M,13,FALSE()),"")="COS",0,IF(OR(I3953="En cours",I3953="À venir",I3953="À planifier"),IF(AND(OR($C$3="Tous",$C$3="",C3953=$C$3),OR($E$3="Tous",$E$3="",I3953=$E$3)),1,0),0)))</f>
        <v>0</v>
      </c>
      <c r="L3953" s="0" t="n">
        <f aca="false">L3952+K3953</f>
        <v>19</v>
      </c>
    </row>
    <row r="3954" customFormat="false" ht="15" hidden="true" customHeight="true" outlineLevel="0" collapsed="false">
      <c r="K3954" s="0" t="n">
        <f aca="false">IF(A3954="",0,IF(IFERROR(VLOOKUP(A3954,Skills!$A:$M,13,FALSE()),"")="COS",0,IF(OR(I3954="En cours",I3954="À venir",I3954="À planifier"),IF(AND(OR($C$3="Tous",$C$3="",C3954=$C$3),OR($E$3="Tous",$E$3="",I3954=$E$3)),1,0),0)))</f>
        <v>0</v>
      </c>
      <c r="L3954" s="0" t="n">
        <f aca="false">L3953+K3954</f>
        <v>19</v>
      </c>
    </row>
    <row r="3955" customFormat="false" ht="15" hidden="true" customHeight="true" outlineLevel="0" collapsed="false">
      <c r="K3955" s="0" t="n">
        <f aca="false">IF(A3955="",0,IF(IFERROR(VLOOKUP(A3955,Skills!$A:$M,13,FALSE()),"")="COS",0,IF(OR(I3955="En cours",I3955="À venir",I3955="À planifier"),IF(AND(OR($C$3="Tous",$C$3="",C3955=$C$3),OR($E$3="Tous",$E$3="",I3955=$E$3)),1,0),0)))</f>
        <v>0</v>
      </c>
      <c r="L3955" s="0" t="n">
        <f aca="false">L3954+K3955</f>
        <v>19</v>
      </c>
    </row>
    <row r="3956" customFormat="false" ht="15" hidden="true" customHeight="true" outlineLevel="0" collapsed="false">
      <c r="K3956" s="0" t="n">
        <f aca="false">IF(A3956="",0,IF(IFERROR(VLOOKUP(A3956,Skills!$A:$M,13,FALSE()),"")="COS",0,IF(OR(I3956="En cours",I3956="À venir",I3956="À planifier"),IF(AND(OR($C$3="Tous",$C$3="",C3956=$C$3),OR($E$3="Tous",$E$3="",I3956=$E$3)),1,0),0)))</f>
        <v>0</v>
      </c>
      <c r="L3956" s="0" t="n">
        <f aca="false">L3955+K3956</f>
        <v>19</v>
      </c>
    </row>
    <row r="3957" customFormat="false" ht="15" hidden="true" customHeight="true" outlineLevel="0" collapsed="false">
      <c r="K3957" s="0" t="n">
        <f aca="false">IF(A3957="",0,IF(IFERROR(VLOOKUP(A3957,Skills!$A:$M,13,FALSE()),"")="COS",0,IF(OR(I3957="En cours",I3957="À venir",I3957="À planifier"),IF(AND(OR($C$3="Tous",$C$3="",C3957=$C$3),OR($E$3="Tous",$E$3="",I3957=$E$3)),1,0),0)))</f>
        <v>0</v>
      </c>
      <c r="L3957" s="0" t="n">
        <f aca="false">L3956+K3957</f>
        <v>19</v>
      </c>
    </row>
    <row r="3958" customFormat="false" ht="15" hidden="true" customHeight="true" outlineLevel="0" collapsed="false">
      <c r="K3958" s="0" t="n">
        <f aca="false">IF(A3958="",0,IF(IFERROR(VLOOKUP(A3958,Skills!$A:$M,13,FALSE()),"")="COS",0,IF(OR(I3958="En cours",I3958="À venir",I3958="À planifier"),IF(AND(OR($C$3="Tous",$C$3="",C3958=$C$3),OR($E$3="Tous",$E$3="",I3958=$E$3)),1,0),0)))</f>
        <v>0</v>
      </c>
      <c r="L3958" s="0" t="n">
        <f aca="false">L3957+K3958</f>
        <v>19</v>
      </c>
    </row>
    <row r="3959" customFormat="false" ht="15" hidden="true" customHeight="true" outlineLevel="0" collapsed="false">
      <c r="K3959" s="0" t="n">
        <f aca="false">IF(A3959="",0,IF(IFERROR(VLOOKUP(A3959,Skills!$A:$M,13,FALSE()),"")="COS",0,IF(OR(I3959="En cours",I3959="À venir",I3959="À planifier"),IF(AND(OR($C$3="Tous",$C$3="",C3959=$C$3),OR($E$3="Tous",$E$3="",I3959=$E$3)),1,0),0)))</f>
        <v>0</v>
      </c>
      <c r="L3959" s="0" t="n">
        <f aca="false">L3958+K3959</f>
        <v>19</v>
      </c>
    </row>
    <row r="3960" customFormat="false" ht="15" hidden="true" customHeight="true" outlineLevel="0" collapsed="false">
      <c r="K3960" s="0" t="n">
        <f aca="false">IF(A3960="",0,IF(IFERROR(VLOOKUP(A3960,Skills!$A:$M,13,FALSE()),"")="COS",0,IF(OR(I3960="En cours",I3960="À venir",I3960="À planifier"),IF(AND(OR($C$3="Tous",$C$3="",C3960=$C$3),OR($E$3="Tous",$E$3="",I3960=$E$3)),1,0),0)))</f>
        <v>0</v>
      </c>
      <c r="L3960" s="0" t="n">
        <f aca="false">L3959+K3960</f>
        <v>19</v>
      </c>
    </row>
    <row r="3961" customFormat="false" ht="15" hidden="true" customHeight="true" outlineLevel="0" collapsed="false">
      <c r="K3961" s="0" t="n">
        <f aca="false">IF(A3961="",0,IF(IFERROR(VLOOKUP(A3961,Skills!$A:$M,13,FALSE()),"")="COS",0,IF(OR(I3961="En cours",I3961="À venir",I3961="À planifier"),IF(AND(OR($C$3="Tous",$C$3="",C3961=$C$3),OR($E$3="Tous",$E$3="",I3961=$E$3)),1,0),0)))</f>
        <v>0</v>
      </c>
      <c r="L3961" s="0" t="n">
        <f aca="false">L3960+K3961</f>
        <v>19</v>
      </c>
    </row>
    <row r="3962" customFormat="false" ht="15" hidden="true" customHeight="true" outlineLevel="0" collapsed="false">
      <c r="K3962" s="0" t="n">
        <f aca="false">IF(A3962="",0,IF(IFERROR(VLOOKUP(A3962,Skills!$A:$M,13,FALSE()),"")="COS",0,IF(OR(I3962="En cours",I3962="À venir",I3962="À planifier"),IF(AND(OR($C$3="Tous",$C$3="",C3962=$C$3),OR($E$3="Tous",$E$3="",I3962=$E$3)),1,0),0)))</f>
        <v>0</v>
      </c>
      <c r="L3962" s="0" t="n">
        <f aca="false">L3961+K3962</f>
        <v>19</v>
      </c>
    </row>
    <row r="3963" customFormat="false" ht="15" hidden="true" customHeight="true" outlineLevel="0" collapsed="false">
      <c r="K3963" s="0" t="n">
        <f aca="false">IF(A3963="",0,IF(IFERROR(VLOOKUP(A3963,Skills!$A:$M,13,FALSE()),"")="COS",0,IF(OR(I3963="En cours",I3963="À venir",I3963="À planifier"),IF(AND(OR($C$3="Tous",$C$3="",C3963=$C$3),OR($E$3="Tous",$E$3="",I3963=$E$3)),1,0),0)))</f>
        <v>0</v>
      </c>
      <c r="L3963" s="0" t="n">
        <f aca="false">L3962+K3963</f>
        <v>19</v>
      </c>
    </row>
    <row r="3964" customFormat="false" ht="15" hidden="true" customHeight="true" outlineLevel="0" collapsed="false">
      <c r="K3964" s="0" t="n">
        <f aca="false">IF(A3964="",0,IF(IFERROR(VLOOKUP(A3964,Skills!$A:$M,13,FALSE()),"")="COS",0,IF(OR(I3964="En cours",I3964="À venir",I3964="À planifier"),IF(AND(OR($C$3="Tous",$C$3="",C3964=$C$3),OR($E$3="Tous",$E$3="",I3964=$E$3)),1,0),0)))</f>
        <v>0</v>
      </c>
      <c r="L3964" s="0" t="n">
        <f aca="false">L3963+K3964</f>
        <v>19</v>
      </c>
    </row>
    <row r="3965" customFormat="false" ht="15" hidden="true" customHeight="true" outlineLevel="0" collapsed="false">
      <c r="K3965" s="0" t="n">
        <f aca="false">IF(A3965="",0,IF(IFERROR(VLOOKUP(A3965,Skills!$A:$M,13,FALSE()),"")="COS",0,IF(OR(I3965="En cours",I3965="À venir",I3965="À planifier"),IF(AND(OR($C$3="Tous",$C$3="",C3965=$C$3),OR($E$3="Tous",$E$3="",I3965=$E$3)),1,0),0)))</f>
        <v>0</v>
      </c>
      <c r="L3965" s="0" t="n">
        <f aca="false">L3964+K3965</f>
        <v>19</v>
      </c>
    </row>
    <row r="3966" customFormat="false" ht="15" hidden="true" customHeight="true" outlineLevel="0" collapsed="false">
      <c r="K3966" s="0" t="n">
        <f aca="false">IF(A3966="",0,IF(IFERROR(VLOOKUP(A3966,Skills!$A:$M,13,FALSE()),"")="COS",0,IF(OR(I3966="En cours",I3966="À venir",I3966="À planifier"),IF(AND(OR($C$3="Tous",$C$3="",C3966=$C$3),OR($E$3="Tous",$E$3="",I3966=$E$3)),1,0),0)))</f>
        <v>0</v>
      </c>
      <c r="L3966" s="0" t="n">
        <f aca="false">L3965+K3966</f>
        <v>19</v>
      </c>
    </row>
    <row r="3967" customFormat="false" ht="15" hidden="true" customHeight="true" outlineLevel="0" collapsed="false">
      <c r="K3967" s="0" t="n">
        <f aca="false">IF(A3967="",0,IF(IFERROR(VLOOKUP(A3967,Skills!$A:$M,13,FALSE()),"")="COS",0,IF(OR(I3967="En cours",I3967="À venir",I3967="À planifier"),IF(AND(OR($C$3="Tous",$C$3="",C3967=$C$3),OR($E$3="Tous",$E$3="",I3967=$E$3)),1,0),0)))</f>
        <v>0</v>
      </c>
      <c r="L3967" s="0" t="n">
        <f aca="false">L3966+K3967</f>
        <v>19</v>
      </c>
    </row>
    <row r="3968" customFormat="false" ht="15" hidden="true" customHeight="true" outlineLevel="0" collapsed="false">
      <c r="K3968" s="0" t="n">
        <f aca="false">IF(A3968="",0,IF(IFERROR(VLOOKUP(A3968,Skills!$A:$M,13,FALSE()),"")="COS",0,IF(OR(I3968="En cours",I3968="À venir",I3968="À planifier"),IF(AND(OR($C$3="Tous",$C$3="",C3968=$C$3),OR($E$3="Tous",$E$3="",I3968=$E$3)),1,0),0)))</f>
        <v>0</v>
      </c>
      <c r="L3968" s="0" t="n">
        <f aca="false">L3967+K3968</f>
        <v>19</v>
      </c>
    </row>
    <row r="3969" customFormat="false" ht="15" hidden="true" customHeight="true" outlineLevel="0" collapsed="false">
      <c r="K3969" s="0" t="n">
        <f aca="false">IF(A3969="",0,IF(IFERROR(VLOOKUP(A3969,Skills!$A:$M,13,FALSE()),"")="COS",0,IF(OR(I3969="En cours",I3969="À venir",I3969="À planifier"),IF(AND(OR($C$3="Tous",$C$3="",C3969=$C$3),OR($E$3="Tous",$E$3="",I3969=$E$3)),1,0),0)))</f>
        <v>0</v>
      </c>
      <c r="L3969" s="0" t="n">
        <f aca="false">L3968+K3969</f>
        <v>19</v>
      </c>
    </row>
    <row r="3970" customFormat="false" ht="15" hidden="true" customHeight="true" outlineLevel="0" collapsed="false">
      <c r="K3970" s="0" t="n">
        <f aca="false">IF(A3970="",0,IF(IFERROR(VLOOKUP(A3970,Skills!$A:$M,13,FALSE()),"")="COS",0,IF(OR(I3970="En cours",I3970="À venir",I3970="À planifier"),IF(AND(OR($C$3="Tous",$C$3="",C3970=$C$3),OR($E$3="Tous",$E$3="",I3970=$E$3)),1,0),0)))</f>
        <v>0</v>
      </c>
      <c r="L3970" s="0" t="n">
        <f aca="false">L3969+K3970</f>
        <v>19</v>
      </c>
    </row>
    <row r="3971" customFormat="false" ht="15" hidden="true" customHeight="true" outlineLevel="0" collapsed="false">
      <c r="K3971" s="0" t="n">
        <f aca="false">IF(A3971="",0,IF(IFERROR(VLOOKUP(A3971,Skills!$A:$M,13,FALSE()),"")="COS",0,IF(OR(I3971="En cours",I3971="À venir",I3971="À planifier"),IF(AND(OR($C$3="Tous",$C$3="",C3971=$C$3),OR($E$3="Tous",$E$3="",I3971=$E$3)),1,0),0)))</f>
        <v>0</v>
      </c>
      <c r="L3971" s="0" t="n">
        <f aca="false">L3970+K3971</f>
        <v>19</v>
      </c>
    </row>
    <row r="3972" customFormat="false" ht="15" hidden="true" customHeight="true" outlineLevel="0" collapsed="false">
      <c r="K3972" s="0" t="n">
        <f aca="false">IF(A3972="",0,IF(IFERROR(VLOOKUP(A3972,Skills!$A:$M,13,FALSE()),"")="COS",0,IF(OR(I3972="En cours",I3972="À venir",I3972="À planifier"),IF(AND(OR($C$3="Tous",$C$3="",C3972=$C$3),OR($E$3="Tous",$E$3="",I3972=$E$3)),1,0),0)))</f>
        <v>0</v>
      </c>
      <c r="L3972" s="0" t="n">
        <f aca="false">L3971+K3972</f>
        <v>19</v>
      </c>
    </row>
    <row r="3973" customFormat="false" ht="15" hidden="true" customHeight="true" outlineLevel="0" collapsed="false">
      <c r="K3973" s="0" t="n">
        <f aca="false">IF(A3973="",0,IF(IFERROR(VLOOKUP(A3973,Skills!$A:$M,13,FALSE()),"")="COS",0,IF(OR(I3973="En cours",I3973="À venir",I3973="À planifier"),IF(AND(OR($C$3="Tous",$C$3="",C3973=$C$3),OR($E$3="Tous",$E$3="",I3973=$E$3)),1,0),0)))</f>
        <v>0</v>
      </c>
      <c r="L3973" s="0" t="n">
        <f aca="false">L3972+K3973</f>
        <v>19</v>
      </c>
    </row>
    <row r="3974" customFormat="false" ht="15" hidden="true" customHeight="true" outlineLevel="0" collapsed="false">
      <c r="K3974" s="0" t="n">
        <f aca="false">IF(A3974="",0,IF(IFERROR(VLOOKUP(A3974,Skills!$A:$M,13,FALSE()),"")="COS",0,IF(OR(I3974="En cours",I3974="À venir",I3974="À planifier"),IF(AND(OR($C$3="Tous",$C$3="",C3974=$C$3),OR($E$3="Tous",$E$3="",I3974=$E$3)),1,0),0)))</f>
        <v>0</v>
      </c>
      <c r="L3974" s="0" t="n">
        <f aca="false">L3973+K3974</f>
        <v>19</v>
      </c>
    </row>
    <row r="3975" customFormat="false" ht="15" hidden="true" customHeight="true" outlineLevel="0" collapsed="false">
      <c r="K3975" s="0" t="n">
        <f aca="false">IF(A3975="",0,IF(IFERROR(VLOOKUP(A3975,Skills!$A:$M,13,FALSE()),"")="COS",0,IF(OR(I3975="En cours",I3975="À venir",I3975="À planifier"),IF(AND(OR($C$3="Tous",$C$3="",C3975=$C$3),OR($E$3="Tous",$E$3="",I3975=$E$3)),1,0),0)))</f>
        <v>0</v>
      </c>
      <c r="L3975" s="0" t="n">
        <f aca="false">L3974+K3975</f>
        <v>19</v>
      </c>
    </row>
    <row r="3976" customFormat="false" ht="15" hidden="true" customHeight="true" outlineLevel="0" collapsed="false">
      <c r="K3976" s="0" t="n">
        <f aca="false">IF(A3976="",0,IF(IFERROR(VLOOKUP(A3976,Skills!$A:$M,13,FALSE()),"")="COS",0,IF(OR(I3976="En cours",I3976="À venir",I3976="À planifier"),IF(AND(OR($C$3="Tous",$C$3="",C3976=$C$3),OR($E$3="Tous",$E$3="",I3976=$E$3)),1,0),0)))</f>
        <v>0</v>
      </c>
      <c r="L3976" s="0" t="n">
        <f aca="false">L3975+K3976</f>
        <v>19</v>
      </c>
    </row>
    <row r="3977" customFormat="false" ht="15" hidden="true" customHeight="true" outlineLevel="0" collapsed="false">
      <c r="K3977" s="0" t="n">
        <f aca="false">IF(A3977="",0,IF(IFERROR(VLOOKUP(A3977,Skills!$A:$M,13,FALSE()),"")="COS",0,IF(OR(I3977="En cours",I3977="À venir",I3977="À planifier"),IF(AND(OR($C$3="Tous",$C$3="",C3977=$C$3),OR($E$3="Tous",$E$3="",I3977=$E$3)),1,0),0)))</f>
        <v>0</v>
      </c>
      <c r="L3977" s="0" t="n">
        <f aca="false">L3976+K3977</f>
        <v>19</v>
      </c>
    </row>
    <row r="3978" customFormat="false" ht="15" hidden="true" customHeight="true" outlineLevel="0" collapsed="false">
      <c r="K3978" s="0" t="n">
        <f aca="false">IF(A3978="",0,IF(IFERROR(VLOOKUP(A3978,Skills!$A:$M,13,FALSE()),"")="COS",0,IF(OR(I3978="En cours",I3978="À venir",I3978="À planifier"),IF(AND(OR($C$3="Tous",$C$3="",C3978=$C$3),OR($E$3="Tous",$E$3="",I3978=$E$3)),1,0),0)))</f>
        <v>0</v>
      </c>
      <c r="L3978" s="0" t="n">
        <f aca="false">L3977+K3978</f>
        <v>19</v>
      </c>
    </row>
    <row r="3979" customFormat="false" ht="15" hidden="true" customHeight="true" outlineLevel="0" collapsed="false">
      <c r="K3979" s="0" t="n">
        <f aca="false">IF(A3979="",0,IF(IFERROR(VLOOKUP(A3979,Skills!$A:$M,13,FALSE()),"")="COS",0,IF(OR(I3979="En cours",I3979="À venir",I3979="À planifier"),IF(AND(OR($C$3="Tous",$C$3="",C3979=$C$3),OR($E$3="Tous",$E$3="",I3979=$E$3)),1,0),0)))</f>
        <v>0</v>
      </c>
      <c r="L3979" s="0" t="n">
        <f aca="false">L3978+K3979</f>
        <v>19</v>
      </c>
    </row>
    <row r="3980" customFormat="false" ht="15" hidden="true" customHeight="true" outlineLevel="0" collapsed="false">
      <c r="K3980" s="0" t="n">
        <f aca="false">IF(A3980="",0,IF(IFERROR(VLOOKUP(A3980,Skills!$A:$M,13,FALSE()),"")="COS",0,IF(OR(I3980="En cours",I3980="À venir",I3980="À planifier"),IF(AND(OR($C$3="Tous",$C$3="",C3980=$C$3),OR($E$3="Tous",$E$3="",I3980=$E$3)),1,0),0)))</f>
        <v>0</v>
      </c>
      <c r="L3980" s="0" t="n">
        <f aca="false">L3979+K3980</f>
        <v>19</v>
      </c>
    </row>
    <row r="3981" customFormat="false" ht="15" hidden="true" customHeight="true" outlineLevel="0" collapsed="false">
      <c r="K3981" s="0" t="n">
        <f aca="false">IF(A3981="",0,IF(IFERROR(VLOOKUP(A3981,Skills!$A:$M,13,FALSE()),"")="COS",0,IF(OR(I3981="En cours",I3981="À venir",I3981="À planifier"),IF(AND(OR($C$3="Tous",$C$3="",C3981=$C$3),OR($E$3="Tous",$E$3="",I3981=$E$3)),1,0),0)))</f>
        <v>0</v>
      </c>
      <c r="L3981" s="0" t="n">
        <f aca="false">L3980+K3981</f>
        <v>19</v>
      </c>
    </row>
    <row r="3982" customFormat="false" ht="15" hidden="true" customHeight="true" outlineLevel="0" collapsed="false">
      <c r="K3982" s="0" t="n">
        <f aca="false">IF(A3982="",0,IF(IFERROR(VLOOKUP(A3982,Skills!$A:$M,13,FALSE()),"")="COS",0,IF(OR(I3982="En cours",I3982="À venir",I3982="À planifier"),IF(AND(OR($C$3="Tous",$C$3="",C3982=$C$3),OR($E$3="Tous",$E$3="",I3982=$E$3)),1,0),0)))</f>
        <v>0</v>
      </c>
      <c r="L3982" s="0" t="n">
        <f aca="false">L3981+K3982</f>
        <v>19</v>
      </c>
    </row>
    <row r="3983" customFormat="false" ht="15" hidden="true" customHeight="true" outlineLevel="0" collapsed="false">
      <c r="K3983" s="0" t="n">
        <f aca="false">IF(A3983="",0,IF(IFERROR(VLOOKUP(A3983,Skills!$A:$M,13,FALSE()),"")="COS",0,IF(OR(I3983="En cours",I3983="À venir",I3983="À planifier"),IF(AND(OR($C$3="Tous",$C$3="",C3983=$C$3),OR($E$3="Tous",$E$3="",I3983=$E$3)),1,0),0)))</f>
        <v>0</v>
      </c>
      <c r="L3983" s="0" t="n">
        <f aca="false">L3982+K3983</f>
        <v>19</v>
      </c>
    </row>
    <row r="3984" customFormat="false" ht="15" hidden="true" customHeight="true" outlineLevel="0" collapsed="false">
      <c r="K3984" s="0" t="n">
        <f aca="false">IF(A3984="",0,IF(IFERROR(VLOOKUP(A3984,Skills!$A:$M,13,FALSE()),"")="COS",0,IF(OR(I3984="En cours",I3984="À venir",I3984="À planifier"),IF(AND(OR($C$3="Tous",$C$3="",C3984=$C$3),OR($E$3="Tous",$E$3="",I3984=$E$3)),1,0),0)))</f>
        <v>0</v>
      </c>
      <c r="L3984" s="0" t="n">
        <f aca="false">L3983+K3984</f>
        <v>19</v>
      </c>
    </row>
    <row r="3985" customFormat="false" ht="15" hidden="true" customHeight="true" outlineLevel="0" collapsed="false">
      <c r="K3985" s="0" t="n">
        <f aca="false">IF(A3985="",0,IF(IFERROR(VLOOKUP(A3985,Skills!$A:$M,13,FALSE()),"")="COS",0,IF(OR(I3985="En cours",I3985="À venir",I3985="À planifier"),IF(AND(OR($C$3="Tous",$C$3="",C3985=$C$3),OR($E$3="Tous",$E$3="",I3985=$E$3)),1,0),0)))</f>
        <v>0</v>
      </c>
      <c r="L3985" s="0" t="n">
        <f aca="false">L3984+K3985</f>
        <v>19</v>
      </c>
    </row>
    <row r="3986" customFormat="false" ht="15" hidden="true" customHeight="true" outlineLevel="0" collapsed="false">
      <c r="K3986" s="0" t="n">
        <f aca="false">IF(A3986="",0,IF(IFERROR(VLOOKUP(A3986,Skills!$A:$M,13,FALSE()),"")="COS",0,IF(OR(I3986="En cours",I3986="À venir",I3986="À planifier"),IF(AND(OR($C$3="Tous",$C$3="",C3986=$C$3),OR($E$3="Tous",$E$3="",I3986=$E$3)),1,0),0)))</f>
        <v>0</v>
      </c>
      <c r="L3986" s="0" t="n">
        <f aca="false">L3985+K3986</f>
        <v>19</v>
      </c>
    </row>
    <row r="3987" customFormat="false" ht="15" hidden="true" customHeight="true" outlineLevel="0" collapsed="false">
      <c r="K3987" s="0" t="n">
        <f aca="false">IF(A3987="",0,IF(IFERROR(VLOOKUP(A3987,Skills!$A:$M,13,FALSE()),"")="COS",0,IF(OR(I3987="En cours",I3987="À venir",I3987="À planifier"),IF(AND(OR($C$3="Tous",$C$3="",C3987=$C$3),OR($E$3="Tous",$E$3="",I3987=$E$3)),1,0),0)))</f>
        <v>0</v>
      </c>
      <c r="L3987" s="0" t="n">
        <f aca="false">L3986+K3987</f>
        <v>19</v>
      </c>
    </row>
    <row r="3988" customFormat="false" ht="15" hidden="true" customHeight="true" outlineLevel="0" collapsed="false">
      <c r="K3988" s="0" t="n">
        <f aca="false">IF(A3988="",0,IF(IFERROR(VLOOKUP(A3988,Skills!$A:$M,13,FALSE()),"")="COS",0,IF(OR(I3988="En cours",I3988="À venir",I3988="À planifier"),IF(AND(OR($C$3="Tous",$C$3="",C3988=$C$3),OR($E$3="Tous",$E$3="",I3988=$E$3)),1,0),0)))</f>
        <v>0</v>
      </c>
      <c r="L3988" s="0" t="n">
        <f aca="false">L3987+K3988</f>
        <v>19</v>
      </c>
    </row>
    <row r="3989" customFormat="false" ht="15" hidden="true" customHeight="true" outlineLevel="0" collapsed="false">
      <c r="K3989" s="0" t="n">
        <f aca="false">IF(A3989="",0,IF(IFERROR(VLOOKUP(A3989,Skills!$A:$M,13,FALSE()),"")="COS",0,IF(OR(I3989="En cours",I3989="À venir",I3989="À planifier"),IF(AND(OR($C$3="Tous",$C$3="",C3989=$C$3),OR($E$3="Tous",$E$3="",I3989=$E$3)),1,0),0)))</f>
        <v>0</v>
      </c>
      <c r="L3989" s="0" t="n">
        <f aca="false">L3988+K3989</f>
        <v>19</v>
      </c>
    </row>
    <row r="3990" customFormat="false" ht="15" hidden="true" customHeight="true" outlineLevel="0" collapsed="false">
      <c r="K3990" s="0" t="n">
        <f aca="false">IF(A3990="",0,IF(IFERROR(VLOOKUP(A3990,Skills!$A:$M,13,FALSE()),"")="COS",0,IF(OR(I3990="En cours",I3990="À venir",I3990="À planifier"),IF(AND(OR($C$3="Tous",$C$3="",C3990=$C$3),OR($E$3="Tous",$E$3="",I3990=$E$3)),1,0),0)))</f>
        <v>0</v>
      </c>
      <c r="L3990" s="0" t="n">
        <f aca="false">L3989+K3990</f>
        <v>19</v>
      </c>
    </row>
    <row r="3991" customFormat="false" ht="15" hidden="true" customHeight="true" outlineLevel="0" collapsed="false">
      <c r="K3991" s="0" t="n">
        <f aca="false">IF(A3991="",0,IF(IFERROR(VLOOKUP(A3991,Skills!$A:$M,13,FALSE()),"")="COS",0,IF(OR(I3991="En cours",I3991="À venir",I3991="À planifier"),IF(AND(OR($C$3="Tous",$C$3="",C3991=$C$3),OR($E$3="Tous",$E$3="",I3991=$E$3)),1,0),0)))</f>
        <v>0</v>
      </c>
      <c r="L3991" s="0" t="n">
        <f aca="false">L3990+K3991</f>
        <v>19</v>
      </c>
    </row>
    <row r="3992" customFormat="false" ht="15" hidden="true" customHeight="true" outlineLevel="0" collapsed="false">
      <c r="K3992" s="0" t="n">
        <f aca="false">IF(A3992="",0,IF(IFERROR(VLOOKUP(A3992,Skills!$A:$M,13,FALSE()),"")="COS",0,IF(OR(I3992="En cours",I3992="À venir",I3992="À planifier"),IF(AND(OR($C$3="Tous",$C$3="",C3992=$C$3),OR($E$3="Tous",$E$3="",I3992=$E$3)),1,0),0)))</f>
        <v>0</v>
      </c>
      <c r="L3992" s="0" t="n">
        <f aca="false">L3991+K3992</f>
        <v>19</v>
      </c>
    </row>
    <row r="3993" customFormat="false" ht="15" hidden="true" customHeight="true" outlineLevel="0" collapsed="false">
      <c r="K3993" s="0" t="n">
        <f aca="false">IF(A3993="",0,IF(IFERROR(VLOOKUP(A3993,Skills!$A:$M,13,FALSE()),"")="COS",0,IF(OR(I3993="En cours",I3993="À venir",I3993="À planifier"),IF(AND(OR($C$3="Tous",$C$3="",C3993=$C$3),OR($E$3="Tous",$E$3="",I3993=$E$3)),1,0),0)))</f>
        <v>0</v>
      </c>
      <c r="L3993" s="0" t="n">
        <f aca="false">L3992+K3993</f>
        <v>19</v>
      </c>
    </row>
    <row r="3994" customFormat="false" ht="15" hidden="true" customHeight="true" outlineLevel="0" collapsed="false">
      <c r="K3994" s="0" t="n">
        <f aca="false">IF(A3994="",0,IF(IFERROR(VLOOKUP(A3994,Skills!$A:$M,13,FALSE()),"")="COS",0,IF(OR(I3994="En cours",I3994="À venir",I3994="À planifier"),IF(AND(OR($C$3="Tous",$C$3="",C3994=$C$3),OR($E$3="Tous",$E$3="",I3994=$E$3)),1,0),0)))</f>
        <v>0</v>
      </c>
      <c r="L3994" s="0" t="n">
        <f aca="false">L3993+K3994</f>
        <v>19</v>
      </c>
    </row>
    <row r="3995" customFormat="false" ht="15" hidden="true" customHeight="true" outlineLevel="0" collapsed="false">
      <c r="K3995" s="0" t="n">
        <f aca="false">IF(A3995="",0,IF(IFERROR(VLOOKUP(A3995,Skills!$A:$M,13,FALSE()),"")="COS",0,IF(OR(I3995="En cours",I3995="À venir",I3995="À planifier"),IF(AND(OR($C$3="Tous",$C$3="",C3995=$C$3),OR($E$3="Tous",$E$3="",I3995=$E$3)),1,0),0)))</f>
        <v>0</v>
      </c>
      <c r="L3995" s="0" t="n">
        <f aca="false">L3994+K3995</f>
        <v>19</v>
      </c>
    </row>
    <row r="3996" customFormat="false" ht="15" hidden="true" customHeight="true" outlineLevel="0" collapsed="false">
      <c r="K3996" s="0" t="n">
        <f aca="false">IF(A3996="",0,IF(IFERROR(VLOOKUP(A3996,Skills!$A:$M,13,FALSE()),"")="COS",0,IF(OR(I3996="En cours",I3996="À venir",I3996="À planifier"),IF(AND(OR($C$3="Tous",$C$3="",C3996=$C$3),OR($E$3="Tous",$E$3="",I3996=$E$3)),1,0),0)))</f>
        <v>0</v>
      </c>
      <c r="L3996" s="0" t="n">
        <f aca="false">L3995+K3996</f>
        <v>19</v>
      </c>
    </row>
    <row r="3997" customFormat="false" ht="15" hidden="true" customHeight="true" outlineLevel="0" collapsed="false">
      <c r="K3997" s="0" t="n">
        <f aca="false">IF(A3997="",0,IF(IFERROR(VLOOKUP(A3997,Skills!$A:$M,13,FALSE()),"")="COS",0,IF(OR(I3997="En cours",I3997="À venir",I3997="À planifier"),IF(AND(OR($C$3="Tous",$C$3="",C3997=$C$3),OR($E$3="Tous",$E$3="",I3997=$E$3)),1,0),0)))</f>
        <v>0</v>
      </c>
      <c r="L3997" s="0" t="n">
        <f aca="false">L3996+K3997</f>
        <v>19</v>
      </c>
    </row>
    <row r="3998" customFormat="false" ht="15" hidden="true" customHeight="true" outlineLevel="0" collapsed="false">
      <c r="K3998" s="0" t="n">
        <f aca="false">IF(A3998="",0,IF(IFERROR(VLOOKUP(A3998,Skills!$A:$M,13,FALSE()),"")="COS",0,IF(OR(I3998="En cours",I3998="À venir",I3998="À planifier"),IF(AND(OR($C$3="Tous",$C$3="",C3998=$C$3),OR($E$3="Tous",$E$3="",I3998=$E$3)),1,0),0)))</f>
        <v>0</v>
      </c>
      <c r="L3998" s="0" t="n">
        <f aca="false">L3997+K3998</f>
        <v>19</v>
      </c>
    </row>
    <row r="3999" customFormat="false" ht="15" hidden="true" customHeight="true" outlineLevel="0" collapsed="false">
      <c r="K3999" s="0" t="n">
        <f aca="false">IF(A3999="",0,IF(IFERROR(VLOOKUP(A3999,Skills!$A:$M,13,FALSE()),"")="COS",0,IF(OR(I3999="En cours",I3999="À venir",I3999="À planifier"),IF(AND(OR($C$3="Tous",$C$3="",C3999=$C$3),OR($E$3="Tous",$E$3="",I3999=$E$3)),1,0),0)))</f>
        <v>0</v>
      </c>
      <c r="L3999" s="0" t="n">
        <f aca="false">L3998+K3999</f>
        <v>19</v>
      </c>
    </row>
    <row r="4000" customFormat="false" ht="15" hidden="true" customHeight="true" outlineLevel="0" collapsed="false">
      <c r="K4000" s="0" t="n">
        <f aca="false">IF(A4000="",0,IF(IFERROR(VLOOKUP(A4000,Skills!$A:$M,13,FALSE()),"")="COS",0,IF(OR(I4000="En cours",I4000="À venir",I4000="À planifier"),IF(AND(OR($C$3="Tous",$C$3="",C4000=$C$3),OR($E$3="Tous",$E$3="",I4000=$E$3)),1,0),0)))</f>
        <v>0</v>
      </c>
      <c r="L4000" s="0" t="n">
        <f aca="false">L3999+K4000</f>
        <v>19</v>
      </c>
    </row>
    <row r="4001" customFormat="false" ht="15" hidden="true" customHeight="true" outlineLevel="0" collapsed="false">
      <c r="K4001" s="0" t="n">
        <f aca="false">IF(A4001="",0,IF(IFERROR(VLOOKUP(A4001,Skills!$A:$M,13,FALSE()),"")="COS",0,IF(OR(I4001="En cours",I4001="À venir",I4001="À planifier"),IF(AND(OR($C$3="Tous",$C$3="",C4001=$C$3),OR($E$3="Tous",$E$3="",I4001=$E$3)),1,0),0)))</f>
        <v>0</v>
      </c>
      <c r="L4001" s="0" t="n">
        <f aca="false">L4000+K4001</f>
        <v>19</v>
      </c>
    </row>
    <row r="4002" customFormat="false" ht="15" hidden="true" customHeight="true" outlineLevel="0" collapsed="false">
      <c r="K4002" s="0" t="n">
        <f aca="false">IF(A4002="",0,IF(IFERROR(VLOOKUP(A4002,Skills!$A:$M,13,FALSE()),"")="COS",0,IF(OR(I4002="En cours",I4002="À venir",I4002="À planifier"),IF(AND(OR($C$3="Tous",$C$3="",C4002=$C$3),OR($E$3="Tous",$E$3="",I4002=$E$3)),1,0),0)))</f>
        <v>0</v>
      </c>
      <c r="L4002" s="0" t="n">
        <f aca="false">L4001+K4002</f>
        <v>19</v>
      </c>
    </row>
    <row r="4003" customFormat="false" ht="15" hidden="true" customHeight="true" outlineLevel="0" collapsed="false">
      <c r="K4003" s="0" t="n">
        <f aca="false">IF(A4003="",0,IF(IFERROR(VLOOKUP(A4003,Skills!$A:$M,13,FALSE()),"")="COS",0,IF(OR(I4003="En cours",I4003="À venir",I4003="À planifier"),IF(AND(OR($C$3="Tous",$C$3="",C4003=$C$3),OR($E$3="Tous",$E$3="",I4003=$E$3)),1,0),0)))</f>
        <v>0</v>
      </c>
      <c r="L4003" s="0" t="n">
        <f aca="false">L4002+K4003</f>
        <v>19</v>
      </c>
    </row>
    <row r="4004" customFormat="false" ht="15" hidden="true" customHeight="true" outlineLevel="0" collapsed="false">
      <c r="K4004" s="0" t="n">
        <f aca="false">IF(A4004="",0,IF(IFERROR(VLOOKUP(A4004,Skills!$A:$M,13,FALSE()),"")="COS",0,IF(OR(I4004="En cours",I4004="À venir",I4004="À planifier"),IF(AND(OR($C$3="Tous",$C$3="",C4004=$C$3),OR($E$3="Tous",$E$3="",I4004=$E$3)),1,0),0)))</f>
        <v>0</v>
      </c>
      <c r="L4004" s="0" t="n">
        <f aca="false">L4003+K4004</f>
        <v>19</v>
      </c>
    </row>
    <row r="4005" customFormat="false" ht="15" hidden="true" customHeight="true" outlineLevel="0" collapsed="false">
      <c r="K4005" s="0" t="n">
        <f aca="false">IF(A4005="",0,IF(IFERROR(VLOOKUP(A4005,Skills!$A:$M,13,FALSE()),"")="COS",0,IF(OR(I4005="En cours",I4005="À venir",I4005="À planifier"),IF(AND(OR($C$3="Tous",$C$3="",C4005=$C$3),OR($E$3="Tous",$E$3="",I4005=$E$3)),1,0),0)))</f>
        <v>0</v>
      </c>
      <c r="L4005" s="0" t="n">
        <f aca="false">L4004+K4005</f>
        <v>19</v>
      </c>
    </row>
    <row r="4006" customFormat="false" ht="15" hidden="true" customHeight="true" outlineLevel="0" collapsed="false">
      <c r="K4006" s="0" t="n">
        <f aca="false">IF(A4006="",0,IF(IFERROR(VLOOKUP(A4006,Skills!$A:$M,13,FALSE()),"")="COS",0,IF(OR(I4006="En cours",I4006="À venir",I4006="À planifier"),IF(AND(OR($C$3="Tous",$C$3="",C4006=$C$3),OR($E$3="Tous",$E$3="",I4006=$E$3)),1,0),0)))</f>
        <v>0</v>
      </c>
      <c r="L4006" s="0" t="n">
        <f aca="false">L4005+K4006</f>
        <v>19</v>
      </c>
    </row>
    <row r="4007" customFormat="false" ht="15" hidden="true" customHeight="true" outlineLevel="0" collapsed="false">
      <c r="K4007" s="0" t="n">
        <f aca="false">IF(A4007="",0,IF(IFERROR(VLOOKUP(A4007,Skills!$A:$M,13,FALSE()),"")="COS",0,IF(OR(I4007="En cours",I4007="À venir",I4007="À planifier"),IF(AND(OR($C$3="Tous",$C$3="",C4007=$C$3),OR($E$3="Tous",$E$3="",I4007=$E$3)),1,0),0)))</f>
        <v>0</v>
      </c>
      <c r="L4007" s="0" t="n">
        <f aca="false">L4006+K4007</f>
        <v>19</v>
      </c>
    </row>
    <row r="4008" customFormat="false" ht="15" hidden="true" customHeight="true" outlineLevel="0" collapsed="false">
      <c r="K4008" s="0" t="n">
        <f aca="false">IF(A4008="",0,IF(IFERROR(VLOOKUP(A4008,Skills!$A:$M,13,FALSE()),"")="COS",0,IF(OR(I4008="En cours",I4008="À venir",I4008="À planifier"),IF(AND(OR($C$3="Tous",$C$3="",C4008=$C$3),OR($E$3="Tous",$E$3="",I4008=$E$3)),1,0),0)))</f>
        <v>0</v>
      </c>
      <c r="L4008" s="0" t="n">
        <f aca="false">L4007+K4008</f>
        <v>19</v>
      </c>
    </row>
    <row r="4009" customFormat="false" ht="15" hidden="true" customHeight="true" outlineLevel="0" collapsed="false">
      <c r="K4009" s="0" t="n">
        <f aca="false">IF(A4009="",0,IF(IFERROR(VLOOKUP(A4009,Skills!$A:$M,13,FALSE()),"")="COS",0,IF(OR(I4009="En cours",I4009="À venir",I4009="À planifier"),IF(AND(OR($C$3="Tous",$C$3="",C4009=$C$3),OR($E$3="Tous",$E$3="",I4009=$E$3)),1,0),0)))</f>
        <v>0</v>
      </c>
      <c r="L4009" s="0" t="n">
        <f aca="false">L4008+K4009</f>
        <v>19</v>
      </c>
    </row>
    <row r="4010" customFormat="false" ht="15" hidden="true" customHeight="true" outlineLevel="0" collapsed="false">
      <c r="K4010" s="0" t="n">
        <f aca="false">IF(A4010="",0,IF(IFERROR(VLOOKUP(A4010,Skills!$A:$M,13,FALSE()),"")="COS",0,IF(OR(I4010="En cours",I4010="À venir",I4010="À planifier"),IF(AND(OR($C$3="Tous",$C$3="",C4010=$C$3),OR($E$3="Tous",$E$3="",I4010=$E$3)),1,0),0)))</f>
        <v>0</v>
      </c>
      <c r="L4010" s="0" t="n">
        <f aca="false">L4009+K4010</f>
        <v>19</v>
      </c>
    </row>
    <row r="4011" customFormat="false" ht="15" hidden="true" customHeight="true" outlineLevel="0" collapsed="false">
      <c r="K4011" s="0" t="n">
        <f aca="false">IF(A4011="",0,IF(IFERROR(VLOOKUP(A4011,Skills!$A:$M,13,FALSE()),"")="COS",0,IF(OR(I4011="En cours",I4011="À venir",I4011="À planifier"),IF(AND(OR($C$3="Tous",$C$3="",C4011=$C$3),OR($E$3="Tous",$E$3="",I4011=$E$3)),1,0),0)))</f>
        <v>0</v>
      </c>
      <c r="L4011" s="0" t="n">
        <f aca="false">L4010+K4011</f>
        <v>19</v>
      </c>
    </row>
    <row r="4012" customFormat="false" ht="15" hidden="true" customHeight="true" outlineLevel="0" collapsed="false">
      <c r="K4012" s="0" t="n">
        <f aca="false">IF(A4012="",0,IF(IFERROR(VLOOKUP(A4012,Skills!$A:$M,13,FALSE()),"")="COS",0,IF(OR(I4012="En cours",I4012="À venir",I4012="À planifier"),IF(AND(OR($C$3="Tous",$C$3="",C4012=$C$3),OR($E$3="Tous",$E$3="",I4012=$E$3)),1,0),0)))</f>
        <v>0</v>
      </c>
      <c r="L4012" s="0" t="n">
        <f aca="false">L4011+K4012</f>
        <v>19</v>
      </c>
    </row>
    <row r="4013" customFormat="false" ht="15" hidden="true" customHeight="true" outlineLevel="0" collapsed="false">
      <c r="K4013" s="0" t="n">
        <f aca="false">IF(A4013="",0,IF(IFERROR(VLOOKUP(A4013,Skills!$A:$M,13,FALSE()),"")="COS",0,IF(OR(I4013="En cours",I4013="À venir",I4013="À planifier"),IF(AND(OR($C$3="Tous",$C$3="",C4013=$C$3),OR($E$3="Tous",$E$3="",I4013=$E$3)),1,0),0)))</f>
        <v>0</v>
      </c>
      <c r="L4013" s="0" t="n">
        <f aca="false">L4012+K4013</f>
        <v>19</v>
      </c>
    </row>
    <row r="4014" customFormat="false" ht="15" hidden="true" customHeight="true" outlineLevel="0" collapsed="false">
      <c r="K4014" s="0" t="n">
        <f aca="false">IF(A4014="",0,IF(IFERROR(VLOOKUP(A4014,Skills!$A:$M,13,FALSE()),"")="COS",0,IF(OR(I4014="En cours",I4014="À venir",I4014="À planifier"),IF(AND(OR($C$3="Tous",$C$3="",C4014=$C$3),OR($E$3="Tous",$E$3="",I4014=$E$3)),1,0),0)))</f>
        <v>0</v>
      </c>
      <c r="L4014" s="0" t="n">
        <f aca="false">L4013+K4014</f>
        <v>19</v>
      </c>
    </row>
    <row r="4015" customFormat="false" ht="15" hidden="true" customHeight="true" outlineLevel="0" collapsed="false">
      <c r="K4015" s="0" t="n">
        <f aca="false">IF(A4015="",0,IF(IFERROR(VLOOKUP(A4015,Skills!$A:$M,13,FALSE()),"")="COS",0,IF(OR(I4015="En cours",I4015="À venir",I4015="À planifier"),IF(AND(OR($C$3="Tous",$C$3="",C4015=$C$3),OR($E$3="Tous",$E$3="",I4015=$E$3)),1,0),0)))</f>
        <v>0</v>
      </c>
      <c r="L4015" s="0" t="n">
        <f aca="false">L4014+K4015</f>
        <v>19</v>
      </c>
    </row>
    <row r="4016" customFormat="false" ht="15" hidden="true" customHeight="true" outlineLevel="0" collapsed="false">
      <c r="K4016" s="0" t="n">
        <f aca="false">IF(A4016="",0,IF(IFERROR(VLOOKUP(A4016,Skills!$A:$M,13,FALSE()),"")="COS",0,IF(OR(I4016="En cours",I4016="À venir",I4016="À planifier"),IF(AND(OR($C$3="Tous",$C$3="",C4016=$C$3),OR($E$3="Tous",$E$3="",I4016=$E$3)),1,0),0)))</f>
        <v>0</v>
      </c>
      <c r="L4016" s="0" t="n">
        <f aca="false">L4015+K4016</f>
        <v>19</v>
      </c>
    </row>
    <row r="4017" customFormat="false" ht="15" hidden="true" customHeight="true" outlineLevel="0" collapsed="false">
      <c r="K4017" s="0" t="n">
        <f aca="false">IF(A4017="",0,IF(IFERROR(VLOOKUP(A4017,Skills!$A:$M,13,FALSE()),"")="COS",0,IF(OR(I4017="En cours",I4017="À venir",I4017="À planifier"),IF(AND(OR($C$3="Tous",$C$3="",C4017=$C$3),OR($E$3="Tous",$E$3="",I4017=$E$3)),1,0),0)))</f>
        <v>0</v>
      </c>
      <c r="L4017" s="0" t="n">
        <f aca="false">L4016+K4017</f>
        <v>19</v>
      </c>
    </row>
    <row r="4018" customFormat="false" ht="15" hidden="true" customHeight="true" outlineLevel="0" collapsed="false">
      <c r="K4018" s="0" t="n">
        <f aca="false">IF(A4018="",0,IF(IFERROR(VLOOKUP(A4018,Skills!$A:$M,13,FALSE()),"")="COS",0,IF(OR(I4018="En cours",I4018="À venir",I4018="À planifier"),IF(AND(OR($C$3="Tous",$C$3="",C4018=$C$3),OR($E$3="Tous",$E$3="",I4018=$E$3)),1,0),0)))</f>
        <v>0</v>
      </c>
      <c r="L4018" s="0" t="n">
        <f aca="false">L4017+K4018</f>
        <v>19</v>
      </c>
    </row>
    <row r="4019" customFormat="false" ht="15" hidden="true" customHeight="true" outlineLevel="0" collapsed="false">
      <c r="K4019" s="0" t="n">
        <f aca="false">IF(A4019="",0,IF(IFERROR(VLOOKUP(A4019,Skills!$A:$M,13,FALSE()),"")="COS",0,IF(OR(I4019="En cours",I4019="À venir",I4019="À planifier"),IF(AND(OR($C$3="Tous",$C$3="",C4019=$C$3),OR($E$3="Tous",$E$3="",I4019=$E$3)),1,0),0)))</f>
        <v>0</v>
      </c>
      <c r="L4019" s="0" t="n">
        <f aca="false">L4018+K4019</f>
        <v>19</v>
      </c>
    </row>
    <row r="4020" customFormat="false" ht="15" hidden="true" customHeight="true" outlineLevel="0" collapsed="false">
      <c r="K4020" s="0" t="n">
        <f aca="false">IF(A4020="",0,IF(IFERROR(VLOOKUP(A4020,Skills!$A:$M,13,FALSE()),"")="COS",0,IF(OR(I4020="En cours",I4020="À venir",I4020="À planifier"),IF(AND(OR($C$3="Tous",$C$3="",C4020=$C$3),OR($E$3="Tous",$E$3="",I4020=$E$3)),1,0),0)))</f>
        <v>0</v>
      </c>
      <c r="L4020" s="0" t="n">
        <f aca="false">L4019+K4020</f>
        <v>19</v>
      </c>
    </row>
    <row r="4021" customFormat="false" ht="15" hidden="true" customHeight="true" outlineLevel="0" collapsed="false">
      <c r="K4021" s="0" t="n">
        <f aca="false">IF(A4021="",0,IF(IFERROR(VLOOKUP(A4021,Skills!$A:$M,13,FALSE()),"")="COS",0,IF(OR(I4021="En cours",I4021="À venir",I4021="À planifier"),IF(AND(OR($C$3="Tous",$C$3="",C4021=$C$3),OR($E$3="Tous",$E$3="",I4021=$E$3)),1,0),0)))</f>
        <v>0</v>
      </c>
      <c r="L4021" s="0" t="n">
        <f aca="false">L4020+K4021</f>
        <v>19</v>
      </c>
    </row>
    <row r="4022" customFormat="false" ht="15" hidden="true" customHeight="true" outlineLevel="0" collapsed="false">
      <c r="K4022" s="0" t="n">
        <f aca="false">IF(A4022="",0,IF(IFERROR(VLOOKUP(A4022,Skills!$A:$M,13,FALSE()),"")="COS",0,IF(OR(I4022="En cours",I4022="À venir",I4022="À planifier"),IF(AND(OR($C$3="Tous",$C$3="",C4022=$C$3),OR($E$3="Tous",$E$3="",I4022=$E$3)),1,0),0)))</f>
        <v>0</v>
      </c>
      <c r="L4022" s="0" t="n">
        <f aca="false">L4021+K4022</f>
        <v>19</v>
      </c>
    </row>
    <row r="4023" customFormat="false" ht="15" hidden="true" customHeight="true" outlineLevel="0" collapsed="false">
      <c r="K4023" s="0" t="n">
        <f aca="false">IF(A4023="",0,IF(IFERROR(VLOOKUP(A4023,Skills!$A:$M,13,FALSE()),"")="COS",0,IF(OR(I4023="En cours",I4023="À venir",I4023="À planifier"),IF(AND(OR($C$3="Tous",$C$3="",C4023=$C$3),OR($E$3="Tous",$E$3="",I4023=$E$3)),1,0),0)))</f>
        <v>0</v>
      </c>
      <c r="L4023" s="0" t="n">
        <f aca="false">L4022+K4023</f>
        <v>19</v>
      </c>
    </row>
    <row r="4024" customFormat="false" ht="15" hidden="true" customHeight="true" outlineLevel="0" collapsed="false">
      <c r="K4024" s="0" t="n">
        <f aca="false">IF(A4024="",0,IF(IFERROR(VLOOKUP(A4024,Skills!$A:$M,13,FALSE()),"")="COS",0,IF(OR(I4024="En cours",I4024="À venir",I4024="À planifier"),IF(AND(OR($C$3="Tous",$C$3="",C4024=$C$3),OR($E$3="Tous",$E$3="",I4024=$E$3)),1,0),0)))</f>
        <v>0</v>
      </c>
      <c r="L4024" s="0" t="n">
        <f aca="false">L4023+K4024</f>
        <v>19</v>
      </c>
    </row>
    <row r="4025" customFormat="false" ht="15" hidden="true" customHeight="true" outlineLevel="0" collapsed="false">
      <c r="K4025" s="0" t="n">
        <f aca="false">IF(A4025="",0,IF(IFERROR(VLOOKUP(A4025,Skills!$A:$M,13,FALSE()),"")="COS",0,IF(OR(I4025="En cours",I4025="À venir",I4025="À planifier"),IF(AND(OR($C$3="Tous",$C$3="",C4025=$C$3),OR($E$3="Tous",$E$3="",I4025=$E$3)),1,0),0)))</f>
        <v>0</v>
      </c>
      <c r="L4025" s="0" t="n">
        <f aca="false">L4024+K4025</f>
        <v>19</v>
      </c>
    </row>
    <row r="4026" customFormat="false" ht="15" hidden="true" customHeight="true" outlineLevel="0" collapsed="false">
      <c r="K4026" s="0" t="n">
        <f aca="false">IF(A4026="",0,IF(IFERROR(VLOOKUP(A4026,Skills!$A:$M,13,FALSE()),"")="COS",0,IF(OR(I4026="En cours",I4026="À venir",I4026="À planifier"),IF(AND(OR($C$3="Tous",$C$3="",C4026=$C$3),OR($E$3="Tous",$E$3="",I4026=$E$3)),1,0),0)))</f>
        <v>0</v>
      </c>
      <c r="L4026" s="0" t="n">
        <f aca="false">L4025+K4026</f>
        <v>19</v>
      </c>
    </row>
    <row r="4027" customFormat="false" ht="15" hidden="true" customHeight="true" outlineLevel="0" collapsed="false">
      <c r="K4027" s="0" t="n">
        <f aca="false">IF(A4027="",0,IF(IFERROR(VLOOKUP(A4027,Skills!$A:$M,13,FALSE()),"")="COS",0,IF(OR(I4027="En cours",I4027="À venir",I4027="À planifier"),IF(AND(OR($C$3="Tous",$C$3="",C4027=$C$3),OR($E$3="Tous",$E$3="",I4027=$E$3)),1,0),0)))</f>
        <v>0</v>
      </c>
      <c r="L4027" s="0" t="n">
        <f aca="false">L4026+K4027</f>
        <v>19</v>
      </c>
    </row>
    <row r="4028" customFormat="false" ht="15" hidden="true" customHeight="true" outlineLevel="0" collapsed="false">
      <c r="K4028" s="0" t="n">
        <f aca="false">IF(A4028="",0,IF(IFERROR(VLOOKUP(A4028,Skills!$A:$M,13,FALSE()),"")="COS",0,IF(OR(I4028="En cours",I4028="À venir",I4028="À planifier"),IF(AND(OR($C$3="Tous",$C$3="",C4028=$C$3),OR($E$3="Tous",$E$3="",I4028=$E$3)),1,0),0)))</f>
        <v>0</v>
      </c>
      <c r="L4028" s="0" t="n">
        <f aca="false">L4027+K4028</f>
        <v>19</v>
      </c>
    </row>
    <row r="4029" customFormat="false" ht="15" hidden="true" customHeight="true" outlineLevel="0" collapsed="false">
      <c r="K4029" s="0" t="n">
        <f aca="false">IF(A4029="",0,IF(IFERROR(VLOOKUP(A4029,Skills!$A:$M,13,FALSE()),"")="COS",0,IF(OR(I4029="En cours",I4029="À venir",I4029="À planifier"),IF(AND(OR($C$3="Tous",$C$3="",C4029=$C$3),OR($E$3="Tous",$E$3="",I4029=$E$3)),1,0),0)))</f>
        <v>0</v>
      </c>
      <c r="L4029" s="0" t="n">
        <f aca="false">L4028+K4029</f>
        <v>19</v>
      </c>
    </row>
    <row r="4030" customFormat="false" ht="15" hidden="true" customHeight="true" outlineLevel="0" collapsed="false">
      <c r="K4030" s="0" t="n">
        <f aca="false">IF(A4030="",0,IF(IFERROR(VLOOKUP(A4030,Skills!$A:$M,13,FALSE()),"")="COS",0,IF(OR(I4030="En cours",I4030="À venir",I4030="À planifier"),IF(AND(OR($C$3="Tous",$C$3="",C4030=$C$3),OR($E$3="Tous",$E$3="",I4030=$E$3)),1,0),0)))</f>
        <v>0</v>
      </c>
      <c r="L4030" s="0" t="n">
        <f aca="false">L4029+K4030</f>
        <v>19</v>
      </c>
    </row>
    <row r="4031" customFormat="false" ht="15" hidden="true" customHeight="true" outlineLevel="0" collapsed="false">
      <c r="K4031" s="0" t="n">
        <f aca="false">IF(A4031="",0,IF(IFERROR(VLOOKUP(A4031,Skills!$A:$M,13,FALSE()),"")="COS",0,IF(OR(I4031="En cours",I4031="À venir",I4031="À planifier"),IF(AND(OR($C$3="Tous",$C$3="",C4031=$C$3),OR($E$3="Tous",$E$3="",I4031=$E$3)),1,0),0)))</f>
        <v>0</v>
      </c>
      <c r="L4031" s="0" t="n">
        <f aca="false">L4030+K4031</f>
        <v>19</v>
      </c>
    </row>
    <row r="4032" customFormat="false" ht="15" hidden="true" customHeight="true" outlineLevel="0" collapsed="false">
      <c r="K4032" s="0" t="n">
        <f aca="false">IF(A4032="",0,IF(IFERROR(VLOOKUP(A4032,Skills!$A:$M,13,FALSE()),"")="COS",0,IF(OR(I4032="En cours",I4032="À venir",I4032="À planifier"),IF(AND(OR($C$3="Tous",$C$3="",C4032=$C$3),OR($E$3="Tous",$E$3="",I4032=$E$3)),1,0),0)))</f>
        <v>0</v>
      </c>
      <c r="L4032" s="0" t="n">
        <f aca="false">L4031+K4032</f>
        <v>19</v>
      </c>
    </row>
    <row r="4033" customFormat="false" ht="15" hidden="true" customHeight="true" outlineLevel="0" collapsed="false">
      <c r="K4033" s="0" t="n">
        <f aca="false">IF(A4033="",0,IF(IFERROR(VLOOKUP(A4033,Skills!$A:$M,13,FALSE()),"")="COS",0,IF(OR(I4033="En cours",I4033="À venir",I4033="À planifier"),IF(AND(OR($C$3="Tous",$C$3="",C4033=$C$3),OR($E$3="Tous",$E$3="",I4033=$E$3)),1,0),0)))</f>
        <v>0</v>
      </c>
      <c r="L4033" s="0" t="n">
        <f aca="false">L4032+K4033</f>
        <v>19</v>
      </c>
    </row>
    <row r="4034" customFormat="false" ht="15" hidden="true" customHeight="true" outlineLevel="0" collapsed="false">
      <c r="K4034" s="0" t="n">
        <f aca="false">IF(A4034="",0,IF(IFERROR(VLOOKUP(A4034,Skills!$A:$M,13,FALSE()),"")="COS",0,IF(OR(I4034="En cours",I4034="À venir",I4034="À planifier"),IF(AND(OR($C$3="Tous",$C$3="",C4034=$C$3),OR($E$3="Tous",$E$3="",I4034=$E$3)),1,0),0)))</f>
        <v>0</v>
      </c>
      <c r="L4034" s="0" t="n">
        <f aca="false">L4033+K4034</f>
        <v>19</v>
      </c>
    </row>
    <row r="4035" customFormat="false" ht="15" hidden="true" customHeight="true" outlineLevel="0" collapsed="false">
      <c r="K4035" s="0" t="n">
        <f aca="false">IF(A4035="",0,IF(IFERROR(VLOOKUP(A4035,Skills!$A:$M,13,FALSE()),"")="COS",0,IF(OR(I4035="En cours",I4035="À venir",I4035="À planifier"),IF(AND(OR($C$3="Tous",$C$3="",C4035=$C$3),OR($E$3="Tous",$E$3="",I4035=$E$3)),1,0),0)))</f>
        <v>0</v>
      </c>
      <c r="L4035" s="0" t="n">
        <f aca="false">L4034+K4035</f>
        <v>19</v>
      </c>
    </row>
    <row r="4036" customFormat="false" ht="15" hidden="true" customHeight="true" outlineLevel="0" collapsed="false">
      <c r="K4036" s="0" t="n">
        <f aca="false">IF(A4036="",0,IF(IFERROR(VLOOKUP(A4036,Skills!$A:$M,13,FALSE()),"")="COS",0,IF(OR(I4036="En cours",I4036="À venir",I4036="À planifier"),IF(AND(OR($C$3="Tous",$C$3="",C4036=$C$3),OR($E$3="Tous",$E$3="",I4036=$E$3)),1,0),0)))</f>
        <v>0</v>
      </c>
      <c r="L4036" s="0" t="n">
        <f aca="false">L4035+K4036</f>
        <v>19</v>
      </c>
    </row>
    <row r="4037" customFormat="false" ht="15" hidden="true" customHeight="true" outlineLevel="0" collapsed="false">
      <c r="K4037" s="0" t="n">
        <f aca="false">IF(A4037="",0,IF(IFERROR(VLOOKUP(A4037,Skills!$A:$M,13,FALSE()),"")="COS",0,IF(OR(I4037="En cours",I4037="À venir",I4037="À planifier"),IF(AND(OR($C$3="Tous",$C$3="",C4037=$C$3),OR($E$3="Tous",$E$3="",I4037=$E$3)),1,0),0)))</f>
        <v>0</v>
      </c>
      <c r="L4037" s="0" t="n">
        <f aca="false">L4036+K4037</f>
        <v>19</v>
      </c>
    </row>
    <row r="4038" customFormat="false" ht="15" hidden="true" customHeight="true" outlineLevel="0" collapsed="false">
      <c r="K4038" s="0" t="n">
        <f aca="false">IF(A4038="",0,IF(IFERROR(VLOOKUP(A4038,Skills!$A:$M,13,FALSE()),"")="COS",0,IF(OR(I4038="En cours",I4038="À venir",I4038="À planifier"),IF(AND(OR($C$3="Tous",$C$3="",C4038=$C$3),OR($E$3="Tous",$E$3="",I4038=$E$3)),1,0),0)))</f>
        <v>0</v>
      </c>
      <c r="L4038" s="0" t="n">
        <f aca="false">L4037+K4038</f>
        <v>19</v>
      </c>
    </row>
    <row r="4039" customFormat="false" ht="15" hidden="true" customHeight="true" outlineLevel="0" collapsed="false">
      <c r="K4039" s="0" t="n">
        <f aca="false">IF(A4039="",0,IF(IFERROR(VLOOKUP(A4039,Skills!$A:$M,13,FALSE()),"")="COS",0,IF(OR(I4039="En cours",I4039="À venir",I4039="À planifier"),IF(AND(OR($C$3="Tous",$C$3="",C4039=$C$3),OR($E$3="Tous",$E$3="",I4039=$E$3)),1,0),0)))</f>
        <v>0</v>
      </c>
      <c r="L4039" s="0" t="n">
        <f aca="false">L4038+K4039</f>
        <v>19</v>
      </c>
    </row>
    <row r="4040" customFormat="false" ht="15" hidden="true" customHeight="true" outlineLevel="0" collapsed="false">
      <c r="K4040" s="0" t="n">
        <f aca="false">IF(A4040="",0,IF(IFERROR(VLOOKUP(A4040,Skills!$A:$M,13,FALSE()),"")="COS",0,IF(OR(I4040="En cours",I4040="À venir",I4040="À planifier"),IF(AND(OR($C$3="Tous",$C$3="",C4040=$C$3),OR($E$3="Tous",$E$3="",I4040=$E$3)),1,0),0)))</f>
        <v>0</v>
      </c>
      <c r="L4040" s="0" t="n">
        <f aca="false">L4039+K4040</f>
        <v>19</v>
      </c>
    </row>
    <row r="4041" customFormat="false" ht="15" hidden="true" customHeight="true" outlineLevel="0" collapsed="false">
      <c r="K4041" s="0" t="n">
        <f aca="false">IF(A4041="",0,IF(IFERROR(VLOOKUP(A4041,Skills!$A:$M,13,FALSE()),"")="COS",0,IF(OR(I4041="En cours",I4041="À venir",I4041="À planifier"),IF(AND(OR($C$3="Tous",$C$3="",C4041=$C$3),OR($E$3="Tous",$E$3="",I4041=$E$3)),1,0),0)))</f>
        <v>0</v>
      </c>
      <c r="L4041" s="0" t="n">
        <f aca="false">L4040+K4041</f>
        <v>19</v>
      </c>
    </row>
    <row r="4042" customFormat="false" ht="15" hidden="true" customHeight="true" outlineLevel="0" collapsed="false">
      <c r="K4042" s="0" t="n">
        <f aca="false">IF(A4042="",0,IF(IFERROR(VLOOKUP(A4042,Skills!$A:$M,13,FALSE()),"")="COS",0,IF(OR(I4042="En cours",I4042="À venir",I4042="À planifier"),IF(AND(OR($C$3="Tous",$C$3="",C4042=$C$3),OR($E$3="Tous",$E$3="",I4042=$E$3)),1,0),0)))</f>
        <v>0</v>
      </c>
      <c r="L4042" s="0" t="n">
        <f aca="false">L4041+K4042</f>
        <v>19</v>
      </c>
    </row>
    <row r="4043" customFormat="false" ht="15" hidden="true" customHeight="true" outlineLevel="0" collapsed="false">
      <c r="K4043" s="0" t="n">
        <f aca="false">IF(A4043="",0,IF(IFERROR(VLOOKUP(A4043,Skills!$A:$M,13,FALSE()),"")="COS",0,IF(OR(I4043="En cours",I4043="À venir",I4043="À planifier"),IF(AND(OR($C$3="Tous",$C$3="",C4043=$C$3),OR($E$3="Tous",$E$3="",I4043=$E$3)),1,0),0)))</f>
        <v>0</v>
      </c>
      <c r="L4043" s="0" t="n">
        <f aca="false">L4042+K4043</f>
        <v>19</v>
      </c>
    </row>
    <row r="4044" customFormat="false" ht="15" hidden="true" customHeight="true" outlineLevel="0" collapsed="false">
      <c r="K4044" s="0" t="n">
        <f aca="false">IF(A4044="",0,IF(IFERROR(VLOOKUP(A4044,Skills!$A:$M,13,FALSE()),"")="COS",0,IF(OR(I4044="En cours",I4044="À venir",I4044="À planifier"),IF(AND(OR($C$3="Tous",$C$3="",C4044=$C$3),OR($E$3="Tous",$E$3="",I4044=$E$3)),1,0),0)))</f>
        <v>0</v>
      </c>
      <c r="L4044" s="0" t="n">
        <f aca="false">L4043+K4044</f>
        <v>19</v>
      </c>
    </row>
    <row r="4045" customFormat="false" ht="15" hidden="true" customHeight="true" outlineLevel="0" collapsed="false">
      <c r="K4045" s="0" t="n">
        <f aca="false">IF(A4045="",0,IF(IFERROR(VLOOKUP(A4045,Skills!$A:$M,13,FALSE()),"")="COS",0,IF(OR(I4045="En cours",I4045="À venir",I4045="À planifier"),IF(AND(OR($C$3="Tous",$C$3="",C4045=$C$3),OR($E$3="Tous",$E$3="",I4045=$E$3)),1,0),0)))</f>
        <v>0</v>
      </c>
      <c r="L4045" s="0" t="n">
        <f aca="false">L4044+K4045</f>
        <v>19</v>
      </c>
    </row>
    <row r="4046" customFormat="false" ht="15" hidden="true" customHeight="true" outlineLevel="0" collapsed="false">
      <c r="K4046" s="0" t="n">
        <f aca="false">IF(A4046="",0,IF(IFERROR(VLOOKUP(A4046,Skills!$A:$M,13,FALSE()),"")="COS",0,IF(OR(I4046="En cours",I4046="À venir",I4046="À planifier"),IF(AND(OR($C$3="Tous",$C$3="",C4046=$C$3),OR($E$3="Tous",$E$3="",I4046=$E$3)),1,0),0)))</f>
        <v>0</v>
      </c>
      <c r="L4046" s="0" t="n">
        <f aca="false">L4045+K4046</f>
        <v>19</v>
      </c>
    </row>
    <row r="4047" customFormat="false" ht="15" hidden="true" customHeight="true" outlineLevel="0" collapsed="false">
      <c r="K4047" s="0" t="n">
        <f aca="false">IF(A4047="",0,IF(IFERROR(VLOOKUP(A4047,Skills!$A:$M,13,FALSE()),"")="COS",0,IF(OR(I4047="En cours",I4047="À venir",I4047="À planifier"),IF(AND(OR($C$3="Tous",$C$3="",C4047=$C$3),OR($E$3="Tous",$E$3="",I4047=$E$3)),1,0),0)))</f>
        <v>0</v>
      </c>
      <c r="L4047" s="0" t="n">
        <f aca="false">L4046+K4047</f>
        <v>19</v>
      </c>
    </row>
    <row r="4048" customFormat="false" ht="15" hidden="true" customHeight="true" outlineLevel="0" collapsed="false">
      <c r="K4048" s="0" t="n">
        <f aca="false">IF(A4048="",0,IF(IFERROR(VLOOKUP(A4048,Skills!$A:$M,13,FALSE()),"")="COS",0,IF(OR(I4048="En cours",I4048="À venir",I4048="À planifier"),IF(AND(OR($C$3="Tous",$C$3="",C4048=$C$3),OR($E$3="Tous",$E$3="",I4048=$E$3)),1,0),0)))</f>
        <v>0</v>
      </c>
      <c r="L4048" s="0" t="n">
        <f aca="false">L4047+K4048</f>
        <v>19</v>
      </c>
    </row>
    <row r="4049" customFormat="false" ht="15" hidden="true" customHeight="true" outlineLevel="0" collapsed="false">
      <c r="K4049" s="0" t="n">
        <f aca="false">IF(A4049="",0,IF(IFERROR(VLOOKUP(A4049,Skills!$A:$M,13,FALSE()),"")="COS",0,IF(OR(I4049="En cours",I4049="À venir",I4049="À planifier"),IF(AND(OR($C$3="Tous",$C$3="",C4049=$C$3),OR($E$3="Tous",$E$3="",I4049=$E$3)),1,0),0)))</f>
        <v>0</v>
      </c>
      <c r="L4049" s="0" t="n">
        <f aca="false">L4048+K4049</f>
        <v>19</v>
      </c>
    </row>
    <row r="4050" customFormat="false" ht="15" hidden="true" customHeight="true" outlineLevel="0" collapsed="false">
      <c r="K4050" s="0" t="n">
        <f aca="false">IF(A4050="",0,IF(IFERROR(VLOOKUP(A4050,Skills!$A:$M,13,FALSE()),"")="COS",0,IF(OR(I4050="En cours",I4050="À venir",I4050="À planifier"),IF(AND(OR($C$3="Tous",$C$3="",C4050=$C$3),OR($E$3="Tous",$E$3="",I4050=$E$3)),1,0),0)))</f>
        <v>0</v>
      </c>
      <c r="L4050" s="0" t="n">
        <f aca="false">L4049+K4050</f>
        <v>19</v>
      </c>
    </row>
    <row r="4051" customFormat="false" ht="15" hidden="true" customHeight="true" outlineLevel="0" collapsed="false">
      <c r="K4051" s="0" t="n">
        <f aca="false">IF(A4051="",0,IF(IFERROR(VLOOKUP(A4051,Skills!$A:$M,13,FALSE()),"")="COS",0,IF(OR(I4051="En cours",I4051="À venir",I4051="À planifier"),IF(AND(OR($C$3="Tous",$C$3="",C4051=$C$3),OR($E$3="Tous",$E$3="",I4051=$E$3)),1,0),0)))</f>
        <v>0</v>
      </c>
      <c r="L4051" s="0" t="n">
        <f aca="false">L4050+K4051</f>
        <v>19</v>
      </c>
    </row>
    <row r="4052" customFormat="false" ht="15" hidden="true" customHeight="true" outlineLevel="0" collapsed="false">
      <c r="K4052" s="0" t="n">
        <f aca="false">IF(A4052="",0,IF(IFERROR(VLOOKUP(A4052,Skills!$A:$M,13,FALSE()),"")="COS",0,IF(OR(I4052="En cours",I4052="À venir",I4052="À planifier"),IF(AND(OR($C$3="Tous",$C$3="",C4052=$C$3),OR($E$3="Tous",$E$3="",I4052=$E$3)),1,0),0)))</f>
        <v>0</v>
      </c>
      <c r="L4052" s="0" t="n">
        <f aca="false">L4051+K4052</f>
        <v>19</v>
      </c>
    </row>
    <row r="4053" customFormat="false" ht="15" hidden="true" customHeight="true" outlineLevel="0" collapsed="false">
      <c r="K4053" s="0" t="n">
        <f aca="false">IF(A4053="",0,IF(IFERROR(VLOOKUP(A4053,Skills!$A:$M,13,FALSE()),"")="COS",0,IF(OR(I4053="En cours",I4053="À venir",I4053="À planifier"),IF(AND(OR($C$3="Tous",$C$3="",C4053=$C$3),OR($E$3="Tous",$E$3="",I4053=$E$3)),1,0),0)))</f>
        <v>0</v>
      </c>
      <c r="L4053" s="0" t="n">
        <f aca="false">L4052+K4053</f>
        <v>19</v>
      </c>
    </row>
    <row r="4054" customFormat="false" ht="15" hidden="true" customHeight="true" outlineLevel="0" collapsed="false">
      <c r="K4054" s="0" t="n">
        <f aca="false">IF(A4054="",0,IF(IFERROR(VLOOKUP(A4054,Skills!$A:$M,13,FALSE()),"")="COS",0,IF(OR(I4054="En cours",I4054="À venir",I4054="À planifier"),IF(AND(OR($C$3="Tous",$C$3="",C4054=$C$3),OR($E$3="Tous",$E$3="",I4054=$E$3)),1,0),0)))</f>
        <v>0</v>
      </c>
      <c r="L4054" s="0" t="n">
        <f aca="false">L4053+K4054</f>
        <v>19</v>
      </c>
    </row>
    <row r="4055" customFormat="false" ht="15" hidden="true" customHeight="true" outlineLevel="0" collapsed="false">
      <c r="K4055" s="0" t="n">
        <f aca="false">IF(A4055="",0,IF(IFERROR(VLOOKUP(A4055,Skills!$A:$M,13,FALSE()),"")="COS",0,IF(OR(I4055="En cours",I4055="À venir",I4055="À planifier"),IF(AND(OR($C$3="Tous",$C$3="",C4055=$C$3),OR($E$3="Tous",$E$3="",I4055=$E$3)),1,0),0)))</f>
        <v>0</v>
      </c>
      <c r="L4055" s="0" t="n">
        <f aca="false">L4054+K4055</f>
        <v>19</v>
      </c>
    </row>
    <row r="4056" customFormat="false" ht="15" hidden="true" customHeight="true" outlineLevel="0" collapsed="false">
      <c r="K4056" s="0" t="n">
        <f aca="false">IF(A4056="",0,IF(IFERROR(VLOOKUP(A4056,Skills!$A:$M,13,FALSE()),"")="COS",0,IF(OR(I4056="En cours",I4056="À venir",I4056="À planifier"),IF(AND(OR($C$3="Tous",$C$3="",C4056=$C$3),OR($E$3="Tous",$E$3="",I4056=$E$3)),1,0),0)))</f>
        <v>0</v>
      </c>
      <c r="L4056" s="0" t="n">
        <f aca="false">L4055+K4056</f>
        <v>19</v>
      </c>
    </row>
    <row r="4057" customFormat="false" ht="15" hidden="true" customHeight="true" outlineLevel="0" collapsed="false">
      <c r="K4057" s="0" t="n">
        <f aca="false">IF(A4057="",0,IF(IFERROR(VLOOKUP(A4057,Skills!$A:$M,13,FALSE()),"")="COS",0,IF(OR(I4057="En cours",I4057="À venir",I4057="À planifier"),IF(AND(OR($C$3="Tous",$C$3="",C4057=$C$3),OR($E$3="Tous",$E$3="",I4057=$E$3)),1,0),0)))</f>
        <v>0</v>
      </c>
      <c r="L4057" s="0" t="n">
        <f aca="false">L4056+K4057</f>
        <v>19</v>
      </c>
    </row>
    <row r="4058" customFormat="false" ht="15" hidden="true" customHeight="true" outlineLevel="0" collapsed="false">
      <c r="K4058" s="0" t="n">
        <f aca="false">IF(A4058="",0,IF(IFERROR(VLOOKUP(A4058,Skills!$A:$M,13,FALSE()),"")="COS",0,IF(OR(I4058="En cours",I4058="À venir",I4058="À planifier"),IF(AND(OR($C$3="Tous",$C$3="",C4058=$C$3),OR($E$3="Tous",$E$3="",I4058=$E$3)),1,0),0)))</f>
        <v>0</v>
      </c>
      <c r="L4058" s="0" t="n">
        <f aca="false">L4057+K4058</f>
        <v>19</v>
      </c>
    </row>
    <row r="4059" customFormat="false" ht="15" hidden="true" customHeight="true" outlineLevel="0" collapsed="false">
      <c r="K4059" s="0" t="n">
        <f aca="false">IF(A4059="",0,IF(IFERROR(VLOOKUP(A4059,Skills!$A:$M,13,FALSE()),"")="COS",0,IF(OR(I4059="En cours",I4059="À venir",I4059="À planifier"),IF(AND(OR($C$3="Tous",$C$3="",C4059=$C$3),OR($E$3="Tous",$E$3="",I4059=$E$3)),1,0),0)))</f>
        <v>0</v>
      </c>
      <c r="L4059" s="0" t="n">
        <f aca="false">L4058+K4059</f>
        <v>19</v>
      </c>
    </row>
    <row r="4060" customFormat="false" ht="15" hidden="true" customHeight="true" outlineLevel="0" collapsed="false">
      <c r="K4060" s="0" t="n">
        <f aca="false">IF(A4060="",0,IF(IFERROR(VLOOKUP(A4060,Skills!$A:$M,13,FALSE()),"")="COS",0,IF(OR(I4060="En cours",I4060="À venir",I4060="À planifier"),IF(AND(OR($C$3="Tous",$C$3="",C4060=$C$3),OR($E$3="Tous",$E$3="",I4060=$E$3)),1,0),0)))</f>
        <v>0</v>
      </c>
      <c r="L4060" s="0" t="n">
        <f aca="false">L4059+K4060</f>
        <v>19</v>
      </c>
    </row>
    <row r="4061" customFormat="false" ht="15" hidden="true" customHeight="true" outlineLevel="0" collapsed="false">
      <c r="K4061" s="0" t="n">
        <f aca="false">IF(A4061="",0,IF(IFERROR(VLOOKUP(A4061,Skills!$A:$M,13,FALSE()),"")="COS",0,IF(OR(I4061="En cours",I4061="À venir",I4061="À planifier"),IF(AND(OR($C$3="Tous",$C$3="",C4061=$C$3),OR($E$3="Tous",$E$3="",I4061=$E$3)),1,0),0)))</f>
        <v>0</v>
      </c>
      <c r="L4061" s="0" t="n">
        <f aca="false">L4060+K4061</f>
        <v>19</v>
      </c>
    </row>
    <row r="4062" customFormat="false" ht="15" hidden="true" customHeight="true" outlineLevel="0" collapsed="false">
      <c r="K4062" s="0" t="n">
        <f aca="false">IF(A4062="",0,IF(IFERROR(VLOOKUP(A4062,Skills!$A:$M,13,FALSE()),"")="COS",0,IF(OR(I4062="En cours",I4062="À venir",I4062="À planifier"),IF(AND(OR($C$3="Tous",$C$3="",C4062=$C$3),OR($E$3="Tous",$E$3="",I4062=$E$3)),1,0),0)))</f>
        <v>0</v>
      </c>
      <c r="L4062" s="0" t="n">
        <f aca="false">L4061+K4062</f>
        <v>19</v>
      </c>
    </row>
    <row r="4063" customFormat="false" ht="15" hidden="true" customHeight="true" outlineLevel="0" collapsed="false">
      <c r="K4063" s="0" t="n">
        <f aca="false">IF(A4063="",0,IF(IFERROR(VLOOKUP(A4063,Skills!$A:$M,13,FALSE()),"")="COS",0,IF(OR(I4063="En cours",I4063="À venir",I4063="À planifier"),IF(AND(OR($C$3="Tous",$C$3="",C4063=$C$3),OR($E$3="Tous",$E$3="",I4063=$E$3)),1,0),0)))</f>
        <v>0</v>
      </c>
      <c r="L4063" s="0" t="n">
        <f aca="false">L4062+K4063</f>
        <v>19</v>
      </c>
    </row>
    <row r="4064" customFormat="false" ht="15" hidden="true" customHeight="true" outlineLevel="0" collapsed="false">
      <c r="K4064" s="0" t="n">
        <f aca="false">IF(A4064="",0,IF(IFERROR(VLOOKUP(A4064,Skills!$A:$M,13,FALSE()),"")="COS",0,IF(OR(I4064="En cours",I4064="À venir",I4064="À planifier"),IF(AND(OR($C$3="Tous",$C$3="",C4064=$C$3),OR($E$3="Tous",$E$3="",I4064=$E$3)),1,0),0)))</f>
        <v>0</v>
      </c>
      <c r="L4064" s="0" t="n">
        <f aca="false">L4063+K4064</f>
        <v>19</v>
      </c>
    </row>
    <row r="4065" customFormat="false" ht="15" hidden="true" customHeight="true" outlineLevel="0" collapsed="false">
      <c r="K4065" s="0" t="n">
        <f aca="false">IF(A4065="",0,IF(IFERROR(VLOOKUP(A4065,Skills!$A:$M,13,FALSE()),"")="COS",0,IF(OR(I4065="En cours",I4065="À venir",I4065="À planifier"),IF(AND(OR($C$3="Tous",$C$3="",C4065=$C$3),OR($E$3="Tous",$E$3="",I4065=$E$3)),1,0),0)))</f>
        <v>0</v>
      </c>
      <c r="L4065" s="0" t="n">
        <f aca="false">L4064+K4065</f>
        <v>19</v>
      </c>
    </row>
    <row r="4066" customFormat="false" ht="15" hidden="true" customHeight="true" outlineLevel="0" collapsed="false">
      <c r="K4066" s="0" t="n">
        <f aca="false">IF(A4066="",0,IF(IFERROR(VLOOKUP(A4066,Skills!$A:$M,13,FALSE()),"")="COS",0,IF(OR(I4066="En cours",I4066="À venir",I4066="À planifier"),IF(AND(OR($C$3="Tous",$C$3="",C4066=$C$3),OR($E$3="Tous",$E$3="",I4066=$E$3)),1,0),0)))</f>
        <v>0</v>
      </c>
      <c r="L4066" s="0" t="n">
        <f aca="false">L4065+K4066</f>
        <v>19</v>
      </c>
    </row>
    <row r="4067" customFormat="false" ht="15" hidden="true" customHeight="true" outlineLevel="0" collapsed="false">
      <c r="K4067" s="0" t="n">
        <f aca="false">IF(A4067="",0,IF(IFERROR(VLOOKUP(A4067,Skills!$A:$M,13,FALSE()),"")="COS",0,IF(OR(I4067="En cours",I4067="À venir",I4067="À planifier"),IF(AND(OR($C$3="Tous",$C$3="",C4067=$C$3),OR($E$3="Tous",$E$3="",I4067=$E$3)),1,0),0)))</f>
        <v>0</v>
      </c>
      <c r="L4067" s="0" t="n">
        <f aca="false">L4066+K4067</f>
        <v>19</v>
      </c>
    </row>
    <row r="4068" customFormat="false" ht="15" hidden="true" customHeight="true" outlineLevel="0" collapsed="false">
      <c r="K4068" s="0" t="n">
        <f aca="false">IF(A4068="",0,IF(IFERROR(VLOOKUP(A4068,Skills!$A:$M,13,FALSE()),"")="COS",0,IF(OR(I4068="En cours",I4068="À venir",I4068="À planifier"),IF(AND(OR($C$3="Tous",$C$3="",C4068=$C$3),OR($E$3="Tous",$E$3="",I4068=$E$3)),1,0),0)))</f>
        <v>0</v>
      </c>
      <c r="L4068" s="0" t="n">
        <f aca="false">L4067+K4068</f>
        <v>19</v>
      </c>
    </row>
    <row r="4069" customFormat="false" ht="15" hidden="true" customHeight="true" outlineLevel="0" collapsed="false">
      <c r="K4069" s="0" t="n">
        <f aca="false">IF(A4069="",0,IF(IFERROR(VLOOKUP(A4069,Skills!$A:$M,13,FALSE()),"")="COS",0,IF(OR(I4069="En cours",I4069="À venir",I4069="À planifier"),IF(AND(OR($C$3="Tous",$C$3="",C4069=$C$3),OR($E$3="Tous",$E$3="",I4069=$E$3)),1,0),0)))</f>
        <v>0</v>
      </c>
      <c r="L4069" s="0" t="n">
        <f aca="false">L4068+K4069</f>
        <v>19</v>
      </c>
    </row>
    <row r="4070" customFormat="false" ht="15" hidden="true" customHeight="true" outlineLevel="0" collapsed="false">
      <c r="K4070" s="0" t="n">
        <f aca="false">IF(A4070="",0,IF(IFERROR(VLOOKUP(A4070,Skills!$A:$M,13,FALSE()),"")="COS",0,IF(OR(I4070="En cours",I4070="À venir",I4070="À planifier"),IF(AND(OR($C$3="Tous",$C$3="",C4070=$C$3),OR($E$3="Tous",$E$3="",I4070=$E$3)),1,0),0)))</f>
        <v>0</v>
      </c>
      <c r="L4070" s="0" t="n">
        <f aca="false">L4069+K4070</f>
        <v>19</v>
      </c>
    </row>
    <row r="4071" customFormat="false" ht="15" hidden="true" customHeight="true" outlineLevel="0" collapsed="false">
      <c r="K4071" s="0" t="n">
        <f aca="false">IF(A4071="",0,IF(IFERROR(VLOOKUP(A4071,Skills!$A:$M,13,FALSE()),"")="COS",0,IF(OR(I4071="En cours",I4071="À venir",I4071="À planifier"),IF(AND(OR($C$3="Tous",$C$3="",C4071=$C$3),OR($E$3="Tous",$E$3="",I4071=$E$3)),1,0),0)))</f>
        <v>0</v>
      </c>
      <c r="L4071" s="0" t="n">
        <f aca="false">L4070+K4071</f>
        <v>19</v>
      </c>
    </row>
    <row r="4072" customFormat="false" ht="15" hidden="true" customHeight="true" outlineLevel="0" collapsed="false">
      <c r="K4072" s="0" t="n">
        <f aca="false">IF(A4072="",0,IF(IFERROR(VLOOKUP(A4072,Skills!$A:$M,13,FALSE()),"")="COS",0,IF(OR(I4072="En cours",I4072="À venir",I4072="À planifier"),IF(AND(OR($C$3="Tous",$C$3="",C4072=$C$3),OR($E$3="Tous",$E$3="",I4072=$E$3)),1,0),0)))</f>
        <v>0</v>
      </c>
      <c r="L4072" s="0" t="n">
        <f aca="false">L4071+K4072</f>
        <v>19</v>
      </c>
    </row>
    <row r="4073" customFormat="false" ht="15" hidden="true" customHeight="true" outlineLevel="0" collapsed="false">
      <c r="K4073" s="0" t="n">
        <f aca="false">IF(A4073="",0,IF(IFERROR(VLOOKUP(A4073,Skills!$A:$M,13,FALSE()),"")="COS",0,IF(OR(I4073="En cours",I4073="À venir",I4073="À planifier"),IF(AND(OR($C$3="Tous",$C$3="",C4073=$C$3),OR($E$3="Tous",$E$3="",I4073=$E$3)),1,0),0)))</f>
        <v>0</v>
      </c>
      <c r="L4073" s="0" t="n">
        <f aca="false">L4072+K4073</f>
        <v>19</v>
      </c>
    </row>
    <row r="4074" customFormat="false" ht="15" hidden="true" customHeight="true" outlineLevel="0" collapsed="false">
      <c r="K4074" s="0" t="n">
        <f aca="false">IF(A4074="",0,IF(IFERROR(VLOOKUP(A4074,Skills!$A:$M,13,FALSE()),"")="COS",0,IF(OR(I4074="En cours",I4074="À venir",I4074="À planifier"),IF(AND(OR($C$3="Tous",$C$3="",C4074=$C$3),OR($E$3="Tous",$E$3="",I4074=$E$3)),1,0),0)))</f>
        <v>0</v>
      </c>
      <c r="L4074" s="0" t="n">
        <f aca="false">L4073+K4074</f>
        <v>19</v>
      </c>
    </row>
    <row r="4075" customFormat="false" ht="15" hidden="true" customHeight="true" outlineLevel="0" collapsed="false">
      <c r="K4075" s="0" t="n">
        <f aca="false">IF(A4075="",0,IF(IFERROR(VLOOKUP(A4075,Skills!$A:$M,13,FALSE()),"")="COS",0,IF(OR(I4075="En cours",I4075="À venir",I4075="À planifier"),IF(AND(OR($C$3="Tous",$C$3="",C4075=$C$3),OR($E$3="Tous",$E$3="",I4075=$E$3)),1,0),0)))</f>
        <v>0</v>
      </c>
      <c r="L4075" s="0" t="n">
        <f aca="false">L4074+K4075</f>
        <v>19</v>
      </c>
    </row>
    <row r="4076" customFormat="false" ht="15" hidden="true" customHeight="true" outlineLevel="0" collapsed="false">
      <c r="K4076" s="0" t="n">
        <f aca="false">IF(A4076="",0,IF(IFERROR(VLOOKUP(A4076,Skills!$A:$M,13,FALSE()),"")="COS",0,IF(OR(I4076="En cours",I4076="À venir",I4076="À planifier"),IF(AND(OR($C$3="Tous",$C$3="",C4076=$C$3),OR($E$3="Tous",$E$3="",I4076=$E$3)),1,0),0)))</f>
        <v>0</v>
      </c>
      <c r="L4076" s="0" t="n">
        <f aca="false">L4075+K4076</f>
        <v>19</v>
      </c>
    </row>
    <row r="4077" customFormat="false" ht="15" hidden="true" customHeight="true" outlineLevel="0" collapsed="false">
      <c r="K4077" s="0" t="n">
        <f aca="false">IF(A4077="",0,IF(IFERROR(VLOOKUP(A4077,Skills!$A:$M,13,FALSE()),"")="COS",0,IF(OR(I4077="En cours",I4077="À venir",I4077="À planifier"),IF(AND(OR($C$3="Tous",$C$3="",C4077=$C$3),OR($E$3="Tous",$E$3="",I4077=$E$3)),1,0),0)))</f>
        <v>0</v>
      </c>
      <c r="L4077" s="0" t="n">
        <f aca="false">L4076+K4077</f>
        <v>19</v>
      </c>
    </row>
    <row r="4078" customFormat="false" ht="15" hidden="true" customHeight="true" outlineLevel="0" collapsed="false">
      <c r="K4078" s="0" t="n">
        <f aca="false">IF(A4078="",0,IF(IFERROR(VLOOKUP(A4078,Skills!$A:$M,13,FALSE()),"")="COS",0,IF(OR(I4078="En cours",I4078="À venir",I4078="À planifier"),IF(AND(OR($C$3="Tous",$C$3="",C4078=$C$3),OR($E$3="Tous",$E$3="",I4078=$E$3)),1,0),0)))</f>
        <v>0</v>
      </c>
      <c r="L4078" s="0" t="n">
        <f aca="false">L4077+K4078</f>
        <v>19</v>
      </c>
    </row>
    <row r="4079" customFormat="false" ht="15" hidden="true" customHeight="true" outlineLevel="0" collapsed="false">
      <c r="K4079" s="0" t="n">
        <f aca="false">IF(A4079="",0,IF(IFERROR(VLOOKUP(A4079,Skills!$A:$M,13,FALSE()),"")="COS",0,IF(OR(I4079="En cours",I4079="À venir",I4079="À planifier"),IF(AND(OR($C$3="Tous",$C$3="",C4079=$C$3),OR($E$3="Tous",$E$3="",I4079=$E$3)),1,0),0)))</f>
        <v>0</v>
      </c>
      <c r="L4079" s="0" t="n">
        <f aca="false">L4078+K4079</f>
        <v>19</v>
      </c>
    </row>
    <row r="4080" customFormat="false" ht="15" hidden="true" customHeight="true" outlineLevel="0" collapsed="false">
      <c r="K4080" s="0" t="n">
        <f aca="false">IF(A4080="",0,IF(IFERROR(VLOOKUP(A4080,Skills!$A:$M,13,FALSE()),"")="COS",0,IF(OR(I4080="En cours",I4080="À venir",I4080="À planifier"),IF(AND(OR($C$3="Tous",$C$3="",C4080=$C$3),OR($E$3="Tous",$E$3="",I4080=$E$3)),1,0),0)))</f>
        <v>0</v>
      </c>
      <c r="L4080" s="0" t="n">
        <f aca="false">L4079+K4080</f>
        <v>19</v>
      </c>
    </row>
    <row r="4081" customFormat="false" ht="15" hidden="true" customHeight="true" outlineLevel="0" collapsed="false">
      <c r="K4081" s="0" t="n">
        <f aca="false">IF(A4081="",0,IF(IFERROR(VLOOKUP(A4081,Skills!$A:$M,13,FALSE()),"")="COS",0,IF(OR(I4081="En cours",I4081="À venir",I4081="À planifier"),IF(AND(OR($C$3="Tous",$C$3="",C4081=$C$3),OR($E$3="Tous",$E$3="",I4081=$E$3)),1,0),0)))</f>
        <v>0</v>
      </c>
      <c r="L4081" s="0" t="n">
        <f aca="false">L4080+K4081</f>
        <v>19</v>
      </c>
    </row>
    <row r="4082" customFormat="false" ht="15" hidden="true" customHeight="true" outlineLevel="0" collapsed="false">
      <c r="K4082" s="0" t="n">
        <f aca="false">IF(A4082="",0,IF(IFERROR(VLOOKUP(A4082,Skills!$A:$M,13,FALSE()),"")="COS",0,IF(OR(I4082="En cours",I4082="À venir",I4082="À planifier"),IF(AND(OR($C$3="Tous",$C$3="",C4082=$C$3),OR($E$3="Tous",$E$3="",I4082=$E$3)),1,0),0)))</f>
        <v>0</v>
      </c>
      <c r="L4082" s="0" t="n">
        <f aca="false">L4081+K4082</f>
        <v>19</v>
      </c>
    </row>
    <row r="4083" customFormat="false" ht="15" hidden="true" customHeight="true" outlineLevel="0" collapsed="false">
      <c r="K4083" s="0" t="n">
        <f aca="false">IF(A4083="",0,IF(IFERROR(VLOOKUP(A4083,Skills!$A:$M,13,FALSE()),"")="COS",0,IF(OR(I4083="En cours",I4083="À venir",I4083="À planifier"),IF(AND(OR($C$3="Tous",$C$3="",C4083=$C$3),OR($E$3="Tous",$E$3="",I4083=$E$3)),1,0),0)))</f>
        <v>0</v>
      </c>
      <c r="L4083" s="0" t="n">
        <f aca="false">L4082+K4083</f>
        <v>19</v>
      </c>
    </row>
    <row r="4084" customFormat="false" ht="15" hidden="true" customHeight="true" outlineLevel="0" collapsed="false">
      <c r="K4084" s="0" t="n">
        <f aca="false">IF(A4084="",0,IF(IFERROR(VLOOKUP(A4084,Skills!$A:$M,13,FALSE()),"")="COS",0,IF(OR(I4084="En cours",I4084="À venir",I4084="À planifier"),IF(AND(OR($C$3="Tous",$C$3="",C4084=$C$3),OR($E$3="Tous",$E$3="",I4084=$E$3)),1,0),0)))</f>
        <v>0</v>
      </c>
      <c r="L4084" s="0" t="n">
        <f aca="false">L4083+K4084</f>
        <v>19</v>
      </c>
    </row>
    <row r="4085" customFormat="false" ht="15" hidden="true" customHeight="true" outlineLevel="0" collapsed="false">
      <c r="K4085" s="0" t="n">
        <f aca="false">IF(A4085="",0,IF(IFERROR(VLOOKUP(A4085,Skills!$A:$M,13,FALSE()),"")="COS",0,IF(OR(I4085="En cours",I4085="À venir",I4085="À planifier"),IF(AND(OR($C$3="Tous",$C$3="",C4085=$C$3),OR($E$3="Tous",$E$3="",I4085=$E$3)),1,0),0)))</f>
        <v>0</v>
      </c>
      <c r="L4085" s="0" t="n">
        <f aca="false">L4084+K4085</f>
        <v>19</v>
      </c>
    </row>
    <row r="4086" customFormat="false" ht="15" hidden="true" customHeight="true" outlineLevel="0" collapsed="false">
      <c r="K4086" s="0" t="n">
        <f aca="false">IF(A4086="",0,IF(IFERROR(VLOOKUP(A4086,Skills!$A:$M,13,FALSE()),"")="COS",0,IF(OR(I4086="En cours",I4086="À venir",I4086="À planifier"),IF(AND(OR($C$3="Tous",$C$3="",C4086=$C$3),OR($E$3="Tous",$E$3="",I4086=$E$3)),1,0),0)))</f>
        <v>0</v>
      </c>
      <c r="L4086" s="0" t="n">
        <f aca="false">L4085+K4086</f>
        <v>19</v>
      </c>
    </row>
    <row r="4087" customFormat="false" ht="15" hidden="true" customHeight="true" outlineLevel="0" collapsed="false">
      <c r="K4087" s="0" t="n">
        <f aca="false">IF(A4087="",0,IF(IFERROR(VLOOKUP(A4087,Skills!$A:$M,13,FALSE()),"")="COS",0,IF(OR(I4087="En cours",I4087="À venir",I4087="À planifier"),IF(AND(OR($C$3="Tous",$C$3="",C4087=$C$3),OR($E$3="Tous",$E$3="",I4087=$E$3)),1,0),0)))</f>
        <v>0</v>
      </c>
      <c r="L4087" s="0" t="n">
        <f aca="false">L4086+K4087</f>
        <v>19</v>
      </c>
    </row>
    <row r="4088" customFormat="false" ht="15" hidden="true" customHeight="true" outlineLevel="0" collapsed="false">
      <c r="K4088" s="0" t="n">
        <f aca="false">IF(A4088="",0,IF(IFERROR(VLOOKUP(A4088,Skills!$A:$M,13,FALSE()),"")="COS",0,IF(OR(I4088="En cours",I4088="À venir",I4088="À planifier"),IF(AND(OR($C$3="Tous",$C$3="",C4088=$C$3),OR($E$3="Tous",$E$3="",I4088=$E$3)),1,0),0)))</f>
        <v>0</v>
      </c>
      <c r="L4088" s="0" t="n">
        <f aca="false">L4087+K4088</f>
        <v>19</v>
      </c>
    </row>
    <row r="4089" customFormat="false" ht="15" hidden="true" customHeight="true" outlineLevel="0" collapsed="false">
      <c r="K4089" s="0" t="n">
        <f aca="false">IF(A4089="",0,IF(IFERROR(VLOOKUP(A4089,Skills!$A:$M,13,FALSE()),"")="COS",0,IF(OR(I4089="En cours",I4089="À venir",I4089="À planifier"),IF(AND(OR($C$3="Tous",$C$3="",C4089=$C$3),OR($E$3="Tous",$E$3="",I4089=$E$3)),1,0),0)))</f>
        <v>0</v>
      </c>
      <c r="L4089" s="0" t="n">
        <f aca="false">L4088+K4089</f>
        <v>19</v>
      </c>
    </row>
    <row r="4090" customFormat="false" ht="15" hidden="true" customHeight="true" outlineLevel="0" collapsed="false">
      <c r="K4090" s="0" t="n">
        <f aca="false">IF(A4090="",0,IF(IFERROR(VLOOKUP(A4090,Skills!$A:$M,13,FALSE()),"")="COS",0,IF(OR(I4090="En cours",I4090="À venir",I4090="À planifier"),IF(AND(OR($C$3="Tous",$C$3="",C4090=$C$3),OR($E$3="Tous",$E$3="",I4090=$E$3)),1,0),0)))</f>
        <v>0</v>
      </c>
      <c r="L4090" s="0" t="n">
        <f aca="false">L4089+K4090</f>
        <v>19</v>
      </c>
    </row>
    <row r="4091" customFormat="false" ht="15" hidden="true" customHeight="true" outlineLevel="0" collapsed="false">
      <c r="K4091" s="0" t="n">
        <f aca="false">IF(A4091="",0,IF(IFERROR(VLOOKUP(A4091,Skills!$A:$M,13,FALSE()),"")="COS",0,IF(OR(I4091="En cours",I4091="À venir",I4091="À planifier"),IF(AND(OR($C$3="Tous",$C$3="",C4091=$C$3),OR($E$3="Tous",$E$3="",I4091=$E$3)),1,0),0)))</f>
        <v>0</v>
      </c>
      <c r="L4091" s="0" t="n">
        <f aca="false">L4090+K4091</f>
        <v>19</v>
      </c>
    </row>
    <row r="4092" customFormat="false" ht="15" hidden="true" customHeight="true" outlineLevel="0" collapsed="false">
      <c r="K4092" s="0" t="n">
        <f aca="false">IF(A4092="",0,IF(IFERROR(VLOOKUP(A4092,Skills!$A:$M,13,FALSE()),"")="COS",0,IF(OR(I4092="En cours",I4092="À venir",I4092="À planifier"),IF(AND(OR($C$3="Tous",$C$3="",C4092=$C$3),OR($E$3="Tous",$E$3="",I4092=$E$3)),1,0),0)))</f>
        <v>0</v>
      </c>
      <c r="L4092" s="0" t="n">
        <f aca="false">L4091+K4092</f>
        <v>19</v>
      </c>
    </row>
    <row r="4093" customFormat="false" ht="15" hidden="true" customHeight="true" outlineLevel="0" collapsed="false">
      <c r="K4093" s="0" t="n">
        <f aca="false">IF(A4093="",0,IF(IFERROR(VLOOKUP(A4093,Skills!$A:$M,13,FALSE()),"")="COS",0,IF(OR(I4093="En cours",I4093="À venir",I4093="À planifier"),IF(AND(OR($C$3="Tous",$C$3="",C4093=$C$3),OR($E$3="Tous",$E$3="",I4093=$E$3)),1,0),0)))</f>
        <v>0</v>
      </c>
      <c r="L4093" s="0" t="n">
        <f aca="false">L4092+K4093</f>
        <v>19</v>
      </c>
    </row>
    <row r="4094" customFormat="false" ht="15" hidden="true" customHeight="true" outlineLevel="0" collapsed="false">
      <c r="K4094" s="0" t="n">
        <f aca="false">IF(A4094="",0,IF(IFERROR(VLOOKUP(A4094,Skills!$A:$M,13,FALSE()),"")="COS",0,IF(OR(I4094="En cours",I4094="À venir",I4094="À planifier"),IF(AND(OR($C$3="Tous",$C$3="",C4094=$C$3),OR($E$3="Tous",$E$3="",I4094=$E$3)),1,0),0)))</f>
        <v>0</v>
      </c>
      <c r="L4094" s="0" t="n">
        <f aca="false">L4093+K4094</f>
        <v>19</v>
      </c>
    </row>
    <row r="4095" customFormat="false" ht="15" hidden="true" customHeight="true" outlineLevel="0" collapsed="false">
      <c r="K4095" s="0" t="n">
        <f aca="false">IF(A4095="",0,IF(IFERROR(VLOOKUP(A4095,Skills!$A:$M,13,FALSE()),"")="COS",0,IF(OR(I4095="En cours",I4095="À venir",I4095="À planifier"),IF(AND(OR($C$3="Tous",$C$3="",C4095=$C$3),OR($E$3="Tous",$E$3="",I4095=$E$3)),1,0),0)))</f>
        <v>0</v>
      </c>
      <c r="L4095" s="0" t="n">
        <f aca="false">L4094+K4095</f>
        <v>19</v>
      </c>
    </row>
    <row r="4096" customFormat="false" ht="15" hidden="true" customHeight="true" outlineLevel="0" collapsed="false">
      <c r="K4096" s="0" t="n">
        <f aca="false">IF(A4096="",0,IF(IFERROR(VLOOKUP(A4096,Skills!$A:$M,13,FALSE()),"")="COS",0,IF(OR(I4096="En cours",I4096="À venir",I4096="À planifier"),IF(AND(OR($C$3="Tous",$C$3="",C4096=$C$3),OR($E$3="Tous",$E$3="",I4096=$E$3)),1,0),0)))</f>
        <v>0</v>
      </c>
      <c r="L4096" s="0" t="n">
        <f aca="false">L4095+K4096</f>
        <v>19</v>
      </c>
    </row>
    <row r="4097" customFormat="false" ht="15" hidden="true" customHeight="true" outlineLevel="0" collapsed="false">
      <c r="K4097" s="0" t="n">
        <f aca="false">IF(A4097="",0,IF(IFERROR(VLOOKUP(A4097,Skills!$A:$M,13,FALSE()),"")="COS",0,IF(OR(I4097="En cours",I4097="À venir",I4097="À planifier"),IF(AND(OR($C$3="Tous",$C$3="",C4097=$C$3),OR($E$3="Tous",$E$3="",I4097=$E$3)),1,0),0)))</f>
        <v>0</v>
      </c>
      <c r="L4097" s="0" t="n">
        <f aca="false">L4096+K4097</f>
        <v>19</v>
      </c>
    </row>
    <row r="4098" customFormat="false" ht="15" hidden="true" customHeight="true" outlineLevel="0" collapsed="false">
      <c r="K4098" s="0" t="n">
        <f aca="false">IF(A4098="",0,IF(IFERROR(VLOOKUP(A4098,Skills!$A:$M,13,FALSE()),"")="COS",0,IF(OR(I4098="En cours",I4098="À venir",I4098="À planifier"),IF(AND(OR($C$3="Tous",$C$3="",C4098=$C$3),OR($E$3="Tous",$E$3="",I4098=$E$3)),1,0),0)))</f>
        <v>0</v>
      </c>
      <c r="L4098" s="0" t="n">
        <f aca="false">L4097+K4098</f>
        <v>19</v>
      </c>
    </row>
    <row r="4099" customFormat="false" ht="15" hidden="true" customHeight="true" outlineLevel="0" collapsed="false">
      <c r="K4099" s="0" t="n">
        <f aca="false">IF(A4099="",0,IF(IFERROR(VLOOKUP(A4099,Skills!$A:$M,13,FALSE()),"")="COS",0,IF(OR(I4099="En cours",I4099="À venir",I4099="À planifier"),IF(AND(OR($C$3="Tous",$C$3="",C4099=$C$3),OR($E$3="Tous",$E$3="",I4099=$E$3)),1,0),0)))</f>
        <v>0</v>
      </c>
      <c r="L4099" s="0" t="n">
        <f aca="false">L4098+K4099</f>
        <v>19</v>
      </c>
    </row>
    <row r="4100" customFormat="false" ht="15" hidden="true" customHeight="true" outlineLevel="0" collapsed="false">
      <c r="K4100" s="0" t="n">
        <f aca="false">IF(A4100="",0,IF(IFERROR(VLOOKUP(A4100,Skills!$A:$M,13,FALSE()),"")="COS",0,IF(OR(I4100="En cours",I4100="À venir",I4100="À planifier"),IF(AND(OR($C$3="Tous",$C$3="",C4100=$C$3),OR($E$3="Tous",$E$3="",I4100=$E$3)),1,0),0)))</f>
        <v>0</v>
      </c>
      <c r="L4100" s="0" t="n">
        <f aca="false">L4099+K4100</f>
        <v>19</v>
      </c>
    </row>
    <row r="4101" customFormat="false" ht="15" hidden="true" customHeight="true" outlineLevel="0" collapsed="false">
      <c r="K4101" s="0" t="n">
        <f aca="false">IF(A4101="",0,IF(IFERROR(VLOOKUP(A4101,Skills!$A:$M,13,FALSE()),"")="COS",0,IF(OR(I4101="En cours",I4101="À venir",I4101="À planifier"),IF(AND(OR($C$3="Tous",$C$3="",C4101=$C$3),OR($E$3="Tous",$E$3="",I4101=$E$3)),1,0),0)))</f>
        <v>0</v>
      </c>
      <c r="L4101" s="0" t="n">
        <f aca="false">L4100+K4101</f>
        <v>19</v>
      </c>
    </row>
    <row r="4102" customFormat="false" ht="15" hidden="true" customHeight="true" outlineLevel="0" collapsed="false">
      <c r="K4102" s="0" t="n">
        <f aca="false">IF(A4102="",0,IF(IFERROR(VLOOKUP(A4102,Skills!$A:$M,13,FALSE()),"")="COS",0,IF(OR(I4102="En cours",I4102="À venir",I4102="À planifier"),IF(AND(OR($C$3="Tous",$C$3="",C4102=$C$3),OR($E$3="Tous",$E$3="",I4102=$E$3)),1,0),0)))</f>
        <v>0</v>
      </c>
      <c r="L4102" s="0" t="n">
        <f aca="false">L4101+K4102</f>
        <v>19</v>
      </c>
    </row>
    <row r="4103" customFormat="false" ht="15" hidden="true" customHeight="true" outlineLevel="0" collapsed="false">
      <c r="K4103" s="0" t="n">
        <f aca="false">IF(A4103="",0,IF(IFERROR(VLOOKUP(A4103,Skills!$A:$M,13,FALSE()),"")="COS",0,IF(OR(I4103="En cours",I4103="À venir",I4103="À planifier"),IF(AND(OR($C$3="Tous",$C$3="",C4103=$C$3),OR($E$3="Tous",$E$3="",I4103=$E$3)),1,0),0)))</f>
        <v>0</v>
      </c>
      <c r="L4103" s="0" t="n">
        <f aca="false">L4102+K4103</f>
        <v>19</v>
      </c>
    </row>
    <row r="4104" customFormat="false" ht="15" hidden="true" customHeight="true" outlineLevel="0" collapsed="false">
      <c r="K4104" s="0" t="n">
        <f aca="false">IF(A4104="",0,IF(IFERROR(VLOOKUP(A4104,Skills!$A:$M,13,FALSE()),"")="COS",0,IF(OR(I4104="En cours",I4104="À venir",I4104="À planifier"),IF(AND(OR($C$3="Tous",$C$3="",C4104=$C$3),OR($E$3="Tous",$E$3="",I4104=$E$3)),1,0),0)))</f>
        <v>0</v>
      </c>
      <c r="L4104" s="0" t="n">
        <f aca="false">L4103+K4104</f>
        <v>19</v>
      </c>
    </row>
    <row r="4105" customFormat="false" ht="15" hidden="true" customHeight="true" outlineLevel="0" collapsed="false">
      <c r="K4105" s="0" t="n">
        <f aca="false">IF(A4105="",0,IF(IFERROR(VLOOKUP(A4105,Skills!$A:$M,13,FALSE()),"")="COS",0,IF(OR(I4105="En cours",I4105="À venir",I4105="À planifier"),IF(AND(OR($C$3="Tous",$C$3="",C4105=$C$3),OR($E$3="Tous",$E$3="",I4105=$E$3)),1,0),0)))</f>
        <v>0</v>
      </c>
      <c r="L4105" s="0" t="n">
        <f aca="false">L4104+K4105</f>
        <v>19</v>
      </c>
    </row>
    <row r="4106" customFormat="false" ht="15" hidden="true" customHeight="true" outlineLevel="0" collapsed="false">
      <c r="K4106" s="0" t="n">
        <f aca="false">IF(A4106="",0,IF(IFERROR(VLOOKUP(A4106,Skills!$A:$M,13,FALSE()),"")="COS",0,IF(OR(I4106="En cours",I4106="À venir",I4106="À planifier"),IF(AND(OR($C$3="Tous",$C$3="",C4106=$C$3),OR($E$3="Tous",$E$3="",I4106=$E$3)),1,0),0)))</f>
        <v>0</v>
      </c>
      <c r="L4106" s="0" t="n">
        <f aca="false">L4105+K4106</f>
        <v>19</v>
      </c>
    </row>
    <row r="4107" customFormat="false" ht="15" hidden="true" customHeight="true" outlineLevel="0" collapsed="false">
      <c r="K4107" s="0" t="n">
        <f aca="false">IF(A4107="",0,IF(IFERROR(VLOOKUP(A4107,Skills!$A:$M,13,FALSE()),"")="COS",0,IF(OR(I4107="En cours",I4107="À venir",I4107="À planifier"),IF(AND(OR($C$3="Tous",$C$3="",C4107=$C$3),OR($E$3="Tous",$E$3="",I4107=$E$3)),1,0),0)))</f>
        <v>0</v>
      </c>
      <c r="L4107" s="0" t="n">
        <f aca="false">L4106+K4107</f>
        <v>19</v>
      </c>
    </row>
    <row r="4108" customFormat="false" ht="15" hidden="true" customHeight="true" outlineLevel="0" collapsed="false">
      <c r="K4108" s="0" t="n">
        <f aca="false">IF(A4108="",0,IF(IFERROR(VLOOKUP(A4108,Skills!$A:$M,13,FALSE()),"")="COS",0,IF(OR(I4108="En cours",I4108="À venir",I4108="À planifier"),IF(AND(OR($C$3="Tous",$C$3="",C4108=$C$3),OR($E$3="Tous",$E$3="",I4108=$E$3)),1,0),0)))</f>
        <v>0</v>
      </c>
      <c r="L4108" s="0" t="n">
        <f aca="false">L4107+K4108</f>
        <v>19</v>
      </c>
    </row>
    <row r="4109" customFormat="false" ht="15" hidden="true" customHeight="true" outlineLevel="0" collapsed="false">
      <c r="K4109" s="0" t="n">
        <f aca="false">IF(A4109="",0,IF(IFERROR(VLOOKUP(A4109,Skills!$A:$M,13,FALSE()),"")="COS",0,IF(OR(I4109="En cours",I4109="À venir",I4109="À planifier"),IF(AND(OR($C$3="Tous",$C$3="",C4109=$C$3),OR($E$3="Tous",$E$3="",I4109=$E$3)),1,0),0)))</f>
        <v>0</v>
      </c>
      <c r="L4109" s="0" t="n">
        <f aca="false">L4108+K4109</f>
        <v>19</v>
      </c>
    </row>
    <row r="4110" customFormat="false" ht="15" hidden="true" customHeight="true" outlineLevel="0" collapsed="false">
      <c r="K4110" s="0" t="n">
        <f aca="false">IF(A4110="",0,IF(IFERROR(VLOOKUP(A4110,Skills!$A:$M,13,FALSE()),"")="COS",0,IF(OR(I4110="En cours",I4110="À venir",I4110="À planifier"),IF(AND(OR($C$3="Tous",$C$3="",C4110=$C$3),OR($E$3="Tous",$E$3="",I4110=$E$3)),1,0),0)))</f>
        <v>0</v>
      </c>
      <c r="L4110" s="0" t="n">
        <f aca="false">L4109+K4110</f>
        <v>19</v>
      </c>
    </row>
    <row r="4111" customFormat="false" ht="15" hidden="true" customHeight="true" outlineLevel="0" collapsed="false">
      <c r="K4111" s="0" t="n">
        <f aca="false">IF(A4111="",0,IF(IFERROR(VLOOKUP(A4111,Skills!$A:$M,13,FALSE()),"")="COS",0,IF(OR(I4111="En cours",I4111="À venir",I4111="À planifier"),IF(AND(OR($C$3="Tous",$C$3="",C4111=$C$3),OR($E$3="Tous",$E$3="",I4111=$E$3)),1,0),0)))</f>
        <v>0</v>
      </c>
      <c r="L4111" s="0" t="n">
        <f aca="false">L4110+K4111</f>
        <v>19</v>
      </c>
    </row>
    <row r="4112" customFormat="false" ht="15" hidden="true" customHeight="true" outlineLevel="0" collapsed="false">
      <c r="K4112" s="0" t="n">
        <f aca="false">IF(A4112="",0,IF(IFERROR(VLOOKUP(A4112,Skills!$A:$M,13,FALSE()),"")="COS",0,IF(OR(I4112="En cours",I4112="À venir",I4112="À planifier"),IF(AND(OR($C$3="Tous",$C$3="",C4112=$C$3),OR($E$3="Tous",$E$3="",I4112=$E$3)),1,0),0)))</f>
        <v>0</v>
      </c>
      <c r="L4112" s="0" t="n">
        <f aca="false">L4111+K4112</f>
        <v>19</v>
      </c>
    </row>
    <row r="4113" customFormat="false" ht="15" hidden="true" customHeight="true" outlineLevel="0" collapsed="false">
      <c r="K4113" s="0" t="n">
        <f aca="false">IF(A4113="",0,IF(IFERROR(VLOOKUP(A4113,Skills!$A:$M,13,FALSE()),"")="COS",0,IF(OR(I4113="En cours",I4113="À venir",I4113="À planifier"),IF(AND(OR($C$3="Tous",$C$3="",C4113=$C$3),OR($E$3="Tous",$E$3="",I4113=$E$3)),1,0),0)))</f>
        <v>0</v>
      </c>
      <c r="L4113" s="0" t="n">
        <f aca="false">L4112+K4113</f>
        <v>19</v>
      </c>
    </row>
    <row r="4114" customFormat="false" ht="15" hidden="true" customHeight="true" outlineLevel="0" collapsed="false">
      <c r="K4114" s="0" t="n">
        <f aca="false">IF(A4114="",0,IF(IFERROR(VLOOKUP(A4114,Skills!$A:$M,13,FALSE()),"")="COS",0,IF(OR(I4114="En cours",I4114="À venir",I4114="À planifier"),IF(AND(OR($C$3="Tous",$C$3="",C4114=$C$3),OR($E$3="Tous",$E$3="",I4114=$E$3)),1,0),0)))</f>
        <v>0</v>
      </c>
      <c r="L4114" s="0" t="n">
        <f aca="false">L4113+K4114</f>
        <v>19</v>
      </c>
    </row>
    <row r="4115" customFormat="false" ht="15" hidden="true" customHeight="true" outlineLevel="0" collapsed="false">
      <c r="K4115" s="0" t="n">
        <f aca="false">IF(A4115="",0,IF(IFERROR(VLOOKUP(A4115,Skills!$A:$M,13,FALSE()),"")="COS",0,IF(OR(I4115="En cours",I4115="À venir",I4115="À planifier"),IF(AND(OR($C$3="Tous",$C$3="",C4115=$C$3),OR($E$3="Tous",$E$3="",I4115=$E$3)),1,0),0)))</f>
        <v>0</v>
      </c>
      <c r="L4115" s="0" t="n">
        <f aca="false">L4114+K4115</f>
        <v>19</v>
      </c>
    </row>
    <row r="4116" customFormat="false" ht="15" hidden="true" customHeight="true" outlineLevel="0" collapsed="false">
      <c r="K4116" s="0" t="n">
        <f aca="false">IF(A4116="",0,IF(IFERROR(VLOOKUP(A4116,Skills!$A:$M,13,FALSE()),"")="COS",0,IF(OR(I4116="En cours",I4116="À venir",I4116="À planifier"),IF(AND(OR($C$3="Tous",$C$3="",C4116=$C$3),OR($E$3="Tous",$E$3="",I4116=$E$3)),1,0),0)))</f>
        <v>0</v>
      </c>
      <c r="L4116" s="0" t="n">
        <f aca="false">L4115+K4116</f>
        <v>19</v>
      </c>
    </row>
    <row r="4117" customFormat="false" ht="15" hidden="true" customHeight="true" outlineLevel="0" collapsed="false">
      <c r="K4117" s="0" t="n">
        <f aca="false">IF(A4117="",0,IF(IFERROR(VLOOKUP(A4117,Skills!$A:$M,13,FALSE()),"")="COS",0,IF(OR(I4117="En cours",I4117="À venir",I4117="À planifier"),IF(AND(OR($C$3="Tous",$C$3="",C4117=$C$3),OR($E$3="Tous",$E$3="",I4117=$E$3)),1,0),0)))</f>
        <v>0</v>
      </c>
      <c r="L4117" s="0" t="n">
        <f aca="false">L4116+K4117</f>
        <v>19</v>
      </c>
    </row>
    <row r="4118" customFormat="false" ht="15" hidden="true" customHeight="true" outlineLevel="0" collapsed="false">
      <c r="K4118" s="0" t="n">
        <f aca="false">IF(A4118="",0,IF(IFERROR(VLOOKUP(A4118,Skills!$A:$M,13,FALSE()),"")="COS",0,IF(OR(I4118="En cours",I4118="À venir",I4118="À planifier"),IF(AND(OR($C$3="Tous",$C$3="",C4118=$C$3),OR($E$3="Tous",$E$3="",I4118=$E$3)),1,0),0)))</f>
        <v>0</v>
      </c>
      <c r="L4118" s="0" t="n">
        <f aca="false">L4117+K4118</f>
        <v>19</v>
      </c>
    </row>
    <row r="4119" customFormat="false" ht="15" hidden="true" customHeight="true" outlineLevel="0" collapsed="false">
      <c r="K4119" s="0" t="n">
        <f aca="false">IF(A4119="",0,IF(IFERROR(VLOOKUP(A4119,Skills!$A:$M,13,FALSE()),"")="COS",0,IF(OR(I4119="En cours",I4119="À venir",I4119="À planifier"),IF(AND(OR($C$3="Tous",$C$3="",C4119=$C$3),OR($E$3="Tous",$E$3="",I4119=$E$3)),1,0),0)))</f>
        <v>0</v>
      </c>
      <c r="L4119" s="0" t="n">
        <f aca="false">L4118+K4119</f>
        <v>19</v>
      </c>
    </row>
    <row r="4120" customFormat="false" ht="15" hidden="true" customHeight="true" outlineLevel="0" collapsed="false">
      <c r="K4120" s="0" t="n">
        <f aca="false">IF(A4120="",0,IF(IFERROR(VLOOKUP(A4120,Skills!$A:$M,13,FALSE()),"")="COS",0,IF(OR(I4120="En cours",I4120="À venir",I4120="À planifier"),IF(AND(OR($C$3="Tous",$C$3="",C4120=$C$3),OR($E$3="Tous",$E$3="",I4120=$E$3)),1,0),0)))</f>
        <v>0</v>
      </c>
      <c r="L4120" s="0" t="n">
        <f aca="false">L4119+K4120</f>
        <v>19</v>
      </c>
    </row>
    <row r="4121" customFormat="false" ht="15" hidden="true" customHeight="true" outlineLevel="0" collapsed="false">
      <c r="K4121" s="0" t="n">
        <f aca="false">IF(A4121="",0,IF(IFERROR(VLOOKUP(A4121,Skills!$A:$M,13,FALSE()),"")="COS",0,IF(OR(I4121="En cours",I4121="À venir",I4121="À planifier"),IF(AND(OR($C$3="Tous",$C$3="",C4121=$C$3),OR($E$3="Tous",$E$3="",I4121=$E$3)),1,0),0)))</f>
        <v>0</v>
      </c>
      <c r="L4121" s="0" t="n">
        <f aca="false">L4120+K4121</f>
        <v>19</v>
      </c>
    </row>
    <row r="4122" customFormat="false" ht="15" hidden="true" customHeight="true" outlineLevel="0" collapsed="false">
      <c r="K4122" s="0" t="n">
        <f aca="false">IF(A4122="",0,IF(IFERROR(VLOOKUP(A4122,Skills!$A:$M,13,FALSE()),"")="COS",0,IF(OR(I4122="En cours",I4122="À venir",I4122="À planifier"),IF(AND(OR($C$3="Tous",$C$3="",C4122=$C$3),OR($E$3="Tous",$E$3="",I4122=$E$3)),1,0),0)))</f>
        <v>0</v>
      </c>
      <c r="L4122" s="0" t="n">
        <f aca="false">L4121+K4122</f>
        <v>19</v>
      </c>
    </row>
    <row r="4123" customFormat="false" ht="15" hidden="true" customHeight="true" outlineLevel="0" collapsed="false">
      <c r="K4123" s="0" t="n">
        <f aca="false">IF(A4123="",0,IF(IFERROR(VLOOKUP(A4123,Skills!$A:$M,13,FALSE()),"")="COS",0,IF(OR(I4123="En cours",I4123="À venir",I4123="À planifier"),IF(AND(OR($C$3="Tous",$C$3="",C4123=$C$3),OR($E$3="Tous",$E$3="",I4123=$E$3)),1,0),0)))</f>
        <v>0</v>
      </c>
      <c r="L4123" s="0" t="n">
        <f aca="false">L4122+K4123</f>
        <v>19</v>
      </c>
    </row>
    <row r="4124" customFormat="false" ht="15" hidden="true" customHeight="true" outlineLevel="0" collapsed="false">
      <c r="K4124" s="0" t="n">
        <f aca="false">IF(A4124="",0,IF(IFERROR(VLOOKUP(A4124,Skills!$A:$M,13,FALSE()),"")="COS",0,IF(OR(I4124="En cours",I4124="À venir",I4124="À planifier"),IF(AND(OR($C$3="Tous",$C$3="",C4124=$C$3),OR($E$3="Tous",$E$3="",I4124=$E$3)),1,0),0)))</f>
        <v>0</v>
      </c>
      <c r="L4124" s="0" t="n">
        <f aca="false">L4123+K4124</f>
        <v>19</v>
      </c>
    </row>
    <row r="4125" customFormat="false" ht="15" hidden="true" customHeight="true" outlineLevel="0" collapsed="false">
      <c r="K4125" s="0" t="n">
        <f aca="false">IF(A4125="",0,IF(IFERROR(VLOOKUP(A4125,Skills!$A:$M,13,FALSE()),"")="COS",0,IF(OR(I4125="En cours",I4125="À venir",I4125="À planifier"),IF(AND(OR($C$3="Tous",$C$3="",C4125=$C$3),OR($E$3="Tous",$E$3="",I4125=$E$3)),1,0),0)))</f>
        <v>0</v>
      </c>
      <c r="L4125" s="0" t="n">
        <f aca="false">L4124+K4125</f>
        <v>19</v>
      </c>
    </row>
    <row r="4126" customFormat="false" ht="15" hidden="true" customHeight="true" outlineLevel="0" collapsed="false">
      <c r="K4126" s="0" t="n">
        <f aca="false">IF(A4126="",0,IF(IFERROR(VLOOKUP(A4126,Skills!$A:$M,13,FALSE()),"")="COS",0,IF(OR(I4126="En cours",I4126="À venir",I4126="À planifier"),IF(AND(OR($C$3="Tous",$C$3="",C4126=$C$3),OR($E$3="Tous",$E$3="",I4126=$E$3)),1,0),0)))</f>
        <v>0</v>
      </c>
      <c r="L4126" s="0" t="n">
        <f aca="false">L4125+K4126</f>
        <v>19</v>
      </c>
    </row>
    <row r="4127" customFormat="false" ht="15" hidden="true" customHeight="true" outlineLevel="0" collapsed="false">
      <c r="K4127" s="0" t="n">
        <f aca="false">IF(A4127="",0,IF(IFERROR(VLOOKUP(A4127,Skills!$A:$M,13,FALSE()),"")="COS",0,IF(OR(I4127="En cours",I4127="À venir",I4127="À planifier"),IF(AND(OR($C$3="Tous",$C$3="",C4127=$C$3),OR($E$3="Tous",$E$3="",I4127=$E$3)),1,0),0)))</f>
        <v>0</v>
      </c>
      <c r="L4127" s="0" t="n">
        <f aca="false">L4126+K4127</f>
        <v>19</v>
      </c>
    </row>
    <row r="4128" customFormat="false" ht="15" hidden="true" customHeight="true" outlineLevel="0" collapsed="false">
      <c r="K4128" s="0" t="n">
        <f aca="false">IF(A4128="",0,IF(IFERROR(VLOOKUP(A4128,Skills!$A:$M,13,FALSE()),"")="COS",0,IF(OR(I4128="En cours",I4128="À venir",I4128="À planifier"),IF(AND(OR($C$3="Tous",$C$3="",C4128=$C$3),OR($E$3="Tous",$E$3="",I4128=$E$3)),1,0),0)))</f>
        <v>0</v>
      </c>
      <c r="L4128" s="0" t="n">
        <f aca="false">L4127+K4128</f>
        <v>19</v>
      </c>
    </row>
    <row r="4129" customFormat="false" ht="15" hidden="true" customHeight="true" outlineLevel="0" collapsed="false">
      <c r="K4129" s="0" t="n">
        <f aca="false">IF(A4129="",0,IF(IFERROR(VLOOKUP(A4129,Skills!$A:$M,13,FALSE()),"")="COS",0,IF(OR(I4129="En cours",I4129="À venir",I4129="À planifier"),IF(AND(OR($C$3="Tous",$C$3="",C4129=$C$3),OR($E$3="Tous",$E$3="",I4129=$E$3)),1,0),0)))</f>
        <v>0</v>
      </c>
      <c r="L4129" s="0" t="n">
        <f aca="false">L4128+K4129</f>
        <v>19</v>
      </c>
    </row>
    <row r="4130" customFormat="false" ht="15" hidden="true" customHeight="true" outlineLevel="0" collapsed="false">
      <c r="K4130" s="0" t="n">
        <f aca="false">IF(A4130="",0,IF(IFERROR(VLOOKUP(A4130,Skills!$A:$M,13,FALSE()),"")="COS",0,IF(OR(I4130="En cours",I4130="À venir",I4130="À planifier"),IF(AND(OR($C$3="Tous",$C$3="",C4130=$C$3),OR($E$3="Tous",$E$3="",I4130=$E$3)),1,0),0)))</f>
        <v>0</v>
      </c>
      <c r="L4130" s="0" t="n">
        <f aca="false">L4129+K4130</f>
        <v>19</v>
      </c>
    </row>
    <row r="4131" customFormat="false" ht="15" hidden="true" customHeight="true" outlineLevel="0" collapsed="false">
      <c r="K4131" s="0" t="n">
        <f aca="false">IF(A4131="",0,IF(IFERROR(VLOOKUP(A4131,Skills!$A:$M,13,FALSE()),"")="COS",0,IF(OR(I4131="En cours",I4131="À venir",I4131="À planifier"),IF(AND(OR($C$3="Tous",$C$3="",C4131=$C$3),OR($E$3="Tous",$E$3="",I4131=$E$3)),1,0),0)))</f>
        <v>0</v>
      </c>
      <c r="L4131" s="0" t="n">
        <f aca="false">L4130+K4131</f>
        <v>19</v>
      </c>
    </row>
    <row r="4132" customFormat="false" ht="15" hidden="true" customHeight="true" outlineLevel="0" collapsed="false">
      <c r="K4132" s="0" t="n">
        <f aca="false">IF(A4132="",0,IF(IFERROR(VLOOKUP(A4132,Skills!$A:$M,13,FALSE()),"")="COS",0,IF(OR(I4132="En cours",I4132="À venir",I4132="À planifier"),IF(AND(OR($C$3="Tous",$C$3="",C4132=$C$3),OR($E$3="Tous",$E$3="",I4132=$E$3)),1,0),0)))</f>
        <v>0</v>
      </c>
      <c r="L4132" s="0" t="n">
        <f aca="false">L4131+K4132</f>
        <v>19</v>
      </c>
    </row>
    <row r="4133" customFormat="false" ht="15" hidden="true" customHeight="true" outlineLevel="0" collapsed="false">
      <c r="K4133" s="0" t="n">
        <f aca="false">IF(A4133="",0,IF(IFERROR(VLOOKUP(A4133,Skills!$A:$M,13,FALSE()),"")="COS",0,IF(OR(I4133="En cours",I4133="À venir",I4133="À planifier"),IF(AND(OR($C$3="Tous",$C$3="",C4133=$C$3),OR($E$3="Tous",$E$3="",I4133=$E$3)),1,0),0)))</f>
        <v>0</v>
      </c>
      <c r="L4133" s="0" t="n">
        <f aca="false">L4132+K4133</f>
        <v>19</v>
      </c>
    </row>
    <row r="4134" customFormat="false" ht="15" hidden="true" customHeight="true" outlineLevel="0" collapsed="false">
      <c r="K4134" s="0" t="n">
        <f aca="false">IF(A4134="",0,IF(IFERROR(VLOOKUP(A4134,Skills!$A:$M,13,FALSE()),"")="COS",0,IF(OR(I4134="En cours",I4134="À venir",I4134="À planifier"),IF(AND(OR($C$3="Tous",$C$3="",C4134=$C$3),OR($E$3="Tous",$E$3="",I4134=$E$3)),1,0),0)))</f>
        <v>0</v>
      </c>
      <c r="L4134" s="0" t="n">
        <f aca="false">L4133+K4134</f>
        <v>19</v>
      </c>
    </row>
    <row r="4135" customFormat="false" ht="15" hidden="true" customHeight="true" outlineLevel="0" collapsed="false">
      <c r="K4135" s="0" t="n">
        <f aca="false">IF(A4135="",0,IF(IFERROR(VLOOKUP(A4135,Skills!$A:$M,13,FALSE()),"")="COS",0,IF(OR(I4135="En cours",I4135="À venir",I4135="À planifier"),IF(AND(OR($C$3="Tous",$C$3="",C4135=$C$3),OR($E$3="Tous",$E$3="",I4135=$E$3)),1,0),0)))</f>
        <v>0</v>
      </c>
      <c r="L4135" s="0" t="n">
        <f aca="false">L4134+K4135</f>
        <v>19</v>
      </c>
    </row>
    <row r="4136" customFormat="false" ht="15" hidden="true" customHeight="true" outlineLevel="0" collapsed="false">
      <c r="K4136" s="0" t="n">
        <f aca="false">IF(A4136="",0,IF(IFERROR(VLOOKUP(A4136,Skills!$A:$M,13,FALSE()),"")="COS",0,IF(OR(I4136="En cours",I4136="À venir",I4136="À planifier"),IF(AND(OR($C$3="Tous",$C$3="",C4136=$C$3),OR($E$3="Tous",$E$3="",I4136=$E$3)),1,0),0)))</f>
        <v>0</v>
      </c>
      <c r="L4136" s="0" t="n">
        <f aca="false">L4135+K4136</f>
        <v>19</v>
      </c>
    </row>
    <row r="4137" customFormat="false" ht="15" hidden="true" customHeight="true" outlineLevel="0" collapsed="false">
      <c r="K4137" s="0" t="n">
        <f aca="false">IF(A4137="",0,IF(IFERROR(VLOOKUP(A4137,Skills!$A:$M,13,FALSE()),"")="COS",0,IF(OR(I4137="En cours",I4137="À venir",I4137="À planifier"),IF(AND(OR($C$3="Tous",$C$3="",C4137=$C$3),OR($E$3="Tous",$E$3="",I4137=$E$3)),1,0),0)))</f>
        <v>0</v>
      </c>
      <c r="L4137" s="0" t="n">
        <f aca="false">L4136+K4137</f>
        <v>19</v>
      </c>
    </row>
    <row r="4138" customFormat="false" ht="15" hidden="true" customHeight="true" outlineLevel="0" collapsed="false">
      <c r="K4138" s="0" t="n">
        <f aca="false">IF(A4138="",0,IF(IFERROR(VLOOKUP(A4138,Skills!$A:$M,13,FALSE()),"")="COS",0,IF(OR(I4138="En cours",I4138="À venir",I4138="À planifier"),IF(AND(OR($C$3="Tous",$C$3="",C4138=$C$3),OR($E$3="Tous",$E$3="",I4138=$E$3)),1,0),0)))</f>
        <v>0</v>
      </c>
      <c r="L4138" s="0" t="n">
        <f aca="false">L4137+K4138</f>
        <v>19</v>
      </c>
    </row>
    <row r="4139" customFormat="false" ht="15" hidden="true" customHeight="true" outlineLevel="0" collapsed="false">
      <c r="K4139" s="0" t="n">
        <f aca="false">IF(A4139="",0,IF(IFERROR(VLOOKUP(A4139,Skills!$A:$M,13,FALSE()),"")="COS",0,IF(OR(I4139="En cours",I4139="À venir",I4139="À planifier"),IF(AND(OR($C$3="Tous",$C$3="",C4139=$C$3),OR($E$3="Tous",$E$3="",I4139=$E$3)),1,0),0)))</f>
        <v>0</v>
      </c>
      <c r="L4139" s="0" t="n">
        <f aca="false">L4138+K4139</f>
        <v>19</v>
      </c>
    </row>
    <row r="4140" customFormat="false" ht="15" hidden="true" customHeight="true" outlineLevel="0" collapsed="false">
      <c r="K4140" s="0" t="n">
        <f aca="false">IF(A4140="",0,IF(IFERROR(VLOOKUP(A4140,Skills!$A:$M,13,FALSE()),"")="COS",0,IF(OR(I4140="En cours",I4140="À venir",I4140="À planifier"),IF(AND(OR($C$3="Tous",$C$3="",C4140=$C$3),OR($E$3="Tous",$E$3="",I4140=$E$3)),1,0),0)))</f>
        <v>0</v>
      </c>
      <c r="L4140" s="0" t="n">
        <f aca="false">L4139+K4140</f>
        <v>19</v>
      </c>
    </row>
    <row r="4141" customFormat="false" ht="15" hidden="true" customHeight="true" outlineLevel="0" collapsed="false">
      <c r="K4141" s="0" t="n">
        <f aca="false">IF(A4141="",0,IF(IFERROR(VLOOKUP(A4141,Skills!$A:$M,13,FALSE()),"")="COS",0,IF(OR(I4141="En cours",I4141="À venir",I4141="À planifier"),IF(AND(OR($C$3="Tous",$C$3="",C4141=$C$3),OR($E$3="Tous",$E$3="",I4141=$E$3)),1,0),0)))</f>
        <v>0</v>
      </c>
      <c r="L4141" s="0" t="n">
        <f aca="false">L4140+K4141</f>
        <v>19</v>
      </c>
    </row>
    <row r="4142" customFormat="false" ht="15" hidden="true" customHeight="true" outlineLevel="0" collapsed="false">
      <c r="K4142" s="0" t="n">
        <f aca="false">IF(A4142="",0,IF(IFERROR(VLOOKUP(A4142,Skills!$A:$M,13,FALSE()),"")="COS",0,IF(OR(I4142="En cours",I4142="À venir",I4142="À planifier"),IF(AND(OR($C$3="Tous",$C$3="",C4142=$C$3),OR($E$3="Tous",$E$3="",I4142=$E$3)),1,0),0)))</f>
        <v>0</v>
      </c>
      <c r="L4142" s="0" t="n">
        <f aca="false">L4141+K4142</f>
        <v>19</v>
      </c>
    </row>
    <row r="4143" customFormat="false" ht="15" hidden="true" customHeight="true" outlineLevel="0" collapsed="false">
      <c r="K4143" s="0" t="n">
        <f aca="false">IF(A4143="",0,IF(IFERROR(VLOOKUP(A4143,Skills!$A:$M,13,FALSE()),"")="COS",0,IF(OR(I4143="En cours",I4143="À venir",I4143="À planifier"),IF(AND(OR($C$3="Tous",$C$3="",C4143=$C$3),OR($E$3="Tous",$E$3="",I4143=$E$3)),1,0),0)))</f>
        <v>0</v>
      </c>
      <c r="L4143" s="0" t="n">
        <f aca="false">L4142+K4143</f>
        <v>19</v>
      </c>
    </row>
    <row r="4144" customFormat="false" ht="15" hidden="true" customHeight="true" outlineLevel="0" collapsed="false">
      <c r="K4144" s="0" t="n">
        <f aca="false">IF(A4144="",0,IF(IFERROR(VLOOKUP(A4144,Skills!$A:$M,13,FALSE()),"")="COS",0,IF(OR(I4144="En cours",I4144="À venir",I4144="À planifier"),IF(AND(OR($C$3="Tous",$C$3="",C4144=$C$3),OR($E$3="Tous",$E$3="",I4144=$E$3)),1,0),0)))</f>
        <v>0</v>
      </c>
      <c r="L4144" s="0" t="n">
        <f aca="false">L4143+K4144</f>
        <v>19</v>
      </c>
    </row>
    <row r="4145" customFormat="false" ht="15" hidden="true" customHeight="true" outlineLevel="0" collapsed="false">
      <c r="K4145" s="0" t="n">
        <f aca="false">IF(A4145="",0,IF(IFERROR(VLOOKUP(A4145,Skills!$A:$M,13,FALSE()),"")="COS",0,IF(OR(I4145="En cours",I4145="À venir",I4145="À planifier"),IF(AND(OR($C$3="Tous",$C$3="",C4145=$C$3),OR($E$3="Tous",$E$3="",I4145=$E$3)),1,0),0)))</f>
        <v>0</v>
      </c>
      <c r="L4145" s="0" t="n">
        <f aca="false">L4144+K4145</f>
        <v>19</v>
      </c>
    </row>
    <row r="4146" customFormat="false" ht="15" hidden="true" customHeight="true" outlineLevel="0" collapsed="false">
      <c r="K4146" s="0" t="n">
        <f aca="false">IF(A4146="",0,IF(IFERROR(VLOOKUP(A4146,Skills!$A:$M,13,FALSE()),"")="COS",0,IF(OR(I4146="En cours",I4146="À venir",I4146="À planifier"),IF(AND(OR($C$3="Tous",$C$3="",C4146=$C$3),OR($E$3="Tous",$E$3="",I4146=$E$3)),1,0),0)))</f>
        <v>0</v>
      </c>
      <c r="L4146" s="0" t="n">
        <f aca="false">L4145+K4146</f>
        <v>19</v>
      </c>
    </row>
    <row r="4147" customFormat="false" ht="15" hidden="true" customHeight="true" outlineLevel="0" collapsed="false">
      <c r="K4147" s="0" t="n">
        <f aca="false">IF(A4147="",0,IF(IFERROR(VLOOKUP(A4147,Skills!$A:$M,13,FALSE()),"")="COS",0,IF(OR(I4147="En cours",I4147="À venir",I4147="À planifier"),IF(AND(OR($C$3="Tous",$C$3="",C4147=$C$3),OR($E$3="Tous",$E$3="",I4147=$E$3)),1,0),0)))</f>
        <v>0</v>
      </c>
      <c r="L4147" s="0" t="n">
        <f aca="false">L4146+K4147</f>
        <v>19</v>
      </c>
    </row>
    <row r="4148" customFormat="false" ht="15" hidden="true" customHeight="true" outlineLevel="0" collapsed="false">
      <c r="K4148" s="0" t="n">
        <f aca="false">IF(A4148="",0,IF(IFERROR(VLOOKUP(A4148,Skills!$A:$M,13,FALSE()),"")="COS",0,IF(OR(I4148="En cours",I4148="À venir",I4148="À planifier"),IF(AND(OR($C$3="Tous",$C$3="",C4148=$C$3),OR($E$3="Tous",$E$3="",I4148=$E$3)),1,0),0)))</f>
        <v>0</v>
      </c>
      <c r="L4148" s="0" t="n">
        <f aca="false">L4147+K4148</f>
        <v>19</v>
      </c>
    </row>
    <row r="4149" customFormat="false" ht="15" hidden="true" customHeight="true" outlineLevel="0" collapsed="false">
      <c r="K4149" s="0" t="n">
        <f aca="false">IF(A4149="",0,IF(IFERROR(VLOOKUP(A4149,Skills!$A:$M,13,FALSE()),"")="COS",0,IF(OR(I4149="En cours",I4149="À venir",I4149="À planifier"),IF(AND(OR($C$3="Tous",$C$3="",C4149=$C$3),OR($E$3="Tous",$E$3="",I4149=$E$3)),1,0),0)))</f>
        <v>0</v>
      </c>
      <c r="L4149" s="0" t="n">
        <f aca="false">L4148+K4149</f>
        <v>19</v>
      </c>
    </row>
    <row r="4150" customFormat="false" ht="15" hidden="true" customHeight="true" outlineLevel="0" collapsed="false">
      <c r="K4150" s="0" t="n">
        <f aca="false">IF(A4150="",0,IF(IFERROR(VLOOKUP(A4150,Skills!$A:$M,13,FALSE()),"")="COS",0,IF(OR(I4150="En cours",I4150="À venir",I4150="À planifier"),IF(AND(OR($C$3="Tous",$C$3="",C4150=$C$3),OR($E$3="Tous",$E$3="",I4150=$E$3)),1,0),0)))</f>
        <v>0</v>
      </c>
      <c r="L4150" s="0" t="n">
        <f aca="false">L4149+K4150</f>
        <v>19</v>
      </c>
    </row>
    <row r="4151" customFormat="false" ht="15" hidden="true" customHeight="true" outlineLevel="0" collapsed="false">
      <c r="K4151" s="0" t="n">
        <f aca="false">IF(A4151="",0,IF(IFERROR(VLOOKUP(A4151,Skills!$A:$M,13,FALSE()),"")="COS",0,IF(OR(I4151="En cours",I4151="À venir",I4151="À planifier"),IF(AND(OR($C$3="Tous",$C$3="",C4151=$C$3),OR($E$3="Tous",$E$3="",I4151=$E$3)),1,0),0)))</f>
        <v>0</v>
      </c>
      <c r="L4151" s="0" t="n">
        <f aca="false">L4150+K4151</f>
        <v>19</v>
      </c>
    </row>
    <row r="4152" customFormat="false" ht="15" hidden="true" customHeight="true" outlineLevel="0" collapsed="false">
      <c r="K4152" s="0" t="n">
        <f aca="false">IF(A4152="",0,IF(IFERROR(VLOOKUP(A4152,Skills!$A:$M,13,FALSE()),"")="COS",0,IF(OR(I4152="En cours",I4152="À venir",I4152="À planifier"),IF(AND(OR($C$3="Tous",$C$3="",C4152=$C$3),OR($E$3="Tous",$E$3="",I4152=$E$3)),1,0),0)))</f>
        <v>0</v>
      </c>
      <c r="L4152" s="0" t="n">
        <f aca="false">L4151+K4152</f>
        <v>19</v>
      </c>
    </row>
    <row r="4153" customFormat="false" ht="15" hidden="true" customHeight="true" outlineLevel="0" collapsed="false">
      <c r="K4153" s="0" t="n">
        <f aca="false">IF(A4153="",0,IF(IFERROR(VLOOKUP(A4153,Skills!$A:$M,13,FALSE()),"")="COS",0,IF(OR(I4153="En cours",I4153="À venir",I4153="À planifier"),IF(AND(OR($C$3="Tous",$C$3="",C4153=$C$3),OR($E$3="Tous",$E$3="",I4153=$E$3)),1,0),0)))</f>
        <v>0</v>
      </c>
      <c r="L4153" s="0" t="n">
        <f aca="false">L4152+K4153</f>
        <v>19</v>
      </c>
    </row>
    <row r="4154" customFormat="false" ht="15" hidden="true" customHeight="true" outlineLevel="0" collapsed="false">
      <c r="K4154" s="0" t="n">
        <f aca="false">IF(A4154="",0,IF(IFERROR(VLOOKUP(A4154,Skills!$A:$M,13,FALSE()),"")="COS",0,IF(OR(I4154="En cours",I4154="À venir",I4154="À planifier"),IF(AND(OR($C$3="Tous",$C$3="",C4154=$C$3),OR($E$3="Tous",$E$3="",I4154=$E$3)),1,0),0)))</f>
        <v>0</v>
      </c>
      <c r="L4154" s="0" t="n">
        <f aca="false">L4153+K4154</f>
        <v>19</v>
      </c>
    </row>
    <row r="4155" customFormat="false" ht="15" hidden="true" customHeight="true" outlineLevel="0" collapsed="false">
      <c r="K4155" s="0" t="n">
        <f aca="false">IF(A4155="",0,IF(IFERROR(VLOOKUP(A4155,Skills!$A:$M,13,FALSE()),"")="COS",0,IF(OR(I4155="En cours",I4155="À venir",I4155="À planifier"),IF(AND(OR($C$3="Tous",$C$3="",C4155=$C$3),OR($E$3="Tous",$E$3="",I4155=$E$3)),1,0),0)))</f>
        <v>0</v>
      </c>
      <c r="L4155" s="0" t="n">
        <f aca="false">L4154+K4155</f>
        <v>19</v>
      </c>
    </row>
    <row r="4156" customFormat="false" ht="15" hidden="true" customHeight="true" outlineLevel="0" collapsed="false">
      <c r="K4156" s="0" t="n">
        <f aca="false">IF(A4156="",0,IF(IFERROR(VLOOKUP(A4156,Skills!$A:$M,13,FALSE()),"")="COS",0,IF(OR(I4156="En cours",I4156="À venir",I4156="À planifier"),IF(AND(OR($C$3="Tous",$C$3="",C4156=$C$3),OR($E$3="Tous",$E$3="",I4156=$E$3)),1,0),0)))</f>
        <v>0</v>
      </c>
      <c r="L4156" s="0" t="n">
        <f aca="false">L4155+K4156</f>
        <v>19</v>
      </c>
    </row>
    <row r="4157" customFormat="false" ht="15" hidden="true" customHeight="true" outlineLevel="0" collapsed="false">
      <c r="K4157" s="0" t="n">
        <f aca="false">IF(A4157="",0,IF(IFERROR(VLOOKUP(A4157,Skills!$A:$M,13,FALSE()),"")="COS",0,IF(OR(I4157="En cours",I4157="À venir",I4157="À planifier"),IF(AND(OR($C$3="Tous",$C$3="",C4157=$C$3),OR($E$3="Tous",$E$3="",I4157=$E$3)),1,0),0)))</f>
        <v>0</v>
      </c>
      <c r="L4157" s="0" t="n">
        <f aca="false">L4156+K4157</f>
        <v>19</v>
      </c>
    </row>
    <row r="4158" customFormat="false" ht="15" hidden="true" customHeight="true" outlineLevel="0" collapsed="false">
      <c r="K4158" s="0" t="n">
        <f aca="false">IF(A4158="",0,IF(IFERROR(VLOOKUP(A4158,Skills!$A:$M,13,FALSE()),"")="COS",0,IF(OR(I4158="En cours",I4158="À venir",I4158="À planifier"),IF(AND(OR($C$3="Tous",$C$3="",C4158=$C$3),OR($E$3="Tous",$E$3="",I4158=$E$3)),1,0),0)))</f>
        <v>0</v>
      </c>
      <c r="L4158" s="0" t="n">
        <f aca="false">L4157+K4158</f>
        <v>19</v>
      </c>
    </row>
    <row r="4159" customFormat="false" ht="15" hidden="true" customHeight="true" outlineLevel="0" collapsed="false">
      <c r="K4159" s="0" t="n">
        <f aca="false">IF(A4159="",0,IF(IFERROR(VLOOKUP(A4159,Skills!$A:$M,13,FALSE()),"")="COS",0,IF(OR(I4159="En cours",I4159="À venir",I4159="À planifier"),IF(AND(OR($C$3="Tous",$C$3="",C4159=$C$3),OR($E$3="Tous",$E$3="",I4159=$E$3)),1,0),0)))</f>
        <v>0</v>
      </c>
      <c r="L4159" s="0" t="n">
        <f aca="false">L4158+K4159</f>
        <v>19</v>
      </c>
    </row>
    <row r="4160" customFormat="false" ht="15" hidden="true" customHeight="true" outlineLevel="0" collapsed="false">
      <c r="K4160" s="0" t="n">
        <f aca="false">IF(A4160="",0,IF(IFERROR(VLOOKUP(A4160,Skills!$A:$M,13,FALSE()),"")="COS",0,IF(OR(I4160="En cours",I4160="À venir",I4160="À planifier"),IF(AND(OR($C$3="Tous",$C$3="",C4160=$C$3),OR($E$3="Tous",$E$3="",I4160=$E$3)),1,0),0)))</f>
        <v>0</v>
      </c>
      <c r="L4160" s="0" t="n">
        <f aca="false">L4159+K4160</f>
        <v>19</v>
      </c>
    </row>
    <row r="4161" customFormat="false" ht="15" hidden="true" customHeight="true" outlineLevel="0" collapsed="false">
      <c r="K4161" s="0" t="n">
        <f aca="false">IF(A4161="",0,IF(IFERROR(VLOOKUP(A4161,Skills!$A:$M,13,FALSE()),"")="COS",0,IF(OR(I4161="En cours",I4161="À venir",I4161="À planifier"),IF(AND(OR($C$3="Tous",$C$3="",C4161=$C$3),OR($E$3="Tous",$E$3="",I4161=$E$3)),1,0),0)))</f>
        <v>0</v>
      </c>
      <c r="L4161" s="0" t="n">
        <f aca="false">L4160+K4161</f>
        <v>19</v>
      </c>
    </row>
    <row r="4162" customFormat="false" ht="15" hidden="true" customHeight="true" outlineLevel="0" collapsed="false">
      <c r="K4162" s="0" t="n">
        <f aca="false">IF(A4162="",0,IF(IFERROR(VLOOKUP(A4162,Skills!$A:$M,13,FALSE()),"")="COS",0,IF(OR(I4162="En cours",I4162="À venir",I4162="À planifier"),IF(AND(OR($C$3="Tous",$C$3="",C4162=$C$3),OR($E$3="Tous",$E$3="",I4162=$E$3)),1,0),0)))</f>
        <v>0</v>
      </c>
      <c r="L4162" s="0" t="n">
        <f aca="false">L4161+K4162</f>
        <v>19</v>
      </c>
    </row>
    <row r="4163" customFormat="false" ht="15" hidden="true" customHeight="true" outlineLevel="0" collapsed="false">
      <c r="K4163" s="0" t="n">
        <f aca="false">IF(A4163="",0,IF(IFERROR(VLOOKUP(A4163,Skills!$A:$M,13,FALSE()),"")="COS",0,IF(OR(I4163="En cours",I4163="À venir",I4163="À planifier"),IF(AND(OR($C$3="Tous",$C$3="",C4163=$C$3),OR($E$3="Tous",$E$3="",I4163=$E$3)),1,0),0)))</f>
        <v>0</v>
      </c>
      <c r="L4163" s="0" t="n">
        <f aca="false">L4162+K4163</f>
        <v>19</v>
      </c>
    </row>
    <row r="4164" customFormat="false" ht="15" hidden="true" customHeight="true" outlineLevel="0" collapsed="false">
      <c r="K4164" s="0" t="n">
        <f aca="false">IF(A4164="",0,IF(IFERROR(VLOOKUP(A4164,Skills!$A:$M,13,FALSE()),"")="COS",0,IF(OR(I4164="En cours",I4164="À venir",I4164="À planifier"),IF(AND(OR($C$3="Tous",$C$3="",C4164=$C$3),OR($E$3="Tous",$E$3="",I4164=$E$3)),1,0),0)))</f>
        <v>0</v>
      </c>
      <c r="L4164" s="0" t="n">
        <f aca="false">L4163+K4164</f>
        <v>19</v>
      </c>
    </row>
    <row r="4165" customFormat="false" ht="15" hidden="true" customHeight="true" outlineLevel="0" collapsed="false">
      <c r="K4165" s="0" t="n">
        <f aca="false">IF(A4165="",0,IF(IFERROR(VLOOKUP(A4165,Skills!$A:$M,13,FALSE()),"")="COS",0,IF(OR(I4165="En cours",I4165="À venir",I4165="À planifier"),IF(AND(OR($C$3="Tous",$C$3="",C4165=$C$3),OR($E$3="Tous",$E$3="",I4165=$E$3)),1,0),0)))</f>
        <v>0</v>
      </c>
      <c r="L4165" s="0" t="n">
        <f aca="false">L4164+K4165</f>
        <v>19</v>
      </c>
    </row>
    <row r="4166" customFormat="false" ht="15" hidden="true" customHeight="true" outlineLevel="0" collapsed="false">
      <c r="K4166" s="0" t="n">
        <f aca="false">IF(A4166="",0,IF(IFERROR(VLOOKUP(A4166,Skills!$A:$M,13,FALSE()),"")="COS",0,IF(OR(I4166="En cours",I4166="À venir",I4166="À planifier"),IF(AND(OR($C$3="Tous",$C$3="",C4166=$C$3),OR($E$3="Tous",$E$3="",I4166=$E$3)),1,0),0)))</f>
        <v>0</v>
      </c>
      <c r="L4166" s="0" t="n">
        <f aca="false">L4165+K4166</f>
        <v>19</v>
      </c>
    </row>
    <row r="4167" customFormat="false" ht="15" hidden="true" customHeight="true" outlineLevel="0" collapsed="false">
      <c r="K4167" s="0" t="n">
        <f aca="false">IF(A4167="",0,IF(IFERROR(VLOOKUP(A4167,Skills!$A:$M,13,FALSE()),"")="COS",0,IF(OR(I4167="En cours",I4167="À venir",I4167="À planifier"),IF(AND(OR($C$3="Tous",$C$3="",C4167=$C$3),OR($E$3="Tous",$E$3="",I4167=$E$3)),1,0),0)))</f>
        <v>0</v>
      </c>
      <c r="L4167" s="0" t="n">
        <f aca="false">L4166+K4167</f>
        <v>19</v>
      </c>
    </row>
    <row r="4168" customFormat="false" ht="15" hidden="true" customHeight="true" outlineLevel="0" collapsed="false">
      <c r="K4168" s="0" t="n">
        <f aca="false">IF(A4168="",0,IF(IFERROR(VLOOKUP(A4168,Skills!$A:$M,13,FALSE()),"")="COS",0,IF(OR(I4168="En cours",I4168="À venir",I4168="À planifier"),IF(AND(OR($C$3="Tous",$C$3="",C4168=$C$3),OR($E$3="Tous",$E$3="",I4168=$E$3)),1,0),0)))</f>
        <v>0</v>
      </c>
      <c r="L4168" s="0" t="n">
        <f aca="false">L4167+K4168</f>
        <v>19</v>
      </c>
    </row>
    <row r="4169" customFormat="false" ht="15" hidden="true" customHeight="true" outlineLevel="0" collapsed="false">
      <c r="K4169" s="0" t="n">
        <f aca="false">IF(A4169="",0,IF(IFERROR(VLOOKUP(A4169,Skills!$A:$M,13,FALSE()),"")="COS",0,IF(OR(I4169="En cours",I4169="À venir",I4169="À planifier"),IF(AND(OR($C$3="Tous",$C$3="",C4169=$C$3),OR($E$3="Tous",$E$3="",I4169=$E$3)),1,0),0)))</f>
        <v>0</v>
      </c>
      <c r="L4169" s="0" t="n">
        <f aca="false">L4168+K4169</f>
        <v>19</v>
      </c>
    </row>
    <row r="4170" customFormat="false" ht="15" hidden="true" customHeight="true" outlineLevel="0" collapsed="false">
      <c r="K4170" s="0" t="n">
        <f aca="false">IF(A4170="",0,IF(IFERROR(VLOOKUP(A4170,Skills!$A:$M,13,FALSE()),"")="COS",0,IF(OR(I4170="En cours",I4170="À venir",I4170="À planifier"),IF(AND(OR($C$3="Tous",$C$3="",C4170=$C$3),OR($E$3="Tous",$E$3="",I4170=$E$3)),1,0),0)))</f>
        <v>0</v>
      </c>
      <c r="L4170" s="0" t="n">
        <f aca="false">L4169+K4170</f>
        <v>19</v>
      </c>
    </row>
    <row r="4171" customFormat="false" ht="15" hidden="true" customHeight="true" outlineLevel="0" collapsed="false">
      <c r="K4171" s="0" t="n">
        <f aca="false">IF(A4171="",0,IF(IFERROR(VLOOKUP(A4171,Skills!$A:$M,13,FALSE()),"")="COS",0,IF(OR(I4171="En cours",I4171="À venir",I4171="À planifier"),IF(AND(OR($C$3="Tous",$C$3="",C4171=$C$3),OR($E$3="Tous",$E$3="",I4171=$E$3)),1,0),0)))</f>
        <v>0</v>
      </c>
      <c r="L4171" s="0" t="n">
        <f aca="false">L4170+K4171</f>
        <v>19</v>
      </c>
    </row>
    <row r="4172" customFormat="false" ht="15" hidden="true" customHeight="true" outlineLevel="0" collapsed="false">
      <c r="K4172" s="0" t="n">
        <f aca="false">IF(A4172="",0,IF(IFERROR(VLOOKUP(A4172,Skills!$A:$M,13,FALSE()),"")="COS",0,IF(OR(I4172="En cours",I4172="À venir",I4172="À planifier"),IF(AND(OR($C$3="Tous",$C$3="",C4172=$C$3),OR($E$3="Tous",$E$3="",I4172=$E$3)),1,0),0)))</f>
        <v>0</v>
      </c>
      <c r="L4172" s="0" t="n">
        <f aca="false">L4171+K4172</f>
        <v>19</v>
      </c>
    </row>
    <row r="4173" customFormat="false" ht="15" hidden="true" customHeight="true" outlineLevel="0" collapsed="false">
      <c r="K4173" s="0" t="n">
        <f aca="false">IF(A4173="",0,IF(IFERROR(VLOOKUP(A4173,Skills!$A:$M,13,FALSE()),"")="COS",0,IF(OR(I4173="En cours",I4173="À venir",I4173="À planifier"),IF(AND(OR($C$3="Tous",$C$3="",C4173=$C$3),OR($E$3="Tous",$E$3="",I4173=$E$3)),1,0),0)))</f>
        <v>0</v>
      </c>
      <c r="L4173" s="0" t="n">
        <f aca="false">L4172+K4173</f>
        <v>19</v>
      </c>
    </row>
    <row r="4174" customFormat="false" ht="15" hidden="true" customHeight="true" outlineLevel="0" collapsed="false">
      <c r="K4174" s="0" t="n">
        <f aca="false">IF(A4174="",0,IF(IFERROR(VLOOKUP(A4174,Skills!$A:$M,13,FALSE()),"")="COS",0,IF(OR(I4174="En cours",I4174="À venir",I4174="À planifier"),IF(AND(OR($C$3="Tous",$C$3="",C4174=$C$3),OR($E$3="Tous",$E$3="",I4174=$E$3)),1,0),0)))</f>
        <v>0</v>
      </c>
      <c r="L4174" s="0" t="n">
        <f aca="false">L4173+K4174</f>
        <v>19</v>
      </c>
    </row>
    <row r="4175" customFormat="false" ht="15" hidden="true" customHeight="true" outlineLevel="0" collapsed="false">
      <c r="K4175" s="0" t="n">
        <f aca="false">IF(A4175="",0,IF(IFERROR(VLOOKUP(A4175,Skills!$A:$M,13,FALSE()),"")="COS",0,IF(OR(I4175="En cours",I4175="À venir",I4175="À planifier"),IF(AND(OR($C$3="Tous",$C$3="",C4175=$C$3),OR($E$3="Tous",$E$3="",I4175=$E$3)),1,0),0)))</f>
        <v>0</v>
      </c>
      <c r="L4175" s="0" t="n">
        <f aca="false">L4174+K4175</f>
        <v>19</v>
      </c>
    </row>
    <row r="4176" customFormat="false" ht="15" hidden="true" customHeight="true" outlineLevel="0" collapsed="false">
      <c r="K4176" s="0" t="n">
        <f aca="false">IF(A4176="",0,IF(IFERROR(VLOOKUP(A4176,Skills!$A:$M,13,FALSE()),"")="COS",0,IF(OR(I4176="En cours",I4176="À venir",I4176="À planifier"),IF(AND(OR($C$3="Tous",$C$3="",C4176=$C$3),OR($E$3="Tous",$E$3="",I4176=$E$3)),1,0),0)))</f>
        <v>0</v>
      </c>
      <c r="L4176" s="0" t="n">
        <f aca="false">L4175+K4176</f>
        <v>19</v>
      </c>
    </row>
    <row r="4177" customFormat="false" ht="15" hidden="true" customHeight="true" outlineLevel="0" collapsed="false">
      <c r="K4177" s="0" t="n">
        <f aca="false">IF(A4177="",0,IF(IFERROR(VLOOKUP(A4177,Skills!$A:$M,13,FALSE()),"")="COS",0,IF(OR(I4177="En cours",I4177="À venir",I4177="À planifier"),IF(AND(OR($C$3="Tous",$C$3="",C4177=$C$3),OR($E$3="Tous",$E$3="",I4177=$E$3)),1,0),0)))</f>
        <v>0</v>
      </c>
      <c r="L4177" s="0" t="n">
        <f aca="false">L4176+K4177</f>
        <v>19</v>
      </c>
    </row>
    <row r="4178" customFormat="false" ht="15" hidden="true" customHeight="true" outlineLevel="0" collapsed="false">
      <c r="K4178" s="0" t="n">
        <f aca="false">IF(A4178="",0,IF(IFERROR(VLOOKUP(A4178,Skills!$A:$M,13,FALSE()),"")="COS",0,IF(OR(I4178="En cours",I4178="À venir",I4178="À planifier"),IF(AND(OR($C$3="Tous",$C$3="",C4178=$C$3),OR($E$3="Tous",$E$3="",I4178=$E$3)),1,0),0)))</f>
        <v>0</v>
      </c>
      <c r="L4178" s="0" t="n">
        <f aca="false">L4177+K4178</f>
        <v>19</v>
      </c>
    </row>
    <row r="4179" customFormat="false" ht="15" hidden="true" customHeight="true" outlineLevel="0" collapsed="false">
      <c r="K4179" s="0" t="n">
        <f aca="false">IF(A4179="",0,IF(IFERROR(VLOOKUP(A4179,Skills!$A:$M,13,FALSE()),"")="COS",0,IF(OR(I4179="En cours",I4179="À venir",I4179="À planifier"),IF(AND(OR($C$3="Tous",$C$3="",C4179=$C$3),OR($E$3="Tous",$E$3="",I4179=$E$3)),1,0),0)))</f>
        <v>0</v>
      </c>
      <c r="L4179" s="0" t="n">
        <f aca="false">L4178+K4179</f>
        <v>19</v>
      </c>
    </row>
    <row r="4180" customFormat="false" ht="15" hidden="true" customHeight="true" outlineLevel="0" collapsed="false">
      <c r="K4180" s="0" t="n">
        <f aca="false">IF(A4180="",0,IF(IFERROR(VLOOKUP(A4180,Skills!$A:$M,13,FALSE()),"")="COS",0,IF(OR(I4180="En cours",I4180="À venir",I4180="À planifier"),IF(AND(OR($C$3="Tous",$C$3="",C4180=$C$3),OR($E$3="Tous",$E$3="",I4180=$E$3)),1,0),0)))</f>
        <v>0</v>
      </c>
      <c r="L4180" s="0" t="n">
        <f aca="false">L4179+K4180</f>
        <v>19</v>
      </c>
    </row>
    <row r="4181" customFormat="false" ht="15" hidden="true" customHeight="true" outlineLevel="0" collapsed="false">
      <c r="K4181" s="0" t="n">
        <f aca="false">IF(A4181="",0,IF(IFERROR(VLOOKUP(A4181,Skills!$A:$M,13,FALSE()),"")="COS",0,IF(OR(I4181="En cours",I4181="À venir",I4181="À planifier"),IF(AND(OR($C$3="Tous",$C$3="",C4181=$C$3),OR($E$3="Tous",$E$3="",I4181=$E$3)),1,0),0)))</f>
        <v>0</v>
      </c>
      <c r="L4181" s="0" t="n">
        <f aca="false">L4180+K4181</f>
        <v>19</v>
      </c>
    </row>
    <row r="4182" customFormat="false" ht="15" hidden="true" customHeight="true" outlineLevel="0" collapsed="false">
      <c r="K4182" s="0" t="n">
        <f aca="false">IF(A4182="",0,IF(IFERROR(VLOOKUP(A4182,Skills!$A:$M,13,FALSE()),"")="COS",0,IF(OR(I4182="En cours",I4182="À venir",I4182="À planifier"),IF(AND(OR($C$3="Tous",$C$3="",C4182=$C$3),OR($E$3="Tous",$E$3="",I4182=$E$3)),1,0),0)))</f>
        <v>0</v>
      </c>
      <c r="L4182" s="0" t="n">
        <f aca="false">L4181+K4182</f>
        <v>19</v>
      </c>
    </row>
    <row r="4183" customFormat="false" ht="15" hidden="true" customHeight="true" outlineLevel="0" collapsed="false">
      <c r="K4183" s="0" t="n">
        <f aca="false">IF(A4183="",0,IF(IFERROR(VLOOKUP(A4183,Skills!$A:$M,13,FALSE()),"")="COS",0,IF(OR(I4183="En cours",I4183="À venir",I4183="À planifier"),IF(AND(OR($C$3="Tous",$C$3="",C4183=$C$3),OR($E$3="Tous",$E$3="",I4183=$E$3)),1,0),0)))</f>
        <v>0</v>
      </c>
      <c r="L4183" s="0" t="n">
        <f aca="false">L4182+K4183</f>
        <v>19</v>
      </c>
    </row>
    <row r="4184" customFormat="false" ht="15" hidden="true" customHeight="true" outlineLevel="0" collapsed="false">
      <c r="K4184" s="0" t="n">
        <f aca="false">IF(A4184="",0,IF(IFERROR(VLOOKUP(A4184,Skills!$A:$M,13,FALSE()),"")="COS",0,IF(OR(I4184="En cours",I4184="À venir",I4184="À planifier"),IF(AND(OR($C$3="Tous",$C$3="",C4184=$C$3),OR($E$3="Tous",$E$3="",I4184=$E$3)),1,0),0)))</f>
        <v>0</v>
      </c>
      <c r="L4184" s="0" t="n">
        <f aca="false">L4183+K4184</f>
        <v>19</v>
      </c>
    </row>
    <row r="4185" customFormat="false" ht="15" hidden="true" customHeight="true" outlineLevel="0" collapsed="false">
      <c r="K4185" s="0" t="n">
        <f aca="false">IF(A4185="",0,IF(IFERROR(VLOOKUP(A4185,Skills!$A:$M,13,FALSE()),"")="COS",0,IF(OR(I4185="En cours",I4185="À venir",I4185="À planifier"),IF(AND(OR($C$3="Tous",$C$3="",C4185=$C$3),OR($E$3="Tous",$E$3="",I4185=$E$3)),1,0),0)))</f>
        <v>0</v>
      </c>
      <c r="L4185" s="0" t="n">
        <f aca="false">L4184+K4185</f>
        <v>19</v>
      </c>
    </row>
    <row r="4186" customFormat="false" ht="15" hidden="true" customHeight="true" outlineLevel="0" collapsed="false">
      <c r="K4186" s="0" t="n">
        <f aca="false">IF(A4186="",0,IF(IFERROR(VLOOKUP(A4186,Skills!$A:$M,13,FALSE()),"")="COS",0,IF(OR(I4186="En cours",I4186="À venir",I4186="À planifier"),IF(AND(OR($C$3="Tous",$C$3="",C4186=$C$3),OR($E$3="Tous",$E$3="",I4186=$E$3)),1,0),0)))</f>
        <v>0</v>
      </c>
      <c r="L4186" s="0" t="n">
        <f aca="false">L4185+K4186</f>
        <v>19</v>
      </c>
    </row>
    <row r="4187" customFormat="false" ht="15" hidden="true" customHeight="true" outlineLevel="0" collapsed="false">
      <c r="K4187" s="0" t="n">
        <f aca="false">IF(A4187="",0,IF(IFERROR(VLOOKUP(A4187,Skills!$A:$M,13,FALSE()),"")="COS",0,IF(OR(I4187="En cours",I4187="À venir",I4187="À planifier"),IF(AND(OR($C$3="Tous",$C$3="",C4187=$C$3),OR($E$3="Tous",$E$3="",I4187=$E$3)),1,0),0)))</f>
        <v>0</v>
      </c>
      <c r="L4187" s="0" t="n">
        <f aca="false">L4186+K4187</f>
        <v>19</v>
      </c>
    </row>
    <row r="4188" customFormat="false" ht="15" hidden="true" customHeight="true" outlineLevel="0" collapsed="false">
      <c r="K4188" s="0" t="n">
        <f aca="false">IF(A4188="",0,IF(IFERROR(VLOOKUP(A4188,Skills!$A:$M,13,FALSE()),"")="COS",0,IF(OR(I4188="En cours",I4188="À venir",I4188="À planifier"),IF(AND(OR($C$3="Tous",$C$3="",C4188=$C$3),OR($E$3="Tous",$E$3="",I4188=$E$3)),1,0),0)))</f>
        <v>0</v>
      </c>
      <c r="L4188" s="0" t="n">
        <f aca="false">L4187+K4188</f>
        <v>19</v>
      </c>
    </row>
    <row r="4189" customFormat="false" ht="15" hidden="true" customHeight="true" outlineLevel="0" collapsed="false">
      <c r="K4189" s="0" t="n">
        <f aca="false">IF(A4189="",0,IF(IFERROR(VLOOKUP(A4189,Skills!$A:$M,13,FALSE()),"")="COS",0,IF(OR(I4189="En cours",I4189="À venir",I4189="À planifier"),IF(AND(OR($C$3="Tous",$C$3="",C4189=$C$3),OR($E$3="Tous",$E$3="",I4189=$E$3)),1,0),0)))</f>
        <v>0</v>
      </c>
      <c r="L4189" s="0" t="n">
        <f aca="false">L4188+K4189</f>
        <v>19</v>
      </c>
    </row>
    <row r="4190" customFormat="false" ht="15" hidden="true" customHeight="true" outlineLevel="0" collapsed="false">
      <c r="K4190" s="0" t="n">
        <f aca="false">IF(A4190="",0,IF(IFERROR(VLOOKUP(A4190,Skills!$A:$M,13,FALSE()),"")="COS",0,IF(OR(I4190="En cours",I4190="À venir",I4190="À planifier"),IF(AND(OR($C$3="Tous",$C$3="",C4190=$C$3),OR($E$3="Tous",$E$3="",I4190=$E$3)),1,0),0)))</f>
        <v>0</v>
      </c>
      <c r="L4190" s="0" t="n">
        <f aca="false">L4189+K4190</f>
        <v>19</v>
      </c>
    </row>
    <row r="4191" customFormat="false" ht="15" hidden="true" customHeight="true" outlineLevel="0" collapsed="false">
      <c r="K4191" s="0" t="n">
        <f aca="false">IF(A4191="",0,IF(IFERROR(VLOOKUP(A4191,Skills!$A:$M,13,FALSE()),"")="COS",0,IF(OR(I4191="En cours",I4191="À venir",I4191="À planifier"),IF(AND(OR($C$3="Tous",$C$3="",C4191=$C$3),OR($E$3="Tous",$E$3="",I4191=$E$3)),1,0),0)))</f>
        <v>0</v>
      </c>
      <c r="L4191" s="0" t="n">
        <f aca="false">L4190+K4191</f>
        <v>19</v>
      </c>
    </row>
    <row r="4192" customFormat="false" ht="15" hidden="true" customHeight="true" outlineLevel="0" collapsed="false">
      <c r="K4192" s="0" t="n">
        <f aca="false">IF(A4192="",0,IF(IFERROR(VLOOKUP(A4192,Skills!$A:$M,13,FALSE()),"")="COS",0,IF(OR(I4192="En cours",I4192="À venir",I4192="À planifier"),IF(AND(OR($C$3="Tous",$C$3="",C4192=$C$3),OR($E$3="Tous",$E$3="",I4192=$E$3)),1,0),0)))</f>
        <v>0</v>
      </c>
      <c r="L4192" s="0" t="n">
        <f aca="false">L4191+K4192</f>
        <v>19</v>
      </c>
    </row>
    <row r="4193" customFormat="false" ht="15" hidden="true" customHeight="true" outlineLevel="0" collapsed="false">
      <c r="K4193" s="0" t="n">
        <f aca="false">IF(A4193="",0,IF(IFERROR(VLOOKUP(A4193,Skills!$A:$M,13,FALSE()),"")="COS",0,IF(OR(I4193="En cours",I4193="À venir",I4193="À planifier"),IF(AND(OR($C$3="Tous",$C$3="",C4193=$C$3),OR($E$3="Tous",$E$3="",I4193=$E$3)),1,0),0)))</f>
        <v>0</v>
      </c>
      <c r="L4193" s="0" t="n">
        <f aca="false">L4192+K4193</f>
        <v>19</v>
      </c>
    </row>
    <row r="4194" customFormat="false" ht="15" hidden="true" customHeight="true" outlineLevel="0" collapsed="false">
      <c r="K4194" s="0" t="n">
        <f aca="false">IF(A4194="",0,IF(IFERROR(VLOOKUP(A4194,Skills!$A:$M,13,FALSE()),"")="COS",0,IF(OR(I4194="En cours",I4194="À venir",I4194="À planifier"),IF(AND(OR($C$3="Tous",$C$3="",C4194=$C$3),OR($E$3="Tous",$E$3="",I4194=$E$3)),1,0),0)))</f>
        <v>0</v>
      </c>
      <c r="L4194" s="0" t="n">
        <f aca="false">L4193+K4194</f>
        <v>19</v>
      </c>
    </row>
    <row r="4195" customFormat="false" ht="15" hidden="true" customHeight="true" outlineLevel="0" collapsed="false">
      <c r="K4195" s="0" t="n">
        <f aca="false">IF(A4195="",0,IF(IFERROR(VLOOKUP(A4195,Skills!$A:$M,13,FALSE()),"")="COS",0,IF(OR(I4195="En cours",I4195="À venir",I4195="À planifier"),IF(AND(OR($C$3="Tous",$C$3="",C4195=$C$3),OR($E$3="Tous",$E$3="",I4195=$E$3)),1,0),0)))</f>
        <v>0</v>
      </c>
      <c r="L4195" s="0" t="n">
        <f aca="false">L4194+K4195</f>
        <v>19</v>
      </c>
    </row>
    <row r="4196" customFormat="false" ht="15" hidden="true" customHeight="true" outlineLevel="0" collapsed="false">
      <c r="K4196" s="0" t="n">
        <f aca="false">IF(A4196="",0,IF(IFERROR(VLOOKUP(A4196,Skills!$A:$M,13,FALSE()),"")="COS",0,IF(OR(I4196="En cours",I4196="À venir",I4196="À planifier"),IF(AND(OR($C$3="Tous",$C$3="",C4196=$C$3),OR($E$3="Tous",$E$3="",I4196=$E$3)),1,0),0)))</f>
        <v>0</v>
      </c>
      <c r="L4196" s="0" t="n">
        <f aca="false">L4195+K4196</f>
        <v>19</v>
      </c>
    </row>
    <row r="4197" customFormat="false" ht="15" hidden="true" customHeight="true" outlineLevel="0" collapsed="false">
      <c r="K4197" s="0" t="n">
        <f aca="false">IF(A4197="",0,IF(IFERROR(VLOOKUP(A4197,Skills!$A:$M,13,FALSE()),"")="COS",0,IF(OR(I4197="En cours",I4197="À venir",I4197="À planifier"),IF(AND(OR($C$3="Tous",$C$3="",C4197=$C$3),OR($E$3="Tous",$E$3="",I4197=$E$3)),1,0),0)))</f>
        <v>0</v>
      </c>
      <c r="L4197" s="0" t="n">
        <f aca="false">L4196+K4197</f>
        <v>19</v>
      </c>
    </row>
    <row r="4198" customFormat="false" ht="15" hidden="true" customHeight="true" outlineLevel="0" collapsed="false">
      <c r="K4198" s="0" t="n">
        <f aca="false">IF(A4198="",0,IF(IFERROR(VLOOKUP(A4198,Skills!$A:$M,13,FALSE()),"")="COS",0,IF(OR(I4198="En cours",I4198="À venir",I4198="À planifier"),IF(AND(OR($C$3="Tous",$C$3="",C4198=$C$3),OR($E$3="Tous",$E$3="",I4198=$E$3)),1,0),0)))</f>
        <v>0</v>
      </c>
      <c r="L4198" s="0" t="n">
        <f aca="false">L4197+K4198</f>
        <v>19</v>
      </c>
    </row>
    <row r="4199" customFormat="false" ht="15" hidden="true" customHeight="true" outlineLevel="0" collapsed="false">
      <c r="K4199" s="0" t="n">
        <f aca="false">IF(A4199="",0,IF(IFERROR(VLOOKUP(A4199,Skills!$A:$M,13,FALSE()),"")="COS",0,IF(OR(I4199="En cours",I4199="À venir",I4199="À planifier"),IF(AND(OR($C$3="Tous",$C$3="",C4199=$C$3),OR($E$3="Tous",$E$3="",I4199=$E$3)),1,0),0)))</f>
        <v>0</v>
      </c>
      <c r="L4199" s="0" t="n">
        <f aca="false">L4198+K4199</f>
        <v>19</v>
      </c>
    </row>
    <row r="4200" customFormat="false" ht="15" hidden="true" customHeight="true" outlineLevel="0" collapsed="false">
      <c r="K4200" s="0" t="n">
        <f aca="false">IF(A4200="",0,IF(IFERROR(VLOOKUP(A4200,Skills!$A:$M,13,FALSE()),"")="COS",0,IF(OR(I4200="En cours",I4200="À venir",I4200="À planifier"),IF(AND(OR($C$3="Tous",$C$3="",C4200=$C$3),OR($E$3="Tous",$E$3="",I4200=$E$3)),1,0),0)))</f>
        <v>0</v>
      </c>
      <c r="L4200" s="0" t="n">
        <f aca="false">L4199+K4200</f>
        <v>19</v>
      </c>
    </row>
    <row r="4201" customFormat="false" ht="15" hidden="true" customHeight="true" outlineLevel="0" collapsed="false">
      <c r="K4201" s="0" t="n">
        <f aca="false">IF(A4201="",0,IF(IFERROR(VLOOKUP(A4201,Skills!$A:$M,13,FALSE()),"")="COS",0,IF(OR(I4201="En cours",I4201="À venir",I4201="À planifier"),IF(AND(OR($C$3="Tous",$C$3="",C4201=$C$3),OR($E$3="Tous",$E$3="",I4201=$E$3)),1,0),0)))</f>
        <v>0</v>
      </c>
      <c r="L4201" s="0" t="n">
        <f aca="false">L4200+K4201</f>
        <v>19</v>
      </c>
    </row>
    <row r="4202" customFormat="false" ht="15" hidden="true" customHeight="true" outlineLevel="0" collapsed="false">
      <c r="K4202" s="0" t="n">
        <f aca="false">IF(A4202="",0,IF(IFERROR(VLOOKUP(A4202,Skills!$A:$M,13,FALSE()),"")="COS",0,IF(OR(I4202="En cours",I4202="À venir",I4202="À planifier"),IF(AND(OR($C$3="Tous",$C$3="",C4202=$C$3),OR($E$3="Tous",$E$3="",I4202=$E$3)),1,0),0)))</f>
        <v>0</v>
      </c>
      <c r="L4202" s="0" t="n">
        <f aca="false">L4201+K4202</f>
        <v>19</v>
      </c>
    </row>
    <row r="4203" customFormat="false" ht="15" hidden="true" customHeight="true" outlineLevel="0" collapsed="false">
      <c r="K4203" s="0" t="n">
        <f aca="false">IF(A4203="",0,IF(IFERROR(VLOOKUP(A4203,Skills!$A:$M,13,FALSE()),"")="COS",0,IF(OR(I4203="En cours",I4203="À venir",I4203="À planifier"),IF(AND(OR($C$3="Tous",$C$3="",C4203=$C$3),OR($E$3="Tous",$E$3="",I4203=$E$3)),1,0),0)))</f>
        <v>0</v>
      </c>
      <c r="L4203" s="0" t="n">
        <f aca="false">L4202+K4203</f>
        <v>19</v>
      </c>
    </row>
    <row r="4204" customFormat="false" ht="15" hidden="true" customHeight="true" outlineLevel="0" collapsed="false">
      <c r="K4204" s="0" t="n">
        <f aca="false">IF(A4204="",0,IF(IFERROR(VLOOKUP(A4204,Skills!$A:$M,13,FALSE()),"")="COS",0,IF(OR(I4204="En cours",I4204="À venir",I4204="À planifier"),IF(AND(OR($C$3="Tous",$C$3="",C4204=$C$3),OR($E$3="Tous",$E$3="",I4204=$E$3)),1,0),0)))</f>
        <v>0</v>
      </c>
      <c r="L4204" s="0" t="n">
        <f aca="false">L4203+K4204</f>
        <v>19</v>
      </c>
    </row>
    <row r="4205" customFormat="false" ht="15" hidden="true" customHeight="true" outlineLevel="0" collapsed="false">
      <c r="K4205" s="0" t="n">
        <f aca="false">IF(A4205="",0,IF(IFERROR(VLOOKUP(A4205,Skills!$A:$M,13,FALSE()),"")="COS",0,IF(OR(I4205="En cours",I4205="À venir",I4205="À planifier"),IF(AND(OR($C$3="Tous",$C$3="",C4205=$C$3),OR($E$3="Tous",$E$3="",I4205=$E$3)),1,0),0)))</f>
        <v>0</v>
      </c>
      <c r="L4205" s="0" t="n">
        <f aca="false">L4204+K4205</f>
        <v>19</v>
      </c>
    </row>
    <row r="4206" customFormat="false" ht="15" hidden="true" customHeight="true" outlineLevel="0" collapsed="false">
      <c r="K4206" s="0" t="n">
        <f aca="false">IF(A4206="",0,IF(IFERROR(VLOOKUP(A4206,Skills!$A:$M,13,FALSE()),"")="COS",0,IF(OR(I4206="En cours",I4206="À venir",I4206="À planifier"),IF(AND(OR($C$3="Tous",$C$3="",C4206=$C$3),OR($E$3="Tous",$E$3="",I4206=$E$3)),1,0),0)))</f>
        <v>0</v>
      </c>
      <c r="L4206" s="0" t="n">
        <f aca="false">L4205+K4206</f>
        <v>19</v>
      </c>
    </row>
    <row r="4207" customFormat="false" ht="15" hidden="true" customHeight="true" outlineLevel="0" collapsed="false">
      <c r="K4207" s="0" t="n">
        <f aca="false">IF(A4207="",0,IF(IFERROR(VLOOKUP(A4207,Skills!$A:$M,13,FALSE()),"")="COS",0,IF(OR(I4207="En cours",I4207="À venir",I4207="À planifier"),IF(AND(OR($C$3="Tous",$C$3="",C4207=$C$3),OR($E$3="Tous",$E$3="",I4207=$E$3)),1,0),0)))</f>
        <v>0</v>
      </c>
      <c r="L4207" s="0" t="n">
        <f aca="false">L4206+K4207</f>
        <v>19</v>
      </c>
    </row>
    <row r="4208" customFormat="false" ht="15" hidden="true" customHeight="true" outlineLevel="0" collapsed="false">
      <c r="K4208" s="0" t="n">
        <f aca="false">IF(A4208="",0,IF(IFERROR(VLOOKUP(A4208,Skills!$A:$M,13,FALSE()),"")="COS",0,IF(OR(I4208="En cours",I4208="À venir",I4208="À planifier"),IF(AND(OR($C$3="Tous",$C$3="",C4208=$C$3),OR($E$3="Tous",$E$3="",I4208=$E$3)),1,0),0)))</f>
        <v>0</v>
      </c>
      <c r="L4208" s="0" t="n">
        <f aca="false">L4207+K4208</f>
        <v>19</v>
      </c>
    </row>
    <row r="4209" customFormat="false" ht="15" hidden="true" customHeight="true" outlineLevel="0" collapsed="false">
      <c r="K4209" s="0" t="n">
        <f aca="false">IF(A4209="",0,IF(IFERROR(VLOOKUP(A4209,Skills!$A:$M,13,FALSE()),"")="COS",0,IF(OR(I4209="En cours",I4209="À venir",I4209="À planifier"),IF(AND(OR($C$3="Tous",$C$3="",C4209=$C$3),OR($E$3="Tous",$E$3="",I4209=$E$3)),1,0),0)))</f>
        <v>0</v>
      </c>
      <c r="L4209" s="0" t="n">
        <f aca="false">L4208+K4209</f>
        <v>19</v>
      </c>
    </row>
    <row r="4210" customFormat="false" ht="15" hidden="true" customHeight="true" outlineLevel="0" collapsed="false">
      <c r="K4210" s="0" t="n">
        <f aca="false">IF(A4210="",0,IF(IFERROR(VLOOKUP(A4210,Skills!$A:$M,13,FALSE()),"")="COS",0,IF(OR(I4210="En cours",I4210="À venir",I4210="À planifier"),IF(AND(OR($C$3="Tous",$C$3="",C4210=$C$3),OR($E$3="Tous",$E$3="",I4210=$E$3)),1,0),0)))</f>
        <v>0</v>
      </c>
      <c r="L4210" s="0" t="n">
        <f aca="false">L4209+K4210</f>
        <v>19</v>
      </c>
    </row>
    <row r="4211" customFormat="false" ht="15" hidden="true" customHeight="true" outlineLevel="0" collapsed="false">
      <c r="K4211" s="0" t="n">
        <f aca="false">IF(A4211="",0,IF(IFERROR(VLOOKUP(A4211,Skills!$A:$M,13,FALSE()),"")="COS",0,IF(OR(I4211="En cours",I4211="À venir",I4211="À planifier"),IF(AND(OR($C$3="Tous",$C$3="",C4211=$C$3),OR($E$3="Tous",$E$3="",I4211=$E$3)),1,0),0)))</f>
        <v>0</v>
      </c>
      <c r="L4211" s="0" t="n">
        <f aca="false">L4210+K4211</f>
        <v>19</v>
      </c>
    </row>
    <row r="4212" customFormat="false" ht="15" hidden="true" customHeight="true" outlineLevel="0" collapsed="false">
      <c r="K4212" s="0" t="n">
        <f aca="false">IF(A4212="",0,IF(IFERROR(VLOOKUP(A4212,Skills!$A:$M,13,FALSE()),"")="COS",0,IF(OR(I4212="En cours",I4212="À venir",I4212="À planifier"),IF(AND(OR($C$3="Tous",$C$3="",C4212=$C$3),OR($E$3="Tous",$E$3="",I4212=$E$3)),1,0),0)))</f>
        <v>0</v>
      </c>
      <c r="L4212" s="0" t="n">
        <f aca="false">L4211+K4212</f>
        <v>19</v>
      </c>
    </row>
    <row r="4213" customFormat="false" ht="15" hidden="true" customHeight="true" outlineLevel="0" collapsed="false">
      <c r="K4213" s="0" t="n">
        <f aca="false">IF(A4213="",0,IF(IFERROR(VLOOKUP(A4213,Skills!$A:$M,13,FALSE()),"")="COS",0,IF(OR(I4213="En cours",I4213="À venir",I4213="À planifier"),IF(AND(OR($C$3="Tous",$C$3="",C4213=$C$3),OR($E$3="Tous",$E$3="",I4213=$E$3)),1,0),0)))</f>
        <v>0</v>
      </c>
      <c r="L4213" s="0" t="n">
        <f aca="false">L4212+K4213</f>
        <v>19</v>
      </c>
    </row>
    <row r="4214" customFormat="false" ht="15" hidden="true" customHeight="true" outlineLevel="0" collapsed="false">
      <c r="K4214" s="0" t="n">
        <f aca="false">IF(A4214="",0,IF(IFERROR(VLOOKUP(A4214,Skills!$A:$M,13,FALSE()),"")="COS",0,IF(OR(I4214="En cours",I4214="À venir",I4214="À planifier"),IF(AND(OR($C$3="Tous",$C$3="",C4214=$C$3),OR($E$3="Tous",$E$3="",I4214=$E$3)),1,0),0)))</f>
        <v>0</v>
      </c>
      <c r="L4214" s="0" t="n">
        <f aca="false">L4213+K4214</f>
        <v>19</v>
      </c>
    </row>
    <row r="4215" customFormat="false" ht="15" hidden="true" customHeight="true" outlineLevel="0" collapsed="false">
      <c r="K4215" s="0" t="n">
        <f aca="false">IF(A4215="",0,IF(IFERROR(VLOOKUP(A4215,Skills!$A:$M,13,FALSE()),"")="COS",0,IF(OR(I4215="En cours",I4215="À venir",I4215="À planifier"),IF(AND(OR($C$3="Tous",$C$3="",C4215=$C$3),OR($E$3="Tous",$E$3="",I4215=$E$3)),1,0),0)))</f>
        <v>0</v>
      </c>
      <c r="L4215" s="0" t="n">
        <f aca="false">L4214+K4215</f>
        <v>19</v>
      </c>
    </row>
    <row r="4216" customFormat="false" ht="15" hidden="true" customHeight="true" outlineLevel="0" collapsed="false">
      <c r="K4216" s="0" t="n">
        <f aca="false">IF(A4216="",0,IF(IFERROR(VLOOKUP(A4216,Skills!$A:$M,13,FALSE()),"")="COS",0,IF(OR(I4216="En cours",I4216="À venir",I4216="À planifier"),IF(AND(OR($C$3="Tous",$C$3="",C4216=$C$3),OR($E$3="Tous",$E$3="",I4216=$E$3)),1,0),0)))</f>
        <v>0</v>
      </c>
      <c r="L4216" s="0" t="n">
        <f aca="false">L4215+K4216</f>
        <v>19</v>
      </c>
    </row>
    <row r="4217" customFormat="false" ht="15" hidden="true" customHeight="true" outlineLevel="0" collapsed="false">
      <c r="K4217" s="0" t="n">
        <f aca="false">IF(A4217="",0,IF(IFERROR(VLOOKUP(A4217,Skills!$A:$M,13,FALSE()),"")="COS",0,IF(OR(I4217="En cours",I4217="À venir",I4217="À planifier"),IF(AND(OR($C$3="Tous",$C$3="",C4217=$C$3),OR($E$3="Tous",$E$3="",I4217=$E$3)),1,0),0)))</f>
        <v>0</v>
      </c>
      <c r="L4217" s="0" t="n">
        <f aca="false">L4216+K4217</f>
        <v>19</v>
      </c>
    </row>
    <row r="4218" customFormat="false" ht="15" hidden="true" customHeight="true" outlineLevel="0" collapsed="false">
      <c r="K4218" s="0" t="n">
        <f aca="false">IF(A4218="",0,IF(IFERROR(VLOOKUP(A4218,Skills!$A:$M,13,FALSE()),"")="COS",0,IF(OR(I4218="En cours",I4218="À venir",I4218="À planifier"),IF(AND(OR($C$3="Tous",$C$3="",C4218=$C$3),OR($E$3="Tous",$E$3="",I4218=$E$3)),1,0),0)))</f>
        <v>0</v>
      </c>
      <c r="L4218" s="0" t="n">
        <f aca="false">L4217+K4218</f>
        <v>19</v>
      </c>
    </row>
    <row r="4219" customFormat="false" ht="15" hidden="true" customHeight="true" outlineLevel="0" collapsed="false">
      <c r="K4219" s="0" t="n">
        <f aca="false">IF(A4219="",0,IF(IFERROR(VLOOKUP(A4219,Skills!$A:$M,13,FALSE()),"")="COS",0,IF(OR(I4219="En cours",I4219="À venir",I4219="À planifier"),IF(AND(OR($C$3="Tous",$C$3="",C4219=$C$3),OR($E$3="Tous",$E$3="",I4219=$E$3)),1,0),0)))</f>
        <v>0</v>
      </c>
      <c r="L4219" s="0" t="n">
        <f aca="false">L4218+K4219</f>
        <v>19</v>
      </c>
    </row>
    <row r="4220" customFormat="false" ht="15" hidden="true" customHeight="true" outlineLevel="0" collapsed="false">
      <c r="K4220" s="0" t="n">
        <f aca="false">IF(A4220="",0,IF(IFERROR(VLOOKUP(A4220,Skills!$A:$M,13,FALSE()),"")="COS",0,IF(OR(I4220="En cours",I4220="À venir",I4220="À planifier"),IF(AND(OR($C$3="Tous",$C$3="",C4220=$C$3),OR($E$3="Tous",$E$3="",I4220=$E$3)),1,0),0)))</f>
        <v>0</v>
      </c>
      <c r="L4220" s="0" t="n">
        <f aca="false">L4219+K4220</f>
        <v>19</v>
      </c>
    </row>
    <row r="4221" customFormat="false" ht="15" hidden="true" customHeight="true" outlineLevel="0" collapsed="false">
      <c r="K4221" s="0" t="n">
        <f aca="false">IF(A4221="",0,IF(IFERROR(VLOOKUP(A4221,Skills!$A:$M,13,FALSE()),"")="COS",0,IF(OR(I4221="En cours",I4221="À venir",I4221="À planifier"),IF(AND(OR($C$3="Tous",$C$3="",C4221=$C$3),OR($E$3="Tous",$E$3="",I4221=$E$3)),1,0),0)))</f>
        <v>0</v>
      </c>
      <c r="L4221" s="0" t="n">
        <f aca="false">L4220+K4221</f>
        <v>19</v>
      </c>
    </row>
    <row r="4222" customFormat="false" ht="15" hidden="true" customHeight="true" outlineLevel="0" collapsed="false">
      <c r="K4222" s="0" t="n">
        <f aca="false">IF(A4222="",0,IF(IFERROR(VLOOKUP(A4222,Skills!$A:$M,13,FALSE()),"")="COS",0,IF(OR(I4222="En cours",I4222="À venir",I4222="À planifier"),IF(AND(OR($C$3="Tous",$C$3="",C4222=$C$3),OR($E$3="Tous",$E$3="",I4222=$E$3)),1,0),0)))</f>
        <v>0</v>
      </c>
      <c r="L4222" s="0" t="n">
        <f aca="false">L4221+K4222</f>
        <v>19</v>
      </c>
    </row>
    <row r="4223" customFormat="false" ht="15" hidden="true" customHeight="true" outlineLevel="0" collapsed="false">
      <c r="K4223" s="0" t="n">
        <f aca="false">IF(A4223="",0,IF(IFERROR(VLOOKUP(A4223,Skills!$A:$M,13,FALSE()),"")="COS",0,IF(OR(I4223="En cours",I4223="À venir",I4223="À planifier"),IF(AND(OR($C$3="Tous",$C$3="",C4223=$C$3),OR($E$3="Tous",$E$3="",I4223=$E$3)),1,0),0)))</f>
        <v>0</v>
      </c>
      <c r="L4223" s="0" t="n">
        <f aca="false">L4222+K4223</f>
        <v>19</v>
      </c>
    </row>
    <row r="4224" customFormat="false" ht="15" hidden="true" customHeight="true" outlineLevel="0" collapsed="false">
      <c r="K4224" s="0" t="n">
        <f aca="false">IF(A4224="",0,IF(IFERROR(VLOOKUP(A4224,Skills!$A:$M,13,FALSE()),"")="COS",0,IF(OR(I4224="En cours",I4224="À venir",I4224="À planifier"),IF(AND(OR($C$3="Tous",$C$3="",C4224=$C$3),OR($E$3="Tous",$E$3="",I4224=$E$3)),1,0),0)))</f>
        <v>0</v>
      </c>
      <c r="L4224" s="0" t="n">
        <f aca="false">L4223+K4224</f>
        <v>19</v>
      </c>
    </row>
    <row r="4225" customFormat="false" ht="15" hidden="true" customHeight="true" outlineLevel="0" collapsed="false">
      <c r="K4225" s="0" t="n">
        <f aca="false">IF(A4225="",0,IF(IFERROR(VLOOKUP(A4225,Skills!$A:$M,13,FALSE()),"")="COS",0,IF(OR(I4225="En cours",I4225="À venir",I4225="À planifier"),IF(AND(OR($C$3="Tous",$C$3="",C4225=$C$3),OR($E$3="Tous",$E$3="",I4225=$E$3)),1,0),0)))</f>
        <v>0</v>
      </c>
      <c r="L4225" s="0" t="n">
        <f aca="false">L4224+K4225</f>
        <v>19</v>
      </c>
    </row>
    <row r="4226" customFormat="false" ht="15" hidden="true" customHeight="true" outlineLevel="0" collapsed="false">
      <c r="K4226" s="0" t="n">
        <f aca="false">IF(A4226="",0,IF(IFERROR(VLOOKUP(A4226,Skills!$A:$M,13,FALSE()),"")="COS",0,IF(OR(I4226="En cours",I4226="À venir",I4226="À planifier"),IF(AND(OR($C$3="Tous",$C$3="",C4226=$C$3),OR($E$3="Tous",$E$3="",I4226=$E$3)),1,0),0)))</f>
        <v>0</v>
      </c>
      <c r="L4226" s="0" t="n">
        <f aca="false">L4225+K4226</f>
        <v>19</v>
      </c>
    </row>
    <row r="4227" customFormat="false" ht="15" hidden="true" customHeight="true" outlineLevel="0" collapsed="false">
      <c r="K4227" s="0" t="n">
        <f aca="false">IF(A4227="",0,IF(IFERROR(VLOOKUP(A4227,Skills!$A:$M,13,FALSE()),"")="COS",0,IF(OR(I4227="En cours",I4227="À venir",I4227="À planifier"),IF(AND(OR($C$3="Tous",$C$3="",C4227=$C$3),OR($E$3="Tous",$E$3="",I4227=$E$3)),1,0),0)))</f>
        <v>0</v>
      </c>
      <c r="L4227" s="0" t="n">
        <f aca="false">L4226+K4227</f>
        <v>19</v>
      </c>
    </row>
    <row r="4228" customFormat="false" ht="15" hidden="true" customHeight="true" outlineLevel="0" collapsed="false">
      <c r="K4228" s="0" t="n">
        <f aca="false">IF(A4228="",0,IF(IFERROR(VLOOKUP(A4228,Skills!$A:$M,13,FALSE()),"")="COS",0,IF(OR(I4228="En cours",I4228="À venir",I4228="À planifier"),IF(AND(OR($C$3="Tous",$C$3="",C4228=$C$3),OR($E$3="Tous",$E$3="",I4228=$E$3)),1,0),0)))</f>
        <v>0</v>
      </c>
      <c r="L4228" s="0" t="n">
        <f aca="false">L4227+K4228</f>
        <v>19</v>
      </c>
    </row>
    <row r="4229" customFormat="false" ht="15" hidden="true" customHeight="true" outlineLevel="0" collapsed="false">
      <c r="K4229" s="0" t="n">
        <f aca="false">IF(A4229="",0,IF(IFERROR(VLOOKUP(A4229,Skills!$A:$M,13,FALSE()),"")="COS",0,IF(OR(I4229="En cours",I4229="À venir",I4229="À planifier"),IF(AND(OR($C$3="Tous",$C$3="",C4229=$C$3),OR($E$3="Tous",$E$3="",I4229=$E$3)),1,0),0)))</f>
        <v>0</v>
      </c>
      <c r="L4229" s="0" t="n">
        <f aca="false">L4228+K4229</f>
        <v>19</v>
      </c>
    </row>
    <row r="4230" customFormat="false" ht="15" hidden="true" customHeight="true" outlineLevel="0" collapsed="false">
      <c r="K4230" s="0" t="n">
        <f aca="false">IF(A4230="",0,IF(IFERROR(VLOOKUP(A4230,Skills!$A:$M,13,FALSE()),"")="COS",0,IF(OR(I4230="En cours",I4230="À venir",I4230="À planifier"),IF(AND(OR($C$3="Tous",$C$3="",C4230=$C$3),OR($E$3="Tous",$E$3="",I4230=$E$3)),1,0),0)))</f>
        <v>0</v>
      </c>
      <c r="L4230" s="0" t="n">
        <f aca="false">L4229+K4230</f>
        <v>19</v>
      </c>
    </row>
    <row r="4231" customFormat="false" ht="15" hidden="true" customHeight="true" outlineLevel="0" collapsed="false">
      <c r="K4231" s="0" t="n">
        <f aca="false">IF(A4231="",0,IF(IFERROR(VLOOKUP(A4231,Skills!$A:$M,13,FALSE()),"")="COS",0,IF(OR(I4231="En cours",I4231="À venir",I4231="À planifier"),IF(AND(OR($C$3="Tous",$C$3="",C4231=$C$3),OR($E$3="Tous",$E$3="",I4231=$E$3)),1,0),0)))</f>
        <v>0</v>
      </c>
      <c r="L4231" s="0" t="n">
        <f aca="false">L4230+K4231</f>
        <v>19</v>
      </c>
    </row>
    <row r="4232" customFormat="false" ht="15" hidden="true" customHeight="true" outlineLevel="0" collapsed="false">
      <c r="K4232" s="0" t="n">
        <f aca="false">IF(A4232="",0,IF(IFERROR(VLOOKUP(A4232,Skills!$A:$M,13,FALSE()),"")="COS",0,IF(OR(I4232="En cours",I4232="À venir",I4232="À planifier"),IF(AND(OR($C$3="Tous",$C$3="",C4232=$C$3),OR($E$3="Tous",$E$3="",I4232=$E$3)),1,0),0)))</f>
        <v>0</v>
      </c>
      <c r="L4232" s="0" t="n">
        <f aca="false">L4231+K4232</f>
        <v>19</v>
      </c>
    </row>
    <row r="4233" customFormat="false" ht="15" hidden="true" customHeight="true" outlineLevel="0" collapsed="false">
      <c r="K4233" s="0" t="n">
        <f aca="false">IF(A4233="",0,IF(IFERROR(VLOOKUP(A4233,Skills!$A:$M,13,FALSE()),"")="COS",0,IF(OR(I4233="En cours",I4233="À venir",I4233="À planifier"),IF(AND(OR($C$3="Tous",$C$3="",C4233=$C$3),OR($E$3="Tous",$E$3="",I4233=$E$3)),1,0),0)))</f>
        <v>0</v>
      </c>
      <c r="L4233" s="0" t="n">
        <f aca="false">L4232+K4233</f>
        <v>19</v>
      </c>
    </row>
    <row r="4234" customFormat="false" ht="15" hidden="true" customHeight="true" outlineLevel="0" collapsed="false">
      <c r="K4234" s="0" t="n">
        <f aca="false">IF(A4234="",0,IF(IFERROR(VLOOKUP(A4234,Skills!$A:$M,13,FALSE()),"")="COS",0,IF(OR(I4234="En cours",I4234="À venir",I4234="À planifier"),IF(AND(OR($C$3="Tous",$C$3="",C4234=$C$3),OR($E$3="Tous",$E$3="",I4234=$E$3)),1,0),0)))</f>
        <v>0</v>
      </c>
      <c r="L4234" s="0" t="n">
        <f aca="false">L4233+K4234</f>
        <v>19</v>
      </c>
    </row>
    <row r="4235" customFormat="false" ht="15" hidden="true" customHeight="true" outlineLevel="0" collapsed="false">
      <c r="K4235" s="0" t="n">
        <f aca="false">IF(A4235="",0,IF(IFERROR(VLOOKUP(A4235,Skills!$A:$M,13,FALSE()),"")="COS",0,IF(OR(I4235="En cours",I4235="À venir",I4235="À planifier"),IF(AND(OR($C$3="Tous",$C$3="",C4235=$C$3),OR($E$3="Tous",$E$3="",I4235=$E$3)),1,0),0)))</f>
        <v>0</v>
      </c>
      <c r="L4235" s="0" t="n">
        <f aca="false">L4234+K4235</f>
        <v>19</v>
      </c>
    </row>
    <row r="4236" customFormat="false" ht="15" hidden="true" customHeight="true" outlineLevel="0" collapsed="false">
      <c r="K4236" s="0" t="n">
        <f aca="false">IF(A4236="",0,IF(IFERROR(VLOOKUP(A4236,Skills!$A:$M,13,FALSE()),"")="COS",0,IF(OR(I4236="En cours",I4236="À venir",I4236="À planifier"),IF(AND(OR($C$3="Tous",$C$3="",C4236=$C$3),OR($E$3="Tous",$E$3="",I4236=$E$3)),1,0),0)))</f>
        <v>0</v>
      </c>
      <c r="L4236" s="0" t="n">
        <f aca="false">L4235+K4236</f>
        <v>19</v>
      </c>
    </row>
    <row r="4237" customFormat="false" ht="15" hidden="true" customHeight="true" outlineLevel="0" collapsed="false">
      <c r="K4237" s="0" t="n">
        <f aca="false">IF(A4237="",0,IF(IFERROR(VLOOKUP(A4237,Skills!$A:$M,13,FALSE()),"")="COS",0,IF(OR(I4237="En cours",I4237="À venir",I4237="À planifier"),IF(AND(OR($C$3="Tous",$C$3="",C4237=$C$3),OR($E$3="Tous",$E$3="",I4237=$E$3)),1,0),0)))</f>
        <v>0</v>
      </c>
      <c r="L4237" s="0" t="n">
        <f aca="false">L4236+K4237</f>
        <v>19</v>
      </c>
    </row>
    <row r="4238" customFormat="false" ht="15" hidden="true" customHeight="true" outlineLevel="0" collapsed="false">
      <c r="K4238" s="0" t="n">
        <f aca="false">IF(A4238="",0,IF(IFERROR(VLOOKUP(A4238,Skills!$A:$M,13,FALSE()),"")="COS",0,IF(OR(I4238="En cours",I4238="À venir",I4238="À planifier"),IF(AND(OR($C$3="Tous",$C$3="",C4238=$C$3),OR($E$3="Tous",$E$3="",I4238=$E$3)),1,0),0)))</f>
        <v>0</v>
      </c>
      <c r="L4238" s="0" t="n">
        <f aca="false">L4237+K4238</f>
        <v>19</v>
      </c>
    </row>
    <row r="4239" customFormat="false" ht="15" hidden="true" customHeight="true" outlineLevel="0" collapsed="false">
      <c r="K4239" s="0" t="n">
        <f aca="false">IF(A4239="",0,IF(IFERROR(VLOOKUP(A4239,Skills!$A:$M,13,FALSE()),"")="COS",0,IF(OR(I4239="En cours",I4239="À venir",I4239="À planifier"),IF(AND(OR($C$3="Tous",$C$3="",C4239=$C$3),OR($E$3="Tous",$E$3="",I4239=$E$3)),1,0),0)))</f>
        <v>0</v>
      </c>
      <c r="L4239" s="0" t="n">
        <f aca="false">L4238+K4239</f>
        <v>19</v>
      </c>
    </row>
    <row r="4240" customFormat="false" ht="15" hidden="true" customHeight="true" outlineLevel="0" collapsed="false">
      <c r="K4240" s="0" t="n">
        <f aca="false">IF(A4240="",0,IF(IFERROR(VLOOKUP(A4240,Skills!$A:$M,13,FALSE()),"")="COS",0,IF(OR(I4240="En cours",I4240="À venir",I4240="À planifier"),IF(AND(OR($C$3="Tous",$C$3="",C4240=$C$3),OR($E$3="Tous",$E$3="",I4240=$E$3)),1,0),0)))</f>
        <v>0</v>
      </c>
      <c r="L4240" s="0" t="n">
        <f aca="false">L4239+K4240</f>
        <v>19</v>
      </c>
    </row>
    <row r="4241" customFormat="false" ht="15" hidden="true" customHeight="true" outlineLevel="0" collapsed="false">
      <c r="K4241" s="0" t="n">
        <f aca="false">IF(A4241="",0,IF(IFERROR(VLOOKUP(A4241,Skills!$A:$M,13,FALSE()),"")="COS",0,IF(OR(I4241="En cours",I4241="À venir",I4241="À planifier"),IF(AND(OR($C$3="Tous",$C$3="",C4241=$C$3),OR($E$3="Tous",$E$3="",I4241=$E$3)),1,0),0)))</f>
        <v>0</v>
      </c>
      <c r="L4241" s="0" t="n">
        <f aca="false">L4240+K4241</f>
        <v>19</v>
      </c>
    </row>
    <row r="4242" customFormat="false" ht="15" hidden="true" customHeight="true" outlineLevel="0" collapsed="false">
      <c r="K4242" s="0" t="n">
        <f aca="false">IF(A4242="",0,IF(IFERROR(VLOOKUP(A4242,Skills!$A:$M,13,FALSE()),"")="COS",0,IF(OR(I4242="En cours",I4242="À venir",I4242="À planifier"),IF(AND(OR($C$3="Tous",$C$3="",C4242=$C$3),OR($E$3="Tous",$E$3="",I4242=$E$3)),1,0),0)))</f>
        <v>0</v>
      </c>
      <c r="L4242" s="0" t="n">
        <f aca="false">L4241+K4242</f>
        <v>19</v>
      </c>
    </row>
    <row r="4243" customFormat="false" ht="15" hidden="true" customHeight="true" outlineLevel="0" collapsed="false">
      <c r="K4243" s="0" t="n">
        <f aca="false">IF(A4243="",0,IF(IFERROR(VLOOKUP(A4243,Skills!$A:$M,13,FALSE()),"")="COS",0,IF(OR(I4243="En cours",I4243="À venir",I4243="À planifier"),IF(AND(OR($C$3="Tous",$C$3="",C4243=$C$3),OR($E$3="Tous",$E$3="",I4243=$E$3)),1,0),0)))</f>
        <v>0</v>
      </c>
      <c r="L4243" s="0" t="n">
        <f aca="false">L4242+K4243</f>
        <v>19</v>
      </c>
    </row>
    <row r="4244" customFormat="false" ht="15" hidden="true" customHeight="true" outlineLevel="0" collapsed="false">
      <c r="K4244" s="0" t="n">
        <f aca="false">IF(A4244="",0,IF(IFERROR(VLOOKUP(A4244,Skills!$A:$M,13,FALSE()),"")="COS",0,IF(OR(I4244="En cours",I4244="À venir",I4244="À planifier"),IF(AND(OR($C$3="Tous",$C$3="",C4244=$C$3),OR($E$3="Tous",$E$3="",I4244=$E$3)),1,0),0)))</f>
        <v>0</v>
      </c>
      <c r="L4244" s="0" t="n">
        <f aca="false">L4243+K4244</f>
        <v>19</v>
      </c>
    </row>
    <row r="4245" customFormat="false" ht="15" hidden="true" customHeight="true" outlineLevel="0" collapsed="false">
      <c r="K4245" s="0" t="n">
        <f aca="false">IF(A4245="",0,IF(IFERROR(VLOOKUP(A4245,Skills!$A:$M,13,FALSE()),"")="COS",0,IF(OR(I4245="En cours",I4245="À venir",I4245="À planifier"),IF(AND(OR($C$3="Tous",$C$3="",C4245=$C$3),OR($E$3="Tous",$E$3="",I4245=$E$3)),1,0),0)))</f>
        <v>0</v>
      </c>
      <c r="L4245" s="0" t="n">
        <f aca="false">L4244+K4245</f>
        <v>19</v>
      </c>
    </row>
    <row r="4246" customFormat="false" ht="15" hidden="true" customHeight="true" outlineLevel="0" collapsed="false">
      <c r="K4246" s="0" t="n">
        <f aca="false">IF(A4246="",0,IF(IFERROR(VLOOKUP(A4246,Skills!$A:$M,13,FALSE()),"")="COS",0,IF(OR(I4246="En cours",I4246="À venir",I4246="À planifier"),IF(AND(OR($C$3="Tous",$C$3="",C4246=$C$3),OR($E$3="Tous",$E$3="",I4246=$E$3)),1,0),0)))</f>
        <v>0</v>
      </c>
      <c r="L4246" s="0" t="n">
        <f aca="false">L4245+K4246</f>
        <v>19</v>
      </c>
    </row>
    <row r="4247" customFormat="false" ht="15" hidden="true" customHeight="true" outlineLevel="0" collapsed="false">
      <c r="K4247" s="0" t="n">
        <f aca="false">IF(A4247="",0,IF(IFERROR(VLOOKUP(A4247,Skills!$A:$M,13,FALSE()),"")="COS",0,IF(OR(I4247="En cours",I4247="À venir",I4247="À planifier"),IF(AND(OR($C$3="Tous",$C$3="",C4247=$C$3),OR($E$3="Tous",$E$3="",I4247=$E$3)),1,0),0)))</f>
        <v>0</v>
      </c>
      <c r="L4247" s="0" t="n">
        <f aca="false">L4246+K4247</f>
        <v>19</v>
      </c>
    </row>
    <row r="4248" customFormat="false" ht="15" hidden="true" customHeight="true" outlineLevel="0" collapsed="false">
      <c r="K4248" s="0" t="n">
        <f aca="false">IF(A4248="",0,IF(IFERROR(VLOOKUP(A4248,Skills!$A:$M,13,FALSE()),"")="COS",0,IF(OR(I4248="En cours",I4248="À venir",I4248="À planifier"),IF(AND(OR($C$3="Tous",$C$3="",C4248=$C$3),OR($E$3="Tous",$E$3="",I4248=$E$3)),1,0),0)))</f>
        <v>0</v>
      </c>
      <c r="L4248" s="0" t="n">
        <f aca="false">L4247+K4248</f>
        <v>19</v>
      </c>
    </row>
    <row r="4249" customFormat="false" ht="15" hidden="true" customHeight="true" outlineLevel="0" collapsed="false">
      <c r="K4249" s="0" t="n">
        <f aca="false">IF(A4249="",0,IF(IFERROR(VLOOKUP(A4249,Skills!$A:$M,13,FALSE()),"")="COS",0,IF(OR(I4249="En cours",I4249="À venir",I4249="À planifier"),IF(AND(OR($C$3="Tous",$C$3="",C4249=$C$3),OR($E$3="Tous",$E$3="",I4249=$E$3)),1,0),0)))</f>
        <v>0</v>
      </c>
      <c r="L4249" s="0" t="n">
        <f aca="false">L4248+K4249</f>
        <v>19</v>
      </c>
    </row>
    <row r="4250" customFormat="false" ht="15" hidden="true" customHeight="true" outlineLevel="0" collapsed="false">
      <c r="K4250" s="0" t="n">
        <f aca="false">IF(A4250="",0,IF(IFERROR(VLOOKUP(A4250,Skills!$A:$M,13,FALSE()),"")="COS",0,IF(OR(I4250="En cours",I4250="À venir",I4250="À planifier"),IF(AND(OR($C$3="Tous",$C$3="",C4250=$C$3),OR($E$3="Tous",$E$3="",I4250=$E$3)),1,0),0)))</f>
        <v>0</v>
      </c>
      <c r="L4250" s="0" t="n">
        <f aca="false">L4249+K4250</f>
        <v>19</v>
      </c>
    </row>
    <row r="4251" customFormat="false" ht="15" hidden="true" customHeight="true" outlineLevel="0" collapsed="false">
      <c r="K4251" s="0" t="n">
        <f aca="false">IF(A4251="",0,IF(IFERROR(VLOOKUP(A4251,Skills!$A:$M,13,FALSE()),"")="COS",0,IF(OR(I4251="En cours",I4251="À venir",I4251="À planifier"),IF(AND(OR($C$3="Tous",$C$3="",C4251=$C$3),OR($E$3="Tous",$E$3="",I4251=$E$3)),1,0),0)))</f>
        <v>0</v>
      </c>
      <c r="L4251" s="0" t="n">
        <f aca="false">L4250+K4251</f>
        <v>19</v>
      </c>
    </row>
    <row r="4252" customFormat="false" ht="15" hidden="true" customHeight="true" outlineLevel="0" collapsed="false">
      <c r="K4252" s="0" t="n">
        <f aca="false">IF(A4252="",0,IF(IFERROR(VLOOKUP(A4252,Skills!$A:$M,13,FALSE()),"")="COS",0,IF(OR(I4252="En cours",I4252="À venir",I4252="À planifier"),IF(AND(OR($C$3="Tous",$C$3="",C4252=$C$3),OR($E$3="Tous",$E$3="",I4252=$E$3)),1,0),0)))</f>
        <v>0</v>
      </c>
      <c r="L4252" s="0" t="n">
        <f aca="false">L4251+K4252</f>
        <v>19</v>
      </c>
    </row>
    <row r="4253" customFormat="false" ht="15" hidden="true" customHeight="true" outlineLevel="0" collapsed="false">
      <c r="K4253" s="0" t="n">
        <f aca="false">IF(A4253="",0,IF(IFERROR(VLOOKUP(A4253,Skills!$A:$M,13,FALSE()),"")="COS",0,IF(OR(I4253="En cours",I4253="À venir",I4253="À planifier"),IF(AND(OR($C$3="Tous",$C$3="",C4253=$C$3),OR($E$3="Tous",$E$3="",I4253=$E$3)),1,0),0)))</f>
        <v>0</v>
      </c>
      <c r="L4253" s="0" t="n">
        <f aca="false">L4252+K4253</f>
        <v>19</v>
      </c>
    </row>
    <row r="4254" customFormat="false" ht="15" hidden="true" customHeight="true" outlineLevel="0" collapsed="false">
      <c r="K4254" s="0" t="n">
        <f aca="false">IF(A4254="",0,IF(IFERROR(VLOOKUP(A4254,Skills!$A:$M,13,FALSE()),"")="COS",0,IF(OR(I4254="En cours",I4254="À venir",I4254="À planifier"),IF(AND(OR($C$3="Tous",$C$3="",C4254=$C$3),OR($E$3="Tous",$E$3="",I4254=$E$3)),1,0),0)))</f>
        <v>0</v>
      </c>
      <c r="L4254" s="0" t="n">
        <f aca="false">L4253+K4254</f>
        <v>19</v>
      </c>
    </row>
    <row r="4255" customFormat="false" ht="15" hidden="true" customHeight="true" outlineLevel="0" collapsed="false">
      <c r="K4255" s="0" t="n">
        <f aca="false">IF(A4255="",0,IF(IFERROR(VLOOKUP(A4255,Skills!$A:$M,13,FALSE()),"")="COS",0,IF(OR(I4255="En cours",I4255="À venir",I4255="À planifier"),IF(AND(OR($C$3="Tous",$C$3="",C4255=$C$3),OR($E$3="Tous",$E$3="",I4255=$E$3)),1,0),0)))</f>
        <v>0</v>
      </c>
      <c r="L4255" s="0" t="n">
        <f aca="false">L4254+K4255</f>
        <v>19</v>
      </c>
    </row>
    <row r="4256" customFormat="false" ht="15" hidden="true" customHeight="true" outlineLevel="0" collapsed="false">
      <c r="K4256" s="0" t="n">
        <f aca="false">IF(A4256="",0,IF(IFERROR(VLOOKUP(A4256,Skills!$A:$M,13,FALSE()),"")="COS",0,IF(OR(I4256="En cours",I4256="À venir",I4256="À planifier"),IF(AND(OR($C$3="Tous",$C$3="",C4256=$C$3),OR($E$3="Tous",$E$3="",I4256=$E$3)),1,0),0)))</f>
        <v>0</v>
      </c>
      <c r="L4256" s="0" t="n">
        <f aca="false">L4255+K4256</f>
        <v>19</v>
      </c>
    </row>
    <row r="4257" customFormat="false" ht="15" hidden="true" customHeight="true" outlineLevel="0" collapsed="false">
      <c r="K4257" s="0" t="n">
        <f aca="false">IF(A4257="",0,IF(IFERROR(VLOOKUP(A4257,Skills!$A:$M,13,FALSE()),"")="COS",0,IF(OR(I4257="En cours",I4257="À venir",I4257="À planifier"),IF(AND(OR($C$3="Tous",$C$3="",C4257=$C$3),OR($E$3="Tous",$E$3="",I4257=$E$3)),1,0),0)))</f>
        <v>0</v>
      </c>
      <c r="L4257" s="0" t="n">
        <f aca="false">L4256+K4257</f>
        <v>19</v>
      </c>
    </row>
    <row r="4258" customFormat="false" ht="15" hidden="true" customHeight="true" outlineLevel="0" collapsed="false">
      <c r="K4258" s="0" t="n">
        <f aca="false">IF(A4258="",0,IF(IFERROR(VLOOKUP(A4258,Skills!$A:$M,13,FALSE()),"")="COS",0,IF(OR(I4258="En cours",I4258="À venir",I4258="À planifier"),IF(AND(OR($C$3="Tous",$C$3="",C4258=$C$3),OR($E$3="Tous",$E$3="",I4258=$E$3)),1,0),0)))</f>
        <v>0</v>
      </c>
      <c r="L4258" s="0" t="n">
        <f aca="false">L4257+K4258</f>
        <v>19</v>
      </c>
    </row>
    <row r="4259" customFormat="false" ht="15" hidden="true" customHeight="true" outlineLevel="0" collapsed="false">
      <c r="K4259" s="0" t="n">
        <f aca="false">IF(A4259="",0,IF(IFERROR(VLOOKUP(A4259,Skills!$A:$M,13,FALSE()),"")="COS",0,IF(OR(I4259="En cours",I4259="À venir",I4259="À planifier"),IF(AND(OR($C$3="Tous",$C$3="",C4259=$C$3),OR($E$3="Tous",$E$3="",I4259=$E$3)),1,0),0)))</f>
        <v>0</v>
      </c>
      <c r="L4259" s="0" t="n">
        <f aca="false">L4258+K4259</f>
        <v>19</v>
      </c>
    </row>
    <row r="4260" customFormat="false" ht="15" hidden="true" customHeight="true" outlineLevel="0" collapsed="false">
      <c r="K4260" s="0" t="n">
        <f aca="false">IF(A4260="",0,IF(IFERROR(VLOOKUP(A4260,Skills!$A:$M,13,FALSE()),"")="COS",0,IF(OR(I4260="En cours",I4260="À venir",I4260="À planifier"),IF(AND(OR($C$3="Tous",$C$3="",C4260=$C$3),OR($E$3="Tous",$E$3="",I4260=$E$3)),1,0),0)))</f>
        <v>0</v>
      </c>
      <c r="L4260" s="0" t="n">
        <f aca="false">L4259+K4260</f>
        <v>19</v>
      </c>
    </row>
    <row r="4261" customFormat="false" ht="15" hidden="true" customHeight="true" outlineLevel="0" collapsed="false">
      <c r="K4261" s="0" t="n">
        <f aca="false">IF(A4261="",0,IF(IFERROR(VLOOKUP(A4261,Skills!$A:$M,13,FALSE()),"")="COS",0,IF(OR(I4261="En cours",I4261="À venir",I4261="À planifier"),IF(AND(OR($C$3="Tous",$C$3="",C4261=$C$3),OR($E$3="Tous",$E$3="",I4261=$E$3)),1,0),0)))</f>
        <v>0</v>
      </c>
      <c r="L4261" s="0" t="n">
        <f aca="false">L4260+K4261</f>
        <v>19</v>
      </c>
    </row>
    <row r="4262" customFormat="false" ht="15" hidden="true" customHeight="true" outlineLevel="0" collapsed="false">
      <c r="K4262" s="0" t="n">
        <f aca="false">IF(A4262="",0,IF(IFERROR(VLOOKUP(A4262,Skills!$A:$M,13,FALSE()),"")="COS",0,IF(OR(I4262="En cours",I4262="À venir",I4262="À planifier"),IF(AND(OR($C$3="Tous",$C$3="",C4262=$C$3),OR($E$3="Tous",$E$3="",I4262=$E$3)),1,0),0)))</f>
        <v>0</v>
      </c>
      <c r="L4262" s="0" t="n">
        <f aca="false">L4261+K4262</f>
        <v>19</v>
      </c>
    </row>
    <row r="4263" customFormat="false" ht="15" hidden="true" customHeight="true" outlineLevel="0" collapsed="false">
      <c r="K4263" s="0" t="n">
        <f aca="false">IF(A4263="",0,IF(IFERROR(VLOOKUP(A4263,Skills!$A:$M,13,FALSE()),"")="COS",0,IF(OR(I4263="En cours",I4263="À venir",I4263="À planifier"),IF(AND(OR($C$3="Tous",$C$3="",C4263=$C$3),OR($E$3="Tous",$E$3="",I4263=$E$3)),1,0),0)))</f>
        <v>0</v>
      </c>
      <c r="L4263" s="0" t="n">
        <f aca="false">L4262+K4263</f>
        <v>19</v>
      </c>
    </row>
    <row r="4264" customFormat="false" ht="15" hidden="true" customHeight="true" outlineLevel="0" collapsed="false">
      <c r="K4264" s="0" t="n">
        <f aca="false">IF(A4264="",0,IF(IFERROR(VLOOKUP(A4264,Skills!$A:$M,13,FALSE()),"")="COS",0,IF(OR(I4264="En cours",I4264="À venir",I4264="À planifier"),IF(AND(OR($C$3="Tous",$C$3="",C4264=$C$3),OR($E$3="Tous",$E$3="",I4264=$E$3)),1,0),0)))</f>
        <v>0</v>
      </c>
      <c r="L4264" s="0" t="n">
        <f aca="false">L4263+K4264</f>
        <v>19</v>
      </c>
    </row>
    <row r="4265" customFormat="false" ht="15" hidden="true" customHeight="true" outlineLevel="0" collapsed="false">
      <c r="K4265" s="0" t="n">
        <f aca="false">IF(A4265="",0,IF(IFERROR(VLOOKUP(A4265,Skills!$A:$M,13,FALSE()),"")="COS",0,IF(OR(I4265="En cours",I4265="À venir",I4265="À planifier"),IF(AND(OR($C$3="Tous",$C$3="",C4265=$C$3),OR($E$3="Tous",$E$3="",I4265=$E$3)),1,0),0)))</f>
        <v>0</v>
      </c>
      <c r="L4265" s="0" t="n">
        <f aca="false">L4264+K4265</f>
        <v>19</v>
      </c>
    </row>
    <row r="4266" customFormat="false" ht="15" hidden="true" customHeight="true" outlineLevel="0" collapsed="false">
      <c r="K4266" s="0" t="n">
        <f aca="false">IF(A4266="",0,IF(IFERROR(VLOOKUP(A4266,Skills!$A:$M,13,FALSE()),"")="COS",0,IF(OR(I4266="En cours",I4266="À venir",I4266="À planifier"),IF(AND(OR($C$3="Tous",$C$3="",C4266=$C$3),OR($E$3="Tous",$E$3="",I4266=$E$3)),1,0),0)))</f>
        <v>0</v>
      </c>
      <c r="L4266" s="0" t="n">
        <f aca="false">L4265+K4266</f>
        <v>19</v>
      </c>
    </row>
    <row r="4267" customFormat="false" ht="15" hidden="true" customHeight="true" outlineLevel="0" collapsed="false">
      <c r="K4267" s="0" t="n">
        <f aca="false">IF(A4267="",0,IF(IFERROR(VLOOKUP(A4267,Skills!$A:$M,13,FALSE()),"")="COS",0,IF(OR(I4267="En cours",I4267="À venir",I4267="À planifier"),IF(AND(OR($C$3="Tous",$C$3="",C4267=$C$3),OR($E$3="Tous",$E$3="",I4267=$E$3)),1,0),0)))</f>
        <v>0</v>
      </c>
      <c r="L4267" s="0" t="n">
        <f aca="false">L4266+K4267</f>
        <v>19</v>
      </c>
    </row>
    <row r="4268" customFormat="false" ht="15" hidden="true" customHeight="true" outlineLevel="0" collapsed="false">
      <c r="K4268" s="0" t="n">
        <f aca="false">IF(A4268="",0,IF(IFERROR(VLOOKUP(A4268,Skills!$A:$M,13,FALSE()),"")="COS",0,IF(OR(I4268="En cours",I4268="À venir",I4268="À planifier"),IF(AND(OR($C$3="Tous",$C$3="",C4268=$C$3),OR($E$3="Tous",$E$3="",I4268=$E$3)),1,0),0)))</f>
        <v>0</v>
      </c>
      <c r="L4268" s="0" t="n">
        <f aca="false">L4267+K4268</f>
        <v>19</v>
      </c>
    </row>
    <row r="4269" customFormat="false" ht="15" hidden="true" customHeight="true" outlineLevel="0" collapsed="false">
      <c r="K4269" s="0" t="n">
        <f aca="false">IF(A4269="",0,IF(IFERROR(VLOOKUP(A4269,Skills!$A:$M,13,FALSE()),"")="COS",0,IF(OR(I4269="En cours",I4269="À venir",I4269="À planifier"),IF(AND(OR($C$3="Tous",$C$3="",C4269=$C$3),OR($E$3="Tous",$E$3="",I4269=$E$3)),1,0),0)))</f>
        <v>0</v>
      </c>
      <c r="L4269" s="0" t="n">
        <f aca="false">L4268+K4269</f>
        <v>19</v>
      </c>
    </row>
    <row r="4270" customFormat="false" ht="15" hidden="true" customHeight="true" outlineLevel="0" collapsed="false">
      <c r="K4270" s="0" t="n">
        <f aca="false">IF(A4270="",0,IF(IFERROR(VLOOKUP(A4270,Skills!$A:$M,13,FALSE()),"")="COS",0,IF(OR(I4270="En cours",I4270="À venir",I4270="À planifier"),IF(AND(OR($C$3="Tous",$C$3="",C4270=$C$3),OR($E$3="Tous",$E$3="",I4270=$E$3)),1,0),0)))</f>
        <v>0</v>
      </c>
      <c r="L4270" s="0" t="n">
        <f aca="false">L4269+K4270</f>
        <v>19</v>
      </c>
    </row>
    <row r="4271" customFormat="false" ht="15" hidden="true" customHeight="true" outlineLevel="0" collapsed="false">
      <c r="K4271" s="0" t="n">
        <f aca="false">IF(A4271="",0,IF(IFERROR(VLOOKUP(A4271,Skills!$A:$M,13,FALSE()),"")="COS",0,IF(OR(I4271="En cours",I4271="À venir",I4271="À planifier"),IF(AND(OR($C$3="Tous",$C$3="",C4271=$C$3),OR($E$3="Tous",$E$3="",I4271=$E$3)),1,0),0)))</f>
        <v>0</v>
      </c>
      <c r="L4271" s="0" t="n">
        <f aca="false">L4270+K4271</f>
        <v>19</v>
      </c>
    </row>
    <row r="4272" customFormat="false" ht="15" hidden="true" customHeight="true" outlineLevel="0" collapsed="false">
      <c r="K4272" s="0" t="n">
        <f aca="false">IF(A4272="",0,IF(IFERROR(VLOOKUP(A4272,Skills!$A:$M,13,FALSE()),"")="COS",0,IF(OR(I4272="En cours",I4272="À venir",I4272="À planifier"),IF(AND(OR($C$3="Tous",$C$3="",C4272=$C$3),OR($E$3="Tous",$E$3="",I4272=$E$3)),1,0),0)))</f>
        <v>0</v>
      </c>
      <c r="L4272" s="0" t="n">
        <f aca="false">L4271+K4272</f>
        <v>19</v>
      </c>
    </row>
    <row r="4273" customFormat="false" ht="15" hidden="true" customHeight="true" outlineLevel="0" collapsed="false">
      <c r="K4273" s="0" t="n">
        <f aca="false">IF(A4273="",0,IF(IFERROR(VLOOKUP(A4273,Skills!$A:$M,13,FALSE()),"")="COS",0,IF(OR(I4273="En cours",I4273="À venir",I4273="À planifier"),IF(AND(OR($C$3="Tous",$C$3="",C4273=$C$3),OR($E$3="Tous",$E$3="",I4273=$E$3)),1,0),0)))</f>
        <v>0</v>
      </c>
      <c r="L4273" s="0" t="n">
        <f aca="false">L4272+K4273</f>
        <v>19</v>
      </c>
    </row>
    <row r="4274" customFormat="false" ht="15" hidden="true" customHeight="true" outlineLevel="0" collapsed="false">
      <c r="K4274" s="0" t="n">
        <f aca="false">IF(A4274="",0,IF(IFERROR(VLOOKUP(A4274,Skills!$A:$M,13,FALSE()),"")="COS",0,IF(OR(I4274="En cours",I4274="À venir",I4274="À planifier"),IF(AND(OR($C$3="Tous",$C$3="",C4274=$C$3),OR($E$3="Tous",$E$3="",I4274=$E$3)),1,0),0)))</f>
        <v>0</v>
      </c>
      <c r="L4274" s="0" t="n">
        <f aca="false">L4273+K4274</f>
        <v>19</v>
      </c>
    </row>
    <row r="4275" customFormat="false" ht="15" hidden="true" customHeight="true" outlineLevel="0" collapsed="false">
      <c r="K4275" s="0" t="n">
        <f aca="false">IF(A4275="",0,IF(IFERROR(VLOOKUP(A4275,Skills!$A:$M,13,FALSE()),"")="COS",0,IF(OR(I4275="En cours",I4275="À venir",I4275="À planifier"),IF(AND(OR($C$3="Tous",$C$3="",C4275=$C$3),OR($E$3="Tous",$E$3="",I4275=$E$3)),1,0),0)))</f>
        <v>0</v>
      </c>
      <c r="L4275" s="0" t="n">
        <f aca="false">L4274+K4275</f>
        <v>19</v>
      </c>
    </row>
    <row r="4276" customFormat="false" ht="15" hidden="true" customHeight="true" outlineLevel="0" collapsed="false">
      <c r="K4276" s="0" t="n">
        <f aca="false">IF(A4276="",0,IF(IFERROR(VLOOKUP(A4276,Skills!$A:$M,13,FALSE()),"")="COS",0,IF(OR(I4276="En cours",I4276="À venir",I4276="À planifier"),IF(AND(OR($C$3="Tous",$C$3="",C4276=$C$3),OR($E$3="Tous",$E$3="",I4276=$E$3)),1,0),0)))</f>
        <v>0</v>
      </c>
      <c r="L4276" s="0" t="n">
        <f aca="false">L4275+K4276</f>
        <v>19</v>
      </c>
    </row>
    <row r="4277" customFormat="false" ht="15" hidden="true" customHeight="true" outlineLevel="0" collapsed="false">
      <c r="K4277" s="0" t="n">
        <f aca="false">IF(A4277="",0,IF(IFERROR(VLOOKUP(A4277,Skills!$A:$M,13,FALSE()),"")="COS",0,IF(OR(I4277="En cours",I4277="À venir",I4277="À planifier"),IF(AND(OR($C$3="Tous",$C$3="",C4277=$C$3),OR($E$3="Tous",$E$3="",I4277=$E$3)),1,0),0)))</f>
        <v>0</v>
      </c>
      <c r="L4277" s="0" t="n">
        <f aca="false">L4276+K4277</f>
        <v>19</v>
      </c>
    </row>
    <row r="4278" customFormat="false" ht="15" hidden="true" customHeight="true" outlineLevel="0" collapsed="false">
      <c r="K4278" s="0" t="n">
        <f aca="false">IF(A4278="",0,IF(IFERROR(VLOOKUP(A4278,Skills!$A:$M,13,FALSE()),"")="COS",0,IF(OR(I4278="En cours",I4278="À venir",I4278="À planifier"),IF(AND(OR($C$3="Tous",$C$3="",C4278=$C$3),OR($E$3="Tous",$E$3="",I4278=$E$3)),1,0),0)))</f>
        <v>0</v>
      </c>
      <c r="L4278" s="0" t="n">
        <f aca="false">L4277+K4278</f>
        <v>19</v>
      </c>
    </row>
    <row r="4279" customFormat="false" ht="15" hidden="true" customHeight="true" outlineLevel="0" collapsed="false">
      <c r="K4279" s="0" t="n">
        <f aca="false">IF(A4279="",0,IF(IFERROR(VLOOKUP(A4279,Skills!$A:$M,13,FALSE()),"")="COS",0,IF(OR(I4279="En cours",I4279="À venir",I4279="À planifier"),IF(AND(OR($C$3="Tous",$C$3="",C4279=$C$3),OR($E$3="Tous",$E$3="",I4279=$E$3)),1,0),0)))</f>
        <v>0</v>
      </c>
      <c r="L4279" s="0" t="n">
        <f aca="false">L4278+K4279</f>
        <v>19</v>
      </c>
    </row>
    <row r="4280" customFormat="false" ht="15" hidden="true" customHeight="true" outlineLevel="0" collapsed="false">
      <c r="K4280" s="0" t="n">
        <f aca="false">IF(A4280="",0,IF(IFERROR(VLOOKUP(A4280,Skills!$A:$M,13,FALSE()),"")="COS",0,IF(OR(I4280="En cours",I4280="À venir",I4280="À planifier"),IF(AND(OR($C$3="Tous",$C$3="",C4280=$C$3),OR($E$3="Tous",$E$3="",I4280=$E$3)),1,0),0)))</f>
        <v>0</v>
      </c>
      <c r="L4280" s="0" t="n">
        <f aca="false">L4279+K4280</f>
        <v>19</v>
      </c>
    </row>
    <row r="4281" customFormat="false" ht="15" hidden="true" customHeight="true" outlineLevel="0" collapsed="false">
      <c r="K4281" s="0" t="n">
        <f aca="false">IF(A4281="",0,IF(IFERROR(VLOOKUP(A4281,Skills!$A:$M,13,FALSE()),"")="COS",0,IF(OR(I4281="En cours",I4281="À venir",I4281="À planifier"),IF(AND(OR($C$3="Tous",$C$3="",C4281=$C$3),OR($E$3="Tous",$E$3="",I4281=$E$3)),1,0),0)))</f>
        <v>0</v>
      </c>
      <c r="L4281" s="0" t="n">
        <f aca="false">L4280+K4281</f>
        <v>19</v>
      </c>
    </row>
    <row r="4282" customFormat="false" ht="15" hidden="true" customHeight="true" outlineLevel="0" collapsed="false">
      <c r="K4282" s="0" t="n">
        <f aca="false">IF(A4282="",0,IF(IFERROR(VLOOKUP(A4282,Skills!$A:$M,13,FALSE()),"")="COS",0,IF(OR(I4282="En cours",I4282="À venir",I4282="À planifier"),IF(AND(OR($C$3="Tous",$C$3="",C4282=$C$3),OR($E$3="Tous",$E$3="",I4282=$E$3)),1,0),0)))</f>
        <v>0</v>
      </c>
      <c r="L4282" s="0" t="n">
        <f aca="false">L4281+K4282</f>
        <v>19</v>
      </c>
    </row>
    <row r="4283" customFormat="false" ht="15" hidden="true" customHeight="true" outlineLevel="0" collapsed="false">
      <c r="K4283" s="0" t="n">
        <f aca="false">IF(A4283="",0,IF(IFERROR(VLOOKUP(A4283,Skills!$A:$M,13,FALSE()),"")="COS",0,IF(OR(I4283="En cours",I4283="À venir",I4283="À planifier"),IF(AND(OR($C$3="Tous",$C$3="",C4283=$C$3),OR($E$3="Tous",$E$3="",I4283=$E$3)),1,0),0)))</f>
        <v>0</v>
      </c>
      <c r="L4283" s="0" t="n">
        <f aca="false">L4282+K4283</f>
        <v>19</v>
      </c>
    </row>
    <row r="4284" customFormat="false" ht="15" hidden="true" customHeight="true" outlineLevel="0" collapsed="false">
      <c r="K4284" s="0" t="n">
        <f aca="false">IF(A4284="",0,IF(IFERROR(VLOOKUP(A4284,Skills!$A:$M,13,FALSE()),"")="COS",0,IF(OR(I4284="En cours",I4284="À venir",I4284="À planifier"),IF(AND(OR($C$3="Tous",$C$3="",C4284=$C$3),OR($E$3="Tous",$E$3="",I4284=$E$3)),1,0),0)))</f>
        <v>0</v>
      </c>
      <c r="L4284" s="0" t="n">
        <f aca="false">L4283+K4284</f>
        <v>19</v>
      </c>
    </row>
    <row r="4285" customFormat="false" ht="15" hidden="true" customHeight="true" outlineLevel="0" collapsed="false">
      <c r="K4285" s="0" t="n">
        <f aca="false">IF(A4285="",0,IF(IFERROR(VLOOKUP(A4285,Skills!$A:$M,13,FALSE()),"")="COS",0,IF(OR(I4285="En cours",I4285="À venir",I4285="À planifier"),IF(AND(OR($C$3="Tous",$C$3="",C4285=$C$3),OR($E$3="Tous",$E$3="",I4285=$E$3)),1,0),0)))</f>
        <v>0</v>
      </c>
      <c r="L4285" s="0" t="n">
        <f aca="false">L4284+K4285</f>
        <v>19</v>
      </c>
    </row>
    <row r="4286" customFormat="false" ht="15" hidden="true" customHeight="true" outlineLevel="0" collapsed="false">
      <c r="K4286" s="0" t="n">
        <f aca="false">IF(A4286="",0,IF(IFERROR(VLOOKUP(A4286,Skills!$A:$M,13,FALSE()),"")="COS",0,IF(OR(I4286="En cours",I4286="À venir",I4286="À planifier"),IF(AND(OR($C$3="Tous",$C$3="",C4286=$C$3),OR($E$3="Tous",$E$3="",I4286=$E$3)),1,0),0)))</f>
        <v>0</v>
      </c>
      <c r="L4286" s="0" t="n">
        <f aca="false">L4285+K4286</f>
        <v>19</v>
      </c>
    </row>
    <row r="4287" customFormat="false" ht="15" hidden="true" customHeight="true" outlineLevel="0" collapsed="false">
      <c r="K4287" s="0" t="n">
        <f aca="false">IF(A4287="",0,IF(IFERROR(VLOOKUP(A4287,Skills!$A:$M,13,FALSE()),"")="COS",0,IF(OR(I4287="En cours",I4287="À venir",I4287="À planifier"),IF(AND(OR($C$3="Tous",$C$3="",C4287=$C$3),OR($E$3="Tous",$E$3="",I4287=$E$3)),1,0),0)))</f>
        <v>0</v>
      </c>
      <c r="L4287" s="0" t="n">
        <f aca="false">L4286+K4287</f>
        <v>19</v>
      </c>
    </row>
    <row r="4288" customFormat="false" ht="15" hidden="true" customHeight="true" outlineLevel="0" collapsed="false">
      <c r="K4288" s="0" t="n">
        <f aca="false">IF(A4288="",0,IF(IFERROR(VLOOKUP(A4288,Skills!$A:$M,13,FALSE()),"")="COS",0,IF(OR(I4288="En cours",I4288="À venir",I4288="À planifier"),IF(AND(OR($C$3="Tous",$C$3="",C4288=$C$3),OR($E$3="Tous",$E$3="",I4288=$E$3)),1,0),0)))</f>
        <v>0</v>
      </c>
      <c r="L4288" s="0" t="n">
        <f aca="false">L4287+K4288</f>
        <v>19</v>
      </c>
    </row>
    <row r="4289" customFormat="false" ht="15" hidden="true" customHeight="true" outlineLevel="0" collapsed="false">
      <c r="K4289" s="0" t="n">
        <f aca="false">IF(A4289="",0,IF(IFERROR(VLOOKUP(A4289,Skills!$A:$M,13,FALSE()),"")="COS",0,IF(OR(I4289="En cours",I4289="À venir",I4289="À planifier"),IF(AND(OR($C$3="Tous",$C$3="",C4289=$C$3),OR($E$3="Tous",$E$3="",I4289=$E$3)),1,0),0)))</f>
        <v>0</v>
      </c>
      <c r="L4289" s="0" t="n">
        <f aca="false">L4288+K4289</f>
        <v>19</v>
      </c>
    </row>
    <row r="4290" customFormat="false" ht="15" hidden="true" customHeight="true" outlineLevel="0" collapsed="false">
      <c r="K4290" s="0" t="n">
        <f aca="false">IF(A4290="",0,IF(IFERROR(VLOOKUP(A4290,Skills!$A:$M,13,FALSE()),"")="COS",0,IF(OR(I4290="En cours",I4290="À venir",I4290="À planifier"),IF(AND(OR($C$3="Tous",$C$3="",C4290=$C$3),OR($E$3="Tous",$E$3="",I4290=$E$3)),1,0),0)))</f>
        <v>0</v>
      </c>
      <c r="L4290" s="0" t="n">
        <f aca="false">L4289+K4290</f>
        <v>19</v>
      </c>
    </row>
    <row r="4291" customFormat="false" ht="15" hidden="true" customHeight="true" outlineLevel="0" collapsed="false">
      <c r="K4291" s="0" t="n">
        <f aca="false">IF(A4291="",0,IF(IFERROR(VLOOKUP(A4291,Skills!$A:$M,13,FALSE()),"")="COS",0,IF(OR(I4291="En cours",I4291="À venir",I4291="À planifier"),IF(AND(OR($C$3="Tous",$C$3="",C4291=$C$3),OR($E$3="Tous",$E$3="",I4291=$E$3)),1,0),0)))</f>
        <v>0</v>
      </c>
      <c r="L4291" s="0" t="n">
        <f aca="false">L4290+K4291</f>
        <v>19</v>
      </c>
    </row>
    <row r="4292" customFormat="false" ht="15" hidden="true" customHeight="true" outlineLevel="0" collapsed="false">
      <c r="K4292" s="0" t="n">
        <f aca="false">IF(A4292="",0,IF(IFERROR(VLOOKUP(A4292,Skills!$A:$M,13,FALSE()),"")="COS",0,IF(OR(I4292="En cours",I4292="À venir",I4292="À planifier"),IF(AND(OR($C$3="Tous",$C$3="",C4292=$C$3),OR($E$3="Tous",$E$3="",I4292=$E$3)),1,0),0)))</f>
        <v>0</v>
      </c>
      <c r="L4292" s="0" t="n">
        <f aca="false">L4291+K4292</f>
        <v>19</v>
      </c>
    </row>
    <row r="4293" customFormat="false" ht="15" hidden="true" customHeight="true" outlineLevel="0" collapsed="false">
      <c r="K4293" s="0" t="n">
        <f aca="false">IF(A4293="",0,IF(IFERROR(VLOOKUP(A4293,Skills!$A:$M,13,FALSE()),"")="COS",0,IF(OR(I4293="En cours",I4293="À venir",I4293="À planifier"),IF(AND(OR($C$3="Tous",$C$3="",C4293=$C$3),OR($E$3="Tous",$E$3="",I4293=$E$3)),1,0),0)))</f>
        <v>0</v>
      </c>
      <c r="L4293" s="0" t="n">
        <f aca="false">L4292+K4293</f>
        <v>19</v>
      </c>
    </row>
    <row r="4294" customFormat="false" ht="15" hidden="true" customHeight="true" outlineLevel="0" collapsed="false">
      <c r="K4294" s="0" t="n">
        <f aca="false">IF(A4294="",0,IF(IFERROR(VLOOKUP(A4294,Skills!$A:$M,13,FALSE()),"")="COS",0,IF(OR(I4294="En cours",I4294="À venir",I4294="À planifier"),IF(AND(OR($C$3="Tous",$C$3="",C4294=$C$3),OR($E$3="Tous",$E$3="",I4294=$E$3)),1,0),0)))</f>
        <v>0</v>
      </c>
      <c r="L4294" s="0" t="n">
        <f aca="false">L4293+K4294</f>
        <v>19</v>
      </c>
    </row>
    <row r="4295" customFormat="false" ht="15" hidden="true" customHeight="true" outlineLevel="0" collapsed="false">
      <c r="K4295" s="0" t="n">
        <f aca="false">IF(A4295="",0,IF(IFERROR(VLOOKUP(A4295,Skills!$A:$M,13,FALSE()),"")="COS",0,IF(OR(I4295="En cours",I4295="À venir",I4295="À planifier"),IF(AND(OR($C$3="Tous",$C$3="",C4295=$C$3),OR($E$3="Tous",$E$3="",I4295=$E$3)),1,0),0)))</f>
        <v>0</v>
      </c>
      <c r="L4295" s="0" t="n">
        <f aca="false">L4294+K4295</f>
        <v>19</v>
      </c>
    </row>
    <row r="4296" customFormat="false" ht="15" hidden="true" customHeight="true" outlineLevel="0" collapsed="false">
      <c r="K4296" s="0" t="n">
        <f aca="false">IF(A4296="",0,IF(IFERROR(VLOOKUP(A4296,Skills!$A:$M,13,FALSE()),"")="COS",0,IF(OR(I4296="En cours",I4296="À venir",I4296="À planifier"),IF(AND(OR($C$3="Tous",$C$3="",C4296=$C$3),OR($E$3="Tous",$E$3="",I4296=$E$3)),1,0),0)))</f>
        <v>0</v>
      </c>
      <c r="L4296" s="0" t="n">
        <f aca="false">L4295+K4296</f>
        <v>19</v>
      </c>
    </row>
    <row r="4297" customFormat="false" ht="15" hidden="true" customHeight="true" outlineLevel="0" collapsed="false">
      <c r="K4297" s="0" t="n">
        <f aca="false">IF(A4297="",0,IF(IFERROR(VLOOKUP(A4297,Skills!$A:$M,13,FALSE()),"")="COS",0,IF(OR(I4297="En cours",I4297="À venir",I4297="À planifier"),IF(AND(OR($C$3="Tous",$C$3="",C4297=$C$3),OR($E$3="Tous",$E$3="",I4297=$E$3)),1,0),0)))</f>
        <v>0</v>
      </c>
      <c r="L4297" s="0" t="n">
        <f aca="false">L4296+K4297</f>
        <v>19</v>
      </c>
    </row>
    <row r="4298" customFormat="false" ht="15" hidden="true" customHeight="true" outlineLevel="0" collapsed="false">
      <c r="K4298" s="0" t="n">
        <f aca="false">IF(A4298="",0,IF(IFERROR(VLOOKUP(A4298,Skills!$A:$M,13,FALSE()),"")="COS",0,IF(OR(I4298="En cours",I4298="À venir",I4298="À planifier"),IF(AND(OR($C$3="Tous",$C$3="",C4298=$C$3),OR($E$3="Tous",$E$3="",I4298=$E$3)),1,0),0)))</f>
        <v>0</v>
      </c>
      <c r="L4298" s="0" t="n">
        <f aca="false">L4297+K4298</f>
        <v>19</v>
      </c>
    </row>
    <row r="4299" customFormat="false" ht="15" hidden="true" customHeight="true" outlineLevel="0" collapsed="false">
      <c r="K4299" s="0" t="n">
        <f aca="false">IF(A4299="",0,IF(IFERROR(VLOOKUP(A4299,Skills!$A:$M,13,FALSE()),"")="COS",0,IF(OR(I4299="En cours",I4299="À venir",I4299="À planifier"),IF(AND(OR($C$3="Tous",$C$3="",C4299=$C$3),OR($E$3="Tous",$E$3="",I4299=$E$3)),1,0),0)))</f>
        <v>0</v>
      </c>
      <c r="L4299" s="0" t="n">
        <f aca="false">L4298+K4299</f>
        <v>19</v>
      </c>
    </row>
    <row r="4300" customFormat="false" ht="15" hidden="true" customHeight="true" outlineLevel="0" collapsed="false">
      <c r="K4300" s="0" t="n">
        <f aca="false">IF(A4300="",0,IF(IFERROR(VLOOKUP(A4300,Skills!$A:$M,13,FALSE()),"")="COS",0,IF(OR(I4300="En cours",I4300="À venir",I4300="À planifier"),IF(AND(OR($C$3="Tous",$C$3="",C4300=$C$3),OR($E$3="Tous",$E$3="",I4300=$E$3)),1,0),0)))</f>
        <v>0</v>
      </c>
      <c r="L4300" s="0" t="n">
        <f aca="false">L4299+K4300</f>
        <v>19</v>
      </c>
    </row>
    <row r="4301" customFormat="false" ht="15" hidden="true" customHeight="true" outlineLevel="0" collapsed="false">
      <c r="K4301" s="0" t="n">
        <f aca="false">IF(A4301="",0,IF(IFERROR(VLOOKUP(A4301,Skills!$A:$M,13,FALSE()),"")="COS",0,IF(OR(I4301="En cours",I4301="À venir",I4301="À planifier"),IF(AND(OR($C$3="Tous",$C$3="",C4301=$C$3),OR($E$3="Tous",$E$3="",I4301=$E$3)),1,0),0)))</f>
        <v>0</v>
      </c>
      <c r="L4301" s="0" t="n">
        <f aca="false">L4300+K4301</f>
        <v>19</v>
      </c>
    </row>
    <row r="4302" customFormat="false" ht="15" hidden="true" customHeight="true" outlineLevel="0" collapsed="false">
      <c r="K4302" s="0" t="n">
        <f aca="false">IF(A4302="",0,IF(IFERROR(VLOOKUP(A4302,Skills!$A:$M,13,FALSE()),"")="COS",0,IF(OR(I4302="En cours",I4302="À venir",I4302="À planifier"),IF(AND(OR($C$3="Tous",$C$3="",C4302=$C$3),OR($E$3="Tous",$E$3="",I4302=$E$3)),1,0),0)))</f>
        <v>0</v>
      </c>
      <c r="L4302" s="0" t="n">
        <f aca="false">L4301+K4302</f>
        <v>19</v>
      </c>
    </row>
    <row r="4303" customFormat="false" ht="15" hidden="true" customHeight="true" outlineLevel="0" collapsed="false">
      <c r="K4303" s="0" t="n">
        <f aca="false">IF(A4303="",0,IF(IFERROR(VLOOKUP(A4303,Skills!$A:$M,13,FALSE()),"")="COS",0,IF(OR(I4303="En cours",I4303="À venir",I4303="À planifier"),IF(AND(OR($C$3="Tous",$C$3="",C4303=$C$3),OR($E$3="Tous",$E$3="",I4303=$E$3)),1,0),0)))</f>
        <v>0</v>
      </c>
      <c r="L4303" s="0" t="n">
        <f aca="false">L4302+K4303</f>
        <v>19</v>
      </c>
    </row>
    <row r="4304" customFormat="false" ht="15" hidden="true" customHeight="true" outlineLevel="0" collapsed="false">
      <c r="K4304" s="0" t="n">
        <f aca="false">IF(A4304="",0,IF(IFERROR(VLOOKUP(A4304,Skills!$A:$M,13,FALSE()),"")="COS",0,IF(OR(I4304="En cours",I4304="À venir",I4304="À planifier"),IF(AND(OR($C$3="Tous",$C$3="",C4304=$C$3),OR($E$3="Tous",$E$3="",I4304=$E$3)),1,0),0)))</f>
        <v>0</v>
      </c>
      <c r="L4304" s="0" t="n">
        <f aca="false">L4303+K4304</f>
        <v>19</v>
      </c>
    </row>
    <row r="4305" customFormat="false" ht="15" hidden="true" customHeight="true" outlineLevel="0" collapsed="false">
      <c r="K4305" s="0" t="n">
        <f aca="false">IF(A4305="",0,IF(IFERROR(VLOOKUP(A4305,Skills!$A:$M,13,FALSE()),"")="COS",0,IF(OR(I4305="En cours",I4305="À venir",I4305="À planifier"),IF(AND(OR($C$3="Tous",$C$3="",C4305=$C$3),OR($E$3="Tous",$E$3="",I4305=$E$3)),1,0),0)))</f>
        <v>0</v>
      </c>
      <c r="L4305" s="0" t="n">
        <f aca="false">L4304+K4305</f>
        <v>19</v>
      </c>
    </row>
    <row r="4306" customFormat="false" ht="15" hidden="true" customHeight="true" outlineLevel="0" collapsed="false">
      <c r="K4306" s="0" t="n">
        <f aca="false">IF(A4306="",0,IF(IFERROR(VLOOKUP(A4306,Skills!$A:$M,13,FALSE()),"")="COS",0,IF(OR(I4306="En cours",I4306="À venir",I4306="À planifier"),IF(AND(OR($C$3="Tous",$C$3="",C4306=$C$3),OR($E$3="Tous",$E$3="",I4306=$E$3)),1,0),0)))</f>
        <v>0</v>
      </c>
      <c r="L4306" s="0" t="n">
        <f aca="false">L4305+K4306</f>
        <v>19</v>
      </c>
    </row>
    <row r="4307" customFormat="false" ht="15" hidden="true" customHeight="true" outlineLevel="0" collapsed="false">
      <c r="K4307" s="0" t="n">
        <f aca="false">IF(A4307="",0,IF(IFERROR(VLOOKUP(A4307,Skills!$A:$M,13,FALSE()),"")="COS",0,IF(OR(I4307="En cours",I4307="À venir",I4307="À planifier"),IF(AND(OR($C$3="Tous",$C$3="",C4307=$C$3),OR($E$3="Tous",$E$3="",I4307=$E$3)),1,0),0)))</f>
        <v>0</v>
      </c>
      <c r="L4307" s="0" t="n">
        <f aca="false">L4306+K4307</f>
        <v>19</v>
      </c>
    </row>
    <row r="4308" customFormat="false" ht="15" hidden="true" customHeight="true" outlineLevel="0" collapsed="false">
      <c r="K4308" s="0" t="n">
        <f aca="false">IF(A4308="",0,IF(IFERROR(VLOOKUP(A4308,Skills!$A:$M,13,FALSE()),"")="COS",0,IF(OR(I4308="En cours",I4308="À venir",I4308="À planifier"),IF(AND(OR($C$3="Tous",$C$3="",C4308=$C$3),OR($E$3="Tous",$E$3="",I4308=$E$3)),1,0),0)))</f>
        <v>0</v>
      </c>
      <c r="L4308" s="0" t="n">
        <f aca="false">L4307+K4308</f>
        <v>19</v>
      </c>
    </row>
    <row r="4309" customFormat="false" ht="15" hidden="true" customHeight="true" outlineLevel="0" collapsed="false">
      <c r="K4309" s="0" t="n">
        <f aca="false">IF(A4309="",0,IF(IFERROR(VLOOKUP(A4309,Skills!$A:$M,13,FALSE()),"")="COS",0,IF(OR(I4309="En cours",I4309="À venir",I4309="À planifier"),IF(AND(OR($C$3="Tous",$C$3="",C4309=$C$3),OR($E$3="Tous",$E$3="",I4309=$E$3)),1,0),0)))</f>
        <v>0</v>
      </c>
      <c r="L4309" s="0" t="n">
        <f aca="false">L4308+K4309</f>
        <v>19</v>
      </c>
    </row>
    <row r="4310" customFormat="false" ht="15" hidden="true" customHeight="true" outlineLevel="0" collapsed="false">
      <c r="K4310" s="0" t="n">
        <f aca="false">IF(A4310="",0,IF(IFERROR(VLOOKUP(A4310,Skills!$A:$M,13,FALSE()),"")="COS",0,IF(OR(I4310="En cours",I4310="À venir",I4310="À planifier"),IF(AND(OR($C$3="Tous",$C$3="",C4310=$C$3),OR($E$3="Tous",$E$3="",I4310=$E$3)),1,0),0)))</f>
        <v>0</v>
      </c>
      <c r="L4310" s="0" t="n">
        <f aca="false">L4309+K4310</f>
        <v>19</v>
      </c>
    </row>
    <row r="4311" customFormat="false" ht="15" hidden="true" customHeight="true" outlineLevel="0" collapsed="false">
      <c r="K4311" s="0" t="n">
        <f aca="false">IF(A4311="",0,IF(IFERROR(VLOOKUP(A4311,Skills!$A:$M,13,FALSE()),"")="COS",0,IF(OR(I4311="En cours",I4311="À venir",I4311="À planifier"),IF(AND(OR($C$3="Tous",$C$3="",C4311=$C$3),OR($E$3="Tous",$E$3="",I4311=$E$3)),1,0),0)))</f>
        <v>0</v>
      </c>
      <c r="L4311" s="0" t="n">
        <f aca="false">L4310+K4311</f>
        <v>19</v>
      </c>
    </row>
    <row r="4312" customFormat="false" ht="15" hidden="true" customHeight="true" outlineLevel="0" collapsed="false">
      <c r="K4312" s="0" t="n">
        <f aca="false">IF(A4312="",0,IF(IFERROR(VLOOKUP(A4312,Skills!$A:$M,13,FALSE()),"")="COS",0,IF(OR(I4312="En cours",I4312="À venir",I4312="À planifier"),IF(AND(OR($C$3="Tous",$C$3="",C4312=$C$3),OR($E$3="Tous",$E$3="",I4312=$E$3)),1,0),0)))</f>
        <v>0</v>
      </c>
      <c r="L4312" s="0" t="n">
        <f aca="false">L4311+K4312</f>
        <v>19</v>
      </c>
    </row>
    <row r="4313" customFormat="false" ht="15" hidden="true" customHeight="true" outlineLevel="0" collapsed="false">
      <c r="K4313" s="0" t="n">
        <f aca="false">IF(A4313="",0,IF(IFERROR(VLOOKUP(A4313,Skills!$A:$M,13,FALSE()),"")="COS",0,IF(OR(I4313="En cours",I4313="À venir",I4313="À planifier"),IF(AND(OR($C$3="Tous",$C$3="",C4313=$C$3),OR($E$3="Tous",$E$3="",I4313=$E$3)),1,0),0)))</f>
        <v>0</v>
      </c>
      <c r="L4313" s="0" t="n">
        <f aca="false">L4312+K4313</f>
        <v>19</v>
      </c>
    </row>
    <row r="4314" customFormat="false" ht="15" hidden="true" customHeight="true" outlineLevel="0" collapsed="false">
      <c r="K4314" s="0" t="n">
        <f aca="false">IF(A4314="",0,IF(IFERROR(VLOOKUP(A4314,Skills!$A:$M,13,FALSE()),"")="COS",0,IF(OR(I4314="En cours",I4314="À venir",I4314="À planifier"),IF(AND(OR($C$3="Tous",$C$3="",C4314=$C$3),OR($E$3="Tous",$E$3="",I4314=$E$3)),1,0),0)))</f>
        <v>0</v>
      </c>
      <c r="L4314" s="0" t="n">
        <f aca="false">L4313+K4314</f>
        <v>19</v>
      </c>
    </row>
    <row r="4315" customFormat="false" ht="15" hidden="true" customHeight="true" outlineLevel="0" collapsed="false">
      <c r="K4315" s="0" t="n">
        <f aca="false">IF(A4315="",0,IF(IFERROR(VLOOKUP(A4315,Skills!$A:$M,13,FALSE()),"")="COS",0,IF(OR(I4315="En cours",I4315="À venir",I4315="À planifier"),IF(AND(OR($C$3="Tous",$C$3="",C4315=$C$3),OR($E$3="Tous",$E$3="",I4315=$E$3)),1,0),0)))</f>
        <v>0</v>
      </c>
      <c r="L4315" s="0" t="n">
        <f aca="false">L4314+K4315</f>
        <v>19</v>
      </c>
    </row>
    <row r="4316" customFormat="false" ht="15" hidden="true" customHeight="true" outlineLevel="0" collapsed="false">
      <c r="K4316" s="0" t="n">
        <f aca="false">IF(A4316="",0,IF(IFERROR(VLOOKUP(A4316,Skills!$A:$M,13,FALSE()),"")="COS",0,IF(OR(I4316="En cours",I4316="À venir",I4316="À planifier"),IF(AND(OR($C$3="Tous",$C$3="",C4316=$C$3),OR($E$3="Tous",$E$3="",I4316=$E$3)),1,0),0)))</f>
        <v>0</v>
      </c>
      <c r="L4316" s="0" t="n">
        <f aca="false">L4315+K4316</f>
        <v>19</v>
      </c>
    </row>
    <row r="4317" customFormat="false" ht="15" hidden="true" customHeight="true" outlineLevel="0" collapsed="false">
      <c r="K4317" s="0" t="n">
        <f aca="false">IF(A4317="",0,IF(IFERROR(VLOOKUP(A4317,Skills!$A:$M,13,FALSE()),"")="COS",0,IF(OR(I4317="En cours",I4317="À venir",I4317="À planifier"),IF(AND(OR($C$3="Tous",$C$3="",C4317=$C$3),OR($E$3="Tous",$E$3="",I4317=$E$3)),1,0),0)))</f>
        <v>0</v>
      </c>
      <c r="L4317" s="0" t="n">
        <f aca="false">L4316+K4317</f>
        <v>19</v>
      </c>
    </row>
    <row r="4318" customFormat="false" ht="15" hidden="true" customHeight="true" outlineLevel="0" collapsed="false">
      <c r="K4318" s="0" t="n">
        <f aca="false">IF(A4318="",0,IF(IFERROR(VLOOKUP(A4318,Skills!$A:$M,13,FALSE()),"")="COS",0,IF(OR(I4318="En cours",I4318="À venir",I4318="À planifier"),IF(AND(OR($C$3="Tous",$C$3="",C4318=$C$3),OR($E$3="Tous",$E$3="",I4318=$E$3)),1,0),0)))</f>
        <v>0</v>
      </c>
      <c r="L4318" s="0" t="n">
        <f aca="false">L4317+K4318</f>
        <v>19</v>
      </c>
    </row>
    <row r="4319" customFormat="false" ht="15" hidden="true" customHeight="true" outlineLevel="0" collapsed="false">
      <c r="K4319" s="0" t="n">
        <f aca="false">IF(A4319="",0,IF(IFERROR(VLOOKUP(A4319,Skills!$A:$M,13,FALSE()),"")="COS",0,IF(OR(I4319="En cours",I4319="À venir",I4319="À planifier"),IF(AND(OR($C$3="Tous",$C$3="",C4319=$C$3),OR($E$3="Tous",$E$3="",I4319=$E$3)),1,0),0)))</f>
        <v>0</v>
      </c>
      <c r="L4319" s="0" t="n">
        <f aca="false">L4318+K4319</f>
        <v>19</v>
      </c>
    </row>
    <row r="4320" customFormat="false" ht="15" hidden="true" customHeight="true" outlineLevel="0" collapsed="false">
      <c r="K4320" s="0" t="n">
        <f aca="false">IF(A4320="",0,IF(IFERROR(VLOOKUP(A4320,Skills!$A:$M,13,FALSE()),"")="COS",0,IF(OR(I4320="En cours",I4320="À venir",I4320="À planifier"),IF(AND(OR($C$3="Tous",$C$3="",C4320=$C$3),OR($E$3="Tous",$E$3="",I4320=$E$3)),1,0),0)))</f>
        <v>0</v>
      </c>
      <c r="L4320" s="0" t="n">
        <f aca="false">L4319+K4320</f>
        <v>19</v>
      </c>
    </row>
    <row r="4321" customFormat="false" ht="15" hidden="true" customHeight="true" outlineLevel="0" collapsed="false">
      <c r="K4321" s="0" t="n">
        <f aca="false">IF(A4321="",0,IF(IFERROR(VLOOKUP(A4321,Skills!$A:$M,13,FALSE()),"")="COS",0,IF(OR(I4321="En cours",I4321="À venir",I4321="À planifier"),IF(AND(OR($C$3="Tous",$C$3="",C4321=$C$3),OR($E$3="Tous",$E$3="",I4321=$E$3)),1,0),0)))</f>
        <v>0</v>
      </c>
      <c r="L4321" s="0" t="n">
        <f aca="false">L4320+K4321</f>
        <v>19</v>
      </c>
    </row>
    <row r="4322" customFormat="false" ht="15" hidden="true" customHeight="true" outlineLevel="0" collapsed="false">
      <c r="K4322" s="0" t="n">
        <f aca="false">IF(A4322="",0,IF(IFERROR(VLOOKUP(A4322,Skills!$A:$M,13,FALSE()),"")="COS",0,IF(OR(I4322="En cours",I4322="À venir",I4322="À planifier"),IF(AND(OR($C$3="Tous",$C$3="",C4322=$C$3),OR($E$3="Tous",$E$3="",I4322=$E$3)),1,0),0)))</f>
        <v>0</v>
      </c>
      <c r="L4322" s="0" t="n">
        <f aca="false">L4321+K4322</f>
        <v>19</v>
      </c>
    </row>
    <row r="4323" customFormat="false" ht="15" hidden="true" customHeight="true" outlineLevel="0" collapsed="false">
      <c r="K4323" s="0" t="n">
        <f aca="false">IF(A4323="",0,IF(IFERROR(VLOOKUP(A4323,Skills!$A:$M,13,FALSE()),"")="COS",0,IF(OR(I4323="En cours",I4323="À venir",I4323="À planifier"),IF(AND(OR($C$3="Tous",$C$3="",C4323=$C$3),OR($E$3="Tous",$E$3="",I4323=$E$3)),1,0),0)))</f>
        <v>0</v>
      </c>
      <c r="L4323" s="0" t="n">
        <f aca="false">L4322+K4323</f>
        <v>19</v>
      </c>
    </row>
    <row r="4324" customFormat="false" ht="15" hidden="true" customHeight="true" outlineLevel="0" collapsed="false">
      <c r="K4324" s="0" t="n">
        <f aca="false">IF(A4324="",0,IF(IFERROR(VLOOKUP(A4324,Skills!$A:$M,13,FALSE()),"")="COS",0,IF(OR(I4324="En cours",I4324="À venir",I4324="À planifier"),IF(AND(OR($C$3="Tous",$C$3="",C4324=$C$3),OR($E$3="Tous",$E$3="",I4324=$E$3)),1,0),0)))</f>
        <v>0</v>
      </c>
      <c r="L4324" s="0" t="n">
        <f aca="false">L4323+K4324</f>
        <v>19</v>
      </c>
    </row>
    <row r="4325" customFormat="false" ht="15" hidden="true" customHeight="true" outlineLevel="0" collapsed="false">
      <c r="K4325" s="0" t="n">
        <f aca="false">IF(A4325="",0,IF(IFERROR(VLOOKUP(A4325,Skills!$A:$M,13,FALSE()),"")="COS",0,IF(OR(I4325="En cours",I4325="À venir",I4325="À planifier"),IF(AND(OR($C$3="Tous",$C$3="",C4325=$C$3),OR($E$3="Tous",$E$3="",I4325=$E$3)),1,0),0)))</f>
        <v>0</v>
      </c>
      <c r="L4325" s="0" t="n">
        <f aca="false">L4324+K4325</f>
        <v>19</v>
      </c>
    </row>
    <row r="4326" customFormat="false" ht="15" hidden="true" customHeight="true" outlineLevel="0" collapsed="false">
      <c r="K4326" s="0" t="n">
        <f aca="false">IF(A4326="",0,IF(IFERROR(VLOOKUP(A4326,Skills!$A:$M,13,FALSE()),"")="COS",0,IF(OR(I4326="En cours",I4326="À venir",I4326="À planifier"),IF(AND(OR($C$3="Tous",$C$3="",C4326=$C$3),OR($E$3="Tous",$E$3="",I4326=$E$3)),1,0),0)))</f>
        <v>0</v>
      </c>
      <c r="L4326" s="0" t="n">
        <f aca="false">L4325+K4326</f>
        <v>19</v>
      </c>
    </row>
    <row r="4327" customFormat="false" ht="15" hidden="true" customHeight="true" outlineLevel="0" collapsed="false">
      <c r="K4327" s="0" t="n">
        <f aca="false">IF(A4327="",0,IF(IFERROR(VLOOKUP(A4327,Skills!$A:$M,13,FALSE()),"")="COS",0,IF(OR(I4327="En cours",I4327="À venir",I4327="À planifier"),IF(AND(OR($C$3="Tous",$C$3="",C4327=$C$3),OR($E$3="Tous",$E$3="",I4327=$E$3)),1,0),0)))</f>
        <v>0</v>
      </c>
      <c r="L4327" s="0" t="n">
        <f aca="false">L4326+K4327</f>
        <v>19</v>
      </c>
    </row>
    <row r="4328" customFormat="false" ht="15" hidden="true" customHeight="true" outlineLevel="0" collapsed="false">
      <c r="K4328" s="0" t="n">
        <f aca="false">IF(A4328="",0,IF(IFERROR(VLOOKUP(A4328,Skills!$A:$M,13,FALSE()),"")="COS",0,IF(OR(I4328="En cours",I4328="À venir",I4328="À planifier"),IF(AND(OR($C$3="Tous",$C$3="",C4328=$C$3),OR($E$3="Tous",$E$3="",I4328=$E$3)),1,0),0)))</f>
        <v>0</v>
      </c>
      <c r="L4328" s="0" t="n">
        <f aca="false">L4327+K4328</f>
        <v>19</v>
      </c>
    </row>
    <row r="4329" customFormat="false" ht="15" hidden="true" customHeight="true" outlineLevel="0" collapsed="false">
      <c r="K4329" s="0" t="n">
        <f aca="false">IF(A4329="",0,IF(IFERROR(VLOOKUP(A4329,Skills!$A:$M,13,FALSE()),"")="COS",0,IF(OR(I4329="En cours",I4329="À venir",I4329="À planifier"),IF(AND(OR($C$3="Tous",$C$3="",C4329=$C$3),OR($E$3="Tous",$E$3="",I4329=$E$3)),1,0),0)))</f>
        <v>0</v>
      </c>
      <c r="L4329" s="0" t="n">
        <f aca="false">L4328+K4329</f>
        <v>19</v>
      </c>
    </row>
    <row r="4330" customFormat="false" ht="15" hidden="true" customHeight="true" outlineLevel="0" collapsed="false">
      <c r="K4330" s="0" t="n">
        <f aca="false">IF(A4330="",0,IF(IFERROR(VLOOKUP(A4330,Skills!$A:$M,13,FALSE()),"")="COS",0,IF(OR(I4330="En cours",I4330="À venir",I4330="À planifier"),IF(AND(OR($C$3="Tous",$C$3="",C4330=$C$3),OR($E$3="Tous",$E$3="",I4330=$E$3)),1,0),0)))</f>
        <v>0</v>
      </c>
      <c r="L4330" s="0" t="n">
        <f aca="false">L4329+K4330</f>
        <v>19</v>
      </c>
    </row>
    <row r="4331" customFormat="false" ht="15" hidden="true" customHeight="true" outlineLevel="0" collapsed="false">
      <c r="K4331" s="0" t="n">
        <f aca="false">IF(A4331="",0,IF(IFERROR(VLOOKUP(A4331,Skills!$A:$M,13,FALSE()),"")="COS",0,IF(OR(I4331="En cours",I4331="À venir",I4331="À planifier"),IF(AND(OR($C$3="Tous",$C$3="",C4331=$C$3),OR($E$3="Tous",$E$3="",I4331=$E$3)),1,0),0)))</f>
        <v>0</v>
      </c>
      <c r="L4331" s="0" t="n">
        <f aca="false">L4330+K4331</f>
        <v>19</v>
      </c>
    </row>
    <row r="4332" customFormat="false" ht="15" hidden="true" customHeight="true" outlineLevel="0" collapsed="false">
      <c r="K4332" s="0" t="n">
        <f aca="false">IF(A4332="",0,IF(IFERROR(VLOOKUP(A4332,Skills!$A:$M,13,FALSE()),"")="COS",0,IF(OR(I4332="En cours",I4332="À venir",I4332="À planifier"),IF(AND(OR($C$3="Tous",$C$3="",C4332=$C$3),OR($E$3="Tous",$E$3="",I4332=$E$3)),1,0),0)))</f>
        <v>0</v>
      </c>
      <c r="L4332" s="0" t="n">
        <f aca="false">L4331+K4332</f>
        <v>19</v>
      </c>
    </row>
    <row r="4333" customFormat="false" ht="15" hidden="true" customHeight="true" outlineLevel="0" collapsed="false">
      <c r="K4333" s="0" t="n">
        <f aca="false">IF(A4333="",0,IF(IFERROR(VLOOKUP(A4333,Skills!$A:$M,13,FALSE()),"")="COS",0,IF(OR(I4333="En cours",I4333="À venir",I4333="À planifier"),IF(AND(OR($C$3="Tous",$C$3="",C4333=$C$3),OR($E$3="Tous",$E$3="",I4333=$E$3)),1,0),0)))</f>
        <v>0</v>
      </c>
      <c r="L4333" s="0" t="n">
        <f aca="false">L4332+K4333</f>
        <v>19</v>
      </c>
    </row>
    <row r="4334" customFormat="false" ht="15" hidden="true" customHeight="true" outlineLevel="0" collapsed="false">
      <c r="K4334" s="0" t="n">
        <f aca="false">IF(A4334="",0,IF(IFERROR(VLOOKUP(A4334,Skills!$A:$M,13,FALSE()),"")="COS",0,IF(OR(I4334="En cours",I4334="À venir",I4334="À planifier"),IF(AND(OR($C$3="Tous",$C$3="",C4334=$C$3),OR($E$3="Tous",$E$3="",I4334=$E$3)),1,0),0)))</f>
        <v>0</v>
      </c>
      <c r="L4334" s="0" t="n">
        <f aca="false">L4333+K4334</f>
        <v>19</v>
      </c>
    </row>
    <row r="4335" customFormat="false" ht="15" hidden="true" customHeight="true" outlineLevel="0" collapsed="false">
      <c r="K4335" s="0" t="n">
        <f aca="false">IF(A4335="",0,IF(IFERROR(VLOOKUP(A4335,Skills!$A:$M,13,FALSE()),"")="COS",0,IF(OR(I4335="En cours",I4335="À venir",I4335="À planifier"),IF(AND(OR($C$3="Tous",$C$3="",C4335=$C$3),OR($E$3="Tous",$E$3="",I4335=$E$3)),1,0),0)))</f>
        <v>0</v>
      </c>
      <c r="L4335" s="0" t="n">
        <f aca="false">L4334+K4335</f>
        <v>19</v>
      </c>
    </row>
    <row r="4336" customFormat="false" ht="15" hidden="true" customHeight="true" outlineLevel="0" collapsed="false">
      <c r="K4336" s="0" t="n">
        <f aca="false">IF(A4336="",0,IF(IFERROR(VLOOKUP(A4336,Skills!$A:$M,13,FALSE()),"")="COS",0,IF(OR(I4336="En cours",I4336="À venir",I4336="À planifier"),IF(AND(OR($C$3="Tous",$C$3="",C4336=$C$3),OR($E$3="Tous",$E$3="",I4336=$E$3)),1,0),0)))</f>
        <v>0</v>
      </c>
      <c r="L4336" s="0" t="n">
        <f aca="false">L4335+K4336</f>
        <v>19</v>
      </c>
    </row>
    <row r="4337" customFormat="false" ht="15" hidden="true" customHeight="true" outlineLevel="0" collapsed="false">
      <c r="K4337" s="0" t="n">
        <f aca="false">IF(A4337="",0,IF(IFERROR(VLOOKUP(A4337,Skills!$A:$M,13,FALSE()),"")="COS",0,IF(OR(I4337="En cours",I4337="À venir",I4337="À planifier"),IF(AND(OR($C$3="Tous",$C$3="",C4337=$C$3),OR($E$3="Tous",$E$3="",I4337=$E$3)),1,0),0)))</f>
        <v>0</v>
      </c>
      <c r="L4337" s="0" t="n">
        <f aca="false">L4336+K4337</f>
        <v>19</v>
      </c>
    </row>
    <row r="4338" customFormat="false" ht="15" hidden="true" customHeight="true" outlineLevel="0" collapsed="false">
      <c r="K4338" s="0" t="n">
        <f aca="false">IF(A4338="",0,IF(IFERROR(VLOOKUP(A4338,Skills!$A:$M,13,FALSE()),"")="COS",0,IF(OR(I4338="En cours",I4338="À venir",I4338="À planifier"),IF(AND(OR($C$3="Tous",$C$3="",C4338=$C$3),OR($E$3="Tous",$E$3="",I4338=$E$3)),1,0),0)))</f>
        <v>0</v>
      </c>
      <c r="L4338" s="0" t="n">
        <f aca="false">L4337+K4338</f>
        <v>19</v>
      </c>
    </row>
    <row r="4339" customFormat="false" ht="15" hidden="true" customHeight="true" outlineLevel="0" collapsed="false">
      <c r="K4339" s="0" t="n">
        <f aca="false">IF(A4339="",0,IF(IFERROR(VLOOKUP(A4339,Skills!$A:$M,13,FALSE()),"")="COS",0,IF(OR(I4339="En cours",I4339="À venir",I4339="À planifier"),IF(AND(OR($C$3="Tous",$C$3="",C4339=$C$3),OR($E$3="Tous",$E$3="",I4339=$E$3)),1,0),0)))</f>
        <v>0</v>
      </c>
      <c r="L4339" s="0" t="n">
        <f aca="false">L4338+K4339</f>
        <v>19</v>
      </c>
    </row>
    <row r="4340" customFormat="false" ht="15" hidden="true" customHeight="true" outlineLevel="0" collapsed="false">
      <c r="K4340" s="0" t="n">
        <f aca="false">IF(A4340="",0,IF(IFERROR(VLOOKUP(A4340,Skills!$A:$M,13,FALSE()),"")="COS",0,IF(OR(I4340="En cours",I4340="À venir",I4340="À planifier"),IF(AND(OR($C$3="Tous",$C$3="",C4340=$C$3),OR($E$3="Tous",$E$3="",I4340=$E$3)),1,0),0)))</f>
        <v>0</v>
      </c>
      <c r="L4340" s="0" t="n">
        <f aca="false">L4339+K4340</f>
        <v>19</v>
      </c>
    </row>
    <row r="4341" customFormat="false" ht="15" hidden="true" customHeight="true" outlineLevel="0" collapsed="false">
      <c r="K4341" s="0" t="n">
        <f aca="false">IF(A4341="",0,IF(IFERROR(VLOOKUP(A4341,Skills!$A:$M,13,FALSE()),"")="COS",0,IF(OR(I4341="En cours",I4341="À venir",I4341="À planifier"),IF(AND(OR($C$3="Tous",$C$3="",C4341=$C$3),OR($E$3="Tous",$E$3="",I4341=$E$3)),1,0),0)))</f>
        <v>0</v>
      </c>
      <c r="L4341" s="0" t="n">
        <f aca="false">L4340+K4341</f>
        <v>19</v>
      </c>
    </row>
    <row r="4342" customFormat="false" ht="15" hidden="true" customHeight="true" outlineLevel="0" collapsed="false">
      <c r="K4342" s="0" t="n">
        <f aca="false">IF(A4342="",0,IF(IFERROR(VLOOKUP(A4342,Skills!$A:$M,13,FALSE()),"")="COS",0,IF(OR(I4342="En cours",I4342="À venir",I4342="À planifier"),IF(AND(OR($C$3="Tous",$C$3="",C4342=$C$3),OR($E$3="Tous",$E$3="",I4342=$E$3)),1,0),0)))</f>
        <v>0</v>
      </c>
      <c r="L4342" s="0" t="n">
        <f aca="false">L4341+K4342</f>
        <v>19</v>
      </c>
    </row>
    <row r="4343" customFormat="false" ht="15" hidden="true" customHeight="true" outlineLevel="0" collapsed="false">
      <c r="K4343" s="0" t="n">
        <f aca="false">IF(A4343="",0,IF(IFERROR(VLOOKUP(A4343,Skills!$A:$M,13,FALSE()),"")="COS",0,IF(OR(I4343="En cours",I4343="À venir",I4343="À planifier"),IF(AND(OR($C$3="Tous",$C$3="",C4343=$C$3),OR($E$3="Tous",$E$3="",I4343=$E$3)),1,0),0)))</f>
        <v>0</v>
      </c>
      <c r="L4343" s="0" t="n">
        <f aca="false">L4342+K4343</f>
        <v>19</v>
      </c>
    </row>
    <row r="4344" customFormat="false" ht="15" hidden="true" customHeight="true" outlineLevel="0" collapsed="false">
      <c r="K4344" s="0" t="n">
        <f aca="false">IF(A4344="",0,IF(IFERROR(VLOOKUP(A4344,Skills!$A:$M,13,FALSE()),"")="COS",0,IF(OR(I4344="En cours",I4344="À venir",I4344="À planifier"),IF(AND(OR($C$3="Tous",$C$3="",C4344=$C$3),OR($E$3="Tous",$E$3="",I4344=$E$3)),1,0),0)))</f>
        <v>0</v>
      </c>
      <c r="L4344" s="0" t="n">
        <f aca="false">L4343+K4344</f>
        <v>19</v>
      </c>
    </row>
    <row r="4345" customFormat="false" ht="15" hidden="true" customHeight="true" outlineLevel="0" collapsed="false">
      <c r="K4345" s="0" t="n">
        <f aca="false">IF(A4345="",0,IF(IFERROR(VLOOKUP(A4345,Skills!$A:$M,13,FALSE()),"")="COS",0,IF(OR(I4345="En cours",I4345="À venir",I4345="À planifier"),IF(AND(OR($C$3="Tous",$C$3="",C4345=$C$3),OR($E$3="Tous",$E$3="",I4345=$E$3)),1,0),0)))</f>
        <v>0</v>
      </c>
      <c r="L4345" s="0" t="n">
        <f aca="false">L4344+K4345</f>
        <v>19</v>
      </c>
    </row>
    <row r="4346" customFormat="false" ht="15" hidden="true" customHeight="true" outlineLevel="0" collapsed="false">
      <c r="K4346" s="0" t="n">
        <f aca="false">IF(A4346="",0,IF(IFERROR(VLOOKUP(A4346,Skills!$A:$M,13,FALSE()),"")="COS",0,IF(OR(I4346="En cours",I4346="À venir",I4346="À planifier"),IF(AND(OR($C$3="Tous",$C$3="",C4346=$C$3),OR($E$3="Tous",$E$3="",I4346=$E$3)),1,0),0)))</f>
        <v>0</v>
      </c>
      <c r="L4346" s="0" t="n">
        <f aca="false">L4345+K4346</f>
        <v>19</v>
      </c>
    </row>
    <row r="4347" customFormat="false" ht="15" hidden="true" customHeight="true" outlineLevel="0" collapsed="false">
      <c r="K4347" s="0" t="n">
        <f aca="false">IF(A4347="",0,IF(IFERROR(VLOOKUP(A4347,Skills!$A:$M,13,FALSE()),"")="COS",0,IF(OR(I4347="En cours",I4347="À venir",I4347="À planifier"),IF(AND(OR($C$3="Tous",$C$3="",C4347=$C$3),OR($E$3="Tous",$E$3="",I4347=$E$3)),1,0),0)))</f>
        <v>0</v>
      </c>
      <c r="L4347" s="0" t="n">
        <f aca="false">L4346+K4347</f>
        <v>19</v>
      </c>
    </row>
    <row r="4348" customFormat="false" ht="15" hidden="true" customHeight="true" outlineLevel="0" collapsed="false">
      <c r="K4348" s="0" t="n">
        <f aca="false">IF(A4348="",0,IF(IFERROR(VLOOKUP(A4348,Skills!$A:$M,13,FALSE()),"")="COS",0,IF(OR(I4348="En cours",I4348="À venir",I4348="À planifier"),IF(AND(OR($C$3="Tous",$C$3="",C4348=$C$3),OR($E$3="Tous",$E$3="",I4348=$E$3)),1,0),0)))</f>
        <v>0</v>
      </c>
      <c r="L4348" s="0" t="n">
        <f aca="false">L4347+K4348</f>
        <v>19</v>
      </c>
    </row>
    <row r="4349" customFormat="false" ht="15" hidden="true" customHeight="true" outlineLevel="0" collapsed="false">
      <c r="K4349" s="0" t="n">
        <f aca="false">IF(A4349="",0,IF(IFERROR(VLOOKUP(A4349,Skills!$A:$M,13,FALSE()),"")="COS",0,IF(OR(I4349="En cours",I4349="À venir",I4349="À planifier"),IF(AND(OR($C$3="Tous",$C$3="",C4349=$C$3),OR($E$3="Tous",$E$3="",I4349=$E$3)),1,0),0)))</f>
        <v>0</v>
      </c>
      <c r="L4349" s="0" t="n">
        <f aca="false">L4348+K4349</f>
        <v>19</v>
      </c>
    </row>
    <row r="4350" customFormat="false" ht="15" hidden="true" customHeight="true" outlineLevel="0" collapsed="false">
      <c r="K4350" s="0" t="n">
        <f aca="false">IF(A4350="",0,IF(IFERROR(VLOOKUP(A4350,Skills!$A:$M,13,FALSE()),"")="COS",0,IF(OR(I4350="En cours",I4350="À venir",I4350="À planifier"),IF(AND(OR($C$3="Tous",$C$3="",C4350=$C$3),OR($E$3="Tous",$E$3="",I4350=$E$3)),1,0),0)))</f>
        <v>0</v>
      </c>
      <c r="L4350" s="0" t="n">
        <f aca="false">L4349+K4350</f>
        <v>19</v>
      </c>
    </row>
    <row r="4351" customFormat="false" ht="15" hidden="true" customHeight="true" outlineLevel="0" collapsed="false">
      <c r="K4351" s="0" t="n">
        <f aca="false">IF(A4351="",0,IF(IFERROR(VLOOKUP(A4351,Skills!$A:$M,13,FALSE()),"")="COS",0,IF(OR(I4351="En cours",I4351="À venir",I4351="À planifier"),IF(AND(OR($C$3="Tous",$C$3="",C4351=$C$3),OR($E$3="Tous",$E$3="",I4351=$E$3)),1,0),0)))</f>
        <v>0</v>
      </c>
      <c r="L4351" s="0" t="n">
        <f aca="false">L4350+K4351</f>
        <v>19</v>
      </c>
    </row>
    <row r="4352" customFormat="false" ht="15" hidden="true" customHeight="true" outlineLevel="0" collapsed="false">
      <c r="K4352" s="0" t="n">
        <f aca="false">IF(A4352="",0,IF(IFERROR(VLOOKUP(A4352,Skills!$A:$M,13,FALSE()),"")="COS",0,IF(OR(I4352="En cours",I4352="À venir",I4352="À planifier"),IF(AND(OR($C$3="Tous",$C$3="",C4352=$C$3),OR($E$3="Tous",$E$3="",I4352=$E$3)),1,0),0)))</f>
        <v>0</v>
      </c>
      <c r="L4352" s="0" t="n">
        <f aca="false">L4351+K4352</f>
        <v>19</v>
      </c>
    </row>
    <row r="4353" customFormat="false" ht="15" hidden="true" customHeight="true" outlineLevel="0" collapsed="false">
      <c r="K4353" s="0" t="n">
        <f aca="false">IF(A4353="",0,IF(IFERROR(VLOOKUP(A4353,Skills!$A:$M,13,FALSE()),"")="COS",0,IF(OR(I4353="En cours",I4353="À venir",I4353="À planifier"),IF(AND(OR($C$3="Tous",$C$3="",C4353=$C$3),OR($E$3="Tous",$E$3="",I4353=$E$3)),1,0),0)))</f>
        <v>0</v>
      </c>
      <c r="L4353" s="0" t="n">
        <f aca="false">L4352+K4353</f>
        <v>19</v>
      </c>
    </row>
    <row r="4354" customFormat="false" ht="15" hidden="true" customHeight="true" outlineLevel="0" collapsed="false">
      <c r="K4354" s="0" t="n">
        <f aca="false">IF(A4354="",0,IF(IFERROR(VLOOKUP(A4354,Skills!$A:$M,13,FALSE()),"")="COS",0,IF(OR(I4354="En cours",I4354="À venir",I4354="À planifier"),IF(AND(OR($C$3="Tous",$C$3="",C4354=$C$3),OR($E$3="Tous",$E$3="",I4354=$E$3)),1,0),0)))</f>
        <v>0</v>
      </c>
      <c r="L4354" s="0" t="n">
        <f aca="false">L4353+K4354</f>
        <v>19</v>
      </c>
    </row>
    <row r="4355" customFormat="false" ht="15" hidden="true" customHeight="true" outlineLevel="0" collapsed="false">
      <c r="K4355" s="0" t="n">
        <f aca="false">IF(A4355="",0,IF(IFERROR(VLOOKUP(A4355,Skills!$A:$M,13,FALSE()),"")="COS",0,IF(OR(I4355="En cours",I4355="À venir",I4355="À planifier"),IF(AND(OR($C$3="Tous",$C$3="",C4355=$C$3),OR($E$3="Tous",$E$3="",I4355=$E$3)),1,0),0)))</f>
        <v>0</v>
      </c>
      <c r="L4355" s="0" t="n">
        <f aca="false">L4354+K4355</f>
        <v>19</v>
      </c>
    </row>
    <row r="4356" customFormat="false" ht="15" hidden="true" customHeight="true" outlineLevel="0" collapsed="false">
      <c r="K4356" s="0" t="n">
        <f aca="false">IF(A4356="",0,IF(IFERROR(VLOOKUP(A4356,Skills!$A:$M,13,FALSE()),"")="COS",0,IF(OR(I4356="En cours",I4356="À venir",I4356="À planifier"),IF(AND(OR($C$3="Tous",$C$3="",C4356=$C$3),OR($E$3="Tous",$E$3="",I4356=$E$3)),1,0),0)))</f>
        <v>0</v>
      </c>
      <c r="L4356" s="0" t="n">
        <f aca="false">L4355+K4356</f>
        <v>19</v>
      </c>
    </row>
    <row r="4357" customFormat="false" ht="15" hidden="true" customHeight="true" outlineLevel="0" collapsed="false">
      <c r="K4357" s="0" t="n">
        <f aca="false">IF(A4357="",0,IF(IFERROR(VLOOKUP(A4357,Skills!$A:$M,13,FALSE()),"")="COS",0,IF(OR(I4357="En cours",I4357="À venir",I4357="À planifier"),IF(AND(OR($C$3="Tous",$C$3="",C4357=$C$3),OR($E$3="Tous",$E$3="",I4357=$E$3)),1,0),0)))</f>
        <v>0</v>
      </c>
      <c r="L4357" s="0" t="n">
        <f aca="false">L4356+K4357</f>
        <v>19</v>
      </c>
    </row>
    <row r="4358" customFormat="false" ht="15" hidden="true" customHeight="true" outlineLevel="0" collapsed="false">
      <c r="K4358" s="0" t="n">
        <f aca="false">IF(A4358="",0,IF(IFERROR(VLOOKUP(A4358,Skills!$A:$M,13,FALSE()),"")="COS",0,IF(OR(I4358="En cours",I4358="À venir",I4358="À planifier"),IF(AND(OR($C$3="Tous",$C$3="",C4358=$C$3),OR($E$3="Tous",$E$3="",I4358=$E$3)),1,0),0)))</f>
        <v>0</v>
      </c>
      <c r="L4358" s="0" t="n">
        <f aca="false">L4357+K4358</f>
        <v>19</v>
      </c>
    </row>
    <row r="4359" customFormat="false" ht="15" hidden="true" customHeight="true" outlineLevel="0" collapsed="false">
      <c r="K4359" s="0" t="n">
        <f aca="false">IF(A4359="",0,IF(IFERROR(VLOOKUP(A4359,Skills!$A:$M,13,FALSE()),"")="COS",0,IF(OR(I4359="En cours",I4359="À venir",I4359="À planifier"),IF(AND(OR($C$3="Tous",$C$3="",C4359=$C$3),OR($E$3="Tous",$E$3="",I4359=$E$3)),1,0),0)))</f>
        <v>0</v>
      </c>
      <c r="L4359" s="0" t="n">
        <f aca="false">L4358+K4359</f>
        <v>19</v>
      </c>
    </row>
    <row r="4360" customFormat="false" ht="15" hidden="true" customHeight="true" outlineLevel="0" collapsed="false">
      <c r="K4360" s="0" t="n">
        <f aca="false">IF(A4360="",0,IF(IFERROR(VLOOKUP(A4360,Skills!$A:$M,13,FALSE()),"")="COS",0,IF(OR(I4360="En cours",I4360="À venir",I4360="À planifier"),IF(AND(OR($C$3="Tous",$C$3="",C4360=$C$3),OR($E$3="Tous",$E$3="",I4360=$E$3)),1,0),0)))</f>
        <v>0</v>
      </c>
      <c r="L4360" s="0" t="n">
        <f aca="false">L4359+K4360</f>
        <v>19</v>
      </c>
    </row>
    <row r="4361" customFormat="false" ht="15" hidden="true" customHeight="true" outlineLevel="0" collapsed="false">
      <c r="K4361" s="0" t="n">
        <f aca="false">IF(A4361="",0,IF(IFERROR(VLOOKUP(A4361,Skills!$A:$M,13,FALSE()),"")="COS",0,IF(OR(I4361="En cours",I4361="À venir",I4361="À planifier"),IF(AND(OR($C$3="Tous",$C$3="",C4361=$C$3),OR($E$3="Tous",$E$3="",I4361=$E$3)),1,0),0)))</f>
        <v>0</v>
      </c>
      <c r="L4361" s="0" t="n">
        <f aca="false">L4360+K4361</f>
        <v>19</v>
      </c>
    </row>
    <row r="4362" customFormat="false" ht="15" hidden="true" customHeight="true" outlineLevel="0" collapsed="false">
      <c r="K4362" s="0" t="n">
        <f aca="false">IF(A4362="",0,IF(IFERROR(VLOOKUP(A4362,Skills!$A:$M,13,FALSE()),"")="COS",0,IF(OR(I4362="En cours",I4362="À venir",I4362="À planifier"),IF(AND(OR($C$3="Tous",$C$3="",C4362=$C$3),OR($E$3="Tous",$E$3="",I4362=$E$3)),1,0),0)))</f>
        <v>0</v>
      </c>
      <c r="L4362" s="0" t="n">
        <f aca="false">L4361+K4362</f>
        <v>19</v>
      </c>
    </row>
    <row r="4363" customFormat="false" ht="15" hidden="true" customHeight="true" outlineLevel="0" collapsed="false">
      <c r="K4363" s="0" t="n">
        <f aca="false">IF(A4363="",0,IF(IFERROR(VLOOKUP(A4363,Skills!$A:$M,13,FALSE()),"")="COS",0,IF(OR(I4363="En cours",I4363="À venir",I4363="À planifier"),IF(AND(OR($C$3="Tous",$C$3="",C4363=$C$3),OR($E$3="Tous",$E$3="",I4363=$E$3)),1,0),0)))</f>
        <v>0</v>
      </c>
      <c r="L4363" s="0" t="n">
        <f aca="false">L4362+K4363</f>
        <v>19</v>
      </c>
    </row>
    <row r="4364" customFormat="false" ht="15" hidden="true" customHeight="true" outlineLevel="0" collapsed="false">
      <c r="K4364" s="0" t="n">
        <f aca="false">IF(A4364="",0,IF(IFERROR(VLOOKUP(A4364,Skills!$A:$M,13,FALSE()),"")="COS",0,IF(OR(I4364="En cours",I4364="À venir",I4364="À planifier"),IF(AND(OR($C$3="Tous",$C$3="",C4364=$C$3),OR($E$3="Tous",$E$3="",I4364=$E$3)),1,0),0)))</f>
        <v>0</v>
      </c>
      <c r="L4364" s="0" t="n">
        <f aca="false">L4363+K4364</f>
        <v>19</v>
      </c>
    </row>
    <row r="4365" customFormat="false" ht="15" hidden="true" customHeight="true" outlineLevel="0" collapsed="false">
      <c r="K4365" s="0" t="n">
        <f aca="false">IF(A4365="",0,IF(IFERROR(VLOOKUP(A4365,Skills!$A:$M,13,FALSE()),"")="COS",0,IF(OR(I4365="En cours",I4365="À venir",I4365="À planifier"),IF(AND(OR($C$3="Tous",$C$3="",C4365=$C$3),OR($E$3="Tous",$E$3="",I4365=$E$3)),1,0),0)))</f>
        <v>0</v>
      </c>
      <c r="L4365" s="0" t="n">
        <f aca="false">L4364+K4365</f>
        <v>19</v>
      </c>
    </row>
    <row r="4366" customFormat="false" ht="15" hidden="true" customHeight="true" outlineLevel="0" collapsed="false">
      <c r="K4366" s="0" t="n">
        <f aca="false">IF(A4366="",0,IF(IFERROR(VLOOKUP(A4366,Skills!$A:$M,13,FALSE()),"")="COS",0,IF(OR(I4366="En cours",I4366="À venir",I4366="À planifier"),IF(AND(OR($C$3="Tous",$C$3="",C4366=$C$3),OR($E$3="Tous",$E$3="",I4366=$E$3)),1,0),0)))</f>
        <v>0</v>
      </c>
      <c r="L4366" s="0" t="n">
        <f aca="false">L4365+K4366</f>
        <v>19</v>
      </c>
    </row>
    <row r="4367" customFormat="false" ht="15" hidden="true" customHeight="true" outlineLevel="0" collapsed="false">
      <c r="K4367" s="0" t="n">
        <f aca="false">IF(A4367="",0,IF(IFERROR(VLOOKUP(A4367,Skills!$A:$M,13,FALSE()),"")="COS",0,IF(OR(I4367="En cours",I4367="À venir",I4367="À planifier"),IF(AND(OR($C$3="Tous",$C$3="",C4367=$C$3),OR($E$3="Tous",$E$3="",I4367=$E$3)),1,0),0)))</f>
        <v>0</v>
      </c>
      <c r="L4367" s="0" t="n">
        <f aca="false">L4366+K4367</f>
        <v>19</v>
      </c>
    </row>
    <row r="4368" customFormat="false" ht="15" hidden="true" customHeight="true" outlineLevel="0" collapsed="false">
      <c r="K4368" s="0" t="n">
        <f aca="false">IF(A4368="",0,IF(IFERROR(VLOOKUP(A4368,Skills!$A:$M,13,FALSE()),"")="COS",0,IF(OR(I4368="En cours",I4368="À venir",I4368="À planifier"),IF(AND(OR($C$3="Tous",$C$3="",C4368=$C$3),OR($E$3="Tous",$E$3="",I4368=$E$3)),1,0),0)))</f>
        <v>0</v>
      </c>
      <c r="L4368" s="0" t="n">
        <f aca="false">L4367+K4368</f>
        <v>19</v>
      </c>
    </row>
    <row r="4369" customFormat="false" ht="15" hidden="true" customHeight="true" outlineLevel="0" collapsed="false">
      <c r="K4369" s="0" t="n">
        <f aca="false">IF(A4369="",0,IF(IFERROR(VLOOKUP(A4369,Skills!$A:$M,13,FALSE()),"")="COS",0,IF(OR(I4369="En cours",I4369="À venir",I4369="À planifier"),IF(AND(OR($C$3="Tous",$C$3="",C4369=$C$3),OR($E$3="Tous",$E$3="",I4369=$E$3)),1,0),0)))</f>
        <v>0</v>
      </c>
      <c r="L4369" s="0" t="n">
        <f aca="false">L4368+K4369</f>
        <v>19</v>
      </c>
    </row>
    <row r="4370" customFormat="false" ht="15" hidden="true" customHeight="true" outlineLevel="0" collapsed="false">
      <c r="K4370" s="0" t="n">
        <f aca="false">IF(A4370="",0,IF(IFERROR(VLOOKUP(A4370,Skills!$A:$M,13,FALSE()),"")="COS",0,IF(OR(I4370="En cours",I4370="À venir",I4370="À planifier"),IF(AND(OR($C$3="Tous",$C$3="",C4370=$C$3),OR($E$3="Tous",$E$3="",I4370=$E$3)),1,0),0)))</f>
        <v>0</v>
      </c>
      <c r="L4370" s="0" t="n">
        <f aca="false">L4369+K4370</f>
        <v>19</v>
      </c>
    </row>
    <row r="4371" customFormat="false" ht="15" hidden="true" customHeight="true" outlineLevel="0" collapsed="false">
      <c r="K4371" s="0" t="n">
        <f aca="false">IF(A4371="",0,IF(IFERROR(VLOOKUP(A4371,Skills!$A:$M,13,FALSE()),"")="COS",0,IF(OR(I4371="En cours",I4371="À venir",I4371="À planifier"),IF(AND(OR($C$3="Tous",$C$3="",C4371=$C$3),OR($E$3="Tous",$E$3="",I4371=$E$3)),1,0),0)))</f>
        <v>0</v>
      </c>
      <c r="L4371" s="0" t="n">
        <f aca="false">L4370+K4371</f>
        <v>19</v>
      </c>
    </row>
    <row r="4372" customFormat="false" ht="15" hidden="true" customHeight="true" outlineLevel="0" collapsed="false">
      <c r="K4372" s="0" t="n">
        <f aca="false">IF(A4372="",0,IF(IFERROR(VLOOKUP(A4372,Skills!$A:$M,13,FALSE()),"")="COS",0,IF(OR(I4372="En cours",I4372="À venir",I4372="À planifier"),IF(AND(OR($C$3="Tous",$C$3="",C4372=$C$3),OR($E$3="Tous",$E$3="",I4372=$E$3)),1,0),0)))</f>
        <v>0</v>
      </c>
      <c r="L4372" s="0" t="n">
        <f aca="false">L4371+K4372</f>
        <v>19</v>
      </c>
    </row>
    <row r="4373" customFormat="false" ht="15" hidden="true" customHeight="true" outlineLevel="0" collapsed="false">
      <c r="K4373" s="0" t="n">
        <f aca="false">IF(A4373="",0,IF(IFERROR(VLOOKUP(A4373,Skills!$A:$M,13,FALSE()),"")="COS",0,IF(OR(I4373="En cours",I4373="À venir",I4373="À planifier"),IF(AND(OR($C$3="Tous",$C$3="",C4373=$C$3),OR($E$3="Tous",$E$3="",I4373=$E$3)),1,0),0)))</f>
        <v>0</v>
      </c>
      <c r="L4373" s="0" t="n">
        <f aca="false">L4372+K4373</f>
        <v>19</v>
      </c>
    </row>
    <row r="4374" customFormat="false" ht="15" hidden="true" customHeight="true" outlineLevel="0" collapsed="false">
      <c r="K4374" s="0" t="n">
        <f aca="false">IF(A4374="",0,IF(IFERROR(VLOOKUP(A4374,Skills!$A:$M,13,FALSE()),"")="COS",0,IF(OR(I4374="En cours",I4374="À venir",I4374="À planifier"),IF(AND(OR($C$3="Tous",$C$3="",C4374=$C$3),OR($E$3="Tous",$E$3="",I4374=$E$3)),1,0),0)))</f>
        <v>0</v>
      </c>
      <c r="L4374" s="0" t="n">
        <f aca="false">L4373+K4374</f>
        <v>19</v>
      </c>
    </row>
    <row r="4375" customFormat="false" ht="15" hidden="true" customHeight="true" outlineLevel="0" collapsed="false">
      <c r="K4375" s="0" t="n">
        <f aca="false">IF(A4375="",0,IF(IFERROR(VLOOKUP(A4375,Skills!$A:$M,13,FALSE()),"")="COS",0,IF(OR(I4375="En cours",I4375="À venir",I4375="À planifier"),IF(AND(OR($C$3="Tous",$C$3="",C4375=$C$3),OR($E$3="Tous",$E$3="",I4375=$E$3)),1,0),0)))</f>
        <v>0</v>
      </c>
      <c r="L4375" s="0" t="n">
        <f aca="false">L4374+K4375</f>
        <v>19</v>
      </c>
    </row>
    <row r="4376" customFormat="false" ht="15" hidden="true" customHeight="true" outlineLevel="0" collapsed="false">
      <c r="K4376" s="0" t="n">
        <f aca="false">IF(A4376="",0,IF(IFERROR(VLOOKUP(A4376,Skills!$A:$M,13,FALSE()),"")="COS",0,IF(OR(I4376="En cours",I4376="À venir",I4376="À planifier"),IF(AND(OR($C$3="Tous",$C$3="",C4376=$C$3),OR($E$3="Tous",$E$3="",I4376=$E$3)),1,0),0)))</f>
        <v>0</v>
      </c>
      <c r="L4376" s="0" t="n">
        <f aca="false">L4375+K4376</f>
        <v>19</v>
      </c>
    </row>
    <row r="4377" customFormat="false" ht="15" hidden="true" customHeight="true" outlineLevel="0" collapsed="false">
      <c r="K4377" s="0" t="n">
        <f aca="false">IF(A4377="",0,IF(IFERROR(VLOOKUP(A4377,Skills!$A:$M,13,FALSE()),"")="COS",0,IF(OR(I4377="En cours",I4377="À venir",I4377="À planifier"),IF(AND(OR($C$3="Tous",$C$3="",C4377=$C$3),OR($E$3="Tous",$E$3="",I4377=$E$3)),1,0),0)))</f>
        <v>0</v>
      </c>
      <c r="L4377" s="0" t="n">
        <f aca="false">L4376+K4377</f>
        <v>19</v>
      </c>
    </row>
    <row r="4378" customFormat="false" ht="15" hidden="true" customHeight="true" outlineLevel="0" collapsed="false">
      <c r="K4378" s="0" t="n">
        <f aca="false">IF(A4378="",0,IF(IFERROR(VLOOKUP(A4378,Skills!$A:$M,13,FALSE()),"")="COS",0,IF(OR(I4378="En cours",I4378="À venir",I4378="À planifier"),IF(AND(OR($C$3="Tous",$C$3="",C4378=$C$3),OR($E$3="Tous",$E$3="",I4378=$E$3)),1,0),0)))</f>
        <v>0</v>
      </c>
      <c r="L4378" s="0" t="n">
        <f aca="false">L4377+K4378</f>
        <v>19</v>
      </c>
    </row>
    <row r="4379" customFormat="false" ht="15" hidden="true" customHeight="true" outlineLevel="0" collapsed="false">
      <c r="K4379" s="0" t="n">
        <f aca="false">IF(A4379="",0,IF(IFERROR(VLOOKUP(A4379,Skills!$A:$M,13,FALSE()),"")="COS",0,IF(OR(I4379="En cours",I4379="À venir",I4379="À planifier"),IF(AND(OR($C$3="Tous",$C$3="",C4379=$C$3),OR($E$3="Tous",$E$3="",I4379=$E$3)),1,0),0)))</f>
        <v>0</v>
      </c>
      <c r="L4379" s="0" t="n">
        <f aca="false">L4378+K4379</f>
        <v>19</v>
      </c>
    </row>
    <row r="4380" customFormat="false" ht="15" hidden="true" customHeight="true" outlineLevel="0" collapsed="false">
      <c r="K4380" s="0" t="n">
        <f aca="false">IF(A4380="",0,IF(IFERROR(VLOOKUP(A4380,Skills!$A:$M,13,FALSE()),"")="COS",0,IF(OR(I4380="En cours",I4380="À venir",I4380="À planifier"),IF(AND(OR($C$3="Tous",$C$3="",C4380=$C$3),OR($E$3="Tous",$E$3="",I4380=$E$3)),1,0),0)))</f>
        <v>0</v>
      </c>
      <c r="L4380" s="0" t="n">
        <f aca="false">L4379+K4380</f>
        <v>19</v>
      </c>
    </row>
    <row r="4381" customFormat="false" ht="15" hidden="true" customHeight="true" outlineLevel="0" collapsed="false">
      <c r="K4381" s="0" t="n">
        <f aca="false">IF(A4381="",0,IF(IFERROR(VLOOKUP(A4381,Skills!$A:$M,13,FALSE()),"")="COS",0,IF(OR(I4381="En cours",I4381="À venir",I4381="À planifier"),IF(AND(OR($C$3="Tous",$C$3="",C4381=$C$3),OR($E$3="Tous",$E$3="",I4381=$E$3)),1,0),0)))</f>
        <v>0</v>
      </c>
      <c r="L4381" s="0" t="n">
        <f aca="false">L4380+K4381</f>
        <v>19</v>
      </c>
    </row>
    <row r="4382" customFormat="false" ht="15" hidden="true" customHeight="true" outlineLevel="0" collapsed="false">
      <c r="K4382" s="0" t="n">
        <f aca="false">IF(A4382="",0,IF(IFERROR(VLOOKUP(A4382,Skills!$A:$M,13,FALSE()),"")="COS",0,IF(OR(I4382="En cours",I4382="À venir",I4382="À planifier"),IF(AND(OR($C$3="Tous",$C$3="",C4382=$C$3),OR($E$3="Tous",$E$3="",I4382=$E$3)),1,0),0)))</f>
        <v>0</v>
      </c>
      <c r="L4382" s="0" t="n">
        <f aca="false">L4381+K4382</f>
        <v>19</v>
      </c>
    </row>
    <row r="4383" customFormat="false" ht="15" hidden="true" customHeight="true" outlineLevel="0" collapsed="false">
      <c r="K4383" s="0" t="n">
        <f aca="false">IF(A4383="",0,IF(IFERROR(VLOOKUP(A4383,Skills!$A:$M,13,FALSE()),"")="COS",0,IF(OR(I4383="En cours",I4383="À venir",I4383="À planifier"),IF(AND(OR($C$3="Tous",$C$3="",C4383=$C$3),OR($E$3="Tous",$E$3="",I4383=$E$3)),1,0),0)))</f>
        <v>0</v>
      </c>
      <c r="L4383" s="0" t="n">
        <f aca="false">L4382+K4383</f>
        <v>19</v>
      </c>
    </row>
    <row r="4384" customFormat="false" ht="15" hidden="true" customHeight="true" outlineLevel="0" collapsed="false">
      <c r="K4384" s="0" t="n">
        <f aca="false">IF(A4384="",0,IF(IFERROR(VLOOKUP(A4384,Skills!$A:$M,13,FALSE()),"")="COS",0,IF(OR(I4384="En cours",I4384="À venir",I4384="À planifier"),IF(AND(OR($C$3="Tous",$C$3="",C4384=$C$3),OR($E$3="Tous",$E$3="",I4384=$E$3)),1,0),0)))</f>
        <v>0</v>
      </c>
      <c r="L4384" s="0" t="n">
        <f aca="false">L4383+K4384</f>
        <v>19</v>
      </c>
    </row>
    <row r="4385" customFormat="false" ht="15" hidden="true" customHeight="true" outlineLevel="0" collapsed="false">
      <c r="K4385" s="0" t="n">
        <f aca="false">IF(A4385="",0,IF(IFERROR(VLOOKUP(A4385,Skills!$A:$M,13,FALSE()),"")="COS",0,IF(OR(I4385="En cours",I4385="À venir",I4385="À planifier"),IF(AND(OR($C$3="Tous",$C$3="",C4385=$C$3),OR($E$3="Tous",$E$3="",I4385=$E$3)),1,0),0)))</f>
        <v>0</v>
      </c>
      <c r="L4385" s="0" t="n">
        <f aca="false">L4384+K4385</f>
        <v>19</v>
      </c>
    </row>
    <row r="4386" customFormat="false" ht="15" hidden="true" customHeight="true" outlineLevel="0" collapsed="false">
      <c r="K4386" s="0" t="n">
        <f aca="false">IF(A4386="",0,IF(IFERROR(VLOOKUP(A4386,Skills!$A:$M,13,FALSE()),"")="COS",0,IF(OR(I4386="En cours",I4386="À venir",I4386="À planifier"),IF(AND(OR($C$3="Tous",$C$3="",C4386=$C$3),OR($E$3="Tous",$E$3="",I4386=$E$3)),1,0),0)))</f>
        <v>0</v>
      </c>
      <c r="L4386" s="0" t="n">
        <f aca="false">L4385+K4386</f>
        <v>19</v>
      </c>
    </row>
    <row r="4387" customFormat="false" ht="15" hidden="true" customHeight="true" outlineLevel="0" collapsed="false">
      <c r="K4387" s="0" t="n">
        <f aca="false">IF(A4387="",0,IF(IFERROR(VLOOKUP(A4387,Skills!$A:$M,13,FALSE()),"")="COS",0,IF(OR(I4387="En cours",I4387="À venir",I4387="À planifier"),IF(AND(OR($C$3="Tous",$C$3="",C4387=$C$3),OR($E$3="Tous",$E$3="",I4387=$E$3)),1,0),0)))</f>
        <v>0</v>
      </c>
      <c r="L4387" s="0" t="n">
        <f aca="false">L4386+K4387</f>
        <v>19</v>
      </c>
    </row>
    <row r="4388" customFormat="false" ht="15" hidden="true" customHeight="true" outlineLevel="0" collapsed="false">
      <c r="K4388" s="0" t="n">
        <f aca="false">IF(A4388="",0,IF(IFERROR(VLOOKUP(A4388,Skills!$A:$M,13,FALSE()),"")="COS",0,IF(OR(I4388="En cours",I4388="À venir",I4388="À planifier"),IF(AND(OR($C$3="Tous",$C$3="",C4388=$C$3),OR($E$3="Tous",$E$3="",I4388=$E$3)),1,0),0)))</f>
        <v>0</v>
      </c>
      <c r="L4388" s="0" t="n">
        <f aca="false">L4387+K4388</f>
        <v>19</v>
      </c>
    </row>
    <row r="4389" customFormat="false" ht="15" hidden="true" customHeight="true" outlineLevel="0" collapsed="false">
      <c r="K4389" s="0" t="n">
        <f aca="false">IF(A4389="",0,IF(IFERROR(VLOOKUP(A4389,Skills!$A:$M,13,FALSE()),"")="COS",0,IF(OR(I4389="En cours",I4389="À venir",I4389="À planifier"),IF(AND(OR($C$3="Tous",$C$3="",C4389=$C$3),OR($E$3="Tous",$E$3="",I4389=$E$3)),1,0),0)))</f>
        <v>0</v>
      </c>
      <c r="L4389" s="0" t="n">
        <f aca="false">L4388+K4389</f>
        <v>19</v>
      </c>
    </row>
    <row r="4390" customFormat="false" ht="15" hidden="true" customHeight="true" outlineLevel="0" collapsed="false">
      <c r="K4390" s="0" t="n">
        <f aca="false">IF(A4390="",0,IF(IFERROR(VLOOKUP(A4390,Skills!$A:$M,13,FALSE()),"")="COS",0,IF(OR(I4390="En cours",I4390="À venir",I4390="À planifier"),IF(AND(OR($C$3="Tous",$C$3="",C4390=$C$3),OR($E$3="Tous",$E$3="",I4390=$E$3)),1,0),0)))</f>
        <v>0</v>
      </c>
      <c r="L4390" s="0" t="n">
        <f aca="false">L4389+K4390</f>
        <v>19</v>
      </c>
    </row>
    <row r="4391" customFormat="false" ht="15" hidden="true" customHeight="true" outlineLevel="0" collapsed="false">
      <c r="K4391" s="0" t="n">
        <f aca="false">IF(A4391="",0,IF(IFERROR(VLOOKUP(A4391,Skills!$A:$M,13,FALSE()),"")="COS",0,IF(OR(I4391="En cours",I4391="À venir",I4391="À planifier"),IF(AND(OR($C$3="Tous",$C$3="",C4391=$C$3),OR($E$3="Tous",$E$3="",I4391=$E$3)),1,0),0)))</f>
        <v>0</v>
      </c>
      <c r="L4391" s="0" t="n">
        <f aca="false">L4390+K4391</f>
        <v>19</v>
      </c>
    </row>
    <row r="4392" customFormat="false" ht="15" hidden="true" customHeight="true" outlineLevel="0" collapsed="false">
      <c r="K4392" s="0" t="n">
        <f aca="false">IF(A4392="",0,IF(IFERROR(VLOOKUP(A4392,Skills!$A:$M,13,FALSE()),"")="COS",0,IF(OR(I4392="En cours",I4392="À venir",I4392="À planifier"),IF(AND(OR($C$3="Tous",$C$3="",C4392=$C$3),OR($E$3="Tous",$E$3="",I4392=$E$3)),1,0),0)))</f>
        <v>0</v>
      </c>
      <c r="L4392" s="0" t="n">
        <f aca="false">L4391+K4392</f>
        <v>19</v>
      </c>
    </row>
    <row r="4393" customFormat="false" ht="15" hidden="true" customHeight="true" outlineLevel="0" collapsed="false">
      <c r="K4393" s="0" t="n">
        <f aca="false">IF(A4393="",0,IF(IFERROR(VLOOKUP(A4393,Skills!$A:$M,13,FALSE()),"")="COS",0,IF(OR(I4393="En cours",I4393="À venir",I4393="À planifier"),IF(AND(OR($C$3="Tous",$C$3="",C4393=$C$3),OR($E$3="Tous",$E$3="",I4393=$E$3)),1,0),0)))</f>
        <v>0</v>
      </c>
      <c r="L4393" s="0" t="n">
        <f aca="false">L4392+K4393</f>
        <v>19</v>
      </c>
    </row>
    <row r="4394" customFormat="false" ht="15" hidden="true" customHeight="true" outlineLevel="0" collapsed="false">
      <c r="K4394" s="0" t="n">
        <f aca="false">IF(A4394="",0,IF(IFERROR(VLOOKUP(A4394,Skills!$A:$M,13,FALSE()),"")="COS",0,IF(OR(I4394="En cours",I4394="À venir",I4394="À planifier"),IF(AND(OR($C$3="Tous",$C$3="",C4394=$C$3),OR($E$3="Tous",$E$3="",I4394=$E$3)),1,0),0)))</f>
        <v>0</v>
      </c>
      <c r="L4394" s="0" t="n">
        <f aca="false">L4393+K4394</f>
        <v>19</v>
      </c>
    </row>
    <row r="4395" customFormat="false" ht="15" hidden="true" customHeight="true" outlineLevel="0" collapsed="false">
      <c r="K4395" s="0" t="n">
        <f aca="false">IF(A4395="",0,IF(IFERROR(VLOOKUP(A4395,Skills!$A:$M,13,FALSE()),"")="COS",0,IF(OR(I4395="En cours",I4395="À venir",I4395="À planifier"),IF(AND(OR($C$3="Tous",$C$3="",C4395=$C$3),OR($E$3="Tous",$E$3="",I4395=$E$3)),1,0),0)))</f>
        <v>0</v>
      </c>
      <c r="L4395" s="0" t="n">
        <f aca="false">L4394+K4395</f>
        <v>19</v>
      </c>
    </row>
  </sheetData>
  <mergeCells count="5">
    <mergeCell ref="A1:M1"/>
    <mergeCell ref="A2:M2"/>
    <mergeCell ref="A6:D6"/>
    <mergeCell ref="F6:I6"/>
    <mergeCell ref="K6:N6"/>
  </mergeCells>
  <conditionalFormatting sqref="A8:D31">
    <cfRule type="expression" priority="2" aboveAverage="0" equalAverage="0" bottom="0" percent="0" rank="0" text="" dxfId="0">
      <formula>$A8&lt;&gt;""</formula>
    </cfRule>
  </conditionalFormatting>
  <conditionalFormatting sqref="D8:D31">
    <cfRule type="cellIs" priority="3" operator="equal" aboveAverage="0" equalAverage="0" bottom="0" percent="0" rank="0" text="" dxfId="1">
      <formula>"En cours"</formula>
    </cfRule>
    <cfRule type="cellIs" priority="4" operator="equal" aboveAverage="0" equalAverage="0" bottom="0" percent="0" rank="0" text="" dxfId="2">
      <formula>"À venir"</formula>
    </cfRule>
    <cfRule type="cellIs" priority="5" operator="equal" aboveAverage="0" equalAverage="0" bottom="0" percent="0" rank="0" text="" dxfId="3">
      <formula>"À planifier"</formula>
    </cfRule>
  </conditionalFormatting>
  <conditionalFormatting sqref="F8:I31">
    <cfRule type="expression" priority="6" aboveAverage="0" equalAverage="0" bottom="0" percent="0" rank="0" text="" dxfId="0">
      <formula>$F8&lt;&gt;""</formula>
    </cfRule>
  </conditionalFormatting>
  <conditionalFormatting sqref="I8:I31">
    <cfRule type="cellIs" priority="7" operator="equal" aboveAverage="0" equalAverage="0" bottom="0" percent="0" rank="0" text="" dxfId="1">
      <formula>"En cours"</formula>
    </cfRule>
    <cfRule type="cellIs" priority="8" operator="equal" aboveAverage="0" equalAverage="0" bottom="0" percent="0" rank="0" text="" dxfId="2">
      <formula>"À venir"</formula>
    </cfRule>
    <cfRule type="cellIs" priority="9" operator="equal" aboveAverage="0" equalAverage="0" bottom="0" percent="0" rank="0" text="" dxfId="3">
      <formula>"À planifier"</formula>
    </cfRule>
  </conditionalFormatting>
  <conditionalFormatting sqref="K8:N31">
    <cfRule type="expression" priority="10" aboveAverage="0" equalAverage="0" bottom="0" percent="0" rank="0" text="" dxfId="0">
      <formula>$K8&lt;&gt;""</formula>
    </cfRule>
  </conditionalFormatting>
  <conditionalFormatting sqref="N8:N31">
    <cfRule type="cellIs" priority="11" operator="equal" aboveAverage="0" equalAverage="0" bottom="0" percent="0" rank="0" text="" dxfId="1">
      <formula>"En cours"</formula>
    </cfRule>
    <cfRule type="cellIs" priority="12" operator="equal" aboveAverage="0" equalAverage="0" bottom="0" percent="0" rank="0" text="" dxfId="2">
      <formula>"À venir"</formula>
    </cfRule>
    <cfRule type="cellIs" priority="13" operator="equal" aboveAverage="0" equalAverage="0" bottom="0" percent="0" rank="0" text="" dxfId="3">
      <formula>"À planifier"</formula>
    </cfRule>
  </conditionalFormatting>
  <dataValidations count="2">
    <dataValidation allowBlank="true" errorStyle="stop" operator="between" showDropDown="false" showErrorMessage="false" showInputMessage="false" sqref="E3" type="list">
      <formula1>"Tous,En cours,À venir,À planifier"</formula1>
      <formula2>0</formula2>
    </dataValidation>
    <dataValidation allowBlank="true" errorStyle="stop" operator="between" showDropDown="false" showErrorMessage="false" showInputMessage="false" sqref="C3" type="list">
      <formula1>"Tous,Montréal,Lisbonne"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96" zoomScaleNormal="96" zoomScalePageLayoutView="100" workbookViewId="0">
      <pane xSplit="4" ySplit="1" topLeftCell="E164" activePane="bottomRight" state="frozen"/>
      <selection pane="topLeft" activeCell="A1" activeCellId="0" sqref="A1"/>
      <selection pane="topRight" activeCell="E1" activeCellId="0" sqref="E1"/>
      <selection pane="bottomLeft" activeCell="A164" activeCellId="0" sqref="A164"/>
      <selection pane="bottomRight" activeCell="H1016" activeCellId="0" sqref="H1016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117" width="22.15"/>
    <col collapsed="false" customWidth="true" hidden="false" outlineLevel="0" max="3" min="3" style="117" width="22"/>
    <col collapsed="false" customWidth="true" hidden="false" outlineLevel="0" max="4" min="4" style="0" width="11"/>
    <col collapsed="false" customWidth="true" hidden="false" outlineLevel="0" max="5" min="5" style="118" width="13.71"/>
    <col collapsed="false" customWidth="true" hidden="false" outlineLevel="0" max="6" min="6" style="119" width="14.14"/>
    <col collapsed="false" customWidth="true" hidden="false" outlineLevel="0" max="7" min="7" style="119" width="14.29"/>
    <col collapsed="false" customWidth="true" hidden="false" outlineLevel="0" max="8" min="8" style="119" width="14.14"/>
    <col collapsed="false" customWidth="true" hidden="false" outlineLevel="0" max="10" min="9" style="119" width="14.57"/>
    <col collapsed="false" customWidth="true" hidden="false" outlineLevel="0" max="11" min="11" style="119" width="15.42"/>
    <col collapsed="false" customWidth="true" hidden="false" outlineLevel="0" max="12" min="12" style="119" width="14"/>
    <col collapsed="false" customWidth="true" hidden="false" outlineLevel="0" max="13" min="13" style="119" width="13"/>
    <col collapsed="false" customWidth="true" hidden="true" outlineLevel="0" max="21" min="15" style="0" width="9"/>
    <col collapsed="false" customWidth="true" hidden="false" outlineLevel="0" max="23" min="23" style="120" width="12"/>
    <col collapsed="false" customWidth="true" hidden="false" outlineLevel="0" max="24" min="24" style="0" width="14"/>
  </cols>
  <sheetData>
    <row r="1" customFormat="false" ht="31.5" hidden="false" customHeight="true" outlineLevel="0" collapsed="false">
      <c r="A1" s="121" t="s">
        <v>156</v>
      </c>
      <c r="B1" s="121" t="s">
        <v>157</v>
      </c>
      <c r="C1" s="121" t="s">
        <v>158</v>
      </c>
      <c r="D1" s="121" t="s">
        <v>149</v>
      </c>
      <c r="E1" s="122" t="s">
        <v>25</v>
      </c>
      <c r="F1" s="123" t="s">
        <v>26</v>
      </c>
      <c r="G1" s="123" t="s">
        <v>27</v>
      </c>
      <c r="H1" s="123" t="s">
        <v>28</v>
      </c>
      <c r="I1" s="123" t="s">
        <v>29</v>
      </c>
      <c r="J1" s="123" t="s">
        <v>30</v>
      </c>
      <c r="K1" s="123" t="s">
        <v>159</v>
      </c>
      <c r="L1" s="123" t="s">
        <v>81</v>
      </c>
      <c r="M1" s="124" t="s">
        <v>151</v>
      </c>
      <c r="N1" s="14" t="str">
        <f aca="false">HYPERLINK("#Accueil!A1","⌂ Accueil")</f>
        <v>⌂ Accueil</v>
      </c>
      <c r="O1" s="125" t="s">
        <v>160</v>
      </c>
      <c r="P1" s="125" t="s">
        <v>161</v>
      </c>
      <c r="Q1" s="125" t="s">
        <v>162</v>
      </c>
      <c r="R1" s="125" t="s">
        <v>163</v>
      </c>
      <c r="S1" s="125" t="s">
        <v>164</v>
      </c>
      <c r="T1" s="125" t="s">
        <v>165</v>
      </c>
      <c r="U1" s="125" t="s">
        <v>166</v>
      </c>
      <c r="W1" s="125" t="s">
        <v>112</v>
      </c>
      <c r="X1" s="126" t="s">
        <v>167</v>
      </c>
    </row>
    <row r="2" customFormat="false" ht="18" hidden="true" customHeight="true" outlineLevel="0" collapsed="false">
      <c r="A2" s="127" t="s">
        <v>168</v>
      </c>
      <c r="B2" s="128" t="s">
        <v>169</v>
      </c>
      <c r="C2" s="128" t="s">
        <v>170</v>
      </c>
      <c r="D2" s="129" t="s">
        <v>171</v>
      </c>
      <c r="E2" s="130" t="str">
        <f aca="false">IF($O2="✓","✓",IF(ISNUMBER($O2),TEXT($O2,"yyyy-mm-dd"),IF($A2="","",IF(SUMPRODUCT(('Formation Initiale'!$A$2:$A$999=$A2)*('Formation Initiale'!$R$2:$R$999="Terminé"))&gt;0,"✓",IF(SUMPRODUCT(MAX(('Formation Initiale'!$A$2:$A$999=$A2)*'Formation Initiale'!$G$2:$G$999))&gt;0,TEXT(SUMPRODUCT(MAX(('Formation Initiale'!$A$2:$A$999=$A2)*'Formation Initiale'!$G$2:$G$999)),"yyyy-mm-dd"),"")))))</f>
        <v>✓</v>
      </c>
      <c r="F2" s="131" t="str">
        <f aca="false">IF($P2="✓","✓",IF(ISNUMBER($P2),TEXT($P2,"yyyy-mm-dd"),IF($A2="","",IF($D2="Lisbonne","",IF(SUMPRODUCT(('Formation Initiale'!$A$2:$A$999=$A2)*('Formation Initiale'!$R$2:$R$999="Terminé"))&gt;0,"✓",IF(SUMPRODUCT(MAX(('Formation Initiale'!$A$2:$A$999=$A2)*'Formation Initiale'!$G$2:$G$999))&gt;0,TEXT(SUMPRODUCT(MAX(('Formation Initiale'!$A$2:$A$999=$A2)*'Formation Initiale'!$G$2:$G$999)),"yyyy-mm-dd"),""))))))</f>
        <v>✓</v>
      </c>
      <c r="G2" s="131" t="str">
        <f aca="false">IF($Q2="✓","✓",IF(ISNUMBER($Q2),TEXT($Q2,"yyyy-mm-dd"),IF($A2="","",IF(SUMPRODUCT(('Agences &amp; Après-vente'!$A$2:$A$1000=$A2)*(('Agences &amp; Après-vente'!$D$2:$D$1000="Agences")+('Agences &amp; Après-vente'!$D$2:$D$1000="Agences et Après-vente"))*('Agences &amp; Après-vente'!$I$2:$I$1000="DONE"))&gt;0,"✓",IF(SUMPRODUCT(MAX(('Agences &amp; Après-vente'!$A$2:$A$1000=$A2)*(('Agences &amp; Après-vente'!$D$2:$D$1000="Agences")+('Agences &amp; Après-vente'!$D$2:$D$1000="Agences et Après-vente"))*'Agences &amp; Après-vente'!$E$2:$E$1000))&gt;0,TEXT(SUMPRODUCT(MAX(('Agences &amp; Après-vente'!$A$2:$A$1000=$A2)*(('Agences &amp; Après-vente'!$D$2:$D$1000="Agences")+('Agences &amp; Après-vente'!$D$2:$D$1000="Agences et Après-vente"))*'Agences &amp; Après-vente'!$E$2:$E$1000)),"yyyy-mm-dd"),"")))))</f>
        <v>✓</v>
      </c>
      <c r="H2" s="131" t="str">
        <f aca="false">IF($R2="✓","✓",IF(ISNUMBER($R2),TEXT($R2,"yyyy-mm-dd"),IF($A2="","",IF($D2="Lisbonne","",IF(SUMPRODUCT(('Agences &amp; Après-vente'!$A$2:$A$1000=$A2)*(('Agences &amp; Après-vente'!$D$2:$D$1000="Agences")+('Agences &amp; Après-vente'!$D$2:$D$1000="Agences et Après-vente"))*('Agences &amp; Après-vente'!$I$2:$I$1000="DONE"))&gt;0,"✓",IF(SUMPRODUCT(MAX(('Agences &amp; Après-vente'!$A$2:$A$1000=$A2)*(('Agences &amp; Après-vente'!$D$2:$D$1000="Agences")+('Agences &amp; Après-vente'!$D$2:$D$1000="Agences et Après-vente"))*'Agences &amp; Après-vente'!$E$2:$E$1000))&gt;0,TEXT(SUMPRODUCT(MAX(('Agences &amp; Après-vente'!$A$2:$A$1000=$A2)*(('Agences &amp; Après-vente'!$D$2:$D$1000="Agences")+('Agences &amp; Après-vente'!$D$2:$D$1000="Agences et Après-vente"))*'Agences &amp; Après-vente'!$E$2:$E$1000)),"yyyy-mm-dd"),""))))))</f>
        <v>✓</v>
      </c>
      <c r="I2" s="131" t="str">
        <f aca="false">IF($S2="✓","✓",IF(ISNUMBER($S2),TEXT($S2,"yyyy-mm-dd"),IF($A2="","",IF(SUMPRODUCT(('Agences &amp; Après-vente'!$A$2:$A$1000=$A2)*(('Agences &amp; Après-vente'!$D$2:$D$1000="Après-vente")+('Agences &amp; Après-vente'!$D$2:$D$1000="Agences et Après-vente"))*('Agences &amp; Après-vente'!$I$2:$I$1000="DONE"))&gt;0,"✓",IF(SUMPRODUCT(MAX(('Agences &amp; Après-vente'!$A$2:$A$1000=$A2)*(('Agences &amp; Après-vente'!$D$2:$D$1000="Après-vente")+('Agences &amp; Après-vente'!$D$2:$D$1000="Agences et Après-vente"))*'Agences &amp; Après-vente'!$E$2:$E$1000))&gt;0,TEXT(SUMPRODUCT(MAX(('Agences &amp; Après-vente'!$A$2:$A$1000=$A2)*(('Agences &amp; Après-vente'!$D$2:$D$1000="Après-vente")+('Agences &amp; Après-vente'!$D$2:$D$1000="Agences et Après-vente"))*'Agences &amp; Après-vente'!$E$2:$E$1000)),"yyyy-mm-dd"),"")))))</f>
        <v>✓</v>
      </c>
      <c r="J2" s="131" t="str">
        <f aca="false">IF($T2="✓","✓",IF(ISNUMBER($T2),TEXT($T2,"yyyy-mm-dd"),IF($A2="","",IF($D2="Lisbonne","",IF(SUMPRODUCT(('Agences &amp; Après-vente'!$A$2:$A$1000=$A2)*(('Agences &amp; Après-vente'!$D$2:$D$1000="Après-vente")+('Agences &amp; Après-vente'!$D$2:$D$1000="Agences et Après-vente"))*('Agences &amp; Après-vente'!$I$2:$I$1000="DONE"))&gt;0,"✓",IF(SUMPRODUCT(MAX(('Agences &amp; Après-vente'!$A$2:$A$1000=$A2)*(('Agences &amp; Après-vente'!$D$2:$D$1000="Après-vente")+('Agences &amp; Après-vente'!$D$2:$D$1000="Agences et Après-vente"))*'Agences &amp; Après-vente'!$E$2:$E$1000))&gt;0,TEXT(SUMPRODUCT(MAX(('Agences &amp; Après-vente'!$A$2:$A$1000=$A2)*(('Agences &amp; Après-vente'!$D$2:$D$1000="Après-vente")+('Agences &amp; Après-vente'!$D$2:$D$1000="Agences et Après-vente"))*'Agences &amp; Après-vente'!$E$2:$E$1000)),"yyyy-mm-dd"),""))))))</f>
        <v>✓</v>
      </c>
      <c r="K2" s="131" t="str">
        <f aca="false">IF($U2="✓","✓",IF(ISNUMBER($U2),TEXT($U2,"yyyy-mm-dd"),IF($D2="Lisbonne","",IF($A2="","",IF(SUMPRODUCT((Evermont!$A$2:$A$1000=$A2)*(Evermont!$Q$2:$Q$1000="Terminé"))&gt;0,"✓",IF(SUMPRODUCT(MAX((Evermont!$A$2:$A$1000=$A2)*Evermont!$F$2:$F$1000))&gt;0,TEXT(SUMPRODUCT(MAX((Evermont!$A$2:$A$1000=$A2)*Evermont!$F$2:$F$1000)),"yyyy-mm-dd"),""))))))</f>
        <v/>
      </c>
      <c r="L2" s="132" t="n">
        <f aca="false">IF($A2="","",COUNTIF(E2:K2,"✓"))</f>
        <v>6</v>
      </c>
      <c r="M2" s="133" t="s">
        <v>172</v>
      </c>
      <c r="O2" s="134" t="s">
        <v>173</v>
      </c>
      <c r="P2" s="134" t="s">
        <v>173</v>
      </c>
      <c r="Q2" s="134" t="s">
        <v>173</v>
      </c>
      <c r="R2" s="134" t="s">
        <v>173</v>
      </c>
      <c r="S2" s="134" t="s">
        <v>173</v>
      </c>
      <c r="T2" s="134" t="s">
        <v>173</v>
      </c>
      <c r="U2" s="134"/>
      <c r="W2" s="135" t="str">
        <f aca="false">IF($A2="","",IF($X2&lt;&gt;"",$X2,IFERROR(INDEX('Formation Initiale'!$B$2:$B$999,MATCH($A2,'Formation Initiale'!$A$2:$A$999,0)),"Général")))</f>
        <v>Général</v>
      </c>
      <c r="X2" s="136"/>
    </row>
    <row r="3" customFormat="false" ht="18" hidden="true" customHeight="true" outlineLevel="0" collapsed="false">
      <c r="A3" s="127" t="s">
        <v>174</v>
      </c>
      <c r="B3" s="128" t="s">
        <v>175</v>
      </c>
      <c r="C3" s="128" t="s">
        <v>176</v>
      </c>
      <c r="D3" s="129" t="s">
        <v>171</v>
      </c>
      <c r="E3" s="130" t="str">
        <f aca="false">IF($O3="✓","✓",IF(ISNUMBER($O3),TEXT($O3,"yyyy-mm-dd"),IF($A3="","",IF(SUMPRODUCT(('Formation Initiale'!$A$2:$A$999=$A3)*('Formation Initiale'!$R$2:$R$999="Terminé"))&gt;0,"✓",IF(SUMPRODUCT(MAX(('Formation Initiale'!$A$2:$A$999=$A3)*'Formation Initiale'!$G$2:$G$999))&gt;0,TEXT(SUMPRODUCT(MAX(('Formation Initiale'!$A$2:$A$999=$A3)*'Formation Initiale'!$G$2:$G$999)),"yyyy-mm-dd"),"")))))</f>
        <v>✓</v>
      </c>
      <c r="F3" s="131" t="str">
        <f aca="false">IF($P3="✓","✓",IF(ISNUMBER($P3),TEXT($P3,"yyyy-mm-dd"),IF($A3="","",IF($D3="Lisbonne","",IF(SUMPRODUCT(('Formation Initiale'!$A$2:$A$999=$A3)*('Formation Initiale'!$R$2:$R$999="Terminé"))&gt;0,"✓",IF(SUMPRODUCT(MAX(('Formation Initiale'!$A$2:$A$999=$A3)*'Formation Initiale'!$G$2:$G$999))&gt;0,TEXT(SUMPRODUCT(MAX(('Formation Initiale'!$A$2:$A$999=$A3)*'Formation Initiale'!$G$2:$G$999)),"yyyy-mm-dd"),""))))))</f>
        <v>✓</v>
      </c>
      <c r="G3" s="131" t="str">
        <f aca="false">IF($Q3="✓","✓",IF(ISNUMBER($Q3),TEXT($Q3,"yyyy-mm-dd"),IF($A3="","",IF(SUMPRODUCT(('Agences &amp; Après-vente'!$A$2:$A$1000=$A3)*(('Agences &amp; Après-vente'!$D$2:$D$1000="Agences")+('Agences &amp; Après-vente'!$D$2:$D$1000="Agences et Après-vente"))*('Agences &amp; Après-vente'!$I$2:$I$1000="DONE"))&gt;0,"✓",IF(SUMPRODUCT(MAX(('Agences &amp; Après-vente'!$A$2:$A$1000=$A3)*(('Agences &amp; Après-vente'!$D$2:$D$1000="Agences")+('Agences &amp; Après-vente'!$D$2:$D$1000="Agences et Après-vente"))*'Agences &amp; Après-vente'!$E$2:$E$1000))&gt;0,TEXT(SUMPRODUCT(MAX(('Agences &amp; Après-vente'!$A$2:$A$1000=$A3)*(('Agences &amp; Après-vente'!$D$2:$D$1000="Agences")+('Agences &amp; Après-vente'!$D$2:$D$1000="Agences et Après-vente"))*'Agences &amp; Après-vente'!$E$2:$E$1000)),"yyyy-mm-dd"),"")))))</f>
        <v>✓</v>
      </c>
      <c r="H3" s="131" t="str">
        <f aca="false">IF($R3="✓","✓",IF(ISNUMBER($R3),TEXT($R3,"yyyy-mm-dd"),IF($A3="","",IF($D3="Lisbonne","",IF(SUMPRODUCT(('Agences &amp; Après-vente'!$A$2:$A$1000=$A3)*(('Agences &amp; Après-vente'!$D$2:$D$1000="Agences")+('Agences &amp; Après-vente'!$D$2:$D$1000="Agences et Après-vente"))*('Agences &amp; Après-vente'!$I$2:$I$1000="DONE"))&gt;0,"✓",IF(SUMPRODUCT(MAX(('Agences &amp; Après-vente'!$A$2:$A$1000=$A3)*(('Agences &amp; Après-vente'!$D$2:$D$1000="Agences")+('Agences &amp; Après-vente'!$D$2:$D$1000="Agences et Après-vente"))*'Agences &amp; Après-vente'!$E$2:$E$1000))&gt;0,TEXT(SUMPRODUCT(MAX(('Agences &amp; Après-vente'!$A$2:$A$1000=$A3)*(('Agences &amp; Après-vente'!$D$2:$D$1000="Agences")+('Agences &amp; Après-vente'!$D$2:$D$1000="Agences et Après-vente"))*'Agences &amp; Après-vente'!$E$2:$E$1000)),"yyyy-mm-dd"),""))))))</f>
        <v>✓</v>
      </c>
      <c r="I3" s="131" t="str">
        <f aca="false">IF($S3="✓","✓",IF(ISNUMBER($S3),TEXT($S3,"yyyy-mm-dd"),IF($A3="","",IF(SUMPRODUCT(('Agences &amp; Après-vente'!$A$2:$A$1000=$A3)*(('Agences &amp; Après-vente'!$D$2:$D$1000="Après-vente")+('Agences &amp; Après-vente'!$D$2:$D$1000="Agences et Après-vente"))*('Agences &amp; Après-vente'!$I$2:$I$1000="DONE"))&gt;0,"✓",IF(SUMPRODUCT(MAX(('Agences &amp; Après-vente'!$A$2:$A$1000=$A3)*(('Agences &amp; Après-vente'!$D$2:$D$1000="Après-vente")+('Agences &amp; Après-vente'!$D$2:$D$1000="Agences et Après-vente"))*'Agences &amp; Après-vente'!$E$2:$E$1000))&gt;0,TEXT(SUMPRODUCT(MAX(('Agences &amp; Après-vente'!$A$2:$A$1000=$A3)*(('Agences &amp; Après-vente'!$D$2:$D$1000="Après-vente")+('Agences &amp; Après-vente'!$D$2:$D$1000="Agences et Après-vente"))*'Agences &amp; Après-vente'!$E$2:$E$1000)),"yyyy-mm-dd"),"")))))</f>
        <v>✓</v>
      </c>
      <c r="J3" s="131" t="str">
        <f aca="false">IF($T3="✓","✓",IF(ISNUMBER($T3),TEXT($T3,"yyyy-mm-dd"),IF($A3="","",IF($D3="Lisbonne","",IF(SUMPRODUCT(('Agences &amp; Après-vente'!$A$2:$A$1000=$A3)*(('Agences &amp; Après-vente'!$D$2:$D$1000="Après-vente")+('Agences &amp; Après-vente'!$D$2:$D$1000="Agences et Après-vente"))*('Agences &amp; Après-vente'!$I$2:$I$1000="DONE"))&gt;0,"✓",IF(SUMPRODUCT(MAX(('Agences &amp; Après-vente'!$A$2:$A$1000=$A3)*(('Agences &amp; Après-vente'!$D$2:$D$1000="Après-vente")+('Agences &amp; Après-vente'!$D$2:$D$1000="Agences et Après-vente"))*'Agences &amp; Après-vente'!$E$2:$E$1000))&gt;0,TEXT(SUMPRODUCT(MAX(('Agences &amp; Après-vente'!$A$2:$A$1000=$A3)*(('Agences &amp; Après-vente'!$D$2:$D$1000="Après-vente")+('Agences &amp; Après-vente'!$D$2:$D$1000="Agences et Après-vente"))*'Agences &amp; Après-vente'!$E$2:$E$1000)),"yyyy-mm-dd"),""))))))</f>
        <v>✓</v>
      </c>
      <c r="K3" s="131" t="str">
        <f aca="false">IF($U3="✓","✓",IF(ISNUMBER($U3),TEXT($U3,"yyyy-mm-dd"),IF($D3="Lisbonne","",IF($A3="","",IF(SUMPRODUCT((Evermont!$A$2:$A$1000=$A3)*(Evermont!$Q$2:$Q$1000="Terminé"))&gt;0,"✓",IF(SUMPRODUCT(MAX((Evermont!$A$2:$A$1000=$A3)*Evermont!$F$2:$F$1000))&gt;0,TEXT(SUMPRODUCT(MAX((Evermont!$A$2:$A$1000=$A3)*Evermont!$F$2:$F$1000)),"yyyy-mm-dd"),""))))))</f>
        <v>✓</v>
      </c>
      <c r="L3" s="132" t="n">
        <f aca="false">IF($A3="","",COUNTIF(E3:K3,"✓"))</f>
        <v>7</v>
      </c>
      <c r="M3" s="133" t="s">
        <v>172</v>
      </c>
      <c r="O3" s="134" t="s">
        <v>173</v>
      </c>
      <c r="P3" s="134" t="s">
        <v>173</v>
      </c>
      <c r="Q3" s="134" t="s">
        <v>173</v>
      </c>
      <c r="R3" s="134" t="s">
        <v>173</v>
      </c>
      <c r="S3" s="134" t="s">
        <v>173</v>
      </c>
      <c r="T3" s="134" t="s">
        <v>173</v>
      </c>
      <c r="U3" s="134" t="s">
        <v>173</v>
      </c>
      <c r="W3" s="135" t="str">
        <f aca="false">IF($A3="","",IF($X3&lt;&gt;"",$X3,IFERROR(INDEX('Formation Initiale'!$B$2:$B$999,MATCH($A3,'Formation Initiale'!$A$2:$A$999,0)),"Général")))</f>
        <v>Général</v>
      </c>
      <c r="X3" s="136"/>
    </row>
    <row r="4" customFormat="false" ht="18" hidden="true" customHeight="true" outlineLevel="0" collapsed="false">
      <c r="A4" s="127" t="s">
        <v>177</v>
      </c>
      <c r="B4" s="128" t="s">
        <v>178</v>
      </c>
      <c r="C4" s="128" t="s">
        <v>179</v>
      </c>
      <c r="D4" s="129" t="s">
        <v>171</v>
      </c>
      <c r="E4" s="130" t="str">
        <f aca="false">IF($O4="✓","✓",IF(ISNUMBER($O4),TEXT($O4,"yyyy-mm-dd"),IF($A4="","",IF(SUMPRODUCT(('Formation Initiale'!$A$2:$A$999=$A4)*('Formation Initiale'!$R$2:$R$999="Terminé"))&gt;0,"✓",IF(SUMPRODUCT(MAX(('Formation Initiale'!$A$2:$A$999=$A4)*'Formation Initiale'!$G$2:$G$999))&gt;0,TEXT(SUMPRODUCT(MAX(('Formation Initiale'!$A$2:$A$999=$A4)*'Formation Initiale'!$G$2:$G$999)),"yyyy-mm-dd"),"")))))</f>
        <v>✓</v>
      </c>
      <c r="F4" s="131" t="str">
        <f aca="false">IF($P4="✓","✓",IF(ISNUMBER($P4),TEXT($P4,"yyyy-mm-dd"),IF($A4="","",IF($D4="Lisbonne","",IF(SUMPRODUCT(('Formation Initiale'!$A$2:$A$999=$A4)*('Formation Initiale'!$R$2:$R$999="Terminé"))&gt;0,"✓",IF(SUMPRODUCT(MAX(('Formation Initiale'!$A$2:$A$999=$A4)*'Formation Initiale'!$G$2:$G$999))&gt;0,TEXT(SUMPRODUCT(MAX(('Formation Initiale'!$A$2:$A$999=$A4)*'Formation Initiale'!$G$2:$G$999)),"yyyy-mm-dd"),""))))))</f>
        <v>✓</v>
      </c>
      <c r="G4" s="131" t="str">
        <f aca="false">IF($Q4="✓","✓",IF(ISNUMBER($Q4),TEXT($Q4,"yyyy-mm-dd"),IF($A4="","",IF(SUMPRODUCT(('Agences &amp; Après-vente'!$A$2:$A$1000=$A4)*(('Agences &amp; Après-vente'!$D$2:$D$1000="Agences")+('Agences &amp; Après-vente'!$D$2:$D$1000="Agences et Après-vente"))*('Agences &amp; Après-vente'!$I$2:$I$1000="DONE"))&gt;0,"✓",IF(SUMPRODUCT(MAX(('Agences &amp; Après-vente'!$A$2:$A$1000=$A4)*(('Agences &amp; Après-vente'!$D$2:$D$1000="Agences")+('Agences &amp; Après-vente'!$D$2:$D$1000="Agences et Après-vente"))*'Agences &amp; Après-vente'!$E$2:$E$1000))&gt;0,TEXT(SUMPRODUCT(MAX(('Agences &amp; Après-vente'!$A$2:$A$1000=$A4)*(('Agences &amp; Après-vente'!$D$2:$D$1000="Agences")+('Agences &amp; Après-vente'!$D$2:$D$1000="Agences et Après-vente"))*'Agences &amp; Après-vente'!$E$2:$E$1000)),"yyyy-mm-dd"),"")))))</f>
        <v>✓</v>
      </c>
      <c r="H4" s="131" t="str">
        <f aca="false">IF($R4="✓","✓",IF(ISNUMBER($R4),TEXT($R4,"yyyy-mm-dd"),IF($A4="","",IF($D4="Lisbonne","",IF(SUMPRODUCT(('Agences &amp; Après-vente'!$A$2:$A$1000=$A4)*(('Agences &amp; Après-vente'!$D$2:$D$1000="Agences")+('Agences &amp; Après-vente'!$D$2:$D$1000="Agences et Après-vente"))*('Agences &amp; Après-vente'!$I$2:$I$1000="DONE"))&gt;0,"✓",IF(SUMPRODUCT(MAX(('Agences &amp; Après-vente'!$A$2:$A$1000=$A4)*(('Agences &amp; Après-vente'!$D$2:$D$1000="Agences")+('Agences &amp; Après-vente'!$D$2:$D$1000="Agences et Après-vente"))*'Agences &amp; Après-vente'!$E$2:$E$1000))&gt;0,TEXT(SUMPRODUCT(MAX(('Agences &amp; Après-vente'!$A$2:$A$1000=$A4)*(('Agences &amp; Après-vente'!$D$2:$D$1000="Agences")+('Agences &amp; Après-vente'!$D$2:$D$1000="Agences et Après-vente"))*'Agences &amp; Après-vente'!$E$2:$E$1000)),"yyyy-mm-dd"),""))))))</f>
        <v>✓</v>
      </c>
      <c r="I4" s="131" t="str">
        <f aca="false">IF($S4="✓","✓",IF(ISNUMBER($S4),TEXT($S4,"yyyy-mm-dd"),IF($A4="","",IF(SUMPRODUCT(('Agences &amp; Après-vente'!$A$2:$A$1000=$A4)*(('Agences &amp; Après-vente'!$D$2:$D$1000="Après-vente")+('Agences &amp; Après-vente'!$D$2:$D$1000="Agences et Après-vente"))*('Agences &amp; Après-vente'!$I$2:$I$1000="DONE"))&gt;0,"✓",IF(SUMPRODUCT(MAX(('Agences &amp; Après-vente'!$A$2:$A$1000=$A4)*(('Agences &amp; Après-vente'!$D$2:$D$1000="Après-vente")+('Agences &amp; Après-vente'!$D$2:$D$1000="Agences et Après-vente"))*'Agences &amp; Après-vente'!$E$2:$E$1000))&gt;0,TEXT(SUMPRODUCT(MAX(('Agences &amp; Après-vente'!$A$2:$A$1000=$A4)*(('Agences &amp; Après-vente'!$D$2:$D$1000="Après-vente")+('Agences &amp; Après-vente'!$D$2:$D$1000="Agences et Après-vente"))*'Agences &amp; Après-vente'!$E$2:$E$1000)),"yyyy-mm-dd"),"")))))</f>
        <v>✓</v>
      </c>
      <c r="J4" s="131" t="str">
        <f aca="false">IF($T4="✓","✓",IF(ISNUMBER($T4),TEXT($T4,"yyyy-mm-dd"),IF($A4="","",IF($D4="Lisbonne","",IF(SUMPRODUCT(('Agences &amp; Après-vente'!$A$2:$A$1000=$A4)*(('Agences &amp; Après-vente'!$D$2:$D$1000="Après-vente")+('Agences &amp; Après-vente'!$D$2:$D$1000="Agences et Après-vente"))*('Agences &amp; Après-vente'!$I$2:$I$1000="DONE"))&gt;0,"✓",IF(SUMPRODUCT(MAX(('Agences &amp; Après-vente'!$A$2:$A$1000=$A4)*(('Agences &amp; Après-vente'!$D$2:$D$1000="Après-vente")+('Agences &amp; Après-vente'!$D$2:$D$1000="Agences et Après-vente"))*'Agences &amp; Après-vente'!$E$2:$E$1000))&gt;0,TEXT(SUMPRODUCT(MAX(('Agences &amp; Après-vente'!$A$2:$A$1000=$A4)*(('Agences &amp; Après-vente'!$D$2:$D$1000="Après-vente")+('Agences &amp; Après-vente'!$D$2:$D$1000="Agences et Après-vente"))*'Agences &amp; Après-vente'!$E$2:$E$1000)),"yyyy-mm-dd"),""))))))</f>
        <v>✓</v>
      </c>
      <c r="K4" s="131" t="str">
        <f aca="false">IF($U4="✓","✓",IF(ISNUMBER($U4),TEXT($U4,"yyyy-mm-dd"),IF($D4="Lisbonne","",IF($A4="","",IF(SUMPRODUCT((Evermont!$A$2:$A$1000=$A4)*(Evermont!$Q$2:$Q$1000="Terminé"))&gt;0,"✓",IF(SUMPRODUCT(MAX((Evermont!$A$2:$A$1000=$A4)*Evermont!$F$2:$F$1000))&gt;0,TEXT(SUMPRODUCT(MAX((Evermont!$A$2:$A$1000=$A4)*Evermont!$F$2:$F$1000)),"yyyy-mm-dd"),""))))))</f>
        <v>✓</v>
      </c>
      <c r="L4" s="132" t="n">
        <f aca="false">IF($A4="","",COUNTIF(E4:K4,"✓"))</f>
        <v>7</v>
      </c>
      <c r="M4" s="133" t="s">
        <v>172</v>
      </c>
      <c r="O4" s="134" t="s">
        <v>173</v>
      </c>
      <c r="P4" s="134" t="s">
        <v>173</v>
      </c>
      <c r="Q4" s="134"/>
      <c r="R4" s="134"/>
      <c r="S4" s="134"/>
      <c r="T4" s="134"/>
      <c r="U4" s="134"/>
      <c r="W4" s="135" t="str">
        <f aca="false">IF($A4="","",IF($X4&lt;&gt;"",$X4,IFERROR(INDEX('Formation Initiale'!$B$2:$B$999,MATCH($A4,'Formation Initiale'!$A$2:$A$999,0)),"Général")))</f>
        <v>Général</v>
      </c>
      <c r="X4" s="136"/>
    </row>
    <row r="5" customFormat="false" ht="18" hidden="true" customHeight="true" outlineLevel="0" collapsed="false">
      <c r="A5" s="127" t="s">
        <v>180</v>
      </c>
      <c r="B5" s="128" t="s">
        <v>181</v>
      </c>
      <c r="C5" s="128" t="s">
        <v>182</v>
      </c>
      <c r="D5" s="129" t="s">
        <v>171</v>
      </c>
      <c r="E5" s="130" t="str">
        <f aca="false">IF($O5="✓","✓",IF(ISNUMBER($O5),TEXT($O5,"yyyy-mm-dd"),IF($A5="","",IF(SUMPRODUCT(('Formation Initiale'!$A$2:$A$999=$A5)*('Formation Initiale'!$R$2:$R$999="Terminé"))&gt;0,"✓",IF(SUMPRODUCT(MAX(('Formation Initiale'!$A$2:$A$999=$A5)*'Formation Initiale'!$G$2:$G$999))&gt;0,TEXT(SUMPRODUCT(MAX(('Formation Initiale'!$A$2:$A$999=$A5)*'Formation Initiale'!$G$2:$G$999)),"yyyy-mm-dd"),"")))))</f>
        <v>✓</v>
      </c>
      <c r="F5" s="131" t="str">
        <f aca="false">IF($P5="✓","✓",IF(ISNUMBER($P5),TEXT($P5,"yyyy-mm-dd"),IF($A5="","",IF($D5="Lisbonne","",IF(SUMPRODUCT(('Formation Initiale'!$A$2:$A$999=$A5)*('Formation Initiale'!$R$2:$R$999="Terminé"))&gt;0,"✓",IF(SUMPRODUCT(MAX(('Formation Initiale'!$A$2:$A$999=$A5)*'Formation Initiale'!$G$2:$G$999))&gt;0,TEXT(SUMPRODUCT(MAX(('Formation Initiale'!$A$2:$A$999=$A5)*'Formation Initiale'!$G$2:$G$999)),"yyyy-mm-dd"),""))))))</f>
        <v>✓</v>
      </c>
      <c r="G5" s="131" t="str">
        <f aca="false">IF($Q5="✓","✓",IF(ISNUMBER($Q5),TEXT($Q5,"yyyy-mm-dd"),IF($A5="","",IF(SUMPRODUCT(('Agences &amp; Après-vente'!$A$2:$A$1000=$A5)*(('Agences &amp; Après-vente'!$D$2:$D$1000="Agences")+('Agences &amp; Après-vente'!$D$2:$D$1000="Agences et Après-vente"))*('Agences &amp; Après-vente'!$I$2:$I$1000="DONE"))&gt;0,"✓",IF(SUMPRODUCT(MAX(('Agences &amp; Après-vente'!$A$2:$A$1000=$A5)*(('Agences &amp; Après-vente'!$D$2:$D$1000="Agences")+('Agences &amp; Après-vente'!$D$2:$D$1000="Agences et Après-vente"))*'Agences &amp; Après-vente'!$E$2:$E$1000))&gt;0,TEXT(SUMPRODUCT(MAX(('Agences &amp; Après-vente'!$A$2:$A$1000=$A5)*(('Agences &amp; Après-vente'!$D$2:$D$1000="Agences")+('Agences &amp; Après-vente'!$D$2:$D$1000="Agences et Après-vente"))*'Agences &amp; Après-vente'!$E$2:$E$1000)),"yyyy-mm-dd"),"")))))</f>
        <v>✓</v>
      </c>
      <c r="H5" s="131" t="str">
        <f aca="false">IF($R5="✓","✓",IF(ISNUMBER($R5),TEXT($R5,"yyyy-mm-dd"),IF($A5="","",IF($D5="Lisbonne","",IF(SUMPRODUCT(('Agences &amp; Après-vente'!$A$2:$A$1000=$A5)*(('Agences &amp; Après-vente'!$D$2:$D$1000="Agences")+('Agences &amp; Après-vente'!$D$2:$D$1000="Agences et Après-vente"))*('Agences &amp; Après-vente'!$I$2:$I$1000="DONE"))&gt;0,"✓",IF(SUMPRODUCT(MAX(('Agences &amp; Après-vente'!$A$2:$A$1000=$A5)*(('Agences &amp; Après-vente'!$D$2:$D$1000="Agences")+('Agences &amp; Après-vente'!$D$2:$D$1000="Agences et Après-vente"))*'Agences &amp; Après-vente'!$E$2:$E$1000))&gt;0,TEXT(SUMPRODUCT(MAX(('Agences &amp; Après-vente'!$A$2:$A$1000=$A5)*(('Agences &amp; Après-vente'!$D$2:$D$1000="Agences")+('Agences &amp; Après-vente'!$D$2:$D$1000="Agences et Après-vente"))*'Agences &amp; Après-vente'!$E$2:$E$1000)),"yyyy-mm-dd"),""))))))</f>
        <v>✓</v>
      </c>
      <c r="I5" s="131" t="str">
        <f aca="false">IF($S5="✓","✓",IF(ISNUMBER($S5),TEXT($S5,"yyyy-mm-dd"),IF($A5="","",IF(SUMPRODUCT(('Agences &amp; Après-vente'!$A$2:$A$1000=$A5)*(('Agences &amp; Après-vente'!$D$2:$D$1000="Après-vente")+('Agences &amp; Après-vente'!$D$2:$D$1000="Agences et Après-vente"))*('Agences &amp; Après-vente'!$I$2:$I$1000="DONE"))&gt;0,"✓",IF(SUMPRODUCT(MAX(('Agences &amp; Après-vente'!$A$2:$A$1000=$A5)*(('Agences &amp; Après-vente'!$D$2:$D$1000="Après-vente")+('Agences &amp; Après-vente'!$D$2:$D$1000="Agences et Après-vente"))*'Agences &amp; Après-vente'!$E$2:$E$1000))&gt;0,TEXT(SUMPRODUCT(MAX(('Agences &amp; Après-vente'!$A$2:$A$1000=$A5)*(('Agences &amp; Après-vente'!$D$2:$D$1000="Après-vente")+('Agences &amp; Après-vente'!$D$2:$D$1000="Agences et Après-vente"))*'Agences &amp; Après-vente'!$E$2:$E$1000)),"yyyy-mm-dd"),"")))))</f>
        <v>✓</v>
      </c>
      <c r="J5" s="131" t="str">
        <f aca="false">IF($T5="✓","✓",IF(ISNUMBER($T5),TEXT($T5,"yyyy-mm-dd"),IF($A5="","",IF($D5="Lisbonne","",IF(SUMPRODUCT(('Agences &amp; Après-vente'!$A$2:$A$1000=$A5)*(('Agences &amp; Après-vente'!$D$2:$D$1000="Après-vente")+('Agences &amp; Après-vente'!$D$2:$D$1000="Agences et Après-vente"))*('Agences &amp; Après-vente'!$I$2:$I$1000="DONE"))&gt;0,"✓",IF(SUMPRODUCT(MAX(('Agences &amp; Après-vente'!$A$2:$A$1000=$A5)*(('Agences &amp; Après-vente'!$D$2:$D$1000="Après-vente")+('Agences &amp; Après-vente'!$D$2:$D$1000="Agences et Après-vente"))*'Agences &amp; Après-vente'!$E$2:$E$1000))&gt;0,TEXT(SUMPRODUCT(MAX(('Agences &amp; Après-vente'!$A$2:$A$1000=$A5)*(('Agences &amp; Après-vente'!$D$2:$D$1000="Après-vente")+('Agences &amp; Après-vente'!$D$2:$D$1000="Agences et Après-vente"))*'Agences &amp; Après-vente'!$E$2:$E$1000)),"yyyy-mm-dd"),""))))))</f>
        <v>✓</v>
      </c>
      <c r="K5" s="131" t="str">
        <f aca="false">IF($U5="✓","✓",IF(ISNUMBER($U5),TEXT($U5,"yyyy-mm-dd"),IF($D5="Lisbonne","",IF($A5="","",IF(SUMPRODUCT((Evermont!$A$2:$A$1000=$A5)*(Evermont!$Q$2:$Q$1000="Terminé"))&gt;0,"✓",IF(SUMPRODUCT(MAX((Evermont!$A$2:$A$1000=$A5)*Evermont!$F$2:$F$1000))&gt;0,TEXT(SUMPRODUCT(MAX((Evermont!$A$2:$A$1000=$A5)*Evermont!$F$2:$F$1000)),"yyyy-mm-dd"),""))))))</f>
        <v>✓</v>
      </c>
      <c r="L5" s="132" t="n">
        <f aca="false">IF($A5="","",COUNTIF(E5:K5,"✓"))</f>
        <v>7</v>
      </c>
      <c r="M5" s="133" t="s">
        <v>172</v>
      </c>
      <c r="O5" s="134" t="s">
        <v>173</v>
      </c>
      <c r="P5" s="134" t="s">
        <v>173</v>
      </c>
      <c r="Q5" s="134" t="s">
        <v>173</v>
      </c>
      <c r="R5" s="134" t="s">
        <v>173</v>
      </c>
      <c r="S5" s="134" t="s">
        <v>173</v>
      </c>
      <c r="T5" s="134" t="s">
        <v>173</v>
      </c>
      <c r="U5" s="134" t="s">
        <v>173</v>
      </c>
      <c r="W5" s="135" t="str">
        <f aca="false">IF($A5="","",IF($X5&lt;&gt;"",$X5,IFERROR(INDEX('Formation Initiale'!$B$2:$B$999,MATCH($A5,'Formation Initiale'!$A$2:$A$999,0)),"Général")))</f>
        <v>Général</v>
      </c>
      <c r="X5" s="136"/>
    </row>
    <row r="6" customFormat="false" ht="18" hidden="true" customHeight="true" outlineLevel="0" collapsed="false">
      <c r="A6" s="137" t="s">
        <v>183</v>
      </c>
      <c r="B6" s="128" t="s">
        <v>184</v>
      </c>
      <c r="C6" s="128" t="s">
        <v>185</v>
      </c>
      <c r="D6" s="129" t="s">
        <v>186</v>
      </c>
      <c r="E6" s="130" t="str">
        <f aca="false">IF($O6="✓","✓",IF(ISNUMBER($O6),TEXT($O6,"yyyy-mm-dd"),IF($A6="","",IF(SUMPRODUCT(('Formation Initiale'!$A$2:$A$999=$A6)*('Formation Initiale'!$R$2:$R$999="Terminé"))&gt;0,"✓",IF(SUMPRODUCT(MAX(('Formation Initiale'!$A$2:$A$999=$A6)*'Formation Initiale'!$G$2:$G$999))&gt;0,TEXT(SUMPRODUCT(MAX(('Formation Initiale'!$A$2:$A$999=$A6)*'Formation Initiale'!$G$2:$G$999)),"yyyy-mm-dd"),"")))))</f>
        <v>✓</v>
      </c>
      <c r="F6" s="131" t="str">
        <f aca="false">IF($P6="✓","✓",IF(ISNUMBER($P6),TEXT($P6,"yyyy-mm-dd"),IF($A6="","",IF($D6="Lisbonne","",IF(SUMPRODUCT(('Formation Initiale'!$A$2:$A$999=$A6)*('Formation Initiale'!$R$2:$R$999="Terminé"))&gt;0,"✓",IF(SUMPRODUCT(MAX(('Formation Initiale'!$A$2:$A$999=$A6)*'Formation Initiale'!$G$2:$G$999))&gt;0,TEXT(SUMPRODUCT(MAX(('Formation Initiale'!$A$2:$A$999=$A6)*'Formation Initiale'!$G$2:$G$999)),"yyyy-mm-dd"),""))))))</f>
        <v/>
      </c>
      <c r="G6" s="131" t="str">
        <f aca="false">IF($Q6="✓","✓",IF(ISNUMBER($Q6),TEXT($Q6,"yyyy-mm-dd"),IF($A6="","",IF(SUMPRODUCT(('Agences &amp; Après-vente'!$A$2:$A$1000=$A6)*(('Agences &amp; Après-vente'!$D$2:$D$1000="Agences")+('Agences &amp; Après-vente'!$D$2:$D$1000="Agences et Après-vente"))*('Agences &amp; Après-vente'!$I$2:$I$1000="DONE"))&gt;0,"✓",IF(SUMPRODUCT(MAX(('Agences &amp; Après-vente'!$A$2:$A$1000=$A6)*(('Agences &amp; Après-vente'!$D$2:$D$1000="Agences")+('Agences &amp; Après-vente'!$D$2:$D$1000="Agences et Après-vente"))*'Agences &amp; Après-vente'!$E$2:$E$1000))&gt;0,TEXT(SUMPRODUCT(MAX(('Agences &amp; Après-vente'!$A$2:$A$1000=$A6)*(('Agences &amp; Après-vente'!$D$2:$D$1000="Agences")+('Agences &amp; Après-vente'!$D$2:$D$1000="Agences et Après-vente"))*'Agences &amp; Après-vente'!$E$2:$E$1000)),"yyyy-mm-dd"),"")))))</f>
        <v/>
      </c>
      <c r="H6" s="131" t="str">
        <f aca="false">IF($R6="✓","✓",IF(ISNUMBER($R6),TEXT($R6,"yyyy-mm-dd"),IF($A6="","",IF($D6="Lisbonne","",IF(SUMPRODUCT(('Agences &amp; Après-vente'!$A$2:$A$1000=$A6)*(('Agences &amp; Après-vente'!$D$2:$D$1000="Agences")+('Agences &amp; Après-vente'!$D$2:$D$1000="Agences et Après-vente"))*('Agences &amp; Après-vente'!$I$2:$I$1000="DONE"))&gt;0,"✓",IF(SUMPRODUCT(MAX(('Agences &amp; Après-vente'!$A$2:$A$1000=$A6)*(('Agences &amp; Après-vente'!$D$2:$D$1000="Agences")+('Agences &amp; Après-vente'!$D$2:$D$1000="Agences et Après-vente"))*'Agences &amp; Après-vente'!$E$2:$E$1000))&gt;0,TEXT(SUMPRODUCT(MAX(('Agences &amp; Après-vente'!$A$2:$A$1000=$A6)*(('Agences &amp; Après-vente'!$D$2:$D$1000="Agences")+('Agences &amp; Après-vente'!$D$2:$D$1000="Agences et Après-vente"))*'Agences &amp; Après-vente'!$E$2:$E$1000)),"yyyy-mm-dd"),""))))))</f>
        <v/>
      </c>
      <c r="I6" s="131" t="str">
        <f aca="false">IF($S6="✓","✓",IF(ISNUMBER($S6),TEXT($S6,"yyyy-mm-dd"),IF($A6="","",IF(SUMPRODUCT(('Agences &amp; Après-vente'!$A$2:$A$1000=$A6)*(('Agences &amp; Après-vente'!$D$2:$D$1000="Après-vente")+('Agences &amp; Après-vente'!$D$2:$D$1000="Agences et Après-vente"))*('Agences &amp; Après-vente'!$I$2:$I$1000="DONE"))&gt;0,"✓",IF(SUMPRODUCT(MAX(('Agences &amp; Après-vente'!$A$2:$A$1000=$A6)*(('Agences &amp; Après-vente'!$D$2:$D$1000="Après-vente")+('Agences &amp; Après-vente'!$D$2:$D$1000="Agences et Après-vente"))*'Agences &amp; Après-vente'!$E$2:$E$1000))&gt;0,TEXT(SUMPRODUCT(MAX(('Agences &amp; Après-vente'!$A$2:$A$1000=$A6)*(('Agences &amp; Après-vente'!$D$2:$D$1000="Après-vente")+('Agences &amp; Après-vente'!$D$2:$D$1000="Agences et Après-vente"))*'Agences &amp; Après-vente'!$E$2:$E$1000)),"yyyy-mm-dd"),"")))))</f>
        <v/>
      </c>
      <c r="J6" s="131" t="str">
        <f aca="false">IF($T6="✓","✓",IF(ISNUMBER($T6),TEXT($T6,"yyyy-mm-dd"),IF($A6="","",IF($D6="Lisbonne","",IF(SUMPRODUCT(('Agences &amp; Après-vente'!$A$2:$A$1000=$A6)*(('Agences &amp; Après-vente'!$D$2:$D$1000="Après-vente")+('Agences &amp; Après-vente'!$D$2:$D$1000="Agences et Après-vente"))*('Agences &amp; Après-vente'!$I$2:$I$1000="DONE"))&gt;0,"✓",IF(SUMPRODUCT(MAX(('Agences &amp; Après-vente'!$A$2:$A$1000=$A6)*(('Agences &amp; Après-vente'!$D$2:$D$1000="Après-vente")+('Agences &amp; Après-vente'!$D$2:$D$1000="Agences et Après-vente"))*'Agences &amp; Après-vente'!$E$2:$E$1000))&gt;0,TEXT(SUMPRODUCT(MAX(('Agences &amp; Après-vente'!$A$2:$A$1000=$A6)*(('Agences &amp; Après-vente'!$D$2:$D$1000="Après-vente")+('Agences &amp; Après-vente'!$D$2:$D$1000="Agences et Après-vente"))*'Agences &amp; Après-vente'!$E$2:$E$1000)),"yyyy-mm-dd"),""))))))</f>
        <v/>
      </c>
      <c r="K6" s="131" t="str">
        <f aca="false">IF($U6="✓","✓",IF(ISNUMBER($U6),TEXT($U6,"yyyy-mm-dd"),IF($D6="Lisbonne","",IF($A6="","",IF(SUMPRODUCT((Evermont!$A$2:$A$1000=$A6)*(Evermont!$Q$2:$Q$1000="Terminé"))&gt;0,"✓",IF(SUMPRODUCT(MAX((Evermont!$A$2:$A$1000=$A6)*Evermont!$F$2:$F$1000))&gt;0,TEXT(SUMPRODUCT(MAX((Evermont!$A$2:$A$1000=$A6)*Evermont!$F$2:$F$1000)),"yyyy-mm-dd"),""))))))</f>
        <v/>
      </c>
      <c r="L6" s="132" t="n">
        <f aca="false">IF($A6="","",COUNTIF(E6:K6,"✓"))</f>
        <v>1</v>
      </c>
      <c r="M6" s="133" t="s">
        <v>172</v>
      </c>
      <c r="O6" s="134" t="s">
        <v>173</v>
      </c>
      <c r="P6" s="134"/>
      <c r="Q6" s="134"/>
      <c r="R6" s="134"/>
      <c r="S6" s="134"/>
      <c r="T6" s="134"/>
      <c r="U6" s="134"/>
      <c r="W6" s="135" t="str">
        <f aca="false">IF($A6="","",IF($X6&lt;&gt;"",$X6,IFERROR(INDEX('Formation Initiale'!$B$2:$B$999,MATCH($A6,'Formation Initiale'!$A$2:$A$999,0)),"Général")))</f>
        <v>OS7</v>
      </c>
      <c r="X6" s="136"/>
    </row>
    <row r="7" customFormat="false" ht="18" hidden="true" customHeight="true" outlineLevel="0" collapsed="false">
      <c r="A7" s="127" t="s">
        <v>187</v>
      </c>
      <c r="B7" s="128" t="s">
        <v>188</v>
      </c>
      <c r="C7" s="128" t="s">
        <v>189</v>
      </c>
      <c r="D7" s="129" t="s">
        <v>171</v>
      </c>
      <c r="E7" s="130" t="str">
        <f aca="false">IF($O7="✓","✓",IF(ISNUMBER($O7),TEXT($O7,"yyyy-mm-dd"),IF($A7="","",IF(SUMPRODUCT(('Formation Initiale'!$A$2:$A$999=$A7)*('Formation Initiale'!$R$2:$R$999="Terminé"))&gt;0,"✓",IF(SUMPRODUCT(MAX(('Formation Initiale'!$A$2:$A$999=$A7)*'Formation Initiale'!$G$2:$G$999))&gt;0,TEXT(SUMPRODUCT(MAX(('Formation Initiale'!$A$2:$A$999=$A7)*'Formation Initiale'!$G$2:$G$999)),"yyyy-mm-dd"),"")))))</f>
        <v>✓</v>
      </c>
      <c r="F7" s="131" t="str">
        <f aca="false">IF($P7="✓","✓",IF(ISNUMBER($P7),TEXT($P7,"yyyy-mm-dd"),IF($A7="","",IF($D7="Lisbonne","",IF(SUMPRODUCT(('Formation Initiale'!$A$2:$A$999=$A7)*('Formation Initiale'!$R$2:$R$999="Terminé"))&gt;0,"✓",IF(SUMPRODUCT(MAX(('Formation Initiale'!$A$2:$A$999=$A7)*'Formation Initiale'!$G$2:$G$999))&gt;0,TEXT(SUMPRODUCT(MAX(('Formation Initiale'!$A$2:$A$999=$A7)*'Formation Initiale'!$G$2:$G$999)),"yyyy-mm-dd"),""))))))</f>
        <v>✓</v>
      </c>
      <c r="G7" s="131" t="str">
        <f aca="false">IF($Q7="✓","✓",IF(ISNUMBER($Q7),TEXT($Q7,"yyyy-mm-dd"),IF($A7="","",IF(SUMPRODUCT(('Agences &amp; Après-vente'!$A$2:$A$1000=$A7)*(('Agences &amp; Après-vente'!$D$2:$D$1000="Agences")+('Agences &amp; Après-vente'!$D$2:$D$1000="Agences et Après-vente"))*('Agences &amp; Après-vente'!$I$2:$I$1000="DONE"))&gt;0,"✓",IF(SUMPRODUCT(MAX(('Agences &amp; Après-vente'!$A$2:$A$1000=$A7)*(('Agences &amp; Après-vente'!$D$2:$D$1000="Agences")+('Agences &amp; Après-vente'!$D$2:$D$1000="Agences et Après-vente"))*'Agences &amp; Après-vente'!$E$2:$E$1000))&gt;0,TEXT(SUMPRODUCT(MAX(('Agences &amp; Après-vente'!$A$2:$A$1000=$A7)*(('Agences &amp; Après-vente'!$D$2:$D$1000="Agences")+('Agences &amp; Après-vente'!$D$2:$D$1000="Agences et Après-vente"))*'Agences &amp; Après-vente'!$E$2:$E$1000)),"yyyy-mm-dd"),"")))))</f>
        <v>✓</v>
      </c>
      <c r="H7" s="131" t="str">
        <f aca="false">IF($R7="✓","✓",IF(ISNUMBER($R7),TEXT($R7,"yyyy-mm-dd"),IF($A7="","",IF($D7="Lisbonne","",IF(SUMPRODUCT(('Agences &amp; Après-vente'!$A$2:$A$1000=$A7)*(('Agences &amp; Après-vente'!$D$2:$D$1000="Agences")+('Agences &amp; Après-vente'!$D$2:$D$1000="Agences et Après-vente"))*('Agences &amp; Après-vente'!$I$2:$I$1000="DONE"))&gt;0,"✓",IF(SUMPRODUCT(MAX(('Agences &amp; Après-vente'!$A$2:$A$1000=$A7)*(('Agences &amp; Après-vente'!$D$2:$D$1000="Agences")+('Agences &amp; Après-vente'!$D$2:$D$1000="Agences et Après-vente"))*'Agences &amp; Après-vente'!$E$2:$E$1000))&gt;0,TEXT(SUMPRODUCT(MAX(('Agences &amp; Après-vente'!$A$2:$A$1000=$A7)*(('Agences &amp; Après-vente'!$D$2:$D$1000="Agences")+('Agences &amp; Après-vente'!$D$2:$D$1000="Agences et Après-vente"))*'Agences &amp; Après-vente'!$E$2:$E$1000)),"yyyy-mm-dd"),""))))))</f>
        <v>✓</v>
      </c>
      <c r="I7" s="131" t="str">
        <f aca="false">IF($S7="✓","✓",IF(ISNUMBER($S7),TEXT($S7,"yyyy-mm-dd"),IF($A7="","",IF(SUMPRODUCT(('Agences &amp; Après-vente'!$A$2:$A$1000=$A7)*(('Agences &amp; Après-vente'!$D$2:$D$1000="Après-vente")+('Agences &amp; Après-vente'!$D$2:$D$1000="Agences et Après-vente"))*('Agences &amp; Après-vente'!$I$2:$I$1000="DONE"))&gt;0,"✓",IF(SUMPRODUCT(MAX(('Agences &amp; Après-vente'!$A$2:$A$1000=$A7)*(('Agences &amp; Après-vente'!$D$2:$D$1000="Après-vente")+('Agences &amp; Après-vente'!$D$2:$D$1000="Agences et Après-vente"))*'Agences &amp; Après-vente'!$E$2:$E$1000))&gt;0,TEXT(SUMPRODUCT(MAX(('Agences &amp; Après-vente'!$A$2:$A$1000=$A7)*(('Agences &amp; Après-vente'!$D$2:$D$1000="Après-vente")+('Agences &amp; Après-vente'!$D$2:$D$1000="Agences et Après-vente"))*'Agences &amp; Après-vente'!$E$2:$E$1000)),"yyyy-mm-dd"),"")))))</f>
        <v>✓</v>
      </c>
      <c r="J7" s="131" t="str">
        <f aca="false">IF($T7="✓","✓",IF(ISNUMBER($T7),TEXT($T7,"yyyy-mm-dd"),IF($A7="","",IF($D7="Lisbonne","",IF(SUMPRODUCT(('Agences &amp; Après-vente'!$A$2:$A$1000=$A7)*(('Agences &amp; Après-vente'!$D$2:$D$1000="Après-vente")+('Agences &amp; Après-vente'!$D$2:$D$1000="Agences et Après-vente"))*('Agences &amp; Après-vente'!$I$2:$I$1000="DONE"))&gt;0,"✓",IF(SUMPRODUCT(MAX(('Agences &amp; Après-vente'!$A$2:$A$1000=$A7)*(('Agences &amp; Après-vente'!$D$2:$D$1000="Après-vente")+('Agences &amp; Après-vente'!$D$2:$D$1000="Agences et Après-vente"))*'Agences &amp; Après-vente'!$E$2:$E$1000))&gt;0,TEXT(SUMPRODUCT(MAX(('Agences &amp; Après-vente'!$A$2:$A$1000=$A7)*(('Agences &amp; Après-vente'!$D$2:$D$1000="Après-vente")+('Agences &amp; Après-vente'!$D$2:$D$1000="Agences et Après-vente"))*'Agences &amp; Après-vente'!$E$2:$E$1000)),"yyyy-mm-dd"),""))))))</f>
        <v>✓</v>
      </c>
      <c r="K7" s="131" t="str">
        <f aca="false">IF($U7="✓","✓",IF(ISNUMBER($U7),TEXT($U7,"yyyy-mm-dd"),IF($D7="Lisbonne","",IF($A7="","",IF(SUMPRODUCT((Evermont!$A$2:$A$1000=$A7)*(Evermont!$Q$2:$Q$1000="Terminé"))&gt;0,"✓",IF(SUMPRODUCT(MAX((Evermont!$A$2:$A$1000=$A7)*Evermont!$F$2:$F$1000))&gt;0,TEXT(SUMPRODUCT(MAX((Evermont!$A$2:$A$1000=$A7)*Evermont!$F$2:$F$1000)),"yyyy-mm-dd"),""))))))</f>
        <v>✓</v>
      </c>
      <c r="L7" s="132" t="n">
        <f aca="false">IF($A7="","",COUNTIF(E7:K7,"✓"))</f>
        <v>7</v>
      </c>
      <c r="M7" s="133" t="s">
        <v>172</v>
      </c>
      <c r="O7" s="134" t="s">
        <v>173</v>
      </c>
      <c r="P7" s="134" t="s">
        <v>173</v>
      </c>
      <c r="Q7" s="134" t="s">
        <v>173</v>
      </c>
      <c r="R7" s="134" t="s">
        <v>173</v>
      </c>
      <c r="S7" s="134" t="s">
        <v>173</v>
      </c>
      <c r="T7" s="134" t="s">
        <v>173</v>
      </c>
      <c r="U7" s="134" t="s">
        <v>173</v>
      </c>
      <c r="W7" s="135" t="str">
        <f aca="false">IF($A7="","",IF($X7&lt;&gt;"",$X7,IFERROR(INDEX('Formation Initiale'!$B$2:$B$999,MATCH($A7,'Formation Initiale'!$A$2:$A$999,0)),"Général")))</f>
        <v>Général</v>
      </c>
      <c r="X7" s="136"/>
    </row>
    <row r="8" customFormat="false" ht="18" hidden="true" customHeight="true" outlineLevel="0" collapsed="false">
      <c r="A8" s="127" t="s">
        <v>190</v>
      </c>
      <c r="B8" s="128" t="s">
        <v>191</v>
      </c>
      <c r="C8" s="128" t="s">
        <v>192</v>
      </c>
      <c r="D8" s="129" t="s">
        <v>171</v>
      </c>
      <c r="E8" s="130" t="str">
        <f aca="false">IF($O8="✓","✓",IF(ISNUMBER($O8),TEXT($O8,"yyyy-mm-dd"),IF($A8="","",IF(SUMPRODUCT(('Formation Initiale'!$A$2:$A$999=$A8)*('Formation Initiale'!$R$2:$R$999="Terminé"))&gt;0,"✓",IF(SUMPRODUCT(MAX(('Formation Initiale'!$A$2:$A$999=$A8)*'Formation Initiale'!$G$2:$G$999))&gt;0,TEXT(SUMPRODUCT(MAX(('Formation Initiale'!$A$2:$A$999=$A8)*'Formation Initiale'!$G$2:$G$999)),"yyyy-mm-dd"),"")))))</f>
        <v>✓</v>
      </c>
      <c r="F8" s="131" t="str">
        <f aca="false">IF($P8="✓","✓",IF(ISNUMBER($P8),TEXT($P8,"yyyy-mm-dd"),IF($A8="","",IF($D8="Lisbonne","",IF(SUMPRODUCT(('Formation Initiale'!$A$2:$A$999=$A8)*('Formation Initiale'!$R$2:$R$999="Terminé"))&gt;0,"✓",IF(SUMPRODUCT(MAX(('Formation Initiale'!$A$2:$A$999=$A8)*'Formation Initiale'!$G$2:$G$999))&gt;0,TEXT(SUMPRODUCT(MAX(('Formation Initiale'!$A$2:$A$999=$A8)*'Formation Initiale'!$G$2:$G$999)),"yyyy-mm-dd"),""))))))</f>
        <v>✓</v>
      </c>
      <c r="G8" s="131" t="str">
        <f aca="false">IF($Q8="✓","✓",IF(ISNUMBER($Q8),TEXT($Q8,"yyyy-mm-dd"),IF($A8="","",IF(SUMPRODUCT(('Agences &amp; Après-vente'!$A$2:$A$1000=$A8)*(('Agences &amp; Après-vente'!$D$2:$D$1000="Agences")+('Agences &amp; Après-vente'!$D$2:$D$1000="Agences et Après-vente"))*('Agences &amp; Après-vente'!$I$2:$I$1000="DONE"))&gt;0,"✓",IF(SUMPRODUCT(MAX(('Agences &amp; Après-vente'!$A$2:$A$1000=$A8)*(('Agences &amp; Après-vente'!$D$2:$D$1000="Agences")+('Agences &amp; Après-vente'!$D$2:$D$1000="Agences et Après-vente"))*'Agences &amp; Après-vente'!$E$2:$E$1000))&gt;0,TEXT(SUMPRODUCT(MAX(('Agences &amp; Après-vente'!$A$2:$A$1000=$A8)*(('Agences &amp; Après-vente'!$D$2:$D$1000="Agences")+('Agences &amp; Après-vente'!$D$2:$D$1000="Agences et Après-vente"))*'Agences &amp; Après-vente'!$E$2:$E$1000)),"yyyy-mm-dd"),"")))))</f>
        <v>✓</v>
      </c>
      <c r="H8" s="131" t="str">
        <f aca="false">IF($R8="✓","✓",IF(ISNUMBER($R8),TEXT($R8,"yyyy-mm-dd"),IF($A8="","",IF($D8="Lisbonne","",IF(SUMPRODUCT(('Agences &amp; Après-vente'!$A$2:$A$1000=$A8)*(('Agences &amp; Après-vente'!$D$2:$D$1000="Agences")+('Agences &amp; Après-vente'!$D$2:$D$1000="Agences et Après-vente"))*('Agences &amp; Après-vente'!$I$2:$I$1000="DONE"))&gt;0,"✓",IF(SUMPRODUCT(MAX(('Agences &amp; Après-vente'!$A$2:$A$1000=$A8)*(('Agences &amp; Après-vente'!$D$2:$D$1000="Agences")+('Agences &amp; Après-vente'!$D$2:$D$1000="Agences et Après-vente"))*'Agences &amp; Après-vente'!$E$2:$E$1000))&gt;0,TEXT(SUMPRODUCT(MAX(('Agences &amp; Après-vente'!$A$2:$A$1000=$A8)*(('Agences &amp; Après-vente'!$D$2:$D$1000="Agences")+('Agences &amp; Après-vente'!$D$2:$D$1000="Agences et Après-vente"))*'Agences &amp; Après-vente'!$E$2:$E$1000)),"yyyy-mm-dd"),""))))))</f>
        <v>✓</v>
      </c>
      <c r="I8" s="131" t="str">
        <f aca="false">IF($S8="✓","✓",IF(ISNUMBER($S8),TEXT($S8,"yyyy-mm-dd"),IF($A8="","",IF(SUMPRODUCT(('Agences &amp; Après-vente'!$A$2:$A$1000=$A8)*(('Agences &amp; Après-vente'!$D$2:$D$1000="Après-vente")+('Agences &amp; Après-vente'!$D$2:$D$1000="Agences et Après-vente"))*('Agences &amp; Après-vente'!$I$2:$I$1000="DONE"))&gt;0,"✓",IF(SUMPRODUCT(MAX(('Agences &amp; Après-vente'!$A$2:$A$1000=$A8)*(('Agences &amp; Après-vente'!$D$2:$D$1000="Après-vente")+('Agences &amp; Après-vente'!$D$2:$D$1000="Agences et Après-vente"))*'Agences &amp; Après-vente'!$E$2:$E$1000))&gt;0,TEXT(SUMPRODUCT(MAX(('Agences &amp; Après-vente'!$A$2:$A$1000=$A8)*(('Agences &amp; Après-vente'!$D$2:$D$1000="Après-vente")+('Agences &amp; Après-vente'!$D$2:$D$1000="Agences et Après-vente"))*'Agences &amp; Après-vente'!$E$2:$E$1000)),"yyyy-mm-dd"),"")))))</f>
        <v>✓</v>
      </c>
      <c r="J8" s="131" t="str">
        <f aca="false">IF($T8="✓","✓",IF(ISNUMBER($T8),TEXT($T8,"yyyy-mm-dd"),IF($A8="","",IF($D8="Lisbonne","",IF(SUMPRODUCT(('Agences &amp; Après-vente'!$A$2:$A$1000=$A8)*(('Agences &amp; Après-vente'!$D$2:$D$1000="Après-vente")+('Agences &amp; Après-vente'!$D$2:$D$1000="Agences et Après-vente"))*('Agences &amp; Après-vente'!$I$2:$I$1000="DONE"))&gt;0,"✓",IF(SUMPRODUCT(MAX(('Agences &amp; Après-vente'!$A$2:$A$1000=$A8)*(('Agences &amp; Après-vente'!$D$2:$D$1000="Après-vente")+('Agences &amp; Après-vente'!$D$2:$D$1000="Agences et Après-vente"))*'Agences &amp; Après-vente'!$E$2:$E$1000))&gt;0,TEXT(SUMPRODUCT(MAX(('Agences &amp; Après-vente'!$A$2:$A$1000=$A8)*(('Agences &amp; Après-vente'!$D$2:$D$1000="Après-vente")+('Agences &amp; Après-vente'!$D$2:$D$1000="Agences et Après-vente"))*'Agences &amp; Après-vente'!$E$2:$E$1000)),"yyyy-mm-dd"),""))))))</f>
        <v>✓</v>
      </c>
      <c r="K8" s="131" t="str">
        <f aca="false">IF($U8="✓","✓",IF(ISNUMBER($U8),TEXT($U8,"yyyy-mm-dd"),IF($D8="Lisbonne","",IF($A8="","",IF(SUMPRODUCT((Evermont!$A$2:$A$1000=$A8)*(Evermont!$Q$2:$Q$1000="Terminé"))&gt;0,"✓",IF(SUMPRODUCT(MAX((Evermont!$A$2:$A$1000=$A8)*Evermont!$F$2:$F$1000))&gt;0,TEXT(SUMPRODUCT(MAX((Evermont!$A$2:$A$1000=$A8)*Evermont!$F$2:$F$1000)),"yyyy-mm-dd"),""))))))</f>
        <v>✓</v>
      </c>
      <c r="L8" s="132" t="n">
        <f aca="false">IF($A8="","",COUNTIF(E8:K8,"✓"))</f>
        <v>7</v>
      </c>
      <c r="M8" s="133" t="s">
        <v>172</v>
      </c>
      <c r="O8" s="134" t="s">
        <v>173</v>
      </c>
      <c r="P8" s="134" t="s">
        <v>173</v>
      </c>
      <c r="Q8" s="134" t="s">
        <v>173</v>
      </c>
      <c r="R8" s="134" t="s">
        <v>173</v>
      </c>
      <c r="S8" s="134" t="s">
        <v>173</v>
      </c>
      <c r="T8" s="134" t="s">
        <v>173</v>
      </c>
      <c r="U8" s="134" t="s">
        <v>173</v>
      </c>
      <c r="W8" s="135" t="str">
        <f aca="false">IF($A8="","",IF($X8&lt;&gt;"",$X8,IFERROR(INDEX('Formation Initiale'!$B$2:$B$999,MATCH($A8,'Formation Initiale'!$A$2:$A$999,0)),"Général")))</f>
        <v>Général</v>
      </c>
      <c r="X8" s="136"/>
    </row>
    <row r="9" customFormat="false" ht="18" hidden="true" customHeight="true" outlineLevel="0" collapsed="false">
      <c r="A9" s="137" t="s">
        <v>193</v>
      </c>
      <c r="B9" s="128" t="s">
        <v>194</v>
      </c>
      <c r="C9" s="128" t="s">
        <v>195</v>
      </c>
      <c r="D9" s="129" t="s">
        <v>186</v>
      </c>
      <c r="E9" s="130" t="str">
        <f aca="false">IF($O9="✓","✓",IF(ISNUMBER($O9),TEXT($O9,"yyyy-mm-dd"),IF($A9="","",IF(SUMPRODUCT(('Formation Initiale'!$A$2:$A$999=$A9)*('Formation Initiale'!$R$2:$R$999="Terminé"))&gt;0,"✓",IF(SUMPRODUCT(MAX(('Formation Initiale'!$A$2:$A$999=$A9)*'Formation Initiale'!$G$2:$G$999))&gt;0,TEXT(SUMPRODUCT(MAX(('Formation Initiale'!$A$2:$A$999=$A9)*'Formation Initiale'!$G$2:$G$999)),"yyyy-mm-dd"),"")))))</f>
        <v>✓</v>
      </c>
      <c r="F9" s="131" t="str">
        <f aca="false">IF($P9="✓","✓",IF(ISNUMBER($P9),TEXT($P9,"yyyy-mm-dd"),IF($A9="","",IF($D9="Lisbonne","",IF(SUMPRODUCT(('Formation Initiale'!$A$2:$A$999=$A9)*('Formation Initiale'!$R$2:$R$999="Terminé"))&gt;0,"✓",IF(SUMPRODUCT(MAX(('Formation Initiale'!$A$2:$A$999=$A9)*'Formation Initiale'!$G$2:$G$999))&gt;0,TEXT(SUMPRODUCT(MAX(('Formation Initiale'!$A$2:$A$999=$A9)*'Formation Initiale'!$G$2:$G$999)),"yyyy-mm-dd"),""))))))</f>
        <v/>
      </c>
      <c r="G9" s="131" t="str">
        <f aca="false">IF($Q9="✓","✓",IF(ISNUMBER($Q9),TEXT($Q9,"yyyy-mm-dd"),IF($A9="","",IF(SUMPRODUCT(('Agences &amp; Après-vente'!$A$2:$A$1000=$A9)*(('Agences &amp; Après-vente'!$D$2:$D$1000="Agences")+('Agences &amp; Après-vente'!$D$2:$D$1000="Agences et Après-vente"))*('Agences &amp; Après-vente'!$I$2:$I$1000="DONE"))&gt;0,"✓",IF(SUMPRODUCT(MAX(('Agences &amp; Après-vente'!$A$2:$A$1000=$A9)*(('Agences &amp; Après-vente'!$D$2:$D$1000="Agences")+('Agences &amp; Après-vente'!$D$2:$D$1000="Agences et Après-vente"))*'Agences &amp; Après-vente'!$E$2:$E$1000))&gt;0,TEXT(SUMPRODUCT(MAX(('Agences &amp; Après-vente'!$A$2:$A$1000=$A9)*(('Agences &amp; Après-vente'!$D$2:$D$1000="Agences")+('Agences &amp; Après-vente'!$D$2:$D$1000="Agences et Après-vente"))*'Agences &amp; Après-vente'!$E$2:$E$1000)),"yyyy-mm-dd"),"")))))</f>
        <v/>
      </c>
      <c r="H9" s="131" t="str">
        <f aca="false">IF($R9="✓","✓",IF(ISNUMBER($R9),TEXT($R9,"yyyy-mm-dd"),IF($A9="","",IF($D9="Lisbonne","",IF(SUMPRODUCT(('Agences &amp; Après-vente'!$A$2:$A$1000=$A9)*(('Agences &amp; Après-vente'!$D$2:$D$1000="Agences")+('Agences &amp; Après-vente'!$D$2:$D$1000="Agences et Après-vente"))*('Agences &amp; Après-vente'!$I$2:$I$1000="DONE"))&gt;0,"✓",IF(SUMPRODUCT(MAX(('Agences &amp; Après-vente'!$A$2:$A$1000=$A9)*(('Agences &amp; Après-vente'!$D$2:$D$1000="Agences")+('Agences &amp; Après-vente'!$D$2:$D$1000="Agences et Après-vente"))*'Agences &amp; Après-vente'!$E$2:$E$1000))&gt;0,TEXT(SUMPRODUCT(MAX(('Agences &amp; Après-vente'!$A$2:$A$1000=$A9)*(('Agences &amp; Après-vente'!$D$2:$D$1000="Agences")+('Agences &amp; Après-vente'!$D$2:$D$1000="Agences et Après-vente"))*'Agences &amp; Après-vente'!$E$2:$E$1000)),"yyyy-mm-dd"),""))))))</f>
        <v/>
      </c>
      <c r="I9" s="131" t="str">
        <f aca="false">IF($S9="✓","✓",IF(ISNUMBER($S9),TEXT($S9,"yyyy-mm-dd"),IF($A9="","",IF(SUMPRODUCT(('Agences &amp; Après-vente'!$A$2:$A$1000=$A9)*(('Agences &amp; Après-vente'!$D$2:$D$1000="Après-vente")+('Agences &amp; Après-vente'!$D$2:$D$1000="Agences et Après-vente"))*('Agences &amp; Après-vente'!$I$2:$I$1000="DONE"))&gt;0,"✓",IF(SUMPRODUCT(MAX(('Agences &amp; Après-vente'!$A$2:$A$1000=$A9)*(('Agences &amp; Après-vente'!$D$2:$D$1000="Après-vente")+('Agences &amp; Après-vente'!$D$2:$D$1000="Agences et Après-vente"))*'Agences &amp; Après-vente'!$E$2:$E$1000))&gt;0,TEXT(SUMPRODUCT(MAX(('Agences &amp; Après-vente'!$A$2:$A$1000=$A9)*(('Agences &amp; Après-vente'!$D$2:$D$1000="Après-vente")+('Agences &amp; Après-vente'!$D$2:$D$1000="Agences et Après-vente"))*'Agences &amp; Après-vente'!$E$2:$E$1000)),"yyyy-mm-dd"),"")))))</f>
        <v/>
      </c>
      <c r="J9" s="131" t="str">
        <f aca="false">IF($T9="✓","✓",IF(ISNUMBER($T9),TEXT($T9,"yyyy-mm-dd"),IF($A9="","",IF($D9="Lisbonne","",IF(SUMPRODUCT(('Agences &amp; Après-vente'!$A$2:$A$1000=$A9)*(('Agences &amp; Après-vente'!$D$2:$D$1000="Après-vente")+('Agences &amp; Après-vente'!$D$2:$D$1000="Agences et Après-vente"))*('Agences &amp; Après-vente'!$I$2:$I$1000="DONE"))&gt;0,"✓",IF(SUMPRODUCT(MAX(('Agences &amp; Après-vente'!$A$2:$A$1000=$A9)*(('Agences &amp; Après-vente'!$D$2:$D$1000="Après-vente")+('Agences &amp; Après-vente'!$D$2:$D$1000="Agences et Après-vente"))*'Agences &amp; Après-vente'!$E$2:$E$1000))&gt;0,TEXT(SUMPRODUCT(MAX(('Agences &amp; Après-vente'!$A$2:$A$1000=$A9)*(('Agences &amp; Après-vente'!$D$2:$D$1000="Après-vente")+('Agences &amp; Après-vente'!$D$2:$D$1000="Agences et Après-vente"))*'Agences &amp; Après-vente'!$E$2:$E$1000)),"yyyy-mm-dd"),""))))))</f>
        <v/>
      </c>
      <c r="K9" s="131" t="str">
        <f aca="false">IF($U9="✓","✓",IF(ISNUMBER($U9),TEXT($U9,"yyyy-mm-dd"),IF($D9="Lisbonne","",IF($A9="","",IF(SUMPRODUCT((Evermont!$A$2:$A$1000=$A9)*(Evermont!$Q$2:$Q$1000="Terminé"))&gt;0,"✓",IF(SUMPRODUCT(MAX((Evermont!$A$2:$A$1000=$A9)*Evermont!$F$2:$F$1000))&gt;0,TEXT(SUMPRODUCT(MAX((Evermont!$A$2:$A$1000=$A9)*Evermont!$F$2:$F$1000)),"yyyy-mm-dd"),""))))))</f>
        <v/>
      </c>
      <c r="L9" s="132" t="n">
        <f aca="false">IF($A9="","",COUNTIF(E9:K9,"✓"))</f>
        <v>1</v>
      </c>
      <c r="M9" s="133" t="s">
        <v>196</v>
      </c>
      <c r="O9" s="134"/>
      <c r="P9" s="134"/>
      <c r="Q9" s="134"/>
      <c r="R9" s="134"/>
      <c r="S9" s="134"/>
      <c r="T9" s="134"/>
      <c r="U9" s="134"/>
      <c r="W9" s="135" t="str">
        <f aca="false">IF($A9="","",IF($X9&lt;&gt;"",$X9,IFERROR(INDEX('Formation Initiale'!$B$2:$B$999,MATCH($A9,'Formation Initiale'!$A$2:$A$999,0)),"Général")))</f>
        <v>OS1</v>
      </c>
      <c r="X9" s="136"/>
    </row>
    <row r="10" customFormat="false" ht="18" hidden="true" customHeight="true" outlineLevel="0" collapsed="false">
      <c r="A10" s="127" t="s">
        <v>197</v>
      </c>
      <c r="B10" s="128" t="s">
        <v>198</v>
      </c>
      <c r="C10" s="128" t="s">
        <v>199</v>
      </c>
      <c r="D10" s="129" t="s">
        <v>171</v>
      </c>
      <c r="E10" s="130" t="str">
        <f aca="false">IF($O10="✓","✓",IF(ISNUMBER($O10),TEXT($O10,"yyyy-mm-dd"),IF($A10="","",IF(SUMPRODUCT(('Formation Initiale'!$A$2:$A$999=$A10)*('Formation Initiale'!$R$2:$R$999="Terminé"))&gt;0,"✓",IF(SUMPRODUCT(MAX(('Formation Initiale'!$A$2:$A$999=$A10)*'Formation Initiale'!$G$2:$G$999))&gt;0,TEXT(SUMPRODUCT(MAX(('Formation Initiale'!$A$2:$A$999=$A10)*'Formation Initiale'!$G$2:$G$999)),"yyyy-mm-dd"),"")))))</f>
        <v>✓</v>
      </c>
      <c r="F10" s="131" t="str">
        <f aca="false">IF($P10="✓","✓",IF(ISNUMBER($P10),TEXT($P10,"yyyy-mm-dd"),IF($A10="","",IF($D10="Lisbonne","",IF(SUMPRODUCT(('Formation Initiale'!$A$2:$A$999=$A10)*('Formation Initiale'!$R$2:$R$999="Terminé"))&gt;0,"✓",IF(SUMPRODUCT(MAX(('Formation Initiale'!$A$2:$A$999=$A10)*'Formation Initiale'!$G$2:$G$999))&gt;0,TEXT(SUMPRODUCT(MAX(('Formation Initiale'!$A$2:$A$999=$A10)*'Formation Initiale'!$G$2:$G$999)),"yyyy-mm-dd"),""))))))</f>
        <v>✓</v>
      </c>
      <c r="G10" s="131" t="str">
        <f aca="false">IF($Q10="✓","✓",IF(ISNUMBER($Q10),TEXT($Q10,"yyyy-mm-dd"),IF($A10="","",IF(SUMPRODUCT(('Agences &amp; Après-vente'!$A$2:$A$1000=$A10)*(('Agences &amp; Après-vente'!$D$2:$D$1000="Agences")+('Agences &amp; Après-vente'!$D$2:$D$1000="Agences et Après-vente"))*('Agences &amp; Après-vente'!$I$2:$I$1000="DONE"))&gt;0,"✓",IF(SUMPRODUCT(MAX(('Agences &amp; Après-vente'!$A$2:$A$1000=$A10)*(('Agences &amp; Après-vente'!$D$2:$D$1000="Agences")+('Agences &amp; Après-vente'!$D$2:$D$1000="Agences et Après-vente"))*'Agences &amp; Après-vente'!$E$2:$E$1000))&gt;0,TEXT(SUMPRODUCT(MAX(('Agences &amp; Après-vente'!$A$2:$A$1000=$A10)*(('Agences &amp; Après-vente'!$D$2:$D$1000="Agences")+('Agences &amp; Après-vente'!$D$2:$D$1000="Agences et Après-vente"))*'Agences &amp; Après-vente'!$E$2:$E$1000)),"yyyy-mm-dd"),"")))))</f>
        <v>✓</v>
      </c>
      <c r="H10" s="131" t="str">
        <f aca="false">IF($R10="✓","✓",IF(ISNUMBER($R10),TEXT($R10,"yyyy-mm-dd"),IF($A10="","",IF($D10="Lisbonne","",IF(SUMPRODUCT(('Agences &amp; Après-vente'!$A$2:$A$1000=$A10)*(('Agences &amp; Après-vente'!$D$2:$D$1000="Agences")+('Agences &amp; Après-vente'!$D$2:$D$1000="Agences et Après-vente"))*('Agences &amp; Après-vente'!$I$2:$I$1000="DONE"))&gt;0,"✓",IF(SUMPRODUCT(MAX(('Agences &amp; Après-vente'!$A$2:$A$1000=$A10)*(('Agences &amp; Après-vente'!$D$2:$D$1000="Agences")+('Agences &amp; Après-vente'!$D$2:$D$1000="Agences et Après-vente"))*'Agences &amp; Après-vente'!$E$2:$E$1000))&gt;0,TEXT(SUMPRODUCT(MAX(('Agences &amp; Après-vente'!$A$2:$A$1000=$A10)*(('Agences &amp; Après-vente'!$D$2:$D$1000="Agences")+('Agences &amp; Après-vente'!$D$2:$D$1000="Agences et Après-vente"))*'Agences &amp; Après-vente'!$E$2:$E$1000)),"yyyy-mm-dd"),""))))))</f>
        <v>✓</v>
      </c>
      <c r="I10" s="131" t="str">
        <f aca="false">IF($S10="✓","✓",IF(ISNUMBER($S10),TEXT($S10,"yyyy-mm-dd"),IF($A10="","",IF(SUMPRODUCT(('Agences &amp; Après-vente'!$A$2:$A$1000=$A10)*(('Agences &amp; Après-vente'!$D$2:$D$1000="Après-vente")+('Agences &amp; Après-vente'!$D$2:$D$1000="Agences et Après-vente"))*('Agences &amp; Après-vente'!$I$2:$I$1000="DONE"))&gt;0,"✓",IF(SUMPRODUCT(MAX(('Agences &amp; Après-vente'!$A$2:$A$1000=$A10)*(('Agences &amp; Après-vente'!$D$2:$D$1000="Après-vente")+('Agences &amp; Après-vente'!$D$2:$D$1000="Agences et Après-vente"))*'Agences &amp; Après-vente'!$E$2:$E$1000))&gt;0,TEXT(SUMPRODUCT(MAX(('Agences &amp; Après-vente'!$A$2:$A$1000=$A10)*(('Agences &amp; Après-vente'!$D$2:$D$1000="Après-vente")+('Agences &amp; Après-vente'!$D$2:$D$1000="Agences et Après-vente"))*'Agences &amp; Après-vente'!$E$2:$E$1000)),"yyyy-mm-dd"),"")))))</f>
        <v>✓</v>
      </c>
      <c r="J10" s="131" t="str">
        <f aca="false">IF($T10="✓","✓",IF(ISNUMBER($T10),TEXT($T10,"yyyy-mm-dd"),IF($A10="","",IF($D10="Lisbonne","",IF(SUMPRODUCT(('Agences &amp; Après-vente'!$A$2:$A$1000=$A10)*(('Agences &amp; Après-vente'!$D$2:$D$1000="Après-vente")+('Agences &amp; Après-vente'!$D$2:$D$1000="Agences et Après-vente"))*('Agences &amp; Après-vente'!$I$2:$I$1000="DONE"))&gt;0,"✓",IF(SUMPRODUCT(MAX(('Agences &amp; Après-vente'!$A$2:$A$1000=$A10)*(('Agences &amp; Après-vente'!$D$2:$D$1000="Après-vente")+('Agences &amp; Après-vente'!$D$2:$D$1000="Agences et Après-vente"))*'Agences &amp; Après-vente'!$E$2:$E$1000))&gt;0,TEXT(SUMPRODUCT(MAX(('Agences &amp; Après-vente'!$A$2:$A$1000=$A10)*(('Agences &amp; Après-vente'!$D$2:$D$1000="Après-vente")+('Agences &amp; Après-vente'!$D$2:$D$1000="Agences et Après-vente"))*'Agences &amp; Après-vente'!$E$2:$E$1000)),"yyyy-mm-dd"),""))))))</f>
        <v>✓</v>
      </c>
      <c r="K10" s="131" t="str">
        <f aca="false">IF($U10="✓","✓",IF(ISNUMBER($U10),TEXT($U10,"yyyy-mm-dd"),IF($D10="Lisbonne","",IF($A10="","",IF(SUMPRODUCT((Evermont!$A$2:$A$1000=$A10)*(Evermont!$Q$2:$Q$1000="Terminé"))&gt;0,"✓",IF(SUMPRODUCT(MAX((Evermont!$A$2:$A$1000=$A10)*Evermont!$F$2:$F$1000))&gt;0,TEXT(SUMPRODUCT(MAX((Evermont!$A$2:$A$1000=$A10)*Evermont!$F$2:$F$1000)),"yyyy-mm-dd"),""))))))</f>
        <v>✓</v>
      </c>
      <c r="L10" s="132" t="n">
        <f aca="false">IF($A10="","",COUNTIF(E10:K10,"✓"))</f>
        <v>7</v>
      </c>
      <c r="M10" s="133" t="s">
        <v>172</v>
      </c>
      <c r="O10" s="134" t="s">
        <v>173</v>
      </c>
      <c r="P10" s="134" t="s">
        <v>173</v>
      </c>
      <c r="Q10" s="134" t="s">
        <v>173</v>
      </c>
      <c r="R10" s="134" t="s">
        <v>173</v>
      </c>
      <c r="S10" s="134" t="s">
        <v>173</v>
      </c>
      <c r="T10" s="134" t="s">
        <v>173</v>
      </c>
      <c r="U10" s="134" t="s">
        <v>173</v>
      </c>
      <c r="W10" s="135" t="str">
        <f aca="false">IF($A10="","",IF($X10&lt;&gt;"",$X10,IFERROR(INDEX('Formation Initiale'!$B$2:$B$999,MATCH($A10,'Formation Initiale'!$A$2:$A$999,0)),"Général")))</f>
        <v>Général</v>
      </c>
      <c r="X10" s="136"/>
    </row>
    <row r="11" customFormat="false" ht="18" hidden="true" customHeight="true" outlineLevel="0" collapsed="false">
      <c r="A11" s="137" t="s">
        <v>200</v>
      </c>
      <c r="B11" s="128" t="s">
        <v>194</v>
      </c>
      <c r="C11" s="128" t="s">
        <v>201</v>
      </c>
      <c r="D11" s="129" t="s">
        <v>186</v>
      </c>
      <c r="E11" s="130" t="str">
        <f aca="false">IF($O11="✓","✓",IF(ISNUMBER($O11),TEXT($O11,"yyyy-mm-dd"),IF($A11="","",IF(SUMPRODUCT(('Formation Initiale'!$A$2:$A$999=$A11)*('Formation Initiale'!$R$2:$R$999="Terminé"))&gt;0,"✓",IF(SUMPRODUCT(MAX(('Formation Initiale'!$A$2:$A$999=$A11)*'Formation Initiale'!$G$2:$G$999))&gt;0,TEXT(SUMPRODUCT(MAX(('Formation Initiale'!$A$2:$A$999=$A11)*'Formation Initiale'!$G$2:$G$999)),"yyyy-mm-dd"),"")))))</f>
        <v>✓</v>
      </c>
      <c r="F11" s="131" t="str">
        <f aca="false">IF($P11="✓","✓",IF(ISNUMBER($P11),TEXT($P11,"yyyy-mm-dd"),IF($A11="","",IF($D11="Lisbonne","",IF(SUMPRODUCT(('Formation Initiale'!$A$2:$A$999=$A11)*('Formation Initiale'!$R$2:$R$999="Terminé"))&gt;0,"✓",IF(SUMPRODUCT(MAX(('Formation Initiale'!$A$2:$A$999=$A11)*'Formation Initiale'!$G$2:$G$999))&gt;0,TEXT(SUMPRODUCT(MAX(('Formation Initiale'!$A$2:$A$999=$A11)*'Formation Initiale'!$G$2:$G$999)),"yyyy-mm-dd"),""))))))</f>
        <v/>
      </c>
      <c r="G11" s="131" t="str">
        <f aca="false">IF($Q11="✓","✓",IF(ISNUMBER($Q11),TEXT($Q11,"yyyy-mm-dd"),IF($A11="","",IF(SUMPRODUCT(('Agences &amp; Après-vente'!$A$2:$A$1000=$A11)*(('Agences &amp; Après-vente'!$D$2:$D$1000="Agences")+('Agences &amp; Après-vente'!$D$2:$D$1000="Agences et Après-vente"))*('Agences &amp; Après-vente'!$I$2:$I$1000="DONE"))&gt;0,"✓",IF(SUMPRODUCT(MAX(('Agences &amp; Après-vente'!$A$2:$A$1000=$A11)*(('Agences &amp; Après-vente'!$D$2:$D$1000="Agences")+('Agences &amp; Après-vente'!$D$2:$D$1000="Agences et Après-vente"))*'Agences &amp; Après-vente'!$E$2:$E$1000))&gt;0,TEXT(SUMPRODUCT(MAX(('Agences &amp; Après-vente'!$A$2:$A$1000=$A11)*(('Agences &amp; Après-vente'!$D$2:$D$1000="Agences")+('Agences &amp; Après-vente'!$D$2:$D$1000="Agences et Après-vente"))*'Agences &amp; Après-vente'!$E$2:$E$1000)),"yyyy-mm-dd"),"")))))</f>
        <v/>
      </c>
      <c r="H11" s="131" t="str">
        <f aca="false">IF($R11="✓","✓",IF(ISNUMBER($R11),TEXT($R11,"yyyy-mm-dd"),IF($A11="","",IF($D11="Lisbonne","",IF(SUMPRODUCT(('Agences &amp; Après-vente'!$A$2:$A$1000=$A11)*(('Agences &amp; Après-vente'!$D$2:$D$1000="Agences")+('Agences &amp; Après-vente'!$D$2:$D$1000="Agences et Après-vente"))*('Agences &amp; Après-vente'!$I$2:$I$1000="DONE"))&gt;0,"✓",IF(SUMPRODUCT(MAX(('Agences &amp; Après-vente'!$A$2:$A$1000=$A11)*(('Agences &amp; Après-vente'!$D$2:$D$1000="Agences")+('Agences &amp; Après-vente'!$D$2:$D$1000="Agences et Après-vente"))*'Agences &amp; Après-vente'!$E$2:$E$1000))&gt;0,TEXT(SUMPRODUCT(MAX(('Agences &amp; Après-vente'!$A$2:$A$1000=$A11)*(('Agences &amp; Après-vente'!$D$2:$D$1000="Agences")+('Agences &amp; Après-vente'!$D$2:$D$1000="Agences et Après-vente"))*'Agences &amp; Après-vente'!$E$2:$E$1000)),"yyyy-mm-dd"),""))))))</f>
        <v/>
      </c>
      <c r="I11" s="131" t="str">
        <f aca="false">IF($S11="✓","✓",IF(ISNUMBER($S11),TEXT($S11,"yyyy-mm-dd"),IF($A11="","",IF(SUMPRODUCT(('Agences &amp; Après-vente'!$A$2:$A$1000=$A11)*(('Agences &amp; Après-vente'!$D$2:$D$1000="Après-vente")+('Agences &amp; Après-vente'!$D$2:$D$1000="Agences et Après-vente"))*('Agences &amp; Après-vente'!$I$2:$I$1000="DONE"))&gt;0,"✓",IF(SUMPRODUCT(MAX(('Agences &amp; Après-vente'!$A$2:$A$1000=$A11)*(('Agences &amp; Après-vente'!$D$2:$D$1000="Après-vente")+('Agences &amp; Après-vente'!$D$2:$D$1000="Agences et Après-vente"))*'Agences &amp; Après-vente'!$E$2:$E$1000))&gt;0,TEXT(SUMPRODUCT(MAX(('Agences &amp; Après-vente'!$A$2:$A$1000=$A11)*(('Agences &amp; Après-vente'!$D$2:$D$1000="Après-vente")+('Agences &amp; Après-vente'!$D$2:$D$1000="Agences et Après-vente"))*'Agences &amp; Après-vente'!$E$2:$E$1000)),"yyyy-mm-dd"),"")))))</f>
        <v/>
      </c>
      <c r="J11" s="131" t="str">
        <f aca="false">IF($T11="✓","✓",IF(ISNUMBER($T11),TEXT($T11,"yyyy-mm-dd"),IF($A11="","",IF($D11="Lisbonne","",IF(SUMPRODUCT(('Agences &amp; Après-vente'!$A$2:$A$1000=$A11)*(('Agences &amp; Après-vente'!$D$2:$D$1000="Après-vente")+('Agences &amp; Après-vente'!$D$2:$D$1000="Agences et Après-vente"))*('Agences &amp; Après-vente'!$I$2:$I$1000="DONE"))&gt;0,"✓",IF(SUMPRODUCT(MAX(('Agences &amp; Après-vente'!$A$2:$A$1000=$A11)*(('Agences &amp; Après-vente'!$D$2:$D$1000="Après-vente")+('Agences &amp; Après-vente'!$D$2:$D$1000="Agences et Après-vente"))*'Agences &amp; Après-vente'!$E$2:$E$1000))&gt;0,TEXT(SUMPRODUCT(MAX(('Agences &amp; Après-vente'!$A$2:$A$1000=$A11)*(('Agences &amp; Après-vente'!$D$2:$D$1000="Après-vente")+('Agences &amp; Après-vente'!$D$2:$D$1000="Agences et Après-vente"))*'Agences &amp; Après-vente'!$E$2:$E$1000)),"yyyy-mm-dd"),""))))))</f>
        <v/>
      </c>
      <c r="K11" s="131" t="str">
        <f aca="false">IF($U11="✓","✓",IF(ISNUMBER($U11),TEXT($U11,"yyyy-mm-dd"),IF($D11="Lisbonne","",IF($A11="","",IF(SUMPRODUCT((Evermont!$A$2:$A$1000=$A11)*(Evermont!$Q$2:$Q$1000="Terminé"))&gt;0,"✓",IF(SUMPRODUCT(MAX((Evermont!$A$2:$A$1000=$A11)*Evermont!$F$2:$F$1000))&gt;0,TEXT(SUMPRODUCT(MAX((Evermont!$A$2:$A$1000=$A11)*Evermont!$F$2:$F$1000)),"yyyy-mm-dd"),""))))))</f>
        <v/>
      </c>
      <c r="L11" s="132" t="n">
        <f aca="false">IF($A11="","",COUNTIF(E11:K11,"✓"))</f>
        <v>1</v>
      </c>
      <c r="M11" s="133" t="s">
        <v>196</v>
      </c>
      <c r="O11" s="134"/>
      <c r="P11" s="134"/>
      <c r="Q11" s="134"/>
      <c r="R11" s="134"/>
      <c r="S11" s="134"/>
      <c r="T11" s="134"/>
      <c r="U11" s="134"/>
      <c r="W11" s="135" t="str">
        <f aca="false">IF($A11="","",IF($X11&lt;&gt;"",$X11,IFERROR(INDEX('Formation Initiale'!$B$2:$B$999,MATCH($A11,'Formation Initiale'!$A$2:$A$999,0)),"Général")))</f>
        <v>OS3</v>
      </c>
      <c r="X11" s="136"/>
    </row>
    <row r="12" customFormat="false" ht="18" hidden="true" customHeight="true" outlineLevel="0" collapsed="false">
      <c r="A12" s="127" t="s">
        <v>202</v>
      </c>
      <c r="B12" s="128" t="s">
        <v>203</v>
      </c>
      <c r="C12" s="128" t="s">
        <v>204</v>
      </c>
      <c r="D12" s="129" t="s">
        <v>171</v>
      </c>
      <c r="E12" s="130" t="str">
        <f aca="false">IF($O12="✓","✓",IF(ISNUMBER($O12),TEXT($O12,"yyyy-mm-dd"),IF($A12="","",IF(SUMPRODUCT(('Formation Initiale'!$A$2:$A$999=$A12)*('Formation Initiale'!$R$2:$R$999="Terminé"))&gt;0,"✓",IF(SUMPRODUCT(MAX(('Formation Initiale'!$A$2:$A$999=$A12)*'Formation Initiale'!$G$2:$G$999))&gt;0,TEXT(SUMPRODUCT(MAX(('Formation Initiale'!$A$2:$A$999=$A12)*'Formation Initiale'!$G$2:$G$999)),"yyyy-mm-dd"),"")))))</f>
        <v>✓</v>
      </c>
      <c r="F12" s="131" t="str">
        <f aca="false">IF($P12="✓","✓",IF(ISNUMBER($P12),TEXT($P12,"yyyy-mm-dd"),IF($A12="","",IF($D12="Lisbonne","",IF(SUMPRODUCT(('Formation Initiale'!$A$2:$A$999=$A12)*('Formation Initiale'!$R$2:$R$999="Terminé"))&gt;0,"✓",IF(SUMPRODUCT(MAX(('Formation Initiale'!$A$2:$A$999=$A12)*'Formation Initiale'!$G$2:$G$999))&gt;0,TEXT(SUMPRODUCT(MAX(('Formation Initiale'!$A$2:$A$999=$A12)*'Formation Initiale'!$G$2:$G$999)),"yyyy-mm-dd"),""))))))</f>
        <v>✓</v>
      </c>
      <c r="G12" s="131" t="str">
        <f aca="false">IF($Q12="✓","✓",IF(ISNUMBER($Q12),TEXT($Q12,"yyyy-mm-dd"),IF($A12="","",IF(SUMPRODUCT(('Agences &amp; Après-vente'!$A$2:$A$1000=$A12)*(('Agences &amp; Après-vente'!$D$2:$D$1000="Agences")+('Agences &amp; Après-vente'!$D$2:$D$1000="Agences et Après-vente"))*('Agences &amp; Après-vente'!$I$2:$I$1000="DONE"))&gt;0,"✓",IF(SUMPRODUCT(MAX(('Agences &amp; Après-vente'!$A$2:$A$1000=$A12)*(('Agences &amp; Après-vente'!$D$2:$D$1000="Agences")+('Agences &amp; Après-vente'!$D$2:$D$1000="Agences et Après-vente"))*'Agences &amp; Après-vente'!$E$2:$E$1000))&gt;0,TEXT(SUMPRODUCT(MAX(('Agences &amp; Après-vente'!$A$2:$A$1000=$A12)*(('Agences &amp; Après-vente'!$D$2:$D$1000="Agences")+('Agences &amp; Après-vente'!$D$2:$D$1000="Agences et Après-vente"))*'Agences &amp; Après-vente'!$E$2:$E$1000)),"yyyy-mm-dd"),"")))))</f>
        <v>✓</v>
      </c>
      <c r="H12" s="131" t="str">
        <f aca="false">IF($R12="✓","✓",IF(ISNUMBER($R12),TEXT($R12,"yyyy-mm-dd"),IF($A12="","",IF($D12="Lisbonne","",IF(SUMPRODUCT(('Agences &amp; Après-vente'!$A$2:$A$1000=$A12)*(('Agences &amp; Après-vente'!$D$2:$D$1000="Agences")+('Agences &amp; Après-vente'!$D$2:$D$1000="Agences et Après-vente"))*('Agences &amp; Après-vente'!$I$2:$I$1000="DONE"))&gt;0,"✓",IF(SUMPRODUCT(MAX(('Agences &amp; Après-vente'!$A$2:$A$1000=$A12)*(('Agences &amp; Après-vente'!$D$2:$D$1000="Agences")+('Agences &amp; Après-vente'!$D$2:$D$1000="Agences et Après-vente"))*'Agences &amp; Après-vente'!$E$2:$E$1000))&gt;0,TEXT(SUMPRODUCT(MAX(('Agences &amp; Après-vente'!$A$2:$A$1000=$A12)*(('Agences &amp; Après-vente'!$D$2:$D$1000="Agences")+('Agences &amp; Après-vente'!$D$2:$D$1000="Agences et Après-vente"))*'Agences &amp; Après-vente'!$E$2:$E$1000)),"yyyy-mm-dd"),""))))))</f>
        <v>✓</v>
      </c>
      <c r="I12" s="131" t="str">
        <f aca="false">IF($S12="✓","✓",IF(ISNUMBER($S12),TEXT($S12,"yyyy-mm-dd"),IF($A12="","",IF(SUMPRODUCT(('Agences &amp; Après-vente'!$A$2:$A$1000=$A12)*(('Agences &amp; Après-vente'!$D$2:$D$1000="Après-vente")+('Agences &amp; Après-vente'!$D$2:$D$1000="Agences et Après-vente"))*('Agences &amp; Après-vente'!$I$2:$I$1000="DONE"))&gt;0,"✓",IF(SUMPRODUCT(MAX(('Agences &amp; Après-vente'!$A$2:$A$1000=$A12)*(('Agences &amp; Après-vente'!$D$2:$D$1000="Après-vente")+('Agences &amp; Après-vente'!$D$2:$D$1000="Agences et Après-vente"))*'Agences &amp; Après-vente'!$E$2:$E$1000))&gt;0,TEXT(SUMPRODUCT(MAX(('Agences &amp; Après-vente'!$A$2:$A$1000=$A12)*(('Agences &amp; Après-vente'!$D$2:$D$1000="Après-vente")+('Agences &amp; Après-vente'!$D$2:$D$1000="Agences et Après-vente"))*'Agences &amp; Après-vente'!$E$2:$E$1000)),"yyyy-mm-dd"),"")))))</f>
        <v>✓</v>
      </c>
      <c r="J12" s="131" t="str">
        <f aca="false">IF($T12="✓","✓",IF(ISNUMBER($T12),TEXT($T12,"yyyy-mm-dd"),IF($A12="","",IF($D12="Lisbonne","",IF(SUMPRODUCT(('Agences &amp; Après-vente'!$A$2:$A$1000=$A12)*(('Agences &amp; Après-vente'!$D$2:$D$1000="Après-vente")+('Agences &amp; Après-vente'!$D$2:$D$1000="Agences et Après-vente"))*('Agences &amp; Après-vente'!$I$2:$I$1000="DONE"))&gt;0,"✓",IF(SUMPRODUCT(MAX(('Agences &amp; Après-vente'!$A$2:$A$1000=$A12)*(('Agences &amp; Après-vente'!$D$2:$D$1000="Après-vente")+('Agences &amp; Après-vente'!$D$2:$D$1000="Agences et Après-vente"))*'Agences &amp; Après-vente'!$E$2:$E$1000))&gt;0,TEXT(SUMPRODUCT(MAX(('Agences &amp; Après-vente'!$A$2:$A$1000=$A12)*(('Agences &amp; Après-vente'!$D$2:$D$1000="Après-vente")+('Agences &amp; Après-vente'!$D$2:$D$1000="Agences et Après-vente"))*'Agences &amp; Après-vente'!$E$2:$E$1000)),"yyyy-mm-dd"),""))))))</f>
        <v>✓</v>
      </c>
      <c r="K12" s="131" t="str">
        <f aca="false">IF($U12="✓","✓",IF(ISNUMBER($U12),TEXT($U12,"yyyy-mm-dd"),IF($D12="Lisbonne","",IF($A12="","",IF(SUMPRODUCT((Evermont!$A$2:$A$1000=$A12)*(Evermont!$Q$2:$Q$1000="Terminé"))&gt;0,"✓",IF(SUMPRODUCT(MAX((Evermont!$A$2:$A$1000=$A12)*Evermont!$F$2:$F$1000))&gt;0,TEXT(SUMPRODUCT(MAX((Evermont!$A$2:$A$1000=$A12)*Evermont!$F$2:$F$1000)),"yyyy-mm-dd"),""))))))</f>
        <v>✓</v>
      </c>
      <c r="L12" s="132" t="n">
        <f aca="false">IF($A12="","",COUNTIF(E12:K12,"✓"))</f>
        <v>7</v>
      </c>
      <c r="M12" s="133" t="s">
        <v>172</v>
      </c>
      <c r="O12" s="134" t="s">
        <v>173</v>
      </c>
      <c r="P12" s="134" t="s">
        <v>173</v>
      </c>
      <c r="Q12" s="134" t="s">
        <v>173</v>
      </c>
      <c r="R12" s="134" t="s">
        <v>173</v>
      </c>
      <c r="S12" s="134" t="s">
        <v>173</v>
      </c>
      <c r="T12" s="134" t="s">
        <v>173</v>
      </c>
      <c r="U12" s="134" t="s">
        <v>173</v>
      </c>
      <c r="W12" s="135" t="str">
        <f aca="false">IF($A12="","",IF($X12&lt;&gt;"",$X12,IFERROR(INDEX('Formation Initiale'!$B$2:$B$999,MATCH($A12,'Formation Initiale'!$A$2:$A$999,0)),"Général")))</f>
        <v>Général</v>
      </c>
      <c r="X12" s="136"/>
    </row>
    <row r="13" customFormat="false" ht="18" hidden="true" customHeight="true" outlineLevel="0" collapsed="false">
      <c r="A13" s="127" t="s">
        <v>205</v>
      </c>
      <c r="B13" s="128" t="s">
        <v>206</v>
      </c>
      <c r="C13" s="128" t="s">
        <v>207</v>
      </c>
      <c r="D13" s="129" t="s">
        <v>171</v>
      </c>
      <c r="E13" s="130" t="str">
        <f aca="false">IF($O13="✓","✓",IF(ISNUMBER($O13),TEXT($O13,"yyyy-mm-dd"),IF($A13="","",IF(SUMPRODUCT(('Formation Initiale'!$A$2:$A$999=$A13)*('Formation Initiale'!$R$2:$R$999="Terminé"))&gt;0,"✓",IF(SUMPRODUCT(MAX(('Formation Initiale'!$A$2:$A$999=$A13)*'Formation Initiale'!$G$2:$G$999))&gt;0,TEXT(SUMPRODUCT(MAX(('Formation Initiale'!$A$2:$A$999=$A13)*'Formation Initiale'!$G$2:$G$999)),"yyyy-mm-dd"),"")))))</f>
        <v>✓</v>
      </c>
      <c r="F13" s="131" t="str">
        <f aca="false">IF($P13="✓","✓",IF(ISNUMBER($P13),TEXT($P13,"yyyy-mm-dd"),IF($A13="","",IF($D13="Lisbonne","",IF(SUMPRODUCT(('Formation Initiale'!$A$2:$A$999=$A13)*('Formation Initiale'!$R$2:$R$999="Terminé"))&gt;0,"✓",IF(SUMPRODUCT(MAX(('Formation Initiale'!$A$2:$A$999=$A13)*'Formation Initiale'!$G$2:$G$999))&gt;0,TEXT(SUMPRODUCT(MAX(('Formation Initiale'!$A$2:$A$999=$A13)*'Formation Initiale'!$G$2:$G$999)),"yyyy-mm-dd"),""))))))</f>
        <v>✓</v>
      </c>
      <c r="G13" s="131" t="str">
        <f aca="false">IF($Q13="✓","✓",IF(ISNUMBER($Q13),TEXT($Q13,"yyyy-mm-dd"),IF($A13="","",IF(SUMPRODUCT(('Agences &amp; Après-vente'!$A$2:$A$1000=$A13)*(('Agences &amp; Après-vente'!$D$2:$D$1000="Agences")+('Agences &amp; Après-vente'!$D$2:$D$1000="Agences et Après-vente"))*('Agences &amp; Après-vente'!$I$2:$I$1000="DONE"))&gt;0,"✓",IF(SUMPRODUCT(MAX(('Agences &amp; Après-vente'!$A$2:$A$1000=$A13)*(('Agences &amp; Après-vente'!$D$2:$D$1000="Agences")+('Agences &amp; Après-vente'!$D$2:$D$1000="Agences et Après-vente"))*'Agences &amp; Après-vente'!$E$2:$E$1000))&gt;0,TEXT(SUMPRODUCT(MAX(('Agences &amp; Après-vente'!$A$2:$A$1000=$A13)*(('Agences &amp; Après-vente'!$D$2:$D$1000="Agences")+('Agences &amp; Après-vente'!$D$2:$D$1000="Agences et Après-vente"))*'Agences &amp; Après-vente'!$E$2:$E$1000)),"yyyy-mm-dd"),"")))))</f>
        <v>✓</v>
      </c>
      <c r="H13" s="131" t="str">
        <f aca="false">IF($R13="✓","✓",IF(ISNUMBER($R13),TEXT($R13,"yyyy-mm-dd"),IF($A13="","",IF($D13="Lisbonne","",IF(SUMPRODUCT(('Agences &amp; Après-vente'!$A$2:$A$1000=$A13)*(('Agences &amp; Après-vente'!$D$2:$D$1000="Agences")+('Agences &amp; Après-vente'!$D$2:$D$1000="Agences et Après-vente"))*('Agences &amp; Après-vente'!$I$2:$I$1000="DONE"))&gt;0,"✓",IF(SUMPRODUCT(MAX(('Agences &amp; Après-vente'!$A$2:$A$1000=$A13)*(('Agences &amp; Après-vente'!$D$2:$D$1000="Agences")+('Agences &amp; Après-vente'!$D$2:$D$1000="Agences et Après-vente"))*'Agences &amp; Après-vente'!$E$2:$E$1000))&gt;0,TEXT(SUMPRODUCT(MAX(('Agences &amp; Après-vente'!$A$2:$A$1000=$A13)*(('Agences &amp; Après-vente'!$D$2:$D$1000="Agences")+('Agences &amp; Après-vente'!$D$2:$D$1000="Agences et Après-vente"))*'Agences &amp; Après-vente'!$E$2:$E$1000)),"yyyy-mm-dd"),""))))))</f>
        <v>✓</v>
      </c>
      <c r="I13" s="131" t="str">
        <f aca="false">IF($S13="✓","✓",IF(ISNUMBER($S13),TEXT($S13,"yyyy-mm-dd"),IF($A13="","",IF(SUMPRODUCT(('Agences &amp; Après-vente'!$A$2:$A$1000=$A13)*(('Agences &amp; Après-vente'!$D$2:$D$1000="Après-vente")+('Agences &amp; Après-vente'!$D$2:$D$1000="Agences et Après-vente"))*('Agences &amp; Après-vente'!$I$2:$I$1000="DONE"))&gt;0,"✓",IF(SUMPRODUCT(MAX(('Agences &amp; Après-vente'!$A$2:$A$1000=$A13)*(('Agences &amp; Après-vente'!$D$2:$D$1000="Après-vente")+('Agences &amp; Après-vente'!$D$2:$D$1000="Agences et Après-vente"))*'Agences &amp; Après-vente'!$E$2:$E$1000))&gt;0,TEXT(SUMPRODUCT(MAX(('Agences &amp; Après-vente'!$A$2:$A$1000=$A13)*(('Agences &amp; Après-vente'!$D$2:$D$1000="Après-vente")+('Agences &amp; Après-vente'!$D$2:$D$1000="Agences et Après-vente"))*'Agences &amp; Après-vente'!$E$2:$E$1000)),"yyyy-mm-dd"),"")))))</f>
        <v>✓</v>
      </c>
      <c r="J13" s="131" t="str">
        <f aca="false">IF($T13="✓","✓",IF(ISNUMBER($T13),TEXT($T13,"yyyy-mm-dd"),IF($A13="","",IF($D13="Lisbonne","",IF(SUMPRODUCT(('Agences &amp; Après-vente'!$A$2:$A$1000=$A13)*(('Agences &amp; Après-vente'!$D$2:$D$1000="Après-vente")+('Agences &amp; Après-vente'!$D$2:$D$1000="Agences et Après-vente"))*('Agences &amp; Après-vente'!$I$2:$I$1000="DONE"))&gt;0,"✓",IF(SUMPRODUCT(MAX(('Agences &amp; Après-vente'!$A$2:$A$1000=$A13)*(('Agences &amp; Après-vente'!$D$2:$D$1000="Après-vente")+('Agences &amp; Après-vente'!$D$2:$D$1000="Agences et Après-vente"))*'Agences &amp; Après-vente'!$E$2:$E$1000))&gt;0,TEXT(SUMPRODUCT(MAX(('Agences &amp; Après-vente'!$A$2:$A$1000=$A13)*(('Agences &amp; Après-vente'!$D$2:$D$1000="Après-vente")+('Agences &amp; Après-vente'!$D$2:$D$1000="Agences et Après-vente"))*'Agences &amp; Après-vente'!$E$2:$E$1000)),"yyyy-mm-dd"),""))))))</f>
        <v>✓</v>
      </c>
      <c r="K13" s="131" t="str">
        <f aca="false">IF($U13="✓","✓",IF(ISNUMBER($U13),TEXT($U13,"yyyy-mm-dd"),IF($D13="Lisbonne","",IF($A13="","",IF(SUMPRODUCT((Evermont!$A$2:$A$1000=$A13)*(Evermont!$Q$2:$Q$1000="Terminé"))&gt;0,"✓",IF(SUMPRODUCT(MAX((Evermont!$A$2:$A$1000=$A13)*Evermont!$F$2:$F$1000))&gt;0,TEXT(SUMPRODUCT(MAX((Evermont!$A$2:$A$1000=$A13)*Evermont!$F$2:$F$1000)),"yyyy-mm-dd"),""))))))</f>
        <v>✓</v>
      </c>
      <c r="L13" s="132" t="n">
        <f aca="false">IF($A13="","",COUNTIF(E13:K13,"✓"))</f>
        <v>7</v>
      </c>
      <c r="M13" s="133" t="s">
        <v>172</v>
      </c>
      <c r="O13" s="134" t="s">
        <v>173</v>
      </c>
      <c r="P13" s="134" t="s">
        <v>173</v>
      </c>
      <c r="Q13" s="134" t="s">
        <v>173</v>
      </c>
      <c r="R13" s="134" t="s">
        <v>173</v>
      </c>
      <c r="S13" s="134" t="s">
        <v>173</v>
      </c>
      <c r="T13" s="134" t="s">
        <v>173</v>
      </c>
      <c r="U13" s="134" t="s">
        <v>173</v>
      </c>
      <c r="W13" s="135" t="str">
        <f aca="false">IF($A13="","",IF($X13&lt;&gt;"",$X13,IFERROR(INDEX('Formation Initiale'!$B$2:$B$999,MATCH($A13,'Formation Initiale'!$A$2:$A$999,0)),"Général")))</f>
        <v>Général</v>
      </c>
      <c r="X13" s="136"/>
    </row>
    <row r="14" customFormat="false" ht="18" hidden="true" customHeight="true" outlineLevel="0" collapsed="false">
      <c r="A14" s="127" t="s">
        <v>208</v>
      </c>
      <c r="B14" s="128" t="s">
        <v>209</v>
      </c>
      <c r="C14" s="128" t="s">
        <v>210</v>
      </c>
      <c r="D14" s="129" t="s">
        <v>171</v>
      </c>
      <c r="E14" s="130" t="str">
        <f aca="false">IF($O14="✓","✓",IF(ISNUMBER($O14),TEXT($O14,"yyyy-mm-dd"),IF($A14="","",IF(SUMPRODUCT(('Formation Initiale'!$A$2:$A$999=$A14)*('Formation Initiale'!$R$2:$R$999="Terminé"))&gt;0,"✓",IF(SUMPRODUCT(MAX(('Formation Initiale'!$A$2:$A$999=$A14)*'Formation Initiale'!$G$2:$G$999))&gt;0,TEXT(SUMPRODUCT(MAX(('Formation Initiale'!$A$2:$A$999=$A14)*'Formation Initiale'!$G$2:$G$999)),"yyyy-mm-dd"),"")))))</f>
        <v>✓</v>
      </c>
      <c r="F14" s="131" t="str">
        <f aca="false">IF($P14="✓","✓",IF(ISNUMBER($P14),TEXT($P14,"yyyy-mm-dd"),IF($A14="","",IF($D14="Lisbonne","",IF(SUMPRODUCT(('Formation Initiale'!$A$2:$A$999=$A14)*('Formation Initiale'!$R$2:$R$999="Terminé"))&gt;0,"✓",IF(SUMPRODUCT(MAX(('Formation Initiale'!$A$2:$A$999=$A14)*'Formation Initiale'!$G$2:$G$999))&gt;0,TEXT(SUMPRODUCT(MAX(('Formation Initiale'!$A$2:$A$999=$A14)*'Formation Initiale'!$G$2:$G$999)),"yyyy-mm-dd"),""))))))</f>
        <v>✓</v>
      </c>
      <c r="G14" s="131" t="str">
        <f aca="false">IF($Q14="✓","✓",IF(ISNUMBER($Q14),TEXT($Q14,"yyyy-mm-dd"),IF($A14="","",IF(SUMPRODUCT(('Agences &amp; Après-vente'!$A$2:$A$1000=$A14)*(('Agences &amp; Après-vente'!$D$2:$D$1000="Agences")+('Agences &amp; Après-vente'!$D$2:$D$1000="Agences et Après-vente"))*('Agences &amp; Après-vente'!$I$2:$I$1000="DONE"))&gt;0,"✓",IF(SUMPRODUCT(MAX(('Agences &amp; Après-vente'!$A$2:$A$1000=$A14)*(('Agences &amp; Après-vente'!$D$2:$D$1000="Agences")+('Agences &amp; Après-vente'!$D$2:$D$1000="Agences et Après-vente"))*'Agences &amp; Après-vente'!$E$2:$E$1000))&gt;0,TEXT(SUMPRODUCT(MAX(('Agences &amp; Après-vente'!$A$2:$A$1000=$A14)*(('Agences &amp; Après-vente'!$D$2:$D$1000="Agences")+('Agences &amp; Après-vente'!$D$2:$D$1000="Agences et Après-vente"))*'Agences &amp; Après-vente'!$E$2:$E$1000)),"yyyy-mm-dd"),"")))))</f>
        <v>✓</v>
      </c>
      <c r="H14" s="131" t="str">
        <f aca="false">IF($R14="✓","✓",IF(ISNUMBER($R14),TEXT($R14,"yyyy-mm-dd"),IF($A14="","",IF($D14="Lisbonne","",IF(SUMPRODUCT(('Agences &amp; Après-vente'!$A$2:$A$1000=$A14)*(('Agences &amp; Après-vente'!$D$2:$D$1000="Agences")+('Agences &amp; Après-vente'!$D$2:$D$1000="Agences et Après-vente"))*('Agences &amp; Après-vente'!$I$2:$I$1000="DONE"))&gt;0,"✓",IF(SUMPRODUCT(MAX(('Agences &amp; Après-vente'!$A$2:$A$1000=$A14)*(('Agences &amp; Après-vente'!$D$2:$D$1000="Agences")+('Agences &amp; Après-vente'!$D$2:$D$1000="Agences et Après-vente"))*'Agences &amp; Après-vente'!$E$2:$E$1000))&gt;0,TEXT(SUMPRODUCT(MAX(('Agences &amp; Après-vente'!$A$2:$A$1000=$A14)*(('Agences &amp; Après-vente'!$D$2:$D$1000="Agences")+('Agences &amp; Après-vente'!$D$2:$D$1000="Agences et Après-vente"))*'Agences &amp; Après-vente'!$E$2:$E$1000)),"yyyy-mm-dd"),""))))))</f>
        <v>✓</v>
      </c>
      <c r="I14" s="131" t="str">
        <f aca="false">IF($S14="✓","✓",IF(ISNUMBER($S14),TEXT($S14,"yyyy-mm-dd"),IF($A14="","",IF(SUMPRODUCT(('Agences &amp; Après-vente'!$A$2:$A$1000=$A14)*(('Agences &amp; Après-vente'!$D$2:$D$1000="Après-vente")+('Agences &amp; Après-vente'!$D$2:$D$1000="Agences et Après-vente"))*('Agences &amp; Après-vente'!$I$2:$I$1000="DONE"))&gt;0,"✓",IF(SUMPRODUCT(MAX(('Agences &amp; Après-vente'!$A$2:$A$1000=$A14)*(('Agences &amp; Après-vente'!$D$2:$D$1000="Après-vente")+('Agences &amp; Après-vente'!$D$2:$D$1000="Agences et Après-vente"))*'Agences &amp; Après-vente'!$E$2:$E$1000))&gt;0,TEXT(SUMPRODUCT(MAX(('Agences &amp; Après-vente'!$A$2:$A$1000=$A14)*(('Agences &amp; Après-vente'!$D$2:$D$1000="Après-vente")+('Agences &amp; Après-vente'!$D$2:$D$1000="Agences et Après-vente"))*'Agences &amp; Après-vente'!$E$2:$E$1000)),"yyyy-mm-dd"),"")))))</f>
        <v>✓</v>
      </c>
      <c r="J14" s="131" t="str">
        <f aca="false">IF($T14="✓","✓",IF(ISNUMBER($T14),TEXT($T14,"yyyy-mm-dd"),IF($A14="","",IF($D14="Lisbonne","",IF(SUMPRODUCT(('Agences &amp; Après-vente'!$A$2:$A$1000=$A14)*(('Agences &amp; Après-vente'!$D$2:$D$1000="Après-vente")+('Agences &amp; Après-vente'!$D$2:$D$1000="Agences et Après-vente"))*('Agences &amp; Après-vente'!$I$2:$I$1000="DONE"))&gt;0,"✓",IF(SUMPRODUCT(MAX(('Agences &amp; Après-vente'!$A$2:$A$1000=$A14)*(('Agences &amp; Après-vente'!$D$2:$D$1000="Après-vente")+('Agences &amp; Après-vente'!$D$2:$D$1000="Agences et Après-vente"))*'Agences &amp; Après-vente'!$E$2:$E$1000))&gt;0,TEXT(SUMPRODUCT(MAX(('Agences &amp; Après-vente'!$A$2:$A$1000=$A14)*(('Agences &amp; Après-vente'!$D$2:$D$1000="Après-vente")+('Agences &amp; Après-vente'!$D$2:$D$1000="Agences et Après-vente"))*'Agences &amp; Après-vente'!$E$2:$E$1000)),"yyyy-mm-dd"),""))))))</f>
        <v>✓</v>
      </c>
      <c r="K14" s="131" t="str">
        <f aca="false">IF($U14="✓","✓",IF(ISNUMBER($U14),TEXT($U14,"yyyy-mm-dd"),IF($D14="Lisbonne","",IF($A14="","",IF(SUMPRODUCT((Evermont!$A$2:$A$1000=$A14)*(Evermont!$Q$2:$Q$1000="Terminé"))&gt;0,"✓",IF(SUMPRODUCT(MAX((Evermont!$A$2:$A$1000=$A14)*Evermont!$F$2:$F$1000))&gt;0,TEXT(SUMPRODUCT(MAX((Evermont!$A$2:$A$1000=$A14)*Evermont!$F$2:$F$1000)),"yyyy-mm-dd"),""))))))</f>
        <v>✓</v>
      </c>
      <c r="L14" s="132" t="n">
        <f aca="false">IF($A14="","",COUNTIF(E14:K14,"✓"))</f>
        <v>7</v>
      </c>
      <c r="M14" s="133" t="s">
        <v>172</v>
      </c>
      <c r="O14" s="134" t="s">
        <v>173</v>
      </c>
      <c r="P14" s="134" t="s">
        <v>173</v>
      </c>
      <c r="Q14" s="134" t="s">
        <v>173</v>
      </c>
      <c r="R14" s="134" t="s">
        <v>173</v>
      </c>
      <c r="S14" s="134" t="s">
        <v>173</v>
      </c>
      <c r="T14" s="134" t="s">
        <v>173</v>
      </c>
      <c r="U14" s="134" t="s">
        <v>173</v>
      </c>
      <c r="W14" s="135" t="str">
        <f aca="false">IF($A14="","",IF($X14&lt;&gt;"",$X14,IFERROR(INDEX('Formation Initiale'!$B$2:$B$999,MATCH($A14,'Formation Initiale'!$A$2:$A$999,0)),"Général")))</f>
        <v>Général</v>
      </c>
      <c r="X14" s="136"/>
    </row>
    <row r="15" customFormat="false" ht="18" hidden="true" customHeight="true" outlineLevel="0" collapsed="false">
      <c r="A15" s="138" t="s">
        <v>211</v>
      </c>
      <c r="B15" s="128" t="s">
        <v>212</v>
      </c>
      <c r="C15" s="128" t="s">
        <v>213</v>
      </c>
      <c r="D15" s="129" t="s">
        <v>186</v>
      </c>
      <c r="E15" s="130" t="str">
        <f aca="false">IF($O15="✓","✓",IF(ISNUMBER($O15),TEXT($O15,"yyyy-mm-dd"),IF($A15="","",IF(SUMPRODUCT(('Formation Initiale'!$A$2:$A$999=$A15)*('Formation Initiale'!$R$2:$R$999="Terminé"))&gt;0,"✓",IF(SUMPRODUCT(MAX(('Formation Initiale'!$A$2:$A$999=$A15)*'Formation Initiale'!$G$2:$G$999))&gt;0,TEXT(SUMPRODUCT(MAX(('Formation Initiale'!$A$2:$A$999=$A15)*'Formation Initiale'!$G$2:$G$999)),"yyyy-mm-dd"),"")))))</f>
        <v>✓</v>
      </c>
      <c r="F15" s="131" t="str">
        <f aca="false">IF($P15="✓","✓",IF(ISNUMBER($P15),TEXT($P15,"yyyy-mm-dd"),IF($A15="","",IF($D15="Lisbonne","",IF(SUMPRODUCT(('Formation Initiale'!$A$2:$A$999=$A15)*('Formation Initiale'!$R$2:$R$999="Terminé"))&gt;0,"✓",IF(SUMPRODUCT(MAX(('Formation Initiale'!$A$2:$A$999=$A15)*'Formation Initiale'!$G$2:$G$999))&gt;0,TEXT(SUMPRODUCT(MAX(('Formation Initiale'!$A$2:$A$999=$A15)*'Formation Initiale'!$G$2:$G$999)),"yyyy-mm-dd"),""))))))</f>
        <v/>
      </c>
      <c r="G15" s="131" t="str">
        <f aca="false">IF($Q15="✓","✓",IF(ISNUMBER($Q15),TEXT($Q15,"yyyy-mm-dd"),IF($A15="","",IF(SUMPRODUCT(('Agences &amp; Après-vente'!$A$2:$A$1000=$A15)*(('Agences &amp; Après-vente'!$D$2:$D$1000="Agences")+('Agences &amp; Après-vente'!$D$2:$D$1000="Agences et Après-vente"))*('Agences &amp; Après-vente'!$I$2:$I$1000="DONE"))&gt;0,"✓",IF(SUMPRODUCT(MAX(('Agences &amp; Après-vente'!$A$2:$A$1000=$A15)*(('Agences &amp; Après-vente'!$D$2:$D$1000="Agences")+('Agences &amp; Après-vente'!$D$2:$D$1000="Agences et Après-vente"))*'Agences &amp; Après-vente'!$E$2:$E$1000))&gt;0,TEXT(SUMPRODUCT(MAX(('Agences &amp; Après-vente'!$A$2:$A$1000=$A15)*(('Agences &amp; Après-vente'!$D$2:$D$1000="Agences")+('Agences &amp; Après-vente'!$D$2:$D$1000="Agences et Après-vente"))*'Agences &amp; Après-vente'!$E$2:$E$1000)),"yyyy-mm-dd"),"")))))</f>
        <v/>
      </c>
      <c r="H15" s="131" t="str">
        <f aca="false">IF($R15="✓","✓",IF(ISNUMBER($R15),TEXT($R15,"yyyy-mm-dd"),IF($A15="","",IF($D15="Lisbonne","",IF(SUMPRODUCT(('Agences &amp; Après-vente'!$A$2:$A$1000=$A15)*(('Agences &amp; Après-vente'!$D$2:$D$1000="Agences")+('Agences &amp; Après-vente'!$D$2:$D$1000="Agences et Après-vente"))*('Agences &amp; Après-vente'!$I$2:$I$1000="DONE"))&gt;0,"✓",IF(SUMPRODUCT(MAX(('Agences &amp; Après-vente'!$A$2:$A$1000=$A15)*(('Agences &amp; Après-vente'!$D$2:$D$1000="Agences")+('Agences &amp; Après-vente'!$D$2:$D$1000="Agences et Après-vente"))*'Agences &amp; Après-vente'!$E$2:$E$1000))&gt;0,TEXT(SUMPRODUCT(MAX(('Agences &amp; Après-vente'!$A$2:$A$1000=$A15)*(('Agences &amp; Après-vente'!$D$2:$D$1000="Agences")+('Agences &amp; Après-vente'!$D$2:$D$1000="Agences et Après-vente"))*'Agences &amp; Après-vente'!$E$2:$E$1000)),"yyyy-mm-dd"),""))))))</f>
        <v/>
      </c>
      <c r="I15" s="131" t="str">
        <f aca="false">IF($S15="✓","✓",IF(ISNUMBER($S15),TEXT($S15,"yyyy-mm-dd"),IF($A15="","",IF(SUMPRODUCT(('Agences &amp; Après-vente'!$A$2:$A$1000=$A15)*(('Agences &amp; Après-vente'!$D$2:$D$1000="Après-vente")+('Agences &amp; Après-vente'!$D$2:$D$1000="Agences et Après-vente"))*('Agences &amp; Après-vente'!$I$2:$I$1000="DONE"))&gt;0,"✓",IF(SUMPRODUCT(MAX(('Agences &amp; Après-vente'!$A$2:$A$1000=$A15)*(('Agences &amp; Après-vente'!$D$2:$D$1000="Après-vente")+('Agences &amp; Après-vente'!$D$2:$D$1000="Agences et Après-vente"))*'Agences &amp; Après-vente'!$E$2:$E$1000))&gt;0,TEXT(SUMPRODUCT(MAX(('Agences &amp; Après-vente'!$A$2:$A$1000=$A15)*(('Agences &amp; Après-vente'!$D$2:$D$1000="Après-vente")+('Agences &amp; Après-vente'!$D$2:$D$1000="Agences et Après-vente"))*'Agences &amp; Après-vente'!$E$2:$E$1000)),"yyyy-mm-dd"),"")))))</f>
        <v/>
      </c>
      <c r="J15" s="131" t="str">
        <f aca="false">IF($T15="✓","✓",IF(ISNUMBER($T15),TEXT($T15,"yyyy-mm-dd"),IF($A15="","",IF($D15="Lisbonne","",IF(SUMPRODUCT(('Agences &amp; Après-vente'!$A$2:$A$1000=$A15)*(('Agences &amp; Après-vente'!$D$2:$D$1000="Après-vente")+('Agences &amp; Après-vente'!$D$2:$D$1000="Agences et Après-vente"))*('Agences &amp; Après-vente'!$I$2:$I$1000="DONE"))&gt;0,"✓",IF(SUMPRODUCT(MAX(('Agences &amp; Après-vente'!$A$2:$A$1000=$A15)*(('Agences &amp; Après-vente'!$D$2:$D$1000="Après-vente")+('Agences &amp; Après-vente'!$D$2:$D$1000="Agences et Après-vente"))*'Agences &amp; Après-vente'!$E$2:$E$1000))&gt;0,TEXT(SUMPRODUCT(MAX(('Agences &amp; Après-vente'!$A$2:$A$1000=$A15)*(('Agences &amp; Après-vente'!$D$2:$D$1000="Après-vente")+('Agences &amp; Après-vente'!$D$2:$D$1000="Agences et Après-vente"))*'Agences &amp; Après-vente'!$E$2:$E$1000)),"yyyy-mm-dd"),""))))))</f>
        <v/>
      </c>
      <c r="K15" s="131" t="str">
        <f aca="false">IF($U15="✓","✓",IF(ISNUMBER($U15),TEXT($U15,"yyyy-mm-dd"),IF($D15="Lisbonne","",IF($A15="","",IF(SUMPRODUCT((Evermont!$A$2:$A$1000=$A15)*(Evermont!$Q$2:$Q$1000="Terminé"))&gt;0,"✓",IF(SUMPRODUCT(MAX((Evermont!$A$2:$A$1000=$A15)*Evermont!$F$2:$F$1000))&gt;0,TEXT(SUMPRODUCT(MAX((Evermont!$A$2:$A$1000=$A15)*Evermont!$F$2:$F$1000)),"yyyy-mm-dd"),""))))))</f>
        <v/>
      </c>
      <c r="L15" s="132" t="n">
        <f aca="false">IF($A15="","",COUNTIF(E15:K15,"✓"))</f>
        <v>1</v>
      </c>
      <c r="M15" s="133" t="s">
        <v>172</v>
      </c>
      <c r="O15" s="134" t="s">
        <v>173</v>
      </c>
      <c r="P15" s="134"/>
      <c r="Q15" s="134"/>
      <c r="R15" s="134"/>
      <c r="S15" s="134"/>
      <c r="T15" s="134"/>
      <c r="U15" s="134"/>
      <c r="W15" s="135" t="str">
        <f aca="false">IF($A15="","",IF($X15&lt;&gt;"",$X15,IFERROR(INDEX('Formation Initiale'!$B$2:$B$999,MATCH($A15,'Formation Initiale'!$A$2:$A$999,0)),"Général")))</f>
        <v>OS7</v>
      </c>
      <c r="X15" s="136"/>
    </row>
    <row r="16" customFormat="false" ht="18" hidden="true" customHeight="true" outlineLevel="0" collapsed="false">
      <c r="A16" s="139" t="s">
        <v>214</v>
      </c>
      <c r="B16" s="128" t="s">
        <v>215</v>
      </c>
      <c r="C16" s="128" t="s">
        <v>216</v>
      </c>
      <c r="D16" s="129" t="s">
        <v>186</v>
      </c>
      <c r="E16" s="130" t="str">
        <f aca="false">IF($O16="✓","✓",IF(ISNUMBER($O16),TEXT($O16,"yyyy-mm-dd"),IF($A16="","",IF(SUMPRODUCT(('Formation Initiale'!$A$2:$A$999=$A16)*('Formation Initiale'!$R$2:$R$999="Terminé"))&gt;0,"✓",IF(SUMPRODUCT(MAX(('Formation Initiale'!$A$2:$A$999=$A16)*'Formation Initiale'!$G$2:$G$999))&gt;0,TEXT(SUMPRODUCT(MAX(('Formation Initiale'!$A$2:$A$999=$A16)*'Formation Initiale'!$G$2:$G$999)),"yyyy-mm-dd"),"")))))</f>
        <v>✓</v>
      </c>
      <c r="F16" s="131" t="str">
        <f aca="false">IF($P16="✓","✓",IF(ISNUMBER($P16),TEXT($P16,"yyyy-mm-dd"),IF($A16="","",IF($D16="Lisbonne","",IF(SUMPRODUCT(('Formation Initiale'!$A$2:$A$999=$A16)*('Formation Initiale'!$R$2:$R$999="Terminé"))&gt;0,"✓",IF(SUMPRODUCT(MAX(('Formation Initiale'!$A$2:$A$999=$A16)*'Formation Initiale'!$G$2:$G$999))&gt;0,TEXT(SUMPRODUCT(MAX(('Formation Initiale'!$A$2:$A$999=$A16)*'Formation Initiale'!$G$2:$G$999)),"yyyy-mm-dd"),""))))))</f>
        <v/>
      </c>
      <c r="G16" s="131" t="str">
        <f aca="false" t="array" ref="G16:G16">IF($Q16="✓","✓",IF(ISNUMBER($Q16),TEXT($Q16,"yyyy-mm-dd"),IF($A16="","",IF(SUMPRODUCT(('Agences &amp; Après-vente'!$A$2:$A$199=$A16)*(('Agences &amp; Après-vente'!$D$2:$D$199="Agences")+('Agences &amp; Après-vente'!$D$2:$D$199="Agences et Après-vente"))*('Agences &amp; Après-vente'!$I$2:$I$199="DONE"))&gt;0,"✓",IF(SUMPRODUCT(MAX(('Agences &amp; Après-vente'!$A$2:$A$199=$A16)*(('Agences &amp; Après-vente'!$D$2:$D$199="Agences")+('Agences &amp; Après-vente'!$D$2:$D$199="Agences et Après-vente"))*'Agences &amp; Après-vente'!$E$2:$E$199))&gt;0,TEXT(SUMPRODUCT(MAX(('Agences &amp; Après-vente'!$A$2:$A$199=$A16)*(('Agences &amp; Après-vente'!$D$2:$D$199="Agences")+('Agences &amp; Après-vente'!$D$2:$D$199="Agences et Après-vente"))*'Agences &amp; Après-vente'!$E$2:$E$199)),"yyyy-mm-dd"),"")))))</f>
        <v/>
      </c>
      <c r="H16" s="131" t="str">
        <f aca="false">IF($R16="✓","✓",IF(ISNUMBER($R16),TEXT($R16,"yyyy-mm-dd"),IF($A16="","",IF($D16="Lisbonne","",IF(SUMPRODUCT(('Agences &amp; Après-vente'!$A$2:$A$1000=$A16)*(('Agences &amp; Après-vente'!$D$2:$D$1000="Agences")+('Agences &amp; Après-vente'!$D$2:$D$1000="Agences et Après-vente"))*('Agences &amp; Après-vente'!$I$2:$I$1000="DONE"))&gt;0,"✓",IF(SUMPRODUCT(MAX(('Agences &amp; Après-vente'!$A$2:$A$1000=$A16)*(('Agences &amp; Après-vente'!$D$2:$D$1000="Agences")+('Agences &amp; Après-vente'!$D$2:$D$1000="Agences et Après-vente"))*'Agences &amp; Après-vente'!$E$2:$E$1000))&gt;0,TEXT(SUMPRODUCT(MAX(('Agences &amp; Après-vente'!$A$2:$A$1000=$A16)*(('Agences &amp; Après-vente'!$D$2:$D$1000="Agences")+('Agences &amp; Après-vente'!$D$2:$D$1000="Agences et Après-vente"))*'Agences &amp; Après-vente'!$E$2:$E$1000)),"yyyy-mm-dd"),""))))))</f>
        <v/>
      </c>
      <c r="I16" s="131" t="str">
        <f aca="false">IF($S16="✓","✓",IF(ISNUMBER($S16),TEXT($S16,"yyyy-mm-dd"),IF($A16="","",IF(SUMPRODUCT(('Agences &amp; Après-vente'!$A$2:$A$1000=$A16)*(('Agences &amp; Après-vente'!$D$2:$D$1000="Après-vente")+('Agences &amp; Après-vente'!$D$2:$D$1000="Agences et Après-vente"))*('Agences &amp; Après-vente'!$I$2:$I$1000="DONE"))&gt;0,"✓",IF(SUMPRODUCT(MAX(('Agences &amp; Après-vente'!$A$2:$A$1000=$A16)*(('Agences &amp; Après-vente'!$D$2:$D$1000="Après-vente")+('Agences &amp; Après-vente'!$D$2:$D$1000="Agences et Après-vente"))*'Agences &amp; Après-vente'!$E$2:$E$1000))&gt;0,TEXT(SUMPRODUCT(MAX(('Agences &amp; Après-vente'!$A$2:$A$1000=$A16)*(('Agences &amp; Après-vente'!$D$2:$D$1000="Après-vente")+('Agences &amp; Après-vente'!$D$2:$D$1000="Agences et Après-vente"))*'Agences &amp; Après-vente'!$E$2:$E$1000)),"yyyy-mm-dd"),"")))))</f>
        <v/>
      </c>
      <c r="J16" s="131" t="str">
        <f aca="false">IF($T16="✓","✓",IF(ISNUMBER($T16),TEXT($T16,"yyyy-mm-dd"),IF($A16="","",IF($D16="Lisbonne","",IF(SUMPRODUCT(('Agences &amp; Après-vente'!$A$2:$A$1000=$A16)*(('Agences &amp; Après-vente'!$D$2:$D$1000="Après-vente")+('Agences &amp; Après-vente'!$D$2:$D$1000="Agences et Après-vente"))*('Agences &amp; Après-vente'!$I$2:$I$1000="DONE"))&gt;0,"✓",IF(SUMPRODUCT(MAX(('Agences &amp; Après-vente'!$A$2:$A$1000=$A16)*(('Agences &amp; Après-vente'!$D$2:$D$1000="Après-vente")+('Agences &amp; Après-vente'!$D$2:$D$1000="Agences et Après-vente"))*'Agences &amp; Après-vente'!$E$2:$E$1000))&gt;0,TEXT(SUMPRODUCT(MAX(('Agences &amp; Après-vente'!$A$2:$A$1000=$A16)*(('Agences &amp; Après-vente'!$D$2:$D$1000="Après-vente")+('Agences &amp; Après-vente'!$D$2:$D$1000="Agences et Après-vente"))*'Agences &amp; Après-vente'!$E$2:$E$1000)),"yyyy-mm-dd"),""))))))</f>
        <v/>
      </c>
      <c r="K16" s="131" t="str">
        <f aca="false">IF($U16="✓","✓",IF(ISNUMBER($U16),TEXT($U16,"yyyy-mm-dd"),IF($D16="Lisbonne","",IF($A16="","",IF(SUMPRODUCT((Evermont!$A$2:$A$1000=$A16)*(Evermont!$Q$2:$Q$1000="Terminé"))&gt;0,"✓",IF(SUMPRODUCT(MAX((Evermont!$A$2:$A$1000=$A16)*Evermont!$F$2:$F$1000))&gt;0,TEXT(SUMPRODUCT(MAX((Evermont!$A$2:$A$1000=$A16)*Evermont!$F$2:$F$1000)),"yyyy-mm-dd"),""))))))</f>
        <v/>
      </c>
      <c r="L16" s="132" t="n">
        <f aca="false">IF($A16="","",COUNTIF(E16:K16,"✓"))</f>
        <v>1</v>
      </c>
      <c r="M16" s="133" t="s">
        <v>196</v>
      </c>
      <c r="O16" s="134"/>
      <c r="P16" s="134"/>
      <c r="Q16" s="134"/>
      <c r="R16" s="134"/>
      <c r="S16" s="134"/>
      <c r="T16" s="134"/>
      <c r="U16" s="134"/>
      <c r="W16" s="135" t="str">
        <f aca="false">IF($A16="","",IF($X16&lt;&gt;"",$X16,IFERROR(INDEX('Formation Initiale'!$B$2:$B$999,MATCH($A16,'Formation Initiale'!$A$2:$A$999,0)),"Général")))</f>
        <v>OS4</v>
      </c>
      <c r="X16" s="136"/>
    </row>
    <row r="17" customFormat="false" ht="18" hidden="true" customHeight="true" outlineLevel="0" collapsed="false">
      <c r="A17" s="139" t="s">
        <v>217</v>
      </c>
      <c r="B17" s="128" t="s">
        <v>218</v>
      </c>
      <c r="C17" s="128" t="s">
        <v>219</v>
      </c>
      <c r="D17" s="129" t="s">
        <v>171</v>
      </c>
      <c r="E17" s="130" t="str">
        <f aca="false">IF($O17="✓","✓",IF(ISNUMBER($O17),TEXT($O17,"yyyy-mm-dd"),IF($A17="","",IF(SUMPRODUCT(('Formation Initiale'!$A$2:$A$999=$A17)*('Formation Initiale'!$R$2:$R$999="Terminé"))&gt;0,"✓",IF(SUMPRODUCT(MAX(('Formation Initiale'!$A$2:$A$999=$A17)*'Formation Initiale'!$G$2:$G$999))&gt;0,TEXT(SUMPRODUCT(MAX(('Formation Initiale'!$A$2:$A$999=$A17)*'Formation Initiale'!$G$2:$G$999)),"yyyy-mm-dd"),"")))))</f>
        <v>✓</v>
      </c>
      <c r="F17" s="131" t="str">
        <f aca="false">IF($P17="✓","✓",IF(ISNUMBER($P17),TEXT($P17,"yyyy-mm-dd"),IF($A17="","",IF($D17="Lisbonne","",IF(SUMPRODUCT(('Formation Initiale'!$A$2:$A$999=$A17)*('Formation Initiale'!$R$2:$R$999="Terminé"))&gt;0,"✓",IF(SUMPRODUCT(MAX(('Formation Initiale'!$A$2:$A$999=$A17)*'Formation Initiale'!$G$2:$G$999))&gt;0,TEXT(SUMPRODUCT(MAX(('Formation Initiale'!$A$2:$A$999=$A17)*'Formation Initiale'!$G$2:$G$999)),"yyyy-mm-dd"),""))))))</f>
        <v>✓</v>
      </c>
      <c r="G17" s="131" t="str">
        <f aca="false">IF($Q17="✓","✓",IF(ISNUMBER($Q17),TEXT($Q17,"yyyy-mm-dd"),IF($A17="","",IF(SUMPRODUCT(('Agences &amp; Après-vente'!$A$2:$A$1000=$A17)*(('Agences &amp; Après-vente'!$D$2:$D$1000="Agences")+('Agences &amp; Après-vente'!$D$2:$D$1000="Agences et Après-vente"))*('Agences &amp; Après-vente'!$I$2:$I$1000="DONE"))&gt;0,"✓",IF(SUMPRODUCT(MAX(('Agences &amp; Après-vente'!$A$2:$A$1000=$A17)*(('Agences &amp; Après-vente'!$D$2:$D$1000="Agences")+('Agences &amp; Après-vente'!$D$2:$D$1000="Agences et Après-vente"))*'Agences &amp; Après-vente'!$E$2:$E$1000))&gt;0,TEXT(SUMPRODUCT(MAX(('Agences &amp; Après-vente'!$A$2:$A$1000=$A17)*(('Agences &amp; Après-vente'!$D$2:$D$1000="Agences")+('Agences &amp; Après-vente'!$D$2:$D$1000="Agences et Après-vente"))*'Agences &amp; Après-vente'!$E$2:$E$1000)),"yyyy-mm-dd"),"")))))</f>
        <v>✓</v>
      </c>
      <c r="H17" s="131" t="str">
        <f aca="false">IF($R17="✓","✓",IF(ISNUMBER($R17),TEXT($R17,"yyyy-mm-dd"),IF($A17="","",IF($D17="Lisbonne","",IF(SUMPRODUCT(('Agences &amp; Après-vente'!$A$2:$A$1000=$A17)*(('Agences &amp; Après-vente'!$D$2:$D$1000="Agences")+('Agences &amp; Après-vente'!$D$2:$D$1000="Agences et Après-vente"))*('Agences &amp; Après-vente'!$I$2:$I$1000="DONE"))&gt;0,"✓",IF(SUMPRODUCT(MAX(('Agences &amp; Après-vente'!$A$2:$A$1000=$A17)*(('Agences &amp; Après-vente'!$D$2:$D$1000="Agences")+('Agences &amp; Après-vente'!$D$2:$D$1000="Agences et Après-vente"))*'Agences &amp; Après-vente'!$E$2:$E$1000))&gt;0,TEXT(SUMPRODUCT(MAX(('Agences &amp; Après-vente'!$A$2:$A$1000=$A17)*(('Agences &amp; Après-vente'!$D$2:$D$1000="Agences")+('Agences &amp; Après-vente'!$D$2:$D$1000="Agences et Après-vente"))*'Agences &amp; Après-vente'!$E$2:$E$1000)),"yyyy-mm-dd"),""))))))</f>
        <v>✓</v>
      </c>
      <c r="I17" s="131" t="str">
        <f aca="false">IF($S17="✓","✓",IF(ISNUMBER($S17),TEXT($S17,"yyyy-mm-dd"),IF($A17="","",IF(SUMPRODUCT(('Agences &amp; Après-vente'!$A$2:$A$1000=$A17)*(('Agences &amp; Après-vente'!$D$2:$D$1000="Après-vente")+('Agences &amp; Après-vente'!$D$2:$D$1000="Agences et Après-vente"))*('Agences &amp; Après-vente'!$I$2:$I$1000="DONE"))&gt;0,"✓",IF(SUMPRODUCT(MAX(('Agences &amp; Après-vente'!$A$2:$A$1000=$A17)*(('Agences &amp; Après-vente'!$D$2:$D$1000="Après-vente")+('Agences &amp; Après-vente'!$D$2:$D$1000="Agences et Après-vente"))*'Agences &amp; Après-vente'!$E$2:$E$1000))&gt;0,TEXT(SUMPRODUCT(MAX(('Agences &amp; Après-vente'!$A$2:$A$1000=$A17)*(('Agences &amp; Après-vente'!$D$2:$D$1000="Après-vente")+('Agences &amp; Après-vente'!$D$2:$D$1000="Agences et Après-vente"))*'Agences &amp; Après-vente'!$E$2:$E$1000)),"yyyy-mm-dd"),"")))))</f>
        <v>✓</v>
      </c>
      <c r="J17" s="131" t="str">
        <f aca="false">IF($T17="✓","✓",IF(ISNUMBER($T17),TEXT($T17,"yyyy-mm-dd"),IF($A17="","",IF($D17="Lisbonne","",IF(SUMPRODUCT(('Agences &amp; Après-vente'!$A$2:$A$1000=$A17)*(('Agences &amp; Après-vente'!$D$2:$D$1000="Après-vente")+('Agences &amp; Après-vente'!$D$2:$D$1000="Agences et Après-vente"))*('Agences &amp; Après-vente'!$I$2:$I$1000="DONE"))&gt;0,"✓",IF(SUMPRODUCT(MAX(('Agences &amp; Après-vente'!$A$2:$A$1000=$A17)*(('Agences &amp; Après-vente'!$D$2:$D$1000="Après-vente")+('Agences &amp; Après-vente'!$D$2:$D$1000="Agences et Après-vente"))*'Agences &amp; Après-vente'!$E$2:$E$1000))&gt;0,TEXT(SUMPRODUCT(MAX(('Agences &amp; Après-vente'!$A$2:$A$1000=$A17)*(('Agences &amp; Après-vente'!$D$2:$D$1000="Après-vente")+('Agences &amp; Après-vente'!$D$2:$D$1000="Agences et Après-vente"))*'Agences &amp; Après-vente'!$E$2:$E$1000)),"yyyy-mm-dd"),""))))))</f>
        <v>✓</v>
      </c>
      <c r="K17" s="131" t="str">
        <f aca="false">IF($U17="✓","✓",IF(ISNUMBER($U17),TEXT($U17,"yyyy-mm-dd"),IF($D17="Lisbonne","",IF($A17="","",IF(SUMPRODUCT((Evermont!$A$2:$A$1000=$A17)*(Evermont!$Q$2:$Q$1000="Terminé"))&gt;0,"✓",IF(SUMPRODUCT(MAX((Evermont!$A$2:$A$1000=$A17)*Evermont!$F$2:$F$1000))&gt;0,TEXT(SUMPRODUCT(MAX((Evermont!$A$2:$A$1000=$A17)*Evermont!$F$2:$F$1000)),"yyyy-mm-dd"),""))))))</f>
        <v>✓</v>
      </c>
      <c r="L17" s="132" t="n">
        <f aca="false">IF($A17="","",COUNTIF(E17:K17,"✓"))</f>
        <v>7</v>
      </c>
      <c r="M17" s="133" t="s">
        <v>196</v>
      </c>
      <c r="O17" s="134" t="s">
        <v>173</v>
      </c>
      <c r="P17" s="134" t="s">
        <v>173</v>
      </c>
      <c r="Q17" s="134"/>
      <c r="R17" s="134"/>
      <c r="S17" s="134" t="s">
        <v>173</v>
      </c>
      <c r="T17" s="134" t="s">
        <v>173</v>
      </c>
      <c r="U17" s="134" t="s">
        <v>173</v>
      </c>
      <c r="W17" s="135" t="str">
        <f aca="false">IF($A17="","",IF($X17&lt;&gt;"",$X17,IFERROR(INDEX('Formation Initiale'!$B$2:$B$999,MATCH($A17,'Formation Initiale'!$A$2:$A$999,0)),"Général")))</f>
        <v>Général</v>
      </c>
      <c r="X17" s="136"/>
    </row>
    <row r="18" customFormat="false" ht="18" hidden="true" customHeight="true" outlineLevel="0" collapsed="false">
      <c r="A18" s="139" t="s">
        <v>220</v>
      </c>
      <c r="B18" s="128" t="s">
        <v>221</v>
      </c>
      <c r="C18" s="128" t="s">
        <v>222</v>
      </c>
      <c r="D18" s="129" t="s">
        <v>186</v>
      </c>
      <c r="E18" s="130" t="str">
        <f aca="false">IF($O18="✓","✓",IF(ISNUMBER($O18),TEXT($O18,"yyyy-mm-dd"),IF($A18="","",IF(SUMPRODUCT(('Formation Initiale'!$A$2:$A$999=$A18)*('Formation Initiale'!$R$2:$R$999="Terminé"))&gt;0,"✓",IF(SUMPRODUCT(MAX(('Formation Initiale'!$A$2:$A$999=$A18)*'Formation Initiale'!$G$2:$G$999))&gt;0,TEXT(SUMPRODUCT(MAX(('Formation Initiale'!$A$2:$A$999=$A18)*'Formation Initiale'!$G$2:$G$999)),"yyyy-mm-dd"),"")))))</f>
        <v>✓</v>
      </c>
      <c r="F18" s="131" t="str">
        <f aca="false">IF($P18="✓","✓",IF(ISNUMBER($P18),TEXT($P18,"yyyy-mm-dd"),IF($A18="","",IF($D18="Lisbonne","",IF(SUMPRODUCT(('Formation Initiale'!$A$2:$A$999=$A18)*('Formation Initiale'!$R$2:$R$999="Terminé"))&gt;0,"✓",IF(SUMPRODUCT(MAX(('Formation Initiale'!$A$2:$A$999=$A18)*'Formation Initiale'!$G$2:$G$999))&gt;0,TEXT(SUMPRODUCT(MAX(('Formation Initiale'!$A$2:$A$999=$A18)*'Formation Initiale'!$G$2:$G$999)),"yyyy-mm-dd"),""))))))</f>
        <v/>
      </c>
      <c r="G18" s="131" t="str">
        <f aca="false">IF($Q18="✓","✓",IF(ISNUMBER($Q18),TEXT($Q18,"yyyy-mm-dd"),IF($A18="","",IF(SUMPRODUCT(('Agences &amp; Après-vente'!$A$2:$A$1000=$A18)*(('Agences &amp; Après-vente'!$D$2:$D$1000="Agences")+('Agences &amp; Après-vente'!$D$2:$D$1000="Agences et Après-vente"))*('Agences &amp; Après-vente'!$I$2:$I$1000="DONE"))&gt;0,"✓",IF(SUMPRODUCT(MAX(('Agences &amp; Après-vente'!$A$2:$A$1000=$A18)*(('Agences &amp; Après-vente'!$D$2:$D$1000="Agences")+('Agences &amp; Après-vente'!$D$2:$D$1000="Agences et Après-vente"))*'Agences &amp; Après-vente'!$E$2:$E$1000))&gt;0,TEXT(SUMPRODUCT(MAX(('Agences &amp; Après-vente'!$A$2:$A$1000=$A18)*(('Agences &amp; Après-vente'!$D$2:$D$1000="Agences")+('Agences &amp; Après-vente'!$D$2:$D$1000="Agences et Après-vente"))*'Agences &amp; Après-vente'!$E$2:$E$1000)),"yyyy-mm-dd"),"")))))</f>
        <v>✓</v>
      </c>
      <c r="H18" s="131" t="str">
        <f aca="false">IF($R18="✓","✓",IF(ISNUMBER($R18),TEXT($R18,"yyyy-mm-dd"),IF($A18="","",IF($D18="Lisbonne","",IF(SUMPRODUCT(('Agences &amp; Après-vente'!$A$2:$A$1000=$A18)*(('Agences &amp; Après-vente'!$D$2:$D$1000="Agences")+('Agences &amp; Après-vente'!$D$2:$D$1000="Agences et Après-vente"))*('Agences &amp; Après-vente'!$I$2:$I$1000="DONE"))&gt;0,"✓",IF(SUMPRODUCT(MAX(('Agences &amp; Après-vente'!$A$2:$A$1000=$A18)*(('Agences &amp; Après-vente'!$D$2:$D$1000="Agences")+('Agences &amp; Après-vente'!$D$2:$D$1000="Agences et Après-vente"))*'Agences &amp; Après-vente'!$E$2:$E$1000))&gt;0,TEXT(SUMPRODUCT(MAX(('Agences &amp; Après-vente'!$A$2:$A$1000=$A18)*(('Agences &amp; Après-vente'!$D$2:$D$1000="Agences")+('Agences &amp; Après-vente'!$D$2:$D$1000="Agences et Après-vente"))*'Agences &amp; Après-vente'!$E$2:$E$1000)),"yyyy-mm-dd"),""))))))</f>
        <v/>
      </c>
      <c r="I18" s="131" t="str">
        <f aca="false">IF($S18="✓","✓",IF(ISNUMBER($S18),TEXT($S18,"yyyy-mm-dd"),IF($A18="","",IF(SUMPRODUCT(('Agences &amp; Après-vente'!$A$2:$A$1000=$A18)*(('Agences &amp; Après-vente'!$D$2:$D$1000="Après-vente")+('Agences &amp; Après-vente'!$D$2:$D$1000="Agences et Après-vente"))*('Agences &amp; Après-vente'!$I$2:$I$1000="DONE"))&gt;0,"✓",IF(SUMPRODUCT(MAX(('Agences &amp; Après-vente'!$A$2:$A$1000=$A18)*(('Agences &amp; Après-vente'!$D$2:$D$1000="Après-vente")+('Agences &amp; Après-vente'!$D$2:$D$1000="Agences et Après-vente"))*'Agences &amp; Après-vente'!$E$2:$E$1000))&gt;0,TEXT(SUMPRODUCT(MAX(('Agences &amp; Après-vente'!$A$2:$A$1000=$A18)*(('Agences &amp; Après-vente'!$D$2:$D$1000="Après-vente")+('Agences &amp; Après-vente'!$D$2:$D$1000="Agences et Après-vente"))*'Agences &amp; Après-vente'!$E$2:$E$1000)),"yyyy-mm-dd"),"")))))</f>
        <v>✓</v>
      </c>
      <c r="J18" s="131" t="str">
        <f aca="false">IF($T18="✓","✓",IF(ISNUMBER($T18),TEXT($T18,"yyyy-mm-dd"),IF($A18="","",IF($D18="Lisbonne","",IF(SUMPRODUCT(('Agences &amp; Après-vente'!$A$2:$A$1000=$A18)*(('Agences &amp; Après-vente'!$D$2:$D$1000="Après-vente")+('Agences &amp; Après-vente'!$D$2:$D$1000="Agences et Après-vente"))*('Agences &amp; Après-vente'!$I$2:$I$1000="DONE"))&gt;0,"✓",IF(SUMPRODUCT(MAX(('Agences &amp; Après-vente'!$A$2:$A$1000=$A18)*(('Agences &amp; Après-vente'!$D$2:$D$1000="Après-vente")+('Agences &amp; Après-vente'!$D$2:$D$1000="Agences et Après-vente"))*'Agences &amp; Après-vente'!$E$2:$E$1000))&gt;0,TEXT(SUMPRODUCT(MAX(('Agences &amp; Après-vente'!$A$2:$A$1000=$A18)*(('Agences &amp; Après-vente'!$D$2:$D$1000="Après-vente")+('Agences &amp; Après-vente'!$D$2:$D$1000="Agences et Après-vente"))*'Agences &amp; Après-vente'!$E$2:$E$1000)),"yyyy-mm-dd"),""))))))</f>
        <v/>
      </c>
      <c r="K18" s="131" t="str">
        <f aca="false">IF($U18="✓","✓",IF(ISNUMBER($U18),TEXT($U18,"yyyy-mm-dd"),IF($D18="Lisbonne","",IF($A18="","",IF(SUMPRODUCT((Evermont!$A$2:$A$1000=$A18)*(Evermont!$Q$2:$Q$1000="Terminé"))&gt;0,"✓",IF(SUMPRODUCT(MAX((Evermont!$A$2:$A$1000=$A18)*Evermont!$F$2:$F$1000))&gt;0,TEXT(SUMPRODUCT(MAX((Evermont!$A$2:$A$1000=$A18)*Evermont!$F$2:$F$1000)),"yyyy-mm-dd"),""))))))</f>
        <v/>
      </c>
      <c r="L18" s="132" t="n">
        <f aca="false">IF($A18="","",COUNTIF(E18:K18,"✓"))</f>
        <v>3</v>
      </c>
      <c r="M18" s="133" t="s">
        <v>172</v>
      </c>
      <c r="O18" s="134"/>
      <c r="P18" s="134"/>
      <c r="Q18" s="134"/>
      <c r="R18" s="134"/>
      <c r="S18" s="134"/>
      <c r="T18" s="134"/>
      <c r="U18" s="134"/>
      <c r="W18" s="135" t="str">
        <f aca="false">IF($A18="","",IF($X18&lt;&gt;"",$X18,IFERROR(INDEX('Formation Initiale'!$B$2:$B$999,MATCH($A18,'Formation Initiale'!$A$2:$A$999,0)),"Général")))</f>
        <v>OS4</v>
      </c>
      <c r="X18" s="136"/>
    </row>
    <row r="19" customFormat="false" ht="18" hidden="true" customHeight="true" outlineLevel="0" collapsed="false">
      <c r="A19" s="140" t="s">
        <v>223</v>
      </c>
      <c r="B19" s="128" t="s">
        <v>224</v>
      </c>
      <c r="C19" s="128" t="s">
        <v>225</v>
      </c>
      <c r="D19" s="129" t="s">
        <v>186</v>
      </c>
      <c r="E19" s="130" t="str">
        <f aca="false">IF($O19="✓","✓",IF(ISNUMBER($O19),TEXT($O19,"yyyy-mm-dd"),IF($A19="","",IF(SUMPRODUCT(('Formation Initiale'!$A$2:$A$999=$A19)*('Formation Initiale'!$R$2:$R$999="Terminé"))&gt;0,"✓",IF(SUMPRODUCT(MAX(('Formation Initiale'!$A$2:$A$999=$A19)*'Formation Initiale'!$G$2:$G$999))&gt;0,TEXT(SUMPRODUCT(MAX(('Formation Initiale'!$A$2:$A$999=$A19)*'Formation Initiale'!$G$2:$G$999)),"yyyy-mm-dd"),"")))))</f>
        <v>✓</v>
      </c>
      <c r="F19" s="131" t="str">
        <f aca="false">IF($P19="✓","✓",IF(ISNUMBER($P19),TEXT($P19,"yyyy-mm-dd"),IF($A19="","",IF($D19="Lisbonne","",IF(SUMPRODUCT(('Formation Initiale'!$A$2:$A$999=$A19)*('Formation Initiale'!$R$2:$R$999="Terminé"))&gt;0,"✓",IF(SUMPRODUCT(MAX(('Formation Initiale'!$A$2:$A$999=$A19)*'Formation Initiale'!$G$2:$G$999))&gt;0,TEXT(SUMPRODUCT(MAX(('Formation Initiale'!$A$2:$A$999=$A19)*'Formation Initiale'!$G$2:$G$999)),"yyyy-mm-dd"),""))))))</f>
        <v/>
      </c>
      <c r="G19" s="131" t="str">
        <f aca="false">IF($Q19="✓","✓",IF(ISNUMBER($Q19),TEXT($Q19,"yyyy-mm-dd"),IF($A19="","",IF(SUMPRODUCT(('Agences &amp; Après-vente'!$A$2:$A$1000=$A19)*(('Agences &amp; Après-vente'!$D$2:$D$1000="Agences")+('Agences &amp; Après-vente'!$D$2:$D$1000="Agences et Après-vente"))*('Agences &amp; Après-vente'!$I$2:$I$1000="DONE"))&gt;0,"✓",IF(SUMPRODUCT(MAX(('Agences &amp; Après-vente'!$A$2:$A$1000=$A19)*(('Agences &amp; Après-vente'!$D$2:$D$1000="Agences")+('Agences &amp; Après-vente'!$D$2:$D$1000="Agences et Après-vente"))*'Agences &amp; Après-vente'!$E$2:$E$1000))&gt;0,TEXT(SUMPRODUCT(MAX(('Agences &amp; Après-vente'!$A$2:$A$1000=$A19)*(('Agences &amp; Après-vente'!$D$2:$D$1000="Agences")+('Agences &amp; Après-vente'!$D$2:$D$1000="Agences et Après-vente"))*'Agences &amp; Après-vente'!$E$2:$E$1000)),"yyyy-mm-dd"),"")))))</f>
        <v>✓</v>
      </c>
      <c r="H19" s="131" t="str">
        <f aca="false">IF($R19="✓","✓",IF(ISNUMBER($R19),TEXT($R19,"yyyy-mm-dd"),IF($A19="","",IF($D19="Lisbonne","",IF(SUMPRODUCT(('Agences &amp; Après-vente'!$A$2:$A$1000=$A19)*(('Agences &amp; Après-vente'!$D$2:$D$1000="Agences")+('Agences &amp; Après-vente'!$D$2:$D$1000="Agences et Après-vente"))*('Agences &amp; Après-vente'!$I$2:$I$1000="DONE"))&gt;0,"✓",IF(SUMPRODUCT(MAX(('Agences &amp; Après-vente'!$A$2:$A$1000=$A19)*(('Agences &amp; Après-vente'!$D$2:$D$1000="Agences")+('Agences &amp; Après-vente'!$D$2:$D$1000="Agences et Après-vente"))*'Agences &amp; Après-vente'!$E$2:$E$1000))&gt;0,TEXT(SUMPRODUCT(MAX(('Agences &amp; Après-vente'!$A$2:$A$1000=$A19)*(('Agences &amp; Après-vente'!$D$2:$D$1000="Agences")+('Agences &amp; Après-vente'!$D$2:$D$1000="Agences et Après-vente"))*'Agences &amp; Après-vente'!$E$2:$E$1000)),"yyyy-mm-dd"),""))))))</f>
        <v/>
      </c>
      <c r="I19" s="131" t="str">
        <f aca="false">IF($S19="✓","✓",IF(ISNUMBER($S19),TEXT($S19,"yyyy-mm-dd"),IF($A19="","",IF(SUMPRODUCT(('Agences &amp; Après-vente'!$A$2:$A$1000=$A19)*(('Agences &amp; Après-vente'!$D$2:$D$1000="Après-vente")+('Agences &amp; Après-vente'!$D$2:$D$1000="Agences et Après-vente"))*('Agences &amp; Après-vente'!$I$2:$I$1000="DONE"))&gt;0,"✓",IF(SUMPRODUCT(MAX(('Agences &amp; Après-vente'!$A$2:$A$1000=$A19)*(('Agences &amp; Après-vente'!$D$2:$D$1000="Après-vente")+('Agences &amp; Après-vente'!$D$2:$D$1000="Agences et Après-vente"))*'Agences &amp; Après-vente'!$E$2:$E$1000))&gt;0,TEXT(SUMPRODUCT(MAX(('Agences &amp; Après-vente'!$A$2:$A$1000=$A19)*(('Agences &amp; Après-vente'!$D$2:$D$1000="Après-vente")+('Agences &amp; Après-vente'!$D$2:$D$1000="Agences et Après-vente"))*'Agences &amp; Après-vente'!$E$2:$E$1000)),"yyyy-mm-dd"),"")))))</f>
        <v>✓</v>
      </c>
      <c r="J19" s="131" t="str">
        <f aca="false">IF($T19="✓","✓",IF(ISNUMBER($T19),TEXT($T19,"yyyy-mm-dd"),IF($A19="","",IF($D19="Lisbonne","",IF(SUMPRODUCT(('Agences &amp; Après-vente'!$A$2:$A$1000=$A19)*(('Agences &amp; Après-vente'!$D$2:$D$1000="Après-vente")+('Agences &amp; Après-vente'!$D$2:$D$1000="Agences et Après-vente"))*('Agences &amp; Après-vente'!$I$2:$I$1000="DONE"))&gt;0,"✓",IF(SUMPRODUCT(MAX(('Agences &amp; Après-vente'!$A$2:$A$1000=$A19)*(('Agences &amp; Après-vente'!$D$2:$D$1000="Après-vente")+('Agences &amp; Après-vente'!$D$2:$D$1000="Agences et Après-vente"))*'Agences &amp; Après-vente'!$E$2:$E$1000))&gt;0,TEXT(SUMPRODUCT(MAX(('Agences &amp; Après-vente'!$A$2:$A$1000=$A19)*(('Agences &amp; Après-vente'!$D$2:$D$1000="Après-vente")+('Agences &amp; Après-vente'!$D$2:$D$1000="Agences et Après-vente"))*'Agences &amp; Après-vente'!$E$2:$E$1000)),"yyyy-mm-dd"),""))))))</f>
        <v/>
      </c>
      <c r="K19" s="131" t="str">
        <f aca="false">IF($U19="✓","✓",IF(ISNUMBER($U19),TEXT($U19,"yyyy-mm-dd"),IF($D19="Lisbonne","",IF($A19="","",IF(SUMPRODUCT((Evermont!$A$2:$A$1000=$A19)*(Evermont!$Q$2:$Q$1000="Terminé"))&gt;0,"✓",IF(SUMPRODUCT(MAX((Evermont!$A$2:$A$1000=$A19)*Evermont!$F$2:$F$1000))&gt;0,TEXT(SUMPRODUCT(MAX((Evermont!$A$2:$A$1000=$A19)*Evermont!$F$2:$F$1000)),"yyyy-mm-dd"),""))))))</f>
        <v/>
      </c>
      <c r="L19" s="132" t="n">
        <f aca="false">IF($A19="","",COUNTIF(E19:K19,"✓"))</f>
        <v>3</v>
      </c>
      <c r="M19" s="133" t="s">
        <v>172</v>
      </c>
      <c r="O19" s="134" t="s">
        <v>173</v>
      </c>
      <c r="P19" s="134"/>
      <c r="Q19" s="134"/>
      <c r="R19" s="134"/>
      <c r="S19" s="134"/>
      <c r="T19" s="134"/>
      <c r="U19" s="134"/>
      <c r="W19" s="135" t="str">
        <f aca="false">IF($A19="","",IF($X19&lt;&gt;"",$X19,IFERROR(INDEX('Formation Initiale'!$B$2:$B$999,MATCH($A19,'Formation Initiale'!$A$2:$A$999,0)),"Général")))</f>
        <v>OS1</v>
      </c>
      <c r="X19" s="136"/>
    </row>
    <row r="20" customFormat="false" ht="18" hidden="true" customHeight="true" outlineLevel="0" collapsed="false">
      <c r="A20" s="127" t="s">
        <v>226</v>
      </c>
      <c r="B20" s="128" t="s">
        <v>227</v>
      </c>
      <c r="C20" s="128" t="s">
        <v>228</v>
      </c>
      <c r="D20" s="129" t="s">
        <v>171</v>
      </c>
      <c r="E20" s="130" t="str">
        <f aca="false">IF($O20="✓","✓",IF(ISNUMBER($O20),TEXT($O20,"yyyy-mm-dd"),IF($A20="","",IF(SUMPRODUCT(('Formation Initiale'!$A$2:$A$999=$A20)*('Formation Initiale'!$R$2:$R$999="Terminé"))&gt;0,"✓",IF(SUMPRODUCT(MAX(('Formation Initiale'!$A$2:$A$999=$A20)*'Formation Initiale'!$G$2:$G$999))&gt;0,TEXT(SUMPRODUCT(MAX(('Formation Initiale'!$A$2:$A$999=$A20)*'Formation Initiale'!$G$2:$G$999)),"yyyy-mm-dd"),"")))))</f>
        <v>✓</v>
      </c>
      <c r="F20" s="131" t="str">
        <f aca="false">IF($P20="✓","✓",IF(ISNUMBER($P20),TEXT($P20,"yyyy-mm-dd"),IF($A20="","",IF($D20="Lisbonne","",IF(SUMPRODUCT(('Formation Initiale'!$A$2:$A$999=$A20)*('Formation Initiale'!$R$2:$R$999="Terminé"))&gt;0,"✓",IF(SUMPRODUCT(MAX(('Formation Initiale'!$A$2:$A$999=$A20)*'Formation Initiale'!$G$2:$G$999))&gt;0,TEXT(SUMPRODUCT(MAX(('Formation Initiale'!$A$2:$A$999=$A20)*'Formation Initiale'!$G$2:$G$999)),"yyyy-mm-dd"),""))))))</f>
        <v>✓</v>
      </c>
      <c r="G20" s="131" t="str">
        <f aca="false">IF($Q20="✓","✓",IF(ISNUMBER($Q20),TEXT($Q20,"yyyy-mm-dd"),IF($A20="","",IF(SUMPRODUCT(('Agences &amp; Après-vente'!$A$2:$A$1000=$A20)*(('Agences &amp; Après-vente'!$D$2:$D$1000="Agences")+('Agences &amp; Après-vente'!$D$2:$D$1000="Agences et Après-vente"))*('Agences &amp; Après-vente'!$I$2:$I$1000="DONE"))&gt;0,"✓",IF(SUMPRODUCT(MAX(('Agences &amp; Après-vente'!$A$2:$A$1000=$A20)*(('Agences &amp; Après-vente'!$D$2:$D$1000="Agences")+('Agences &amp; Après-vente'!$D$2:$D$1000="Agences et Après-vente"))*'Agences &amp; Après-vente'!$E$2:$E$1000))&gt;0,TEXT(SUMPRODUCT(MAX(('Agences &amp; Après-vente'!$A$2:$A$1000=$A20)*(('Agences &amp; Après-vente'!$D$2:$D$1000="Agences")+('Agences &amp; Après-vente'!$D$2:$D$1000="Agences et Après-vente"))*'Agences &amp; Après-vente'!$E$2:$E$1000)),"yyyy-mm-dd"),"")))))</f>
        <v>✓</v>
      </c>
      <c r="H20" s="131" t="str">
        <f aca="false">IF($R20="✓","✓",IF(ISNUMBER($R20),TEXT($R20,"yyyy-mm-dd"),IF($A20="","",IF($D20="Lisbonne","",IF(SUMPRODUCT(('Agences &amp; Après-vente'!$A$2:$A$1000=$A20)*(('Agences &amp; Après-vente'!$D$2:$D$1000="Agences")+('Agences &amp; Après-vente'!$D$2:$D$1000="Agences et Après-vente"))*('Agences &amp; Après-vente'!$I$2:$I$1000="DONE"))&gt;0,"✓",IF(SUMPRODUCT(MAX(('Agences &amp; Après-vente'!$A$2:$A$1000=$A20)*(('Agences &amp; Après-vente'!$D$2:$D$1000="Agences")+('Agences &amp; Après-vente'!$D$2:$D$1000="Agences et Après-vente"))*'Agences &amp; Après-vente'!$E$2:$E$1000))&gt;0,TEXT(SUMPRODUCT(MAX(('Agences &amp; Après-vente'!$A$2:$A$1000=$A20)*(('Agences &amp; Après-vente'!$D$2:$D$1000="Agences")+('Agences &amp; Après-vente'!$D$2:$D$1000="Agences et Après-vente"))*'Agences &amp; Après-vente'!$E$2:$E$1000)),"yyyy-mm-dd"),""))))))</f>
        <v>✓</v>
      </c>
      <c r="I20" s="131" t="str">
        <f aca="false">IF($S20="✓","✓",IF(ISNUMBER($S20),TEXT($S20,"yyyy-mm-dd"),IF($A20="","",IF(SUMPRODUCT(('Agences &amp; Après-vente'!$A$2:$A$1000=$A20)*(('Agences &amp; Après-vente'!$D$2:$D$1000="Après-vente")+('Agences &amp; Après-vente'!$D$2:$D$1000="Agences et Après-vente"))*('Agences &amp; Après-vente'!$I$2:$I$1000="DONE"))&gt;0,"✓",IF(SUMPRODUCT(MAX(('Agences &amp; Après-vente'!$A$2:$A$1000=$A20)*(('Agences &amp; Après-vente'!$D$2:$D$1000="Après-vente")+('Agences &amp; Après-vente'!$D$2:$D$1000="Agences et Après-vente"))*'Agences &amp; Après-vente'!$E$2:$E$1000))&gt;0,TEXT(SUMPRODUCT(MAX(('Agences &amp; Après-vente'!$A$2:$A$1000=$A20)*(('Agences &amp; Après-vente'!$D$2:$D$1000="Après-vente")+('Agences &amp; Après-vente'!$D$2:$D$1000="Agences et Après-vente"))*'Agences &amp; Après-vente'!$E$2:$E$1000)),"yyyy-mm-dd"),"")))))</f>
        <v>✓</v>
      </c>
      <c r="J20" s="131" t="str">
        <f aca="false">IF($T20="✓","✓",IF(ISNUMBER($T20),TEXT($T20,"yyyy-mm-dd"),IF($A20="","",IF($D20="Lisbonne","",IF(SUMPRODUCT(('Agences &amp; Après-vente'!$A$2:$A$1000=$A20)*(('Agences &amp; Après-vente'!$D$2:$D$1000="Après-vente")+('Agences &amp; Après-vente'!$D$2:$D$1000="Agences et Après-vente"))*('Agences &amp; Après-vente'!$I$2:$I$1000="DONE"))&gt;0,"✓",IF(SUMPRODUCT(MAX(('Agences &amp; Après-vente'!$A$2:$A$1000=$A20)*(('Agences &amp; Après-vente'!$D$2:$D$1000="Après-vente")+('Agences &amp; Après-vente'!$D$2:$D$1000="Agences et Après-vente"))*'Agences &amp; Après-vente'!$E$2:$E$1000))&gt;0,TEXT(SUMPRODUCT(MAX(('Agences &amp; Après-vente'!$A$2:$A$1000=$A20)*(('Agences &amp; Après-vente'!$D$2:$D$1000="Après-vente")+('Agences &amp; Après-vente'!$D$2:$D$1000="Agences et Après-vente"))*'Agences &amp; Après-vente'!$E$2:$E$1000)),"yyyy-mm-dd"),""))))))</f>
        <v>✓</v>
      </c>
      <c r="K20" s="131" t="str">
        <f aca="false">IF($U20="✓","✓",IF(ISNUMBER($U20),TEXT($U20,"yyyy-mm-dd"),IF($D20="Lisbonne","",IF($A20="","",IF(SUMPRODUCT((Evermont!$A$2:$A$1000=$A20)*(Evermont!$Q$2:$Q$1000="Terminé"))&gt;0,"✓",IF(SUMPRODUCT(MAX((Evermont!$A$2:$A$1000=$A20)*Evermont!$F$2:$F$1000))&gt;0,TEXT(SUMPRODUCT(MAX((Evermont!$A$2:$A$1000=$A20)*Evermont!$F$2:$F$1000)),"yyyy-mm-dd"),""))))))</f>
        <v>✓</v>
      </c>
      <c r="L20" s="132" t="n">
        <f aca="false">IF($A20="","",COUNTIF(E20:K20,"✓"))</f>
        <v>7</v>
      </c>
      <c r="M20" s="133" t="s">
        <v>172</v>
      </c>
      <c r="O20" s="134" t="s">
        <v>173</v>
      </c>
      <c r="P20" s="134" t="s">
        <v>173</v>
      </c>
      <c r="Q20" s="134" t="s">
        <v>173</v>
      </c>
      <c r="R20" s="134" t="s">
        <v>173</v>
      </c>
      <c r="S20" s="134" t="s">
        <v>173</v>
      </c>
      <c r="T20" s="134" t="s">
        <v>173</v>
      </c>
      <c r="U20" s="134" t="s">
        <v>173</v>
      </c>
      <c r="W20" s="135" t="str">
        <f aca="false">IF($A20="","",IF($X20&lt;&gt;"",$X20,IFERROR(INDEX('Formation Initiale'!$B$2:$B$999,MATCH($A20,'Formation Initiale'!$A$2:$A$999,0)),"Général")))</f>
        <v>Général</v>
      </c>
      <c r="X20" s="136"/>
    </row>
    <row r="21" customFormat="false" ht="18" hidden="true" customHeight="true" outlineLevel="0" collapsed="false">
      <c r="A21" s="127" t="s">
        <v>229</v>
      </c>
      <c r="B21" s="128" t="s">
        <v>230</v>
      </c>
      <c r="C21" s="128" t="s">
        <v>231</v>
      </c>
      <c r="D21" s="129" t="s">
        <v>171</v>
      </c>
      <c r="E21" s="130" t="str">
        <f aca="false">IF($O21="✓","✓",IF(ISNUMBER($O21),TEXT($O21,"yyyy-mm-dd"),IF($A21="","",IF(SUMPRODUCT(('Formation Initiale'!$A$2:$A$999=$A21)*('Formation Initiale'!$R$2:$R$999="Terminé"))&gt;0,"✓",IF(SUMPRODUCT(MAX(('Formation Initiale'!$A$2:$A$999=$A21)*'Formation Initiale'!$G$2:$G$999))&gt;0,TEXT(SUMPRODUCT(MAX(('Formation Initiale'!$A$2:$A$999=$A21)*'Formation Initiale'!$G$2:$G$999)),"yyyy-mm-dd"),"")))))</f>
        <v>✓</v>
      </c>
      <c r="F21" s="131" t="str">
        <f aca="false">IF($P21="✓","✓",IF(ISNUMBER($P21),TEXT($P21,"yyyy-mm-dd"),IF($A21="","",IF($D21="Lisbonne","",IF(SUMPRODUCT(('Formation Initiale'!$A$2:$A$999=$A21)*('Formation Initiale'!$R$2:$R$999="Terminé"))&gt;0,"✓",IF(SUMPRODUCT(MAX(('Formation Initiale'!$A$2:$A$999=$A21)*'Formation Initiale'!$G$2:$G$999))&gt;0,TEXT(SUMPRODUCT(MAX(('Formation Initiale'!$A$2:$A$999=$A21)*'Formation Initiale'!$G$2:$G$999)),"yyyy-mm-dd"),""))))))</f>
        <v>✓</v>
      </c>
      <c r="G21" s="131" t="str">
        <f aca="false">IF($Q21="✓","✓",IF(ISNUMBER($Q21),TEXT($Q21,"yyyy-mm-dd"),IF($A21="","",IF(SUMPRODUCT(('Agences &amp; Après-vente'!$A$2:$A$1000=$A21)*(('Agences &amp; Après-vente'!$D$2:$D$1000="Agences")+('Agences &amp; Après-vente'!$D$2:$D$1000="Agences et Après-vente"))*('Agences &amp; Après-vente'!$I$2:$I$1000="DONE"))&gt;0,"✓",IF(SUMPRODUCT(MAX(('Agences &amp; Après-vente'!$A$2:$A$1000=$A21)*(('Agences &amp; Après-vente'!$D$2:$D$1000="Agences")+('Agences &amp; Après-vente'!$D$2:$D$1000="Agences et Après-vente"))*'Agences &amp; Après-vente'!$E$2:$E$1000))&gt;0,TEXT(SUMPRODUCT(MAX(('Agences &amp; Après-vente'!$A$2:$A$1000=$A21)*(('Agences &amp; Après-vente'!$D$2:$D$1000="Agences")+('Agences &amp; Après-vente'!$D$2:$D$1000="Agences et Après-vente"))*'Agences &amp; Après-vente'!$E$2:$E$1000)),"yyyy-mm-dd"),"")))))</f>
        <v>✓</v>
      </c>
      <c r="H21" s="131" t="str">
        <f aca="false">IF($R21="✓","✓",IF(ISNUMBER($R21),TEXT($R21,"yyyy-mm-dd"),IF($A21="","",IF($D21="Lisbonne","",IF(SUMPRODUCT(('Agences &amp; Après-vente'!$A$2:$A$1000=$A21)*(('Agences &amp; Après-vente'!$D$2:$D$1000="Agences")+('Agences &amp; Après-vente'!$D$2:$D$1000="Agences et Après-vente"))*('Agences &amp; Après-vente'!$I$2:$I$1000="DONE"))&gt;0,"✓",IF(SUMPRODUCT(MAX(('Agences &amp; Après-vente'!$A$2:$A$1000=$A21)*(('Agences &amp; Après-vente'!$D$2:$D$1000="Agences")+('Agences &amp; Après-vente'!$D$2:$D$1000="Agences et Après-vente"))*'Agences &amp; Après-vente'!$E$2:$E$1000))&gt;0,TEXT(SUMPRODUCT(MAX(('Agences &amp; Après-vente'!$A$2:$A$1000=$A21)*(('Agences &amp; Après-vente'!$D$2:$D$1000="Agences")+('Agences &amp; Après-vente'!$D$2:$D$1000="Agences et Après-vente"))*'Agences &amp; Après-vente'!$E$2:$E$1000)),"yyyy-mm-dd"),""))))))</f>
        <v>✓</v>
      </c>
      <c r="I21" s="131" t="str">
        <f aca="false">IF($S21="✓","✓",IF(ISNUMBER($S21),TEXT($S21,"yyyy-mm-dd"),IF($A21="","",IF(SUMPRODUCT(('Agences &amp; Après-vente'!$A$2:$A$1000=$A21)*(('Agences &amp; Après-vente'!$D$2:$D$1000="Après-vente")+('Agences &amp; Après-vente'!$D$2:$D$1000="Agences et Après-vente"))*('Agences &amp; Après-vente'!$I$2:$I$1000="DONE"))&gt;0,"✓",IF(SUMPRODUCT(MAX(('Agences &amp; Après-vente'!$A$2:$A$1000=$A21)*(('Agences &amp; Après-vente'!$D$2:$D$1000="Après-vente")+('Agences &amp; Après-vente'!$D$2:$D$1000="Agences et Après-vente"))*'Agences &amp; Après-vente'!$E$2:$E$1000))&gt;0,TEXT(SUMPRODUCT(MAX(('Agences &amp; Après-vente'!$A$2:$A$1000=$A21)*(('Agences &amp; Après-vente'!$D$2:$D$1000="Après-vente")+('Agences &amp; Après-vente'!$D$2:$D$1000="Agences et Après-vente"))*'Agences &amp; Après-vente'!$E$2:$E$1000)),"yyyy-mm-dd"),"")))))</f>
        <v>✓</v>
      </c>
      <c r="J21" s="131" t="str">
        <f aca="false">IF($T21="✓","✓",IF(ISNUMBER($T21),TEXT($T21,"yyyy-mm-dd"),IF($A21="","",IF($D21="Lisbonne","",IF(SUMPRODUCT(('Agences &amp; Après-vente'!$A$2:$A$1000=$A21)*(('Agences &amp; Après-vente'!$D$2:$D$1000="Après-vente")+('Agences &amp; Après-vente'!$D$2:$D$1000="Agences et Après-vente"))*('Agences &amp; Après-vente'!$I$2:$I$1000="DONE"))&gt;0,"✓",IF(SUMPRODUCT(MAX(('Agences &amp; Après-vente'!$A$2:$A$1000=$A21)*(('Agences &amp; Après-vente'!$D$2:$D$1000="Après-vente")+('Agences &amp; Après-vente'!$D$2:$D$1000="Agences et Après-vente"))*'Agences &amp; Après-vente'!$E$2:$E$1000))&gt;0,TEXT(SUMPRODUCT(MAX(('Agences &amp; Après-vente'!$A$2:$A$1000=$A21)*(('Agences &amp; Après-vente'!$D$2:$D$1000="Après-vente")+('Agences &amp; Après-vente'!$D$2:$D$1000="Agences et Après-vente"))*'Agences &amp; Après-vente'!$E$2:$E$1000)),"yyyy-mm-dd"),""))))))</f>
        <v>✓</v>
      </c>
      <c r="K21" s="131" t="str">
        <f aca="false">IF($U21="✓","✓",IF(ISNUMBER($U21),TEXT($U21,"yyyy-mm-dd"),IF($D21="Lisbonne","",IF($A21="","",IF(SUMPRODUCT((Evermont!$A$2:$A$1000=$A21)*(Evermont!$Q$2:$Q$1000="Terminé"))&gt;0,"✓",IF(SUMPRODUCT(MAX((Evermont!$A$2:$A$1000=$A21)*Evermont!$F$2:$F$1000))&gt;0,TEXT(SUMPRODUCT(MAX((Evermont!$A$2:$A$1000=$A21)*Evermont!$F$2:$F$1000)),"yyyy-mm-dd"),""))))))</f>
        <v>✓</v>
      </c>
      <c r="L21" s="132" t="n">
        <f aca="false">IF($A21="","",COUNTIF(E21:K21,"✓"))</f>
        <v>7</v>
      </c>
      <c r="M21" s="133" t="s">
        <v>172</v>
      </c>
      <c r="O21" s="134" t="s">
        <v>173</v>
      </c>
      <c r="P21" s="134" t="s">
        <v>173</v>
      </c>
      <c r="Q21" s="134"/>
      <c r="R21" s="134"/>
      <c r="S21" s="134"/>
      <c r="T21" s="134"/>
      <c r="U21" s="134"/>
      <c r="W21" s="135" t="str">
        <f aca="false">IF($A21="","",IF($X21&lt;&gt;"",$X21,IFERROR(INDEX('Formation Initiale'!$B$2:$B$999,MATCH($A21,'Formation Initiale'!$A$2:$A$999,0)),"Général")))</f>
        <v>174</v>
      </c>
      <c r="X21" s="136"/>
    </row>
    <row r="22" customFormat="false" ht="18" hidden="true" customHeight="true" outlineLevel="0" collapsed="false">
      <c r="A22" s="137" t="s">
        <v>232</v>
      </c>
      <c r="B22" s="128" t="s">
        <v>233</v>
      </c>
      <c r="C22" s="128" t="s">
        <v>234</v>
      </c>
      <c r="D22" s="129" t="s">
        <v>186</v>
      </c>
      <c r="E22" s="130" t="str">
        <f aca="false">IF($O22="✓","✓",IF(ISNUMBER($O22),TEXT($O22,"yyyy-mm-dd"),IF($A22="","",IF(SUMPRODUCT(('Formation Initiale'!$A$2:$A$999=$A22)*('Formation Initiale'!$R$2:$R$999="Terminé"))&gt;0,"✓",IF(SUMPRODUCT(MAX(('Formation Initiale'!$A$2:$A$999=$A22)*'Formation Initiale'!$G$2:$G$999))&gt;0,TEXT(SUMPRODUCT(MAX(('Formation Initiale'!$A$2:$A$999=$A22)*'Formation Initiale'!$G$2:$G$999)),"yyyy-mm-dd"),"")))))</f>
        <v>✓</v>
      </c>
      <c r="F22" s="131" t="str">
        <f aca="false">IF($P22="✓","✓",IF(ISNUMBER($P22),TEXT($P22,"yyyy-mm-dd"),IF($A22="","",IF($D22="Lisbonne","",IF(SUMPRODUCT(('Formation Initiale'!$A$2:$A$999=$A22)*('Formation Initiale'!$R$2:$R$999="Terminé"))&gt;0,"✓",IF(SUMPRODUCT(MAX(('Formation Initiale'!$A$2:$A$999=$A22)*'Formation Initiale'!$G$2:$G$999))&gt;0,TEXT(SUMPRODUCT(MAX(('Formation Initiale'!$A$2:$A$999=$A22)*'Formation Initiale'!$G$2:$G$999)),"yyyy-mm-dd"),""))))))</f>
        <v/>
      </c>
      <c r="G22" s="131" t="str">
        <f aca="false">IF($Q22="✓","✓",IF(ISNUMBER($Q22),TEXT($Q22,"yyyy-mm-dd"),IF($A22="","",IF(SUMPRODUCT(('Agences &amp; Après-vente'!$A$2:$A$1000=$A22)*(('Agences &amp; Après-vente'!$D$2:$D$1000="Agences")+('Agences &amp; Après-vente'!$D$2:$D$1000="Agences et Après-vente"))*('Agences &amp; Après-vente'!$I$2:$I$1000="DONE"))&gt;0,"✓",IF(SUMPRODUCT(MAX(('Agences &amp; Après-vente'!$A$2:$A$1000=$A22)*(('Agences &amp; Après-vente'!$D$2:$D$1000="Agences")+('Agences &amp; Après-vente'!$D$2:$D$1000="Agences et Après-vente"))*'Agences &amp; Après-vente'!$E$2:$E$1000))&gt;0,TEXT(SUMPRODUCT(MAX(('Agences &amp; Après-vente'!$A$2:$A$1000=$A22)*(('Agences &amp; Après-vente'!$D$2:$D$1000="Agences")+('Agences &amp; Après-vente'!$D$2:$D$1000="Agences et Après-vente"))*'Agences &amp; Après-vente'!$E$2:$E$1000)),"yyyy-mm-dd"),"")))))</f>
        <v/>
      </c>
      <c r="H22" s="131" t="str">
        <f aca="false">IF($R22="✓","✓",IF(ISNUMBER($R22),TEXT($R22,"yyyy-mm-dd"),IF($A22="","",IF($D22="Lisbonne","",IF(SUMPRODUCT(('Agences &amp; Après-vente'!$A$2:$A$1000=$A22)*(('Agences &amp; Après-vente'!$D$2:$D$1000="Agences")+('Agences &amp; Après-vente'!$D$2:$D$1000="Agences et Après-vente"))*('Agences &amp; Après-vente'!$I$2:$I$1000="DONE"))&gt;0,"✓",IF(SUMPRODUCT(MAX(('Agences &amp; Après-vente'!$A$2:$A$1000=$A22)*(('Agences &amp; Après-vente'!$D$2:$D$1000="Agences")+('Agences &amp; Après-vente'!$D$2:$D$1000="Agences et Après-vente"))*'Agences &amp; Après-vente'!$E$2:$E$1000))&gt;0,TEXT(SUMPRODUCT(MAX(('Agences &amp; Après-vente'!$A$2:$A$1000=$A22)*(('Agences &amp; Après-vente'!$D$2:$D$1000="Agences")+('Agences &amp; Après-vente'!$D$2:$D$1000="Agences et Après-vente"))*'Agences &amp; Après-vente'!$E$2:$E$1000)),"yyyy-mm-dd"),""))))))</f>
        <v/>
      </c>
      <c r="I22" s="131" t="str">
        <f aca="false">IF($S22="✓","✓",IF(ISNUMBER($S22),TEXT($S22,"yyyy-mm-dd"),IF($A22="","",IF(SUMPRODUCT(('Agences &amp; Après-vente'!$A$2:$A$1000=$A22)*(('Agences &amp; Après-vente'!$D$2:$D$1000="Après-vente")+('Agences &amp; Après-vente'!$D$2:$D$1000="Agences et Après-vente"))*('Agences &amp; Après-vente'!$I$2:$I$1000="DONE"))&gt;0,"✓",IF(SUMPRODUCT(MAX(('Agences &amp; Après-vente'!$A$2:$A$1000=$A22)*(('Agences &amp; Après-vente'!$D$2:$D$1000="Après-vente")+('Agences &amp; Après-vente'!$D$2:$D$1000="Agences et Après-vente"))*'Agences &amp; Après-vente'!$E$2:$E$1000))&gt;0,TEXT(SUMPRODUCT(MAX(('Agences &amp; Après-vente'!$A$2:$A$1000=$A22)*(('Agences &amp; Après-vente'!$D$2:$D$1000="Après-vente")+('Agences &amp; Après-vente'!$D$2:$D$1000="Agences et Après-vente"))*'Agences &amp; Après-vente'!$E$2:$E$1000)),"yyyy-mm-dd"),"")))))</f>
        <v/>
      </c>
      <c r="J22" s="131" t="str">
        <f aca="false">IF($T22="✓","✓",IF(ISNUMBER($T22),TEXT($T22,"yyyy-mm-dd"),IF($A22="","",IF($D22="Lisbonne","",IF(SUMPRODUCT(('Agences &amp; Après-vente'!$A$2:$A$1000=$A22)*(('Agences &amp; Après-vente'!$D$2:$D$1000="Après-vente")+('Agences &amp; Après-vente'!$D$2:$D$1000="Agences et Après-vente"))*('Agences &amp; Après-vente'!$I$2:$I$1000="DONE"))&gt;0,"✓",IF(SUMPRODUCT(MAX(('Agences &amp; Après-vente'!$A$2:$A$1000=$A22)*(('Agences &amp; Après-vente'!$D$2:$D$1000="Après-vente")+('Agences &amp; Après-vente'!$D$2:$D$1000="Agences et Après-vente"))*'Agences &amp; Après-vente'!$E$2:$E$1000))&gt;0,TEXT(SUMPRODUCT(MAX(('Agences &amp; Après-vente'!$A$2:$A$1000=$A22)*(('Agences &amp; Après-vente'!$D$2:$D$1000="Après-vente")+('Agences &amp; Après-vente'!$D$2:$D$1000="Agences et Après-vente"))*'Agences &amp; Après-vente'!$E$2:$E$1000)),"yyyy-mm-dd"),""))))))</f>
        <v/>
      </c>
      <c r="K22" s="131" t="str">
        <f aca="false">IF($U22="✓","✓",IF(ISNUMBER($U22),TEXT($U22,"yyyy-mm-dd"),IF($D22="Lisbonne","",IF($A22="","",IF(SUMPRODUCT((Evermont!$A$2:$A$1000=$A22)*(Evermont!$Q$2:$Q$1000="Terminé"))&gt;0,"✓",IF(SUMPRODUCT(MAX((Evermont!$A$2:$A$1000=$A22)*Evermont!$F$2:$F$1000))&gt;0,TEXT(SUMPRODUCT(MAX((Evermont!$A$2:$A$1000=$A22)*Evermont!$F$2:$F$1000)),"yyyy-mm-dd"),""))))))</f>
        <v/>
      </c>
      <c r="L22" s="132" t="n">
        <f aca="false">IF($A22="","",COUNTIF(E22:K22,"✓"))</f>
        <v>1</v>
      </c>
      <c r="M22" s="133" t="s">
        <v>196</v>
      </c>
      <c r="O22" s="134"/>
      <c r="P22" s="134"/>
      <c r="Q22" s="134"/>
      <c r="R22" s="134"/>
      <c r="S22" s="134"/>
      <c r="T22" s="134"/>
      <c r="U22" s="134"/>
      <c r="W22" s="135" t="str">
        <f aca="false">IF($A22="","",IF($X22&lt;&gt;"",$X22,IFERROR(INDEX('Formation Initiale'!$B$2:$B$999,MATCH($A22,'Formation Initiale'!$A$2:$A$999,0)),"Général")))</f>
        <v>OS1</v>
      </c>
      <c r="X22" s="136"/>
    </row>
    <row r="23" customFormat="false" ht="18" hidden="true" customHeight="true" outlineLevel="0" collapsed="false">
      <c r="A23" s="127" t="s">
        <v>235</v>
      </c>
      <c r="B23" s="128" t="s">
        <v>236</v>
      </c>
      <c r="C23" s="128" t="s">
        <v>237</v>
      </c>
      <c r="D23" s="129" t="s">
        <v>171</v>
      </c>
      <c r="E23" s="130" t="str">
        <f aca="false">IF($O23="✓","✓",IF(ISNUMBER($O23),TEXT($O23,"yyyy-mm-dd"),IF($A23="","",IF(SUMPRODUCT(('Formation Initiale'!$A$2:$A$999=$A23)*('Formation Initiale'!$R$2:$R$999="Terminé"))&gt;0,"✓",IF(SUMPRODUCT(MAX(('Formation Initiale'!$A$2:$A$999=$A23)*'Formation Initiale'!$G$2:$G$999))&gt;0,TEXT(SUMPRODUCT(MAX(('Formation Initiale'!$A$2:$A$999=$A23)*'Formation Initiale'!$G$2:$G$999)),"yyyy-mm-dd"),"")))))</f>
        <v>✓</v>
      </c>
      <c r="F23" s="131" t="str">
        <f aca="false">IF($P23="✓","✓",IF(ISNUMBER($P23),TEXT($P23,"yyyy-mm-dd"),IF($A23="","",IF($D23="Lisbonne","",IF(SUMPRODUCT(('Formation Initiale'!$A$2:$A$999=$A23)*('Formation Initiale'!$R$2:$R$999="Terminé"))&gt;0,"✓",IF(SUMPRODUCT(MAX(('Formation Initiale'!$A$2:$A$999=$A23)*'Formation Initiale'!$G$2:$G$999))&gt;0,TEXT(SUMPRODUCT(MAX(('Formation Initiale'!$A$2:$A$999=$A23)*'Formation Initiale'!$G$2:$G$999)),"yyyy-mm-dd"),""))))))</f>
        <v>✓</v>
      </c>
      <c r="G23" s="131" t="str">
        <f aca="false">IF($Q23="✓","✓",IF(ISNUMBER($Q23),TEXT($Q23,"yyyy-mm-dd"),IF($A23="","",IF(SUMPRODUCT(('Agences &amp; Après-vente'!$A$2:$A$1000=$A23)*(('Agences &amp; Après-vente'!$D$2:$D$1000="Agences")+('Agences &amp; Après-vente'!$D$2:$D$1000="Agences et Après-vente"))*('Agences &amp; Après-vente'!$I$2:$I$1000="DONE"))&gt;0,"✓",IF(SUMPRODUCT(MAX(('Agences &amp; Après-vente'!$A$2:$A$1000=$A23)*(('Agences &amp; Après-vente'!$D$2:$D$1000="Agences")+('Agences &amp; Après-vente'!$D$2:$D$1000="Agences et Après-vente"))*'Agences &amp; Après-vente'!$E$2:$E$1000))&gt;0,TEXT(SUMPRODUCT(MAX(('Agences &amp; Après-vente'!$A$2:$A$1000=$A23)*(('Agences &amp; Après-vente'!$D$2:$D$1000="Agences")+('Agences &amp; Après-vente'!$D$2:$D$1000="Agences et Après-vente"))*'Agences &amp; Après-vente'!$E$2:$E$1000)),"yyyy-mm-dd"),"")))))</f>
        <v/>
      </c>
      <c r="H23" s="131" t="str">
        <f aca="false">IF($R23="✓","✓",IF(ISNUMBER($R23),TEXT($R23,"yyyy-mm-dd"),IF($A23="","",IF($D23="Lisbonne","",IF(SUMPRODUCT(('Agences &amp; Après-vente'!$A$2:$A$1000=$A23)*(('Agences &amp; Après-vente'!$D$2:$D$1000="Agences")+('Agences &amp; Après-vente'!$D$2:$D$1000="Agences et Après-vente"))*('Agences &amp; Après-vente'!$I$2:$I$1000="DONE"))&gt;0,"✓",IF(SUMPRODUCT(MAX(('Agences &amp; Après-vente'!$A$2:$A$1000=$A23)*(('Agences &amp; Après-vente'!$D$2:$D$1000="Agences")+('Agences &amp; Après-vente'!$D$2:$D$1000="Agences et Après-vente"))*'Agences &amp; Après-vente'!$E$2:$E$1000))&gt;0,TEXT(SUMPRODUCT(MAX(('Agences &amp; Après-vente'!$A$2:$A$1000=$A23)*(('Agences &amp; Après-vente'!$D$2:$D$1000="Agences")+('Agences &amp; Après-vente'!$D$2:$D$1000="Agences et Après-vente"))*'Agences &amp; Après-vente'!$E$2:$E$1000)),"yyyy-mm-dd"),""))))))</f>
        <v/>
      </c>
      <c r="I23" s="131" t="str">
        <f aca="false">IF($S23="✓","✓",IF(ISNUMBER($S23),TEXT($S23,"yyyy-mm-dd"),IF($A23="","",IF(SUMPRODUCT(('Agences &amp; Après-vente'!$A$2:$A$1000=$A23)*(('Agences &amp; Après-vente'!$D$2:$D$1000="Après-vente")+('Agences &amp; Après-vente'!$D$2:$D$1000="Agences et Après-vente"))*('Agences &amp; Après-vente'!$I$2:$I$1000="DONE"))&gt;0,"✓",IF(SUMPRODUCT(MAX(('Agences &amp; Après-vente'!$A$2:$A$1000=$A23)*(('Agences &amp; Après-vente'!$D$2:$D$1000="Après-vente")+('Agences &amp; Après-vente'!$D$2:$D$1000="Agences et Après-vente"))*'Agences &amp; Après-vente'!$E$2:$E$1000))&gt;0,TEXT(SUMPRODUCT(MAX(('Agences &amp; Après-vente'!$A$2:$A$1000=$A23)*(('Agences &amp; Après-vente'!$D$2:$D$1000="Après-vente")+('Agences &amp; Après-vente'!$D$2:$D$1000="Agences et Après-vente"))*'Agences &amp; Après-vente'!$E$2:$E$1000)),"yyyy-mm-dd"),"")))))</f>
        <v/>
      </c>
      <c r="J23" s="131" t="str">
        <f aca="false">IF($T23="✓","✓",IF(ISNUMBER($T23),TEXT($T23,"yyyy-mm-dd"),IF($A23="","",IF($D23="Lisbonne","",IF(SUMPRODUCT(('Agences &amp; Après-vente'!$A$2:$A$1000=$A23)*(('Agences &amp; Après-vente'!$D$2:$D$1000="Après-vente")+('Agences &amp; Après-vente'!$D$2:$D$1000="Agences et Après-vente"))*('Agences &amp; Après-vente'!$I$2:$I$1000="DONE"))&gt;0,"✓",IF(SUMPRODUCT(MAX(('Agences &amp; Après-vente'!$A$2:$A$1000=$A23)*(('Agences &amp; Après-vente'!$D$2:$D$1000="Après-vente")+('Agences &amp; Après-vente'!$D$2:$D$1000="Agences et Après-vente"))*'Agences &amp; Après-vente'!$E$2:$E$1000))&gt;0,TEXT(SUMPRODUCT(MAX(('Agences &amp; Après-vente'!$A$2:$A$1000=$A23)*(('Agences &amp; Après-vente'!$D$2:$D$1000="Après-vente")+('Agences &amp; Après-vente'!$D$2:$D$1000="Agences et Après-vente"))*'Agences &amp; Après-vente'!$E$2:$E$1000)),"yyyy-mm-dd"),""))))))</f>
        <v/>
      </c>
      <c r="K23" s="131" t="str">
        <f aca="false">IF($U23="✓","✓",IF(ISNUMBER($U23),TEXT($U23,"yyyy-mm-dd"),IF($D23="Lisbonne","",IF($A23="","",IF(SUMPRODUCT((Evermont!$A$2:$A$1000=$A23)*(Evermont!$Q$2:$Q$1000="Terminé"))&gt;0,"✓",IF(SUMPRODUCT(MAX((Evermont!$A$2:$A$1000=$A23)*Evermont!$F$2:$F$1000))&gt;0,TEXT(SUMPRODUCT(MAX((Evermont!$A$2:$A$1000=$A23)*Evermont!$F$2:$F$1000)),"yyyy-mm-dd"),""))))))</f>
        <v/>
      </c>
      <c r="L23" s="132" t="n">
        <f aca="false">IF($A23="","",COUNTIF(E23:K23,"✓"))</f>
        <v>2</v>
      </c>
      <c r="M23" s="133" t="s">
        <v>172</v>
      </c>
      <c r="O23" s="134" t="s">
        <v>173</v>
      </c>
      <c r="P23" s="134" t="s">
        <v>173</v>
      </c>
      <c r="Q23" s="134"/>
      <c r="R23" s="134"/>
      <c r="S23" s="134"/>
      <c r="T23" s="134"/>
      <c r="U23" s="134"/>
      <c r="W23" s="135" t="str">
        <f aca="false">IF($A23="","",IF($X23&lt;&gt;"",$X23,IFERROR(INDEX('Formation Initiale'!$B$2:$B$999,MATCH($A23,'Formation Initiale'!$A$2:$A$999,0)),"Général")))</f>
        <v>175</v>
      </c>
      <c r="X23" s="136"/>
    </row>
    <row r="24" customFormat="false" ht="18" hidden="true" customHeight="true" outlineLevel="0" collapsed="false">
      <c r="A24" s="127" t="s">
        <v>238</v>
      </c>
      <c r="B24" s="128" t="s">
        <v>239</v>
      </c>
      <c r="C24" s="128" t="s">
        <v>240</v>
      </c>
      <c r="D24" s="129" t="s">
        <v>171</v>
      </c>
      <c r="E24" s="130" t="str">
        <f aca="false">IF($O24="✓","✓",IF(ISNUMBER($O24),TEXT($O24,"yyyy-mm-dd"),IF($A24="","",IF(SUMPRODUCT(('Formation Initiale'!$A$2:$A$999=$A24)*('Formation Initiale'!$R$2:$R$999="Terminé"))&gt;0,"✓",IF(SUMPRODUCT(MAX(('Formation Initiale'!$A$2:$A$999=$A24)*'Formation Initiale'!$G$2:$G$999))&gt;0,TEXT(SUMPRODUCT(MAX(('Formation Initiale'!$A$2:$A$999=$A24)*'Formation Initiale'!$G$2:$G$999)),"yyyy-mm-dd"),"")))))</f>
        <v>✓</v>
      </c>
      <c r="F24" s="131" t="str">
        <f aca="false">IF($P24="✓","✓",IF(ISNUMBER($P24),TEXT($P24,"yyyy-mm-dd"),IF($A24="","",IF($D24="Lisbonne","",IF(SUMPRODUCT(('Formation Initiale'!$A$2:$A$999=$A24)*('Formation Initiale'!$R$2:$R$999="Terminé"))&gt;0,"✓",IF(SUMPRODUCT(MAX(('Formation Initiale'!$A$2:$A$999=$A24)*'Formation Initiale'!$G$2:$G$999))&gt;0,TEXT(SUMPRODUCT(MAX(('Formation Initiale'!$A$2:$A$999=$A24)*'Formation Initiale'!$G$2:$G$999)),"yyyy-mm-dd"),""))))))</f>
        <v>✓</v>
      </c>
      <c r="G24" s="131" t="str">
        <f aca="false">IF($Q24="✓","✓",IF(ISNUMBER($Q24),TEXT($Q24,"yyyy-mm-dd"),IF($A24="","",IF(SUMPRODUCT(('Agences &amp; Après-vente'!$A$2:$A$1000=$A24)*(('Agences &amp; Après-vente'!$D$2:$D$1000="Agences")+('Agences &amp; Après-vente'!$D$2:$D$1000="Agences et Après-vente"))*('Agences &amp; Après-vente'!$I$2:$I$1000="DONE"))&gt;0,"✓",IF(SUMPRODUCT(MAX(('Agences &amp; Après-vente'!$A$2:$A$1000=$A24)*(('Agences &amp; Après-vente'!$D$2:$D$1000="Agences")+('Agences &amp; Après-vente'!$D$2:$D$1000="Agences et Après-vente"))*'Agences &amp; Après-vente'!$E$2:$E$1000))&gt;0,TEXT(SUMPRODUCT(MAX(('Agences &amp; Après-vente'!$A$2:$A$1000=$A24)*(('Agences &amp; Après-vente'!$D$2:$D$1000="Agences")+('Agences &amp; Après-vente'!$D$2:$D$1000="Agences et Après-vente"))*'Agences &amp; Après-vente'!$E$2:$E$1000)),"yyyy-mm-dd"),"")))))</f>
        <v>✓</v>
      </c>
      <c r="H24" s="131" t="str">
        <f aca="false">IF($R24="✓","✓",IF(ISNUMBER($R24),TEXT($R24,"yyyy-mm-dd"),IF($A24="","",IF($D24="Lisbonne","",IF(SUMPRODUCT(('Agences &amp; Après-vente'!$A$2:$A$1000=$A24)*(('Agences &amp; Après-vente'!$D$2:$D$1000="Agences")+('Agences &amp; Après-vente'!$D$2:$D$1000="Agences et Après-vente"))*('Agences &amp; Après-vente'!$I$2:$I$1000="DONE"))&gt;0,"✓",IF(SUMPRODUCT(MAX(('Agences &amp; Après-vente'!$A$2:$A$1000=$A24)*(('Agences &amp; Après-vente'!$D$2:$D$1000="Agences")+('Agences &amp; Après-vente'!$D$2:$D$1000="Agences et Après-vente"))*'Agences &amp; Après-vente'!$E$2:$E$1000))&gt;0,TEXT(SUMPRODUCT(MAX(('Agences &amp; Après-vente'!$A$2:$A$1000=$A24)*(('Agences &amp; Après-vente'!$D$2:$D$1000="Agences")+('Agences &amp; Après-vente'!$D$2:$D$1000="Agences et Après-vente"))*'Agences &amp; Après-vente'!$E$2:$E$1000)),"yyyy-mm-dd"),""))))))</f>
        <v>✓</v>
      </c>
      <c r="I24" s="131" t="str">
        <f aca="false">IF($S24="✓","✓",IF(ISNUMBER($S24),TEXT($S24,"yyyy-mm-dd"),IF($A24="","",IF(SUMPRODUCT(('Agences &amp; Après-vente'!$A$2:$A$1000=$A24)*(('Agences &amp; Après-vente'!$D$2:$D$1000="Après-vente")+('Agences &amp; Après-vente'!$D$2:$D$1000="Agences et Après-vente"))*('Agences &amp; Après-vente'!$I$2:$I$1000="DONE"))&gt;0,"✓",IF(SUMPRODUCT(MAX(('Agences &amp; Après-vente'!$A$2:$A$1000=$A24)*(('Agences &amp; Après-vente'!$D$2:$D$1000="Après-vente")+('Agences &amp; Après-vente'!$D$2:$D$1000="Agences et Après-vente"))*'Agences &amp; Après-vente'!$E$2:$E$1000))&gt;0,TEXT(SUMPRODUCT(MAX(('Agences &amp; Après-vente'!$A$2:$A$1000=$A24)*(('Agences &amp; Après-vente'!$D$2:$D$1000="Après-vente")+('Agences &amp; Après-vente'!$D$2:$D$1000="Agences et Après-vente"))*'Agences &amp; Après-vente'!$E$2:$E$1000)),"yyyy-mm-dd"),"")))))</f>
        <v>✓</v>
      </c>
      <c r="J24" s="131" t="str">
        <f aca="false">IF($T24="✓","✓",IF(ISNUMBER($T24),TEXT($T24,"yyyy-mm-dd"),IF($A24="","",IF($D24="Lisbonne","",IF(SUMPRODUCT(('Agences &amp; Après-vente'!$A$2:$A$1000=$A24)*(('Agences &amp; Après-vente'!$D$2:$D$1000="Après-vente")+('Agences &amp; Après-vente'!$D$2:$D$1000="Agences et Après-vente"))*('Agences &amp; Après-vente'!$I$2:$I$1000="DONE"))&gt;0,"✓",IF(SUMPRODUCT(MAX(('Agences &amp; Après-vente'!$A$2:$A$1000=$A24)*(('Agences &amp; Après-vente'!$D$2:$D$1000="Après-vente")+('Agences &amp; Après-vente'!$D$2:$D$1000="Agences et Après-vente"))*'Agences &amp; Après-vente'!$E$2:$E$1000))&gt;0,TEXT(SUMPRODUCT(MAX(('Agences &amp; Après-vente'!$A$2:$A$1000=$A24)*(('Agences &amp; Après-vente'!$D$2:$D$1000="Après-vente")+('Agences &amp; Après-vente'!$D$2:$D$1000="Agences et Après-vente"))*'Agences &amp; Après-vente'!$E$2:$E$1000)),"yyyy-mm-dd"),""))))))</f>
        <v>✓</v>
      </c>
      <c r="K24" s="131" t="str">
        <f aca="false">IF($U24="✓","✓",IF(ISNUMBER($U24),TEXT($U24,"yyyy-mm-dd"),IF($D24="Lisbonne","",IF($A24="","",IF(SUMPRODUCT((Evermont!$A$2:$A$1000=$A24)*(Evermont!$Q$2:$Q$1000="Terminé"))&gt;0,"✓",IF(SUMPRODUCT(MAX((Evermont!$A$2:$A$1000=$A24)*Evermont!$F$2:$F$1000))&gt;0,TEXT(SUMPRODUCT(MAX((Evermont!$A$2:$A$1000=$A24)*Evermont!$F$2:$F$1000)),"yyyy-mm-dd"),""))))))</f>
        <v/>
      </c>
      <c r="L24" s="132" t="n">
        <f aca="false">IF($A24="","",COUNTIF(E24:K24,"✓"))</f>
        <v>6</v>
      </c>
      <c r="M24" s="133" t="s">
        <v>172</v>
      </c>
      <c r="O24" s="134" t="s">
        <v>173</v>
      </c>
      <c r="P24" s="134" t="s">
        <v>173</v>
      </c>
      <c r="Q24" s="134"/>
      <c r="R24" s="134"/>
      <c r="S24" s="134" t="s">
        <v>173</v>
      </c>
      <c r="T24" s="134" t="s">
        <v>173</v>
      </c>
      <c r="U24" s="134"/>
      <c r="W24" s="135" t="str">
        <f aca="false">IF($A24="","",IF($X24&lt;&gt;"",$X24,IFERROR(INDEX('Formation Initiale'!$B$2:$B$999,MATCH($A24,'Formation Initiale'!$A$2:$A$999,0)),"Général")))</f>
        <v>Général</v>
      </c>
      <c r="X24" s="136"/>
    </row>
    <row r="25" customFormat="false" ht="18" hidden="true" customHeight="true" outlineLevel="0" collapsed="false">
      <c r="A25" s="138" t="s">
        <v>241</v>
      </c>
      <c r="B25" s="128" t="s">
        <v>242</v>
      </c>
      <c r="C25" s="128" t="s">
        <v>243</v>
      </c>
      <c r="D25" s="129" t="s">
        <v>186</v>
      </c>
      <c r="E25" s="130" t="str">
        <f aca="false">IF($O25="✓","✓",IF(ISNUMBER($O25),TEXT($O25,"yyyy-mm-dd"),IF($A25="","",IF(SUMPRODUCT(('Formation Initiale'!$A$2:$A$999=$A25)*('Formation Initiale'!$R$2:$R$999="Terminé"))&gt;0,"✓",IF(SUMPRODUCT(MAX(('Formation Initiale'!$A$2:$A$999=$A25)*'Formation Initiale'!$G$2:$G$999))&gt;0,TEXT(SUMPRODUCT(MAX(('Formation Initiale'!$A$2:$A$999=$A25)*'Formation Initiale'!$G$2:$G$999)),"yyyy-mm-dd"),"")))))</f>
        <v>✓</v>
      </c>
      <c r="F25" s="131" t="str">
        <f aca="false">IF($P25="✓","✓",IF(ISNUMBER($P25),TEXT($P25,"yyyy-mm-dd"),IF($A25="","",IF($D25="Lisbonne","",IF(SUMPRODUCT(('Formation Initiale'!$A$2:$A$999=$A25)*('Formation Initiale'!$R$2:$R$999="Terminé"))&gt;0,"✓",IF(SUMPRODUCT(MAX(('Formation Initiale'!$A$2:$A$999=$A25)*'Formation Initiale'!$G$2:$G$999))&gt;0,TEXT(SUMPRODUCT(MAX(('Formation Initiale'!$A$2:$A$999=$A25)*'Formation Initiale'!$G$2:$G$999)),"yyyy-mm-dd"),""))))))</f>
        <v/>
      </c>
      <c r="G25" s="131" t="str">
        <f aca="false">IF($Q25="✓","✓",IF(ISNUMBER($Q25),TEXT($Q25,"yyyy-mm-dd"),IF($A25="","",IF(SUMPRODUCT(('Agences &amp; Après-vente'!$A$2:$A$1000=$A25)*(('Agences &amp; Après-vente'!$D$2:$D$1000="Agences")+('Agences &amp; Après-vente'!$D$2:$D$1000="Agences et Après-vente"))*('Agences &amp; Après-vente'!$I$2:$I$1000="DONE"))&gt;0,"✓",IF(SUMPRODUCT(MAX(('Agences &amp; Après-vente'!$A$2:$A$1000=$A25)*(('Agences &amp; Après-vente'!$D$2:$D$1000="Agences")+('Agences &amp; Après-vente'!$D$2:$D$1000="Agences et Après-vente"))*'Agences &amp; Après-vente'!$E$2:$E$1000))&gt;0,TEXT(SUMPRODUCT(MAX(('Agences &amp; Après-vente'!$A$2:$A$1000=$A25)*(('Agences &amp; Après-vente'!$D$2:$D$1000="Agences")+('Agences &amp; Après-vente'!$D$2:$D$1000="Agences et Après-vente"))*'Agences &amp; Après-vente'!$E$2:$E$1000)),"yyyy-mm-dd"),"")))))</f>
        <v>✓</v>
      </c>
      <c r="H25" s="131" t="str">
        <f aca="false">IF($R25="✓","✓",IF(ISNUMBER($R25),TEXT($R25,"yyyy-mm-dd"),IF($A25="","",IF($D25="Lisbonne","",IF(SUMPRODUCT(('Agences &amp; Après-vente'!$A$2:$A$1000=$A25)*(('Agences &amp; Après-vente'!$D$2:$D$1000="Agences")+('Agences &amp; Après-vente'!$D$2:$D$1000="Agences et Après-vente"))*('Agences &amp; Après-vente'!$I$2:$I$1000="DONE"))&gt;0,"✓",IF(SUMPRODUCT(MAX(('Agences &amp; Après-vente'!$A$2:$A$1000=$A25)*(('Agences &amp; Après-vente'!$D$2:$D$1000="Agences")+('Agences &amp; Après-vente'!$D$2:$D$1000="Agences et Après-vente"))*'Agences &amp; Après-vente'!$E$2:$E$1000))&gt;0,TEXT(SUMPRODUCT(MAX(('Agences &amp; Après-vente'!$A$2:$A$1000=$A25)*(('Agences &amp; Après-vente'!$D$2:$D$1000="Agences")+('Agences &amp; Après-vente'!$D$2:$D$1000="Agences et Après-vente"))*'Agences &amp; Après-vente'!$E$2:$E$1000)),"yyyy-mm-dd"),""))))))</f>
        <v/>
      </c>
      <c r="I25" s="131" t="str">
        <f aca="false">IF($S25="✓","✓",IF(ISNUMBER($S25),TEXT($S25,"yyyy-mm-dd"),IF($A25="","",IF(SUMPRODUCT(('Agences &amp; Après-vente'!$A$2:$A$1000=$A25)*(('Agences &amp; Après-vente'!$D$2:$D$1000="Après-vente")+('Agences &amp; Après-vente'!$D$2:$D$1000="Agences et Après-vente"))*('Agences &amp; Après-vente'!$I$2:$I$1000="DONE"))&gt;0,"✓",IF(SUMPRODUCT(MAX(('Agences &amp; Après-vente'!$A$2:$A$1000=$A25)*(('Agences &amp; Après-vente'!$D$2:$D$1000="Après-vente")+('Agences &amp; Après-vente'!$D$2:$D$1000="Agences et Après-vente"))*'Agences &amp; Après-vente'!$E$2:$E$1000))&gt;0,TEXT(SUMPRODUCT(MAX(('Agences &amp; Après-vente'!$A$2:$A$1000=$A25)*(('Agences &amp; Après-vente'!$D$2:$D$1000="Après-vente")+('Agences &amp; Après-vente'!$D$2:$D$1000="Agences et Après-vente"))*'Agences &amp; Après-vente'!$E$2:$E$1000)),"yyyy-mm-dd"),"")))))</f>
        <v>✓</v>
      </c>
      <c r="J25" s="131" t="str">
        <f aca="false">IF($T25="✓","✓",IF(ISNUMBER($T25),TEXT($T25,"yyyy-mm-dd"),IF($A25="","",IF($D25="Lisbonne","",IF(SUMPRODUCT(('Agences &amp; Après-vente'!$A$2:$A$1000=$A25)*(('Agences &amp; Après-vente'!$D$2:$D$1000="Après-vente")+('Agences &amp; Après-vente'!$D$2:$D$1000="Agences et Après-vente"))*('Agences &amp; Après-vente'!$I$2:$I$1000="DONE"))&gt;0,"✓",IF(SUMPRODUCT(MAX(('Agences &amp; Après-vente'!$A$2:$A$1000=$A25)*(('Agences &amp; Après-vente'!$D$2:$D$1000="Après-vente")+('Agences &amp; Après-vente'!$D$2:$D$1000="Agences et Après-vente"))*'Agences &amp; Après-vente'!$E$2:$E$1000))&gt;0,TEXT(SUMPRODUCT(MAX(('Agences &amp; Après-vente'!$A$2:$A$1000=$A25)*(('Agences &amp; Après-vente'!$D$2:$D$1000="Après-vente")+('Agences &amp; Après-vente'!$D$2:$D$1000="Agences et Après-vente"))*'Agences &amp; Après-vente'!$E$2:$E$1000)),"yyyy-mm-dd"),""))))))</f>
        <v/>
      </c>
      <c r="K25" s="131" t="str">
        <f aca="false">IF($U25="✓","✓",IF(ISNUMBER($U25),TEXT($U25,"yyyy-mm-dd"),IF($D25="Lisbonne","",IF($A25="","",IF(SUMPRODUCT((Evermont!$A$2:$A$1000=$A25)*(Evermont!$Q$2:$Q$1000="Terminé"))&gt;0,"✓",IF(SUMPRODUCT(MAX((Evermont!$A$2:$A$1000=$A25)*Evermont!$F$2:$F$1000))&gt;0,TEXT(SUMPRODUCT(MAX((Evermont!$A$2:$A$1000=$A25)*Evermont!$F$2:$F$1000)),"yyyy-mm-dd"),""))))))</f>
        <v/>
      </c>
      <c r="L25" s="132" t="n">
        <f aca="false">IF($A25="","",COUNTIF(E25:K25,"✓"))</f>
        <v>3</v>
      </c>
      <c r="M25" s="133" t="s">
        <v>196</v>
      </c>
      <c r="O25" s="134" t="s">
        <v>173</v>
      </c>
      <c r="P25" s="134"/>
      <c r="Q25" s="134" t="s">
        <v>173</v>
      </c>
      <c r="R25" s="134"/>
      <c r="S25" s="134"/>
      <c r="T25" s="134"/>
      <c r="U25" s="134"/>
      <c r="W25" s="135" t="str">
        <f aca="false">IF($A25="","",IF($X25&lt;&gt;"",$X25,IFERROR(INDEX('Formation Initiale'!$B$2:$B$999,MATCH($A25,'Formation Initiale'!$A$2:$A$999,0)),"Général")))</f>
        <v>OS3</v>
      </c>
      <c r="X25" s="136"/>
    </row>
    <row r="26" customFormat="false" ht="18" hidden="true" customHeight="true" outlineLevel="0" collapsed="false">
      <c r="A26" s="140" t="s">
        <v>244</v>
      </c>
      <c r="B26" s="128" t="s">
        <v>245</v>
      </c>
      <c r="C26" s="128" t="s">
        <v>246</v>
      </c>
      <c r="D26" s="129" t="s">
        <v>186</v>
      </c>
      <c r="E26" s="130" t="str">
        <f aca="false">IF($O26="✓","✓",IF(ISNUMBER($O26),TEXT($O26,"yyyy-mm-dd"),IF($A26="","",IF(SUMPRODUCT(('Formation Initiale'!$A$2:$A$999=$A26)*('Formation Initiale'!$R$2:$R$999="Terminé"))&gt;0,"✓",IF(SUMPRODUCT(MAX(('Formation Initiale'!$A$2:$A$999=$A26)*'Formation Initiale'!$G$2:$G$999))&gt;0,TEXT(SUMPRODUCT(MAX(('Formation Initiale'!$A$2:$A$999=$A26)*'Formation Initiale'!$G$2:$G$999)),"yyyy-mm-dd"),"")))))</f>
        <v>✓</v>
      </c>
      <c r="F26" s="131" t="str">
        <f aca="false">IF($P26="✓","✓",IF(ISNUMBER($P26),TEXT($P26,"yyyy-mm-dd"),IF($A26="","",IF($D26="Lisbonne","",IF(SUMPRODUCT(('Formation Initiale'!$A$2:$A$999=$A26)*('Formation Initiale'!$R$2:$R$999="Terminé"))&gt;0,"✓",IF(SUMPRODUCT(MAX(('Formation Initiale'!$A$2:$A$999=$A26)*'Formation Initiale'!$G$2:$G$999))&gt;0,TEXT(SUMPRODUCT(MAX(('Formation Initiale'!$A$2:$A$999=$A26)*'Formation Initiale'!$G$2:$G$999)),"yyyy-mm-dd"),""))))))</f>
        <v/>
      </c>
      <c r="G26" s="131" t="str">
        <f aca="false">IF($Q26="✓","✓",IF(ISNUMBER($Q26),TEXT($Q26,"yyyy-mm-dd"),IF($A26="","",IF(SUMPRODUCT(('Agences &amp; Après-vente'!$A$2:$A$1000=$A26)*(('Agences &amp; Après-vente'!$D$2:$D$1000="Agences")+('Agences &amp; Après-vente'!$D$2:$D$1000="Agences et Après-vente"))*('Agences &amp; Après-vente'!$I$2:$I$1000="DONE"))&gt;0,"✓",IF(SUMPRODUCT(MAX(('Agences &amp; Après-vente'!$A$2:$A$1000=$A26)*(('Agences &amp; Après-vente'!$D$2:$D$1000="Agences")+('Agences &amp; Après-vente'!$D$2:$D$1000="Agences et Après-vente"))*'Agences &amp; Après-vente'!$E$2:$E$1000))&gt;0,TEXT(SUMPRODUCT(MAX(('Agences &amp; Après-vente'!$A$2:$A$1000=$A26)*(('Agences &amp; Après-vente'!$D$2:$D$1000="Agences")+('Agences &amp; Après-vente'!$D$2:$D$1000="Agences et Après-vente"))*'Agences &amp; Après-vente'!$E$2:$E$1000)),"yyyy-mm-dd"),"")))))</f>
        <v>✓</v>
      </c>
      <c r="H26" s="131" t="str">
        <f aca="false">IF($R26="✓","✓",IF(ISNUMBER($R26),TEXT($R26,"yyyy-mm-dd"),IF($A26="","",IF($D26="Lisbonne","",IF(SUMPRODUCT(('Agences &amp; Après-vente'!$A$2:$A$1000=$A26)*(('Agences &amp; Après-vente'!$D$2:$D$1000="Agences")+('Agences &amp; Après-vente'!$D$2:$D$1000="Agences et Après-vente"))*('Agences &amp; Après-vente'!$I$2:$I$1000="DONE"))&gt;0,"✓",IF(SUMPRODUCT(MAX(('Agences &amp; Après-vente'!$A$2:$A$1000=$A26)*(('Agences &amp; Après-vente'!$D$2:$D$1000="Agences")+('Agences &amp; Après-vente'!$D$2:$D$1000="Agences et Après-vente"))*'Agences &amp; Après-vente'!$E$2:$E$1000))&gt;0,TEXT(SUMPRODUCT(MAX(('Agences &amp; Après-vente'!$A$2:$A$1000=$A26)*(('Agences &amp; Après-vente'!$D$2:$D$1000="Agences")+('Agences &amp; Après-vente'!$D$2:$D$1000="Agences et Après-vente"))*'Agences &amp; Après-vente'!$E$2:$E$1000)),"yyyy-mm-dd"),""))))))</f>
        <v/>
      </c>
      <c r="I26" s="131" t="str">
        <f aca="false">IF($S26="✓","✓",IF(ISNUMBER($S26),TEXT($S26,"yyyy-mm-dd"),IF($A26="","",IF(SUMPRODUCT(('Agences &amp; Après-vente'!$A$2:$A$1000=$A26)*(('Agences &amp; Après-vente'!$D$2:$D$1000="Après-vente")+('Agences &amp; Après-vente'!$D$2:$D$1000="Agences et Après-vente"))*('Agences &amp; Après-vente'!$I$2:$I$1000="DONE"))&gt;0,"✓",IF(SUMPRODUCT(MAX(('Agences &amp; Après-vente'!$A$2:$A$1000=$A26)*(('Agences &amp; Après-vente'!$D$2:$D$1000="Après-vente")+('Agences &amp; Après-vente'!$D$2:$D$1000="Agences et Après-vente"))*'Agences &amp; Après-vente'!$E$2:$E$1000))&gt;0,TEXT(SUMPRODUCT(MAX(('Agences &amp; Après-vente'!$A$2:$A$1000=$A26)*(('Agences &amp; Après-vente'!$D$2:$D$1000="Après-vente")+('Agences &amp; Après-vente'!$D$2:$D$1000="Agences et Après-vente"))*'Agences &amp; Après-vente'!$E$2:$E$1000)),"yyyy-mm-dd"),"")))))</f>
        <v>✓</v>
      </c>
      <c r="J26" s="131" t="str">
        <f aca="false">IF($T26="✓","✓",IF(ISNUMBER($T26),TEXT($T26,"yyyy-mm-dd"),IF($A26="","",IF($D26="Lisbonne","",IF(SUMPRODUCT(('Agences &amp; Après-vente'!$A$2:$A$1000=$A26)*(('Agences &amp; Après-vente'!$D$2:$D$1000="Après-vente")+('Agences &amp; Après-vente'!$D$2:$D$1000="Agences et Après-vente"))*('Agences &amp; Après-vente'!$I$2:$I$1000="DONE"))&gt;0,"✓",IF(SUMPRODUCT(MAX(('Agences &amp; Après-vente'!$A$2:$A$1000=$A26)*(('Agences &amp; Après-vente'!$D$2:$D$1000="Après-vente")+('Agences &amp; Après-vente'!$D$2:$D$1000="Agences et Après-vente"))*'Agences &amp; Après-vente'!$E$2:$E$1000))&gt;0,TEXT(SUMPRODUCT(MAX(('Agences &amp; Après-vente'!$A$2:$A$1000=$A26)*(('Agences &amp; Après-vente'!$D$2:$D$1000="Après-vente")+('Agences &amp; Après-vente'!$D$2:$D$1000="Agences et Après-vente"))*'Agences &amp; Après-vente'!$E$2:$E$1000)),"yyyy-mm-dd"),""))))))</f>
        <v/>
      </c>
      <c r="K26" s="131" t="str">
        <f aca="false">IF($U26="✓","✓",IF(ISNUMBER($U26),TEXT($U26,"yyyy-mm-dd"),IF($D26="Lisbonne","",IF($A26="","",IF(SUMPRODUCT((Evermont!$A$2:$A$1000=$A26)*(Evermont!$Q$2:$Q$1000="Terminé"))&gt;0,"✓",IF(SUMPRODUCT(MAX((Evermont!$A$2:$A$1000=$A26)*Evermont!$F$2:$F$1000))&gt;0,TEXT(SUMPRODUCT(MAX((Evermont!$A$2:$A$1000=$A26)*Evermont!$F$2:$F$1000)),"yyyy-mm-dd"),""))))))</f>
        <v/>
      </c>
      <c r="L26" s="132" t="n">
        <f aca="false">IF($A26="","",COUNTIF(E26:K26,"✓"))</f>
        <v>3</v>
      </c>
      <c r="M26" s="133" t="s">
        <v>172</v>
      </c>
      <c r="O26" s="134" t="s">
        <v>173</v>
      </c>
      <c r="P26" s="134"/>
      <c r="Q26" s="134" t="s">
        <v>173</v>
      </c>
      <c r="R26" s="134"/>
      <c r="S26" s="134"/>
      <c r="T26" s="134"/>
      <c r="U26" s="134"/>
      <c r="W26" s="135" t="str">
        <f aca="false">IF($A26="","",IF($X26&lt;&gt;"",$X26,IFERROR(INDEX('Formation Initiale'!$B$2:$B$999,MATCH($A26,'Formation Initiale'!$A$2:$A$999,0)),"Général")))</f>
        <v>OS3</v>
      </c>
      <c r="X26" s="136"/>
    </row>
    <row r="27" customFormat="false" ht="18" hidden="true" customHeight="true" outlineLevel="0" collapsed="false">
      <c r="A27" s="127" t="s">
        <v>247</v>
      </c>
      <c r="B27" s="128" t="s">
        <v>248</v>
      </c>
      <c r="C27" s="128" t="s">
        <v>249</v>
      </c>
      <c r="D27" s="129" t="s">
        <v>171</v>
      </c>
      <c r="E27" s="130" t="str">
        <f aca="false">IF($O27="✓","✓",IF(ISNUMBER($O27),TEXT($O27,"yyyy-mm-dd"),IF($A27="","",IF(SUMPRODUCT(('Formation Initiale'!$A$2:$A$999=$A27)*('Formation Initiale'!$R$2:$R$999="Terminé"))&gt;0,"✓",IF(SUMPRODUCT(MAX(('Formation Initiale'!$A$2:$A$999=$A27)*'Formation Initiale'!$G$2:$G$999))&gt;0,TEXT(SUMPRODUCT(MAX(('Formation Initiale'!$A$2:$A$999=$A27)*'Formation Initiale'!$G$2:$G$999)),"yyyy-mm-dd"),"")))))</f>
        <v>✓</v>
      </c>
      <c r="F27" s="131" t="str">
        <f aca="false">IF($P27="✓","✓",IF(ISNUMBER($P27),TEXT($P27,"yyyy-mm-dd"),IF($A27="","",IF($D27="Lisbonne","",IF(SUMPRODUCT(('Formation Initiale'!$A$2:$A$999=$A27)*('Formation Initiale'!$R$2:$R$999="Terminé"))&gt;0,"✓",IF(SUMPRODUCT(MAX(('Formation Initiale'!$A$2:$A$999=$A27)*'Formation Initiale'!$G$2:$G$999))&gt;0,TEXT(SUMPRODUCT(MAX(('Formation Initiale'!$A$2:$A$999=$A27)*'Formation Initiale'!$G$2:$G$999)),"yyyy-mm-dd"),""))))))</f>
        <v>✓</v>
      </c>
      <c r="G27" s="131" t="str">
        <f aca="false">IF($Q27="✓","✓",IF(ISNUMBER($Q27),TEXT($Q27,"yyyy-mm-dd"),IF($A27="","",IF(SUMPRODUCT(('Agences &amp; Après-vente'!$A$2:$A$1000=$A27)*(('Agences &amp; Après-vente'!$D$2:$D$1000="Agences")+('Agences &amp; Après-vente'!$D$2:$D$1000="Agences et Après-vente"))*('Agences &amp; Après-vente'!$I$2:$I$1000="DONE"))&gt;0,"✓",IF(SUMPRODUCT(MAX(('Agences &amp; Après-vente'!$A$2:$A$1000=$A27)*(('Agences &amp; Après-vente'!$D$2:$D$1000="Agences")+('Agences &amp; Après-vente'!$D$2:$D$1000="Agences et Après-vente"))*'Agences &amp; Après-vente'!$E$2:$E$1000))&gt;0,TEXT(SUMPRODUCT(MAX(('Agences &amp; Après-vente'!$A$2:$A$1000=$A27)*(('Agences &amp; Après-vente'!$D$2:$D$1000="Agences")+('Agences &amp; Après-vente'!$D$2:$D$1000="Agences et Après-vente"))*'Agences &amp; Après-vente'!$E$2:$E$1000)),"yyyy-mm-dd"),"")))))</f>
        <v>✓</v>
      </c>
      <c r="H27" s="131" t="str">
        <f aca="false">IF($R27="✓","✓",IF(ISNUMBER($R27),TEXT($R27,"yyyy-mm-dd"),IF($A27="","",IF($D27="Lisbonne","",IF(SUMPRODUCT(('Agences &amp; Après-vente'!$A$2:$A$1000=$A27)*(('Agences &amp; Après-vente'!$D$2:$D$1000="Agences")+('Agences &amp; Après-vente'!$D$2:$D$1000="Agences et Après-vente"))*('Agences &amp; Après-vente'!$I$2:$I$1000="DONE"))&gt;0,"✓",IF(SUMPRODUCT(MAX(('Agences &amp; Après-vente'!$A$2:$A$1000=$A27)*(('Agences &amp; Après-vente'!$D$2:$D$1000="Agences")+('Agences &amp; Après-vente'!$D$2:$D$1000="Agences et Après-vente"))*'Agences &amp; Après-vente'!$E$2:$E$1000))&gt;0,TEXT(SUMPRODUCT(MAX(('Agences &amp; Après-vente'!$A$2:$A$1000=$A27)*(('Agences &amp; Après-vente'!$D$2:$D$1000="Agences")+('Agences &amp; Après-vente'!$D$2:$D$1000="Agences et Après-vente"))*'Agences &amp; Après-vente'!$E$2:$E$1000)),"yyyy-mm-dd"),""))))))</f>
        <v>✓</v>
      </c>
      <c r="I27" s="131" t="str">
        <f aca="false">IF($S27="✓","✓",IF(ISNUMBER($S27),TEXT($S27,"yyyy-mm-dd"),IF($A27="","",IF(SUMPRODUCT(('Agences &amp; Après-vente'!$A$2:$A$1000=$A27)*(('Agences &amp; Après-vente'!$D$2:$D$1000="Après-vente")+('Agences &amp; Après-vente'!$D$2:$D$1000="Agences et Après-vente"))*('Agences &amp; Après-vente'!$I$2:$I$1000="DONE"))&gt;0,"✓",IF(SUMPRODUCT(MAX(('Agences &amp; Après-vente'!$A$2:$A$1000=$A27)*(('Agences &amp; Après-vente'!$D$2:$D$1000="Après-vente")+('Agences &amp; Après-vente'!$D$2:$D$1000="Agences et Après-vente"))*'Agences &amp; Après-vente'!$E$2:$E$1000))&gt;0,TEXT(SUMPRODUCT(MAX(('Agences &amp; Après-vente'!$A$2:$A$1000=$A27)*(('Agences &amp; Après-vente'!$D$2:$D$1000="Après-vente")+('Agences &amp; Après-vente'!$D$2:$D$1000="Agences et Après-vente"))*'Agences &amp; Après-vente'!$E$2:$E$1000)),"yyyy-mm-dd"),"")))))</f>
        <v>✓</v>
      </c>
      <c r="J27" s="131" t="str">
        <f aca="false">IF($T27="✓","✓",IF(ISNUMBER($T27),TEXT($T27,"yyyy-mm-dd"),IF($A27="","",IF($D27="Lisbonne","",IF(SUMPRODUCT(('Agences &amp; Après-vente'!$A$2:$A$1000=$A27)*(('Agences &amp; Après-vente'!$D$2:$D$1000="Après-vente")+('Agences &amp; Après-vente'!$D$2:$D$1000="Agences et Après-vente"))*('Agences &amp; Après-vente'!$I$2:$I$1000="DONE"))&gt;0,"✓",IF(SUMPRODUCT(MAX(('Agences &amp; Après-vente'!$A$2:$A$1000=$A27)*(('Agences &amp; Après-vente'!$D$2:$D$1000="Après-vente")+('Agences &amp; Après-vente'!$D$2:$D$1000="Agences et Après-vente"))*'Agences &amp; Après-vente'!$E$2:$E$1000))&gt;0,TEXT(SUMPRODUCT(MAX(('Agences &amp; Après-vente'!$A$2:$A$1000=$A27)*(('Agences &amp; Après-vente'!$D$2:$D$1000="Après-vente")+('Agences &amp; Après-vente'!$D$2:$D$1000="Agences et Après-vente"))*'Agences &amp; Après-vente'!$E$2:$E$1000)),"yyyy-mm-dd"),""))))))</f>
        <v>✓</v>
      </c>
      <c r="K27" s="131" t="str">
        <f aca="false">IF($U27="✓","✓",IF(ISNUMBER($U27),TEXT($U27,"yyyy-mm-dd"),IF($D27="Lisbonne","",IF($A27="","",IF(SUMPRODUCT((Evermont!$A$2:$A$1000=$A27)*(Evermont!$Q$2:$Q$1000="Terminé"))&gt;0,"✓",IF(SUMPRODUCT(MAX((Evermont!$A$2:$A$1000=$A27)*Evermont!$F$2:$F$1000))&gt;0,TEXT(SUMPRODUCT(MAX((Evermont!$A$2:$A$1000=$A27)*Evermont!$F$2:$F$1000)),"yyyy-mm-dd"),""))))))</f>
        <v/>
      </c>
      <c r="L27" s="132" t="n">
        <f aca="false">IF($A27="","",COUNTIF(E27:K27,"✓"))</f>
        <v>6</v>
      </c>
      <c r="M27" s="133" t="s">
        <v>172</v>
      </c>
      <c r="O27" s="134" t="s">
        <v>173</v>
      </c>
      <c r="P27" s="134" t="s">
        <v>173</v>
      </c>
      <c r="Q27" s="134"/>
      <c r="R27" s="134"/>
      <c r="S27" s="134"/>
      <c r="T27" s="134"/>
      <c r="U27" s="134"/>
      <c r="W27" s="135" t="str">
        <f aca="false">IF($A27="","",IF($X27&lt;&gt;"",$X27,IFERROR(INDEX('Formation Initiale'!$B$2:$B$999,MATCH($A27,'Formation Initiale'!$A$2:$A$999,0)),"Général")))</f>
        <v>173</v>
      </c>
      <c r="X27" s="136"/>
    </row>
    <row r="28" customFormat="false" ht="18" hidden="true" customHeight="true" outlineLevel="0" collapsed="false">
      <c r="A28" s="127" t="s">
        <v>250</v>
      </c>
      <c r="B28" s="128" t="s">
        <v>251</v>
      </c>
      <c r="C28" s="128" t="s">
        <v>252</v>
      </c>
      <c r="D28" s="129" t="s">
        <v>171</v>
      </c>
      <c r="E28" s="130" t="str">
        <f aca="false">IF($O28="✓","✓",IF(ISNUMBER($O28),TEXT($O28,"yyyy-mm-dd"),IF($A28="","",IF(SUMPRODUCT(('Formation Initiale'!$A$2:$A$999=$A28)*('Formation Initiale'!$R$2:$R$999="Terminé"))&gt;0,"✓",IF(SUMPRODUCT(MAX(('Formation Initiale'!$A$2:$A$999=$A28)*'Formation Initiale'!$G$2:$G$999))&gt;0,TEXT(SUMPRODUCT(MAX(('Formation Initiale'!$A$2:$A$999=$A28)*'Formation Initiale'!$G$2:$G$999)),"yyyy-mm-dd"),"")))))</f>
        <v>✓</v>
      </c>
      <c r="F28" s="131" t="str">
        <f aca="false">IF($P28="✓","✓",IF(ISNUMBER($P28),TEXT($P28,"yyyy-mm-dd"),IF($A28="","",IF($D28="Lisbonne","",IF(SUMPRODUCT(('Formation Initiale'!$A$2:$A$999=$A28)*('Formation Initiale'!$R$2:$R$999="Terminé"))&gt;0,"✓",IF(SUMPRODUCT(MAX(('Formation Initiale'!$A$2:$A$999=$A28)*'Formation Initiale'!$G$2:$G$999))&gt;0,TEXT(SUMPRODUCT(MAX(('Formation Initiale'!$A$2:$A$999=$A28)*'Formation Initiale'!$G$2:$G$999)),"yyyy-mm-dd"),""))))))</f>
        <v>✓</v>
      </c>
      <c r="G28" s="131" t="str">
        <f aca="false">IF($Q28="✓","✓",IF(ISNUMBER($Q28),TEXT($Q28,"yyyy-mm-dd"),IF($A28="","",IF(SUMPRODUCT(('Agences &amp; Après-vente'!$A$2:$A$1000=$A28)*(('Agences &amp; Après-vente'!$D$2:$D$1000="Agences")+('Agences &amp; Après-vente'!$D$2:$D$1000="Agences et Après-vente"))*('Agences &amp; Après-vente'!$I$2:$I$1000="DONE"))&gt;0,"✓",IF(SUMPRODUCT(MAX(('Agences &amp; Après-vente'!$A$2:$A$1000=$A28)*(('Agences &amp; Après-vente'!$D$2:$D$1000="Agences")+('Agences &amp; Après-vente'!$D$2:$D$1000="Agences et Après-vente"))*'Agences &amp; Après-vente'!$E$2:$E$1000))&gt;0,TEXT(SUMPRODUCT(MAX(('Agences &amp; Après-vente'!$A$2:$A$1000=$A28)*(('Agences &amp; Après-vente'!$D$2:$D$1000="Agences")+('Agences &amp; Après-vente'!$D$2:$D$1000="Agences et Après-vente"))*'Agences &amp; Après-vente'!$E$2:$E$1000)),"yyyy-mm-dd"),"")))))</f>
        <v>✓</v>
      </c>
      <c r="H28" s="131" t="str">
        <f aca="false">IF($R28="✓","✓",IF(ISNUMBER($R28),TEXT($R28,"yyyy-mm-dd"),IF($A28="","",IF($D28="Lisbonne","",IF(SUMPRODUCT(('Agences &amp; Après-vente'!$A$2:$A$1000=$A28)*(('Agences &amp; Après-vente'!$D$2:$D$1000="Agences")+('Agences &amp; Après-vente'!$D$2:$D$1000="Agences et Après-vente"))*('Agences &amp; Après-vente'!$I$2:$I$1000="DONE"))&gt;0,"✓",IF(SUMPRODUCT(MAX(('Agences &amp; Après-vente'!$A$2:$A$1000=$A28)*(('Agences &amp; Après-vente'!$D$2:$D$1000="Agences")+('Agences &amp; Après-vente'!$D$2:$D$1000="Agences et Après-vente"))*'Agences &amp; Après-vente'!$E$2:$E$1000))&gt;0,TEXT(SUMPRODUCT(MAX(('Agences &amp; Après-vente'!$A$2:$A$1000=$A28)*(('Agences &amp; Après-vente'!$D$2:$D$1000="Agences")+('Agences &amp; Après-vente'!$D$2:$D$1000="Agences et Après-vente"))*'Agences &amp; Après-vente'!$E$2:$E$1000)),"yyyy-mm-dd"),""))))))</f>
        <v>✓</v>
      </c>
      <c r="I28" s="131" t="str">
        <f aca="false">IF($S28="✓","✓",IF(ISNUMBER($S28),TEXT($S28,"yyyy-mm-dd"),IF($A28="","",IF(SUMPRODUCT(('Agences &amp; Après-vente'!$A$2:$A$1000=$A28)*(('Agences &amp; Après-vente'!$D$2:$D$1000="Après-vente")+('Agences &amp; Après-vente'!$D$2:$D$1000="Agences et Après-vente"))*('Agences &amp; Après-vente'!$I$2:$I$1000="DONE"))&gt;0,"✓",IF(SUMPRODUCT(MAX(('Agences &amp; Après-vente'!$A$2:$A$1000=$A28)*(('Agences &amp; Après-vente'!$D$2:$D$1000="Après-vente")+('Agences &amp; Après-vente'!$D$2:$D$1000="Agences et Après-vente"))*'Agences &amp; Après-vente'!$E$2:$E$1000))&gt;0,TEXT(SUMPRODUCT(MAX(('Agences &amp; Après-vente'!$A$2:$A$1000=$A28)*(('Agences &amp; Après-vente'!$D$2:$D$1000="Après-vente")+('Agences &amp; Après-vente'!$D$2:$D$1000="Agences et Après-vente"))*'Agences &amp; Après-vente'!$E$2:$E$1000)),"yyyy-mm-dd"),"")))))</f>
        <v>✓</v>
      </c>
      <c r="J28" s="131" t="str">
        <f aca="false">IF($T28="✓","✓",IF(ISNUMBER($T28),TEXT($T28,"yyyy-mm-dd"),IF($A28="","",IF($D28="Lisbonne","",IF(SUMPRODUCT(('Agences &amp; Après-vente'!$A$2:$A$1000=$A28)*(('Agences &amp; Après-vente'!$D$2:$D$1000="Après-vente")+('Agences &amp; Après-vente'!$D$2:$D$1000="Agences et Après-vente"))*('Agences &amp; Après-vente'!$I$2:$I$1000="DONE"))&gt;0,"✓",IF(SUMPRODUCT(MAX(('Agences &amp; Après-vente'!$A$2:$A$1000=$A28)*(('Agences &amp; Après-vente'!$D$2:$D$1000="Après-vente")+('Agences &amp; Après-vente'!$D$2:$D$1000="Agences et Après-vente"))*'Agences &amp; Après-vente'!$E$2:$E$1000))&gt;0,TEXT(SUMPRODUCT(MAX(('Agences &amp; Après-vente'!$A$2:$A$1000=$A28)*(('Agences &amp; Après-vente'!$D$2:$D$1000="Après-vente")+('Agences &amp; Après-vente'!$D$2:$D$1000="Agences et Après-vente"))*'Agences &amp; Après-vente'!$E$2:$E$1000)),"yyyy-mm-dd"),""))))))</f>
        <v>✓</v>
      </c>
      <c r="K28" s="131" t="str">
        <f aca="false">IF($U28="✓","✓",IF(ISNUMBER($U28),TEXT($U28,"yyyy-mm-dd"),IF($D28="Lisbonne","",IF($A28="","",IF(SUMPRODUCT((Evermont!$A$2:$A$1000=$A28)*(Evermont!$Q$2:$Q$1000="Terminé"))&gt;0,"✓",IF(SUMPRODUCT(MAX((Evermont!$A$2:$A$1000=$A28)*Evermont!$F$2:$F$1000))&gt;0,TEXT(SUMPRODUCT(MAX((Evermont!$A$2:$A$1000=$A28)*Evermont!$F$2:$F$1000)),"yyyy-mm-dd"),""))))))</f>
        <v/>
      </c>
      <c r="L28" s="132" t="n">
        <f aca="false">IF($A28="","",COUNTIF(E28:K28,"✓"))</f>
        <v>6</v>
      </c>
      <c r="M28" s="133" t="s">
        <v>172</v>
      </c>
      <c r="O28" s="134" t="s">
        <v>173</v>
      </c>
      <c r="P28" s="134" t="s">
        <v>173</v>
      </c>
      <c r="Q28" s="134" t="s">
        <v>173</v>
      </c>
      <c r="R28" s="134"/>
      <c r="S28" s="134"/>
      <c r="T28" s="134"/>
      <c r="U28" s="134"/>
      <c r="W28" s="135" t="str">
        <f aca="false">IF($A28="","",IF($X28&lt;&gt;"",$X28,IFERROR(INDEX('Formation Initiale'!$B$2:$B$999,MATCH($A28,'Formation Initiale'!$A$2:$A$999,0)),"Général")))</f>
        <v>Général</v>
      </c>
      <c r="X28" s="136"/>
    </row>
    <row r="29" customFormat="false" ht="18" hidden="true" customHeight="true" outlineLevel="0" collapsed="false">
      <c r="A29" s="137" t="s">
        <v>253</v>
      </c>
      <c r="B29" s="128" t="s">
        <v>254</v>
      </c>
      <c r="C29" s="128" t="s">
        <v>255</v>
      </c>
      <c r="D29" s="129" t="s">
        <v>171</v>
      </c>
      <c r="E29" s="130" t="str">
        <f aca="false">IF($O29="✓","✓",IF(ISNUMBER($O29),TEXT($O29,"yyyy-mm-dd"),IF($A29="","",IF(SUMPRODUCT(('Formation Initiale'!$A$2:$A$999=$A29)*('Formation Initiale'!$R$2:$R$999="Terminé"))&gt;0,"✓",IF(SUMPRODUCT(MAX(('Formation Initiale'!$A$2:$A$999=$A29)*'Formation Initiale'!$G$2:$G$999))&gt;0,TEXT(SUMPRODUCT(MAX(('Formation Initiale'!$A$2:$A$999=$A29)*'Formation Initiale'!$G$2:$G$999)),"yyyy-mm-dd"),"")))))</f>
        <v>✓</v>
      </c>
      <c r="F29" s="131" t="str">
        <f aca="false">IF($P29="✓","✓",IF(ISNUMBER($P29),TEXT($P29,"yyyy-mm-dd"),IF($A29="","",IF($D29="Lisbonne","",IF(SUMPRODUCT(('Formation Initiale'!$A$2:$A$999=$A29)*('Formation Initiale'!$R$2:$R$999="Terminé"))&gt;0,"✓",IF(SUMPRODUCT(MAX(('Formation Initiale'!$A$2:$A$999=$A29)*'Formation Initiale'!$G$2:$G$999))&gt;0,TEXT(SUMPRODUCT(MAX(('Formation Initiale'!$A$2:$A$999=$A29)*'Formation Initiale'!$G$2:$G$999)),"yyyy-mm-dd"),""))))))</f>
        <v>✓</v>
      </c>
      <c r="G29" s="131" t="str">
        <f aca="false">IF($Q29="✓","✓",IF(ISNUMBER($Q29),TEXT($Q29,"yyyy-mm-dd"),IF($A29="","",IF(SUMPRODUCT(('Agences &amp; Après-vente'!$A$2:$A$1000=$A29)*(('Agences &amp; Après-vente'!$D$2:$D$1000="Agences")+('Agences &amp; Après-vente'!$D$2:$D$1000="Agences et Après-vente"))*('Agences &amp; Après-vente'!$I$2:$I$1000="DONE"))&gt;0,"✓",IF(SUMPRODUCT(MAX(('Agences &amp; Après-vente'!$A$2:$A$1000=$A29)*(('Agences &amp; Après-vente'!$D$2:$D$1000="Agences")+('Agences &amp; Après-vente'!$D$2:$D$1000="Agences et Après-vente"))*'Agences &amp; Après-vente'!$E$2:$E$1000))&gt;0,TEXT(SUMPRODUCT(MAX(('Agences &amp; Après-vente'!$A$2:$A$1000=$A29)*(('Agences &amp; Après-vente'!$D$2:$D$1000="Agences")+('Agences &amp; Après-vente'!$D$2:$D$1000="Agences et Après-vente"))*'Agences &amp; Après-vente'!$E$2:$E$1000)),"yyyy-mm-dd"),"")))))</f>
        <v/>
      </c>
      <c r="H29" s="131" t="str">
        <f aca="false">IF($R29="✓","✓",IF(ISNUMBER($R29),TEXT($R29,"yyyy-mm-dd"),IF($A29="","",IF($D29="Lisbonne","",IF(SUMPRODUCT(('Agences &amp; Après-vente'!$A$2:$A$1000=$A29)*(('Agences &amp; Après-vente'!$D$2:$D$1000="Agences")+('Agences &amp; Après-vente'!$D$2:$D$1000="Agences et Après-vente"))*('Agences &amp; Après-vente'!$I$2:$I$1000="DONE"))&gt;0,"✓",IF(SUMPRODUCT(MAX(('Agences &amp; Après-vente'!$A$2:$A$1000=$A29)*(('Agences &amp; Après-vente'!$D$2:$D$1000="Agences")+('Agences &amp; Après-vente'!$D$2:$D$1000="Agences et Après-vente"))*'Agences &amp; Après-vente'!$E$2:$E$1000))&gt;0,TEXT(SUMPRODUCT(MAX(('Agences &amp; Après-vente'!$A$2:$A$1000=$A29)*(('Agences &amp; Après-vente'!$D$2:$D$1000="Agences")+('Agences &amp; Après-vente'!$D$2:$D$1000="Agences et Après-vente"))*'Agences &amp; Après-vente'!$E$2:$E$1000)),"yyyy-mm-dd"),""))))))</f>
        <v/>
      </c>
      <c r="I29" s="131" t="str">
        <f aca="false">IF($S29="✓","✓",IF(ISNUMBER($S29),TEXT($S29,"yyyy-mm-dd"),IF($A29="","",IF(SUMPRODUCT(('Agences &amp; Après-vente'!$A$2:$A$1000=$A29)*(('Agences &amp; Après-vente'!$D$2:$D$1000="Après-vente")+('Agences &amp; Après-vente'!$D$2:$D$1000="Agences et Après-vente"))*('Agences &amp; Après-vente'!$I$2:$I$1000="DONE"))&gt;0,"✓",IF(SUMPRODUCT(MAX(('Agences &amp; Après-vente'!$A$2:$A$1000=$A29)*(('Agences &amp; Après-vente'!$D$2:$D$1000="Après-vente")+('Agences &amp; Après-vente'!$D$2:$D$1000="Agences et Après-vente"))*'Agences &amp; Après-vente'!$E$2:$E$1000))&gt;0,TEXT(SUMPRODUCT(MAX(('Agences &amp; Après-vente'!$A$2:$A$1000=$A29)*(('Agences &amp; Après-vente'!$D$2:$D$1000="Après-vente")+('Agences &amp; Après-vente'!$D$2:$D$1000="Agences et Après-vente"))*'Agences &amp; Après-vente'!$E$2:$E$1000)),"yyyy-mm-dd"),"")))))</f>
        <v/>
      </c>
      <c r="J29" s="131" t="str">
        <f aca="false">IF($T29="✓","✓",IF(ISNUMBER($T29),TEXT($T29,"yyyy-mm-dd"),IF($A29="","",IF($D29="Lisbonne","",IF(SUMPRODUCT(('Agences &amp; Après-vente'!$A$2:$A$1000=$A29)*(('Agences &amp; Après-vente'!$D$2:$D$1000="Après-vente")+('Agences &amp; Après-vente'!$D$2:$D$1000="Agences et Après-vente"))*('Agences &amp; Après-vente'!$I$2:$I$1000="DONE"))&gt;0,"✓",IF(SUMPRODUCT(MAX(('Agences &amp; Après-vente'!$A$2:$A$1000=$A29)*(('Agences &amp; Après-vente'!$D$2:$D$1000="Après-vente")+('Agences &amp; Après-vente'!$D$2:$D$1000="Agences et Après-vente"))*'Agences &amp; Après-vente'!$E$2:$E$1000))&gt;0,TEXT(SUMPRODUCT(MAX(('Agences &amp; Après-vente'!$A$2:$A$1000=$A29)*(('Agences &amp; Après-vente'!$D$2:$D$1000="Après-vente")+('Agences &amp; Après-vente'!$D$2:$D$1000="Agences et Après-vente"))*'Agences &amp; Après-vente'!$E$2:$E$1000)),"yyyy-mm-dd"),""))))))</f>
        <v/>
      </c>
      <c r="K29" s="131" t="str">
        <f aca="false">IF($U29="✓","✓",IF(ISNUMBER($U29),TEXT($U29,"yyyy-mm-dd"),IF($D29="Lisbonne","",IF($A29="","",IF(SUMPRODUCT((Evermont!$A$2:$A$1000=$A29)*(Evermont!$Q$2:$Q$1000="Terminé"))&gt;0,"✓",IF(SUMPRODUCT(MAX((Evermont!$A$2:$A$1000=$A29)*Evermont!$F$2:$F$1000))&gt;0,TEXT(SUMPRODUCT(MAX((Evermont!$A$2:$A$1000=$A29)*Evermont!$F$2:$F$1000)),"yyyy-mm-dd"),""))))))</f>
        <v/>
      </c>
      <c r="L29" s="132" t="n">
        <f aca="false">IF($A29="","",COUNTIF(E29:K29,"✓"))</f>
        <v>2</v>
      </c>
      <c r="M29" s="133" t="s">
        <v>196</v>
      </c>
      <c r="O29" s="134" t="s">
        <v>173</v>
      </c>
      <c r="P29" s="134" t="s">
        <v>173</v>
      </c>
      <c r="Q29" s="134"/>
      <c r="R29" s="134"/>
      <c r="S29" s="134"/>
      <c r="T29" s="134"/>
      <c r="U29" s="134"/>
      <c r="W29" s="135" t="str">
        <f aca="false">IF($A29="","",IF($X29&lt;&gt;"",$X29,IFERROR(INDEX('Formation Initiale'!$B$2:$B$999,MATCH($A29,'Formation Initiale'!$A$2:$A$999,0)),"Général")))</f>
        <v>176</v>
      </c>
      <c r="X29" s="136"/>
    </row>
    <row r="30" customFormat="false" ht="18" hidden="true" customHeight="true" outlineLevel="0" collapsed="false">
      <c r="A30" s="127" t="s">
        <v>256</v>
      </c>
      <c r="B30" s="128" t="s">
        <v>257</v>
      </c>
      <c r="C30" s="128" t="s">
        <v>258</v>
      </c>
      <c r="D30" s="129" t="s">
        <v>171</v>
      </c>
      <c r="E30" s="130" t="str">
        <f aca="false">IF($O30="✓","✓",IF(ISNUMBER($O30),TEXT($O30,"yyyy-mm-dd"),IF($A30="","",IF(SUMPRODUCT(('Formation Initiale'!$A$2:$A$999=$A30)*('Formation Initiale'!$R$2:$R$999="Terminé"))&gt;0,"✓",IF(SUMPRODUCT(MAX(('Formation Initiale'!$A$2:$A$999=$A30)*'Formation Initiale'!$G$2:$G$999))&gt;0,TEXT(SUMPRODUCT(MAX(('Formation Initiale'!$A$2:$A$999=$A30)*'Formation Initiale'!$G$2:$G$999)),"yyyy-mm-dd"),"")))))</f>
        <v>✓</v>
      </c>
      <c r="F30" s="131" t="str">
        <f aca="false">IF($P30="✓","✓",IF(ISNUMBER($P30),TEXT($P30,"yyyy-mm-dd"),IF($A30="","",IF($D30="Lisbonne","",IF(SUMPRODUCT(('Formation Initiale'!$A$2:$A$999=$A30)*('Formation Initiale'!$R$2:$R$999="Terminé"))&gt;0,"✓",IF(SUMPRODUCT(MAX(('Formation Initiale'!$A$2:$A$999=$A30)*'Formation Initiale'!$G$2:$G$999))&gt;0,TEXT(SUMPRODUCT(MAX(('Formation Initiale'!$A$2:$A$999=$A30)*'Formation Initiale'!$G$2:$G$999)),"yyyy-mm-dd"),""))))))</f>
        <v>✓</v>
      </c>
      <c r="G30" s="131" t="str">
        <f aca="false">IF($Q30="✓","✓",IF(ISNUMBER($Q30),TEXT($Q30,"yyyy-mm-dd"),IF($A30="","",IF(SUMPRODUCT(('Agences &amp; Après-vente'!$A$2:$A$1000=$A30)*(('Agences &amp; Après-vente'!$D$2:$D$1000="Agences")+('Agences &amp; Après-vente'!$D$2:$D$1000="Agences et Après-vente"))*('Agences &amp; Après-vente'!$I$2:$I$1000="DONE"))&gt;0,"✓",IF(SUMPRODUCT(MAX(('Agences &amp; Après-vente'!$A$2:$A$1000=$A30)*(('Agences &amp; Après-vente'!$D$2:$D$1000="Agences")+('Agences &amp; Après-vente'!$D$2:$D$1000="Agences et Après-vente"))*'Agences &amp; Après-vente'!$E$2:$E$1000))&gt;0,TEXT(SUMPRODUCT(MAX(('Agences &amp; Après-vente'!$A$2:$A$1000=$A30)*(('Agences &amp; Après-vente'!$D$2:$D$1000="Agences")+('Agences &amp; Après-vente'!$D$2:$D$1000="Agences et Après-vente"))*'Agences &amp; Après-vente'!$E$2:$E$1000)),"yyyy-mm-dd"),"")))))</f>
        <v>✓</v>
      </c>
      <c r="H30" s="131" t="str">
        <f aca="false">IF($R30="✓","✓",IF(ISNUMBER($R30),TEXT($R30,"yyyy-mm-dd"),IF($A30="","",IF($D30="Lisbonne","",IF(SUMPRODUCT(('Agences &amp; Après-vente'!$A$2:$A$1000=$A30)*(('Agences &amp; Après-vente'!$D$2:$D$1000="Agences")+('Agences &amp; Après-vente'!$D$2:$D$1000="Agences et Après-vente"))*('Agences &amp; Après-vente'!$I$2:$I$1000="DONE"))&gt;0,"✓",IF(SUMPRODUCT(MAX(('Agences &amp; Après-vente'!$A$2:$A$1000=$A30)*(('Agences &amp; Après-vente'!$D$2:$D$1000="Agences")+('Agences &amp; Après-vente'!$D$2:$D$1000="Agences et Après-vente"))*'Agences &amp; Après-vente'!$E$2:$E$1000))&gt;0,TEXT(SUMPRODUCT(MAX(('Agences &amp; Après-vente'!$A$2:$A$1000=$A30)*(('Agences &amp; Après-vente'!$D$2:$D$1000="Agences")+('Agences &amp; Après-vente'!$D$2:$D$1000="Agences et Après-vente"))*'Agences &amp; Après-vente'!$E$2:$E$1000)),"yyyy-mm-dd"),""))))))</f>
        <v>✓</v>
      </c>
      <c r="I30" s="131" t="str">
        <f aca="false">IF($S30="✓","✓",IF(ISNUMBER($S30),TEXT($S30,"yyyy-mm-dd"),IF($A30="","",IF(SUMPRODUCT(('Agences &amp; Après-vente'!$A$2:$A$1000=$A30)*(('Agences &amp; Après-vente'!$D$2:$D$1000="Après-vente")+('Agences &amp; Après-vente'!$D$2:$D$1000="Agences et Après-vente"))*('Agences &amp; Après-vente'!$I$2:$I$1000="DONE"))&gt;0,"✓",IF(SUMPRODUCT(MAX(('Agences &amp; Après-vente'!$A$2:$A$1000=$A30)*(('Agences &amp; Après-vente'!$D$2:$D$1000="Après-vente")+('Agences &amp; Après-vente'!$D$2:$D$1000="Agences et Après-vente"))*'Agences &amp; Après-vente'!$E$2:$E$1000))&gt;0,TEXT(SUMPRODUCT(MAX(('Agences &amp; Après-vente'!$A$2:$A$1000=$A30)*(('Agences &amp; Après-vente'!$D$2:$D$1000="Après-vente")+('Agences &amp; Après-vente'!$D$2:$D$1000="Agences et Après-vente"))*'Agences &amp; Après-vente'!$E$2:$E$1000)),"yyyy-mm-dd"),"")))))</f>
        <v>✓</v>
      </c>
      <c r="J30" s="131" t="str">
        <f aca="false">IF($T30="✓","✓",IF(ISNUMBER($T30),TEXT($T30,"yyyy-mm-dd"),IF($A30="","",IF($D30="Lisbonne","",IF(SUMPRODUCT(('Agences &amp; Après-vente'!$A$2:$A$1000=$A30)*(('Agences &amp; Après-vente'!$D$2:$D$1000="Après-vente")+('Agences &amp; Après-vente'!$D$2:$D$1000="Agences et Après-vente"))*('Agences &amp; Après-vente'!$I$2:$I$1000="DONE"))&gt;0,"✓",IF(SUMPRODUCT(MAX(('Agences &amp; Après-vente'!$A$2:$A$1000=$A30)*(('Agences &amp; Après-vente'!$D$2:$D$1000="Après-vente")+('Agences &amp; Après-vente'!$D$2:$D$1000="Agences et Après-vente"))*'Agences &amp; Après-vente'!$E$2:$E$1000))&gt;0,TEXT(SUMPRODUCT(MAX(('Agences &amp; Après-vente'!$A$2:$A$1000=$A30)*(('Agences &amp; Après-vente'!$D$2:$D$1000="Après-vente")+('Agences &amp; Après-vente'!$D$2:$D$1000="Agences et Après-vente"))*'Agences &amp; Après-vente'!$E$2:$E$1000)),"yyyy-mm-dd"),""))))))</f>
        <v>✓</v>
      </c>
      <c r="K30" s="131" t="str">
        <f aca="false">IF($U30="✓","✓",IF(ISNUMBER($U30),TEXT($U30,"yyyy-mm-dd"),IF($D30="Lisbonne","",IF($A30="","",IF(SUMPRODUCT((Evermont!$A$2:$A$1000=$A30)*(Evermont!$Q$2:$Q$1000="Terminé"))&gt;0,"✓",IF(SUMPRODUCT(MAX((Evermont!$A$2:$A$1000=$A30)*Evermont!$F$2:$F$1000))&gt;0,TEXT(SUMPRODUCT(MAX((Evermont!$A$2:$A$1000=$A30)*Evermont!$F$2:$F$1000)),"yyyy-mm-dd"),""))))))</f>
        <v>✓</v>
      </c>
      <c r="L30" s="132" t="n">
        <f aca="false">IF($A30="","",COUNTIF(E30:K30,"✓"))</f>
        <v>7</v>
      </c>
      <c r="M30" s="133" t="s">
        <v>172</v>
      </c>
      <c r="O30" s="134" t="s">
        <v>173</v>
      </c>
      <c r="P30" s="134" t="s">
        <v>173</v>
      </c>
      <c r="Q30" s="134" t="s">
        <v>173</v>
      </c>
      <c r="R30" s="134" t="s">
        <v>173</v>
      </c>
      <c r="S30" s="134" t="s">
        <v>173</v>
      </c>
      <c r="T30" s="134" t="s">
        <v>173</v>
      </c>
      <c r="U30" s="134" t="s">
        <v>173</v>
      </c>
      <c r="W30" s="135" t="str">
        <f aca="false">IF($A30="","",IF($X30&lt;&gt;"",$X30,IFERROR(INDEX('Formation Initiale'!$B$2:$B$999,MATCH($A30,'Formation Initiale'!$A$2:$A$999,0)),"Général")))</f>
        <v>Général</v>
      </c>
      <c r="X30" s="136"/>
    </row>
    <row r="31" customFormat="false" ht="18" hidden="true" customHeight="true" outlineLevel="0" collapsed="false">
      <c r="A31" s="127" t="s">
        <v>259</v>
      </c>
      <c r="B31" s="128" t="s">
        <v>260</v>
      </c>
      <c r="C31" s="128" t="s">
        <v>261</v>
      </c>
      <c r="D31" s="129" t="s">
        <v>171</v>
      </c>
      <c r="E31" s="130" t="str">
        <f aca="false">IF($O31="✓","✓",IF(ISNUMBER($O31),TEXT($O31,"yyyy-mm-dd"),IF($A31="","",IF(SUMPRODUCT(('Formation Initiale'!$A$2:$A$999=$A31)*('Formation Initiale'!$R$2:$R$999="Terminé"))&gt;0,"✓",IF(SUMPRODUCT(MAX(('Formation Initiale'!$A$2:$A$999=$A31)*'Formation Initiale'!$G$2:$G$999))&gt;0,TEXT(SUMPRODUCT(MAX(('Formation Initiale'!$A$2:$A$999=$A31)*'Formation Initiale'!$G$2:$G$999)),"yyyy-mm-dd"),"")))))</f>
        <v>✓</v>
      </c>
      <c r="F31" s="131" t="str">
        <f aca="false">IF($P31="✓","✓",IF(ISNUMBER($P31),TEXT($P31,"yyyy-mm-dd"),IF($A31="","",IF($D31="Lisbonne","",IF(SUMPRODUCT(('Formation Initiale'!$A$2:$A$999=$A31)*('Formation Initiale'!$R$2:$R$999="Terminé"))&gt;0,"✓",IF(SUMPRODUCT(MAX(('Formation Initiale'!$A$2:$A$999=$A31)*'Formation Initiale'!$G$2:$G$999))&gt;0,TEXT(SUMPRODUCT(MAX(('Formation Initiale'!$A$2:$A$999=$A31)*'Formation Initiale'!$G$2:$G$999)),"yyyy-mm-dd"),""))))))</f>
        <v>✓</v>
      </c>
      <c r="G31" s="131" t="str">
        <f aca="false">IF($Q31="✓","✓",IF(ISNUMBER($Q31),TEXT($Q31,"yyyy-mm-dd"),IF($A31="","",IF(SUMPRODUCT(('Agences &amp; Après-vente'!$A$2:$A$1000=$A31)*(('Agences &amp; Après-vente'!$D$2:$D$1000="Agences")+('Agences &amp; Après-vente'!$D$2:$D$1000="Agences et Après-vente"))*('Agences &amp; Après-vente'!$I$2:$I$1000="DONE"))&gt;0,"✓",IF(SUMPRODUCT(MAX(('Agences &amp; Après-vente'!$A$2:$A$1000=$A31)*(('Agences &amp; Après-vente'!$D$2:$D$1000="Agences")+('Agences &amp; Après-vente'!$D$2:$D$1000="Agences et Après-vente"))*'Agences &amp; Après-vente'!$E$2:$E$1000))&gt;0,TEXT(SUMPRODUCT(MAX(('Agences &amp; Après-vente'!$A$2:$A$1000=$A31)*(('Agences &amp; Après-vente'!$D$2:$D$1000="Agences")+('Agences &amp; Après-vente'!$D$2:$D$1000="Agences et Après-vente"))*'Agences &amp; Après-vente'!$E$2:$E$1000)),"yyyy-mm-dd"),"")))))</f>
        <v>✓</v>
      </c>
      <c r="H31" s="131" t="str">
        <f aca="false">IF($R31="✓","✓",IF(ISNUMBER($R31),TEXT($R31,"yyyy-mm-dd"),IF($A31="","",IF($D31="Lisbonne","",IF(SUMPRODUCT(('Agences &amp; Après-vente'!$A$2:$A$1000=$A31)*(('Agences &amp; Après-vente'!$D$2:$D$1000="Agences")+('Agences &amp; Après-vente'!$D$2:$D$1000="Agences et Après-vente"))*('Agences &amp; Après-vente'!$I$2:$I$1000="DONE"))&gt;0,"✓",IF(SUMPRODUCT(MAX(('Agences &amp; Après-vente'!$A$2:$A$1000=$A31)*(('Agences &amp; Après-vente'!$D$2:$D$1000="Agences")+('Agences &amp; Après-vente'!$D$2:$D$1000="Agences et Après-vente"))*'Agences &amp; Après-vente'!$E$2:$E$1000))&gt;0,TEXT(SUMPRODUCT(MAX(('Agences &amp; Après-vente'!$A$2:$A$1000=$A31)*(('Agences &amp; Après-vente'!$D$2:$D$1000="Agences")+('Agences &amp; Après-vente'!$D$2:$D$1000="Agences et Après-vente"))*'Agences &amp; Après-vente'!$E$2:$E$1000)),"yyyy-mm-dd"),""))))))</f>
        <v>✓</v>
      </c>
      <c r="I31" s="131" t="str">
        <f aca="false">IF($S31="✓","✓",IF(ISNUMBER($S31),TEXT($S31,"yyyy-mm-dd"),IF($A31="","",IF(SUMPRODUCT(('Agences &amp; Après-vente'!$A$2:$A$1000=$A31)*(('Agences &amp; Après-vente'!$D$2:$D$1000="Après-vente")+('Agences &amp; Après-vente'!$D$2:$D$1000="Agences et Après-vente"))*('Agences &amp; Après-vente'!$I$2:$I$1000="DONE"))&gt;0,"✓",IF(SUMPRODUCT(MAX(('Agences &amp; Après-vente'!$A$2:$A$1000=$A31)*(('Agences &amp; Après-vente'!$D$2:$D$1000="Après-vente")+('Agences &amp; Après-vente'!$D$2:$D$1000="Agences et Après-vente"))*'Agences &amp; Après-vente'!$E$2:$E$1000))&gt;0,TEXT(SUMPRODUCT(MAX(('Agences &amp; Après-vente'!$A$2:$A$1000=$A31)*(('Agences &amp; Après-vente'!$D$2:$D$1000="Après-vente")+('Agences &amp; Après-vente'!$D$2:$D$1000="Agences et Après-vente"))*'Agences &amp; Après-vente'!$E$2:$E$1000)),"yyyy-mm-dd"),"")))))</f>
        <v>✓</v>
      </c>
      <c r="J31" s="131" t="str">
        <f aca="false">IF($T31="✓","✓",IF(ISNUMBER($T31),TEXT($T31,"yyyy-mm-dd"),IF($A31="","",IF($D31="Lisbonne","",IF(SUMPRODUCT(('Agences &amp; Après-vente'!$A$2:$A$1000=$A31)*(('Agences &amp; Après-vente'!$D$2:$D$1000="Après-vente")+('Agences &amp; Après-vente'!$D$2:$D$1000="Agences et Après-vente"))*('Agences &amp; Après-vente'!$I$2:$I$1000="DONE"))&gt;0,"✓",IF(SUMPRODUCT(MAX(('Agences &amp; Après-vente'!$A$2:$A$1000=$A31)*(('Agences &amp; Après-vente'!$D$2:$D$1000="Après-vente")+('Agences &amp; Après-vente'!$D$2:$D$1000="Agences et Après-vente"))*'Agences &amp; Après-vente'!$E$2:$E$1000))&gt;0,TEXT(SUMPRODUCT(MAX(('Agences &amp; Après-vente'!$A$2:$A$1000=$A31)*(('Agences &amp; Après-vente'!$D$2:$D$1000="Après-vente")+('Agences &amp; Après-vente'!$D$2:$D$1000="Agences et Après-vente"))*'Agences &amp; Après-vente'!$E$2:$E$1000)),"yyyy-mm-dd"),""))))))</f>
        <v>✓</v>
      </c>
      <c r="K31" s="131" t="str">
        <f aca="false">IF($U31="✓","✓",IF(ISNUMBER($U31),TEXT($U31,"yyyy-mm-dd"),IF($D31="Lisbonne","",IF($A31="","",IF(SUMPRODUCT((Evermont!$A$2:$A$1000=$A31)*(Evermont!$Q$2:$Q$1000="Terminé"))&gt;0,"✓",IF(SUMPRODUCT(MAX((Evermont!$A$2:$A$1000=$A31)*Evermont!$F$2:$F$1000))&gt;0,TEXT(SUMPRODUCT(MAX((Evermont!$A$2:$A$1000=$A31)*Evermont!$F$2:$F$1000)),"yyyy-mm-dd"),""))))))</f>
        <v>✓</v>
      </c>
      <c r="L31" s="132" t="n">
        <f aca="false">IF($A31="","",COUNTIF(E31:K31,"✓"))</f>
        <v>7</v>
      </c>
      <c r="M31" s="133" t="s">
        <v>172</v>
      </c>
      <c r="O31" s="134" t="s">
        <v>173</v>
      </c>
      <c r="P31" s="134" t="s">
        <v>173</v>
      </c>
      <c r="Q31" s="134" t="s">
        <v>173</v>
      </c>
      <c r="R31" s="134" t="s">
        <v>173</v>
      </c>
      <c r="S31" s="134" t="s">
        <v>173</v>
      </c>
      <c r="T31" s="134" t="s">
        <v>173</v>
      </c>
      <c r="U31" s="134"/>
      <c r="W31" s="135" t="str">
        <f aca="false">IF($A31="","",IF($X31&lt;&gt;"",$X31,IFERROR(INDEX('Formation Initiale'!$B$2:$B$999,MATCH($A31,'Formation Initiale'!$A$2:$A$999,0)),"Général")))</f>
        <v>Général</v>
      </c>
      <c r="X31" s="136"/>
    </row>
    <row r="32" customFormat="false" ht="18" hidden="true" customHeight="true" outlineLevel="0" collapsed="false">
      <c r="A32" s="127" t="s">
        <v>262</v>
      </c>
      <c r="B32" s="128" t="s">
        <v>263</v>
      </c>
      <c r="C32" s="128" t="s">
        <v>264</v>
      </c>
      <c r="D32" s="129" t="s">
        <v>171</v>
      </c>
      <c r="E32" s="130" t="str">
        <f aca="false">IF($O32="✓","✓",IF(ISNUMBER($O32),TEXT($O32,"yyyy-mm-dd"),IF($A32="","",IF(SUMPRODUCT(('Formation Initiale'!$A$2:$A$999=$A32)*('Formation Initiale'!$R$2:$R$999="Terminé"))&gt;0,"✓",IF(SUMPRODUCT(MAX(('Formation Initiale'!$A$2:$A$999=$A32)*'Formation Initiale'!$G$2:$G$999))&gt;0,TEXT(SUMPRODUCT(MAX(('Formation Initiale'!$A$2:$A$999=$A32)*'Formation Initiale'!$G$2:$G$999)),"yyyy-mm-dd"),"")))))</f>
        <v>✓</v>
      </c>
      <c r="F32" s="131" t="str">
        <f aca="false">IF($P32="✓","✓",IF(ISNUMBER($P32),TEXT($P32,"yyyy-mm-dd"),IF($A32="","",IF($D32="Lisbonne","",IF(SUMPRODUCT(('Formation Initiale'!$A$2:$A$999=$A32)*('Formation Initiale'!$R$2:$R$999="Terminé"))&gt;0,"✓",IF(SUMPRODUCT(MAX(('Formation Initiale'!$A$2:$A$999=$A32)*'Formation Initiale'!$G$2:$G$999))&gt;0,TEXT(SUMPRODUCT(MAX(('Formation Initiale'!$A$2:$A$999=$A32)*'Formation Initiale'!$G$2:$G$999)),"yyyy-mm-dd"),""))))))</f>
        <v>✓</v>
      </c>
      <c r="G32" s="131" t="str">
        <f aca="false">IF($Q32="✓","✓",IF(ISNUMBER($Q32),TEXT($Q32,"yyyy-mm-dd"),IF($A32="","",IF(SUMPRODUCT(('Agences &amp; Après-vente'!$A$2:$A$1000=$A32)*(('Agences &amp; Après-vente'!$D$2:$D$1000="Agences")+('Agences &amp; Après-vente'!$D$2:$D$1000="Agences et Après-vente"))*('Agences &amp; Après-vente'!$I$2:$I$1000="DONE"))&gt;0,"✓",IF(SUMPRODUCT(MAX(('Agences &amp; Après-vente'!$A$2:$A$1000=$A32)*(('Agences &amp; Après-vente'!$D$2:$D$1000="Agences")+('Agences &amp; Après-vente'!$D$2:$D$1000="Agences et Après-vente"))*'Agences &amp; Après-vente'!$E$2:$E$1000))&gt;0,TEXT(SUMPRODUCT(MAX(('Agences &amp; Après-vente'!$A$2:$A$1000=$A32)*(('Agences &amp; Après-vente'!$D$2:$D$1000="Agences")+('Agences &amp; Après-vente'!$D$2:$D$1000="Agences et Après-vente"))*'Agences &amp; Après-vente'!$E$2:$E$1000)),"yyyy-mm-dd"),"")))))</f>
        <v>✓</v>
      </c>
      <c r="H32" s="131" t="str">
        <f aca="false">IF($R32="✓","✓",IF(ISNUMBER($R32),TEXT($R32,"yyyy-mm-dd"),IF($A32="","",IF($D32="Lisbonne","",IF(SUMPRODUCT(('Agences &amp; Après-vente'!$A$2:$A$1000=$A32)*(('Agences &amp; Après-vente'!$D$2:$D$1000="Agences")+('Agences &amp; Après-vente'!$D$2:$D$1000="Agences et Après-vente"))*('Agences &amp; Après-vente'!$I$2:$I$1000="DONE"))&gt;0,"✓",IF(SUMPRODUCT(MAX(('Agences &amp; Après-vente'!$A$2:$A$1000=$A32)*(('Agences &amp; Après-vente'!$D$2:$D$1000="Agences")+('Agences &amp; Après-vente'!$D$2:$D$1000="Agences et Après-vente"))*'Agences &amp; Après-vente'!$E$2:$E$1000))&gt;0,TEXT(SUMPRODUCT(MAX(('Agences &amp; Après-vente'!$A$2:$A$1000=$A32)*(('Agences &amp; Après-vente'!$D$2:$D$1000="Agences")+('Agences &amp; Après-vente'!$D$2:$D$1000="Agences et Après-vente"))*'Agences &amp; Après-vente'!$E$2:$E$1000)),"yyyy-mm-dd"),""))))))</f>
        <v>✓</v>
      </c>
      <c r="I32" s="131" t="str">
        <f aca="false">IF($S32="✓","✓",IF(ISNUMBER($S32),TEXT($S32,"yyyy-mm-dd"),IF($A32="","",IF(SUMPRODUCT(('Agences &amp; Après-vente'!$A$2:$A$1000=$A32)*(('Agences &amp; Après-vente'!$D$2:$D$1000="Après-vente")+('Agences &amp; Après-vente'!$D$2:$D$1000="Agences et Après-vente"))*('Agences &amp; Après-vente'!$I$2:$I$1000="DONE"))&gt;0,"✓",IF(SUMPRODUCT(MAX(('Agences &amp; Après-vente'!$A$2:$A$1000=$A32)*(('Agences &amp; Après-vente'!$D$2:$D$1000="Après-vente")+('Agences &amp; Après-vente'!$D$2:$D$1000="Agences et Après-vente"))*'Agences &amp; Après-vente'!$E$2:$E$1000))&gt;0,TEXT(SUMPRODUCT(MAX(('Agences &amp; Après-vente'!$A$2:$A$1000=$A32)*(('Agences &amp; Après-vente'!$D$2:$D$1000="Après-vente")+('Agences &amp; Après-vente'!$D$2:$D$1000="Agences et Après-vente"))*'Agences &amp; Après-vente'!$E$2:$E$1000)),"yyyy-mm-dd"),"")))))</f>
        <v>✓</v>
      </c>
      <c r="J32" s="131" t="str">
        <f aca="false">IF($T32="✓","✓",IF(ISNUMBER($T32),TEXT($T32,"yyyy-mm-dd"),IF($A32="","",IF($D32="Lisbonne","",IF(SUMPRODUCT(('Agences &amp; Après-vente'!$A$2:$A$1000=$A32)*(('Agences &amp; Après-vente'!$D$2:$D$1000="Après-vente")+('Agences &amp; Après-vente'!$D$2:$D$1000="Agences et Après-vente"))*('Agences &amp; Après-vente'!$I$2:$I$1000="DONE"))&gt;0,"✓",IF(SUMPRODUCT(MAX(('Agences &amp; Après-vente'!$A$2:$A$1000=$A32)*(('Agences &amp; Après-vente'!$D$2:$D$1000="Après-vente")+('Agences &amp; Après-vente'!$D$2:$D$1000="Agences et Après-vente"))*'Agences &amp; Après-vente'!$E$2:$E$1000))&gt;0,TEXT(SUMPRODUCT(MAX(('Agences &amp; Après-vente'!$A$2:$A$1000=$A32)*(('Agences &amp; Après-vente'!$D$2:$D$1000="Après-vente")+('Agences &amp; Après-vente'!$D$2:$D$1000="Agences et Après-vente"))*'Agences &amp; Après-vente'!$E$2:$E$1000)),"yyyy-mm-dd"),""))))))</f>
        <v>✓</v>
      </c>
      <c r="K32" s="131" t="str">
        <f aca="false">IF($U32="✓","✓",IF(ISNUMBER($U32),TEXT($U32,"yyyy-mm-dd"),IF($D32="Lisbonne","",IF($A32="","",IF(SUMPRODUCT((Evermont!$A$2:$A$1000=$A32)*(Evermont!$Q$2:$Q$1000="Terminé"))&gt;0,"✓",IF(SUMPRODUCT(MAX((Evermont!$A$2:$A$1000=$A32)*Evermont!$F$2:$F$1000))&gt;0,TEXT(SUMPRODUCT(MAX((Evermont!$A$2:$A$1000=$A32)*Evermont!$F$2:$F$1000)),"yyyy-mm-dd"),""))))))</f>
        <v>✓</v>
      </c>
      <c r="L32" s="132" t="n">
        <f aca="false">IF($A32="","",COUNTIF(E32:K32,"✓"))</f>
        <v>7</v>
      </c>
      <c r="M32" s="133" t="s">
        <v>172</v>
      </c>
      <c r="O32" s="134" t="s">
        <v>173</v>
      </c>
      <c r="P32" s="134" t="s">
        <v>173</v>
      </c>
      <c r="Q32" s="134" t="s">
        <v>173</v>
      </c>
      <c r="R32" s="134" t="s">
        <v>173</v>
      </c>
      <c r="S32" s="134"/>
      <c r="T32" s="134"/>
      <c r="U32" s="134" t="s">
        <v>173</v>
      </c>
      <c r="W32" s="135" t="str">
        <f aca="false">IF($A32="","",IF($X32&lt;&gt;"",$X32,IFERROR(INDEX('Formation Initiale'!$B$2:$B$999,MATCH($A32,'Formation Initiale'!$A$2:$A$999,0)),"Général")))</f>
        <v>Général</v>
      </c>
      <c r="X32" s="136"/>
    </row>
    <row r="33" customFormat="false" ht="18" hidden="true" customHeight="true" outlineLevel="0" collapsed="false">
      <c r="A33" s="137" t="s">
        <v>265</v>
      </c>
      <c r="B33" s="128" t="s">
        <v>266</v>
      </c>
      <c r="C33" s="128" t="s">
        <v>267</v>
      </c>
      <c r="D33" s="129" t="s">
        <v>186</v>
      </c>
      <c r="E33" s="130" t="str">
        <f aca="false">IF($O33="✓","✓",IF(ISNUMBER($O33),TEXT($O33,"yyyy-mm-dd"),IF($A33="","",IF(SUMPRODUCT(('Formation Initiale'!$A$2:$A$999=$A33)*('Formation Initiale'!$R$2:$R$999="Terminé"))&gt;0,"✓",IF(SUMPRODUCT(MAX(('Formation Initiale'!$A$2:$A$999=$A33)*'Formation Initiale'!$G$2:$G$999))&gt;0,TEXT(SUMPRODUCT(MAX(('Formation Initiale'!$A$2:$A$999=$A33)*'Formation Initiale'!$G$2:$G$999)),"yyyy-mm-dd"),"")))))</f>
        <v>✓</v>
      </c>
      <c r="F33" s="131" t="str">
        <f aca="false">IF($P33="✓","✓",IF(ISNUMBER($P33),TEXT($P33,"yyyy-mm-dd"),IF($A33="","",IF($D33="Lisbonne","",IF(SUMPRODUCT(('Formation Initiale'!$A$2:$A$999=$A33)*('Formation Initiale'!$R$2:$R$999="Terminé"))&gt;0,"✓",IF(SUMPRODUCT(MAX(('Formation Initiale'!$A$2:$A$999=$A33)*'Formation Initiale'!$G$2:$G$999))&gt;0,TEXT(SUMPRODUCT(MAX(('Formation Initiale'!$A$2:$A$999=$A33)*'Formation Initiale'!$G$2:$G$999)),"yyyy-mm-dd"),""))))))</f>
        <v/>
      </c>
      <c r="G33" s="131" t="str">
        <f aca="false">IF($Q33="✓","✓",IF(ISNUMBER($Q33),TEXT($Q33,"yyyy-mm-dd"),IF($A33="","",IF(SUMPRODUCT(('Agences &amp; Après-vente'!$A$2:$A$1000=$A33)*(('Agences &amp; Après-vente'!$D$2:$D$1000="Agences")+('Agences &amp; Après-vente'!$D$2:$D$1000="Agences et Après-vente"))*('Agences &amp; Après-vente'!$I$2:$I$1000="DONE"))&gt;0,"✓",IF(SUMPRODUCT(MAX(('Agences &amp; Après-vente'!$A$2:$A$1000=$A33)*(('Agences &amp; Après-vente'!$D$2:$D$1000="Agences")+('Agences &amp; Après-vente'!$D$2:$D$1000="Agences et Après-vente"))*'Agences &amp; Après-vente'!$E$2:$E$1000))&gt;0,TEXT(SUMPRODUCT(MAX(('Agences &amp; Après-vente'!$A$2:$A$1000=$A33)*(('Agences &amp; Après-vente'!$D$2:$D$1000="Agences")+('Agences &amp; Après-vente'!$D$2:$D$1000="Agences et Après-vente"))*'Agences &amp; Après-vente'!$E$2:$E$1000)),"yyyy-mm-dd"),"")))))</f>
        <v>✓</v>
      </c>
      <c r="H33" s="131" t="str">
        <f aca="false">IF($R33="✓","✓",IF(ISNUMBER($R33),TEXT($R33,"yyyy-mm-dd"),IF($A33="","",IF($D33="Lisbonne","",IF(SUMPRODUCT(('Agences &amp; Après-vente'!$A$2:$A$1000=$A33)*(('Agences &amp; Après-vente'!$D$2:$D$1000="Agences")+('Agences &amp; Après-vente'!$D$2:$D$1000="Agences et Après-vente"))*('Agences &amp; Après-vente'!$I$2:$I$1000="DONE"))&gt;0,"✓",IF(SUMPRODUCT(MAX(('Agences &amp; Après-vente'!$A$2:$A$1000=$A33)*(('Agences &amp; Après-vente'!$D$2:$D$1000="Agences")+('Agences &amp; Après-vente'!$D$2:$D$1000="Agences et Après-vente"))*'Agences &amp; Après-vente'!$E$2:$E$1000))&gt;0,TEXT(SUMPRODUCT(MAX(('Agences &amp; Après-vente'!$A$2:$A$1000=$A33)*(('Agences &amp; Après-vente'!$D$2:$D$1000="Agences")+('Agences &amp; Après-vente'!$D$2:$D$1000="Agences et Après-vente"))*'Agences &amp; Après-vente'!$E$2:$E$1000)),"yyyy-mm-dd"),""))))))</f>
        <v/>
      </c>
      <c r="I33" s="131" t="str">
        <f aca="false">IF($S33="✓","✓",IF(ISNUMBER($S33),TEXT($S33,"yyyy-mm-dd"),IF($A33="","",IF(SUMPRODUCT(('Agences &amp; Après-vente'!$A$2:$A$1000=$A33)*(('Agences &amp; Après-vente'!$D$2:$D$1000="Après-vente")+('Agences &amp; Après-vente'!$D$2:$D$1000="Agences et Après-vente"))*('Agences &amp; Après-vente'!$I$2:$I$1000="DONE"))&gt;0,"✓",IF(SUMPRODUCT(MAX(('Agences &amp; Après-vente'!$A$2:$A$1000=$A33)*(('Agences &amp; Après-vente'!$D$2:$D$1000="Après-vente")+('Agences &amp; Après-vente'!$D$2:$D$1000="Agences et Après-vente"))*'Agences &amp; Après-vente'!$E$2:$E$1000))&gt;0,TEXT(SUMPRODUCT(MAX(('Agences &amp; Après-vente'!$A$2:$A$1000=$A33)*(('Agences &amp; Après-vente'!$D$2:$D$1000="Après-vente")+('Agences &amp; Après-vente'!$D$2:$D$1000="Agences et Après-vente"))*'Agences &amp; Après-vente'!$E$2:$E$1000)),"yyyy-mm-dd"),"")))))</f>
        <v/>
      </c>
      <c r="J33" s="131" t="str">
        <f aca="false">IF($T33="✓","✓",IF(ISNUMBER($T33),TEXT($T33,"yyyy-mm-dd"),IF($A33="","",IF($D33="Lisbonne","",IF(SUMPRODUCT(('Agences &amp; Après-vente'!$A$2:$A$1000=$A33)*(('Agences &amp; Après-vente'!$D$2:$D$1000="Après-vente")+('Agences &amp; Après-vente'!$D$2:$D$1000="Agences et Après-vente"))*('Agences &amp; Après-vente'!$I$2:$I$1000="DONE"))&gt;0,"✓",IF(SUMPRODUCT(MAX(('Agences &amp; Après-vente'!$A$2:$A$1000=$A33)*(('Agences &amp; Après-vente'!$D$2:$D$1000="Après-vente")+('Agences &amp; Après-vente'!$D$2:$D$1000="Agences et Après-vente"))*'Agences &amp; Après-vente'!$E$2:$E$1000))&gt;0,TEXT(SUMPRODUCT(MAX(('Agences &amp; Après-vente'!$A$2:$A$1000=$A33)*(('Agences &amp; Après-vente'!$D$2:$D$1000="Après-vente")+('Agences &amp; Après-vente'!$D$2:$D$1000="Agences et Après-vente"))*'Agences &amp; Après-vente'!$E$2:$E$1000)),"yyyy-mm-dd"),""))))))</f>
        <v/>
      </c>
      <c r="K33" s="131" t="str">
        <f aca="false">IF($U33="✓","✓",IF(ISNUMBER($U33),TEXT($U33,"yyyy-mm-dd"),IF($D33="Lisbonne","",IF($A33="","",IF(SUMPRODUCT((Evermont!$A$2:$A$1000=$A33)*(Evermont!$Q$2:$Q$1000="Terminé"))&gt;0,"✓",IF(SUMPRODUCT(MAX((Evermont!$A$2:$A$1000=$A33)*Evermont!$F$2:$F$1000))&gt;0,TEXT(SUMPRODUCT(MAX((Evermont!$A$2:$A$1000=$A33)*Evermont!$F$2:$F$1000)),"yyyy-mm-dd"),""))))))</f>
        <v/>
      </c>
      <c r="L33" s="132" t="n">
        <f aca="false">IF($A33="","",COUNTIF(E33:K33,"✓"))</f>
        <v>2</v>
      </c>
      <c r="M33" s="133" t="s">
        <v>172</v>
      </c>
      <c r="O33" s="134" t="s">
        <v>173</v>
      </c>
      <c r="P33" s="134"/>
      <c r="Q33" s="134"/>
      <c r="R33" s="134"/>
      <c r="S33" s="134"/>
      <c r="T33" s="134"/>
      <c r="U33" s="134"/>
      <c r="W33" s="135" t="str">
        <f aca="false">IF($A33="","",IF($X33&lt;&gt;"",$X33,IFERROR(INDEX('Formation Initiale'!$B$2:$B$999,MATCH($A33,'Formation Initiale'!$A$2:$A$999,0)),"Général")))</f>
        <v>OS5</v>
      </c>
      <c r="X33" s="136"/>
    </row>
    <row r="34" customFormat="false" ht="18" hidden="true" customHeight="true" outlineLevel="0" collapsed="false">
      <c r="A34" s="127" t="s">
        <v>268</v>
      </c>
      <c r="B34" s="128" t="s">
        <v>269</v>
      </c>
      <c r="C34" s="128" t="s">
        <v>270</v>
      </c>
      <c r="D34" s="129" t="s">
        <v>171</v>
      </c>
      <c r="E34" s="130" t="str">
        <f aca="false">IF($O34="✓","✓",IF(ISNUMBER($O34),TEXT($O34,"yyyy-mm-dd"),IF($A34="","",IF(SUMPRODUCT(('Formation Initiale'!$A$2:$A$999=$A34)*('Formation Initiale'!$R$2:$R$999="Terminé"))&gt;0,"✓",IF(SUMPRODUCT(MAX(('Formation Initiale'!$A$2:$A$999=$A34)*'Formation Initiale'!$G$2:$G$999))&gt;0,TEXT(SUMPRODUCT(MAX(('Formation Initiale'!$A$2:$A$999=$A34)*'Formation Initiale'!$G$2:$G$999)),"yyyy-mm-dd"),"")))))</f>
        <v>✓</v>
      </c>
      <c r="F34" s="131" t="str">
        <f aca="false">IF($P34="✓","✓",IF(ISNUMBER($P34),TEXT($P34,"yyyy-mm-dd"),IF($A34="","",IF($D34="Lisbonne","",IF(SUMPRODUCT(('Formation Initiale'!$A$2:$A$999=$A34)*('Formation Initiale'!$R$2:$R$999="Terminé"))&gt;0,"✓",IF(SUMPRODUCT(MAX(('Formation Initiale'!$A$2:$A$999=$A34)*'Formation Initiale'!$G$2:$G$999))&gt;0,TEXT(SUMPRODUCT(MAX(('Formation Initiale'!$A$2:$A$999=$A34)*'Formation Initiale'!$G$2:$G$999)),"yyyy-mm-dd"),""))))))</f>
        <v>✓</v>
      </c>
      <c r="G34" s="131" t="str">
        <f aca="false">IF($Q34="✓","✓",IF(ISNUMBER($Q34),TEXT($Q34,"yyyy-mm-dd"),IF($A34="","",IF(SUMPRODUCT(('Agences &amp; Après-vente'!$A$2:$A$1000=$A34)*(('Agences &amp; Après-vente'!$D$2:$D$1000="Agences")+('Agences &amp; Après-vente'!$D$2:$D$1000="Agences et Après-vente"))*('Agences &amp; Après-vente'!$I$2:$I$1000="DONE"))&gt;0,"✓",IF(SUMPRODUCT(MAX(('Agences &amp; Après-vente'!$A$2:$A$1000=$A34)*(('Agences &amp; Après-vente'!$D$2:$D$1000="Agences")+('Agences &amp; Après-vente'!$D$2:$D$1000="Agences et Après-vente"))*'Agences &amp; Après-vente'!$E$2:$E$1000))&gt;0,TEXT(SUMPRODUCT(MAX(('Agences &amp; Après-vente'!$A$2:$A$1000=$A34)*(('Agences &amp; Après-vente'!$D$2:$D$1000="Agences")+('Agences &amp; Après-vente'!$D$2:$D$1000="Agences et Après-vente"))*'Agences &amp; Après-vente'!$E$2:$E$1000)),"yyyy-mm-dd"),"")))))</f>
        <v>✓</v>
      </c>
      <c r="H34" s="131" t="str">
        <f aca="false">IF($R34="✓","✓",IF(ISNUMBER($R34),TEXT($R34,"yyyy-mm-dd"),IF($A34="","",IF($D34="Lisbonne","",IF(SUMPRODUCT(('Agences &amp; Après-vente'!$A$2:$A$1000=$A34)*(('Agences &amp; Après-vente'!$D$2:$D$1000="Agences")+('Agences &amp; Après-vente'!$D$2:$D$1000="Agences et Après-vente"))*('Agences &amp; Après-vente'!$I$2:$I$1000="DONE"))&gt;0,"✓",IF(SUMPRODUCT(MAX(('Agences &amp; Après-vente'!$A$2:$A$1000=$A34)*(('Agences &amp; Après-vente'!$D$2:$D$1000="Agences")+('Agences &amp; Après-vente'!$D$2:$D$1000="Agences et Après-vente"))*'Agences &amp; Après-vente'!$E$2:$E$1000))&gt;0,TEXT(SUMPRODUCT(MAX(('Agences &amp; Après-vente'!$A$2:$A$1000=$A34)*(('Agences &amp; Après-vente'!$D$2:$D$1000="Agences")+('Agences &amp; Après-vente'!$D$2:$D$1000="Agences et Après-vente"))*'Agences &amp; Après-vente'!$E$2:$E$1000)),"yyyy-mm-dd"),""))))))</f>
        <v>✓</v>
      </c>
      <c r="I34" s="131" t="str">
        <f aca="false">IF($S34="✓","✓",IF(ISNUMBER($S34),TEXT($S34,"yyyy-mm-dd"),IF($A34="","",IF(SUMPRODUCT(('Agences &amp; Après-vente'!$A$2:$A$1000=$A34)*(('Agences &amp; Après-vente'!$D$2:$D$1000="Après-vente")+('Agences &amp; Après-vente'!$D$2:$D$1000="Agences et Après-vente"))*('Agences &amp; Après-vente'!$I$2:$I$1000="DONE"))&gt;0,"✓",IF(SUMPRODUCT(MAX(('Agences &amp; Après-vente'!$A$2:$A$1000=$A34)*(('Agences &amp; Après-vente'!$D$2:$D$1000="Après-vente")+('Agences &amp; Après-vente'!$D$2:$D$1000="Agences et Après-vente"))*'Agences &amp; Après-vente'!$E$2:$E$1000))&gt;0,TEXT(SUMPRODUCT(MAX(('Agences &amp; Après-vente'!$A$2:$A$1000=$A34)*(('Agences &amp; Après-vente'!$D$2:$D$1000="Après-vente")+('Agences &amp; Après-vente'!$D$2:$D$1000="Agences et Après-vente"))*'Agences &amp; Après-vente'!$E$2:$E$1000)),"yyyy-mm-dd"),"")))))</f>
        <v>✓</v>
      </c>
      <c r="J34" s="131" t="str">
        <f aca="false">IF($T34="✓","✓",IF(ISNUMBER($T34),TEXT($T34,"yyyy-mm-dd"),IF($A34="","",IF($D34="Lisbonne","",IF(SUMPRODUCT(('Agences &amp; Après-vente'!$A$2:$A$1000=$A34)*(('Agences &amp; Après-vente'!$D$2:$D$1000="Après-vente")+('Agences &amp; Après-vente'!$D$2:$D$1000="Agences et Après-vente"))*('Agences &amp; Après-vente'!$I$2:$I$1000="DONE"))&gt;0,"✓",IF(SUMPRODUCT(MAX(('Agences &amp; Après-vente'!$A$2:$A$1000=$A34)*(('Agences &amp; Après-vente'!$D$2:$D$1000="Après-vente")+('Agences &amp; Après-vente'!$D$2:$D$1000="Agences et Après-vente"))*'Agences &amp; Après-vente'!$E$2:$E$1000))&gt;0,TEXT(SUMPRODUCT(MAX(('Agences &amp; Après-vente'!$A$2:$A$1000=$A34)*(('Agences &amp; Après-vente'!$D$2:$D$1000="Après-vente")+('Agences &amp; Après-vente'!$D$2:$D$1000="Agences et Après-vente"))*'Agences &amp; Après-vente'!$E$2:$E$1000)),"yyyy-mm-dd"),""))))))</f>
        <v>✓</v>
      </c>
      <c r="K34" s="131" t="str">
        <f aca="false">IF($U34="✓","✓",IF(ISNUMBER($U34),TEXT($U34,"yyyy-mm-dd"),IF($D34="Lisbonne","",IF($A34="","",IF(SUMPRODUCT((Evermont!$A$2:$A$1000=$A34)*(Evermont!$Q$2:$Q$1000="Terminé"))&gt;0,"✓",IF(SUMPRODUCT(MAX((Evermont!$A$2:$A$1000=$A34)*Evermont!$F$2:$F$1000))&gt;0,TEXT(SUMPRODUCT(MAX((Evermont!$A$2:$A$1000=$A34)*Evermont!$F$2:$F$1000)),"yyyy-mm-dd"),""))))))</f>
        <v>✓</v>
      </c>
      <c r="L34" s="132" t="n">
        <f aca="false">IF($A34="","",COUNTIF(E34:K34,"✓"))</f>
        <v>7</v>
      </c>
      <c r="M34" s="133" t="s">
        <v>172</v>
      </c>
      <c r="O34" s="134" t="s">
        <v>173</v>
      </c>
      <c r="P34" s="134" t="s">
        <v>173</v>
      </c>
      <c r="Q34" s="134" t="s">
        <v>173</v>
      </c>
      <c r="R34" s="134" t="s">
        <v>173</v>
      </c>
      <c r="S34" s="134" t="s">
        <v>173</v>
      </c>
      <c r="T34" s="134" t="s">
        <v>173</v>
      </c>
      <c r="U34" s="134" t="s">
        <v>173</v>
      </c>
      <c r="W34" s="135" t="str">
        <f aca="false">IF($A34="","",IF($X34&lt;&gt;"",$X34,IFERROR(INDEX('Formation Initiale'!$B$2:$B$999,MATCH($A34,'Formation Initiale'!$A$2:$A$999,0)),"Général")))</f>
        <v>Général</v>
      </c>
      <c r="X34" s="136"/>
    </row>
    <row r="35" customFormat="false" ht="18" hidden="true" customHeight="true" outlineLevel="0" collapsed="false">
      <c r="A35" s="138" t="s">
        <v>271</v>
      </c>
      <c r="B35" s="128" t="s">
        <v>272</v>
      </c>
      <c r="C35" s="128" t="s">
        <v>273</v>
      </c>
      <c r="D35" s="129" t="s">
        <v>186</v>
      </c>
      <c r="E35" s="130" t="str">
        <f aca="false">IF($O35="✓","✓",IF(ISNUMBER($O35),TEXT($O35,"yyyy-mm-dd"),IF($A35="","",IF(SUMPRODUCT(('Formation Initiale'!$A$2:$A$999=$A35)*('Formation Initiale'!$R$2:$R$999="Terminé"))&gt;0,"✓",IF(SUMPRODUCT(MAX(('Formation Initiale'!$A$2:$A$999=$A35)*'Formation Initiale'!$G$2:$G$999))&gt;0,TEXT(SUMPRODUCT(MAX(('Formation Initiale'!$A$2:$A$999=$A35)*'Formation Initiale'!$G$2:$G$999)),"yyyy-mm-dd"),"")))))</f>
        <v>✓</v>
      </c>
      <c r="F35" s="131" t="str">
        <f aca="false">IF($P35="✓","✓",IF(ISNUMBER($P35),TEXT($P35,"yyyy-mm-dd"),IF($A35="","",IF($D35="Lisbonne","",IF(SUMPRODUCT(('Formation Initiale'!$A$2:$A$999=$A35)*('Formation Initiale'!$R$2:$R$999="Terminé"))&gt;0,"✓",IF(SUMPRODUCT(MAX(('Formation Initiale'!$A$2:$A$999=$A35)*'Formation Initiale'!$G$2:$G$999))&gt;0,TEXT(SUMPRODUCT(MAX(('Formation Initiale'!$A$2:$A$999=$A35)*'Formation Initiale'!$G$2:$G$999)),"yyyy-mm-dd"),""))))))</f>
        <v/>
      </c>
      <c r="G35" s="131" t="str">
        <f aca="false">IF($Q35="✓","✓",IF(ISNUMBER($Q35),TEXT($Q35,"yyyy-mm-dd"),IF($A35="","",IF(SUMPRODUCT(('Agences &amp; Après-vente'!$A$2:$A$1000=$A35)*(('Agences &amp; Après-vente'!$D$2:$D$1000="Agences")+('Agences &amp; Après-vente'!$D$2:$D$1000="Agences et Après-vente"))*('Agences &amp; Après-vente'!$I$2:$I$1000="DONE"))&gt;0,"✓",IF(SUMPRODUCT(MAX(('Agences &amp; Après-vente'!$A$2:$A$1000=$A35)*(('Agences &amp; Après-vente'!$D$2:$D$1000="Agences")+('Agences &amp; Après-vente'!$D$2:$D$1000="Agences et Après-vente"))*'Agences &amp; Après-vente'!$E$2:$E$1000))&gt;0,TEXT(SUMPRODUCT(MAX(('Agences &amp; Après-vente'!$A$2:$A$1000=$A35)*(('Agences &amp; Après-vente'!$D$2:$D$1000="Agences")+('Agences &amp; Après-vente'!$D$2:$D$1000="Agences et Après-vente"))*'Agences &amp; Après-vente'!$E$2:$E$1000)),"yyyy-mm-dd"),"")))))</f>
        <v>✓</v>
      </c>
      <c r="H35" s="131" t="str">
        <f aca="false">IF($R35="✓","✓",IF(ISNUMBER($R35),TEXT($R35,"yyyy-mm-dd"),IF($A35="","",IF($D35="Lisbonne","",IF(SUMPRODUCT(('Agences &amp; Après-vente'!$A$2:$A$1000=$A35)*(('Agences &amp; Après-vente'!$D$2:$D$1000="Agences")+('Agences &amp; Après-vente'!$D$2:$D$1000="Agences et Après-vente"))*('Agences &amp; Après-vente'!$I$2:$I$1000="DONE"))&gt;0,"✓",IF(SUMPRODUCT(MAX(('Agences &amp; Après-vente'!$A$2:$A$1000=$A35)*(('Agences &amp; Après-vente'!$D$2:$D$1000="Agences")+('Agences &amp; Après-vente'!$D$2:$D$1000="Agences et Après-vente"))*'Agences &amp; Après-vente'!$E$2:$E$1000))&gt;0,TEXT(SUMPRODUCT(MAX(('Agences &amp; Après-vente'!$A$2:$A$1000=$A35)*(('Agences &amp; Après-vente'!$D$2:$D$1000="Agences")+('Agences &amp; Après-vente'!$D$2:$D$1000="Agences et Après-vente"))*'Agences &amp; Après-vente'!$E$2:$E$1000)),"yyyy-mm-dd"),""))))))</f>
        <v/>
      </c>
      <c r="I35" s="131" t="str">
        <f aca="false">IF($S35="✓","✓",IF(ISNUMBER($S35),TEXT($S35,"yyyy-mm-dd"),IF($A35="","",IF(SUMPRODUCT(('Agences &amp; Après-vente'!$A$2:$A$1000=$A35)*(('Agences &amp; Après-vente'!$D$2:$D$1000="Après-vente")+('Agences &amp; Après-vente'!$D$2:$D$1000="Agences et Après-vente"))*('Agences &amp; Après-vente'!$I$2:$I$1000="DONE"))&gt;0,"✓",IF(SUMPRODUCT(MAX(('Agences &amp; Après-vente'!$A$2:$A$1000=$A35)*(('Agences &amp; Après-vente'!$D$2:$D$1000="Après-vente")+('Agences &amp; Après-vente'!$D$2:$D$1000="Agences et Après-vente"))*'Agences &amp; Après-vente'!$E$2:$E$1000))&gt;0,TEXT(SUMPRODUCT(MAX(('Agences &amp; Après-vente'!$A$2:$A$1000=$A35)*(('Agences &amp; Après-vente'!$D$2:$D$1000="Après-vente")+('Agences &amp; Après-vente'!$D$2:$D$1000="Agences et Après-vente"))*'Agences &amp; Après-vente'!$E$2:$E$1000)),"yyyy-mm-dd"),"")))))</f>
        <v>✓</v>
      </c>
      <c r="J35" s="131" t="str">
        <f aca="false">IF($T35="✓","✓",IF(ISNUMBER($T35),TEXT($T35,"yyyy-mm-dd"),IF($A35="","",IF($D35="Lisbonne","",IF(SUMPRODUCT(('Agences &amp; Après-vente'!$A$2:$A$1000=$A35)*(('Agences &amp; Après-vente'!$D$2:$D$1000="Après-vente")+('Agences &amp; Après-vente'!$D$2:$D$1000="Agences et Après-vente"))*('Agences &amp; Après-vente'!$I$2:$I$1000="DONE"))&gt;0,"✓",IF(SUMPRODUCT(MAX(('Agences &amp; Après-vente'!$A$2:$A$1000=$A35)*(('Agences &amp; Après-vente'!$D$2:$D$1000="Après-vente")+('Agences &amp; Après-vente'!$D$2:$D$1000="Agences et Après-vente"))*'Agences &amp; Après-vente'!$E$2:$E$1000))&gt;0,TEXT(SUMPRODUCT(MAX(('Agences &amp; Après-vente'!$A$2:$A$1000=$A35)*(('Agences &amp; Après-vente'!$D$2:$D$1000="Après-vente")+('Agences &amp; Après-vente'!$D$2:$D$1000="Agences et Après-vente"))*'Agences &amp; Après-vente'!$E$2:$E$1000)),"yyyy-mm-dd"),""))))))</f>
        <v/>
      </c>
      <c r="K35" s="131" t="str">
        <f aca="false">IF($U35="✓","✓",IF(ISNUMBER($U35),TEXT($U35,"yyyy-mm-dd"),IF($D35="Lisbonne","",IF($A35="","",IF(SUMPRODUCT((Evermont!$A$2:$A$1000=$A35)*(Evermont!$Q$2:$Q$1000="Terminé"))&gt;0,"✓",IF(SUMPRODUCT(MAX((Evermont!$A$2:$A$1000=$A35)*Evermont!$F$2:$F$1000))&gt;0,TEXT(SUMPRODUCT(MAX((Evermont!$A$2:$A$1000=$A35)*Evermont!$F$2:$F$1000)),"yyyy-mm-dd"),""))))))</f>
        <v/>
      </c>
      <c r="L35" s="132" t="n">
        <f aca="false">IF($A35="","",COUNTIF(E35:K35,"✓"))</f>
        <v>3</v>
      </c>
      <c r="M35" s="133" t="s">
        <v>172</v>
      </c>
      <c r="O35" s="134" t="s">
        <v>173</v>
      </c>
      <c r="P35" s="134"/>
      <c r="Q35" s="134" t="s">
        <v>173</v>
      </c>
      <c r="R35" s="134"/>
      <c r="S35" s="134"/>
      <c r="T35" s="134"/>
      <c r="U35" s="134"/>
      <c r="W35" s="135" t="str">
        <f aca="false">IF($A35="","",IF($X35&lt;&gt;"",$X35,IFERROR(INDEX('Formation Initiale'!$B$2:$B$999,MATCH($A35,'Formation Initiale'!$A$2:$A$999,0)),"Général")))</f>
        <v>OS1</v>
      </c>
      <c r="X35" s="136"/>
    </row>
    <row r="36" customFormat="false" ht="18" hidden="true" customHeight="true" outlineLevel="0" collapsed="false">
      <c r="A36" s="140" t="s">
        <v>274</v>
      </c>
      <c r="B36" s="128" t="s">
        <v>275</v>
      </c>
      <c r="C36" s="128" t="s">
        <v>276</v>
      </c>
      <c r="D36" s="129" t="s">
        <v>171</v>
      </c>
      <c r="E36" s="130" t="str">
        <f aca="false">IF($O36="✓","✓",IF(ISNUMBER($O36),TEXT($O36,"yyyy-mm-dd"),IF($A36="","",IF(SUMPRODUCT(('Formation Initiale'!$A$2:$A$999=$A36)*('Formation Initiale'!$R$2:$R$999="Terminé"))&gt;0,"✓",IF(SUMPRODUCT(MAX(('Formation Initiale'!$A$2:$A$999=$A36)*'Formation Initiale'!$G$2:$G$999))&gt;0,TEXT(SUMPRODUCT(MAX(('Formation Initiale'!$A$2:$A$999=$A36)*'Formation Initiale'!$G$2:$G$999)),"yyyy-mm-dd"),"")))))</f>
        <v>✓</v>
      </c>
      <c r="F36" s="131" t="str">
        <f aca="false">IF($P36="✓","✓",IF(ISNUMBER($P36),TEXT($P36,"yyyy-mm-dd"),IF($A36="","",IF($D36="Lisbonne","",IF(SUMPRODUCT(('Formation Initiale'!$A$2:$A$999=$A36)*('Formation Initiale'!$R$2:$R$999="Terminé"))&gt;0,"✓",IF(SUMPRODUCT(MAX(('Formation Initiale'!$A$2:$A$999=$A36)*'Formation Initiale'!$G$2:$G$999))&gt;0,TEXT(SUMPRODUCT(MAX(('Formation Initiale'!$A$2:$A$999=$A36)*'Formation Initiale'!$G$2:$G$999)),"yyyy-mm-dd"),""))))))</f>
        <v>✓</v>
      </c>
      <c r="G36" s="131" t="str">
        <f aca="false">IF($Q36="✓","✓",IF(ISNUMBER($Q36),TEXT($Q36,"yyyy-mm-dd"),IF($A36="","",IF(SUMPRODUCT(('Agences &amp; Après-vente'!$A$2:$A$1000=$A36)*(('Agences &amp; Après-vente'!$D$2:$D$1000="Agences")+('Agences &amp; Après-vente'!$D$2:$D$1000="Agences et Après-vente"))*('Agences &amp; Après-vente'!$I$2:$I$1000="DONE"))&gt;0,"✓",IF(SUMPRODUCT(MAX(('Agences &amp; Après-vente'!$A$2:$A$1000=$A36)*(('Agences &amp; Après-vente'!$D$2:$D$1000="Agences")+('Agences &amp; Après-vente'!$D$2:$D$1000="Agences et Après-vente"))*'Agences &amp; Après-vente'!$E$2:$E$1000))&gt;0,TEXT(SUMPRODUCT(MAX(('Agences &amp; Après-vente'!$A$2:$A$1000=$A36)*(('Agences &amp; Après-vente'!$D$2:$D$1000="Agences")+('Agences &amp; Après-vente'!$D$2:$D$1000="Agences et Après-vente"))*'Agences &amp; Après-vente'!$E$2:$E$1000)),"yyyy-mm-dd"),"")))))</f>
        <v>✓</v>
      </c>
      <c r="H36" s="131" t="str">
        <f aca="false">IF($R36="✓","✓",IF(ISNUMBER($R36),TEXT($R36,"yyyy-mm-dd"),IF($A36="","",IF($D36="Lisbonne","",IF(SUMPRODUCT(('Agences &amp; Après-vente'!$A$2:$A$1000=$A36)*(('Agences &amp; Après-vente'!$D$2:$D$1000="Agences")+('Agences &amp; Après-vente'!$D$2:$D$1000="Agences et Après-vente"))*('Agences &amp; Après-vente'!$I$2:$I$1000="DONE"))&gt;0,"✓",IF(SUMPRODUCT(MAX(('Agences &amp; Après-vente'!$A$2:$A$1000=$A36)*(('Agences &amp; Après-vente'!$D$2:$D$1000="Agences")+('Agences &amp; Après-vente'!$D$2:$D$1000="Agences et Après-vente"))*'Agences &amp; Après-vente'!$E$2:$E$1000))&gt;0,TEXT(SUMPRODUCT(MAX(('Agences &amp; Après-vente'!$A$2:$A$1000=$A36)*(('Agences &amp; Après-vente'!$D$2:$D$1000="Agences")+('Agences &amp; Après-vente'!$D$2:$D$1000="Agences et Après-vente"))*'Agences &amp; Après-vente'!$E$2:$E$1000)),"yyyy-mm-dd"),""))))))</f>
        <v>✓</v>
      </c>
      <c r="I36" s="131" t="str">
        <f aca="false">IF($S36="✓","✓",IF(ISNUMBER($S36),TEXT($S36,"yyyy-mm-dd"),IF($A36="","",IF(SUMPRODUCT(('Agences &amp; Après-vente'!$A$2:$A$1000=$A36)*(('Agences &amp; Après-vente'!$D$2:$D$1000="Après-vente")+('Agences &amp; Après-vente'!$D$2:$D$1000="Agences et Après-vente"))*('Agences &amp; Après-vente'!$I$2:$I$1000="DONE"))&gt;0,"✓",IF(SUMPRODUCT(MAX(('Agences &amp; Après-vente'!$A$2:$A$1000=$A36)*(('Agences &amp; Après-vente'!$D$2:$D$1000="Après-vente")+('Agences &amp; Après-vente'!$D$2:$D$1000="Agences et Après-vente"))*'Agences &amp; Après-vente'!$E$2:$E$1000))&gt;0,TEXT(SUMPRODUCT(MAX(('Agences &amp; Après-vente'!$A$2:$A$1000=$A36)*(('Agences &amp; Après-vente'!$D$2:$D$1000="Après-vente")+('Agences &amp; Après-vente'!$D$2:$D$1000="Agences et Après-vente"))*'Agences &amp; Après-vente'!$E$2:$E$1000)),"yyyy-mm-dd"),"")))))</f>
        <v>✓</v>
      </c>
      <c r="J36" s="131" t="str">
        <f aca="false">IF($T36="✓","✓",IF(ISNUMBER($T36),TEXT($T36,"yyyy-mm-dd"),IF($A36="","",IF($D36="Lisbonne","",IF(SUMPRODUCT(('Agences &amp; Après-vente'!$A$2:$A$1000=$A36)*(('Agences &amp; Après-vente'!$D$2:$D$1000="Après-vente")+('Agences &amp; Après-vente'!$D$2:$D$1000="Agences et Après-vente"))*('Agences &amp; Après-vente'!$I$2:$I$1000="DONE"))&gt;0,"✓",IF(SUMPRODUCT(MAX(('Agences &amp; Après-vente'!$A$2:$A$1000=$A36)*(('Agences &amp; Après-vente'!$D$2:$D$1000="Après-vente")+('Agences &amp; Après-vente'!$D$2:$D$1000="Agences et Après-vente"))*'Agences &amp; Après-vente'!$E$2:$E$1000))&gt;0,TEXT(SUMPRODUCT(MAX(('Agences &amp; Après-vente'!$A$2:$A$1000=$A36)*(('Agences &amp; Après-vente'!$D$2:$D$1000="Après-vente")+('Agences &amp; Après-vente'!$D$2:$D$1000="Agences et Après-vente"))*'Agences &amp; Après-vente'!$E$2:$E$1000)),"yyyy-mm-dd"),""))))))</f>
        <v>✓</v>
      </c>
      <c r="K36" s="131" t="str">
        <f aca="false">IF($U36="✓","✓",IF(ISNUMBER($U36),TEXT($U36,"yyyy-mm-dd"),IF($D36="Lisbonne","",IF($A36="","",IF(SUMPRODUCT((Evermont!$A$2:$A$1000=$A36)*(Evermont!$Q$2:$Q$1000="Terminé"))&gt;0,"✓",IF(SUMPRODUCT(MAX((Evermont!$A$2:$A$1000=$A36)*Evermont!$F$2:$F$1000))&gt;0,TEXT(SUMPRODUCT(MAX((Evermont!$A$2:$A$1000=$A36)*Evermont!$F$2:$F$1000)),"yyyy-mm-dd"),""))))))</f>
        <v>✓</v>
      </c>
      <c r="L36" s="132" t="n">
        <f aca="false">IF($A36="","",COUNTIF(E36:K36,"✓"))</f>
        <v>7</v>
      </c>
      <c r="M36" s="133" t="s">
        <v>277</v>
      </c>
      <c r="O36" s="134" t="s">
        <v>173</v>
      </c>
      <c r="P36" s="134" t="s">
        <v>173</v>
      </c>
      <c r="Q36" s="134" t="s">
        <v>173</v>
      </c>
      <c r="R36" s="134" t="s">
        <v>173</v>
      </c>
      <c r="S36" s="134" t="s">
        <v>173</v>
      </c>
      <c r="T36" s="134" t="s">
        <v>173</v>
      </c>
      <c r="U36" s="134" t="s">
        <v>173</v>
      </c>
      <c r="W36" s="135" t="str">
        <f aca="false">IF($A36="","",IF($X36&lt;&gt;"",$X36,IFERROR(INDEX('Formation Initiale'!$B$2:$B$999,MATCH($A36,'Formation Initiale'!$A$2:$A$999,0)),"Général")))</f>
        <v>Général</v>
      </c>
      <c r="X36" s="136"/>
    </row>
    <row r="37" customFormat="false" ht="18" hidden="true" customHeight="true" outlineLevel="0" collapsed="false">
      <c r="A37" s="127" t="s">
        <v>278</v>
      </c>
      <c r="B37" s="128" t="s">
        <v>279</v>
      </c>
      <c r="C37" s="128" t="s">
        <v>280</v>
      </c>
      <c r="D37" s="129" t="s">
        <v>171</v>
      </c>
      <c r="E37" s="130" t="str">
        <f aca="false">IF($O37="✓","✓",IF(ISNUMBER($O37),TEXT($O37,"yyyy-mm-dd"),IF($A37="","",IF(SUMPRODUCT(('Formation Initiale'!$A$2:$A$999=$A37)*('Formation Initiale'!$R$2:$R$999="Terminé"))&gt;0,"✓",IF(SUMPRODUCT(MAX(('Formation Initiale'!$A$2:$A$999=$A37)*'Formation Initiale'!$G$2:$G$999))&gt;0,TEXT(SUMPRODUCT(MAX(('Formation Initiale'!$A$2:$A$999=$A37)*'Formation Initiale'!$G$2:$G$999)),"yyyy-mm-dd"),"")))))</f>
        <v>✓</v>
      </c>
      <c r="F37" s="131" t="str">
        <f aca="false">IF($P37="✓","✓",IF(ISNUMBER($P37),TEXT($P37,"yyyy-mm-dd"),IF($A37="","",IF($D37="Lisbonne","",IF(SUMPRODUCT(('Formation Initiale'!$A$2:$A$999=$A37)*('Formation Initiale'!$R$2:$R$999="Terminé"))&gt;0,"✓",IF(SUMPRODUCT(MAX(('Formation Initiale'!$A$2:$A$999=$A37)*'Formation Initiale'!$G$2:$G$999))&gt;0,TEXT(SUMPRODUCT(MAX(('Formation Initiale'!$A$2:$A$999=$A37)*'Formation Initiale'!$G$2:$G$999)),"yyyy-mm-dd"),""))))))</f>
        <v>✓</v>
      </c>
      <c r="G37" s="131" t="str">
        <f aca="false">IF($Q37="✓","✓",IF(ISNUMBER($Q37),TEXT($Q37,"yyyy-mm-dd"),IF($A37="","",IF(SUMPRODUCT(('Agences &amp; Après-vente'!$A$2:$A$1000=$A37)*(('Agences &amp; Après-vente'!$D$2:$D$1000="Agences")+('Agences &amp; Après-vente'!$D$2:$D$1000="Agences et Après-vente"))*('Agences &amp; Après-vente'!$I$2:$I$1000="DONE"))&gt;0,"✓",IF(SUMPRODUCT(MAX(('Agences &amp; Après-vente'!$A$2:$A$1000=$A37)*(('Agences &amp; Après-vente'!$D$2:$D$1000="Agences")+('Agences &amp; Après-vente'!$D$2:$D$1000="Agences et Après-vente"))*'Agences &amp; Après-vente'!$E$2:$E$1000))&gt;0,TEXT(SUMPRODUCT(MAX(('Agences &amp; Après-vente'!$A$2:$A$1000=$A37)*(('Agences &amp; Après-vente'!$D$2:$D$1000="Agences")+('Agences &amp; Après-vente'!$D$2:$D$1000="Agences et Après-vente"))*'Agences &amp; Après-vente'!$E$2:$E$1000)),"yyyy-mm-dd"),"")))))</f>
        <v>✓</v>
      </c>
      <c r="H37" s="131" t="str">
        <f aca="false">IF($R37="✓","✓",IF(ISNUMBER($R37),TEXT($R37,"yyyy-mm-dd"),IF($A37="","",IF($D37="Lisbonne","",IF(SUMPRODUCT(('Agences &amp; Après-vente'!$A$2:$A$1000=$A37)*(('Agences &amp; Après-vente'!$D$2:$D$1000="Agences")+('Agences &amp; Après-vente'!$D$2:$D$1000="Agences et Après-vente"))*('Agences &amp; Après-vente'!$I$2:$I$1000="DONE"))&gt;0,"✓",IF(SUMPRODUCT(MAX(('Agences &amp; Après-vente'!$A$2:$A$1000=$A37)*(('Agences &amp; Après-vente'!$D$2:$D$1000="Agences")+('Agences &amp; Après-vente'!$D$2:$D$1000="Agences et Après-vente"))*'Agences &amp; Après-vente'!$E$2:$E$1000))&gt;0,TEXT(SUMPRODUCT(MAX(('Agences &amp; Après-vente'!$A$2:$A$1000=$A37)*(('Agences &amp; Après-vente'!$D$2:$D$1000="Agences")+('Agences &amp; Après-vente'!$D$2:$D$1000="Agences et Après-vente"))*'Agences &amp; Après-vente'!$E$2:$E$1000)),"yyyy-mm-dd"),""))))))</f>
        <v>✓</v>
      </c>
      <c r="I37" s="131" t="str">
        <f aca="false">IF($S37="✓","✓",IF(ISNUMBER($S37),TEXT($S37,"yyyy-mm-dd"),IF($A37="","",IF(SUMPRODUCT(('Agences &amp; Après-vente'!$A$2:$A$1000=$A37)*(('Agences &amp; Après-vente'!$D$2:$D$1000="Après-vente")+('Agences &amp; Après-vente'!$D$2:$D$1000="Agences et Après-vente"))*('Agences &amp; Après-vente'!$I$2:$I$1000="DONE"))&gt;0,"✓",IF(SUMPRODUCT(MAX(('Agences &amp; Après-vente'!$A$2:$A$1000=$A37)*(('Agences &amp; Après-vente'!$D$2:$D$1000="Après-vente")+('Agences &amp; Après-vente'!$D$2:$D$1000="Agences et Après-vente"))*'Agences &amp; Après-vente'!$E$2:$E$1000))&gt;0,TEXT(SUMPRODUCT(MAX(('Agences &amp; Après-vente'!$A$2:$A$1000=$A37)*(('Agences &amp; Après-vente'!$D$2:$D$1000="Après-vente")+('Agences &amp; Après-vente'!$D$2:$D$1000="Agences et Après-vente"))*'Agences &amp; Après-vente'!$E$2:$E$1000)),"yyyy-mm-dd"),"")))))</f>
        <v>✓</v>
      </c>
      <c r="J37" s="131" t="str">
        <f aca="false">IF($T37="✓","✓",IF(ISNUMBER($T37),TEXT($T37,"yyyy-mm-dd"),IF($A37="","",IF($D37="Lisbonne","",IF(SUMPRODUCT(('Agences &amp; Après-vente'!$A$2:$A$1000=$A37)*(('Agences &amp; Après-vente'!$D$2:$D$1000="Après-vente")+('Agences &amp; Après-vente'!$D$2:$D$1000="Agences et Après-vente"))*('Agences &amp; Après-vente'!$I$2:$I$1000="DONE"))&gt;0,"✓",IF(SUMPRODUCT(MAX(('Agences &amp; Après-vente'!$A$2:$A$1000=$A37)*(('Agences &amp; Après-vente'!$D$2:$D$1000="Après-vente")+('Agences &amp; Après-vente'!$D$2:$D$1000="Agences et Après-vente"))*'Agences &amp; Après-vente'!$E$2:$E$1000))&gt;0,TEXT(SUMPRODUCT(MAX(('Agences &amp; Après-vente'!$A$2:$A$1000=$A37)*(('Agences &amp; Après-vente'!$D$2:$D$1000="Après-vente")+('Agences &amp; Après-vente'!$D$2:$D$1000="Agences et Après-vente"))*'Agences &amp; Après-vente'!$E$2:$E$1000)),"yyyy-mm-dd"),""))))))</f>
        <v>✓</v>
      </c>
      <c r="K37" s="131" t="str">
        <f aca="false">IF($U37="✓","✓",IF(ISNUMBER($U37),TEXT($U37,"yyyy-mm-dd"),IF($D37="Lisbonne","",IF($A37="","",IF(SUMPRODUCT((Evermont!$A$2:$A$1000=$A37)*(Evermont!$Q$2:$Q$1000="Terminé"))&gt;0,"✓",IF(SUMPRODUCT(MAX((Evermont!$A$2:$A$1000=$A37)*Evermont!$F$2:$F$1000))&gt;0,TEXT(SUMPRODUCT(MAX((Evermont!$A$2:$A$1000=$A37)*Evermont!$F$2:$F$1000)),"yyyy-mm-dd"),""))))))</f>
        <v/>
      </c>
      <c r="L37" s="132" t="n">
        <f aca="false">IF($A37="","",COUNTIF(E37:K37,"✓"))</f>
        <v>6</v>
      </c>
      <c r="M37" s="133" t="s">
        <v>172</v>
      </c>
      <c r="O37" s="134" t="s">
        <v>173</v>
      </c>
      <c r="P37" s="134" t="s">
        <v>173</v>
      </c>
      <c r="Q37" s="134"/>
      <c r="R37" s="134"/>
      <c r="S37" s="134"/>
      <c r="T37" s="134"/>
      <c r="U37" s="134"/>
      <c r="W37" s="135" t="str">
        <f aca="false">IF($A37="","",IF($X37&lt;&gt;"",$X37,IFERROR(INDEX('Formation Initiale'!$B$2:$B$999,MATCH($A37,'Formation Initiale'!$A$2:$A$999,0)),"Général")))</f>
        <v>Général</v>
      </c>
      <c r="X37" s="136"/>
    </row>
    <row r="38" customFormat="false" ht="18" hidden="true" customHeight="true" outlineLevel="0" collapsed="false">
      <c r="A38" s="138" t="s">
        <v>281</v>
      </c>
      <c r="B38" s="128" t="s">
        <v>282</v>
      </c>
      <c r="C38" s="128" t="s">
        <v>283</v>
      </c>
      <c r="D38" s="129" t="s">
        <v>171</v>
      </c>
      <c r="E38" s="130" t="str">
        <f aca="false">IF($O38="✓","✓",IF(ISNUMBER($O38),TEXT($O38,"yyyy-mm-dd"),IF($A38="","",IF(SUMPRODUCT(('Formation Initiale'!$A$2:$A$999=$A38)*('Formation Initiale'!$R$2:$R$999="Terminé"))&gt;0,"✓",IF(SUMPRODUCT(MAX(('Formation Initiale'!$A$2:$A$999=$A38)*'Formation Initiale'!$G$2:$G$999))&gt;0,TEXT(SUMPRODUCT(MAX(('Formation Initiale'!$A$2:$A$999=$A38)*'Formation Initiale'!$G$2:$G$999)),"yyyy-mm-dd"),"")))))</f>
        <v>✓</v>
      </c>
      <c r="F38" s="131" t="str">
        <f aca="false">IF($P38="✓","✓",IF(ISNUMBER($P38),TEXT($P38,"yyyy-mm-dd"),IF($A38="","",IF($D38="Lisbonne","",IF(SUMPRODUCT(('Formation Initiale'!$A$2:$A$999=$A38)*('Formation Initiale'!$R$2:$R$999="Terminé"))&gt;0,"✓",IF(SUMPRODUCT(MAX(('Formation Initiale'!$A$2:$A$999=$A38)*'Formation Initiale'!$G$2:$G$999))&gt;0,TEXT(SUMPRODUCT(MAX(('Formation Initiale'!$A$2:$A$999=$A38)*'Formation Initiale'!$G$2:$G$999)),"yyyy-mm-dd"),""))))))</f>
        <v>✓</v>
      </c>
      <c r="G38" s="131" t="str">
        <f aca="false">IF($Q38="✓","✓",IF(ISNUMBER($Q38),TEXT($Q38,"yyyy-mm-dd"),IF($A38="","",IF(SUMPRODUCT(('Agences &amp; Après-vente'!$A$2:$A$1000=$A38)*(('Agences &amp; Après-vente'!$D$2:$D$1000="Agences")+('Agences &amp; Après-vente'!$D$2:$D$1000="Agences et Après-vente"))*('Agences &amp; Après-vente'!$I$2:$I$1000="DONE"))&gt;0,"✓",IF(SUMPRODUCT(MAX(('Agences &amp; Après-vente'!$A$2:$A$1000=$A38)*(('Agences &amp; Après-vente'!$D$2:$D$1000="Agences")+('Agences &amp; Après-vente'!$D$2:$D$1000="Agences et Après-vente"))*'Agences &amp; Après-vente'!$E$2:$E$1000))&gt;0,TEXT(SUMPRODUCT(MAX(('Agences &amp; Après-vente'!$A$2:$A$1000=$A38)*(('Agences &amp; Après-vente'!$D$2:$D$1000="Agences")+('Agences &amp; Après-vente'!$D$2:$D$1000="Agences et Après-vente"))*'Agences &amp; Après-vente'!$E$2:$E$1000)),"yyyy-mm-dd"),"")))))</f>
        <v>✓</v>
      </c>
      <c r="H38" s="131" t="str">
        <f aca="false">IF($R38="✓","✓",IF(ISNUMBER($R38),TEXT($R38,"yyyy-mm-dd"),IF($A38="","",IF($D38="Lisbonne","",IF(SUMPRODUCT(('Agences &amp; Après-vente'!$A$2:$A$1000=$A38)*(('Agences &amp; Après-vente'!$D$2:$D$1000="Agences")+('Agences &amp; Après-vente'!$D$2:$D$1000="Agences et Après-vente"))*('Agences &amp; Après-vente'!$I$2:$I$1000="DONE"))&gt;0,"✓",IF(SUMPRODUCT(MAX(('Agences &amp; Après-vente'!$A$2:$A$1000=$A38)*(('Agences &amp; Après-vente'!$D$2:$D$1000="Agences")+('Agences &amp; Après-vente'!$D$2:$D$1000="Agences et Après-vente"))*'Agences &amp; Après-vente'!$E$2:$E$1000))&gt;0,TEXT(SUMPRODUCT(MAX(('Agences &amp; Après-vente'!$A$2:$A$1000=$A38)*(('Agences &amp; Après-vente'!$D$2:$D$1000="Agences")+('Agences &amp; Après-vente'!$D$2:$D$1000="Agences et Après-vente"))*'Agences &amp; Après-vente'!$E$2:$E$1000)),"yyyy-mm-dd"),""))))))</f>
        <v>✓</v>
      </c>
      <c r="I38" s="131" t="str">
        <f aca="false">IF($S38="✓","✓",IF(ISNUMBER($S38),TEXT($S38,"yyyy-mm-dd"),IF($A38="","",IF(SUMPRODUCT(('Agences &amp; Après-vente'!$A$2:$A$1000=$A38)*(('Agences &amp; Après-vente'!$D$2:$D$1000="Après-vente")+('Agences &amp; Après-vente'!$D$2:$D$1000="Agences et Après-vente"))*('Agences &amp; Après-vente'!$I$2:$I$1000="DONE"))&gt;0,"✓",IF(SUMPRODUCT(MAX(('Agences &amp; Après-vente'!$A$2:$A$1000=$A38)*(('Agences &amp; Après-vente'!$D$2:$D$1000="Après-vente")+('Agences &amp; Après-vente'!$D$2:$D$1000="Agences et Après-vente"))*'Agences &amp; Après-vente'!$E$2:$E$1000))&gt;0,TEXT(SUMPRODUCT(MAX(('Agences &amp; Après-vente'!$A$2:$A$1000=$A38)*(('Agences &amp; Après-vente'!$D$2:$D$1000="Après-vente")+('Agences &amp; Après-vente'!$D$2:$D$1000="Agences et Après-vente"))*'Agences &amp; Après-vente'!$E$2:$E$1000)),"yyyy-mm-dd"),"")))))</f>
        <v>✓</v>
      </c>
      <c r="J38" s="131" t="str">
        <f aca="false">IF($T38="✓","✓",IF(ISNUMBER($T38),TEXT($T38,"yyyy-mm-dd"),IF($A38="","",IF($D38="Lisbonne","",IF(SUMPRODUCT(('Agences &amp; Après-vente'!$A$2:$A$1000=$A38)*(('Agences &amp; Après-vente'!$D$2:$D$1000="Après-vente")+('Agences &amp; Après-vente'!$D$2:$D$1000="Agences et Après-vente"))*('Agences &amp; Après-vente'!$I$2:$I$1000="DONE"))&gt;0,"✓",IF(SUMPRODUCT(MAX(('Agences &amp; Après-vente'!$A$2:$A$1000=$A38)*(('Agences &amp; Après-vente'!$D$2:$D$1000="Après-vente")+('Agences &amp; Après-vente'!$D$2:$D$1000="Agences et Après-vente"))*'Agences &amp; Après-vente'!$E$2:$E$1000))&gt;0,TEXT(SUMPRODUCT(MAX(('Agences &amp; Après-vente'!$A$2:$A$1000=$A38)*(('Agences &amp; Après-vente'!$D$2:$D$1000="Après-vente")+('Agences &amp; Après-vente'!$D$2:$D$1000="Agences et Après-vente"))*'Agences &amp; Après-vente'!$E$2:$E$1000)),"yyyy-mm-dd"),""))))))</f>
        <v>✓</v>
      </c>
      <c r="K38" s="131" t="str">
        <f aca="false">IF($U38="✓","✓",IF(ISNUMBER($U38),TEXT($U38,"yyyy-mm-dd"),IF($D38="Lisbonne","",IF($A38="","",IF(SUMPRODUCT((Evermont!$A$2:$A$1000=$A38)*(Evermont!$Q$2:$Q$1000="Terminé"))&gt;0,"✓",IF(SUMPRODUCT(MAX((Evermont!$A$2:$A$1000=$A38)*Evermont!$F$2:$F$1000))&gt;0,TEXT(SUMPRODUCT(MAX((Evermont!$A$2:$A$1000=$A38)*Evermont!$F$2:$F$1000)),"yyyy-mm-dd"),""))))))</f>
        <v>✓</v>
      </c>
      <c r="L38" s="132" t="n">
        <f aca="false">IF($A38="","",COUNTIF(E38:K38,"✓"))</f>
        <v>7</v>
      </c>
      <c r="M38" s="133" t="s">
        <v>277</v>
      </c>
      <c r="O38" s="134" t="s">
        <v>173</v>
      </c>
      <c r="P38" s="134" t="s">
        <v>173</v>
      </c>
      <c r="Q38" s="134" t="s">
        <v>173</v>
      </c>
      <c r="R38" s="134" t="s">
        <v>173</v>
      </c>
      <c r="S38" s="134" t="s">
        <v>173</v>
      </c>
      <c r="T38" s="134" t="s">
        <v>173</v>
      </c>
      <c r="U38" s="134" t="s">
        <v>173</v>
      </c>
      <c r="W38" s="135" t="str">
        <f aca="false">IF($A38="","",IF($X38&lt;&gt;"",$X38,IFERROR(INDEX('Formation Initiale'!$B$2:$B$999,MATCH($A38,'Formation Initiale'!$A$2:$A$999,0)),"Général")))</f>
        <v>Général</v>
      </c>
      <c r="X38" s="136"/>
    </row>
    <row r="39" customFormat="false" ht="18" hidden="true" customHeight="true" outlineLevel="0" collapsed="false">
      <c r="A39" s="140" t="s">
        <v>284</v>
      </c>
      <c r="B39" s="128" t="s">
        <v>285</v>
      </c>
      <c r="C39" s="128" t="s">
        <v>286</v>
      </c>
      <c r="D39" s="129" t="s">
        <v>186</v>
      </c>
      <c r="E39" s="130" t="str">
        <f aca="false">IF($O39="✓","✓",IF(ISNUMBER($O39),TEXT($O39,"yyyy-mm-dd"),IF($A39="","",IF(SUMPRODUCT(('Formation Initiale'!$A$2:$A$999=$A39)*('Formation Initiale'!$R$2:$R$999="Terminé"))&gt;0,"✓",IF(SUMPRODUCT(MAX(('Formation Initiale'!$A$2:$A$999=$A39)*'Formation Initiale'!$G$2:$G$999))&gt;0,TEXT(SUMPRODUCT(MAX(('Formation Initiale'!$A$2:$A$999=$A39)*'Formation Initiale'!$G$2:$G$999)),"yyyy-mm-dd"),"")))))</f>
        <v>✓</v>
      </c>
      <c r="F39" s="131" t="str">
        <f aca="false">IF($P39="✓","✓",IF(ISNUMBER($P39),TEXT($P39,"yyyy-mm-dd"),IF($A39="","",IF($D39="Lisbonne","",IF(SUMPRODUCT(('Formation Initiale'!$A$2:$A$999=$A39)*('Formation Initiale'!$R$2:$R$999="Terminé"))&gt;0,"✓",IF(SUMPRODUCT(MAX(('Formation Initiale'!$A$2:$A$999=$A39)*'Formation Initiale'!$G$2:$G$999))&gt;0,TEXT(SUMPRODUCT(MAX(('Formation Initiale'!$A$2:$A$999=$A39)*'Formation Initiale'!$G$2:$G$999)),"yyyy-mm-dd"),""))))))</f>
        <v/>
      </c>
      <c r="G39" s="131" t="str">
        <f aca="false">IF($Q39="✓","✓",IF(ISNUMBER($Q39),TEXT($Q39,"yyyy-mm-dd"),IF($A39="","",IF(SUMPRODUCT(('Agences &amp; Après-vente'!$A$2:$A$1000=$A39)*(('Agences &amp; Après-vente'!$D$2:$D$1000="Agences")+('Agences &amp; Après-vente'!$D$2:$D$1000="Agences et Après-vente"))*('Agences &amp; Après-vente'!$I$2:$I$1000="DONE"))&gt;0,"✓",IF(SUMPRODUCT(MAX(('Agences &amp; Après-vente'!$A$2:$A$1000=$A39)*(('Agences &amp; Après-vente'!$D$2:$D$1000="Agences")+('Agences &amp; Après-vente'!$D$2:$D$1000="Agences et Après-vente"))*'Agences &amp; Après-vente'!$E$2:$E$1000))&gt;0,TEXT(SUMPRODUCT(MAX(('Agences &amp; Après-vente'!$A$2:$A$1000=$A39)*(('Agences &amp; Après-vente'!$D$2:$D$1000="Agences")+('Agences &amp; Après-vente'!$D$2:$D$1000="Agences et Après-vente"))*'Agences &amp; Après-vente'!$E$2:$E$1000)),"yyyy-mm-dd"),"")))))</f>
        <v/>
      </c>
      <c r="H39" s="131" t="str">
        <f aca="false">IF($R39="✓","✓",IF(ISNUMBER($R39),TEXT($R39,"yyyy-mm-dd"),IF($A39="","",IF($D39="Lisbonne","",IF(SUMPRODUCT(('Agences &amp; Après-vente'!$A$2:$A$1000=$A39)*(('Agences &amp; Après-vente'!$D$2:$D$1000="Agences")+('Agences &amp; Après-vente'!$D$2:$D$1000="Agences et Après-vente"))*('Agences &amp; Après-vente'!$I$2:$I$1000="DONE"))&gt;0,"✓",IF(SUMPRODUCT(MAX(('Agences &amp; Après-vente'!$A$2:$A$1000=$A39)*(('Agences &amp; Après-vente'!$D$2:$D$1000="Agences")+('Agences &amp; Après-vente'!$D$2:$D$1000="Agences et Après-vente"))*'Agences &amp; Après-vente'!$E$2:$E$1000))&gt;0,TEXT(SUMPRODUCT(MAX(('Agences &amp; Après-vente'!$A$2:$A$1000=$A39)*(('Agences &amp; Après-vente'!$D$2:$D$1000="Agences")+('Agences &amp; Après-vente'!$D$2:$D$1000="Agences et Après-vente"))*'Agences &amp; Après-vente'!$E$2:$E$1000)),"yyyy-mm-dd"),""))))))</f>
        <v/>
      </c>
      <c r="I39" s="131" t="str">
        <f aca="false">IF($S39="✓","✓",IF(ISNUMBER($S39),TEXT($S39,"yyyy-mm-dd"),IF($A39="","",IF(SUMPRODUCT(('Agences &amp; Après-vente'!$A$2:$A$1000=$A39)*(('Agences &amp; Après-vente'!$D$2:$D$1000="Après-vente")+('Agences &amp; Après-vente'!$D$2:$D$1000="Agences et Après-vente"))*('Agences &amp; Après-vente'!$I$2:$I$1000="DONE"))&gt;0,"✓",IF(SUMPRODUCT(MAX(('Agences &amp; Après-vente'!$A$2:$A$1000=$A39)*(('Agences &amp; Après-vente'!$D$2:$D$1000="Après-vente")+('Agences &amp; Après-vente'!$D$2:$D$1000="Agences et Après-vente"))*'Agences &amp; Après-vente'!$E$2:$E$1000))&gt;0,TEXT(SUMPRODUCT(MAX(('Agences &amp; Après-vente'!$A$2:$A$1000=$A39)*(('Agences &amp; Après-vente'!$D$2:$D$1000="Après-vente")+('Agences &amp; Après-vente'!$D$2:$D$1000="Agences et Après-vente"))*'Agences &amp; Après-vente'!$E$2:$E$1000)),"yyyy-mm-dd"),"")))))</f>
        <v/>
      </c>
      <c r="J39" s="131" t="str">
        <f aca="false">IF($T39="✓","✓",IF(ISNUMBER($T39),TEXT($T39,"yyyy-mm-dd"),IF($A39="","",IF($D39="Lisbonne","",IF(SUMPRODUCT(('Agences &amp; Après-vente'!$A$2:$A$1000=$A39)*(('Agences &amp; Après-vente'!$D$2:$D$1000="Après-vente")+('Agences &amp; Après-vente'!$D$2:$D$1000="Agences et Après-vente"))*('Agences &amp; Après-vente'!$I$2:$I$1000="DONE"))&gt;0,"✓",IF(SUMPRODUCT(MAX(('Agences &amp; Après-vente'!$A$2:$A$1000=$A39)*(('Agences &amp; Après-vente'!$D$2:$D$1000="Après-vente")+('Agences &amp; Après-vente'!$D$2:$D$1000="Agences et Après-vente"))*'Agences &amp; Après-vente'!$E$2:$E$1000))&gt;0,TEXT(SUMPRODUCT(MAX(('Agences &amp; Après-vente'!$A$2:$A$1000=$A39)*(('Agences &amp; Après-vente'!$D$2:$D$1000="Après-vente")+('Agences &amp; Après-vente'!$D$2:$D$1000="Agences et Après-vente"))*'Agences &amp; Après-vente'!$E$2:$E$1000)),"yyyy-mm-dd"),""))))))</f>
        <v/>
      </c>
      <c r="K39" s="131" t="str">
        <f aca="false">IF($U39="✓","✓",IF(ISNUMBER($U39),TEXT($U39,"yyyy-mm-dd"),IF($D39="Lisbonne","",IF($A39="","",IF(SUMPRODUCT((Evermont!$A$2:$A$1000=$A39)*(Evermont!$Q$2:$Q$1000="Terminé"))&gt;0,"✓",IF(SUMPRODUCT(MAX((Evermont!$A$2:$A$1000=$A39)*Evermont!$F$2:$F$1000))&gt;0,TEXT(SUMPRODUCT(MAX((Evermont!$A$2:$A$1000=$A39)*Evermont!$F$2:$F$1000)),"yyyy-mm-dd"),""))))))</f>
        <v/>
      </c>
      <c r="L39" s="132" t="n">
        <f aca="false">IF($A39="","",COUNTIF(E39:K39,"✓"))</f>
        <v>1</v>
      </c>
      <c r="M39" s="133" t="s">
        <v>172</v>
      </c>
      <c r="O39" s="134" t="s">
        <v>173</v>
      </c>
      <c r="P39" s="134"/>
      <c r="Q39" s="134"/>
      <c r="R39" s="134"/>
      <c r="S39" s="134"/>
      <c r="T39" s="134"/>
      <c r="U39" s="134"/>
      <c r="W39" s="135" t="str">
        <f aca="false">IF($A39="","",IF($X39&lt;&gt;"",$X39,IFERROR(INDEX('Formation Initiale'!$B$2:$B$999,MATCH($A39,'Formation Initiale'!$A$2:$A$999,0)),"Général")))</f>
        <v>OS6</v>
      </c>
      <c r="X39" s="136"/>
    </row>
    <row r="40" customFormat="false" ht="18" hidden="true" customHeight="true" outlineLevel="0" collapsed="false">
      <c r="A40" s="127" t="s">
        <v>287</v>
      </c>
      <c r="B40" s="128" t="s">
        <v>288</v>
      </c>
      <c r="C40" s="128" t="s">
        <v>289</v>
      </c>
      <c r="D40" s="129" t="s">
        <v>171</v>
      </c>
      <c r="E40" s="130" t="str">
        <f aca="false">IF($O40="✓","✓",IF(ISNUMBER($O40),TEXT($O40,"yyyy-mm-dd"),IF($A40="","",IF(SUMPRODUCT(('Formation Initiale'!$A$2:$A$999=$A40)*('Formation Initiale'!$R$2:$R$999="Terminé"))&gt;0,"✓",IF(SUMPRODUCT(MAX(('Formation Initiale'!$A$2:$A$999=$A40)*'Formation Initiale'!$G$2:$G$999))&gt;0,TEXT(SUMPRODUCT(MAX(('Formation Initiale'!$A$2:$A$999=$A40)*'Formation Initiale'!$G$2:$G$999)),"yyyy-mm-dd"),"")))))</f>
        <v>✓</v>
      </c>
      <c r="F40" s="131" t="str">
        <f aca="false">IF($P40="✓","✓",IF(ISNUMBER($P40),TEXT($P40,"yyyy-mm-dd"),IF($A40="","",IF($D40="Lisbonne","",IF(SUMPRODUCT(('Formation Initiale'!$A$2:$A$999=$A40)*('Formation Initiale'!$R$2:$R$999="Terminé"))&gt;0,"✓",IF(SUMPRODUCT(MAX(('Formation Initiale'!$A$2:$A$999=$A40)*'Formation Initiale'!$G$2:$G$999))&gt;0,TEXT(SUMPRODUCT(MAX(('Formation Initiale'!$A$2:$A$999=$A40)*'Formation Initiale'!$G$2:$G$999)),"yyyy-mm-dd"),""))))))</f>
        <v>✓</v>
      </c>
      <c r="G40" s="131" t="str">
        <f aca="false">IF($Q40="✓","✓",IF(ISNUMBER($Q40),TEXT($Q40,"yyyy-mm-dd"),IF($A40="","",IF(SUMPRODUCT(('Agences &amp; Après-vente'!$A$2:$A$1000=$A40)*(('Agences &amp; Après-vente'!$D$2:$D$1000="Agences")+('Agences &amp; Après-vente'!$D$2:$D$1000="Agences et Après-vente"))*('Agences &amp; Après-vente'!$I$2:$I$1000="DONE"))&gt;0,"✓",IF(SUMPRODUCT(MAX(('Agences &amp; Après-vente'!$A$2:$A$1000=$A40)*(('Agences &amp; Après-vente'!$D$2:$D$1000="Agences")+('Agences &amp; Après-vente'!$D$2:$D$1000="Agences et Après-vente"))*'Agences &amp; Après-vente'!$E$2:$E$1000))&gt;0,TEXT(SUMPRODUCT(MAX(('Agences &amp; Après-vente'!$A$2:$A$1000=$A40)*(('Agences &amp; Après-vente'!$D$2:$D$1000="Agences")+('Agences &amp; Après-vente'!$D$2:$D$1000="Agences et Après-vente"))*'Agences &amp; Après-vente'!$E$2:$E$1000)),"yyyy-mm-dd"),"")))))</f>
        <v>✓</v>
      </c>
      <c r="H40" s="131" t="str">
        <f aca="false">IF($R40="✓","✓",IF(ISNUMBER($R40),TEXT($R40,"yyyy-mm-dd"),IF($A40="","",IF($D40="Lisbonne","",IF(SUMPRODUCT(('Agences &amp; Après-vente'!$A$2:$A$1000=$A40)*(('Agences &amp; Après-vente'!$D$2:$D$1000="Agences")+('Agences &amp; Après-vente'!$D$2:$D$1000="Agences et Après-vente"))*('Agences &amp; Après-vente'!$I$2:$I$1000="DONE"))&gt;0,"✓",IF(SUMPRODUCT(MAX(('Agences &amp; Après-vente'!$A$2:$A$1000=$A40)*(('Agences &amp; Après-vente'!$D$2:$D$1000="Agences")+('Agences &amp; Après-vente'!$D$2:$D$1000="Agences et Après-vente"))*'Agences &amp; Après-vente'!$E$2:$E$1000))&gt;0,TEXT(SUMPRODUCT(MAX(('Agences &amp; Après-vente'!$A$2:$A$1000=$A40)*(('Agences &amp; Après-vente'!$D$2:$D$1000="Agences")+('Agences &amp; Après-vente'!$D$2:$D$1000="Agences et Après-vente"))*'Agences &amp; Après-vente'!$E$2:$E$1000)),"yyyy-mm-dd"),""))))))</f>
        <v>✓</v>
      </c>
      <c r="I40" s="131" t="str">
        <f aca="false">IF($S40="✓","✓",IF(ISNUMBER($S40),TEXT($S40,"yyyy-mm-dd"),IF($A40="","",IF(SUMPRODUCT(('Agences &amp; Après-vente'!$A$2:$A$1000=$A40)*(('Agences &amp; Après-vente'!$D$2:$D$1000="Après-vente")+('Agences &amp; Après-vente'!$D$2:$D$1000="Agences et Après-vente"))*('Agences &amp; Après-vente'!$I$2:$I$1000="DONE"))&gt;0,"✓",IF(SUMPRODUCT(MAX(('Agences &amp; Après-vente'!$A$2:$A$1000=$A40)*(('Agences &amp; Après-vente'!$D$2:$D$1000="Après-vente")+('Agences &amp; Après-vente'!$D$2:$D$1000="Agences et Après-vente"))*'Agences &amp; Après-vente'!$E$2:$E$1000))&gt;0,TEXT(SUMPRODUCT(MAX(('Agences &amp; Après-vente'!$A$2:$A$1000=$A40)*(('Agences &amp; Après-vente'!$D$2:$D$1000="Après-vente")+('Agences &amp; Après-vente'!$D$2:$D$1000="Agences et Après-vente"))*'Agences &amp; Après-vente'!$E$2:$E$1000)),"yyyy-mm-dd"),"")))))</f>
        <v>✓</v>
      </c>
      <c r="J40" s="131" t="str">
        <f aca="false">IF($T40="✓","✓",IF(ISNUMBER($T40),TEXT($T40,"yyyy-mm-dd"),IF($A40="","",IF($D40="Lisbonne","",IF(SUMPRODUCT(('Agences &amp; Après-vente'!$A$2:$A$1000=$A40)*(('Agences &amp; Après-vente'!$D$2:$D$1000="Après-vente")+('Agences &amp; Après-vente'!$D$2:$D$1000="Agences et Après-vente"))*('Agences &amp; Après-vente'!$I$2:$I$1000="DONE"))&gt;0,"✓",IF(SUMPRODUCT(MAX(('Agences &amp; Après-vente'!$A$2:$A$1000=$A40)*(('Agences &amp; Après-vente'!$D$2:$D$1000="Après-vente")+('Agences &amp; Après-vente'!$D$2:$D$1000="Agences et Après-vente"))*'Agences &amp; Après-vente'!$E$2:$E$1000))&gt;0,TEXT(SUMPRODUCT(MAX(('Agences &amp; Après-vente'!$A$2:$A$1000=$A40)*(('Agences &amp; Après-vente'!$D$2:$D$1000="Après-vente")+('Agences &amp; Après-vente'!$D$2:$D$1000="Agences et Après-vente"))*'Agences &amp; Après-vente'!$E$2:$E$1000)),"yyyy-mm-dd"),""))))))</f>
        <v>✓</v>
      </c>
      <c r="K40" s="131" t="str">
        <f aca="false">IF($U40="✓","✓",IF(ISNUMBER($U40),TEXT($U40,"yyyy-mm-dd"),IF($D40="Lisbonne","",IF($A40="","",IF(SUMPRODUCT((Evermont!$A$2:$A$1000=$A40)*(Evermont!$Q$2:$Q$1000="Terminé"))&gt;0,"✓",IF(SUMPRODUCT(MAX((Evermont!$A$2:$A$1000=$A40)*Evermont!$F$2:$F$1000))&gt;0,TEXT(SUMPRODUCT(MAX((Evermont!$A$2:$A$1000=$A40)*Evermont!$F$2:$F$1000)),"yyyy-mm-dd"),""))))))</f>
        <v>✓</v>
      </c>
      <c r="L40" s="132" t="n">
        <f aca="false">IF($A40="","",COUNTIF(E40:K40,"✓"))</f>
        <v>7</v>
      </c>
      <c r="M40" s="133" t="s">
        <v>172</v>
      </c>
      <c r="O40" s="134" t="s">
        <v>173</v>
      </c>
      <c r="P40" s="134" t="s">
        <v>173</v>
      </c>
      <c r="Q40" s="134"/>
      <c r="R40" s="134"/>
      <c r="S40" s="134"/>
      <c r="T40" s="134"/>
      <c r="U40" s="134" t="s">
        <v>173</v>
      </c>
      <c r="W40" s="135" t="str">
        <f aca="false">IF($A40="","",IF($X40&lt;&gt;"",$X40,IFERROR(INDEX('Formation Initiale'!$B$2:$B$999,MATCH($A40,'Formation Initiale'!$A$2:$A$999,0)),"Général")))</f>
        <v>Général</v>
      </c>
      <c r="X40" s="136"/>
    </row>
    <row r="41" customFormat="false" ht="18" hidden="true" customHeight="true" outlineLevel="0" collapsed="false">
      <c r="A41" s="127" t="s">
        <v>290</v>
      </c>
      <c r="B41" s="128" t="s">
        <v>291</v>
      </c>
      <c r="C41" s="128" t="s">
        <v>292</v>
      </c>
      <c r="D41" s="129" t="s">
        <v>171</v>
      </c>
      <c r="E41" s="130" t="str">
        <f aca="false">IF($O41="✓","✓",IF(ISNUMBER($O41),TEXT($O41,"yyyy-mm-dd"),IF($A41="","",IF(SUMPRODUCT(('Formation Initiale'!$A$2:$A$999=$A41)*('Formation Initiale'!$R$2:$R$999="Terminé"))&gt;0,"✓",IF(SUMPRODUCT(MAX(('Formation Initiale'!$A$2:$A$999=$A41)*'Formation Initiale'!$G$2:$G$999))&gt;0,TEXT(SUMPRODUCT(MAX(('Formation Initiale'!$A$2:$A$999=$A41)*'Formation Initiale'!$G$2:$G$999)),"yyyy-mm-dd"),"")))))</f>
        <v>✓</v>
      </c>
      <c r="F41" s="131" t="str">
        <f aca="false">IF($P41="✓","✓",IF(ISNUMBER($P41),TEXT($P41,"yyyy-mm-dd"),IF($A41="","",IF($D41="Lisbonne","",IF(SUMPRODUCT(('Formation Initiale'!$A$2:$A$999=$A41)*('Formation Initiale'!$R$2:$R$999="Terminé"))&gt;0,"✓",IF(SUMPRODUCT(MAX(('Formation Initiale'!$A$2:$A$999=$A41)*'Formation Initiale'!$G$2:$G$999))&gt;0,TEXT(SUMPRODUCT(MAX(('Formation Initiale'!$A$2:$A$999=$A41)*'Formation Initiale'!$G$2:$G$999)),"yyyy-mm-dd"),""))))))</f>
        <v>✓</v>
      </c>
      <c r="G41" s="131" t="str">
        <f aca="false">IF($Q41="✓","✓",IF(ISNUMBER($Q41),TEXT($Q41,"yyyy-mm-dd"),IF($A41="","",IF(SUMPRODUCT(('Agences &amp; Après-vente'!$A$2:$A$1000=$A41)*(('Agences &amp; Après-vente'!$D$2:$D$1000="Agences")+('Agences &amp; Après-vente'!$D$2:$D$1000="Agences et Après-vente"))*('Agences &amp; Après-vente'!$I$2:$I$1000="DONE"))&gt;0,"✓",IF(SUMPRODUCT(MAX(('Agences &amp; Après-vente'!$A$2:$A$1000=$A41)*(('Agences &amp; Après-vente'!$D$2:$D$1000="Agences")+('Agences &amp; Après-vente'!$D$2:$D$1000="Agences et Après-vente"))*'Agences &amp; Après-vente'!$E$2:$E$1000))&gt;0,TEXT(SUMPRODUCT(MAX(('Agences &amp; Après-vente'!$A$2:$A$1000=$A41)*(('Agences &amp; Après-vente'!$D$2:$D$1000="Agences")+('Agences &amp; Après-vente'!$D$2:$D$1000="Agences et Après-vente"))*'Agences &amp; Après-vente'!$E$2:$E$1000)),"yyyy-mm-dd"),"")))))</f>
        <v>✓</v>
      </c>
      <c r="H41" s="131" t="str">
        <f aca="false">IF($R41="✓","✓",IF(ISNUMBER($R41),TEXT($R41,"yyyy-mm-dd"),IF($A41="","",IF($D41="Lisbonne","",IF(SUMPRODUCT(('Agences &amp; Après-vente'!$A$2:$A$1000=$A41)*(('Agences &amp; Après-vente'!$D$2:$D$1000="Agences")+('Agences &amp; Après-vente'!$D$2:$D$1000="Agences et Après-vente"))*('Agences &amp; Après-vente'!$I$2:$I$1000="DONE"))&gt;0,"✓",IF(SUMPRODUCT(MAX(('Agences &amp; Après-vente'!$A$2:$A$1000=$A41)*(('Agences &amp; Après-vente'!$D$2:$D$1000="Agences")+('Agences &amp; Après-vente'!$D$2:$D$1000="Agences et Après-vente"))*'Agences &amp; Après-vente'!$E$2:$E$1000))&gt;0,TEXT(SUMPRODUCT(MAX(('Agences &amp; Après-vente'!$A$2:$A$1000=$A41)*(('Agences &amp; Après-vente'!$D$2:$D$1000="Agences")+('Agences &amp; Après-vente'!$D$2:$D$1000="Agences et Après-vente"))*'Agences &amp; Après-vente'!$E$2:$E$1000)),"yyyy-mm-dd"),""))))))</f>
        <v>✓</v>
      </c>
      <c r="I41" s="131" t="str">
        <f aca="false">IF($S41="✓","✓",IF(ISNUMBER($S41),TEXT($S41,"yyyy-mm-dd"),IF($A41="","",IF(SUMPRODUCT(('Agences &amp; Après-vente'!$A$2:$A$1000=$A41)*(('Agences &amp; Après-vente'!$D$2:$D$1000="Après-vente")+('Agences &amp; Après-vente'!$D$2:$D$1000="Agences et Après-vente"))*('Agences &amp; Après-vente'!$I$2:$I$1000="DONE"))&gt;0,"✓",IF(SUMPRODUCT(MAX(('Agences &amp; Après-vente'!$A$2:$A$1000=$A41)*(('Agences &amp; Après-vente'!$D$2:$D$1000="Après-vente")+('Agences &amp; Après-vente'!$D$2:$D$1000="Agences et Après-vente"))*'Agences &amp; Après-vente'!$E$2:$E$1000))&gt;0,TEXT(SUMPRODUCT(MAX(('Agences &amp; Après-vente'!$A$2:$A$1000=$A41)*(('Agences &amp; Après-vente'!$D$2:$D$1000="Après-vente")+('Agences &amp; Après-vente'!$D$2:$D$1000="Agences et Après-vente"))*'Agences &amp; Après-vente'!$E$2:$E$1000)),"yyyy-mm-dd"),"")))))</f>
        <v>✓</v>
      </c>
      <c r="J41" s="131" t="str">
        <f aca="false">IF($T41="✓","✓",IF(ISNUMBER($T41),TEXT($T41,"yyyy-mm-dd"),IF($A41="","",IF($D41="Lisbonne","",IF(SUMPRODUCT(('Agences &amp; Après-vente'!$A$2:$A$1000=$A41)*(('Agences &amp; Après-vente'!$D$2:$D$1000="Après-vente")+('Agences &amp; Après-vente'!$D$2:$D$1000="Agences et Après-vente"))*('Agences &amp; Après-vente'!$I$2:$I$1000="DONE"))&gt;0,"✓",IF(SUMPRODUCT(MAX(('Agences &amp; Après-vente'!$A$2:$A$1000=$A41)*(('Agences &amp; Après-vente'!$D$2:$D$1000="Après-vente")+('Agences &amp; Après-vente'!$D$2:$D$1000="Agences et Après-vente"))*'Agences &amp; Après-vente'!$E$2:$E$1000))&gt;0,TEXT(SUMPRODUCT(MAX(('Agences &amp; Après-vente'!$A$2:$A$1000=$A41)*(('Agences &amp; Après-vente'!$D$2:$D$1000="Après-vente")+('Agences &amp; Après-vente'!$D$2:$D$1000="Agences et Après-vente"))*'Agences &amp; Après-vente'!$E$2:$E$1000)),"yyyy-mm-dd"),""))))))</f>
        <v>✓</v>
      </c>
      <c r="K41" s="131" t="str">
        <f aca="false">IF($U41="✓","✓",IF(ISNUMBER($U41),TEXT($U41,"yyyy-mm-dd"),IF($D41="Lisbonne","",IF($A41="","",IF(SUMPRODUCT((Evermont!$A$2:$A$1000=$A41)*(Evermont!$Q$2:$Q$1000="Terminé"))&gt;0,"✓",IF(SUMPRODUCT(MAX((Evermont!$A$2:$A$1000=$A41)*Evermont!$F$2:$F$1000))&gt;0,TEXT(SUMPRODUCT(MAX((Evermont!$A$2:$A$1000=$A41)*Evermont!$F$2:$F$1000)),"yyyy-mm-dd"),""))))))</f>
        <v/>
      </c>
      <c r="L41" s="132" t="n">
        <f aca="false">IF($A41="","",COUNTIF(E41:K41,"✓"))</f>
        <v>6</v>
      </c>
      <c r="M41" s="133" t="s">
        <v>172</v>
      </c>
      <c r="O41" s="134" t="s">
        <v>173</v>
      </c>
      <c r="P41" s="134" t="s">
        <v>173</v>
      </c>
      <c r="Q41" s="134" t="s">
        <v>173</v>
      </c>
      <c r="R41" s="134" t="s">
        <v>173</v>
      </c>
      <c r="S41" s="134"/>
      <c r="T41" s="134"/>
      <c r="U41" s="134"/>
      <c r="W41" s="135" t="str">
        <f aca="false">IF($A41="","",IF($X41&lt;&gt;"",$X41,IFERROR(INDEX('Formation Initiale'!$B$2:$B$999,MATCH($A41,'Formation Initiale'!$A$2:$A$999,0)),"Général")))</f>
        <v>Général</v>
      </c>
      <c r="X41" s="136"/>
    </row>
    <row r="42" customFormat="false" ht="18" hidden="true" customHeight="true" outlineLevel="0" collapsed="false">
      <c r="A42" s="127" t="s">
        <v>293</v>
      </c>
      <c r="B42" s="128" t="s">
        <v>294</v>
      </c>
      <c r="C42" s="128" t="s">
        <v>295</v>
      </c>
      <c r="D42" s="129" t="s">
        <v>171</v>
      </c>
      <c r="E42" s="130" t="str">
        <f aca="false">IF($O42="✓","✓",IF(ISNUMBER($O42),TEXT($O42,"yyyy-mm-dd"),IF($A42="","",IF(SUMPRODUCT(('Formation Initiale'!$A$2:$A$999=$A42)*('Formation Initiale'!$R$2:$R$999="Terminé"))&gt;0,"✓",IF(SUMPRODUCT(MAX(('Formation Initiale'!$A$2:$A$999=$A42)*'Formation Initiale'!$G$2:$G$999))&gt;0,TEXT(SUMPRODUCT(MAX(('Formation Initiale'!$A$2:$A$999=$A42)*'Formation Initiale'!$G$2:$G$999)),"yyyy-mm-dd"),"")))))</f>
        <v>✓</v>
      </c>
      <c r="F42" s="131" t="str">
        <f aca="false">IF($P42="✓","✓",IF(ISNUMBER($P42),TEXT($P42,"yyyy-mm-dd"),IF($A42="","",IF($D42="Lisbonne","",IF(SUMPRODUCT(('Formation Initiale'!$A$2:$A$999=$A42)*('Formation Initiale'!$R$2:$R$999="Terminé"))&gt;0,"✓",IF(SUMPRODUCT(MAX(('Formation Initiale'!$A$2:$A$999=$A42)*'Formation Initiale'!$G$2:$G$999))&gt;0,TEXT(SUMPRODUCT(MAX(('Formation Initiale'!$A$2:$A$999=$A42)*'Formation Initiale'!$G$2:$G$999)),"yyyy-mm-dd"),""))))))</f>
        <v>✓</v>
      </c>
      <c r="G42" s="131" t="str">
        <f aca="false">IF($Q42="✓","✓",IF(ISNUMBER($Q42),TEXT($Q42,"yyyy-mm-dd"),IF($A42="","",IF(SUMPRODUCT(('Agences &amp; Après-vente'!$A$2:$A$1000=$A42)*(('Agences &amp; Après-vente'!$D$2:$D$1000="Agences")+('Agences &amp; Après-vente'!$D$2:$D$1000="Agences et Après-vente"))*('Agences &amp; Après-vente'!$I$2:$I$1000="DONE"))&gt;0,"✓",IF(SUMPRODUCT(MAX(('Agences &amp; Après-vente'!$A$2:$A$1000=$A42)*(('Agences &amp; Après-vente'!$D$2:$D$1000="Agences")+('Agences &amp; Après-vente'!$D$2:$D$1000="Agences et Après-vente"))*'Agences &amp; Après-vente'!$E$2:$E$1000))&gt;0,TEXT(SUMPRODUCT(MAX(('Agences &amp; Après-vente'!$A$2:$A$1000=$A42)*(('Agences &amp; Après-vente'!$D$2:$D$1000="Agences")+('Agences &amp; Après-vente'!$D$2:$D$1000="Agences et Après-vente"))*'Agences &amp; Après-vente'!$E$2:$E$1000)),"yyyy-mm-dd"),"")))))</f>
        <v>✓</v>
      </c>
      <c r="H42" s="131" t="str">
        <f aca="false">IF($R42="✓","✓",IF(ISNUMBER($R42),TEXT($R42,"yyyy-mm-dd"),IF($A42="","",IF($D42="Lisbonne","",IF(SUMPRODUCT(('Agences &amp; Après-vente'!$A$2:$A$1000=$A42)*(('Agences &amp; Après-vente'!$D$2:$D$1000="Agences")+('Agences &amp; Après-vente'!$D$2:$D$1000="Agences et Après-vente"))*('Agences &amp; Après-vente'!$I$2:$I$1000="DONE"))&gt;0,"✓",IF(SUMPRODUCT(MAX(('Agences &amp; Après-vente'!$A$2:$A$1000=$A42)*(('Agences &amp; Après-vente'!$D$2:$D$1000="Agences")+('Agences &amp; Après-vente'!$D$2:$D$1000="Agences et Après-vente"))*'Agences &amp; Après-vente'!$E$2:$E$1000))&gt;0,TEXT(SUMPRODUCT(MAX(('Agences &amp; Après-vente'!$A$2:$A$1000=$A42)*(('Agences &amp; Après-vente'!$D$2:$D$1000="Agences")+('Agences &amp; Après-vente'!$D$2:$D$1000="Agences et Après-vente"))*'Agences &amp; Après-vente'!$E$2:$E$1000)),"yyyy-mm-dd"),""))))))</f>
        <v>✓</v>
      </c>
      <c r="I42" s="131" t="str">
        <f aca="false">IF($S42="✓","✓",IF(ISNUMBER($S42),TEXT($S42,"yyyy-mm-dd"),IF($A42="","",IF(SUMPRODUCT(('Agences &amp; Après-vente'!$A$2:$A$1000=$A42)*(('Agences &amp; Après-vente'!$D$2:$D$1000="Après-vente")+('Agences &amp; Après-vente'!$D$2:$D$1000="Agences et Après-vente"))*('Agences &amp; Après-vente'!$I$2:$I$1000="DONE"))&gt;0,"✓",IF(SUMPRODUCT(MAX(('Agences &amp; Après-vente'!$A$2:$A$1000=$A42)*(('Agences &amp; Après-vente'!$D$2:$D$1000="Après-vente")+('Agences &amp; Après-vente'!$D$2:$D$1000="Agences et Après-vente"))*'Agences &amp; Après-vente'!$E$2:$E$1000))&gt;0,TEXT(SUMPRODUCT(MAX(('Agences &amp; Après-vente'!$A$2:$A$1000=$A42)*(('Agences &amp; Après-vente'!$D$2:$D$1000="Après-vente")+('Agences &amp; Après-vente'!$D$2:$D$1000="Agences et Après-vente"))*'Agences &amp; Après-vente'!$E$2:$E$1000)),"yyyy-mm-dd"),"")))))</f>
        <v>✓</v>
      </c>
      <c r="J42" s="131" t="str">
        <f aca="false">IF($T42="✓","✓",IF(ISNUMBER($T42),TEXT($T42,"yyyy-mm-dd"),IF($A42="","",IF($D42="Lisbonne","",IF(SUMPRODUCT(('Agences &amp; Après-vente'!$A$2:$A$1000=$A42)*(('Agences &amp; Après-vente'!$D$2:$D$1000="Après-vente")+('Agences &amp; Après-vente'!$D$2:$D$1000="Agences et Après-vente"))*('Agences &amp; Après-vente'!$I$2:$I$1000="DONE"))&gt;0,"✓",IF(SUMPRODUCT(MAX(('Agences &amp; Après-vente'!$A$2:$A$1000=$A42)*(('Agences &amp; Après-vente'!$D$2:$D$1000="Après-vente")+('Agences &amp; Après-vente'!$D$2:$D$1000="Agences et Après-vente"))*'Agences &amp; Après-vente'!$E$2:$E$1000))&gt;0,TEXT(SUMPRODUCT(MAX(('Agences &amp; Après-vente'!$A$2:$A$1000=$A42)*(('Agences &amp; Après-vente'!$D$2:$D$1000="Après-vente")+('Agences &amp; Après-vente'!$D$2:$D$1000="Agences et Après-vente"))*'Agences &amp; Après-vente'!$E$2:$E$1000)),"yyyy-mm-dd"),""))))))</f>
        <v>✓</v>
      </c>
      <c r="K42" s="131" t="str">
        <f aca="false">IF($U42="✓","✓",IF(ISNUMBER($U42),TEXT($U42,"yyyy-mm-dd"),IF($D42="Lisbonne","",IF($A42="","",IF(SUMPRODUCT((Evermont!$A$2:$A$1000=$A42)*(Evermont!$Q$2:$Q$1000="Terminé"))&gt;0,"✓",IF(SUMPRODUCT(MAX((Evermont!$A$2:$A$1000=$A42)*Evermont!$F$2:$F$1000))&gt;0,TEXT(SUMPRODUCT(MAX((Evermont!$A$2:$A$1000=$A42)*Evermont!$F$2:$F$1000)),"yyyy-mm-dd"),""))))))</f>
        <v/>
      </c>
      <c r="L42" s="132" t="n">
        <f aca="false">IF($A42="","",COUNTIF(E42:K42,"✓"))</f>
        <v>6</v>
      </c>
      <c r="M42" s="133" t="s">
        <v>172</v>
      </c>
      <c r="O42" s="134" t="s">
        <v>173</v>
      </c>
      <c r="P42" s="134" t="s">
        <v>173</v>
      </c>
      <c r="Q42" s="134"/>
      <c r="R42" s="134"/>
      <c r="S42" s="134"/>
      <c r="T42" s="134"/>
      <c r="U42" s="134"/>
      <c r="W42" s="135" t="str">
        <f aca="false">IF($A42="","",IF($X42&lt;&gt;"",$X42,IFERROR(INDEX('Formation Initiale'!$B$2:$B$999,MATCH($A42,'Formation Initiale'!$A$2:$A$999,0)),"Général")))</f>
        <v>Général</v>
      </c>
      <c r="X42" s="136"/>
    </row>
    <row r="43" customFormat="false" ht="18" hidden="true" customHeight="true" outlineLevel="0" collapsed="false">
      <c r="A43" s="127" t="s">
        <v>296</v>
      </c>
      <c r="B43" s="128" t="s">
        <v>297</v>
      </c>
      <c r="C43" s="128" t="s">
        <v>298</v>
      </c>
      <c r="D43" s="129" t="s">
        <v>171</v>
      </c>
      <c r="E43" s="130" t="str">
        <f aca="false">IF($O43="✓","✓",IF(ISNUMBER($O43),TEXT($O43,"yyyy-mm-dd"),IF($A43="","",IF(SUMPRODUCT(('Formation Initiale'!$A$2:$A$999=$A43)*('Formation Initiale'!$R$2:$R$999="Terminé"))&gt;0,"✓",IF(SUMPRODUCT(MAX(('Formation Initiale'!$A$2:$A$999=$A43)*'Formation Initiale'!$G$2:$G$999))&gt;0,TEXT(SUMPRODUCT(MAX(('Formation Initiale'!$A$2:$A$999=$A43)*'Formation Initiale'!$G$2:$G$999)),"yyyy-mm-dd"),"")))))</f>
        <v>✓</v>
      </c>
      <c r="F43" s="131" t="str">
        <f aca="false">IF($P43="✓","✓",IF(ISNUMBER($P43),TEXT($P43,"yyyy-mm-dd"),IF($A43="","",IF($D43="Lisbonne","",IF(SUMPRODUCT(('Formation Initiale'!$A$2:$A$999=$A43)*('Formation Initiale'!$R$2:$R$999="Terminé"))&gt;0,"✓",IF(SUMPRODUCT(MAX(('Formation Initiale'!$A$2:$A$999=$A43)*'Formation Initiale'!$G$2:$G$999))&gt;0,TEXT(SUMPRODUCT(MAX(('Formation Initiale'!$A$2:$A$999=$A43)*'Formation Initiale'!$G$2:$G$999)),"yyyy-mm-dd"),""))))))</f>
        <v>✓</v>
      </c>
      <c r="G43" s="131" t="str">
        <f aca="false">IF($Q43="✓","✓",IF(ISNUMBER($Q43),TEXT($Q43,"yyyy-mm-dd"),IF($A43="","",IF(SUMPRODUCT(('Agences &amp; Après-vente'!$A$2:$A$1000=$A43)*(('Agences &amp; Après-vente'!$D$2:$D$1000="Agences")+('Agences &amp; Après-vente'!$D$2:$D$1000="Agences et Après-vente"))*('Agences &amp; Après-vente'!$I$2:$I$1000="DONE"))&gt;0,"✓",IF(SUMPRODUCT(MAX(('Agences &amp; Après-vente'!$A$2:$A$1000=$A43)*(('Agences &amp; Après-vente'!$D$2:$D$1000="Agences")+('Agences &amp; Après-vente'!$D$2:$D$1000="Agences et Après-vente"))*'Agences &amp; Après-vente'!$E$2:$E$1000))&gt;0,TEXT(SUMPRODUCT(MAX(('Agences &amp; Après-vente'!$A$2:$A$1000=$A43)*(('Agences &amp; Après-vente'!$D$2:$D$1000="Agences")+('Agences &amp; Après-vente'!$D$2:$D$1000="Agences et Après-vente"))*'Agences &amp; Après-vente'!$E$2:$E$1000)),"yyyy-mm-dd"),"")))))</f>
        <v>✓</v>
      </c>
      <c r="H43" s="131" t="str">
        <f aca="false">IF($R43="✓","✓",IF(ISNUMBER($R43),TEXT($R43,"yyyy-mm-dd"),IF($A43="","",IF($D43="Lisbonne","",IF(SUMPRODUCT(('Agences &amp; Après-vente'!$A$2:$A$1000=$A43)*(('Agences &amp; Après-vente'!$D$2:$D$1000="Agences")+('Agences &amp; Après-vente'!$D$2:$D$1000="Agences et Après-vente"))*('Agences &amp; Après-vente'!$I$2:$I$1000="DONE"))&gt;0,"✓",IF(SUMPRODUCT(MAX(('Agences &amp; Après-vente'!$A$2:$A$1000=$A43)*(('Agences &amp; Après-vente'!$D$2:$D$1000="Agences")+('Agences &amp; Après-vente'!$D$2:$D$1000="Agences et Après-vente"))*'Agences &amp; Après-vente'!$E$2:$E$1000))&gt;0,TEXT(SUMPRODUCT(MAX(('Agences &amp; Après-vente'!$A$2:$A$1000=$A43)*(('Agences &amp; Après-vente'!$D$2:$D$1000="Agences")+('Agences &amp; Après-vente'!$D$2:$D$1000="Agences et Après-vente"))*'Agences &amp; Après-vente'!$E$2:$E$1000)),"yyyy-mm-dd"),""))))))</f>
        <v>✓</v>
      </c>
      <c r="I43" s="131" t="str">
        <f aca="false">IF($S43="✓","✓",IF(ISNUMBER($S43),TEXT($S43,"yyyy-mm-dd"),IF($A43="","",IF(SUMPRODUCT(('Agences &amp; Après-vente'!$A$2:$A$1000=$A43)*(('Agences &amp; Après-vente'!$D$2:$D$1000="Après-vente")+('Agences &amp; Après-vente'!$D$2:$D$1000="Agences et Après-vente"))*('Agences &amp; Après-vente'!$I$2:$I$1000="DONE"))&gt;0,"✓",IF(SUMPRODUCT(MAX(('Agences &amp; Après-vente'!$A$2:$A$1000=$A43)*(('Agences &amp; Après-vente'!$D$2:$D$1000="Après-vente")+('Agences &amp; Après-vente'!$D$2:$D$1000="Agences et Après-vente"))*'Agences &amp; Après-vente'!$E$2:$E$1000))&gt;0,TEXT(SUMPRODUCT(MAX(('Agences &amp; Après-vente'!$A$2:$A$1000=$A43)*(('Agences &amp; Après-vente'!$D$2:$D$1000="Après-vente")+('Agences &amp; Après-vente'!$D$2:$D$1000="Agences et Après-vente"))*'Agences &amp; Après-vente'!$E$2:$E$1000)),"yyyy-mm-dd"),"")))))</f>
        <v>✓</v>
      </c>
      <c r="J43" s="131" t="str">
        <f aca="false">IF($T43="✓","✓",IF(ISNUMBER($T43),TEXT($T43,"yyyy-mm-dd"),IF($A43="","",IF($D43="Lisbonne","",IF(SUMPRODUCT(('Agences &amp; Après-vente'!$A$2:$A$1000=$A43)*(('Agences &amp; Après-vente'!$D$2:$D$1000="Après-vente")+('Agences &amp; Après-vente'!$D$2:$D$1000="Agences et Après-vente"))*('Agences &amp; Après-vente'!$I$2:$I$1000="DONE"))&gt;0,"✓",IF(SUMPRODUCT(MAX(('Agences &amp; Après-vente'!$A$2:$A$1000=$A43)*(('Agences &amp; Après-vente'!$D$2:$D$1000="Après-vente")+('Agences &amp; Après-vente'!$D$2:$D$1000="Agences et Après-vente"))*'Agences &amp; Après-vente'!$E$2:$E$1000))&gt;0,TEXT(SUMPRODUCT(MAX(('Agences &amp; Après-vente'!$A$2:$A$1000=$A43)*(('Agences &amp; Après-vente'!$D$2:$D$1000="Après-vente")+('Agences &amp; Après-vente'!$D$2:$D$1000="Agences et Après-vente"))*'Agences &amp; Après-vente'!$E$2:$E$1000)),"yyyy-mm-dd"),""))))))</f>
        <v>✓</v>
      </c>
      <c r="K43" s="131" t="str">
        <f aca="false">IF($U43="✓","✓",IF(ISNUMBER($U43),TEXT($U43,"yyyy-mm-dd"),IF($D43="Lisbonne","",IF($A43="","",IF(SUMPRODUCT((Evermont!$A$2:$A$1000=$A43)*(Evermont!$Q$2:$Q$1000="Terminé"))&gt;0,"✓",IF(SUMPRODUCT(MAX((Evermont!$A$2:$A$1000=$A43)*Evermont!$F$2:$F$1000))&gt;0,TEXT(SUMPRODUCT(MAX((Evermont!$A$2:$A$1000=$A43)*Evermont!$F$2:$F$1000)),"yyyy-mm-dd"),""))))))</f>
        <v>✓</v>
      </c>
      <c r="L43" s="132" t="n">
        <f aca="false">IF($A43="","",COUNTIF(E43:K43,"✓"))</f>
        <v>7</v>
      </c>
      <c r="M43" s="133" t="s">
        <v>172</v>
      </c>
      <c r="O43" s="134" t="s">
        <v>173</v>
      </c>
      <c r="P43" s="134" t="s">
        <v>173</v>
      </c>
      <c r="Q43" s="134" t="s">
        <v>173</v>
      </c>
      <c r="R43" s="134" t="s">
        <v>173</v>
      </c>
      <c r="S43" s="134"/>
      <c r="T43" s="134"/>
      <c r="U43" s="134" t="s">
        <v>173</v>
      </c>
      <c r="W43" s="135" t="str">
        <f aca="false">IF($A43="","",IF($X43&lt;&gt;"",$X43,IFERROR(INDEX('Formation Initiale'!$B$2:$B$999,MATCH($A43,'Formation Initiale'!$A$2:$A$999,0)),"Général")))</f>
        <v>Général</v>
      </c>
      <c r="X43" s="136"/>
    </row>
    <row r="44" customFormat="false" ht="18" hidden="true" customHeight="true" outlineLevel="0" collapsed="false">
      <c r="A44" s="127" t="s">
        <v>299</v>
      </c>
      <c r="B44" s="128" t="s">
        <v>300</v>
      </c>
      <c r="C44" s="128" t="s">
        <v>301</v>
      </c>
      <c r="D44" s="129" t="s">
        <v>171</v>
      </c>
      <c r="E44" s="130" t="str">
        <f aca="false">IF($O44="✓","✓",IF(ISNUMBER($O44),TEXT($O44,"yyyy-mm-dd"),IF($A44="","",IF(SUMPRODUCT(('Formation Initiale'!$A$2:$A$999=$A44)*('Formation Initiale'!$R$2:$R$999="Terminé"))&gt;0,"✓",IF(SUMPRODUCT(MAX(('Formation Initiale'!$A$2:$A$999=$A44)*'Formation Initiale'!$G$2:$G$999))&gt;0,TEXT(SUMPRODUCT(MAX(('Formation Initiale'!$A$2:$A$999=$A44)*'Formation Initiale'!$G$2:$G$999)),"yyyy-mm-dd"),"")))))</f>
        <v>✓</v>
      </c>
      <c r="F44" s="131" t="str">
        <f aca="false">IF($P44="✓","✓",IF(ISNUMBER($P44),TEXT($P44,"yyyy-mm-dd"),IF($A44="","",IF($D44="Lisbonne","",IF(SUMPRODUCT(('Formation Initiale'!$A$2:$A$999=$A44)*('Formation Initiale'!$R$2:$R$999="Terminé"))&gt;0,"✓",IF(SUMPRODUCT(MAX(('Formation Initiale'!$A$2:$A$999=$A44)*'Formation Initiale'!$G$2:$G$999))&gt;0,TEXT(SUMPRODUCT(MAX(('Formation Initiale'!$A$2:$A$999=$A44)*'Formation Initiale'!$G$2:$G$999)),"yyyy-mm-dd"),""))))))</f>
        <v>✓</v>
      </c>
      <c r="G44" s="131" t="str">
        <f aca="false">IF($Q44="✓","✓",IF(ISNUMBER($Q44),TEXT($Q44,"yyyy-mm-dd"),IF($A44="","",IF(SUMPRODUCT(('Agences &amp; Après-vente'!$A$2:$A$1000=$A44)*(('Agences &amp; Après-vente'!$D$2:$D$1000="Agences")+('Agences &amp; Après-vente'!$D$2:$D$1000="Agences et Après-vente"))*('Agences &amp; Après-vente'!$I$2:$I$1000="DONE"))&gt;0,"✓",IF(SUMPRODUCT(MAX(('Agences &amp; Après-vente'!$A$2:$A$1000=$A44)*(('Agences &amp; Après-vente'!$D$2:$D$1000="Agences")+('Agences &amp; Après-vente'!$D$2:$D$1000="Agences et Après-vente"))*'Agences &amp; Après-vente'!$E$2:$E$1000))&gt;0,TEXT(SUMPRODUCT(MAX(('Agences &amp; Après-vente'!$A$2:$A$1000=$A44)*(('Agences &amp; Après-vente'!$D$2:$D$1000="Agences")+('Agences &amp; Après-vente'!$D$2:$D$1000="Agences et Après-vente"))*'Agences &amp; Après-vente'!$E$2:$E$1000)),"yyyy-mm-dd"),"")))))</f>
        <v>✓</v>
      </c>
      <c r="H44" s="131" t="str">
        <f aca="false">IF($R44="✓","✓",IF(ISNUMBER($R44),TEXT($R44,"yyyy-mm-dd"),IF($A44="","",IF($D44="Lisbonne","",IF(SUMPRODUCT(('Agences &amp; Après-vente'!$A$2:$A$1000=$A44)*(('Agences &amp; Après-vente'!$D$2:$D$1000="Agences")+('Agences &amp; Après-vente'!$D$2:$D$1000="Agences et Après-vente"))*('Agences &amp; Après-vente'!$I$2:$I$1000="DONE"))&gt;0,"✓",IF(SUMPRODUCT(MAX(('Agences &amp; Après-vente'!$A$2:$A$1000=$A44)*(('Agences &amp; Après-vente'!$D$2:$D$1000="Agences")+('Agences &amp; Après-vente'!$D$2:$D$1000="Agences et Après-vente"))*'Agences &amp; Après-vente'!$E$2:$E$1000))&gt;0,TEXT(SUMPRODUCT(MAX(('Agences &amp; Après-vente'!$A$2:$A$1000=$A44)*(('Agences &amp; Après-vente'!$D$2:$D$1000="Agences")+('Agences &amp; Après-vente'!$D$2:$D$1000="Agences et Après-vente"))*'Agences &amp; Après-vente'!$E$2:$E$1000)),"yyyy-mm-dd"),""))))))</f>
        <v>✓</v>
      </c>
      <c r="I44" s="131" t="str">
        <f aca="false">IF($S44="✓","✓",IF(ISNUMBER($S44),TEXT($S44,"yyyy-mm-dd"),IF($A44="","",IF(SUMPRODUCT(('Agences &amp; Après-vente'!$A$2:$A$1000=$A44)*(('Agences &amp; Après-vente'!$D$2:$D$1000="Après-vente")+('Agences &amp; Après-vente'!$D$2:$D$1000="Agences et Après-vente"))*('Agences &amp; Après-vente'!$I$2:$I$1000="DONE"))&gt;0,"✓",IF(SUMPRODUCT(MAX(('Agences &amp; Après-vente'!$A$2:$A$1000=$A44)*(('Agences &amp; Après-vente'!$D$2:$D$1000="Après-vente")+('Agences &amp; Après-vente'!$D$2:$D$1000="Agences et Après-vente"))*'Agences &amp; Après-vente'!$E$2:$E$1000))&gt;0,TEXT(SUMPRODUCT(MAX(('Agences &amp; Après-vente'!$A$2:$A$1000=$A44)*(('Agences &amp; Après-vente'!$D$2:$D$1000="Après-vente")+('Agences &amp; Après-vente'!$D$2:$D$1000="Agences et Après-vente"))*'Agences &amp; Après-vente'!$E$2:$E$1000)),"yyyy-mm-dd"),"")))))</f>
        <v>✓</v>
      </c>
      <c r="J44" s="131" t="str">
        <f aca="false">IF($T44="✓","✓",IF(ISNUMBER($T44),TEXT($T44,"yyyy-mm-dd"),IF($A44="","",IF($D44="Lisbonne","",IF(SUMPRODUCT(('Agences &amp; Après-vente'!$A$2:$A$1000=$A44)*(('Agences &amp; Après-vente'!$D$2:$D$1000="Après-vente")+('Agences &amp; Après-vente'!$D$2:$D$1000="Agences et Après-vente"))*('Agences &amp; Après-vente'!$I$2:$I$1000="DONE"))&gt;0,"✓",IF(SUMPRODUCT(MAX(('Agences &amp; Après-vente'!$A$2:$A$1000=$A44)*(('Agences &amp; Après-vente'!$D$2:$D$1000="Après-vente")+('Agences &amp; Après-vente'!$D$2:$D$1000="Agences et Après-vente"))*'Agences &amp; Après-vente'!$E$2:$E$1000))&gt;0,TEXT(SUMPRODUCT(MAX(('Agences &amp; Après-vente'!$A$2:$A$1000=$A44)*(('Agences &amp; Après-vente'!$D$2:$D$1000="Après-vente")+('Agences &amp; Après-vente'!$D$2:$D$1000="Agences et Après-vente"))*'Agences &amp; Après-vente'!$E$2:$E$1000)),"yyyy-mm-dd"),""))))))</f>
        <v>✓</v>
      </c>
      <c r="K44" s="131" t="str">
        <f aca="false">IF($U44="✓","✓",IF(ISNUMBER($U44),TEXT($U44,"yyyy-mm-dd"),IF($D44="Lisbonne","",IF($A44="","",IF(SUMPRODUCT((Evermont!$A$2:$A$1000=$A44)*(Evermont!$Q$2:$Q$1000="Terminé"))&gt;0,"✓",IF(SUMPRODUCT(MAX((Evermont!$A$2:$A$1000=$A44)*Evermont!$F$2:$F$1000))&gt;0,TEXT(SUMPRODUCT(MAX((Evermont!$A$2:$A$1000=$A44)*Evermont!$F$2:$F$1000)),"yyyy-mm-dd"),""))))))</f>
        <v/>
      </c>
      <c r="L44" s="132" t="n">
        <f aca="false">IF($A44="","",COUNTIF(E44:K44,"✓"))</f>
        <v>6</v>
      </c>
      <c r="M44" s="133" t="s">
        <v>172</v>
      </c>
      <c r="O44" s="134" t="s">
        <v>173</v>
      </c>
      <c r="P44" s="134" t="s">
        <v>173</v>
      </c>
      <c r="Q44" s="134"/>
      <c r="R44" s="134"/>
      <c r="S44" s="134"/>
      <c r="T44" s="134"/>
      <c r="U44" s="134"/>
      <c r="W44" s="135" t="str">
        <f aca="false">IF($A44="","",IF($X44&lt;&gt;"",$X44,IFERROR(INDEX('Formation Initiale'!$B$2:$B$999,MATCH($A44,'Formation Initiale'!$A$2:$A$999,0)),"Général")))</f>
        <v>Général</v>
      </c>
      <c r="X44" s="136"/>
    </row>
    <row r="45" customFormat="false" ht="18" hidden="true" customHeight="true" outlineLevel="0" collapsed="false">
      <c r="A45" s="137" t="s">
        <v>302</v>
      </c>
      <c r="B45" s="128" t="s">
        <v>303</v>
      </c>
      <c r="C45" s="128" t="s">
        <v>304</v>
      </c>
      <c r="D45" s="129" t="s">
        <v>171</v>
      </c>
      <c r="E45" s="130" t="str">
        <f aca="false">IF($O45="✓","✓",IF(ISNUMBER($O45),TEXT($O45,"yyyy-mm-dd"),IF($A45="","",IF(SUMPRODUCT(('Formation Initiale'!$A$2:$A$999=$A45)*('Formation Initiale'!$R$2:$R$999="Terminé"))&gt;0,"✓",IF(SUMPRODUCT(MAX(('Formation Initiale'!$A$2:$A$999=$A45)*'Formation Initiale'!$G$2:$G$999))&gt;0,TEXT(SUMPRODUCT(MAX(('Formation Initiale'!$A$2:$A$999=$A45)*'Formation Initiale'!$G$2:$G$999)),"yyyy-mm-dd"),"")))))</f>
        <v>✓</v>
      </c>
      <c r="F45" s="131" t="str">
        <f aca="false">IF($P45="✓","✓",IF(ISNUMBER($P45),TEXT($P45,"yyyy-mm-dd"),IF($A45="","",IF($D45="Lisbonne","",IF(SUMPRODUCT(('Formation Initiale'!$A$2:$A$999=$A45)*('Formation Initiale'!$R$2:$R$999="Terminé"))&gt;0,"✓",IF(SUMPRODUCT(MAX(('Formation Initiale'!$A$2:$A$999=$A45)*'Formation Initiale'!$G$2:$G$999))&gt;0,TEXT(SUMPRODUCT(MAX(('Formation Initiale'!$A$2:$A$999=$A45)*'Formation Initiale'!$G$2:$G$999)),"yyyy-mm-dd"),""))))))</f>
        <v>✓</v>
      </c>
      <c r="G45" s="131" t="str">
        <f aca="false">IF($Q45="✓","✓",IF(ISNUMBER($Q45),TEXT($Q45,"yyyy-mm-dd"),IF($A45="","",IF(SUMPRODUCT(('Agences &amp; Après-vente'!$A$2:$A$1000=$A45)*(('Agences &amp; Après-vente'!$D$2:$D$1000="Agences")+('Agences &amp; Après-vente'!$D$2:$D$1000="Agences et Après-vente"))*('Agences &amp; Après-vente'!$I$2:$I$1000="DONE"))&gt;0,"✓",IF(SUMPRODUCT(MAX(('Agences &amp; Après-vente'!$A$2:$A$1000=$A45)*(('Agences &amp; Après-vente'!$D$2:$D$1000="Agences")+('Agences &amp; Après-vente'!$D$2:$D$1000="Agences et Après-vente"))*'Agences &amp; Après-vente'!$E$2:$E$1000))&gt;0,TEXT(SUMPRODUCT(MAX(('Agences &amp; Après-vente'!$A$2:$A$1000=$A45)*(('Agences &amp; Après-vente'!$D$2:$D$1000="Agences")+('Agences &amp; Après-vente'!$D$2:$D$1000="Agences et Après-vente"))*'Agences &amp; Après-vente'!$E$2:$E$1000)),"yyyy-mm-dd"),"")))))</f>
        <v/>
      </c>
      <c r="H45" s="131" t="str">
        <f aca="false">IF($R45="✓","✓",IF(ISNUMBER($R45),TEXT($R45,"yyyy-mm-dd"),IF($A45="","",IF($D45="Lisbonne","",IF(SUMPRODUCT(('Agences &amp; Après-vente'!$A$2:$A$1000=$A45)*(('Agences &amp; Après-vente'!$D$2:$D$1000="Agences")+('Agences &amp; Après-vente'!$D$2:$D$1000="Agences et Après-vente"))*('Agences &amp; Après-vente'!$I$2:$I$1000="DONE"))&gt;0,"✓",IF(SUMPRODUCT(MAX(('Agences &amp; Après-vente'!$A$2:$A$1000=$A45)*(('Agences &amp; Après-vente'!$D$2:$D$1000="Agences")+('Agences &amp; Après-vente'!$D$2:$D$1000="Agences et Après-vente"))*'Agences &amp; Après-vente'!$E$2:$E$1000))&gt;0,TEXT(SUMPRODUCT(MAX(('Agences &amp; Après-vente'!$A$2:$A$1000=$A45)*(('Agences &amp; Après-vente'!$D$2:$D$1000="Agences")+('Agences &amp; Après-vente'!$D$2:$D$1000="Agences et Après-vente"))*'Agences &amp; Après-vente'!$E$2:$E$1000)),"yyyy-mm-dd"),""))))))</f>
        <v/>
      </c>
      <c r="I45" s="131" t="str">
        <f aca="false">IF($S45="✓","✓",IF(ISNUMBER($S45),TEXT($S45,"yyyy-mm-dd"),IF($A45="","",IF(SUMPRODUCT(('Agences &amp; Après-vente'!$A$2:$A$1000=$A45)*(('Agences &amp; Après-vente'!$D$2:$D$1000="Après-vente")+('Agences &amp; Après-vente'!$D$2:$D$1000="Agences et Après-vente"))*('Agences &amp; Après-vente'!$I$2:$I$1000="DONE"))&gt;0,"✓",IF(SUMPRODUCT(MAX(('Agences &amp; Après-vente'!$A$2:$A$1000=$A45)*(('Agences &amp; Après-vente'!$D$2:$D$1000="Après-vente")+('Agences &amp; Après-vente'!$D$2:$D$1000="Agences et Après-vente"))*'Agences &amp; Après-vente'!$E$2:$E$1000))&gt;0,TEXT(SUMPRODUCT(MAX(('Agences &amp; Après-vente'!$A$2:$A$1000=$A45)*(('Agences &amp; Après-vente'!$D$2:$D$1000="Après-vente")+('Agences &amp; Après-vente'!$D$2:$D$1000="Agences et Après-vente"))*'Agences &amp; Après-vente'!$E$2:$E$1000)),"yyyy-mm-dd"),"")))))</f>
        <v/>
      </c>
      <c r="J45" s="131" t="str">
        <f aca="false">IF($T45="✓","✓",IF(ISNUMBER($T45),TEXT($T45,"yyyy-mm-dd"),IF($A45="","",IF($D45="Lisbonne","",IF(SUMPRODUCT(('Agences &amp; Après-vente'!$A$2:$A$1000=$A45)*(('Agences &amp; Après-vente'!$D$2:$D$1000="Après-vente")+('Agences &amp; Après-vente'!$D$2:$D$1000="Agences et Après-vente"))*('Agences &amp; Après-vente'!$I$2:$I$1000="DONE"))&gt;0,"✓",IF(SUMPRODUCT(MAX(('Agences &amp; Après-vente'!$A$2:$A$1000=$A45)*(('Agences &amp; Après-vente'!$D$2:$D$1000="Après-vente")+('Agences &amp; Après-vente'!$D$2:$D$1000="Agences et Après-vente"))*'Agences &amp; Après-vente'!$E$2:$E$1000))&gt;0,TEXT(SUMPRODUCT(MAX(('Agences &amp; Après-vente'!$A$2:$A$1000=$A45)*(('Agences &amp; Après-vente'!$D$2:$D$1000="Après-vente")+('Agences &amp; Après-vente'!$D$2:$D$1000="Agences et Après-vente"))*'Agences &amp; Après-vente'!$E$2:$E$1000)),"yyyy-mm-dd"),""))))))</f>
        <v/>
      </c>
      <c r="K45" s="131" t="str">
        <f aca="false">IF($U45="✓","✓",IF(ISNUMBER($U45),TEXT($U45,"yyyy-mm-dd"),IF($D45="Lisbonne","",IF($A45="","",IF(SUMPRODUCT((Evermont!$A$2:$A$1000=$A45)*(Evermont!$Q$2:$Q$1000="Terminé"))&gt;0,"✓",IF(SUMPRODUCT(MAX((Evermont!$A$2:$A$1000=$A45)*Evermont!$F$2:$F$1000))&gt;0,TEXT(SUMPRODUCT(MAX((Evermont!$A$2:$A$1000=$A45)*Evermont!$F$2:$F$1000)),"yyyy-mm-dd"),""))))))</f>
        <v/>
      </c>
      <c r="L45" s="132" t="n">
        <f aca="false">IF($A45="","",COUNTIF(E45:K45,"✓"))</f>
        <v>2</v>
      </c>
      <c r="M45" s="133" t="s">
        <v>196</v>
      </c>
      <c r="O45" s="134"/>
      <c r="P45" s="134"/>
      <c r="Q45" s="134"/>
      <c r="R45" s="134"/>
      <c r="S45" s="134"/>
      <c r="T45" s="134"/>
      <c r="U45" s="134"/>
      <c r="W45" s="135" t="str">
        <f aca="false">IF($A45="","",IF($X45&lt;&gt;"",$X45,IFERROR(INDEX('Formation Initiale'!$B$2:$B$999,MATCH($A45,'Formation Initiale'!$A$2:$A$999,0)),"Général")))</f>
        <v>173</v>
      </c>
      <c r="X45" s="136"/>
    </row>
    <row r="46" customFormat="false" ht="18" hidden="true" customHeight="true" outlineLevel="0" collapsed="false">
      <c r="A46" s="127" t="s">
        <v>305</v>
      </c>
      <c r="B46" s="128" t="s">
        <v>306</v>
      </c>
      <c r="C46" s="128" t="s">
        <v>307</v>
      </c>
      <c r="D46" s="129" t="s">
        <v>171</v>
      </c>
      <c r="E46" s="130" t="str">
        <f aca="false">IF($O46="✓","✓",IF(ISNUMBER($O46),TEXT($O46,"yyyy-mm-dd"),IF($A46="","",IF(SUMPRODUCT(('Formation Initiale'!$A$2:$A$999=$A46)*('Formation Initiale'!$R$2:$R$999="Terminé"))&gt;0,"✓",IF(SUMPRODUCT(MAX(('Formation Initiale'!$A$2:$A$999=$A46)*'Formation Initiale'!$G$2:$G$999))&gt;0,TEXT(SUMPRODUCT(MAX(('Formation Initiale'!$A$2:$A$999=$A46)*'Formation Initiale'!$G$2:$G$999)),"yyyy-mm-dd"),"")))))</f>
        <v>✓</v>
      </c>
      <c r="F46" s="131" t="str">
        <f aca="false">IF($P46="✓","✓",IF(ISNUMBER($P46),TEXT($P46,"yyyy-mm-dd"),IF($A46="","",IF($D46="Lisbonne","",IF(SUMPRODUCT(('Formation Initiale'!$A$2:$A$999=$A46)*('Formation Initiale'!$R$2:$R$999="Terminé"))&gt;0,"✓",IF(SUMPRODUCT(MAX(('Formation Initiale'!$A$2:$A$999=$A46)*'Formation Initiale'!$G$2:$G$999))&gt;0,TEXT(SUMPRODUCT(MAX(('Formation Initiale'!$A$2:$A$999=$A46)*'Formation Initiale'!$G$2:$G$999)),"yyyy-mm-dd"),""))))))</f>
        <v>✓</v>
      </c>
      <c r="G46" s="131" t="str">
        <f aca="false">IF($Q46="✓","✓",IF(ISNUMBER($Q46),TEXT($Q46,"yyyy-mm-dd"),IF($A46="","",IF(SUMPRODUCT(('Agences &amp; Après-vente'!$A$2:$A$1000=$A46)*(('Agences &amp; Après-vente'!$D$2:$D$1000="Agences")+('Agences &amp; Après-vente'!$D$2:$D$1000="Agences et Après-vente"))*('Agences &amp; Après-vente'!$I$2:$I$1000="DONE"))&gt;0,"✓",IF(SUMPRODUCT(MAX(('Agences &amp; Après-vente'!$A$2:$A$1000=$A46)*(('Agences &amp; Après-vente'!$D$2:$D$1000="Agences")+('Agences &amp; Après-vente'!$D$2:$D$1000="Agences et Après-vente"))*'Agences &amp; Après-vente'!$E$2:$E$1000))&gt;0,TEXT(SUMPRODUCT(MAX(('Agences &amp; Après-vente'!$A$2:$A$1000=$A46)*(('Agences &amp; Après-vente'!$D$2:$D$1000="Agences")+('Agences &amp; Après-vente'!$D$2:$D$1000="Agences et Après-vente"))*'Agences &amp; Après-vente'!$E$2:$E$1000)),"yyyy-mm-dd"),"")))))</f>
        <v/>
      </c>
      <c r="H46" s="131" t="str">
        <f aca="false">IF($R46="✓","✓",IF(ISNUMBER($R46),TEXT($R46,"yyyy-mm-dd"),IF($A46="","",IF($D46="Lisbonne","",IF(SUMPRODUCT(('Agences &amp; Après-vente'!$A$2:$A$1000=$A46)*(('Agences &amp; Après-vente'!$D$2:$D$1000="Agences")+('Agences &amp; Après-vente'!$D$2:$D$1000="Agences et Après-vente"))*('Agences &amp; Après-vente'!$I$2:$I$1000="DONE"))&gt;0,"✓",IF(SUMPRODUCT(MAX(('Agences &amp; Après-vente'!$A$2:$A$1000=$A46)*(('Agences &amp; Après-vente'!$D$2:$D$1000="Agences")+('Agences &amp; Après-vente'!$D$2:$D$1000="Agences et Après-vente"))*'Agences &amp; Après-vente'!$E$2:$E$1000))&gt;0,TEXT(SUMPRODUCT(MAX(('Agences &amp; Après-vente'!$A$2:$A$1000=$A46)*(('Agences &amp; Après-vente'!$D$2:$D$1000="Agences")+('Agences &amp; Après-vente'!$D$2:$D$1000="Agences et Après-vente"))*'Agences &amp; Après-vente'!$E$2:$E$1000)),"yyyy-mm-dd"),""))))))</f>
        <v/>
      </c>
      <c r="I46" s="131" t="str">
        <f aca="false">IF($S46="✓","✓",IF(ISNUMBER($S46),TEXT($S46,"yyyy-mm-dd"),IF($A46="","",IF(SUMPRODUCT(('Agences &amp; Après-vente'!$A$2:$A$1000=$A46)*(('Agences &amp; Après-vente'!$D$2:$D$1000="Après-vente")+('Agences &amp; Après-vente'!$D$2:$D$1000="Agences et Après-vente"))*('Agences &amp; Après-vente'!$I$2:$I$1000="DONE"))&gt;0,"✓",IF(SUMPRODUCT(MAX(('Agences &amp; Après-vente'!$A$2:$A$1000=$A46)*(('Agences &amp; Après-vente'!$D$2:$D$1000="Après-vente")+('Agences &amp; Après-vente'!$D$2:$D$1000="Agences et Après-vente"))*'Agences &amp; Après-vente'!$E$2:$E$1000))&gt;0,TEXT(SUMPRODUCT(MAX(('Agences &amp; Après-vente'!$A$2:$A$1000=$A46)*(('Agences &amp; Après-vente'!$D$2:$D$1000="Après-vente")+('Agences &amp; Après-vente'!$D$2:$D$1000="Agences et Après-vente"))*'Agences &amp; Après-vente'!$E$2:$E$1000)),"yyyy-mm-dd"),"")))))</f>
        <v/>
      </c>
      <c r="J46" s="131" t="str">
        <f aca="false">IF($T46="✓","✓",IF(ISNUMBER($T46),TEXT($T46,"yyyy-mm-dd"),IF($A46="","",IF($D46="Lisbonne","",IF(SUMPRODUCT(('Agences &amp; Après-vente'!$A$2:$A$1000=$A46)*(('Agences &amp; Après-vente'!$D$2:$D$1000="Après-vente")+('Agences &amp; Après-vente'!$D$2:$D$1000="Agences et Après-vente"))*('Agences &amp; Après-vente'!$I$2:$I$1000="DONE"))&gt;0,"✓",IF(SUMPRODUCT(MAX(('Agences &amp; Après-vente'!$A$2:$A$1000=$A46)*(('Agences &amp; Après-vente'!$D$2:$D$1000="Après-vente")+('Agences &amp; Après-vente'!$D$2:$D$1000="Agences et Après-vente"))*'Agences &amp; Après-vente'!$E$2:$E$1000))&gt;0,TEXT(SUMPRODUCT(MAX(('Agences &amp; Après-vente'!$A$2:$A$1000=$A46)*(('Agences &amp; Après-vente'!$D$2:$D$1000="Après-vente")+('Agences &amp; Après-vente'!$D$2:$D$1000="Agences et Après-vente"))*'Agences &amp; Après-vente'!$E$2:$E$1000)),"yyyy-mm-dd"),""))))))</f>
        <v/>
      </c>
      <c r="K46" s="131" t="str">
        <f aca="false">IF($U46="✓","✓",IF(ISNUMBER($U46),TEXT($U46,"yyyy-mm-dd"),IF($D46="Lisbonne","",IF($A46="","",IF(SUMPRODUCT((Evermont!$A$2:$A$1000=$A46)*(Evermont!$Q$2:$Q$1000="Terminé"))&gt;0,"✓",IF(SUMPRODUCT(MAX((Evermont!$A$2:$A$1000=$A46)*Evermont!$F$2:$F$1000))&gt;0,TEXT(SUMPRODUCT(MAX((Evermont!$A$2:$A$1000=$A46)*Evermont!$F$2:$F$1000)),"yyyy-mm-dd"),""))))))</f>
        <v/>
      </c>
      <c r="L46" s="132" t="n">
        <f aca="false">IF($A46="","",COUNTIF(E46:K46,"✓"))</f>
        <v>2</v>
      </c>
      <c r="M46" s="133" t="s">
        <v>172</v>
      </c>
      <c r="O46" s="134" t="s">
        <v>173</v>
      </c>
      <c r="P46" s="134" t="s">
        <v>173</v>
      </c>
      <c r="Q46" s="134"/>
      <c r="R46" s="134"/>
      <c r="S46" s="134"/>
      <c r="T46" s="134"/>
      <c r="U46" s="134"/>
      <c r="W46" s="135" t="str">
        <f aca="false">IF($A46="","",IF($X46&lt;&gt;"",$X46,IFERROR(INDEX('Formation Initiale'!$B$2:$B$999,MATCH($A46,'Formation Initiale'!$A$2:$A$999,0)),"Général")))</f>
        <v>175</v>
      </c>
      <c r="X46" s="136"/>
    </row>
    <row r="47" customFormat="false" ht="18" hidden="true" customHeight="true" outlineLevel="0" collapsed="false">
      <c r="A47" s="127" t="s">
        <v>308</v>
      </c>
      <c r="B47" s="128" t="s">
        <v>309</v>
      </c>
      <c r="C47" s="128" t="s">
        <v>310</v>
      </c>
      <c r="D47" s="129" t="s">
        <v>171</v>
      </c>
      <c r="E47" s="130" t="str">
        <f aca="false">IF($O47="✓","✓",IF(ISNUMBER($O47),TEXT($O47,"yyyy-mm-dd"),IF($A47="","",IF(SUMPRODUCT(('Formation Initiale'!$A$2:$A$999=$A47)*('Formation Initiale'!$R$2:$R$999="Terminé"))&gt;0,"✓",IF(SUMPRODUCT(MAX(('Formation Initiale'!$A$2:$A$999=$A47)*'Formation Initiale'!$G$2:$G$999))&gt;0,TEXT(SUMPRODUCT(MAX(('Formation Initiale'!$A$2:$A$999=$A47)*'Formation Initiale'!$G$2:$G$999)),"yyyy-mm-dd"),"")))))</f>
        <v>✓</v>
      </c>
      <c r="F47" s="131" t="str">
        <f aca="false">IF($P47="✓","✓",IF(ISNUMBER($P47),TEXT($P47,"yyyy-mm-dd"),IF($A47="","",IF($D47="Lisbonne","",IF(SUMPRODUCT(('Formation Initiale'!$A$2:$A$999=$A47)*('Formation Initiale'!$R$2:$R$999="Terminé"))&gt;0,"✓",IF(SUMPRODUCT(MAX(('Formation Initiale'!$A$2:$A$999=$A47)*'Formation Initiale'!$G$2:$G$999))&gt;0,TEXT(SUMPRODUCT(MAX(('Formation Initiale'!$A$2:$A$999=$A47)*'Formation Initiale'!$G$2:$G$999)),"yyyy-mm-dd"),""))))))</f>
        <v>✓</v>
      </c>
      <c r="G47" s="131" t="str">
        <f aca="false">IF($Q47="✓","✓",IF(ISNUMBER($Q47),TEXT($Q47,"yyyy-mm-dd"),IF($A47="","",IF(SUMPRODUCT(('Agences &amp; Après-vente'!$A$2:$A$1000=$A47)*(('Agences &amp; Après-vente'!$D$2:$D$1000="Agences")+('Agences &amp; Après-vente'!$D$2:$D$1000="Agences et Après-vente"))*('Agences &amp; Après-vente'!$I$2:$I$1000="DONE"))&gt;0,"✓",IF(SUMPRODUCT(MAX(('Agences &amp; Après-vente'!$A$2:$A$1000=$A47)*(('Agences &amp; Après-vente'!$D$2:$D$1000="Agences")+('Agences &amp; Après-vente'!$D$2:$D$1000="Agences et Après-vente"))*'Agences &amp; Après-vente'!$E$2:$E$1000))&gt;0,TEXT(SUMPRODUCT(MAX(('Agences &amp; Après-vente'!$A$2:$A$1000=$A47)*(('Agences &amp; Après-vente'!$D$2:$D$1000="Agences")+('Agences &amp; Après-vente'!$D$2:$D$1000="Agences et Après-vente"))*'Agences &amp; Après-vente'!$E$2:$E$1000)),"yyyy-mm-dd"),"")))))</f>
        <v>✓</v>
      </c>
      <c r="H47" s="131" t="str">
        <f aca="false">IF($R47="✓","✓",IF(ISNUMBER($R47),TEXT($R47,"yyyy-mm-dd"),IF($A47="","",IF($D47="Lisbonne","",IF(SUMPRODUCT(('Agences &amp; Après-vente'!$A$2:$A$1000=$A47)*(('Agences &amp; Après-vente'!$D$2:$D$1000="Agences")+('Agences &amp; Après-vente'!$D$2:$D$1000="Agences et Après-vente"))*('Agences &amp; Après-vente'!$I$2:$I$1000="DONE"))&gt;0,"✓",IF(SUMPRODUCT(MAX(('Agences &amp; Après-vente'!$A$2:$A$1000=$A47)*(('Agences &amp; Après-vente'!$D$2:$D$1000="Agences")+('Agences &amp; Après-vente'!$D$2:$D$1000="Agences et Après-vente"))*'Agences &amp; Après-vente'!$E$2:$E$1000))&gt;0,TEXT(SUMPRODUCT(MAX(('Agences &amp; Après-vente'!$A$2:$A$1000=$A47)*(('Agences &amp; Après-vente'!$D$2:$D$1000="Agences")+('Agences &amp; Après-vente'!$D$2:$D$1000="Agences et Après-vente"))*'Agences &amp; Après-vente'!$E$2:$E$1000)),"yyyy-mm-dd"),""))))))</f>
        <v>✓</v>
      </c>
      <c r="I47" s="131" t="str">
        <f aca="false">IF($S47="✓","✓",IF(ISNUMBER($S47),TEXT($S47,"yyyy-mm-dd"),IF($A47="","",IF(SUMPRODUCT(('Agences &amp; Après-vente'!$A$2:$A$1000=$A47)*(('Agences &amp; Après-vente'!$D$2:$D$1000="Après-vente")+('Agences &amp; Après-vente'!$D$2:$D$1000="Agences et Après-vente"))*('Agences &amp; Après-vente'!$I$2:$I$1000="DONE"))&gt;0,"✓",IF(SUMPRODUCT(MAX(('Agences &amp; Après-vente'!$A$2:$A$1000=$A47)*(('Agences &amp; Après-vente'!$D$2:$D$1000="Après-vente")+('Agences &amp; Après-vente'!$D$2:$D$1000="Agences et Après-vente"))*'Agences &amp; Après-vente'!$E$2:$E$1000))&gt;0,TEXT(SUMPRODUCT(MAX(('Agences &amp; Après-vente'!$A$2:$A$1000=$A47)*(('Agences &amp; Après-vente'!$D$2:$D$1000="Après-vente")+('Agences &amp; Après-vente'!$D$2:$D$1000="Agences et Après-vente"))*'Agences &amp; Après-vente'!$E$2:$E$1000)),"yyyy-mm-dd"),"")))))</f>
        <v>✓</v>
      </c>
      <c r="J47" s="131" t="str">
        <f aca="false">IF($T47="✓","✓",IF(ISNUMBER($T47),TEXT($T47,"yyyy-mm-dd"),IF($A47="","",IF($D47="Lisbonne","",IF(SUMPRODUCT(('Agences &amp; Après-vente'!$A$2:$A$1000=$A47)*(('Agences &amp; Après-vente'!$D$2:$D$1000="Après-vente")+('Agences &amp; Après-vente'!$D$2:$D$1000="Agences et Après-vente"))*('Agences &amp; Après-vente'!$I$2:$I$1000="DONE"))&gt;0,"✓",IF(SUMPRODUCT(MAX(('Agences &amp; Après-vente'!$A$2:$A$1000=$A47)*(('Agences &amp; Après-vente'!$D$2:$D$1000="Après-vente")+('Agences &amp; Après-vente'!$D$2:$D$1000="Agences et Après-vente"))*'Agences &amp; Après-vente'!$E$2:$E$1000))&gt;0,TEXT(SUMPRODUCT(MAX(('Agences &amp; Après-vente'!$A$2:$A$1000=$A47)*(('Agences &amp; Après-vente'!$D$2:$D$1000="Après-vente")+('Agences &amp; Après-vente'!$D$2:$D$1000="Agences et Après-vente"))*'Agences &amp; Après-vente'!$E$2:$E$1000)),"yyyy-mm-dd"),""))))))</f>
        <v>✓</v>
      </c>
      <c r="K47" s="131" t="str">
        <f aca="false">IF($U47="✓","✓",IF(ISNUMBER($U47),TEXT($U47,"yyyy-mm-dd"),IF($D47="Lisbonne","",IF($A47="","",IF(SUMPRODUCT((Evermont!$A$2:$A$1000=$A47)*(Evermont!$Q$2:$Q$1000="Terminé"))&gt;0,"✓",IF(SUMPRODUCT(MAX((Evermont!$A$2:$A$1000=$A47)*Evermont!$F$2:$F$1000))&gt;0,TEXT(SUMPRODUCT(MAX((Evermont!$A$2:$A$1000=$A47)*Evermont!$F$2:$F$1000)),"yyyy-mm-dd"),""))))))</f>
        <v>✓</v>
      </c>
      <c r="L47" s="132" t="n">
        <f aca="false">IF($A47="","",COUNTIF(E47:K47,"✓"))</f>
        <v>7</v>
      </c>
      <c r="M47" s="133" t="s">
        <v>172</v>
      </c>
      <c r="O47" s="134" t="s">
        <v>173</v>
      </c>
      <c r="P47" s="134" t="s">
        <v>173</v>
      </c>
      <c r="Q47" s="134" t="s">
        <v>173</v>
      </c>
      <c r="R47" s="134" t="s">
        <v>173</v>
      </c>
      <c r="S47" s="134" t="s">
        <v>173</v>
      </c>
      <c r="T47" s="134" t="s">
        <v>173</v>
      </c>
      <c r="U47" s="134" t="s">
        <v>173</v>
      </c>
      <c r="W47" s="135" t="str">
        <f aca="false">IF($A47="","",IF($X47&lt;&gt;"",$X47,IFERROR(INDEX('Formation Initiale'!$B$2:$B$999,MATCH($A47,'Formation Initiale'!$A$2:$A$999,0)),"Général")))</f>
        <v>Général</v>
      </c>
      <c r="X47" s="136"/>
    </row>
    <row r="48" customFormat="false" ht="18" hidden="true" customHeight="true" outlineLevel="0" collapsed="false">
      <c r="A48" s="137" t="s">
        <v>311</v>
      </c>
      <c r="B48" s="128" t="s">
        <v>312</v>
      </c>
      <c r="C48" s="128" t="s">
        <v>313</v>
      </c>
      <c r="D48" s="129" t="s">
        <v>186</v>
      </c>
      <c r="E48" s="130" t="str">
        <f aca="false">IF($O48="✓","✓",IF(ISNUMBER($O48),TEXT($O48,"yyyy-mm-dd"),IF($A48="","",IF(SUMPRODUCT(('Formation Initiale'!$A$2:$A$999=$A48)*('Formation Initiale'!$R$2:$R$999="Terminé"))&gt;0,"✓",IF(SUMPRODUCT(MAX(('Formation Initiale'!$A$2:$A$999=$A48)*'Formation Initiale'!$G$2:$G$999))&gt;0,TEXT(SUMPRODUCT(MAX(('Formation Initiale'!$A$2:$A$999=$A48)*'Formation Initiale'!$G$2:$G$999)),"yyyy-mm-dd"),"")))))</f>
        <v>✓</v>
      </c>
      <c r="F48" s="131" t="str">
        <f aca="false">IF($P48="✓","✓",IF(ISNUMBER($P48),TEXT($P48,"yyyy-mm-dd"),IF($A48="","",IF($D48="Lisbonne","",IF(SUMPRODUCT(('Formation Initiale'!$A$2:$A$999=$A48)*('Formation Initiale'!$R$2:$R$999="Terminé"))&gt;0,"✓",IF(SUMPRODUCT(MAX(('Formation Initiale'!$A$2:$A$999=$A48)*'Formation Initiale'!$G$2:$G$999))&gt;0,TEXT(SUMPRODUCT(MAX(('Formation Initiale'!$A$2:$A$999=$A48)*'Formation Initiale'!$G$2:$G$999)),"yyyy-mm-dd"),""))))))</f>
        <v/>
      </c>
      <c r="G48" s="131" t="str">
        <f aca="false">IF($Q48="✓","✓",IF(ISNUMBER($Q48),TEXT($Q48,"yyyy-mm-dd"),IF($A48="","",IF(SUMPRODUCT(('Agences &amp; Après-vente'!$A$2:$A$1000=$A48)*(('Agences &amp; Après-vente'!$D$2:$D$1000="Agences")+('Agences &amp; Après-vente'!$D$2:$D$1000="Agences et Après-vente"))*('Agences &amp; Après-vente'!$I$2:$I$1000="DONE"))&gt;0,"✓",IF(SUMPRODUCT(MAX(('Agences &amp; Après-vente'!$A$2:$A$1000=$A48)*(('Agences &amp; Après-vente'!$D$2:$D$1000="Agences")+('Agences &amp; Après-vente'!$D$2:$D$1000="Agences et Après-vente"))*'Agences &amp; Après-vente'!$E$2:$E$1000))&gt;0,TEXT(SUMPRODUCT(MAX(('Agences &amp; Après-vente'!$A$2:$A$1000=$A48)*(('Agences &amp; Après-vente'!$D$2:$D$1000="Agences")+('Agences &amp; Après-vente'!$D$2:$D$1000="Agences et Après-vente"))*'Agences &amp; Après-vente'!$E$2:$E$1000)),"yyyy-mm-dd"),"")))))</f>
        <v>✓</v>
      </c>
      <c r="H48" s="131" t="str">
        <f aca="false">IF($R48="✓","✓",IF(ISNUMBER($R48),TEXT($R48,"yyyy-mm-dd"),IF($A48="","",IF($D48="Lisbonne","",IF(SUMPRODUCT(('Agences &amp; Après-vente'!$A$2:$A$1000=$A48)*(('Agences &amp; Après-vente'!$D$2:$D$1000="Agences")+('Agences &amp; Après-vente'!$D$2:$D$1000="Agences et Après-vente"))*('Agences &amp; Après-vente'!$I$2:$I$1000="DONE"))&gt;0,"✓",IF(SUMPRODUCT(MAX(('Agences &amp; Après-vente'!$A$2:$A$1000=$A48)*(('Agences &amp; Après-vente'!$D$2:$D$1000="Agences")+('Agences &amp; Après-vente'!$D$2:$D$1000="Agences et Après-vente"))*'Agences &amp; Après-vente'!$E$2:$E$1000))&gt;0,TEXT(SUMPRODUCT(MAX(('Agences &amp; Après-vente'!$A$2:$A$1000=$A48)*(('Agences &amp; Après-vente'!$D$2:$D$1000="Agences")+('Agences &amp; Après-vente'!$D$2:$D$1000="Agences et Après-vente"))*'Agences &amp; Après-vente'!$E$2:$E$1000)),"yyyy-mm-dd"),""))))))</f>
        <v/>
      </c>
      <c r="I48" s="131" t="str">
        <f aca="false">IF($S48="✓","✓",IF(ISNUMBER($S48),TEXT($S48,"yyyy-mm-dd"),IF($A48="","",IF(SUMPRODUCT(('Agences &amp; Après-vente'!$A$2:$A$1000=$A48)*(('Agences &amp; Après-vente'!$D$2:$D$1000="Après-vente")+('Agences &amp; Après-vente'!$D$2:$D$1000="Agences et Après-vente"))*('Agences &amp; Après-vente'!$I$2:$I$1000="DONE"))&gt;0,"✓",IF(SUMPRODUCT(MAX(('Agences &amp; Après-vente'!$A$2:$A$1000=$A48)*(('Agences &amp; Après-vente'!$D$2:$D$1000="Après-vente")+('Agences &amp; Après-vente'!$D$2:$D$1000="Agences et Après-vente"))*'Agences &amp; Après-vente'!$E$2:$E$1000))&gt;0,TEXT(SUMPRODUCT(MAX(('Agences &amp; Après-vente'!$A$2:$A$1000=$A48)*(('Agences &amp; Après-vente'!$D$2:$D$1000="Après-vente")+('Agences &amp; Après-vente'!$D$2:$D$1000="Agences et Après-vente"))*'Agences &amp; Après-vente'!$E$2:$E$1000)),"yyyy-mm-dd"),"")))))</f>
        <v>✓</v>
      </c>
      <c r="J48" s="131" t="str">
        <f aca="false">IF($T48="✓","✓",IF(ISNUMBER($T48),TEXT($T48,"yyyy-mm-dd"),IF($A48="","",IF($D48="Lisbonne","",IF(SUMPRODUCT(('Agences &amp; Après-vente'!$A$2:$A$1000=$A48)*(('Agences &amp; Après-vente'!$D$2:$D$1000="Après-vente")+('Agences &amp; Après-vente'!$D$2:$D$1000="Agences et Après-vente"))*('Agences &amp; Après-vente'!$I$2:$I$1000="DONE"))&gt;0,"✓",IF(SUMPRODUCT(MAX(('Agences &amp; Après-vente'!$A$2:$A$1000=$A48)*(('Agences &amp; Après-vente'!$D$2:$D$1000="Après-vente")+('Agences &amp; Après-vente'!$D$2:$D$1000="Agences et Après-vente"))*'Agences &amp; Après-vente'!$E$2:$E$1000))&gt;0,TEXT(SUMPRODUCT(MAX(('Agences &amp; Après-vente'!$A$2:$A$1000=$A48)*(('Agences &amp; Après-vente'!$D$2:$D$1000="Après-vente")+('Agences &amp; Après-vente'!$D$2:$D$1000="Agences et Après-vente"))*'Agences &amp; Après-vente'!$E$2:$E$1000)),"yyyy-mm-dd"),""))))))</f>
        <v/>
      </c>
      <c r="K48" s="131" t="str">
        <f aca="false">IF($U48="✓","✓",IF(ISNUMBER($U48),TEXT($U48,"yyyy-mm-dd"),IF($D48="Lisbonne","",IF($A48="","",IF(SUMPRODUCT((Evermont!$A$2:$A$1000=$A48)*(Evermont!$Q$2:$Q$1000="Terminé"))&gt;0,"✓",IF(SUMPRODUCT(MAX((Evermont!$A$2:$A$1000=$A48)*Evermont!$F$2:$F$1000))&gt;0,TEXT(SUMPRODUCT(MAX((Evermont!$A$2:$A$1000=$A48)*Evermont!$F$2:$F$1000)),"yyyy-mm-dd"),""))))))</f>
        <v/>
      </c>
      <c r="L48" s="132" t="n">
        <f aca="false">IF($A48="","",COUNTIF(E48:K48,"✓"))</f>
        <v>3</v>
      </c>
      <c r="M48" s="133" t="s">
        <v>172</v>
      </c>
      <c r="O48" s="134" t="s">
        <v>173</v>
      </c>
      <c r="P48" s="134"/>
      <c r="Q48" s="134"/>
      <c r="R48" s="134"/>
      <c r="S48" s="134"/>
      <c r="T48" s="134"/>
      <c r="U48" s="134"/>
      <c r="W48" s="135" t="str">
        <f aca="false">IF($A48="","",IF($X48&lt;&gt;"",$X48,IFERROR(INDEX('Formation Initiale'!$B$2:$B$999,MATCH($A48,'Formation Initiale'!$A$2:$A$999,0)),"Général")))</f>
        <v>OS2</v>
      </c>
      <c r="X48" s="136"/>
    </row>
    <row r="49" customFormat="false" ht="18" hidden="true" customHeight="true" outlineLevel="0" collapsed="false">
      <c r="A49" s="127" t="s">
        <v>314</v>
      </c>
      <c r="B49" s="128" t="s">
        <v>315</v>
      </c>
      <c r="C49" s="128" t="s">
        <v>316</v>
      </c>
      <c r="D49" s="129" t="s">
        <v>171</v>
      </c>
      <c r="E49" s="130" t="str">
        <f aca="false">IF($O49="✓","✓",IF(ISNUMBER($O49),TEXT($O49,"yyyy-mm-dd"),IF($A49="","",IF(SUMPRODUCT(('Formation Initiale'!$A$2:$A$999=$A49)*('Formation Initiale'!$R$2:$R$999="Terminé"))&gt;0,"✓",IF(SUMPRODUCT(MAX(('Formation Initiale'!$A$2:$A$999=$A49)*'Formation Initiale'!$G$2:$G$999))&gt;0,TEXT(SUMPRODUCT(MAX(('Formation Initiale'!$A$2:$A$999=$A49)*'Formation Initiale'!$G$2:$G$999)),"yyyy-mm-dd"),"")))))</f>
        <v>✓</v>
      </c>
      <c r="F49" s="131" t="str">
        <f aca="false">IF($P49="✓","✓",IF(ISNUMBER($P49),TEXT($P49,"yyyy-mm-dd"),IF($A49="","",IF($D49="Lisbonne","",IF(SUMPRODUCT(('Formation Initiale'!$A$2:$A$999=$A49)*('Formation Initiale'!$R$2:$R$999="Terminé"))&gt;0,"✓",IF(SUMPRODUCT(MAX(('Formation Initiale'!$A$2:$A$999=$A49)*'Formation Initiale'!$G$2:$G$999))&gt;0,TEXT(SUMPRODUCT(MAX(('Formation Initiale'!$A$2:$A$999=$A49)*'Formation Initiale'!$G$2:$G$999)),"yyyy-mm-dd"),""))))))</f>
        <v>✓</v>
      </c>
      <c r="G49" s="131" t="str">
        <f aca="false">IF($Q49="✓","✓",IF(ISNUMBER($Q49),TEXT($Q49,"yyyy-mm-dd"),IF($A49="","",IF(SUMPRODUCT(('Agences &amp; Après-vente'!$A$2:$A$1000=$A49)*(('Agences &amp; Après-vente'!$D$2:$D$1000="Agences")+('Agences &amp; Après-vente'!$D$2:$D$1000="Agences et Après-vente"))*('Agences &amp; Après-vente'!$I$2:$I$1000="DONE"))&gt;0,"✓",IF(SUMPRODUCT(MAX(('Agences &amp; Après-vente'!$A$2:$A$1000=$A49)*(('Agences &amp; Après-vente'!$D$2:$D$1000="Agences")+('Agences &amp; Après-vente'!$D$2:$D$1000="Agences et Après-vente"))*'Agences &amp; Après-vente'!$E$2:$E$1000))&gt;0,TEXT(SUMPRODUCT(MAX(('Agences &amp; Après-vente'!$A$2:$A$1000=$A49)*(('Agences &amp; Après-vente'!$D$2:$D$1000="Agences")+('Agences &amp; Après-vente'!$D$2:$D$1000="Agences et Après-vente"))*'Agences &amp; Après-vente'!$E$2:$E$1000)),"yyyy-mm-dd"),"")))))</f>
        <v>✓</v>
      </c>
      <c r="H49" s="131" t="str">
        <f aca="false">IF($R49="✓","✓",IF(ISNUMBER($R49),TEXT($R49,"yyyy-mm-dd"),IF($A49="","",IF($D49="Lisbonne","",IF(SUMPRODUCT(('Agences &amp; Après-vente'!$A$2:$A$1000=$A49)*(('Agences &amp; Après-vente'!$D$2:$D$1000="Agences")+('Agences &amp; Après-vente'!$D$2:$D$1000="Agences et Après-vente"))*('Agences &amp; Après-vente'!$I$2:$I$1000="DONE"))&gt;0,"✓",IF(SUMPRODUCT(MAX(('Agences &amp; Après-vente'!$A$2:$A$1000=$A49)*(('Agences &amp; Après-vente'!$D$2:$D$1000="Agences")+('Agences &amp; Après-vente'!$D$2:$D$1000="Agences et Après-vente"))*'Agences &amp; Après-vente'!$E$2:$E$1000))&gt;0,TEXT(SUMPRODUCT(MAX(('Agences &amp; Après-vente'!$A$2:$A$1000=$A49)*(('Agences &amp; Après-vente'!$D$2:$D$1000="Agences")+('Agences &amp; Après-vente'!$D$2:$D$1000="Agences et Après-vente"))*'Agences &amp; Après-vente'!$E$2:$E$1000)),"yyyy-mm-dd"),""))))))</f>
        <v>✓</v>
      </c>
      <c r="I49" s="131" t="str">
        <f aca="false">IF($S49="✓","✓",IF(ISNUMBER($S49),TEXT($S49,"yyyy-mm-dd"),IF($A49="","",IF(SUMPRODUCT(('Agences &amp; Après-vente'!$A$2:$A$1000=$A49)*(('Agences &amp; Après-vente'!$D$2:$D$1000="Après-vente")+('Agences &amp; Après-vente'!$D$2:$D$1000="Agences et Après-vente"))*('Agences &amp; Après-vente'!$I$2:$I$1000="DONE"))&gt;0,"✓",IF(SUMPRODUCT(MAX(('Agences &amp; Après-vente'!$A$2:$A$1000=$A49)*(('Agences &amp; Après-vente'!$D$2:$D$1000="Après-vente")+('Agences &amp; Après-vente'!$D$2:$D$1000="Agences et Après-vente"))*'Agences &amp; Après-vente'!$E$2:$E$1000))&gt;0,TEXT(SUMPRODUCT(MAX(('Agences &amp; Après-vente'!$A$2:$A$1000=$A49)*(('Agences &amp; Après-vente'!$D$2:$D$1000="Après-vente")+('Agences &amp; Après-vente'!$D$2:$D$1000="Agences et Après-vente"))*'Agences &amp; Après-vente'!$E$2:$E$1000)),"yyyy-mm-dd"),"")))))</f>
        <v>✓</v>
      </c>
      <c r="J49" s="131" t="str">
        <f aca="false">IF($T49="✓","✓",IF(ISNUMBER($T49),TEXT($T49,"yyyy-mm-dd"),IF($A49="","",IF($D49="Lisbonne","",IF(SUMPRODUCT(('Agences &amp; Après-vente'!$A$2:$A$1000=$A49)*(('Agences &amp; Après-vente'!$D$2:$D$1000="Après-vente")+('Agences &amp; Après-vente'!$D$2:$D$1000="Agences et Après-vente"))*('Agences &amp; Après-vente'!$I$2:$I$1000="DONE"))&gt;0,"✓",IF(SUMPRODUCT(MAX(('Agences &amp; Après-vente'!$A$2:$A$1000=$A49)*(('Agences &amp; Après-vente'!$D$2:$D$1000="Après-vente")+('Agences &amp; Après-vente'!$D$2:$D$1000="Agences et Après-vente"))*'Agences &amp; Après-vente'!$E$2:$E$1000))&gt;0,TEXT(SUMPRODUCT(MAX(('Agences &amp; Après-vente'!$A$2:$A$1000=$A49)*(('Agences &amp; Après-vente'!$D$2:$D$1000="Après-vente")+('Agences &amp; Après-vente'!$D$2:$D$1000="Agences et Après-vente"))*'Agences &amp; Après-vente'!$E$2:$E$1000)),"yyyy-mm-dd"),""))))))</f>
        <v>✓</v>
      </c>
      <c r="K49" s="131" t="str">
        <f aca="false">IF($U49="✓","✓",IF(ISNUMBER($U49),TEXT($U49,"yyyy-mm-dd"),IF($D49="Lisbonne","",IF($A49="","",IF(SUMPRODUCT((Evermont!$A$2:$A$1000=$A49)*(Evermont!$Q$2:$Q$1000="Terminé"))&gt;0,"✓",IF(SUMPRODUCT(MAX((Evermont!$A$2:$A$1000=$A49)*Evermont!$F$2:$F$1000))&gt;0,TEXT(SUMPRODUCT(MAX((Evermont!$A$2:$A$1000=$A49)*Evermont!$F$2:$F$1000)),"yyyy-mm-dd"),""))))))</f>
        <v>✓</v>
      </c>
      <c r="L49" s="132" t="n">
        <f aca="false">IF($A49="","",COUNTIF(E49:K49,"✓"))</f>
        <v>7</v>
      </c>
      <c r="M49" s="133" t="s">
        <v>172</v>
      </c>
      <c r="O49" s="134" t="s">
        <v>173</v>
      </c>
      <c r="P49" s="134" t="s">
        <v>173</v>
      </c>
      <c r="Q49" s="134"/>
      <c r="R49" s="134"/>
      <c r="S49" s="134"/>
      <c r="T49" s="134"/>
      <c r="U49" s="134"/>
      <c r="W49" s="135" t="str">
        <f aca="false">IF($A49="","",IF($X49&lt;&gt;"",$X49,IFERROR(INDEX('Formation Initiale'!$B$2:$B$999,MATCH($A49,'Formation Initiale'!$A$2:$A$999,0)),"Général")))</f>
        <v>174</v>
      </c>
      <c r="X49" s="136"/>
    </row>
    <row r="50" customFormat="false" ht="18" hidden="true" customHeight="true" outlineLevel="0" collapsed="false">
      <c r="A50" s="127" t="s">
        <v>317</v>
      </c>
      <c r="B50" s="128" t="s">
        <v>318</v>
      </c>
      <c r="C50" s="128" t="s">
        <v>319</v>
      </c>
      <c r="D50" s="129" t="s">
        <v>171</v>
      </c>
      <c r="E50" s="130" t="str">
        <f aca="false">IF($O50="✓","✓",IF(ISNUMBER($O50),TEXT($O50,"yyyy-mm-dd"),IF($A50="","",IF(SUMPRODUCT(('Formation Initiale'!$A$2:$A$999=$A50)*('Formation Initiale'!$R$2:$R$999="Terminé"))&gt;0,"✓",IF(SUMPRODUCT(MAX(('Formation Initiale'!$A$2:$A$999=$A50)*'Formation Initiale'!$G$2:$G$999))&gt;0,TEXT(SUMPRODUCT(MAX(('Formation Initiale'!$A$2:$A$999=$A50)*'Formation Initiale'!$G$2:$G$999)),"yyyy-mm-dd"),"")))))</f>
        <v>✓</v>
      </c>
      <c r="F50" s="131" t="str">
        <f aca="false">IF($P50="✓","✓",IF(ISNUMBER($P50),TEXT($P50,"yyyy-mm-dd"),IF($A50="","",IF($D50="Lisbonne","",IF(SUMPRODUCT(('Formation Initiale'!$A$2:$A$999=$A50)*('Formation Initiale'!$R$2:$R$999="Terminé"))&gt;0,"✓",IF(SUMPRODUCT(MAX(('Formation Initiale'!$A$2:$A$999=$A50)*'Formation Initiale'!$G$2:$G$999))&gt;0,TEXT(SUMPRODUCT(MAX(('Formation Initiale'!$A$2:$A$999=$A50)*'Formation Initiale'!$G$2:$G$999)),"yyyy-mm-dd"),""))))))</f>
        <v>✓</v>
      </c>
      <c r="G50" s="131" t="str">
        <f aca="false">IF($Q50="✓","✓",IF(ISNUMBER($Q50),TEXT($Q50,"yyyy-mm-dd"),IF($A50="","",IF(SUMPRODUCT(('Agences &amp; Après-vente'!$A$2:$A$1000=$A50)*(('Agences &amp; Après-vente'!$D$2:$D$1000="Agences")+('Agences &amp; Après-vente'!$D$2:$D$1000="Agences et Après-vente"))*('Agences &amp; Après-vente'!$I$2:$I$1000="DONE"))&gt;0,"✓",IF(SUMPRODUCT(MAX(('Agences &amp; Après-vente'!$A$2:$A$1000=$A50)*(('Agences &amp; Après-vente'!$D$2:$D$1000="Agences")+('Agences &amp; Après-vente'!$D$2:$D$1000="Agences et Après-vente"))*'Agences &amp; Après-vente'!$E$2:$E$1000))&gt;0,TEXT(SUMPRODUCT(MAX(('Agences &amp; Après-vente'!$A$2:$A$1000=$A50)*(('Agences &amp; Après-vente'!$D$2:$D$1000="Agences")+('Agences &amp; Après-vente'!$D$2:$D$1000="Agences et Après-vente"))*'Agences &amp; Après-vente'!$E$2:$E$1000)),"yyyy-mm-dd"),"")))))</f>
        <v>✓</v>
      </c>
      <c r="H50" s="131" t="str">
        <f aca="false">IF($R50="✓","✓",IF(ISNUMBER($R50),TEXT($R50,"yyyy-mm-dd"),IF($A50="","",IF($D50="Lisbonne","",IF(SUMPRODUCT(('Agences &amp; Après-vente'!$A$2:$A$1000=$A50)*(('Agences &amp; Après-vente'!$D$2:$D$1000="Agences")+('Agences &amp; Après-vente'!$D$2:$D$1000="Agences et Après-vente"))*('Agences &amp; Après-vente'!$I$2:$I$1000="DONE"))&gt;0,"✓",IF(SUMPRODUCT(MAX(('Agences &amp; Après-vente'!$A$2:$A$1000=$A50)*(('Agences &amp; Après-vente'!$D$2:$D$1000="Agences")+('Agences &amp; Après-vente'!$D$2:$D$1000="Agences et Après-vente"))*'Agences &amp; Après-vente'!$E$2:$E$1000))&gt;0,TEXT(SUMPRODUCT(MAX(('Agences &amp; Après-vente'!$A$2:$A$1000=$A50)*(('Agences &amp; Après-vente'!$D$2:$D$1000="Agences")+('Agences &amp; Après-vente'!$D$2:$D$1000="Agences et Après-vente"))*'Agences &amp; Après-vente'!$E$2:$E$1000)),"yyyy-mm-dd"),""))))))</f>
        <v>✓</v>
      </c>
      <c r="I50" s="131" t="str">
        <f aca="false">IF($S50="✓","✓",IF(ISNUMBER($S50),TEXT($S50,"yyyy-mm-dd"),IF($A50="","",IF(SUMPRODUCT(('Agences &amp; Après-vente'!$A$2:$A$1000=$A50)*(('Agences &amp; Après-vente'!$D$2:$D$1000="Après-vente")+('Agences &amp; Après-vente'!$D$2:$D$1000="Agences et Après-vente"))*('Agences &amp; Après-vente'!$I$2:$I$1000="DONE"))&gt;0,"✓",IF(SUMPRODUCT(MAX(('Agences &amp; Après-vente'!$A$2:$A$1000=$A50)*(('Agences &amp; Après-vente'!$D$2:$D$1000="Après-vente")+('Agences &amp; Après-vente'!$D$2:$D$1000="Agences et Après-vente"))*'Agences &amp; Après-vente'!$E$2:$E$1000))&gt;0,TEXT(SUMPRODUCT(MAX(('Agences &amp; Après-vente'!$A$2:$A$1000=$A50)*(('Agences &amp; Après-vente'!$D$2:$D$1000="Après-vente")+('Agences &amp; Après-vente'!$D$2:$D$1000="Agences et Après-vente"))*'Agences &amp; Après-vente'!$E$2:$E$1000)),"yyyy-mm-dd"),"")))))</f>
        <v>✓</v>
      </c>
      <c r="J50" s="131" t="str">
        <f aca="false">IF($T50="✓","✓",IF(ISNUMBER($T50),TEXT($T50,"yyyy-mm-dd"),IF($A50="","",IF($D50="Lisbonne","",IF(SUMPRODUCT(('Agences &amp; Après-vente'!$A$2:$A$1000=$A50)*(('Agences &amp; Après-vente'!$D$2:$D$1000="Après-vente")+('Agences &amp; Après-vente'!$D$2:$D$1000="Agences et Après-vente"))*('Agences &amp; Après-vente'!$I$2:$I$1000="DONE"))&gt;0,"✓",IF(SUMPRODUCT(MAX(('Agences &amp; Après-vente'!$A$2:$A$1000=$A50)*(('Agences &amp; Après-vente'!$D$2:$D$1000="Après-vente")+('Agences &amp; Après-vente'!$D$2:$D$1000="Agences et Après-vente"))*'Agences &amp; Après-vente'!$E$2:$E$1000))&gt;0,TEXT(SUMPRODUCT(MAX(('Agences &amp; Après-vente'!$A$2:$A$1000=$A50)*(('Agences &amp; Après-vente'!$D$2:$D$1000="Après-vente")+('Agences &amp; Après-vente'!$D$2:$D$1000="Agences et Après-vente"))*'Agences &amp; Après-vente'!$E$2:$E$1000)),"yyyy-mm-dd"),""))))))</f>
        <v>✓</v>
      </c>
      <c r="K50" s="131" t="str">
        <f aca="false">IF($U50="✓","✓",IF(ISNUMBER($U50),TEXT($U50,"yyyy-mm-dd"),IF($D50="Lisbonne","",IF($A50="","",IF(SUMPRODUCT((Evermont!$A$2:$A$1000=$A50)*(Evermont!$Q$2:$Q$1000="Terminé"))&gt;0,"✓",IF(SUMPRODUCT(MAX((Evermont!$A$2:$A$1000=$A50)*Evermont!$F$2:$F$1000))&gt;0,TEXT(SUMPRODUCT(MAX((Evermont!$A$2:$A$1000=$A50)*Evermont!$F$2:$F$1000)),"yyyy-mm-dd"),""))))))</f>
        <v>✓</v>
      </c>
      <c r="L50" s="132" t="n">
        <f aca="false">IF($A50="","",COUNTIF(E50:K50,"✓"))</f>
        <v>7</v>
      </c>
      <c r="M50" s="133" t="s">
        <v>172</v>
      </c>
      <c r="O50" s="134" t="s">
        <v>173</v>
      </c>
      <c r="P50" s="134" t="s">
        <v>173</v>
      </c>
      <c r="Q50" s="134" t="s">
        <v>173</v>
      </c>
      <c r="R50" s="134" t="s">
        <v>173</v>
      </c>
      <c r="S50" s="134" t="s">
        <v>173</v>
      </c>
      <c r="T50" s="134" t="s">
        <v>173</v>
      </c>
      <c r="U50" s="134" t="s">
        <v>173</v>
      </c>
      <c r="W50" s="135" t="str">
        <f aca="false">IF($A50="","",IF($X50&lt;&gt;"",$X50,IFERROR(INDEX('Formation Initiale'!$B$2:$B$999,MATCH($A50,'Formation Initiale'!$A$2:$A$999,0)),"Général")))</f>
        <v>Général</v>
      </c>
      <c r="X50" s="136"/>
    </row>
    <row r="51" customFormat="false" ht="18" hidden="true" customHeight="true" outlineLevel="0" collapsed="false">
      <c r="A51" s="127" t="s">
        <v>320</v>
      </c>
      <c r="B51" s="128" t="s">
        <v>321</v>
      </c>
      <c r="C51" s="128" t="s">
        <v>322</v>
      </c>
      <c r="D51" s="129" t="s">
        <v>171</v>
      </c>
      <c r="E51" s="130" t="str">
        <f aca="false">IF($O51="✓","✓",IF(ISNUMBER($O51),TEXT($O51,"yyyy-mm-dd"),IF($A51="","",IF(SUMPRODUCT(('Formation Initiale'!$A$2:$A$999=$A51)*('Formation Initiale'!$R$2:$R$999="Terminé"))&gt;0,"✓",IF(SUMPRODUCT(MAX(('Formation Initiale'!$A$2:$A$999=$A51)*'Formation Initiale'!$G$2:$G$999))&gt;0,TEXT(SUMPRODUCT(MAX(('Formation Initiale'!$A$2:$A$999=$A51)*'Formation Initiale'!$G$2:$G$999)),"yyyy-mm-dd"),"")))))</f>
        <v>✓</v>
      </c>
      <c r="F51" s="131" t="str">
        <f aca="false">IF($P51="✓","✓",IF(ISNUMBER($P51),TEXT($P51,"yyyy-mm-dd"),IF($A51="","",IF($D51="Lisbonne","",IF(SUMPRODUCT(('Formation Initiale'!$A$2:$A$999=$A51)*('Formation Initiale'!$R$2:$R$999="Terminé"))&gt;0,"✓",IF(SUMPRODUCT(MAX(('Formation Initiale'!$A$2:$A$999=$A51)*'Formation Initiale'!$G$2:$G$999))&gt;0,TEXT(SUMPRODUCT(MAX(('Formation Initiale'!$A$2:$A$999=$A51)*'Formation Initiale'!$G$2:$G$999)),"yyyy-mm-dd"),""))))))</f>
        <v>✓</v>
      </c>
      <c r="G51" s="131" t="str">
        <f aca="false">IF($Q51="✓","✓",IF(ISNUMBER($Q51),TEXT($Q51,"yyyy-mm-dd"),IF($A51="","",IF(SUMPRODUCT(('Agences &amp; Après-vente'!$A$2:$A$1000=$A51)*(('Agences &amp; Après-vente'!$D$2:$D$1000="Agences")+('Agences &amp; Après-vente'!$D$2:$D$1000="Agences et Après-vente"))*('Agences &amp; Après-vente'!$I$2:$I$1000="DONE"))&gt;0,"✓",IF(SUMPRODUCT(MAX(('Agences &amp; Après-vente'!$A$2:$A$1000=$A51)*(('Agences &amp; Après-vente'!$D$2:$D$1000="Agences")+('Agences &amp; Après-vente'!$D$2:$D$1000="Agences et Après-vente"))*'Agences &amp; Après-vente'!$E$2:$E$1000))&gt;0,TEXT(SUMPRODUCT(MAX(('Agences &amp; Après-vente'!$A$2:$A$1000=$A51)*(('Agences &amp; Après-vente'!$D$2:$D$1000="Agences")+('Agences &amp; Après-vente'!$D$2:$D$1000="Agences et Après-vente"))*'Agences &amp; Après-vente'!$E$2:$E$1000)),"yyyy-mm-dd"),"")))))</f>
        <v>✓</v>
      </c>
      <c r="H51" s="131" t="str">
        <f aca="false">IF($R51="✓","✓",IF(ISNUMBER($R51),TEXT($R51,"yyyy-mm-dd"),IF($A51="","",IF($D51="Lisbonne","",IF(SUMPRODUCT(('Agences &amp; Après-vente'!$A$2:$A$1000=$A51)*(('Agences &amp; Après-vente'!$D$2:$D$1000="Agences")+('Agences &amp; Après-vente'!$D$2:$D$1000="Agences et Après-vente"))*('Agences &amp; Après-vente'!$I$2:$I$1000="DONE"))&gt;0,"✓",IF(SUMPRODUCT(MAX(('Agences &amp; Après-vente'!$A$2:$A$1000=$A51)*(('Agences &amp; Après-vente'!$D$2:$D$1000="Agences")+('Agences &amp; Après-vente'!$D$2:$D$1000="Agences et Après-vente"))*'Agences &amp; Après-vente'!$E$2:$E$1000))&gt;0,TEXT(SUMPRODUCT(MAX(('Agences &amp; Après-vente'!$A$2:$A$1000=$A51)*(('Agences &amp; Après-vente'!$D$2:$D$1000="Agences")+('Agences &amp; Après-vente'!$D$2:$D$1000="Agences et Après-vente"))*'Agences &amp; Après-vente'!$E$2:$E$1000)),"yyyy-mm-dd"),""))))))</f>
        <v>✓</v>
      </c>
      <c r="I51" s="131" t="str">
        <f aca="false">IF($S51="✓","✓",IF(ISNUMBER($S51),TEXT($S51,"yyyy-mm-dd"),IF($A51="","",IF(SUMPRODUCT(('Agences &amp; Après-vente'!$A$2:$A$1000=$A51)*(('Agences &amp; Après-vente'!$D$2:$D$1000="Après-vente")+('Agences &amp; Après-vente'!$D$2:$D$1000="Agences et Après-vente"))*('Agences &amp; Après-vente'!$I$2:$I$1000="DONE"))&gt;0,"✓",IF(SUMPRODUCT(MAX(('Agences &amp; Après-vente'!$A$2:$A$1000=$A51)*(('Agences &amp; Après-vente'!$D$2:$D$1000="Après-vente")+('Agences &amp; Après-vente'!$D$2:$D$1000="Agences et Après-vente"))*'Agences &amp; Après-vente'!$E$2:$E$1000))&gt;0,TEXT(SUMPRODUCT(MAX(('Agences &amp; Après-vente'!$A$2:$A$1000=$A51)*(('Agences &amp; Après-vente'!$D$2:$D$1000="Après-vente")+('Agences &amp; Après-vente'!$D$2:$D$1000="Agences et Après-vente"))*'Agences &amp; Après-vente'!$E$2:$E$1000)),"yyyy-mm-dd"),"")))))</f>
        <v>✓</v>
      </c>
      <c r="J51" s="131" t="str">
        <f aca="false">IF($T51="✓","✓",IF(ISNUMBER($T51),TEXT($T51,"yyyy-mm-dd"),IF($A51="","",IF($D51="Lisbonne","",IF(SUMPRODUCT(('Agences &amp; Après-vente'!$A$2:$A$1000=$A51)*(('Agences &amp; Après-vente'!$D$2:$D$1000="Après-vente")+('Agences &amp; Après-vente'!$D$2:$D$1000="Agences et Après-vente"))*('Agences &amp; Après-vente'!$I$2:$I$1000="DONE"))&gt;0,"✓",IF(SUMPRODUCT(MAX(('Agences &amp; Après-vente'!$A$2:$A$1000=$A51)*(('Agences &amp; Après-vente'!$D$2:$D$1000="Après-vente")+('Agences &amp; Après-vente'!$D$2:$D$1000="Agences et Après-vente"))*'Agences &amp; Après-vente'!$E$2:$E$1000))&gt;0,TEXT(SUMPRODUCT(MAX(('Agences &amp; Après-vente'!$A$2:$A$1000=$A51)*(('Agences &amp; Après-vente'!$D$2:$D$1000="Après-vente")+('Agences &amp; Après-vente'!$D$2:$D$1000="Agences et Après-vente"))*'Agences &amp; Après-vente'!$E$2:$E$1000)),"yyyy-mm-dd"),""))))))</f>
        <v>✓</v>
      </c>
      <c r="K51" s="131" t="str">
        <f aca="false">IF($U51="✓","✓",IF(ISNUMBER($U51),TEXT($U51,"yyyy-mm-dd"),IF($D51="Lisbonne","",IF($A51="","",IF(SUMPRODUCT((Evermont!$A$2:$A$1000=$A51)*(Evermont!$Q$2:$Q$1000="Terminé"))&gt;0,"✓",IF(SUMPRODUCT(MAX((Evermont!$A$2:$A$1000=$A51)*Evermont!$F$2:$F$1000))&gt;0,TEXT(SUMPRODUCT(MAX((Evermont!$A$2:$A$1000=$A51)*Evermont!$F$2:$F$1000)),"yyyy-mm-dd"),""))))))</f>
        <v>✓</v>
      </c>
      <c r="L51" s="132" t="n">
        <f aca="false">IF($A51="","",COUNTIF(E51:K51,"✓"))</f>
        <v>7</v>
      </c>
      <c r="M51" s="133" t="s">
        <v>172</v>
      </c>
      <c r="O51" s="134" t="s">
        <v>173</v>
      </c>
      <c r="P51" s="134" t="s">
        <v>173</v>
      </c>
      <c r="Q51" s="134" t="s">
        <v>173</v>
      </c>
      <c r="R51" s="134" t="s">
        <v>173</v>
      </c>
      <c r="S51" s="134" t="s">
        <v>173</v>
      </c>
      <c r="T51" s="134" t="s">
        <v>173</v>
      </c>
      <c r="U51" s="134" t="s">
        <v>173</v>
      </c>
      <c r="W51" s="135" t="str">
        <f aca="false">IF($A51="","",IF($X51&lt;&gt;"",$X51,IFERROR(INDEX('Formation Initiale'!$B$2:$B$999,MATCH($A51,'Formation Initiale'!$A$2:$A$999,0)),"Général")))</f>
        <v>Général</v>
      </c>
      <c r="X51" s="136"/>
    </row>
    <row r="52" customFormat="false" ht="18" hidden="true" customHeight="true" outlineLevel="0" collapsed="false">
      <c r="A52" s="138" t="s">
        <v>323</v>
      </c>
      <c r="B52" s="128" t="s">
        <v>324</v>
      </c>
      <c r="C52" s="128" t="s">
        <v>325</v>
      </c>
      <c r="D52" s="129" t="s">
        <v>186</v>
      </c>
      <c r="E52" s="130" t="str">
        <f aca="false">IF($O52="✓","✓",IF(ISNUMBER($O52),TEXT($O52,"yyyy-mm-dd"),IF($A52="","",IF(SUMPRODUCT(('Formation Initiale'!$A$2:$A$999=$A52)*('Formation Initiale'!$R$2:$R$999="Terminé"))&gt;0,"✓",IF(SUMPRODUCT(MAX(('Formation Initiale'!$A$2:$A$999=$A52)*'Formation Initiale'!$G$2:$G$999))&gt;0,TEXT(SUMPRODUCT(MAX(('Formation Initiale'!$A$2:$A$999=$A52)*'Formation Initiale'!$G$2:$G$999)),"yyyy-mm-dd"),"")))))</f>
        <v>✓</v>
      </c>
      <c r="F52" s="131" t="str">
        <f aca="false">IF($P52="✓","✓",IF(ISNUMBER($P52),TEXT($P52,"yyyy-mm-dd"),IF($A52="","",IF($D52="Lisbonne","",IF(SUMPRODUCT(('Formation Initiale'!$A$2:$A$999=$A52)*('Formation Initiale'!$R$2:$R$999="Terminé"))&gt;0,"✓",IF(SUMPRODUCT(MAX(('Formation Initiale'!$A$2:$A$999=$A52)*'Formation Initiale'!$G$2:$G$999))&gt;0,TEXT(SUMPRODUCT(MAX(('Formation Initiale'!$A$2:$A$999=$A52)*'Formation Initiale'!$G$2:$G$999)),"yyyy-mm-dd"),""))))))</f>
        <v/>
      </c>
      <c r="G52" s="131" t="str">
        <f aca="false">IF($Q52="✓","✓",IF(ISNUMBER($Q52),TEXT($Q52,"yyyy-mm-dd"),IF($A52="","",IF(SUMPRODUCT(('Agences &amp; Après-vente'!$A$2:$A$1000=$A52)*(('Agences &amp; Après-vente'!$D$2:$D$1000="Agences")+('Agences &amp; Après-vente'!$D$2:$D$1000="Agences et Après-vente"))*('Agences &amp; Après-vente'!$I$2:$I$1000="DONE"))&gt;0,"✓",IF(SUMPRODUCT(MAX(('Agences &amp; Après-vente'!$A$2:$A$1000=$A52)*(('Agences &amp; Après-vente'!$D$2:$D$1000="Agences")+('Agences &amp; Après-vente'!$D$2:$D$1000="Agences et Après-vente"))*'Agences &amp; Après-vente'!$E$2:$E$1000))&gt;0,TEXT(SUMPRODUCT(MAX(('Agences &amp; Après-vente'!$A$2:$A$1000=$A52)*(('Agences &amp; Après-vente'!$D$2:$D$1000="Agences")+('Agences &amp; Après-vente'!$D$2:$D$1000="Agences et Après-vente"))*'Agences &amp; Après-vente'!$E$2:$E$1000)),"yyyy-mm-dd"),"")))))</f>
        <v>✓</v>
      </c>
      <c r="H52" s="131" t="str">
        <f aca="false">IF($R52="✓","✓",IF(ISNUMBER($R52),TEXT($R52,"yyyy-mm-dd"),IF($A52="","",IF($D52="Lisbonne","",IF(SUMPRODUCT(('Agences &amp; Après-vente'!$A$2:$A$1000=$A52)*(('Agences &amp; Après-vente'!$D$2:$D$1000="Agences")+('Agences &amp; Après-vente'!$D$2:$D$1000="Agences et Après-vente"))*('Agences &amp; Après-vente'!$I$2:$I$1000="DONE"))&gt;0,"✓",IF(SUMPRODUCT(MAX(('Agences &amp; Après-vente'!$A$2:$A$1000=$A52)*(('Agences &amp; Après-vente'!$D$2:$D$1000="Agences")+('Agences &amp; Après-vente'!$D$2:$D$1000="Agences et Après-vente"))*'Agences &amp; Après-vente'!$E$2:$E$1000))&gt;0,TEXT(SUMPRODUCT(MAX(('Agences &amp; Après-vente'!$A$2:$A$1000=$A52)*(('Agences &amp; Après-vente'!$D$2:$D$1000="Agences")+('Agences &amp; Après-vente'!$D$2:$D$1000="Agences et Après-vente"))*'Agences &amp; Après-vente'!$E$2:$E$1000)),"yyyy-mm-dd"),""))))))</f>
        <v/>
      </c>
      <c r="I52" s="131" t="str">
        <f aca="false">IF($S52="✓","✓",IF(ISNUMBER($S52),TEXT($S52,"yyyy-mm-dd"),IF($A52="","",IF(SUMPRODUCT(('Agences &amp; Après-vente'!$A$2:$A$1000=$A52)*(('Agences &amp; Après-vente'!$D$2:$D$1000="Après-vente")+('Agences &amp; Après-vente'!$D$2:$D$1000="Agences et Après-vente"))*('Agences &amp; Après-vente'!$I$2:$I$1000="DONE"))&gt;0,"✓",IF(SUMPRODUCT(MAX(('Agences &amp; Après-vente'!$A$2:$A$1000=$A52)*(('Agences &amp; Après-vente'!$D$2:$D$1000="Après-vente")+('Agences &amp; Après-vente'!$D$2:$D$1000="Agences et Après-vente"))*'Agences &amp; Après-vente'!$E$2:$E$1000))&gt;0,TEXT(SUMPRODUCT(MAX(('Agences &amp; Après-vente'!$A$2:$A$1000=$A52)*(('Agences &amp; Après-vente'!$D$2:$D$1000="Après-vente")+('Agences &amp; Après-vente'!$D$2:$D$1000="Agences et Après-vente"))*'Agences &amp; Après-vente'!$E$2:$E$1000)),"yyyy-mm-dd"),"")))))</f>
        <v>✓</v>
      </c>
      <c r="J52" s="131" t="str">
        <f aca="false">IF($T52="✓","✓",IF(ISNUMBER($T52),TEXT($T52,"yyyy-mm-dd"),IF($A52="","",IF($D52="Lisbonne","",IF(SUMPRODUCT(('Agences &amp; Après-vente'!$A$2:$A$1000=$A52)*(('Agences &amp; Après-vente'!$D$2:$D$1000="Après-vente")+('Agences &amp; Après-vente'!$D$2:$D$1000="Agences et Après-vente"))*('Agences &amp; Après-vente'!$I$2:$I$1000="DONE"))&gt;0,"✓",IF(SUMPRODUCT(MAX(('Agences &amp; Après-vente'!$A$2:$A$1000=$A52)*(('Agences &amp; Après-vente'!$D$2:$D$1000="Après-vente")+('Agences &amp; Après-vente'!$D$2:$D$1000="Agences et Après-vente"))*'Agences &amp; Après-vente'!$E$2:$E$1000))&gt;0,TEXT(SUMPRODUCT(MAX(('Agences &amp; Après-vente'!$A$2:$A$1000=$A52)*(('Agences &amp; Après-vente'!$D$2:$D$1000="Après-vente")+('Agences &amp; Après-vente'!$D$2:$D$1000="Agences et Après-vente"))*'Agences &amp; Après-vente'!$E$2:$E$1000)),"yyyy-mm-dd"),""))))))</f>
        <v/>
      </c>
      <c r="K52" s="131" t="str">
        <f aca="false">IF($U52="✓","✓",IF(ISNUMBER($U52),TEXT($U52,"yyyy-mm-dd"),IF($D52="Lisbonne","",IF($A52="","",IF(SUMPRODUCT((Evermont!$A$2:$A$1000=$A52)*(Evermont!$Q$2:$Q$1000="Terminé"))&gt;0,"✓",IF(SUMPRODUCT(MAX((Evermont!$A$2:$A$1000=$A52)*Evermont!$F$2:$F$1000))&gt;0,TEXT(SUMPRODUCT(MAX((Evermont!$A$2:$A$1000=$A52)*Evermont!$F$2:$F$1000)),"yyyy-mm-dd"),""))))))</f>
        <v/>
      </c>
      <c r="L52" s="132" t="n">
        <f aca="false">IF($A52="","",COUNTIF(E52:K52,"✓"))</f>
        <v>3</v>
      </c>
      <c r="M52" s="133" t="s">
        <v>172</v>
      </c>
      <c r="O52" s="134" t="s">
        <v>173</v>
      </c>
      <c r="P52" s="134"/>
      <c r="Q52" s="134"/>
      <c r="R52" s="134"/>
      <c r="S52" s="134"/>
      <c r="T52" s="134"/>
      <c r="U52" s="134"/>
      <c r="W52" s="135" t="str">
        <f aca="false">IF($A52="","",IF($X52&lt;&gt;"",$X52,IFERROR(INDEX('Formation Initiale'!$B$2:$B$999,MATCH($A52,'Formation Initiale'!$A$2:$A$999,0)),"Général")))</f>
        <v>OS1</v>
      </c>
      <c r="X52" s="136"/>
    </row>
    <row r="53" customFormat="false" ht="18" hidden="true" customHeight="true" outlineLevel="0" collapsed="false">
      <c r="A53" s="140" t="s">
        <v>326</v>
      </c>
      <c r="B53" s="128" t="s">
        <v>327</v>
      </c>
      <c r="C53" s="128" t="s">
        <v>328</v>
      </c>
      <c r="D53" s="129" t="s">
        <v>186</v>
      </c>
      <c r="E53" s="130" t="str">
        <f aca="false">IF($O53="✓","✓",IF(ISNUMBER($O53),TEXT($O53,"yyyy-mm-dd"),IF($A53="","",IF(SUMPRODUCT(('Formation Initiale'!$A$2:$A$999=$A53)*('Formation Initiale'!$R$2:$R$999="Terminé"))&gt;0,"✓",IF(SUMPRODUCT(MAX(('Formation Initiale'!$A$2:$A$999=$A53)*'Formation Initiale'!$G$2:$G$999))&gt;0,TEXT(SUMPRODUCT(MAX(('Formation Initiale'!$A$2:$A$999=$A53)*'Formation Initiale'!$G$2:$G$999)),"yyyy-mm-dd"),"")))))</f>
        <v>✓</v>
      </c>
      <c r="F53" s="131" t="str">
        <f aca="false">IF($P53="✓","✓",IF(ISNUMBER($P53),TEXT($P53,"yyyy-mm-dd"),IF($A53="","",IF($D53="Lisbonne","",IF(SUMPRODUCT(('Formation Initiale'!$A$2:$A$999=$A53)*('Formation Initiale'!$R$2:$R$999="Terminé"))&gt;0,"✓",IF(SUMPRODUCT(MAX(('Formation Initiale'!$A$2:$A$999=$A53)*'Formation Initiale'!$G$2:$G$999))&gt;0,TEXT(SUMPRODUCT(MAX(('Formation Initiale'!$A$2:$A$999=$A53)*'Formation Initiale'!$G$2:$G$999)),"yyyy-mm-dd"),""))))))</f>
        <v/>
      </c>
      <c r="G53" s="131" t="str">
        <f aca="false">IF($Q53="✓","✓",IF(ISNUMBER($Q53),TEXT($Q53,"yyyy-mm-dd"),IF($A53="","",IF(SUMPRODUCT(('Agences &amp; Après-vente'!$A$2:$A$1000=$A53)*(('Agences &amp; Après-vente'!$D$2:$D$1000="Agences")+('Agences &amp; Après-vente'!$D$2:$D$1000="Agences et Après-vente"))*('Agences &amp; Après-vente'!$I$2:$I$1000="DONE"))&gt;0,"✓",IF(SUMPRODUCT(MAX(('Agences &amp; Après-vente'!$A$2:$A$1000=$A53)*(('Agences &amp; Après-vente'!$D$2:$D$1000="Agences")+('Agences &amp; Après-vente'!$D$2:$D$1000="Agences et Après-vente"))*'Agences &amp; Après-vente'!$E$2:$E$1000))&gt;0,TEXT(SUMPRODUCT(MAX(('Agences &amp; Après-vente'!$A$2:$A$1000=$A53)*(('Agences &amp; Après-vente'!$D$2:$D$1000="Agences")+('Agences &amp; Après-vente'!$D$2:$D$1000="Agences et Après-vente"))*'Agences &amp; Après-vente'!$E$2:$E$1000)),"yyyy-mm-dd"),"")))))</f>
        <v>✓</v>
      </c>
      <c r="H53" s="131" t="str">
        <f aca="false">IF($R53="✓","✓",IF(ISNUMBER($R53),TEXT($R53,"yyyy-mm-dd"),IF($A53="","",IF($D53="Lisbonne","",IF(SUMPRODUCT(('Agences &amp; Après-vente'!$A$2:$A$1000=$A53)*(('Agences &amp; Après-vente'!$D$2:$D$1000="Agences")+('Agences &amp; Après-vente'!$D$2:$D$1000="Agences et Après-vente"))*('Agences &amp; Après-vente'!$I$2:$I$1000="DONE"))&gt;0,"✓",IF(SUMPRODUCT(MAX(('Agences &amp; Après-vente'!$A$2:$A$1000=$A53)*(('Agences &amp; Après-vente'!$D$2:$D$1000="Agences")+('Agences &amp; Après-vente'!$D$2:$D$1000="Agences et Après-vente"))*'Agences &amp; Après-vente'!$E$2:$E$1000))&gt;0,TEXT(SUMPRODUCT(MAX(('Agences &amp; Après-vente'!$A$2:$A$1000=$A53)*(('Agences &amp; Après-vente'!$D$2:$D$1000="Agences")+('Agences &amp; Après-vente'!$D$2:$D$1000="Agences et Après-vente"))*'Agences &amp; Après-vente'!$E$2:$E$1000)),"yyyy-mm-dd"),""))))))</f>
        <v/>
      </c>
      <c r="I53" s="131" t="str">
        <f aca="false">IF($S53="✓","✓",IF(ISNUMBER($S53),TEXT($S53,"yyyy-mm-dd"),IF($A53="","",IF(SUMPRODUCT(('Agences &amp; Après-vente'!$A$2:$A$1000=$A53)*(('Agences &amp; Après-vente'!$D$2:$D$1000="Après-vente")+('Agences &amp; Après-vente'!$D$2:$D$1000="Agences et Après-vente"))*('Agences &amp; Après-vente'!$I$2:$I$1000="DONE"))&gt;0,"✓",IF(SUMPRODUCT(MAX(('Agences &amp; Après-vente'!$A$2:$A$1000=$A53)*(('Agences &amp; Après-vente'!$D$2:$D$1000="Après-vente")+('Agences &amp; Après-vente'!$D$2:$D$1000="Agences et Après-vente"))*'Agences &amp; Après-vente'!$E$2:$E$1000))&gt;0,TEXT(SUMPRODUCT(MAX(('Agences &amp; Après-vente'!$A$2:$A$1000=$A53)*(('Agences &amp; Après-vente'!$D$2:$D$1000="Après-vente")+('Agences &amp; Après-vente'!$D$2:$D$1000="Agences et Après-vente"))*'Agences &amp; Après-vente'!$E$2:$E$1000)),"yyyy-mm-dd"),"")))))</f>
        <v/>
      </c>
      <c r="J53" s="131" t="str">
        <f aca="false">IF($T53="✓","✓",IF(ISNUMBER($T53),TEXT($T53,"yyyy-mm-dd"),IF($A53="","",IF($D53="Lisbonne","",IF(SUMPRODUCT(('Agences &amp; Après-vente'!$A$2:$A$1000=$A53)*(('Agences &amp; Après-vente'!$D$2:$D$1000="Après-vente")+('Agences &amp; Après-vente'!$D$2:$D$1000="Agences et Après-vente"))*('Agences &amp; Après-vente'!$I$2:$I$1000="DONE"))&gt;0,"✓",IF(SUMPRODUCT(MAX(('Agences &amp; Après-vente'!$A$2:$A$1000=$A53)*(('Agences &amp; Après-vente'!$D$2:$D$1000="Après-vente")+('Agences &amp; Après-vente'!$D$2:$D$1000="Agences et Après-vente"))*'Agences &amp; Après-vente'!$E$2:$E$1000))&gt;0,TEXT(SUMPRODUCT(MAX(('Agences &amp; Après-vente'!$A$2:$A$1000=$A53)*(('Agences &amp; Après-vente'!$D$2:$D$1000="Après-vente")+('Agences &amp; Après-vente'!$D$2:$D$1000="Agences et Après-vente"))*'Agences &amp; Après-vente'!$E$2:$E$1000)),"yyyy-mm-dd"),""))))))</f>
        <v/>
      </c>
      <c r="K53" s="131" t="str">
        <f aca="false">IF($U53="✓","✓",IF(ISNUMBER($U53),TEXT($U53,"yyyy-mm-dd"),IF($D53="Lisbonne","",IF($A53="","",IF(SUMPRODUCT((Evermont!$A$2:$A$1000=$A53)*(Evermont!$Q$2:$Q$1000="Terminé"))&gt;0,"✓",IF(SUMPRODUCT(MAX((Evermont!$A$2:$A$1000=$A53)*Evermont!$F$2:$F$1000))&gt;0,TEXT(SUMPRODUCT(MAX((Evermont!$A$2:$A$1000=$A53)*Evermont!$F$2:$F$1000)),"yyyy-mm-dd"),""))))))</f>
        <v/>
      </c>
      <c r="L53" s="132" t="n">
        <f aca="false">IF($A53="","",COUNTIF(E53:K53,"✓"))</f>
        <v>2</v>
      </c>
      <c r="M53" s="133" t="s">
        <v>172</v>
      </c>
      <c r="O53" s="134" t="s">
        <v>173</v>
      </c>
      <c r="P53" s="134"/>
      <c r="Q53" s="134"/>
      <c r="R53" s="134"/>
      <c r="S53" s="134"/>
      <c r="T53" s="134"/>
      <c r="U53" s="134"/>
      <c r="W53" s="135" t="str">
        <f aca="false">IF($A53="","",IF($X53&lt;&gt;"",$X53,IFERROR(INDEX('Formation Initiale'!$B$2:$B$999,MATCH($A53,'Formation Initiale'!$A$2:$A$999,0)),"Général")))</f>
        <v>OS6</v>
      </c>
      <c r="X53" s="136"/>
    </row>
    <row r="54" customFormat="false" ht="18" hidden="true" customHeight="true" outlineLevel="0" collapsed="false">
      <c r="A54" s="127" t="s">
        <v>329</v>
      </c>
      <c r="B54" s="128" t="s">
        <v>330</v>
      </c>
      <c r="C54" s="128" t="s">
        <v>331</v>
      </c>
      <c r="D54" s="129" t="s">
        <v>171</v>
      </c>
      <c r="E54" s="130" t="str">
        <f aca="false">IF($O54="✓","✓",IF(ISNUMBER($O54),TEXT($O54,"yyyy-mm-dd"),IF($A54="","",IF(SUMPRODUCT(('Formation Initiale'!$A$2:$A$999=$A54)*('Formation Initiale'!$R$2:$R$999="Terminé"))&gt;0,"✓",IF(SUMPRODUCT(MAX(('Formation Initiale'!$A$2:$A$999=$A54)*'Formation Initiale'!$G$2:$G$999))&gt;0,TEXT(SUMPRODUCT(MAX(('Formation Initiale'!$A$2:$A$999=$A54)*'Formation Initiale'!$G$2:$G$999)),"yyyy-mm-dd"),"")))))</f>
        <v>✓</v>
      </c>
      <c r="F54" s="131" t="str">
        <f aca="false">IF($P54="✓","✓",IF(ISNUMBER($P54),TEXT($P54,"yyyy-mm-dd"),IF($A54="","",IF($D54="Lisbonne","",IF(SUMPRODUCT(('Formation Initiale'!$A$2:$A$999=$A54)*('Formation Initiale'!$R$2:$R$999="Terminé"))&gt;0,"✓",IF(SUMPRODUCT(MAX(('Formation Initiale'!$A$2:$A$999=$A54)*'Formation Initiale'!$G$2:$G$999))&gt;0,TEXT(SUMPRODUCT(MAX(('Formation Initiale'!$A$2:$A$999=$A54)*'Formation Initiale'!$G$2:$G$999)),"yyyy-mm-dd"),""))))))</f>
        <v>✓</v>
      </c>
      <c r="G54" s="131" t="str">
        <f aca="false">IF($Q54="✓","✓",IF(ISNUMBER($Q54),TEXT($Q54,"yyyy-mm-dd"),IF($A54="","",IF(SUMPRODUCT(('Agences &amp; Après-vente'!$A$2:$A$1000=$A54)*(('Agences &amp; Après-vente'!$D$2:$D$1000="Agences")+('Agences &amp; Après-vente'!$D$2:$D$1000="Agences et Après-vente"))*('Agences &amp; Après-vente'!$I$2:$I$1000="DONE"))&gt;0,"✓",IF(SUMPRODUCT(MAX(('Agences &amp; Après-vente'!$A$2:$A$1000=$A54)*(('Agences &amp; Après-vente'!$D$2:$D$1000="Agences")+('Agences &amp; Après-vente'!$D$2:$D$1000="Agences et Après-vente"))*'Agences &amp; Après-vente'!$E$2:$E$1000))&gt;0,TEXT(SUMPRODUCT(MAX(('Agences &amp; Après-vente'!$A$2:$A$1000=$A54)*(('Agences &amp; Après-vente'!$D$2:$D$1000="Agences")+('Agences &amp; Après-vente'!$D$2:$D$1000="Agences et Après-vente"))*'Agences &amp; Après-vente'!$E$2:$E$1000)),"yyyy-mm-dd"),"")))))</f>
        <v/>
      </c>
      <c r="H54" s="131" t="str">
        <f aca="false">IF($R54="✓","✓",IF(ISNUMBER($R54),TEXT($R54,"yyyy-mm-dd"),IF($A54="","",IF($D54="Lisbonne","",IF(SUMPRODUCT(('Agences &amp; Après-vente'!$A$2:$A$1000=$A54)*(('Agences &amp; Après-vente'!$D$2:$D$1000="Agences")+('Agences &amp; Après-vente'!$D$2:$D$1000="Agences et Après-vente"))*('Agences &amp; Après-vente'!$I$2:$I$1000="DONE"))&gt;0,"✓",IF(SUMPRODUCT(MAX(('Agences &amp; Après-vente'!$A$2:$A$1000=$A54)*(('Agences &amp; Après-vente'!$D$2:$D$1000="Agences")+('Agences &amp; Après-vente'!$D$2:$D$1000="Agences et Après-vente"))*'Agences &amp; Après-vente'!$E$2:$E$1000))&gt;0,TEXT(SUMPRODUCT(MAX(('Agences &amp; Après-vente'!$A$2:$A$1000=$A54)*(('Agences &amp; Après-vente'!$D$2:$D$1000="Agences")+('Agences &amp; Après-vente'!$D$2:$D$1000="Agences et Après-vente"))*'Agences &amp; Après-vente'!$E$2:$E$1000)),"yyyy-mm-dd"),""))))))</f>
        <v/>
      </c>
      <c r="I54" s="131" t="str">
        <f aca="false">IF($S54="✓","✓",IF(ISNUMBER($S54),TEXT($S54,"yyyy-mm-dd"),IF($A54="","",IF(SUMPRODUCT(('Agences &amp; Après-vente'!$A$2:$A$1000=$A54)*(('Agences &amp; Après-vente'!$D$2:$D$1000="Après-vente")+('Agences &amp; Après-vente'!$D$2:$D$1000="Agences et Après-vente"))*('Agences &amp; Après-vente'!$I$2:$I$1000="DONE"))&gt;0,"✓",IF(SUMPRODUCT(MAX(('Agences &amp; Après-vente'!$A$2:$A$1000=$A54)*(('Agences &amp; Après-vente'!$D$2:$D$1000="Après-vente")+('Agences &amp; Après-vente'!$D$2:$D$1000="Agences et Après-vente"))*'Agences &amp; Après-vente'!$E$2:$E$1000))&gt;0,TEXT(SUMPRODUCT(MAX(('Agences &amp; Après-vente'!$A$2:$A$1000=$A54)*(('Agences &amp; Après-vente'!$D$2:$D$1000="Après-vente")+('Agences &amp; Après-vente'!$D$2:$D$1000="Agences et Après-vente"))*'Agences &amp; Après-vente'!$E$2:$E$1000)),"yyyy-mm-dd"),"")))))</f>
        <v/>
      </c>
      <c r="J54" s="131" t="str">
        <f aca="false">IF($T54="✓","✓",IF(ISNUMBER($T54),TEXT($T54,"yyyy-mm-dd"),IF($A54="","",IF($D54="Lisbonne","",IF(SUMPRODUCT(('Agences &amp; Après-vente'!$A$2:$A$1000=$A54)*(('Agences &amp; Après-vente'!$D$2:$D$1000="Après-vente")+('Agences &amp; Après-vente'!$D$2:$D$1000="Agences et Après-vente"))*('Agences &amp; Après-vente'!$I$2:$I$1000="DONE"))&gt;0,"✓",IF(SUMPRODUCT(MAX(('Agences &amp; Après-vente'!$A$2:$A$1000=$A54)*(('Agences &amp; Après-vente'!$D$2:$D$1000="Après-vente")+('Agences &amp; Après-vente'!$D$2:$D$1000="Agences et Après-vente"))*'Agences &amp; Après-vente'!$E$2:$E$1000))&gt;0,TEXT(SUMPRODUCT(MAX(('Agences &amp; Après-vente'!$A$2:$A$1000=$A54)*(('Agences &amp; Après-vente'!$D$2:$D$1000="Après-vente")+('Agences &amp; Après-vente'!$D$2:$D$1000="Agences et Après-vente"))*'Agences &amp; Après-vente'!$E$2:$E$1000)),"yyyy-mm-dd"),""))))))</f>
        <v/>
      </c>
      <c r="K54" s="131" t="str">
        <f aca="false">IF($U54="✓","✓",IF(ISNUMBER($U54),TEXT($U54,"yyyy-mm-dd"),IF($D54="Lisbonne","",IF($A54="","",IF(SUMPRODUCT((Evermont!$A$2:$A$1000=$A54)*(Evermont!$Q$2:$Q$1000="Terminé"))&gt;0,"✓",IF(SUMPRODUCT(MAX((Evermont!$A$2:$A$1000=$A54)*Evermont!$F$2:$F$1000))&gt;0,TEXT(SUMPRODUCT(MAX((Evermont!$A$2:$A$1000=$A54)*Evermont!$F$2:$F$1000)),"yyyy-mm-dd"),""))))))</f>
        <v/>
      </c>
      <c r="L54" s="132" t="n">
        <f aca="false">IF($A54="","",COUNTIF(E54:K54,"✓"))</f>
        <v>2</v>
      </c>
      <c r="M54" s="133" t="s">
        <v>172</v>
      </c>
      <c r="O54" s="134" t="s">
        <v>173</v>
      </c>
      <c r="P54" s="134" t="s">
        <v>173</v>
      </c>
      <c r="Q54" s="134"/>
      <c r="R54" s="134"/>
      <c r="S54" s="134"/>
      <c r="T54" s="134"/>
      <c r="U54" s="134"/>
      <c r="W54" s="135" t="str">
        <f aca="false">IF($A54="","",IF($X54&lt;&gt;"",$X54,IFERROR(INDEX('Formation Initiale'!$B$2:$B$999,MATCH($A54,'Formation Initiale'!$A$2:$A$999,0)),"Général")))</f>
        <v>175</v>
      </c>
      <c r="X54" s="136"/>
    </row>
    <row r="55" customFormat="false" ht="18" hidden="true" customHeight="true" outlineLevel="0" collapsed="false">
      <c r="A55" s="137" t="s">
        <v>332</v>
      </c>
      <c r="B55" s="128" t="s">
        <v>333</v>
      </c>
      <c r="C55" s="128" t="s">
        <v>334</v>
      </c>
      <c r="D55" s="129" t="s">
        <v>186</v>
      </c>
      <c r="E55" s="130" t="str">
        <f aca="false">IF($O55="✓","✓",IF(ISNUMBER($O55),TEXT($O55,"yyyy-mm-dd"),IF($A55="","",IF(SUMPRODUCT(('Formation Initiale'!$A$2:$A$999=$A55)*('Formation Initiale'!$R$2:$R$999="Terminé"))&gt;0,"✓",IF(SUMPRODUCT(MAX(('Formation Initiale'!$A$2:$A$999=$A55)*'Formation Initiale'!$G$2:$G$999))&gt;0,TEXT(SUMPRODUCT(MAX(('Formation Initiale'!$A$2:$A$999=$A55)*'Formation Initiale'!$G$2:$G$999)),"yyyy-mm-dd"),"")))))</f>
        <v>✓</v>
      </c>
      <c r="F55" s="131" t="str">
        <f aca="false">IF($P55="✓","✓",IF(ISNUMBER($P55),TEXT($P55,"yyyy-mm-dd"),IF($A55="","",IF($D55="Lisbonne","",IF(SUMPRODUCT(('Formation Initiale'!$A$2:$A$999=$A55)*('Formation Initiale'!$R$2:$R$999="Terminé"))&gt;0,"✓",IF(SUMPRODUCT(MAX(('Formation Initiale'!$A$2:$A$999=$A55)*'Formation Initiale'!$G$2:$G$999))&gt;0,TEXT(SUMPRODUCT(MAX(('Formation Initiale'!$A$2:$A$999=$A55)*'Formation Initiale'!$G$2:$G$999)),"yyyy-mm-dd"),""))))))</f>
        <v/>
      </c>
      <c r="G55" s="131" t="str">
        <f aca="false">IF($Q55="✓","✓",IF(ISNUMBER($Q55),TEXT($Q55,"yyyy-mm-dd"),IF($A55="","",IF(SUMPRODUCT(('Agences &amp; Après-vente'!$A$2:$A$1000=$A55)*(('Agences &amp; Après-vente'!$D$2:$D$1000="Agences")+('Agences &amp; Après-vente'!$D$2:$D$1000="Agences et Après-vente"))*('Agences &amp; Après-vente'!$I$2:$I$1000="DONE"))&gt;0,"✓",IF(SUMPRODUCT(MAX(('Agences &amp; Après-vente'!$A$2:$A$1000=$A55)*(('Agences &amp; Après-vente'!$D$2:$D$1000="Agences")+('Agences &amp; Après-vente'!$D$2:$D$1000="Agences et Après-vente"))*'Agences &amp; Après-vente'!$E$2:$E$1000))&gt;0,TEXT(SUMPRODUCT(MAX(('Agences &amp; Après-vente'!$A$2:$A$1000=$A55)*(('Agences &amp; Après-vente'!$D$2:$D$1000="Agences")+('Agences &amp; Après-vente'!$D$2:$D$1000="Agences et Après-vente"))*'Agences &amp; Après-vente'!$E$2:$E$1000)),"yyyy-mm-dd"),"")))))</f>
        <v>✓</v>
      </c>
      <c r="H55" s="131" t="str">
        <f aca="false">IF($R55="✓","✓",IF(ISNUMBER($R55),TEXT($R55,"yyyy-mm-dd"),IF($A55="","",IF($D55="Lisbonne","",IF(SUMPRODUCT(('Agences &amp; Après-vente'!$A$2:$A$1000=$A55)*(('Agences &amp; Après-vente'!$D$2:$D$1000="Agences")+('Agences &amp; Après-vente'!$D$2:$D$1000="Agences et Après-vente"))*('Agences &amp; Après-vente'!$I$2:$I$1000="DONE"))&gt;0,"✓",IF(SUMPRODUCT(MAX(('Agences &amp; Après-vente'!$A$2:$A$1000=$A55)*(('Agences &amp; Après-vente'!$D$2:$D$1000="Agences")+('Agences &amp; Après-vente'!$D$2:$D$1000="Agences et Après-vente"))*'Agences &amp; Après-vente'!$E$2:$E$1000))&gt;0,TEXT(SUMPRODUCT(MAX(('Agences &amp; Après-vente'!$A$2:$A$1000=$A55)*(('Agences &amp; Après-vente'!$D$2:$D$1000="Agences")+('Agences &amp; Après-vente'!$D$2:$D$1000="Agences et Après-vente"))*'Agences &amp; Après-vente'!$E$2:$E$1000)),"yyyy-mm-dd"),""))))))</f>
        <v/>
      </c>
      <c r="I55" s="131" t="str">
        <f aca="false">IF($S55="✓","✓",IF(ISNUMBER($S55),TEXT($S55,"yyyy-mm-dd"),IF($A55="","",IF(SUMPRODUCT(('Agences &amp; Après-vente'!$A$2:$A$1000=$A55)*(('Agences &amp; Après-vente'!$D$2:$D$1000="Après-vente")+('Agences &amp; Après-vente'!$D$2:$D$1000="Agences et Après-vente"))*('Agences &amp; Après-vente'!$I$2:$I$1000="DONE"))&gt;0,"✓",IF(SUMPRODUCT(MAX(('Agences &amp; Après-vente'!$A$2:$A$1000=$A55)*(('Agences &amp; Après-vente'!$D$2:$D$1000="Après-vente")+('Agences &amp; Après-vente'!$D$2:$D$1000="Agences et Après-vente"))*'Agences &amp; Après-vente'!$E$2:$E$1000))&gt;0,TEXT(SUMPRODUCT(MAX(('Agences &amp; Après-vente'!$A$2:$A$1000=$A55)*(('Agences &amp; Après-vente'!$D$2:$D$1000="Après-vente")+('Agences &amp; Après-vente'!$D$2:$D$1000="Agences et Après-vente"))*'Agences &amp; Après-vente'!$E$2:$E$1000)),"yyyy-mm-dd"),"")))))</f>
        <v>✓</v>
      </c>
      <c r="J55" s="131" t="str">
        <f aca="false">IF($T55="✓","✓",IF(ISNUMBER($T55),TEXT($T55,"yyyy-mm-dd"),IF($A55="","",IF($D55="Lisbonne","",IF(SUMPRODUCT(('Agences &amp; Après-vente'!$A$2:$A$1000=$A55)*(('Agences &amp; Après-vente'!$D$2:$D$1000="Après-vente")+('Agences &amp; Après-vente'!$D$2:$D$1000="Agences et Après-vente"))*('Agences &amp; Après-vente'!$I$2:$I$1000="DONE"))&gt;0,"✓",IF(SUMPRODUCT(MAX(('Agences &amp; Après-vente'!$A$2:$A$1000=$A55)*(('Agences &amp; Après-vente'!$D$2:$D$1000="Après-vente")+('Agences &amp; Après-vente'!$D$2:$D$1000="Agences et Après-vente"))*'Agences &amp; Après-vente'!$E$2:$E$1000))&gt;0,TEXT(SUMPRODUCT(MAX(('Agences &amp; Après-vente'!$A$2:$A$1000=$A55)*(('Agences &amp; Après-vente'!$D$2:$D$1000="Après-vente")+('Agences &amp; Après-vente'!$D$2:$D$1000="Agences et Après-vente"))*'Agences &amp; Après-vente'!$E$2:$E$1000)),"yyyy-mm-dd"),""))))))</f>
        <v/>
      </c>
      <c r="K55" s="131" t="str">
        <f aca="false">IF($U55="✓","✓",IF(ISNUMBER($U55),TEXT($U55,"yyyy-mm-dd"),IF($D55="Lisbonne","",IF($A55="","",IF(SUMPRODUCT((Evermont!$A$2:$A$1000=$A55)*(Evermont!$Q$2:$Q$1000="Terminé"))&gt;0,"✓",IF(SUMPRODUCT(MAX((Evermont!$A$2:$A$1000=$A55)*Evermont!$F$2:$F$1000))&gt;0,TEXT(SUMPRODUCT(MAX((Evermont!$A$2:$A$1000=$A55)*Evermont!$F$2:$F$1000)),"yyyy-mm-dd"),""))))))</f>
        <v/>
      </c>
      <c r="L55" s="132" t="n">
        <f aca="false">IF($A55="","",COUNTIF(E55:K55,"✓"))</f>
        <v>3</v>
      </c>
      <c r="M55" s="133" t="s">
        <v>172</v>
      </c>
      <c r="O55" s="134" t="s">
        <v>173</v>
      </c>
      <c r="P55" s="134"/>
      <c r="Q55" s="134"/>
      <c r="R55" s="134"/>
      <c r="S55" s="134"/>
      <c r="T55" s="134"/>
      <c r="U55" s="134"/>
      <c r="W55" s="135" t="str">
        <f aca="false">IF($A55="","",IF($X55&lt;&gt;"",$X55,IFERROR(INDEX('Formation Initiale'!$B$2:$B$999,MATCH($A55,'Formation Initiale'!$A$2:$A$999,0)),"Général")))</f>
        <v>OS1</v>
      </c>
      <c r="X55" s="136"/>
    </row>
    <row r="56" customFormat="false" ht="18" hidden="true" customHeight="true" outlineLevel="0" collapsed="false">
      <c r="A56" s="127" t="s">
        <v>335</v>
      </c>
      <c r="B56" s="128" t="s">
        <v>336</v>
      </c>
      <c r="C56" s="128" t="s">
        <v>337</v>
      </c>
      <c r="D56" s="129" t="s">
        <v>171</v>
      </c>
      <c r="E56" s="130" t="str">
        <f aca="false">IF($O56="✓","✓",IF(ISNUMBER($O56),TEXT($O56,"yyyy-mm-dd"),IF($A56="","",IF(SUMPRODUCT(('Formation Initiale'!$A$2:$A$999=$A56)*('Formation Initiale'!$R$2:$R$999="Terminé"))&gt;0,"✓",IF(SUMPRODUCT(MAX(('Formation Initiale'!$A$2:$A$999=$A56)*'Formation Initiale'!$G$2:$G$999))&gt;0,TEXT(SUMPRODUCT(MAX(('Formation Initiale'!$A$2:$A$999=$A56)*'Formation Initiale'!$G$2:$G$999)),"yyyy-mm-dd"),"")))))</f>
        <v>✓</v>
      </c>
      <c r="F56" s="131" t="str">
        <f aca="false">IF($P56="✓","✓",IF(ISNUMBER($P56),TEXT($P56,"yyyy-mm-dd"),IF($A56="","",IF($D56="Lisbonne","",IF(SUMPRODUCT(('Formation Initiale'!$A$2:$A$999=$A56)*('Formation Initiale'!$R$2:$R$999="Terminé"))&gt;0,"✓",IF(SUMPRODUCT(MAX(('Formation Initiale'!$A$2:$A$999=$A56)*'Formation Initiale'!$G$2:$G$999))&gt;0,TEXT(SUMPRODUCT(MAX(('Formation Initiale'!$A$2:$A$999=$A56)*'Formation Initiale'!$G$2:$G$999)),"yyyy-mm-dd"),""))))))</f>
        <v>✓</v>
      </c>
      <c r="G56" s="131" t="str">
        <f aca="false">IF($Q56="✓","✓",IF(ISNUMBER($Q56),TEXT($Q56,"yyyy-mm-dd"),IF($A56="","",IF(SUMPRODUCT(('Agences &amp; Après-vente'!$A$2:$A$1000=$A56)*(('Agences &amp; Après-vente'!$D$2:$D$1000="Agences")+('Agences &amp; Après-vente'!$D$2:$D$1000="Agences et Après-vente"))*('Agences &amp; Après-vente'!$I$2:$I$1000="DONE"))&gt;0,"✓",IF(SUMPRODUCT(MAX(('Agences &amp; Après-vente'!$A$2:$A$1000=$A56)*(('Agences &amp; Après-vente'!$D$2:$D$1000="Agences")+('Agences &amp; Après-vente'!$D$2:$D$1000="Agences et Après-vente"))*'Agences &amp; Après-vente'!$E$2:$E$1000))&gt;0,TEXT(SUMPRODUCT(MAX(('Agences &amp; Après-vente'!$A$2:$A$1000=$A56)*(('Agences &amp; Après-vente'!$D$2:$D$1000="Agences")+('Agences &amp; Après-vente'!$D$2:$D$1000="Agences et Après-vente"))*'Agences &amp; Après-vente'!$E$2:$E$1000)),"yyyy-mm-dd"),"")))))</f>
        <v>✓</v>
      </c>
      <c r="H56" s="131" t="str">
        <f aca="false">IF($R56="✓","✓",IF(ISNUMBER($R56),TEXT($R56,"yyyy-mm-dd"),IF($A56="","",IF($D56="Lisbonne","",IF(SUMPRODUCT(('Agences &amp; Après-vente'!$A$2:$A$1000=$A56)*(('Agences &amp; Après-vente'!$D$2:$D$1000="Agences")+('Agences &amp; Après-vente'!$D$2:$D$1000="Agences et Après-vente"))*('Agences &amp; Après-vente'!$I$2:$I$1000="DONE"))&gt;0,"✓",IF(SUMPRODUCT(MAX(('Agences &amp; Après-vente'!$A$2:$A$1000=$A56)*(('Agences &amp; Après-vente'!$D$2:$D$1000="Agences")+('Agences &amp; Après-vente'!$D$2:$D$1000="Agences et Après-vente"))*'Agences &amp; Après-vente'!$E$2:$E$1000))&gt;0,TEXT(SUMPRODUCT(MAX(('Agences &amp; Après-vente'!$A$2:$A$1000=$A56)*(('Agences &amp; Après-vente'!$D$2:$D$1000="Agences")+('Agences &amp; Après-vente'!$D$2:$D$1000="Agences et Après-vente"))*'Agences &amp; Après-vente'!$E$2:$E$1000)),"yyyy-mm-dd"),""))))))</f>
        <v>✓</v>
      </c>
      <c r="I56" s="131" t="str">
        <f aca="false">IF($S56="✓","✓",IF(ISNUMBER($S56),TEXT($S56,"yyyy-mm-dd"),IF($A56="","",IF(SUMPRODUCT(('Agences &amp; Après-vente'!$A$2:$A$1000=$A56)*(('Agences &amp; Après-vente'!$D$2:$D$1000="Après-vente")+('Agences &amp; Après-vente'!$D$2:$D$1000="Agences et Après-vente"))*('Agences &amp; Après-vente'!$I$2:$I$1000="DONE"))&gt;0,"✓",IF(SUMPRODUCT(MAX(('Agences &amp; Après-vente'!$A$2:$A$1000=$A56)*(('Agences &amp; Après-vente'!$D$2:$D$1000="Après-vente")+('Agences &amp; Après-vente'!$D$2:$D$1000="Agences et Après-vente"))*'Agences &amp; Après-vente'!$E$2:$E$1000))&gt;0,TEXT(SUMPRODUCT(MAX(('Agences &amp; Après-vente'!$A$2:$A$1000=$A56)*(('Agences &amp; Après-vente'!$D$2:$D$1000="Après-vente")+('Agences &amp; Après-vente'!$D$2:$D$1000="Agences et Après-vente"))*'Agences &amp; Après-vente'!$E$2:$E$1000)),"yyyy-mm-dd"),"")))))</f>
        <v>✓</v>
      </c>
      <c r="J56" s="131" t="str">
        <f aca="false">IF($T56="✓","✓",IF(ISNUMBER($T56),TEXT($T56,"yyyy-mm-dd"),IF($A56="","",IF($D56="Lisbonne","",IF(SUMPRODUCT(('Agences &amp; Après-vente'!$A$2:$A$1000=$A56)*(('Agences &amp; Après-vente'!$D$2:$D$1000="Après-vente")+('Agences &amp; Après-vente'!$D$2:$D$1000="Agences et Après-vente"))*('Agences &amp; Après-vente'!$I$2:$I$1000="DONE"))&gt;0,"✓",IF(SUMPRODUCT(MAX(('Agences &amp; Après-vente'!$A$2:$A$1000=$A56)*(('Agences &amp; Après-vente'!$D$2:$D$1000="Après-vente")+('Agences &amp; Après-vente'!$D$2:$D$1000="Agences et Après-vente"))*'Agences &amp; Après-vente'!$E$2:$E$1000))&gt;0,TEXT(SUMPRODUCT(MAX(('Agences &amp; Après-vente'!$A$2:$A$1000=$A56)*(('Agences &amp; Après-vente'!$D$2:$D$1000="Après-vente")+('Agences &amp; Après-vente'!$D$2:$D$1000="Agences et Après-vente"))*'Agences &amp; Après-vente'!$E$2:$E$1000)),"yyyy-mm-dd"),""))))))</f>
        <v>✓</v>
      </c>
      <c r="K56" s="131" t="str">
        <f aca="false">IF($U56="✓","✓",IF(ISNUMBER($U56),TEXT($U56,"yyyy-mm-dd"),IF($D56="Lisbonne","",IF($A56="","",IF(SUMPRODUCT((Evermont!$A$2:$A$1000=$A56)*(Evermont!$Q$2:$Q$1000="Terminé"))&gt;0,"✓",IF(SUMPRODUCT(MAX((Evermont!$A$2:$A$1000=$A56)*Evermont!$F$2:$F$1000))&gt;0,TEXT(SUMPRODUCT(MAX((Evermont!$A$2:$A$1000=$A56)*Evermont!$F$2:$F$1000)),"yyyy-mm-dd"),""))))))</f>
        <v>✓</v>
      </c>
      <c r="L56" s="132" t="n">
        <f aca="false">IF($A56="","",COUNTIF(E56:K56,"✓"))</f>
        <v>7</v>
      </c>
      <c r="M56" s="133" t="s">
        <v>172</v>
      </c>
      <c r="O56" s="134" t="s">
        <v>173</v>
      </c>
      <c r="P56" s="134" t="s">
        <v>173</v>
      </c>
      <c r="Q56" s="134"/>
      <c r="R56" s="134"/>
      <c r="S56" s="134"/>
      <c r="T56" s="134"/>
      <c r="U56" s="134"/>
      <c r="W56" s="135" t="str">
        <f aca="false">IF($A56="","",IF($X56&lt;&gt;"",$X56,IFERROR(INDEX('Formation Initiale'!$B$2:$B$999,MATCH($A56,'Formation Initiale'!$A$2:$A$999,0)),"Général")))</f>
        <v>Général</v>
      </c>
      <c r="X56" s="136"/>
    </row>
    <row r="57" customFormat="false" ht="18" hidden="true" customHeight="true" outlineLevel="0" collapsed="false">
      <c r="A57" s="127" t="s">
        <v>338</v>
      </c>
      <c r="B57" s="128" t="s">
        <v>339</v>
      </c>
      <c r="C57" s="128" t="s">
        <v>340</v>
      </c>
      <c r="D57" s="129" t="s">
        <v>171</v>
      </c>
      <c r="E57" s="130" t="str">
        <f aca="false">IF($O57="✓","✓",IF(ISNUMBER($O57),TEXT($O57,"yyyy-mm-dd"),IF($A57="","",IF(SUMPRODUCT(('Formation Initiale'!$A$2:$A$999=$A57)*('Formation Initiale'!$R$2:$R$999="Terminé"))&gt;0,"✓",IF(SUMPRODUCT(MAX(('Formation Initiale'!$A$2:$A$999=$A57)*'Formation Initiale'!$G$2:$G$999))&gt;0,TEXT(SUMPRODUCT(MAX(('Formation Initiale'!$A$2:$A$999=$A57)*'Formation Initiale'!$G$2:$G$999)),"yyyy-mm-dd"),"")))))</f>
        <v>✓</v>
      </c>
      <c r="F57" s="131" t="str">
        <f aca="false">IF($P57="✓","✓",IF(ISNUMBER($P57),TEXT($P57,"yyyy-mm-dd"),IF($A57="","",IF($D57="Lisbonne","",IF(SUMPRODUCT(('Formation Initiale'!$A$2:$A$999=$A57)*('Formation Initiale'!$R$2:$R$999="Terminé"))&gt;0,"✓",IF(SUMPRODUCT(MAX(('Formation Initiale'!$A$2:$A$999=$A57)*'Formation Initiale'!$G$2:$G$999))&gt;0,TEXT(SUMPRODUCT(MAX(('Formation Initiale'!$A$2:$A$999=$A57)*'Formation Initiale'!$G$2:$G$999)),"yyyy-mm-dd"),""))))))</f>
        <v>✓</v>
      </c>
      <c r="G57" s="131" t="str">
        <f aca="false">IF($Q57="✓","✓",IF(ISNUMBER($Q57),TEXT($Q57,"yyyy-mm-dd"),IF($A57="","",IF(SUMPRODUCT(('Agences &amp; Après-vente'!$A$2:$A$1000=$A57)*(('Agences &amp; Après-vente'!$D$2:$D$1000="Agences")+('Agences &amp; Après-vente'!$D$2:$D$1000="Agences et Après-vente"))*('Agences &amp; Après-vente'!$I$2:$I$1000="DONE"))&gt;0,"✓",IF(SUMPRODUCT(MAX(('Agences &amp; Après-vente'!$A$2:$A$1000=$A57)*(('Agences &amp; Après-vente'!$D$2:$D$1000="Agences")+('Agences &amp; Après-vente'!$D$2:$D$1000="Agences et Après-vente"))*'Agences &amp; Après-vente'!$E$2:$E$1000))&gt;0,TEXT(SUMPRODUCT(MAX(('Agences &amp; Après-vente'!$A$2:$A$1000=$A57)*(('Agences &amp; Après-vente'!$D$2:$D$1000="Agences")+('Agences &amp; Après-vente'!$D$2:$D$1000="Agences et Après-vente"))*'Agences &amp; Après-vente'!$E$2:$E$1000)),"yyyy-mm-dd"),"")))))</f>
        <v>✓</v>
      </c>
      <c r="H57" s="131" t="str">
        <f aca="false">IF($R57="✓","✓",IF(ISNUMBER($R57),TEXT($R57,"yyyy-mm-dd"),IF($A57="","",IF($D57="Lisbonne","",IF(SUMPRODUCT(('Agences &amp; Après-vente'!$A$2:$A$1000=$A57)*(('Agences &amp; Après-vente'!$D$2:$D$1000="Agences")+('Agences &amp; Après-vente'!$D$2:$D$1000="Agences et Après-vente"))*('Agences &amp; Après-vente'!$I$2:$I$1000="DONE"))&gt;0,"✓",IF(SUMPRODUCT(MAX(('Agences &amp; Après-vente'!$A$2:$A$1000=$A57)*(('Agences &amp; Après-vente'!$D$2:$D$1000="Agences")+('Agences &amp; Après-vente'!$D$2:$D$1000="Agences et Après-vente"))*'Agences &amp; Après-vente'!$E$2:$E$1000))&gt;0,TEXT(SUMPRODUCT(MAX(('Agences &amp; Après-vente'!$A$2:$A$1000=$A57)*(('Agences &amp; Après-vente'!$D$2:$D$1000="Agences")+('Agences &amp; Après-vente'!$D$2:$D$1000="Agences et Après-vente"))*'Agences &amp; Après-vente'!$E$2:$E$1000)),"yyyy-mm-dd"),""))))))</f>
        <v>✓</v>
      </c>
      <c r="I57" s="131" t="str">
        <f aca="false">IF($S57="✓","✓",IF(ISNUMBER($S57),TEXT($S57,"yyyy-mm-dd"),IF($A57="","",IF(SUMPRODUCT(('Agences &amp; Après-vente'!$A$2:$A$1000=$A57)*(('Agences &amp; Après-vente'!$D$2:$D$1000="Après-vente")+('Agences &amp; Après-vente'!$D$2:$D$1000="Agences et Après-vente"))*('Agences &amp; Après-vente'!$I$2:$I$1000="DONE"))&gt;0,"✓",IF(SUMPRODUCT(MAX(('Agences &amp; Après-vente'!$A$2:$A$1000=$A57)*(('Agences &amp; Après-vente'!$D$2:$D$1000="Après-vente")+('Agences &amp; Après-vente'!$D$2:$D$1000="Agences et Après-vente"))*'Agences &amp; Après-vente'!$E$2:$E$1000))&gt;0,TEXT(SUMPRODUCT(MAX(('Agences &amp; Après-vente'!$A$2:$A$1000=$A57)*(('Agences &amp; Après-vente'!$D$2:$D$1000="Après-vente")+('Agences &amp; Après-vente'!$D$2:$D$1000="Agences et Après-vente"))*'Agences &amp; Après-vente'!$E$2:$E$1000)),"yyyy-mm-dd"),"")))))</f>
        <v>✓</v>
      </c>
      <c r="J57" s="131" t="str">
        <f aca="false">IF($T57="✓","✓",IF(ISNUMBER($T57),TEXT($T57,"yyyy-mm-dd"),IF($A57="","",IF($D57="Lisbonne","",IF(SUMPRODUCT(('Agences &amp; Après-vente'!$A$2:$A$1000=$A57)*(('Agences &amp; Après-vente'!$D$2:$D$1000="Après-vente")+('Agences &amp; Après-vente'!$D$2:$D$1000="Agences et Après-vente"))*('Agences &amp; Après-vente'!$I$2:$I$1000="DONE"))&gt;0,"✓",IF(SUMPRODUCT(MAX(('Agences &amp; Après-vente'!$A$2:$A$1000=$A57)*(('Agences &amp; Après-vente'!$D$2:$D$1000="Après-vente")+('Agences &amp; Après-vente'!$D$2:$D$1000="Agences et Après-vente"))*'Agences &amp; Après-vente'!$E$2:$E$1000))&gt;0,TEXT(SUMPRODUCT(MAX(('Agences &amp; Après-vente'!$A$2:$A$1000=$A57)*(('Agences &amp; Après-vente'!$D$2:$D$1000="Après-vente")+('Agences &amp; Après-vente'!$D$2:$D$1000="Agences et Après-vente"))*'Agences &amp; Après-vente'!$E$2:$E$1000)),"yyyy-mm-dd"),""))))))</f>
        <v>✓</v>
      </c>
      <c r="K57" s="131" t="str">
        <f aca="false">IF($U57="✓","✓",IF(ISNUMBER($U57),TEXT($U57,"yyyy-mm-dd"),IF($D57="Lisbonne","",IF($A57="","",IF(SUMPRODUCT((Evermont!$A$2:$A$1000=$A57)*(Evermont!$Q$2:$Q$1000="Terminé"))&gt;0,"✓",IF(SUMPRODUCT(MAX((Evermont!$A$2:$A$1000=$A57)*Evermont!$F$2:$F$1000))&gt;0,TEXT(SUMPRODUCT(MAX((Evermont!$A$2:$A$1000=$A57)*Evermont!$F$2:$F$1000)),"yyyy-mm-dd"),""))))))</f>
        <v>✓</v>
      </c>
      <c r="L57" s="132" t="n">
        <f aca="false">IF($A57="","",COUNTIF(E57:K57,"✓"))</f>
        <v>7</v>
      </c>
      <c r="M57" s="133" t="s">
        <v>172</v>
      </c>
      <c r="O57" s="134" t="s">
        <v>173</v>
      </c>
      <c r="P57" s="134" t="s">
        <v>173</v>
      </c>
      <c r="Q57" s="134" t="s">
        <v>173</v>
      </c>
      <c r="R57" s="134" t="s">
        <v>173</v>
      </c>
      <c r="S57" s="134" t="s">
        <v>173</v>
      </c>
      <c r="T57" s="134" t="s">
        <v>173</v>
      </c>
      <c r="U57" s="134" t="s">
        <v>173</v>
      </c>
      <c r="W57" s="135" t="str">
        <f aca="false">IF($A57="","",IF($X57&lt;&gt;"",$X57,IFERROR(INDEX('Formation Initiale'!$B$2:$B$999,MATCH($A57,'Formation Initiale'!$A$2:$A$999,0)),"Général")))</f>
        <v>Général</v>
      </c>
      <c r="X57" s="136"/>
    </row>
    <row r="58" customFormat="false" ht="18" hidden="true" customHeight="true" outlineLevel="0" collapsed="false">
      <c r="A58" s="127" t="s">
        <v>341</v>
      </c>
      <c r="B58" s="128" t="s">
        <v>342</v>
      </c>
      <c r="C58" s="128" t="s">
        <v>343</v>
      </c>
      <c r="D58" s="129" t="s">
        <v>171</v>
      </c>
      <c r="E58" s="130" t="str">
        <f aca="false">IF($O58="✓","✓",IF(ISNUMBER($O58),TEXT($O58,"yyyy-mm-dd"),IF($A58="","",IF(SUMPRODUCT(('Formation Initiale'!$A$2:$A$999=$A58)*('Formation Initiale'!$R$2:$R$999="Terminé"))&gt;0,"✓",IF(SUMPRODUCT(MAX(('Formation Initiale'!$A$2:$A$999=$A58)*'Formation Initiale'!$G$2:$G$999))&gt;0,TEXT(SUMPRODUCT(MAX(('Formation Initiale'!$A$2:$A$999=$A58)*'Formation Initiale'!$G$2:$G$999)),"yyyy-mm-dd"),"")))))</f>
        <v>✓</v>
      </c>
      <c r="F58" s="131" t="str">
        <f aca="false">IF($P58="✓","✓",IF(ISNUMBER($P58),TEXT($P58,"yyyy-mm-dd"),IF($A58="","",IF($D58="Lisbonne","",IF(SUMPRODUCT(('Formation Initiale'!$A$2:$A$999=$A58)*('Formation Initiale'!$R$2:$R$999="Terminé"))&gt;0,"✓",IF(SUMPRODUCT(MAX(('Formation Initiale'!$A$2:$A$999=$A58)*'Formation Initiale'!$G$2:$G$999))&gt;0,TEXT(SUMPRODUCT(MAX(('Formation Initiale'!$A$2:$A$999=$A58)*'Formation Initiale'!$G$2:$G$999)),"yyyy-mm-dd"),""))))))</f>
        <v>✓</v>
      </c>
      <c r="G58" s="131" t="str">
        <f aca="false">IF($Q58="✓","✓",IF(ISNUMBER($Q58),TEXT($Q58,"yyyy-mm-dd"),IF($A58="","",IF(SUMPRODUCT(('Agences &amp; Après-vente'!$A$2:$A$1000=$A58)*(('Agences &amp; Après-vente'!$D$2:$D$1000="Agences")+('Agences &amp; Après-vente'!$D$2:$D$1000="Agences et Après-vente"))*('Agences &amp; Après-vente'!$I$2:$I$1000="DONE"))&gt;0,"✓",IF(SUMPRODUCT(MAX(('Agences &amp; Après-vente'!$A$2:$A$1000=$A58)*(('Agences &amp; Après-vente'!$D$2:$D$1000="Agences")+('Agences &amp; Après-vente'!$D$2:$D$1000="Agences et Après-vente"))*'Agences &amp; Après-vente'!$E$2:$E$1000))&gt;0,TEXT(SUMPRODUCT(MAX(('Agences &amp; Après-vente'!$A$2:$A$1000=$A58)*(('Agences &amp; Après-vente'!$D$2:$D$1000="Agences")+('Agences &amp; Après-vente'!$D$2:$D$1000="Agences et Après-vente"))*'Agences &amp; Après-vente'!$E$2:$E$1000)),"yyyy-mm-dd"),"")))))</f>
        <v>✓</v>
      </c>
      <c r="H58" s="131" t="str">
        <f aca="false">IF($R58="✓","✓",IF(ISNUMBER($R58),TEXT($R58,"yyyy-mm-dd"),IF($A58="","",IF($D58="Lisbonne","",IF(SUMPRODUCT(('Agences &amp; Après-vente'!$A$2:$A$1000=$A58)*(('Agences &amp; Après-vente'!$D$2:$D$1000="Agences")+('Agences &amp; Après-vente'!$D$2:$D$1000="Agences et Après-vente"))*('Agences &amp; Après-vente'!$I$2:$I$1000="DONE"))&gt;0,"✓",IF(SUMPRODUCT(MAX(('Agences &amp; Après-vente'!$A$2:$A$1000=$A58)*(('Agences &amp; Après-vente'!$D$2:$D$1000="Agences")+('Agences &amp; Après-vente'!$D$2:$D$1000="Agences et Après-vente"))*'Agences &amp; Après-vente'!$E$2:$E$1000))&gt;0,TEXT(SUMPRODUCT(MAX(('Agences &amp; Après-vente'!$A$2:$A$1000=$A58)*(('Agences &amp; Après-vente'!$D$2:$D$1000="Agences")+('Agences &amp; Après-vente'!$D$2:$D$1000="Agences et Après-vente"))*'Agences &amp; Après-vente'!$E$2:$E$1000)),"yyyy-mm-dd"),""))))))</f>
        <v>✓</v>
      </c>
      <c r="I58" s="131" t="str">
        <f aca="false">IF($S58="✓","✓",IF(ISNUMBER($S58),TEXT($S58,"yyyy-mm-dd"),IF($A58="","",IF(SUMPRODUCT(('Agences &amp; Après-vente'!$A$2:$A$1000=$A58)*(('Agences &amp; Après-vente'!$D$2:$D$1000="Après-vente")+('Agences &amp; Après-vente'!$D$2:$D$1000="Agences et Après-vente"))*('Agences &amp; Après-vente'!$I$2:$I$1000="DONE"))&gt;0,"✓",IF(SUMPRODUCT(MAX(('Agences &amp; Après-vente'!$A$2:$A$1000=$A58)*(('Agences &amp; Après-vente'!$D$2:$D$1000="Après-vente")+('Agences &amp; Après-vente'!$D$2:$D$1000="Agences et Après-vente"))*'Agences &amp; Après-vente'!$E$2:$E$1000))&gt;0,TEXT(SUMPRODUCT(MAX(('Agences &amp; Après-vente'!$A$2:$A$1000=$A58)*(('Agences &amp; Après-vente'!$D$2:$D$1000="Après-vente")+('Agences &amp; Après-vente'!$D$2:$D$1000="Agences et Après-vente"))*'Agences &amp; Après-vente'!$E$2:$E$1000)),"yyyy-mm-dd"),"")))))</f>
        <v>✓</v>
      </c>
      <c r="J58" s="131" t="str">
        <f aca="false">IF($T58="✓","✓",IF(ISNUMBER($T58),TEXT($T58,"yyyy-mm-dd"),IF($A58="","",IF($D58="Lisbonne","",IF(SUMPRODUCT(('Agences &amp; Après-vente'!$A$2:$A$1000=$A58)*(('Agences &amp; Après-vente'!$D$2:$D$1000="Après-vente")+('Agences &amp; Après-vente'!$D$2:$D$1000="Agences et Après-vente"))*('Agences &amp; Après-vente'!$I$2:$I$1000="DONE"))&gt;0,"✓",IF(SUMPRODUCT(MAX(('Agences &amp; Après-vente'!$A$2:$A$1000=$A58)*(('Agences &amp; Après-vente'!$D$2:$D$1000="Après-vente")+('Agences &amp; Après-vente'!$D$2:$D$1000="Agences et Après-vente"))*'Agences &amp; Après-vente'!$E$2:$E$1000))&gt;0,TEXT(SUMPRODUCT(MAX(('Agences &amp; Après-vente'!$A$2:$A$1000=$A58)*(('Agences &amp; Après-vente'!$D$2:$D$1000="Après-vente")+('Agences &amp; Après-vente'!$D$2:$D$1000="Agences et Après-vente"))*'Agences &amp; Après-vente'!$E$2:$E$1000)),"yyyy-mm-dd"),""))))))</f>
        <v>✓</v>
      </c>
      <c r="K58" s="131" t="str">
        <f aca="false">IF($U58="✓","✓",IF(ISNUMBER($U58),TEXT($U58,"yyyy-mm-dd"),IF($D58="Lisbonne","",IF($A58="","",IF(SUMPRODUCT((Evermont!$A$2:$A$1000=$A58)*(Evermont!$Q$2:$Q$1000="Terminé"))&gt;0,"✓",IF(SUMPRODUCT(MAX((Evermont!$A$2:$A$1000=$A58)*Evermont!$F$2:$F$1000))&gt;0,TEXT(SUMPRODUCT(MAX((Evermont!$A$2:$A$1000=$A58)*Evermont!$F$2:$F$1000)),"yyyy-mm-dd"),""))))))</f>
        <v>✓</v>
      </c>
      <c r="L58" s="132" t="n">
        <f aca="false">IF($A58="","",COUNTIF(E58:K58,"✓"))</f>
        <v>7</v>
      </c>
      <c r="M58" s="133" t="s">
        <v>172</v>
      </c>
      <c r="O58" s="134" t="s">
        <v>173</v>
      </c>
      <c r="P58" s="134" t="s">
        <v>173</v>
      </c>
      <c r="Q58" s="134" t="s">
        <v>173</v>
      </c>
      <c r="R58" s="134" t="s">
        <v>173</v>
      </c>
      <c r="S58" s="134"/>
      <c r="T58" s="134"/>
      <c r="U58" s="134" t="s">
        <v>173</v>
      </c>
      <c r="W58" s="135" t="str">
        <f aca="false">IF($A58="","",IF($X58&lt;&gt;"",$X58,IFERROR(INDEX('Formation Initiale'!$B$2:$B$999,MATCH($A58,'Formation Initiale'!$A$2:$A$999,0)),"Général")))</f>
        <v>Général</v>
      </c>
      <c r="X58" s="136"/>
    </row>
    <row r="59" customFormat="false" ht="18" hidden="true" customHeight="true" outlineLevel="0" collapsed="false">
      <c r="A59" s="127" t="s">
        <v>344</v>
      </c>
      <c r="B59" s="128" t="s">
        <v>345</v>
      </c>
      <c r="C59" s="128" t="s">
        <v>346</v>
      </c>
      <c r="D59" s="129" t="s">
        <v>171</v>
      </c>
      <c r="E59" s="130" t="str">
        <f aca="false">IF($O59="✓","✓",IF(ISNUMBER($O59),TEXT($O59,"yyyy-mm-dd"),IF($A59="","",IF(SUMPRODUCT(('Formation Initiale'!$A$2:$A$999=$A59)*('Formation Initiale'!$R$2:$R$999="Terminé"))&gt;0,"✓",IF(SUMPRODUCT(MAX(('Formation Initiale'!$A$2:$A$999=$A59)*'Formation Initiale'!$G$2:$G$999))&gt;0,TEXT(SUMPRODUCT(MAX(('Formation Initiale'!$A$2:$A$999=$A59)*'Formation Initiale'!$G$2:$G$999)),"yyyy-mm-dd"),"")))))</f>
        <v>✓</v>
      </c>
      <c r="F59" s="131" t="str">
        <f aca="false">IF($P59="✓","✓",IF(ISNUMBER($P59),TEXT($P59,"yyyy-mm-dd"),IF($A59="","",IF($D59="Lisbonne","",IF(SUMPRODUCT(('Formation Initiale'!$A$2:$A$999=$A59)*('Formation Initiale'!$R$2:$R$999="Terminé"))&gt;0,"✓",IF(SUMPRODUCT(MAX(('Formation Initiale'!$A$2:$A$999=$A59)*'Formation Initiale'!$G$2:$G$999))&gt;0,TEXT(SUMPRODUCT(MAX(('Formation Initiale'!$A$2:$A$999=$A59)*'Formation Initiale'!$G$2:$G$999)),"yyyy-mm-dd"),""))))))</f>
        <v>✓</v>
      </c>
      <c r="G59" s="131" t="str">
        <f aca="false">IF($Q59="✓","✓",IF(ISNUMBER($Q59),TEXT($Q59,"yyyy-mm-dd"),IF($A59="","",IF(SUMPRODUCT(('Agences &amp; Après-vente'!$A$2:$A$1000=$A59)*(('Agences &amp; Après-vente'!$D$2:$D$1000="Agences")+('Agences &amp; Après-vente'!$D$2:$D$1000="Agences et Après-vente"))*('Agences &amp; Après-vente'!$I$2:$I$1000="DONE"))&gt;0,"✓",IF(SUMPRODUCT(MAX(('Agences &amp; Après-vente'!$A$2:$A$1000=$A59)*(('Agences &amp; Après-vente'!$D$2:$D$1000="Agences")+('Agences &amp; Après-vente'!$D$2:$D$1000="Agences et Après-vente"))*'Agences &amp; Après-vente'!$E$2:$E$1000))&gt;0,TEXT(SUMPRODUCT(MAX(('Agences &amp; Après-vente'!$A$2:$A$1000=$A59)*(('Agences &amp; Après-vente'!$D$2:$D$1000="Agences")+('Agences &amp; Après-vente'!$D$2:$D$1000="Agences et Après-vente"))*'Agences &amp; Après-vente'!$E$2:$E$1000)),"yyyy-mm-dd"),"")))))</f>
        <v>✓</v>
      </c>
      <c r="H59" s="131" t="str">
        <f aca="false">IF($R59="✓","✓",IF(ISNUMBER($R59),TEXT($R59,"yyyy-mm-dd"),IF($A59="","",IF($D59="Lisbonne","",IF(SUMPRODUCT(('Agences &amp; Après-vente'!$A$2:$A$1000=$A59)*(('Agences &amp; Après-vente'!$D$2:$D$1000="Agences")+('Agences &amp; Après-vente'!$D$2:$D$1000="Agences et Après-vente"))*('Agences &amp; Après-vente'!$I$2:$I$1000="DONE"))&gt;0,"✓",IF(SUMPRODUCT(MAX(('Agences &amp; Après-vente'!$A$2:$A$1000=$A59)*(('Agences &amp; Après-vente'!$D$2:$D$1000="Agences")+('Agences &amp; Après-vente'!$D$2:$D$1000="Agences et Après-vente"))*'Agences &amp; Après-vente'!$E$2:$E$1000))&gt;0,TEXT(SUMPRODUCT(MAX(('Agences &amp; Après-vente'!$A$2:$A$1000=$A59)*(('Agences &amp; Après-vente'!$D$2:$D$1000="Agences")+('Agences &amp; Après-vente'!$D$2:$D$1000="Agences et Après-vente"))*'Agences &amp; Après-vente'!$E$2:$E$1000)),"yyyy-mm-dd"),""))))))</f>
        <v>✓</v>
      </c>
      <c r="I59" s="131" t="str">
        <f aca="false">IF($S59="✓","✓",IF(ISNUMBER($S59),TEXT($S59,"yyyy-mm-dd"),IF($A59="","",IF(SUMPRODUCT(('Agences &amp; Après-vente'!$A$2:$A$1000=$A59)*(('Agences &amp; Après-vente'!$D$2:$D$1000="Après-vente")+('Agences &amp; Après-vente'!$D$2:$D$1000="Agences et Après-vente"))*('Agences &amp; Après-vente'!$I$2:$I$1000="DONE"))&gt;0,"✓",IF(SUMPRODUCT(MAX(('Agences &amp; Après-vente'!$A$2:$A$1000=$A59)*(('Agences &amp; Après-vente'!$D$2:$D$1000="Après-vente")+('Agences &amp; Après-vente'!$D$2:$D$1000="Agences et Après-vente"))*'Agences &amp; Après-vente'!$E$2:$E$1000))&gt;0,TEXT(SUMPRODUCT(MAX(('Agences &amp; Après-vente'!$A$2:$A$1000=$A59)*(('Agences &amp; Après-vente'!$D$2:$D$1000="Après-vente")+('Agences &amp; Après-vente'!$D$2:$D$1000="Agences et Après-vente"))*'Agences &amp; Après-vente'!$E$2:$E$1000)),"yyyy-mm-dd"),"")))))</f>
        <v>✓</v>
      </c>
      <c r="J59" s="131" t="str">
        <f aca="false">IF($T59="✓","✓",IF(ISNUMBER($T59),TEXT($T59,"yyyy-mm-dd"),IF($A59="","",IF($D59="Lisbonne","",IF(SUMPRODUCT(('Agences &amp; Après-vente'!$A$2:$A$1000=$A59)*(('Agences &amp; Après-vente'!$D$2:$D$1000="Après-vente")+('Agences &amp; Après-vente'!$D$2:$D$1000="Agences et Après-vente"))*('Agences &amp; Après-vente'!$I$2:$I$1000="DONE"))&gt;0,"✓",IF(SUMPRODUCT(MAX(('Agences &amp; Après-vente'!$A$2:$A$1000=$A59)*(('Agences &amp; Après-vente'!$D$2:$D$1000="Après-vente")+('Agences &amp; Après-vente'!$D$2:$D$1000="Agences et Après-vente"))*'Agences &amp; Après-vente'!$E$2:$E$1000))&gt;0,TEXT(SUMPRODUCT(MAX(('Agences &amp; Après-vente'!$A$2:$A$1000=$A59)*(('Agences &amp; Après-vente'!$D$2:$D$1000="Après-vente")+('Agences &amp; Après-vente'!$D$2:$D$1000="Agences et Après-vente"))*'Agences &amp; Après-vente'!$E$2:$E$1000)),"yyyy-mm-dd"),""))))))</f>
        <v>✓</v>
      </c>
      <c r="K59" s="131" t="str">
        <f aca="false">IF($U59="✓","✓",IF(ISNUMBER($U59),TEXT($U59,"yyyy-mm-dd"),IF($D59="Lisbonne","",IF($A59="","",IF(SUMPRODUCT((Evermont!$A$2:$A$1000=$A59)*(Evermont!$Q$2:$Q$1000="Terminé"))&gt;0,"✓",IF(SUMPRODUCT(MAX((Evermont!$A$2:$A$1000=$A59)*Evermont!$F$2:$F$1000))&gt;0,TEXT(SUMPRODUCT(MAX((Evermont!$A$2:$A$1000=$A59)*Evermont!$F$2:$F$1000)),"yyyy-mm-dd"),""))))))</f>
        <v>✓</v>
      </c>
      <c r="L59" s="132" t="n">
        <f aca="false">IF($A59="","",COUNTIF(E59:K59,"✓"))</f>
        <v>7</v>
      </c>
      <c r="M59" s="133" t="s">
        <v>172</v>
      </c>
      <c r="O59" s="134" t="s">
        <v>173</v>
      </c>
      <c r="P59" s="134" t="s">
        <v>173</v>
      </c>
      <c r="Q59" s="134" t="s">
        <v>173</v>
      </c>
      <c r="R59" s="134" t="s">
        <v>173</v>
      </c>
      <c r="S59" s="134" t="s">
        <v>173</v>
      </c>
      <c r="T59" s="134" t="s">
        <v>173</v>
      </c>
      <c r="U59" s="134" t="s">
        <v>173</v>
      </c>
      <c r="W59" s="135" t="str">
        <f aca="false">IF($A59="","",IF($X59&lt;&gt;"",$X59,IFERROR(INDEX('Formation Initiale'!$B$2:$B$999,MATCH($A59,'Formation Initiale'!$A$2:$A$999,0)),"Général")))</f>
        <v>Général</v>
      </c>
      <c r="X59" s="136"/>
    </row>
    <row r="60" customFormat="false" ht="18" hidden="true" customHeight="true" outlineLevel="0" collapsed="false">
      <c r="A60" s="127" t="s">
        <v>347</v>
      </c>
      <c r="B60" s="128" t="s">
        <v>348</v>
      </c>
      <c r="C60" s="128" t="s">
        <v>349</v>
      </c>
      <c r="D60" s="129" t="s">
        <v>171</v>
      </c>
      <c r="E60" s="130" t="str">
        <f aca="false">IF($O60="✓","✓",IF(ISNUMBER($O60),TEXT($O60,"yyyy-mm-dd"),IF($A60="","",IF(SUMPRODUCT(('Formation Initiale'!$A$2:$A$999=$A60)*('Formation Initiale'!$R$2:$R$999="Terminé"))&gt;0,"✓",IF(SUMPRODUCT(MAX(('Formation Initiale'!$A$2:$A$999=$A60)*'Formation Initiale'!$G$2:$G$999))&gt;0,TEXT(SUMPRODUCT(MAX(('Formation Initiale'!$A$2:$A$999=$A60)*'Formation Initiale'!$G$2:$G$999)),"yyyy-mm-dd"),"")))))</f>
        <v>✓</v>
      </c>
      <c r="F60" s="131" t="str">
        <f aca="false">IF($P60="✓","✓",IF(ISNUMBER($P60),TEXT($P60,"yyyy-mm-dd"),IF($A60="","",IF($D60="Lisbonne","",IF(SUMPRODUCT(('Formation Initiale'!$A$2:$A$999=$A60)*('Formation Initiale'!$R$2:$R$999="Terminé"))&gt;0,"✓",IF(SUMPRODUCT(MAX(('Formation Initiale'!$A$2:$A$999=$A60)*'Formation Initiale'!$G$2:$G$999))&gt;0,TEXT(SUMPRODUCT(MAX(('Formation Initiale'!$A$2:$A$999=$A60)*'Formation Initiale'!$G$2:$G$999)),"yyyy-mm-dd"),""))))))</f>
        <v>✓</v>
      </c>
      <c r="G60" s="131" t="str">
        <f aca="false">IF($Q60="✓","✓",IF(ISNUMBER($Q60),TEXT($Q60,"yyyy-mm-dd"),IF($A60="","",IF(SUMPRODUCT(('Agences &amp; Après-vente'!$A$2:$A$1000=$A60)*(('Agences &amp; Après-vente'!$D$2:$D$1000="Agences")+('Agences &amp; Après-vente'!$D$2:$D$1000="Agences et Après-vente"))*('Agences &amp; Après-vente'!$I$2:$I$1000="DONE"))&gt;0,"✓",IF(SUMPRODUCT(MAX(('Agences &amp; Après-vente'!$A$2:$A$1000=$A60)*(('Agences &amp; Après-vente'!$D$2:$D$1000="Agences")+('Agences &amp; Après-vente'!$D$2:$D$1000="Agences et Après-vente"))*'Agences &amp; Après-vente'!$E$2:$E$1000))&gt;0,TEXT(SUMPRODUCT(MAX(('Agences &amp; Après-vente'!$A$2:$A$1000=$A60)*(('Agences &amp; Après-vente'!$D$2:$D$1000="Agences")+('Agences &amp; Après-vente'!$D$2:$D$1000="Agences et Après-vente"))*'Agences &amp; Après-vente'!$E$2:$E$1000)),"yyyy-mm-dd"),"")))))</f>
        <v>✓</v>
      </c>
      <c r="H60" s="131" t="str">
        <f aca="false">IF($R60="✓","✓",IF(ISNUMBER($R60),TEXT($R60,"yyyy-mm-dd"),IF($A60="","",IF($D60="Lisbonne","",IF(SUMPRODUCT(('Agences &amp; Après-vente'!$A$2:$A$1000=$A60)*(('Agences &amp; Après-vente'!$D$2:$D$1000="Agences")+('Agences &amp; Après-vente'!$D$2:$D$1000="Agences et Après-vente"))*('Agences &amp; Après-vente'!$I$2:$I$1000="DONE"))&gt;0,"✓",IF(SUMPRODUCT(MAX(('Agences &amp; Après-vente'!$A$2:$A$1000=$A60)*(('Agences &amp; Après-vente'!$D$2:$D$1000="Agences")+('Agences &amp; Après-vente'!$D$2:$D$1000="Agences et Après-vente"))*'Agences &amp; Après-vente'!$E$2:$E$1000))&gt;0,TEXT(SUMPRODUCT(MAX(('Agences &amp; Après-vente'!$A$2:$A$1000=$A60)*(('Agences &amp; Après-vente'!$D$2:$D$1000="Agences")+('Agences &amp; Après-vente'!$D$2:$D$1000="Agences et Après-vente"))*'Agences &amp; Après-vente'!$E$2:$E$1000)),"yyyy-mm-dd"),""))))))</f>
        <v>✓</v>
      </c>
      <c r="I60" s="131" t="str">
        <f aca="false">IF($S60="✓","✓",IF(ISNUMBER($S60),TEXT($S60,"yyyy-mm-dd"),IF($A60="","",IF(SUMPRODUCT(('Agences &amp; Après-vente'!$A$2:$A$1000=$A60)*(('Agences &amp; Après-vente'!$D$2:$D$1000="Après-vente")+('Agences &amp; Après-vente'!$D$2:$D$1000="Agences et Après-vente"))*('Agences &amp; Après-vente'!$I$2:$I$1000="DONE"))&gt;0,"✓",IF(SUMPRODUCT(MAX(('Agences &amp; Après-vente'!$A$2:$A$1000=$A60)*(('Agences &amp; Après-vente'!$D$2:$D$1000="Après-vente")+('Agences &amp; Après-vente'!$D$2:$D$1000="Agences et Après-vente"))*'Agences &amp; Après-vente'!$E$2:$E$1000))&gt;0,TEXT(SUMPRODUCT(MAX(('Agences &amp; Après-vente'!$A$2:$A$1000=$A60)*(('Agences &amp; Après-vente'!$D$2:$D$1000="Après-vente")+('Agences &amp; Après-vente'!$D$2:$D$1000="Agences et Après-vente"))*'Agences &amp; Après-vente'!$E$2:$E$1000)),"yyyy-mm-dd"),"")))))</f>
        <v>✓</v>
      </c>
      <c r="J60" s="131" t="str">
        <f aca="false">IF($T60="✓","✓",IF(ISNUMBER($T60),TEXT($T60,"yyyy-mm-dd"),IF($A60="","",IF($D60="Lisbonne","",IF(SUMPRODUCT(('Agences &amp; Après-vente'!$A$2:$A$1000=$A60)*(('Agences &amp; Après-vente'!$D$2:$D$1000="Après-vente")+('Agences &amp; Après-vente'!$D$2:$D$1000="Agences et Après-vente"))*('Agences &amp; Après-vente'!$I$2:$I$1000="DONE"))&gt;0,"✓",IF(SUMPRODUCT(MAX(('Agences &amp; Après-vente'!$A$2:$A$1000=$A60)*(('Agences &amp; Après-vente'!$D$2:$D$1000="Après-vente")+('Agences &amp; Après-vente'!$D$2:$D$1000="Agences et Après-vente"))*'Agences &amp; Après-vente'!$E$2:$E$1000))&gt;0,TEXT(SUMPRODUCT(MAX(('Agences &amp; Après-vente'!$A$2:$A$1000=$A60)*(('Agences &amp; Après-vente'!$D$2:$D$1000="Après-vente")+('Agences &amp; Après-vente'!$D$2:$D$1000="Agences et Après-vente"))*'Agences &amp; Après-vente'!$E$2:$E$1000)),"yyyy-mm-dd"),""))))))</f>
        <v>✓</v>
      </c>
      <c r="K60" s="131" t="str">
        <f aca="false">IF($U60="✓","✓",IF(ISNUMBER($U60),TEXT($U60,"yyyy-mm-dd"),IF($D60="Lisbonne","",IF($A60="","",IF(SUMPRODUCT((Evermont!$A$2:$A$1000=$A60)*(Evermont!$Q$2:$Q$1000="Terminé"))&gt;0,"✓",IF(SUMPRODUCT(MAX((Evermont!$A$2:$A$1000=$A60)*Evermont!$F$2:$F$1000))&gt;0,TEXT(SUMPRODUCT(MAX((Evermont!$A$2:$A$1000=$A60)*Evermont!$F$2:$F$1000)),"yyyy-mm-dd"),""))))))</f>
        <v>✓</v>
      </c>
      <c r="L60" s="132" t="n">
        <f aca="false">IF($A60="","",COUNTIF(E60:K60,"✓"))</f>
        <v>7</v>
      </c>
      <c r="M60" s="133" t="s">
        <v>172</v>
      </c>
      <c r="O60" s="134" t="s">
        <v>173</v>
      </c>
      <c r="P60" s="134" t="s">
        <v>173</v>
      </c>
      <c r="Q60" s="134"/>
      <c r="R60" s="134"/>
      <c r="S60" s="134"/>
      <c r="T60" s="134"/>
      <c r="U60" s="134"/>
      <c r="W60" s="135" t="str">
        <f aca="false">IF($A60="","",IF($X60&lt;&gt;"",$X60,IFERROR(INDEX('Formation Initiale'!$B$2:$B$999,MATCH($A60,'Formation Initiale'!$A$2:$A$999,0)),"Général")))</f>
        <v>Général</v>
      </c>
      <c r="X60" s="136"/>
    </row>
    <row r="61" customFormat="false" ht="18" hidden="true" customHeight="true" outlineLevel="0" collapsed="false">
      <c r="A61" s="127" t="s">
        <v>350</v>
      </c>
      <c r="B61" s="128" t="s">
        <v>351</v>
      </c>
      <c r="C61" s="128" t="s">
        <v>352</v>
      </c>
      <c r="D61" s="129" t="s">
        <v>171</v>
      </c>
      <c r="E61" s="130" t="str">
        <f aca="false">IF($O61="✓","✓",IF(ISNUMBER($O61),TEXT($O61,"yyyy-mm-dd"),IF($A61="","",IF(SUMPRODUCT(('Formation Initiale'!$A$2:$A$999=$A61)*('Formation Initiale'!$R$2:$R$999="Terminé"))&gt;0,"✓",IF(SUMPRODUCT(MAX(('Formation Initiale'!$A$2:$A$999=$A61)*'Formation Initiale'!$G$2:$G$999))&gt;0,TEXT(SUMPRODUCT(MAX(('Formation Initiale'!$A$2:$A$999=$A61)*'Formation Initiale'!$G$2:$G$999)),"yyyy-mm-dd"),"")))))</f>
        <v>✓</v>
      </c>
      <c r="F61" s="131" t="str">
        <f aca="false">IF($P61="✓","✓",IF(ISNUMBER($P61),TEXT($P61,"yyyy-mm-dd"),IF($A61="","",IF($D61="Lisbonne","",IF(SUMPRODUCT(('Formation Initiale'!$A$2:$A$999=$A61)*('Formation Initiale'!$R$2:$R$999="Terminé"))&gt;0,"✓",IF(SUMPRODUCT(MAX(('Formation Initiale'!$A$2:$A$999=$A61)*'Formation Initiale'!$G$2:$G$999))&gt;0,TEXT(SUMPRODUCT(MAX(('Formation Initiale'!$A$2:$A$999=$A61)*'Formation Initiale'!$G$2:$G$999)),"yyyy-mm-dd"),""))))))</f>
        <v>✓</v>
      </c>
      <c r="G61" s="131" t="str">
        <f aca="false">IF($Q61="✓","✓",IF(ISNUMBER($Q61),TEXT($Q61,"yyyy-mm-dd"),IF($A61="","",IF(SUMPRODUCT(('Agences &amp; Après-vente'!$A$2:$A$1000=$A61)*(('Agences &amp; Après-vente'!$D$2:$D$1000="Agences")+('Agences &amp; Après-vente'!$D$2:$D$1000="Agences et Après-vente"))*('Agences &amp; Après-vente'!$I$2:$I$1000="DONE"))&gt;0,"✓",IF(SUMPRODUCT(MAX(('Agences &amp; Après-vente'!$A$2:$A$1000=$A61)*(('Agences &amp; Après-vente'!$D$2:$D$1000="Agences")+('Agences &amp; Après-vente'!$D$2:$D$1000="Agences et Après-vente"))*'Agences &amp; Après-vente'!$E$2:$E$1000))&gt;0,TEXT(SUMPRODUCT(MAX(('Agences &amp; Après-vente'!$A$2:$A$1000=$A61)*(('Agences &amp; Après-vente'!$D$2:$D$1000="Agences")+('Agences &amp; Après-vente'!$D$2:$D$1000="Agences et Après-vente"))*'Agences &amp; Après-vente'!$E$2:$E$1000)),"yyyy-mm-dd"),"")))))</f>
        <v>✓</v>
      </c>
      <c r="H61" s="131" t="str">
        <f aca="false">IF($R61="✓","✓",IF(ISNUMBER($R61),TEXT($R61,"yyyy-mm-dd"),IF($A61="","",IF($D61="Lisbonne","",IF(SUMPRODUCT(('Agences &amp; Après-vente'!$A$2:$A$1000=$A61)*(('Agences &amp; Après-vente'!$D$2:$D$1000="Agences")+('Agences &amp; Après-vente'!$D$2:$D$1000="Agences et Après-vente"))*('Agences &amp; Après-vente'!$I$2:$I$1000="DONE"))&gt;0,"✓",IF(SUMPRODUCT(MAX(('Agences &amp; Après-vente'!$A$2:$A$1000=$A61)*(('Agences &amp; Après-vente'!$D$2:$D$1000="Agences")+('Agences &amp; Après-vente'!$D$2:$D$1000="Agences et Après-vente"))*'Agences &amp; Après-vente'!$E$2:$E$1000))&gt;0,TEXT(SUMPRODUCT(MAX(('Agences &amp; Après-vente'!$A$2:$A$1000=$A61)*(('Agences &amp; Après-vente'!$D$2:$D$1000="Agences")+('Agences &amp; Après-vente'!$D$2:$D$1000="Agences et Après-vente"))*'Agences &amp; Après-vente'!$E$2:$E$1000)),"yyyy-mm-dd"),""))))))</f>
        <v>✓</v>
      </c>
      <c r="I61" s="131" t="str">
        <f aca="false">IF($S61="✓","✓",IF(ISNUMBER($S61),TEXT($S61,"yyyy-mm-dd"),IF($A61="","",IF(SUMPRODUCT(('Agences &amp; Après-vente'!$A$2:$A$1000=$A61)*(('Agences &amp; Après-vente'!$D$2:$D$1000="Après-vente")+('Agences &amp; Après-vente'!$D$2:$D$1000="Agences et Après-vente"))*('Agences &amp; Après-vente'!$I$2:$I$1000="DONE"))&gt;0,"✓",IF(SUMPRODUCT(MAX(('Agences &amp; Après-vente'!$A$2:$A$1000=$A61)*(('Agences &amp; Après-vente'!$D$2:$D$1000="Après-vente")+('Agences &amp; Après-vente'!$D$2:$D$1000="Agences et Après-vente"))*'Agences &amp; Après-vente'!$E$2:$E$1000))&gt;0,TEXT(SUMPRODUCT(MAX(('Agences &amp; Après-vente'!$A$2:$A$1000=$A61)*(('Agences &amp; Après-vente'!$D$2:$D$1000="Après-vente")+('Agences &amp; Après-vente'!$D$2:$D$1000="Agences et Après-vente"))*'Agences &amp; Après-vente'!$E$2:$E$1000)),"yyyy-mm-dd"),"")))))</f>
        <v>✓</v>
      </c>
      <c r="J61" s="131" t="str">
        <f aca="false">IF($T61="✓","✓",IF(ISNUMBER($T61),TEXT($T61,"yyyy-mm-dd"),IF($A61="","",IF($D61="Lisbonne","",IF(SUMPRODUCT(('Agences &amp; Après-vente'!$A$2:$A$1000=$A61)*(('Agences &amp; Après-vente'!$D$2:$D$1000="Après-vente")+('Agences &amp; Après-vente'!$D$2:$D$1000="Agences et Après-vente"))*('Agences &amp; Après-vente'!$I$2:$I$1000="DONE"))&gt;0,"✓",IF(SUMPRODUCT(MAX(('Agences &amp; Après-vente'!$A$2:$A$1000=$A61)*(('Agences &amp; Après-vente'!$D$2:$D$1000="Après-vente")+('Agences &amp; Après-vente'!$D$2:$D$1000="Agences et Après-vente"))*'Agences &amp; Après-vente'!$E$2:$E$1000))&gt;0,TEXT(SUMPRODUCT(MAX(('Agences &amp; Après-vente'!$A$2:$A$1000=$A61)*(('Agences &amp; Après-vente'!$D$2:$D$1000="Après-vente")+('Agences &amp; Après-vente'!$D$2:$D$1000="Agences et Après-vente"))*'Agences &amp; Après-vente'!$E$2:$E$1000)),"yyyy-mm-dd"),""))))))</f>
        <v>✓</v>
      </c>
      <c r="K61" s="131" t="str">
        <f aca="false">IF($U61="✓","✓",IF(ISNUMBER($U61),TEXT($U61,"yyyy-mm-dd"),IF($D61="Lisbonne","",IF($A61="","",IF(SUMPRODUCT((Evermont!$A$2:$A$1000=$A61)*(Evermont!$Q$2:$Q$1000="Terminé"))&gt;0,"✓",IF(SUMPRODUCT(MAX((Evermont!$A$2:$A$1000=$A61)*Evermont!$F$2:$F$1000))&gt;0,TEXT(SUMPRODUCT(MAX((Evermont!$A$2:$A$1000=$A61)*Evermont!$F$2:$F$1000)),"yyyy-mm-dd"),""))))))</f>
        <v>✓</v>
      </c>
      <c r="L61" s="132" t="n">
        <f aca="false">IF($A61="","",COUNTIF(E61:K61,"✓"))</f>
        <v>7</v>
      </c>
      <c r="M61" s="133" t="s">
        <v>172</v>
      </c>
      <c r="O61" s="134" t="s">
        <v>173</v>
      </c>
      <c r="P61" s="134" t="s">
        <v>173</v>
      </c>
      <c r="Q61" s="134" t="s">
        <v>173</v>
      </c>
      <c r="R61" s="134" t="s">
        <v>173</v>
      </c>
      <c r="S61" s="134" t="s">
        <v>173</v>
      </c>
      <c r="T61" s="134" t="s">
        <v>173</v>
      </c>
      <c r="U61" s="134" t="s">
        <v>173</v>
      </c>
      <c r="W61" s="135" t="str">
        <f aca="false">IF($A61="","",IF($X61&lt;&gt;"",$X61,IFERROR(INDEX('Formation Initiale'!$B$2:$B$999,MATCH($A61,'Formation Initiale'!$A$2:$A$999,0)),"Général")))</f>
        <v>Général</v>
      </c>
      <c r="X61" s="136"/>
    </row>
    <row r="62" customFormat="false" ht="18" hidden="true" customHeight="true" outlineLevel="0" collapsed="false">
      <c r="A62" s="127" t="s">
        <v>353</v>
      </c>
      <c r="B62" s="128" t="s">
        <v>354</v>
      </c>
      <c r="C62" s="128" t="s">
        <v>355</v>
      </c>
      <c r="D62" s="129" t="s">
        <v>171</v>
      </c>
      <c r="E62" s="130" t="str">
        <f aca="false">IF($O62="✓","✓",IF(ISNUMBER($O62),TEXT($O62,"yyyy-mm-dd"),IF($A62="","",IF(SUMPRODUCT(('Formation Initiale'!$A$2:$A$999=$A62)*('Formation Initiale'!$R$2:$R$999="Terminé"))&gt;0,"✓",IF(SUMPRODUCT(MAX(('Formation Initiale'!$A$2:$A$999=$A62)*'Formation Initiale'!$G$2:$G$999))&gt;0,TEXT(SUMPRODUCT(MAX(('Formation Initiale'!$A$2:$A$999=$A62)*'Formation Initiale'!$G$2:$G$999)),"yyyy-mm-dd"),"")))))</f>
        <v>✓</v>
      </c>
      <c r="F62" s="131" t="str">
        <f aca="false">IF($P62="✓","✓",IF(ISNUMBER($P62),TEXT($P62,"yyyy-mm-dd"),IF($A62="","",IF($D62="Lisbonne","",IF(SUMPRODUCT(('Formation Initiale'!$A$2:$A$999=$A62)*('Formation Initiale'!$R$2:$R$999="Terminé"))&gt;0,"✓",IF(SUMPRODUCT(MAX(('Formation Initiale'!$A$2:$A$999=$A62)*'Formation Initiale'!$G$2:$G$999))&gt;0,TEXT(SUMPRODUCT(MAX(('Formation Initiale'!$A$2:$A$999=$A62)*'Formation Initiale'!$G$2:$G$999)),"yyyy-mm-dd"),""))))))</f>
        <v>✓</v>
      </c>
      <c r="G62" s="131" t="str">
        <f aca="false">IF($Q62="✓","✓",IF(ISNUMBER($Q62),TEXT($Q62,"yyyy-mm-dd"),IF($A62="","",IF(SUMPRODUCT(('Agences &amp; Après-vente'!$A$2:$A$1000=$A62)*(('Agences &amp; Après-vente'!$D$2:$D$1000="Agences")+('Agences &amp; Après-vente'!$D$2:$D$1000="Agences et Après-vente"))*('Agences &amp; Après-vente'!$I$2:$I$1000="DONE"))&gt;0,"✓",IF(SUMPRODUCT(MAX(('Agences &amp; Après-vente'!$A$2:$A$1000=$A62)*(('Agences &amp; Après-vente'!$D$2:$D$1000="Agences")+('Agences &amp; Après-vente'!$D$2:$D$1000="Agences et Après-vente"))*'Agences &amp; Après-vente'!$E$2:$E$1000))&gt;0,TEXT(SUMPRODUCT(MAX(('Agences &amp; Après-vente'!$A$2:$A$1000=$A62)*(('Agences &amp; Après-vente'!$D$2:$D$1000="Agences")+('Agences &amp; Après-vente'!$D$2:$D$1000="Agences et Après-vente"))*'Agences &amp; Après-vente'!$E$2:$E$1000)),"yyyy-mm-dd"),"")))))</f>
        <v>✓</v>
      </c>
      <c r="H62" s="131" t="str">
        <f aca="false">IF($R62="✓","✓",IF(ISNUMBER($R62),TEXT($R62,"yyyy-mm-dd"),IF($A62="","",IF($D62="Lisbonne","",IF(SUMPRODUCT(('Agences &amp; Après-vente'!$A$2:$A$1000=$A62)*(('Agences &amp; Après-vente'!$D$2:$D$1000="Agences")+('Agences &amp; Après-vente'!$D$2:$D$1000="Agences et Après-vente"))*('Agences &amp; Après-vente'!$I$2:$I$1000="DONE"))&gt;0,"✓",IF(SUMPRODUCT(MAX(('Agences &amp; Après-vente'!$A$2:$A$1000=$A62)*(('Agences &amp; Après-vente'!$D$2:$D$1000="Agences")+('Agences &amp; Après-vente'!$D$2:$D$1000="Agences et Après-vente"))*'Agences &amp; Après-vente'!$E$2:$E$1000))&gt;0,TEXT(SUMPRODUCT(MAX(('Agences &amp; Après-vente'!$A$2:$A$1000=$A62)*(('Agences &amp; Après-vente'!$D$2:$D$1000="Agences")+('Agences &amp; Après-vente'!$D$2:$D$1000="Agences et Après-vente"))*'Agences &amp; Après-vente'!$E$2:$E$1000)),"yyyy-mm-dd"),""))))))</f>
        <v>✓</v>
      </c>
      <c r="I62" s="131" t="str">
        <f aca="false">IF($S62="✓","✓",IF(ISNUMBER($S62),TEXT($S62,"yyyy-mm-dd"),IF($A62="","",IF(SUMPRODUCT(('Agences &amp; Après-vente'!$A$2:$A$1000=$A62)*(('Agences &amp; Après-vente'!$D$2:$D$1000="Après-vente")+('Agences &amp; Après-vente'!$D$2:$D$1000="Agences et Après-vente"))*('Agences &amp; Après-vente'!$I$2:$I$1000="DONE"))&gt;0,"✓",IF(SUMPRODUCT(MAX(('Agences &amp; Après-vente'!$A$2:$A$1000=$A62)*(('Agences &amp; Après-vente'!$D$2:$D$1000="Après-vente")+('Agences &amp; Après-vente'!$D$2:$D$1000="Agences et Après-vente"))*'Agences &amp; Après-vente'!$E$2:$E$1000))&gt;0,TEXT(SUMPRODUCT(MAX(('Agences &amp; Après-vente'!$A$2:$A$1000=$A62)*(('Agences &amp; Après-vente'!$D$2:$D$1000="Après-vente")+('Agences &amp; Après-vente'!$D$2:$D$1000="Agences et Après-vente"))*'Agences &amp; Après-vente'!$E$2:$E$1000)),"yyyy-mm-dd"),"")))))</f>
        <v>✓</v>
      </c>
      <c r="J62" s="131" t="str">
        <f aca="false">IF($T62="✓","✓",IF(ISNUMBER($T62),TEXT($T62,"yyyy-mm-dd"),IF($A62="","",IF($D62="Lisbonne","",IF(SUMPRODUCT(('Agences &amp; Après-vente'!$A$2:$A$1000=$A62)*(('Agences &amp; Après-vente'!$D$2:$D$1000="Après-vente")+('Agences &amp; Après-vente'!$D$2:$D$1000="Agences et Après-vente"))*('Agences &amp; Après-vente'!$I$2:$I$1000="DONE"))&gt;0,"✓",IF(SUMPRODUCT(MAX(('Agences &amp; Après-vente'!$A$2:$A$1000=$A62)*(('Agences &amp; Après-vente'!$D$2:$D$1000="Après-vente")+('Agences &amp; Après-vente'!$D$2:$D$1000="Agences et Après-vente"))*'Agences &amp; Après-vente'!$E$2:$E$1000))&gt;0,TEXT(SUMPRODUCT(MAX(('Agences &amp; Après-vente'!$A$2:$A$1000=$A62)*(('Agences &amp; Après-vente'!$D$2:$D$1000="Après-vente")+('Agences &amp; Après-vente'!$D$2:$D$1000="Agences et Après-vente"))*'Agences &amp; Après-vente'!$E$2:$E$1000)),"yyyy-mm-dd"),""))))))</f>
        <v>✓</v>
      </c>
      <c r="K62" s="131" t="str">
        <f aca="false">IF($U62="✓","✓",IF(ISNUMBER($U62),TEXT($U62,"yyyy-mm-dd"),IF($D62="Lisbonne","",IF($A62="","",IF(SUMPRODUCT((Evermont!$A$2:$A$1000=$A62)*(Evermont!$Q$2:$Q$1000="Terminé"))&gt;0,"✓",IF(SUMPRODUCT(MAX((Evermont!$A$2:$A$1000=$A62)*Evermont!$F$2:$F$1000))&gt;0,TEXT(SUMPRODUCT(MAX((Evermont!$A$2:$A$1000=$A62)*Evermont!$F$2:$F$1000)),"yyyy-mm-dd"),""))))))</f>
        <v>✓</v>
      </c>
      <c r="L62" s="132" t="n">
        <f aca="false">IF($A62="","",COUNTIF(E62:K62,"✓"))</f>
        <v>7</v>
      </c>
      <c r="M62" s="133" t="s">
        <v>172</v>
      </c>
      <c r="O62" s="134" t="s">
        <v>173</v>
      </c>
      <c r="P62" s="134" t="s">
        <v>173</v>
      </c>
      <c r="Q62" s="134" t="s">
        <v>173</v>
      </c>
      <c r="R62" s="134" t="s">
        <v>173</v>
      </c>
      <c r="S62" s="134"/>
      <c r="T62" s="134"/>
      <c r="U62" s="134" t="s">
        <v>173</v>
      </c>
      <c r="W62" s="135" t="str">
        <f aca="false">IF($A62="","",IF($X62&lt;&gt;"",$X62,IFERROR(INDEX('Formation Initiale'!$B$2:$B$999,MATCH($A62,'Formation Initiale'!$A$2:$A$999,0)),"Général")))</f>
        <v>Général</v>
      </c>
      <c r="X62" s="136"/>
    </row>
    <row r="63" customFormat="false" ht="18" hidden="true" customHeight="true" outlineLevel="0" collapsed="false">
      <c r="A63" s="127" t="s">
        <v>356</v>
      </c>
      <c r="B63" s="128" t="s">
        <v>357</v>
      </c>
      <c r="C63" s="128" t="s">
        <v>358</v>
      </c>
      <c r="D63" s="129" t="s">
        <v>171</v>
      </c>
      <c r="E63" s="130" t="str">
        <f aca="false">IF($O63="✓","✓",IF(ISNUMBER($O63),TEXT($O63,"yyyy-mm-dd"),IF($A63="","",IF(SUMPRODUCT(('Formation Initiale'!$A$2:$A$999=$A63)*('Formation Initiale'!$R$2:$R$999="Terminé"))&gt;0,"✓",IF(SUMPRODUCT(MAX(('Formation Initiale'!$A$2:$A$999=$A63)*'Formation Initiale'!$G$2:$G$999))&gt;0,TEXT(SUMPRODUCT(MAX(('Formation Initiale'!$A$2:$A$999=$A63)*'Formation Initiale'!$G$2:$G$999)),"yyyy-mm-dd"),"")))))</f>
        <v>✓</v>
      </c>
      <c r="F63" s="131" t="str">
        <f aca="false">IF($P63="✓","✓",IF(ISNUMBER($P63),TEXT($P63,"yyyy-mm-dd"),IF($A63="","",IF($D63="Lisbonne","",IF(SUMPRODUCT(('Formation Initiale'!$A$2:$A$999=$A63)*('Formation Initiale'!$R$2:$R$999="Terminé"))&gt;0,"✓",IF(SUMPRODUCT(MAX(('Formation Initiale'!$A$2:$A$999=$A63)*'Formation Initiale'!$G$2:$G$999))&gt;0,TEXT(SUMPRODUCT(MAX(('Formation Initiale'!$A$2:$A$999=$A63)*'Formation Initiale'!$G$2:$G$999)),"yyyy-mm-dd"),""))))))</f>
        <v>✓</v>
      </c>
      <c r="G63" s="131" t="str">
        <f aca="false">IF($Q63="✓","✓",IF(ISNUMBER($Q63),TEXT($Q63,"yyyy-mm-dd"),IF($A63="","",IF(SUMPRODUCT(('Agences &amp; Après-vente'!$A$2:$A$1000=$A63)*(('Agences &amp; Après-vente'!$D$2:$D$1000="Agences")+('Agences &amp; Après-vente'!$D$2:$D$1000="Agences et Après-vente"))*('Agences &amp; Après-vente'!$I$2:$I$1000="DONE"))&gt;0,"✓",IF(SUMPRODUCT(MAX(('Agences &amp; Après-vente'!$A$2:$A$1000=$A63)*(('Agences &amp; Après-vente'!$D$2:$D$1000="Agences")+('Agences &amp; Après-vente'!$D$2:$D$1000="Agences et Après-vente"))*'Agences &amp; Après-vente'!$E$2:$E$1000))&gt;0,TEXT(SUMPRODUCT(MAX(('Agences &amp; Après-vente'!$A$2:$A$1000=$A63)*(('Agences &amp; Après-vente'!$D$2:$D$1000="Agences")+('Agences &amp; Après-vente'!$D$2:$D$1000="Agences et Après-vente"))*'Agences &amp; Après-vente'!$E$2:$E$1000)),"yyyy-mm-dd"),"")))))</f>
        <v>✓</v>
      </c>
      <c r="H63" s="131" t="str">
        <f aca="false">IF($R63="✓","✓",IF(ISNUMBER($R63),TEXT($R63,"yyyy-mm-dd"),IF($A63="","",IF($D63="Lisbonne","",IF(SUMPRODUCT(('Agences &amp; Après-vente'!$A$2:$A$1000=$A63)*(('Agences &amp; Après-vente'!$D$2:$D$1000="Agences")+('Agences &amp; Après-vente'!$D$2:$D$1000="Agences et Après-vente"))*('Agences &amp; Après-vente'!$I$2:$I$1000="DONE"))&gt;0,"✓",IF(SUMPRODUCT(MAX(('Agences &amp; Après-vente'!$A$2:$A$1000=$A63)*(('Agences &amp; Après-vente'!$D$2:$D$1000="Agences")+('Agences &amp; Après-vente'!$D$2:$D$1000="Agences et Après-vente"))*'Agences &amp; Après-vente'!$E$2:$E$1000))&gt;0,TEXT(SUMPRODUCT(MAX(('Agences &amp; Après-vente'!$A$2:$A$1000=$A63)*(('Agences &amp; Après-vente'!$D$2:$D$1000="Agences")+('Agences &amp; Après-vente'!$D$2:$D$1000="Agences et Après-vente"))*'Agences &amp; Après-vente'!$E$2:$E$1000)),"yyyy-mm-dd"),""))))))</f>
        <v>✓</v>
      </c>
      <c r="I63" s="131" t="str">
        <f aca="false">IF($S63="✓","✓",IF(ISNUMBER($S63),TEXT($S63,"yyyy-mm-dd"),IF($A63="","",IF(SUMPRODUCT(('Agences &amp; Après-vente'!$A$2:$A$1000=$A63)*(('Agences &amp; Après-vente'!$D$2:$D$1000="Après-vente")+('Agences &amp; Après-vente'!$D$2:$D$1000="Agences et Après-vente"))*('Agences &amp; Après-vente'!$I$2:$I$1000="DONE"))&gt;0,"✓",IF(SUMPRODUCT(MAX(('Agences &amp; Après-vente'!$A$2:$A$1000=$A63)*(('Agences &amp; Après-vente'!$D$2:$D$1000="Après-vente")+('Agences &amp; Après-vente'!$D$2:$D$1000="Agences et Après-vente"))*'Agences &amp; Après-vente'!$E$2:$E$1000))&gt;0,TEXT(SUMPRODUCT(MAX(('Agences &amp; Après-vente'!$A$2:$A$1000=$A63)*(('Agences &amp; Après-vente'!$D$2:$D$1000="Après-vente")+('Agences &amp; Après-vente'!$D$2:$D$1000="Agences et Après-vente"))*'Agences &amp; Après-vente'!$E$2:$E$1000)),"yyyy-mm-dd"),"")))))</f>
        <v>✓</v>
      </c>
      <c r="J63" s="131" t="str">
        <f aca="false">IF($T63="✓","✓",IF(ISNUMBER($T63),TEXT($T63,"yyyy-mm-dd"),IF($A63="","",IF($D63="Lisbonne","",IF(SUMPRODUCT(('Agences &amp; Après-vente'!$A$2:$A$1000=$A63)*(('Agences &amp; Après-vente'!$D$2:$D$1000="Après-vente")+('Agences &amp; Après-vente'!$D$2:$D$1000="Agences et Après-vente"))*('Agences &amp; Après-vente'!$I$2:$I$1000="DONE"))&gt;0,"✓",IF(SUMPRODUCT(MAX(('Agences &amp; Après-vente'!$A$2:$A$1000=$A63)*(('Agences &amp; Après-vente'!$D$2:$D$1000="Après-vente")+('Agences &amp; Après-vente'!$D$2:$D$1000="Agences et Après-vente"))*'Agences &amp; Après-vente'!$E$2:$E$1000))&gt;0,TEXT(SUMPRODUCT(MAX(('Agences &amp; Après-vente'!$A$2:$A$1000=$A63)*(('Agences &amp; Après-vente'!$D$2:$D$1000="Après-vente")+('Agences &amp; Après-vente'!$D$2:$D$1000="Agences et Après-vente"))*'Agences &amp; Après-vente'!$E$2:$E$1000)),"yyyy-mm-dd"),""))))))</f>
        <v>✓</v>
      </c>
      <c r="K63" s="131" t="str">
        <f aca="false">IF($U63="✓","✓",IF(ISNUMBER($U63),TEXT($U63,"yyyy-mm-dd"),IF($D63="Lisbonne","",IF($A63="","",IF(SUMPRODUCT((Evermont!$A$2:$A$1000=$A63)*(Evermont!$Q$2:$Q$1000="Terminé"))&gt;0,"✓",IF(SUMPRODUCT(MAX((Evermont!$A$2:$A$1000=$A63)*Evermont!$F$2:$F$1000))&gt;0,TEXT(SUMPRODUCT(MAX((Evermont!$A$2:$A$1000=$A63)*Evermont!$F$2:$F$1000)),"yyyy-mm-dd"),""))))))</f>
        <v>✓</v>
      </c>
      <c r="L63" s="132" t="n">
        <f aca="false">IF($A63="","",COUNTIF(E63:K63,"✓"))</f>
        <v>7</v>
      </c>
      <c r="M63" s="133" t="s">
        <v>172</v>
      </c>
      <c r="O63" s="134" t="s">
        <v>173</v>
      </c>
      <c r="P63" s="134" t="s">
        <v>173</v>
      </c>
      <c r="Q63" s="134" t="s">
        <v>173</v>
      </c>
      <c r="R63" s="134" t="s">
        <v>173</v>
      </c>
      <c r="S63" s="134" t="s">
        <v>173</v>
      </c>
      <c r="T63" s="134" t="s">
        <v>173</v>
      </c>
      <c r="U63" s="134" t="s">
        <v>173</v>
      </c>
      <c r="W63" s="135" t="str">
        <f aca="false">IF($A63="","",IF($X63&lt;&gt;"",$X63,IFERROR(INDEX('Formation Initiale'!$B$2:$B$999,MATCH($A63,'Formation Initiale'!$A$2:$A$999,0)),"Général")))</f>
        <v>Général</v>
      </c>
      <c r="X63" s="136"/>
    </row>
    <row r="64" customFormat="false" ht="18" hidden="true" customHeight="true" outlineLevel="0" collapsed="false">
      <c r="A64" s="127" t="s">
        <v>359</v>
      </c>
      <c r="B64" s="128" t="s">
        <v>360</v>
      </c>
      <c r="C64" s="128" t="s">
        <v>361</v>
      </c>
      <c r="D64" s="129" t="s">
        <v>171</v>
      </c>
      <c r="E64" s="130" t="str">
        <f aca="false">IF($O64="✓","✓",IF(ISNUMBER($O64),TEXT($O64,"yyyy-mm-dd"),IF($A64="","",IF(SUMPRODUCT(('Formation Initiale'!$A$2:$A$999=$A64)*('Formation Initiale'!$R$2:$R$999="Terminé"))&gt;0,"✓",IF(SUMPRODUCT(MAX(('Formation Initiale'!$A$2:$A$999=$A64)*'Formation Initiale'!$G$2:$G$999))&gt;0,TEXT(SUMPRODUCT(MAX(('Formation Initiale'!$A$2:$A$999=$A64)*'Formation Initiale'!$G$2:$G$999)),"yyyy-mm-dd"),"")))))</f>
        <v>✓</v>
      </c>
      <c r="F64" s="131" t="str">
        <f aca="false">IF($P64="✓","✓",IF(ISNUMBER($P64),TEXT($P64,"yyyy-mm-dd"),IF($A64="","",IF($D64="Lisbonne","",IF(SUMPRODUCT(('Formation Initiale'!$A$2:$A$999=$A64)*('Formation Initiale'!$R$2:$R$999="Terminé"))&gt;0,"✓",IF(SUMPRODUCT(MAX(('Formation Initiale'!$A$2:$A$999=$A64)*'Formation Initiale'!$G$2:$G$999))&gt;0,TEXT(SUMPRODUCT(MAX(('Formation Initiale'!$A$2:$A$999=$A64)*'Formation Initiale'!$G$2:$G$999)),"yyyy-mm-dd"),""))))))</f>
        <v>✓</v>
      </c>
      <c r="G64" s="131" t="str">
        <f aca="false">IF($Q64="✓","✓",IF(ISNUMBER($Q64),TEXT($Q64,"yyyy-mm-dd"),IF($A64="","",IF(SUMPRODUCT(('Agences &amp; Après-vente'!$A$2:$A$1000=$A64)*(('Agences &amp; Après-vente'!$D$2:$D$1000="Agences")+('Agences &amp; Après-vente'!$D$2:$D$1000="Agences et Après-vente"))*('Agences &amp; Après-vente'!$I$2:$I$1000="DONE"))&gt;0,"✓",IF(SUMPRODUCT(MAX(('Agences &amp; Après-vente'!$A$2:$A$1000=$A64)*(('Agences &amp; Après-vente'!$D$2:$D$1000="Agences")+('Agences &amp; Après-vente'!$D$2:$D$1000="Agences et Après-vente"))*'Agences &amp; Après-vente'!$E$2:$E$1000))&gt;0,TEXT(SUMPRODUCT(MAX(('Agences &amp; Après-vente'!$A$2:$A$1000=$A64)*(('Agences &amp; Après-vente'!$D$2:$D$1000="Agences")+('Agences &amp; Après-vente'!$D$2:$D$1000="Agences et Après-vente"))*'Agences &amp; Après-vente'!$E$2:$E$1000)),"yyyy-mm-dd"),"")))))</f>
        <v>✓</v>
      </c>
      <c r="H64" s="131" t="str">
        <f aca="false">IF($R64="✓","✓",IF(ISNUMBER($R64),TEXT($R64,"yyyy-mm-dd"),IF($A64="","",IF($D64="Lisbonne","",IF(SUMPRODUCT(('Agences &amp; Après-vente'!$A$2:$A$1000=$A64)*(('Agences &amp; Après-vente'!$D$2:$D$1000="Agences")+('Agences &amp; Après-vente'!$D$2:$D$1000="Agences et Après-vente"))*('Agences &amp; Après-vente'!$I$2:$I$1000="DONE"))&gt;0,"✓",IF(SUMPRODUCT(MAX(('Agences &amp; Après-vente'!$A$2:$A$1000=$A64)*(('Agences &amp; Après-vente'!$D$2:$D$1000="Agences")+('Agences &amp; Après-vente'!$D$2:$D$1000="Agences et Après-vente"))*'Agences &amp; Après-vente'!$E$2:$E$1000))&gt;0,TEXT(SUMPRODUCT(MAX(('Agences &amp; Après-vente'!$A$2:$A$1000=$A64)*(('Agences &amp; Après-vente'!$D$2:$D$1000="Agences")+('Agences &amp; Après-vente'!$D$2:$D$1000="Agences et Après-vente"))*'Agences &amp; Après-vente'!$E$2:$E$1000)),"yyyy-mm-dd"),""))))))</f>
        <v>✓</v>
      </c>
      <c r="I64" s="131" t="str">
        <f aca="false">IF($S64="✓","✓",IF(ISNUMBER($S64),TEXT($S64,"yyyy-mm-dd"),IF($A64="","",IF(SUMPRODUCT(('Agences &amp; Après-vente'!$A$2:$A$1000=$A64)*(('Agences &amp; Après-vente'!$D$2:$D$1000="Après-vente")+('Agences &amp; Après-vente'!$D$2:$D$1000="Agences et Après-vente"))*('Agences &amp; Après-vente'!$I$2:$I$1000="DONE"))&gt;0,"✓",IF(SUMPRODUCT(MAX(('Agences &amp; Après-vente'!$A$2:$A$1000=$A64)*(('Agences &amp; Après-vente'!$D$2:$D$1000="Après-vente")+('Agences &amp; Après-vente'!$D$2:$D$1000="Agences et Après-vente"))*'Agences &amp; Après-vente'!$E$2:$E$1000))&gt;0,TEXT(SUMPRODUCT(MAX(('Agences &amp; Après-vente'!$A$2:$A$1000=$A64)*(('Agences &amp; Après-vente'!$D$2:$D$1000="Après-vente")+('Agences &amp; Après-vente'!$D$2:$D$1000="Agences et Après-vente"))*'Agences &amp; Après-vente'!$E$2:$E$1000)),"yyyy-mm-dd"),"")))))</f>
        <v>✓</v>
      </c>
      <c r="J64" s="131" t="str">
        <f aca="false">IF($T64="✓","✓",IF(ISNUMBER($T64),TEXT($T64,"yyyy-mm-dd"),IF($A64="","",IF($D64="Lisbonne","",IF(SUMPRODUCT(('Agences &amp; Après-vente'!$A$2:$A$1000=$A64)*(('Agences &amp; Après-vente'!$D$2:$D$1000="Après-vente")+('Agences &amp; Après-vente'!$D$2:$D$1000="Agences et Après-vente"))*('Agences &amp; Après-vente'!$I$2:$I$1000="DONE"))&gt;0,"✓",IF(SUMPRODUCT(MAX(('Agences &amp; Après-vente'!$A$2:$A$1000=$A64)*(('Agences &amp; Après-vente'!$D$2:$D$1000="Après-vente")+('Agences &amp; Après-vente'!$D$2:$D$1000="Agences et Après-vente"))*'Agences &amp; Après-vente'!$E$2:$E$1000))&gt;0,TEXT(SUMPRODUCT(MAX(('Agences &amp; Après-vente'!$A$2:$A$1000=$A64)*(('Agences &amp; Après-vente'!$D$2:$D$1000="Après-vente")+('Agences &amp; Après-vente'!$D$2:$D$1000="Agences et Après-vente"))*'Agences &amp; Après-vente'!$E$2:$E$1000)),"yyyy-mm-dd"),""))))))</f>
        <v>✓</v>
      </c>
      <c r="K64" s="131" t="str">
        <f aca="false">IF($U64="✓","✓",IF(ISNUMBER($U64),TEXT($U64,"yyyy-mm-dd"),IF($D64="Lisbonne","",IF($A64="","",IF(SUMPRODUCT((Evermont!$A$2:$A$1000=$A64)*(Evermont!$Q$2:$Q$1000="Terminé"))&gt;0,"✓",IF(SUMPRODUCT(MAX((Evermont!$A$2:$A$1000=$A64)*Evermont!$F$2:$F$1000))&gt;0,TEXT(SUMPRODUCT(MAX((Evermont!$A$2:$A$1000=$A64)*Evermont!$F$2:$F$1000)),"yyyy-mm-dd"),""))))))</f>
        <v>✓</v>
      </c>
      <c r="L64" s="132" t="n">
        <f aca="false">IF($A64="","",COUNTIF(E64:K64,"✓"))</f>
        <v>7</v>
      </c>
      <c r="M64" s="133" t="s">
        <v>172</v>
      </c>
      <c r="O64" s="134" t="s">
        <v>173</v>
      </c>
      <c r="P64" s="134" t="s">
        <v>173</v>
      </c>
      <c r="Q64" s="134"/>
      <c r="R64" s="134"/>
      <c r="S64" s="134"/>
      <c r="T64" s="134"/>
      <c r="U64" s="134" t="s">
        <v>173</v>
      </c>
      <c r="W64" s="135" t="str">
        <f aca="false">IF($A64="","",IF($X64&lt;&gt;"",$X64,IFERROR(INDEX('Formation Initiale'!$B$2:$B$999,MATCH($A64,'Formation Initiale'!$A$2:$A$999,0)),"Général")))</f>
        <v>Général</v>
      </c>
      <c r="X64" s="136"/>
    </row>
    <row r="65" customFormat="false" ht="18" hidden="true" customHeight="true" outlineLevel="0" collapsed="false">
      <c r="A65" s="138" t="s">
        <v>362</v>
      </c>
      <c r="B65" s="128" t="s">
        <v>363</v>
      </c>
      <c r="C65" s="128" t="s">
        <v>364</v>
      </c>
      <c r="D65" s="129" t="s">
        <v>186</v>
      </c>
      <c r="E65" s="130" t="str">
        <f aca="false">IF($O65="✓","✓",IF(ISNUMBER($O65),TEXT($O65,"yyyy-mm-dd"),IF($A65="","",IF(SUMPRODUCT(('Formation Initiale'!$A$2:$A$999=$A65)*('Formation Initiale'!$R$2:$R$999="Terminé"))&gt;0,"✓",IF(SUMPRODUCT(MAX(('Formation Initiale'!$A$2:$A$999=$A65)*'Formation Initiale'!$G$2:$G$999))&gt;0,TEXT(SUMPRODUCT(MAX(('Formation Initiale'!$A$2:$A$999=$A65)*'Formation Initiale'!$G$2:$G$999)),"yyyy-mm-dd"),"")))))</f>
        <v>✓</v>
      </c>
      <c r="F65" s="131" t="str">
        <f aca="false">IF($P65="✓","✓",IF(ISNUMBER($P65),TEXT($P65,"yyyy-mm-dd"),IF($A65="","",IF($D65="Lisbonne","",IF(SUMPRODUCT(('Formation Initiale'!$A$2:$A$999=$A65)*('Formation Initiale'!$R$2:$R$999="Terminé"))&gt;0,"✓",IF(SUMPRODUCT(MAX(('Formation Initiale'!$A$2:$A$999=$A65)*'Formation Initiale'!$G$2:$G$999))&gt;0,TEXT(SUMPRODUCT(MAX(('Formation Initiale'!$A$2:$A$999=$A65)*'Formation Initiale'!$G$2:$G$999)),"yyyy-mm-dd"),""))))))</f>
        <v/>
      </c>
      <c r="G65" s="131" t="str">
        <f aca="false">IF($Q65="✓","✓",IF(ISNUMBER($Q65),TEXT($Q65,"yyyy-mm-dd"),IF($A65="","",IF(SUMPRODUCT(('Agences &amp; Après-vente'!$A$2:$A$1000=$A65)*(('Agences &amp; Après-vente'!$D$2:$D$1000="Agences")+('Agences &amp; Après-vente'!$D$2:$D$1000="Agences et Après-vente"))*('Agences &amp; Après-vente'!$I$2:$I$1000="DONE"))&gt;0,"✓",IF(SUMPRODUCT(MAX(('Agences &amp; Après-vente'!$A$2:$A$1000=$A65)*(('Agences &amp; Après-vente'!$D$2:$D$1000="Agences")+('Agences &amp; Après-vente'!$D$2:$D$1000="Agences et Après-vente"))*'Agences &amp; Après-vente'!$E$2:$E$1000))&gt;0,TEXT(SUMPRODUCT(MAX(('Agences &amp; Après-vente'!$A$2:$A$1000=$A65)*(('Agences &amp; Après-vente'!$D$2:$D$1000="Agences")+('Agences &amp; Après-vente'!$D$2:$D$1000="Agences et Après-vente"))*'Agences &amp; Après-vente'!$E$2:$E$1000)),"yyyy-mm-dd"),"")))))</f>
        <v/>
      </c>
      <c r="H65" s="131" t="str">
        <f aca="false">IF($R65="✓","✓",IF(ISNUMBER($R65),TEXT($R65,"yyyy-mm-dd"),IF($A65="","",IF($D65="Lisbonne","",IF(SUMPRODUCT(('Agences &amp; Après-vente'!$A$2:$A$1000=$A65)*(('Agences &amp; Après-vente'!$D$2:$D$1000="Agences")+('Agences &amp; Après-vente'!$D$2:$D$1000="Agences et Après-vente"))*('Agences &amp; Après-vente'!$I$2:$I$1000="DONE"))&gt;0,"✓",IF(SUMPRODUCT(MAX(('Agences &amp; Après-vente'!$A$2:$A$1000=$A65)*(('Agences &amp; Après-vente'!$D$2:$D$1000="Agences")+('Agences &amp; Après-vente'!$D$2:$D$1000="Agences et Après-vente"))*'Agences &amp; Après-vente'!$E$2:$E$1000))&gt;0,TEXT(SUMPRODUCT(MAX(('Agences &amp; Après-vente'!$A$2:$A$1000=$A65)*(('Agences &amp; Après-vente'!$D$2:$D$1000="Agences")+('Agences &amp; Après-vente'!$D$2:$D$1000="Agences et Après-vente"))*'Agences &amp; Après-vente'!$E$2:$E$1000)),"yyyy-mm-dd"),""))))))</f>
        <v/>
      </c>
      <c r="I65" s="131" t="str">
        <f aca="false">IF($S65="✓","✓",IF(ISNUMBER($S65),TEXT($S65,"yyyy-mm-dd"),IF($A65="","",IF(SUMPRODUCT(('Agences &amp; Après-vente'!$A$2:$A$1000=$A65)*(('Agences &amp; Après-vente'!$D$2:$D$1000="Après-vente")+('Agences &amp; Après-vente'!$D$2:$D$1000="Agences et Après-vente"))*('Agences &amp; Après-vente'!$I$2:$I$1000="DONE"))&gt;0,"✓",IF(SUMPRODUCT(MAX(('Agences &amp; Après-vente'!$A$2:$A$1000=$A65)*(('Agences &amp; Après-vente'!$D$2:$D$1000="Après-vente")+('Agences &amp; Après-vente'!$D$2:$D$1000="Agences et Après-vente"))*'Agences &amp; Après-vente'!$E$2:$E$1000))&gt;0,TEXT(SUMPRODUCT(MAX(('Agences &amp; Après-vente'!$A$2:$A$1000=$A65)*(('Agences &amp; Après-vente'!$D$2:$D$1000="Après-vente")+('Agences &amp; Après-vente'!$D$2:$D$1000="Agences et Après-vente"))*'Agences &amp; Après-vente'!$E$2:$E$1000)),"yyyy-mm-dd"),"")))))</f>
        <v/>
      </c>
      <c r="J65" s="131" t="str">
        <f aca="false">IF($T65="✓","✓",IF(ISNUMBER($T65),TEXT($T65,"yyyy-mm-dd"),IF($A65="","",IF($D65="Lisbonne","",IF(SUMPRODUCT(('Agences &amp; Après-vente'!$A$2:$A$1000=$A65)*(('Agences &amp; Après-vente'!$D$2:$D$1000="Après-vente")+('Agences &amp; Après-vente'!$D$2:$D$1000="Agences et Après-vente"))*('Agences &amp; Après-vente'!$I$2:$I$1000="DONE"))&gt;0,"✓",IF(SUMPRODUCT(MAX(('Agences &amp; Après-vente'!$A$2:$A$1000=$A65)*(('Agences &amp; Après-vente'!$D$2:$D$1000="Après-vente")+('Agences &amp; Après-vente'!$D$2:$D$1000="Agences et Après-vente"))*'Agences &amp; Après-vente'!$E$2:$E$1000))&gt;0,TEXT(SUMPRODUCT(MAX(('Agences &amp; Après-vente'!$A$2:$A$1000=$A65)*(('Agences &amp; Après-vente'!$D$2:$D$1000="Après-vente")+('Agences &amp; Après-vente'!$D$2:$D$1000="Agences et Après-vente"))*'Agences &amp; Après-vente'!$E$2:$E$1000)),"yyyy-mm-dd"),""))))))</f>
        <v/>
      </c>
      <c r="K65" s="131" t="str">
        <f aca="false">IF($U65="✓","✓",IF(ISNUMBER($U65),TEXT($U65,"yyyy-mm-dd"),IF($D65="Lisbonne","",IF($A65="","",IF(SUMPRODUCT((Evermont!$A$2:$A$1000=$A65)*(Evermont!$Q$2:$Q$1000="Terminé"))&gt;0,"✓",IF(SUMPRODUCT(MAX((Evermont!$A$2:$A$1000=$A65)*Evermont!$F$2:$F$1000))&gt;0,TEXT(SUMPRODUCT(MAX((Evermont!$A$2:$A$1000=$A65)*Evermont!$F$2:$F$1000)),"yyyy-mm-dd"),""))))))</f>
        <v/>
      </c>
      <c r="L65" s="132" t="n">
        <f aca="false">IF($A65="","",COUNTIF(E65:K65,"✓"))</f>
        <v>1</v>
      </c>
      <c r="M65" s="133" t="s">
        <v>196</v>
      </c>
      <c r="O65" s="134"/>
      <c r="P65" s="134"/>
      <c r="Q65" s="134"/>
      <c r="R65" s="134"/>
      <c r="S65" s="134"/>
      <c r="T65" s="134"/>
      <c r="U65" s="134"/>
      <c r="W65" s="135" t="str">
        <f aca="false">IF($A65="","",IF($X65&lt;&gt;"",$X65,IFERROR(INDEX('Formation Initiale'!$B$2:$B$999,MATCH($A65,'Formation Initiale'!$A$2:$A$999,0)),"Général")))</f>
        <v>OS4</v>
      </c>
      <c r="X65" s="136"/>
    </row>
    <row r="66" customFormat="false" ht="18" hidden="true" customHeight="true" outlineLevel="0" collapsed="false">
      <c r="A66" s="139" t="s">
        <v>365</v>
      </c>
      <c r="B66" s="128" t="s">
        <v>366</v>
      </c>
      <c r="C66" s="128" t="s">
        <v>367</v>
      </c>
      <c r="D66" s="129" t="s">
        <v>186</v>
      </c>
      <c r="E66" s="130" t="str">
        <f aca="false">IF($O66="✓","✓",IF(ISNUMBER($O66),TEXT($O66,"yyyy-mm-dd"),IF($A66="","",IF(SUMPRODUCT(('Formation Initiale'!$A$2:$A$999=$A66)*('Formation Initiale'!$R$2:$R$999="Terminé"))&gt;0,"✓",IF(SUMPRODUCT(MAX(('Formation Initiale'!$A$2:$A$999=$A66)*'Formation Initiale'!$G$2:$G$999))&gt;0,TEXT(SUMPRODUCT(MAX(('Formation Initiale'!$A$2:$A$999=$A66)*'Formation Initiale'!$G$2:$G$999)),"yyyy-mm-dd"),"")))))</f>
        <v>✓</v>
      </c>
      <c r="F66" s="131" t="str">
        <f aca="false">IF($P66="✓","✓",IF(ISNUMBER($P66),TEXT($P66,"yyyy-mm-dd"),IF($A66="","",IF($D66="Lisbonne","",IF(SUMPRODUCT(('Formation Initiale'!$A$2:$A$999=$A66)*('Formation Initiale'!$R$2:$R$999="Terminé"))&gt;0,"✓",IF(SUMPRODUCT(MAX(('Formation Initiale'!$A$2:$A$999=$A66)*'Formation Initiale'!$G$2:$G$999))&gt;0,TEXT(SUMPRODUCT(MAX(('Formation Initiale'!$A$2:$A$999=$A66)*'Formation Initiale'!$G$2:$G$999)),"yyyy-mm-dd"),""))))))</f>
        <v/>
      </c>
      <c r="G66" s="131" t="str">
        <f aca="false">IF($Q66="✓","✓",IF(ISNUMBER($Q66),TEXT($Q66,"yyyy-mm-dd"),IF($A66="","",IF(SUMPRODUCT(('Agences &amp; Après-vente'!$A$2:$A$1000=$A66)*(('Agences &amp; Après-vente'!$D$2:$D$1000="Agences")+('Agences &amp; Après-vente'!$D$2:$D$1000="Agences et Après-vente"))*('Agences &amp; Après-vente'!$I$2:$I$1000="DONE"))&gt;0,"✓",IF(SUMPRODUCT(MAX(('Agences &amp; Après-vente'!$A$2:$A$1000=$A66)*(('Agences &amp; Après-vente'!$D$2:$D$1000="Agences")+('Agences &amp; Après-vente'!$D$2:$D$1000="Agences et Après-vente"))*'Agences &amp; Après-vente'!$E$2:$E$1000))&gt;0,TEXT(SUMPRODUCT(MAX(('Agences &amp; Après-vente'!$A$2:$A$1000=$A66)*(('Agences &amp; Après-vente'!$D$2:$D$1000="Agences")+('Agences &amp; Après-vente'!$D$2:$D$1000="Agences et Après-vente"))*'Agences &amp; Après-vente'!$E$2:$E$1000)),"yyyy-mm-dd"),"")))))</f>
        <v/>
      </c>
      <c r="H66" s="131" t="str">
        <f aca="false">IF($R66="✓","✓",IF(ISNUMBER($R66),TEXT($R66,"yyyy-mm-dd"),IF($A66="","",IF($D66="Lisbonne","",IF(SUMPRODUCT(('Agences &amp; Après-vente'!$A$2:$A$1000=$A66)*(('Agences &amp; Après-vente'!$D$2:$D$1000="Agences")+('Agences &amp; Après-vente'!$D$2:$D$1000="Agences et Après-vente"))*('Agences &amp; Après-vente'!$I$2:$I$1000="DONE"))&gt;0,"✓",IF(SUMPRODUCT(MAX(('Agences &amp; Après-vente'!$A$2:$A$1000=$A66)*(('Agences &amp; Après-vente'!$D$2:$D$1000="Agences")+('Agences &amp; Après-vente'!$D$2:$D$1000="Agences et Après-vente"))*'Agences &amp; Après-vente'!$E$2:$E$1000))&gt;0,TEXT(SUMPRODUCT(MAX(('Agences &amp; Après-vente'!$A$2:$A$1000=$A66)*(('Agences &amp; Après-vente'!$D$2:$D$1000="Agences")+('Agences &amp; Après-vente'!$D$2:$D$1000="Agences et Après-vente"))*'Agences &amp; Après-vente'!$E$2:$E$1000)),"yyyy-mm-dd"),""))))))</f>
        <v/>
      </c>
      <c r="I66" s="131" t="str">
        <f aca="false">IF($S66="✓","✓",IF(ISNUMBER($S66),TEXT($S66,"yyyy-mm-dd"),IF($A66="","",IF(SUMPRODUCT(('Agences &amp; Après-vente'!$A$2:$A$1000=$A66)*(('Agences &amp; Après-vente'!$D$2:$D$1000="Après-vente")+('Agences &amp; Après-vente'!$D$2:$D$1000="Agences et Après-vente"))*('Agences &amp; Après-vente'!$I$2:$I$1000="DONE"))&gt;0,"✓",IF(SUMPRODUCT(MAX(('Agences &amp; Après-vente'!$A$2:$A$1000=$A66)*(('Agences &amp; Après-vente'!$D$2:$D$1000="Après-vente")+('Agences &amp; Après-vente'!$D$2:$D$1000="Agences et Après-vente"))*'Agences &amp; Après-vente'!$E$2:$E$1000))&gt;0,TEXT(SUMPRODUCT(MAX(('Agences &amp; Après-vente'!$A$2:$A$1000=$A66)*(('Agences &amp; Après-vente'!$D$2:$D$1000="Après-vente")+('Agences &amp; Après-vente'!$D$2:$D$1000="Agences et Après-vente"))*'Agences &amp; Après-vente'!$E$2:$E$1000)),"yyyy-mm-dd"),"")))))</f>
        <v/>
      </c>
      <c r="J66" s="131" t="str">
        <f aca="false">IF($T66="✓","✓",IF(ISNUMBER($T66),TEXT($T66,"yyyy-mm-dd"),IF($A66="","",IF($D66="Lisbonne","",IF(SUMPRODUCT(('Agences &amp; Après-vente'!$A$2:$A$1000=$A66)*(('Agences &amp; Après-vente'!$D$2:$D$1000="Après-vente")+('Agences &amp; Après-vente'!$D$2:$D$1000="Agences et Après-vente"))*('Agences &amp; Après-vente'!$I$2:$I$1000="DONE"))&gt;0,"✓",IF(SUMPRODUCT(MAX(('Agences &amp; Après-vente'!$A$2:$A$1000=$A66)*(('Agences &amp; Après-vente'!$D$2:$D$1000="Après-vente")+('Agences &amp; Après-vente'!$D$2:$D$1000="Agences et Après-vente"))*'Agences &amp; Après-vente'!$E$2:$E$1000))&gt;0,TEXT(SUMPRODUCT(MAX(('Agences &amp; Après-vente'!$A$2:$A$1000=$A66)*(('Agences &amp; Après-vente'!$D$2:$D$1000="Après-vente")+('Agences &amp; Après-vente'!$D$2:$D$1000="Agences et Après-vente"))*'Agences &amp; Après-vente'!$E$2:$E$1000)),"yyyy-mm-dd"),""))))))</f>
        <v/>
      </c>
      <c r="K66" s="131" t="str">
        <f aca="false">IF($U66="✓","✓",IF(ISNUMBER($U66),TEXT($U66,"yyyy-mm-dd"),IF($D66="Lisbonne","",IF($A66="","",IF(SUMPRODUCT((Evermont!$A$2:$A$1000=$A66)*(Evermont!$Q$2:$Q$1000="Terminé"))&gt;0,"✓",IF(SUMPRODUCT(MAX((Evermont!$A$2:$A$1000=$A66)*Evermont!$F$2:$F$1000))&gt;0,TEXT(SUMPRODUCT(MAX((Evermont!$A$2:$A$1000=$A66)*Evermont!$F$2:$F$1000)),"yyyy-mm-dd"),""))))))</f>
        <v/>
      </c>
      <c r="L66" s="132" t="n">
        <f aca="false">IF($A66="","",COUNTIF(E66:K66,"✓"))</f>
        <v>1</v>
      </c>
      <c r="M66" s="133" t="s">
        <v>172</v>
      </c>
      <c r="O66" s="134" t="s">
        <v>173</v>
      </c>
      <c r="P66" s="134"/>
      <c r="Q66" s="134"/>
      <c r="R66" s="134"/>
      <c r="S66" s="134"/>
      <c r="T66" s="134"/>
      <c r="U66" s="134"/>
      <c r="W66" s="135" t="str">
        <f aca="false">IF($A66="","",IF($X66&lt;&gt;"",$X66,IFERROR(INDEX('Formation Initiale'!$B$2:$B$999,MATCH($A66,'Formation Initiale'!$A$2:$A$999,0)),"Général")))</f>
        <v>OS7</v>
      </c>
      <c r="X66" s="136"/>
    </row>
    <row r="67" customFormat="false" ht="18" hidden="true" customHeight="true" outlineLevel="0" collapsed="false">
      <c r="A67" s="140" t="s">
        <v>368</v>
      </c>
      <c r="B67" s="128" t="s">
        <v>221</v>
      </c>
      <c r="C67" s="128" t="s">
        <v>369</v>
      </c>
      <c r="D67" s="129" t="s">
        <v>186</v>
      </c>
      <c r="E67" s="130" t="str">
        <f aca="false">IF($O67="✓","✓",IF(ISNUMBER($O67),TEXT($O67,"yyyy-mm-dd"),IF($A67="","",IF(SUMPRODUCT(('Formation Initiale'!$A$2:$A$999=$A67)*('Formation Initiale'!$R$2:$R$999="Terminé"))&gt;0,"✓",IF(SUMPRODUCT(MAX(('Formation Initiale'!$A$2:$A$999=$A67)*'Formation Initiale'!$G$2:$G$999))&gt;0,TEXT(SUMPRODUCT(MAX(('Formation Initiale'!$A$2:$A$999=$A67)*'Formation Initiale'!$G$2:$G$999)),"yyyy-mm-dd"),"")))))</f>
        <v>✓</v>
      </c>
      <c r="F67" s="131" t="str">
        <f aca="false">IF($P67="✓","✓",IF(ISNUMBER($P67),TEXT($P67,"yyyy-mm-dd"),IF($A67="","",IF($D67="Lisbonne","",IF(SUMPRODUCT(('Formation Initiale'!$A$2:$A$999=$A67)*('Formation Initiale'!$R$2:$R$999="Terminé"))&gt;0,"✓",IF(SUMPRODUCT(MAX(('Formation Initiale'!$A$2:$A$999=$A67)*'Formation Initiale'!$G$2:$G$999))&gt;0,TEXT(SUMPRODUCT(MAX(('Formation Initiale'!$A$2:$A$999=$A67)*'Formation Initiale'!$G$2:$G$999)),"yyyy-mm-dd"),""))))))</f>
        <v/>
      </c>
      <c r="G67" s="131" t="str">
        <f aca="false">IF($Q67="✓","✓",IF(ISNUMBER($Q67),TEXT($Q67,"yyyy-mm-dd"),IF($A67="","",IF(SUMPRODUCT(('Agences &amp; Après-vente'!$A$2:$A$1000=$A67)*(('Agences &amp; Après-vente'!$D$2:$D$1000="Agences")+('Agences &amp; Après-vente'!$D$2:$D$1000="Agences et Après-vente"))*('Agences &amp; Après-vente'!$I$2:$I$1000="DONE"))&gt;0,"✓",IF(SUMPRODUCT(MAX(('Agences &amp; Après-vente'!$A$2:$A$1000=$A67)*(('Agences &amp; Après-vente'!$D$2:$D$1000="Agences")+('Agences &amp; Après-vente'!$D$2:$D$1000="Agences et Après-vente"))*'Agences &amp; Après-vente'!$E$2:$E$1000))&gt;0,TEXT(SUMPRODUCT(MAX(('Agences &amp; Après-vente'!$A$2:$A$1000=$A67)*(('Agences &amp; Après-vente'!$D$2:$D$1000="Agences")+('Agences &amp; Après-vente'!$D$2:$D$1000="Agences et Après-vente"))*'Agences &amp; Après-vente'!$E$2:$E$1000)),"yyyy-mm-dd"),"")))))</f>
        <v>✓</v>
      </c>
      <c r="H67" s="131" t="str">
        <f aca="false">IF($R67="✓","✓",IF(ISNUMBER($R67),TEXT($R67,"yyyy-mm-dd"),IF($A67="","",IF($D67="Lisbonne","",IF(SUMPRODUCT(('Agences &amp; Après-vente'!$A$2:$A$1000=$A67)*(('Agences &amp; Après-vente'!$D$2:$D$1000="Agences")+('Agences &amp; Après-vente'!$D$2:$D$1000="Agences et Après-vente"))*('Agences &amp; Après-vente'!$I$2:$I$1000="DONE"))&gt;0,"✓",IF(SUMPRODUCT(MAX(('Agences &amp; Après-vente'!$A$2:$A$1000=$A67)*(('Agences &amp; Après-vente'!$D$2:$D$1000="Agences")+('Agences &amp; Après-vente'!$D$2:$D$1000="Agences et Après-vente"))*'Agences &amp; Après-vente'!$E$2:$E$1000))&gt;0,TEXT(SUMPRODUCT(MAX(('Agences &amp; Après-vente'!$A$2:$A$1000=$A67)*(('Agences &amp; Après-vente'!$D$2:$D$1000="Agences")+('Agences &amp; Après-vente'!$D$2:$D$1000="Agences et Après-vente"))*'Agences &amp; Après-vente'!$E$2:$E$1000)),"yyyy-mm-dd"),""))))))</f>
        <v/>
      </c>
      <c r="I67" s="131" t="str">
        <f aca="false">IF($S67="✓","✓",IF(ISNUMBER($S67),TEXT($S67,"yyyy-mm-dd"),IF($A67="","",IF(SUMPRODUCT(('Agences &amp; Après-vente'!$A$2:$A$1000=$A67)*(('Agences &amp; Après-vente'!$D$2:$D$1000="Après-vente")+('Agences &amp; Après-vente'!$D$2:$D$1000="Agences et Après-vente"))*('Agences &amp; Après-vente'!$I$2:$I$1000="DONE"))&gt;0,"✓",IF(SUMPRODUCT(MAX(('Agences &amp; Après-vente'!$A$2:$A$1000=$A67)*(('Agences &amp; Après-vente'!$D$2:$D$1000="Après-vente")+('Agences &amp; Après-vente'!$D$2:$D$1000="Agences et Après-vente"))*'Agences &amp; Après-vente'!$E$2:$E$1000))&gt;0,TEXT(SUMPRODUCT(MAX(('Agences &amp; Après-vente'!$A$2:$A$1000=$A67)*(('Agences &amp; Après-vente'!$D$2:$D$1000="Après-vente")+('Agences &amp; Après-vente'!$D$2:$D$1000="Agences et Après-vente"))*'Agences &amp; Après-vente'!$E$2:$E$1000)),"yyyy-mm-dd"),"")))))</f>
        <v>✓</v>
      </c>
      <c r="J67" s="131" t="str">
        <f aca="false">IF($T67="✓","✓",IF(ISNUMBER($T67),TEXT($T67,"yyyy-mm-dd"),IF($A67="","",IF($D67="Lisbonne","",IF(SUMPRODUCT(('Agences &amp; Après-vente'!$A$2:$A$1000=$A67)*(('Agences &amp; Après-vente'!$D$2:$D$1000="Après-vente")+('Agences &amp; Après-vente'!$D$2:$D$1000="Agences et Après-vente"))*('Agences &amp; Après-vente'!$I$2:$I$1000="DONE"))&gt;0,"✓",IF(SUMPRODUCT(MAX(('Agences &amp; Après-vente'!$A$2:$A$1000=$A67)*(('Agences &amp; Après-vente'!$D$2:$D$1000="Après-vente")+('Agences &amp; Après-vente'!$D$2:$D$1000="Agences et Après-vente"))*'Agences &amp; Après-vente'!$E$2:$E$1000))&gt;0,TEXT(SUMPRODUCT(MAX(('Agences &amp; Après-vente'!$A$2:$A$1000=$A67)*(('Agences &amp; Après-vente'!$D$2:$D$1000="Après-vente")+('Agences &amp; Après-vente'!$D$2:$D$1000="Agences et Après-vente"))*'Agences &amp; Après-vente'!$E$2:$E$1000)),"yyyy-mm-dd"),""))))))</f>
        <v/>
      </c>
      <c r="K67" s="131" t="str">
        <f aca="false">IF($U67="✓","✓",IF(ISNUMBER($U67),TEXT($U67,"yyyy-mm-dd"),IF($D67="Lisbonne","",IF($A67="","",IF(SUMPRODUCT((Evermont!$A$2:$A$1000=$A67)*(Evermont!$Q$2:$Q$1000="Terminé"))&gt;0,"✓",IF(SUMPRODUCT(MAX((Evermont!$A$2:$A$1000=$A67)*Evermont!$F$2:$F$1000))&gt;0,TEXT(SUMPRODUCT(MAX((Evermont!$A$2:$A$1000=$A67)*Evermont!$F$2:$F$1000)),"yyyy-mm-dd"),""))))))</f>
        <v/>
      </c>
      <c r="L67" s="132" t="n">
        <f aca="false">IF($A67="","",COUNTIF(E67:K67,"✓"))</f>
        <v>3</v>
      </c>
      <c r="M67" s="133" t="s">
        <v>172</v>
      </c>
      <c r="O67" s="134" t="s">
        <v>173</v>
      </c>
      <c r="P67" s="134"/>
      <c r="Q67" s="134" t="s">
        <v>173</v>
      </c>
      <c r="R67" s="134"/>
      <c r="S67" s="134"/>
      <c r="T67" s="134"/>
      <c r="U67" s="134"/>
      <c r="W67" s="135" t="str">
        <f aca="false">IF($A67="","",IF($X67&lt;&gt;"",$X67,IFERROR(INDEX('Formation Initiale'!$B$2:$B$999,MATCH($A67,'Formation Initiale'!$A$2:$A$999,0)),"Général")))</f>
        <v>OS3</v>
      </c>
      <c r="X67" s="136"/>
    </row>
    <row r="68" customFormat="false" ht="18" hidden="true" customHeight="true" outlineLevel="0" collapsed="false">
      <c r="A68" s="127" t="s">
        <v>370</v>
      </c>
      <c r="B68" s="128" t="s">
        <v>371</v>
      </c>
      <c r="C68" s="128" t="s">
        <v>372</v>
      </c>
      <c r="D68" s="129" t="s">
        <v>171</v>
      </c>
      <c r="E68" s="130" t="str">
        <f aca="false">IF($O68="✓","✓",IF(ISNUMBER($O68),TEXT($O68,"yyyy-mm-dd"),IF($A68="","",IF(SUMPRODUCT(('Formation Initiale'!$A$2:$A$999=$A68)*('Formation Initiale'!$R$2:$R$999="Terminé"))&gt;0,"✓",IF(SUMPRODUCT(MAX(('Formation Initiale'!$A$2:$A$999=$A68)*'Formation Initiale'!$G$2:$G$999))&gt;0,TEXT(SUMPRODUCT(MAX(('Formation Initiale'!$A$2:$A$999=$A68)*'Formation Initiale'!$G$2:$G$999)),"yyyy-mm-dd"),"")))))</f>
        <v>✓</v>
      </c>
      <c r="F68" s="131" t="str">
        <f aca="false">IF($P68="✓","✓",IF(ISNUMBER($P68),TEXT($P68,"yyyy-mm-dd"),IF($A68="","",IF($D68="Lisbonne","",IF(SUMPRODUCT(('Formation Initiale'!$A$2:$A$999=$A68)*('Formation Initiale'!$R$2:$R$999="Terminé"))&gt;0,"✓",IF(SUMPRODUCT(MAX(('Formation Initiale'!$A$2:$A$999=$A68)*'Formation Initiale'!$G$2:$G$999))&gt;0,TEXT(SUMPRODUCT(MAX(('Formation Initiale'!$A$2:$A$999=$A68)*'Formation Initiale'!$G$2:$G$999)),"yyyy-mm-dd"),""))))))</f>
        <v>✓</v>
      </c>
      <c r="G68" s="131" t="str">
        <f aca="false">IF($Q68="✓","✓",IF(ISNUMBER($Q68),TEXT($Q68,"yyyy-mm-dd"),IF($A68="","",IF(SUMPRODUCT(('Agences &amp; Après-vente'!$A$2:$A$1000=$A68)*(('Agences &amp; Après-vente'!$D$2:$D$1000="Agences")+('Agences &amp; Après-vente'!$D$2:$D$1000="Agences et Après-vente"))*('Agences &amp; Après-vente'!$I$2:$I$1000="DONE"))&gt;0,"✓",IF(SUMPRODUCT(MAX(('Agences &amp; Après-vente'!$A$2:$A$1000=$A68)*(('Agences &amp; Après-vente'!$D$2:$D$1000="Agences")+('Agences &amp; Après-vente'!$D$2:$D$1000="Agences et Après-vente"))*'Agences &amp; Après-vente'!$E$2:$E$1000))&gt;0,TEXT(SUMPRODUCT(MAX(('Agences &amp; Après-vente'!$A$2:$A$1000=$A68)*(('Agences &amp; Après-vente'!$D$2:$D$1000="Agences")+('Agences &amp; Après-vente'!$D$2:$D$1000="Agences et Après-vente"))*'Agences &amp; Après-vente'!$E$2:$E$1000)),"yyyy-mm-dd"),"")))))</f>
        <v>✓</v>
      </c>
      <c r="H68" s="131" t="str">
        <f aca="false">IF($R68="✓","✓",IF(ISNUMBER($R68),TEXT($R68,"yyyy-mm-dd"),IF($A68="","",IF($D68="Lisbonne","",IF(SUMPRODUCT(('Agences &amp; Après-vente'!$A$2:$A$1000=$A68)*(('Agences &amp; Après-vente'!$D$2:$D$1000="Agences")+('Agences &amp; Après-vente'!$D$2:$D$1000="Agences et Après-vente"))*('Agences &amp; Après-vente'!$I$2:$I$1000="DONE"))&gt;0,"✓",IF(SUMPRODUCT(MAX(('Agences &amp; Après-vente'!$A$2:$A$1000=$A68)*(('Agences &amp; Après-vente'!$D$2:$D$1000="Agences")+('Agences &amp; Après-vente'!$D$2:$D$1000="Agences et Après-vente"))*'Agences &amp; Après-vente'!$E$2:$E$1000))&gt;0,TEXT(SUMPRODUCT(MAX(('Agences &amp; Après-vente'!$A$2:$A$1000=$A68)*(('Agences &amp; Après-vente'!$D$2:$D$1000="Agences")+('Agences &amp; Après-vente'!$D$2:$D$1000="Agences et Après-vente"))*'Agences &amp; Après-vente'!$E$2:$E$1000)),"yyyy-mm-dd"),""))))))</f>
        <v>✓</v>
      </c>
      <c r="I68" s="131" t="str">
        <f aca="false">IF($S68="✓","✓",IF(ISNUMBER($S68),TEXT($S68,"yyyy-mm-dd"),IF($A68="","",IF(SUMPRODUCT(('Agences &amp; Après-vente'!$A$2:$A$1000=$A68)*(('Agences &amp; Après-vente'!$D$2:$D$1000="Après-vente")+('Agences &amp; Après-vente'!$D$2:$D$1000="Agences et Après-vente"))*('Agences &amp; Après-vente'!$I$2:$I$1000="DONE"))&gt;0,"✓",IF(SUMPRODUCT(MAX(('Agences &amp; Après-vente'!$A$2:$A$1000=$A68)*(('Agences &amp; Après-vente'!$D$2:$D$1000="Après-vente")+('Agences &amp; Après-vente'!$D$2:$D$1000="Agences et Après-vente"))*'Agences &amp; Après-vente'!$E$2:$E$1000))&gt;0,TEXT(SUMPRODUCT(MAX(('Agences &amp; Après-vente'!$A$2:$A$1000=$A68)*(('Agences &amp; Après-vente'!$D$2:$D$1000="Après-vente")+('Agences &amp; Après-vente'!$D$2:$D$1000="Agences et Après-vente"))*'Agences &amp; Après-vente'!$E$2:$E$1000)),"yyyy-mm-dd"),"")))))</f>
        <v>✓</v>
      </c>
      <c r="J68" s="131" t="str">
        <f aca="false">IF($T68="✓","✓",IF(ISNUMBER($T68),TEXT($T68,"yyyy-mm-dd"),IF($A68="","",IF($D68="Lisbonne","",IF(SUMPRODUCT(('Agences &amp; Après-vente'!$A$2:$A$1000=$A68)*(('Agences &amp; Après-vente'!$D$2:$D$1000="Après-vente")+('Agences &amp; Après-vente'!$D$2:$D$1000="Agences et Après-vente"))*('Agences &amp; Après-vente'!$I$2:$I$1000="DONE"))&gt;0,"✓",IF(SUMPRODUCT(MAX(('Agences &amp; Après-vente'!$A$2:$A$1000=$A68)*(('Agences &amp; Après-vente'!$D$2:$D$1000="Après-vente")+('Agences &amp; Après-vente'!$D$2:$D$1000="Agences et Après-vente"))*'Agences &amp; Après-vente'!$E$2:$E$1000))&gt;0,TEXT(SUMPRODUCT(MAX(('Agences &amp; Après-vente'!$A$2:$A$1000=$A68)*(('Agences &amp; Après-vente'!$D$2:$D$1000="Après-vente")+('Agences &amp; Après-vente'!$D$2:$D$1000="Agences et Après-vente"))*'Agences &amp; Après-vente'!$E$2:$E$1000)),"yyyy-mm-dd"),""))))))</f>
        <v>✓</v>
      </c>
      <c r="K68" s="131" t="str">
        <f aca="false">IF($U68="✓","✓",IF(ISNUMBER($U68),TEXT($U68,"yyyy-mm-dd"),IF($D68="Lisbonne","",IF($A68="","",IF(SUMPRODUCT((Evermont!$A$2:$A$1000=$A68)*(Evermont!$Q$2:$Q$1000="Terminé"))&gt;0,"✓",IF(SUMPRODUCT(MAX((Evermont!$A$2:$A$1000=$A68)*Evermont!$F$2:$F$1000))&gt;0,TEXT(SUMPRODUCT(MAX((Evermont!$A$2:$A$1000=$A68)*Evermont!$F$2:$F$1000)),"yyyy-mm-dd"),""))))))</f>
        <v>✓</v>
      </c>
      <c r="L68" s="132" t="n">
        <f aca="false">IF($A68="","",COUNTIF(E68:K68,"✓"))</f>
        <v>7</v>
      </c>
      <c r="M68" s="133" t="s">
        <v>172</v>
      </c>
      <c r="O68" s="134" t="s">
        <v>173</v>
      </c>
      <c r="P68" s="134" t="s">
        <v>173</v>
      </c>
      <c r="Q68" s="134" t="s">
        <v>173</v>
      </c>
      <c r="R68" s="134" t="s">
        <v>173</v>
      </c>
      <c r="S68" s="134"/>
      <c r="T68" s="134"/>
      <c r="U68" s="134" t="s">
        <v>173</v>
      </c>
      <c r="W68" s="135" t="str">
        <f aca="false">IF($A68="","",IF($X68&lt;&gt;"",$X68,IFERROR(INDEX('Formation Initiale'!$B$2:$B$999,MATCH($A68,'Formation Initiale'!$A$2:$A$999,0)),"Général")))</f>
        <v>Général</v>
      </c>
      <c r="X68" s="136"/>
    </row>
    <row r="69" customFormat="false" ht="18" hidden="true" customHeight="true" outlineLevel="0" collapsed="false">
      <c r="A69" s="127" t="s">
        <v>373</v>
      </c>
      <c r="B69" s="128" t="s">
        <v>374</v>
      </c>
      <c r="C69" s="128" t="s">
        <v>375</v>
      </c>
      <c r="D69" s="129" t="s">
        <v>171</v>
      </c>
      <c r="E69" s="130" t="str">
        <f aca="false">IF($O69="✓","✓",IF(ISNUMBER($O69),TEXT($O69,"yyyy-mm-dd"),IF($A69="","",IF(SUMPRODUCT(('Formation Initiale'!$A$2:$A$999=$A69)*('Formation Initiale'!$R$2:$R$999="Terminé"))&gt;0,"✓",IF(SUMPRODUCT(MAX(('Formation Initiale'!$A$2:$A$999=$A69)*'Formation Initiale'!$G$2:$G$999))&gt;0,TEXT(SUMPRODUCT(MAX(('Formation Initiale'!$A$2:$A$999=$A69)*'Formation Initiale'!$G$2:$G$999)),"yyyy-mm-dd"),"")))))</f>
        <v>✓</v>
      </c>
      <c r="F69" s="131" t="str">
        <f aca="false">IF($P69="✓","✓",IF(ISNUMBER($P69),TEXT($P69,"yyyy-mm-dd"),IF($A69="","",IF($D69="Lisbonne","",IF(SUMPRODUCT(('Formation Initiale'!$A$2:$A$999=$A69)*('Formation Initiale'!$R$2:$R$999="Terminé"))&gt;0,"✓",IF(SUMPRODUCT(MAX(('Formation Initiale'!$A$2:$A$999=$A69)*'Formation Initiale'!$G$2:$G$999))&gt;0,TEXT(SUMPRODUCT(MAX(('Formation Initiale'!$A$2:$A$999=$A69)*'Formation Initiale'!$G$2:$G$999)),"yyyy-mm-dd"),""))))))</f>
        <v>✓</v>
      </c>
      <c r="G69" s="131" t="str">
        <f aca="false">IF($Q69="✓","✓",IF(ISNUMBER($Q69),TEXT($Q69,"yyyy-mm-dd"),IF($A69="","",IF(SUMPRODUCT(('Agences &amp; Après-vente'!$A$2:$A$1000=$A69)*(('Agences &amp; Après-vente'!$D$2:$D$1000="Agences")+('Agences &amp; Après-vente'!$D$2:$D$1000="Agences et Après-vente"))*('Agences &amp; Après-vente'!$I$2:$I$1000="DONE"))&gt;0,"✓",IF(SUMPRODUCT(MAX(('Agences &amp; Après-vente'!$A$2:$A$1000=$A69)*(('Agences &amp; Après-vente'!$D$2:$D$1000="Agences")+('Agences &amp; Après-vente'!$D$2:$D$1000="Agences et Après-vente"))*'Agences &amp; Après-vente'!$E$2:$E$1000))&gt;0,TEXT(SUMPRODUCT(MAX(('Agences &amp; Après-vente'!$A$2:$A$1000=$A69)*(('Agences &amp; Après-vente'!$D$2:$D$1000="Agences")+('Agences &amp; Après-vente'!$D$2:$D$1000="Agences et Après-vente"))*'Agences &amp; Après-vente'!$E$2:$E$1000)),"yyyy-mm-dd"),"")))))</f>
        <v>✓</v>
      </c>
      <c r="H69" s="131" t="str">
        <f aca="false">IF($R69="✓","✓",IF(ISNUMBER($R69),TEXT($R69,"yyyy-mm-dd"),IF($A69="","",IF($D69="Lisbonne","",IF(SUMPRODUCT(('Agences &amp; Après-vente'!$A$2:$A$1000=$A69)*(('Agences &amp; Après-vente'!$D$2:$D$1000="Agences")+('Agences &amp; Après-vente'!$D$2:$D$1000="Agences et Après-vente"))*('Agences &amp; Après-vente'!$I$2:$I$1000="DONE"))&gt;0,"✓",IF(SUMPRODUCT(MAX(('Agences &amp; Après-vente'!$A$2:$A$1000=$A69)*(('Agences &amp; Après-vente'!$D$2:$D$1000="Agences")+('Agences &amp; Après-vente'!$D$2:$D$1000="Agences et Après-vente"))*'Agences &amp; Après-vente'!$E$2:$E$1000))&gt;0,TEXT(SUMPRODUCT(MAX(('Agences &amp; Après-vente'!$A$2:$A$1000=$A69)*(('Agences &amp; Après-vente'!$D$2:$D$1000="Agences")+('Agences &amp; Après-vente'!$D$2:$D$1000="Agences et Après-vente"))*'Agences &amp; Après-vente'!$E$2:$E$1000)),"yyyy-mm-dd"),""))))))</f>
        <v>✓</v>
      </c>
      <c r="I69" s="131" t="str">
        <f aca="false">IF($S69="✓","✓",IF(ISNUMBER($S69),TEXT($S69,"yyyy-mm-dd"),IF($A69="","",IF(SUMPRODUCT(('Agences &amp; Après-vente'!$A$2:$A$1000=$A69)*(('Agences &amp; Après-vente'!$D$2:$D$1000="Après-vente")+('Agences &amp; Après-vente'!$D$2:$D$1000="Agences et Après-vente"))*('Agences &amp; Après-vente'!$I$2:$I$1000="DONE"))&gt;0,"✓",IF(SUMPRODUCT(MAX(('Agences &amp; Après-vente'!$A$2:$A$1000=$A69)*(('Agences &amp; Après-vente'!$D$2:$D$1000="Après-vente")+('Agences &amp; Après-vente'!$D$2:$D$1000="Agences et Après-vente"))*'Agences &amp; Après-vente'!$E$2:$E$1000))&gt;0,TEXT(SUMPRODUCT(MAX(('Agences &amp; Après-vente'!$A$2:$A$1000=$A69)*(('Agences &amp; Après-vente'!$D$2:$D$1000="Après-vente")+('Agences &amp; Après-vente'!$D$2:$D$1000="Agences et Après-vente"))*'Agences &amp; Après-vente'!$E$2:$E$1000)),"yyyy-mm-dd"),"")))))</f>
        <v>✓</v>
      </c>
      <c r="J69" s="131" t="str">
        <f aca="false">IF($T69="✓","✓",IF(ISNUMBER($T69),TEXT($T69,"yyyy-mm-dd"),IF($A69="","",IF($D69="Lisbonne","",IF(SUMPRODUCT(('Agences &amp; Après-vente'!$A$2:$A$1000=$A69)*(('Agences &amp; Après-vente'!$D$2:$D$1000="Après-vente")+('Agences &amp; Après-vente'!$D$2:$D$1000="Agences et Après-vente"))*('Agences &amp; Après-vente'!$I$2:$I$1000="DONE"))&gt;0,"✓",IF(SUMPRODUCT(MAX(('Agences &amp; Après-vente'!$A$2:$A$1000=$A69)*(('Agences &amp; Après-vente'!$D$2:$D$1000="Après-vente")+('Agences &amp; Après-vente'!$D$2:$D$1000="Agences et Après-vente"))*'Agences &amp; Après-vente'!$E$2:$E$1000))&gt;0,TEXT(SUMPRODUCT(MAX(('Agences &amp; Après-vente'!$A$2:$A$1000=$A69)*(('Agences &amp; Après-vente'!$D$2:$D$1000="Après-vente")+('Agences &amp; Après-vente'!$D$2:$D$1000="Agences et Après-vente"))*'Agences &amp; Après-vente'!$E$2:$E$1000)),"yyyy-mm-dd"),""))))))</f>
        <v>✓</v>
      </c>
      <c r="K69" s="131" t="str">
        <f aca="false">IF($U69="✓","✓",IF(ISNUMBER($U69),TEXT($U69,"yyyy-mm-dd"),IF($D69="Lisbonne","",IF($A69="","",IF(SUMPRODUCT((Evermont!$A$2:$A$1000=$A69)*(Evermont!$Q$2:$Q$1000="Terminé"))&gt;0,"✓",IF(SUMPRODUCT(MAX((Evermont!$A$2:$A$1000=$A69)*Evermont!$F$2:$F$1000))&gt;0,TEXT(SUMPRODUCT(MAX((Evermont!$A$2:$A$1000=$A69)*Evermont!$F$2:$F$1000)),"yyyy-mm-dd"),""))))))</f>
        <v>✓</v>
      </c>
      <c r="L69" s="132" t="n">
        <f aca="false">IF($A69="","",COUNTIF(E69:K69,"✓"))</f>
        <v>7</v>
      </c>
      <c r="M69" s="133" t="s">
        <v>172</v>
      </c>
      <c r="O69" s="134" t="s">
        <v>173</v>
      </c>
      <c r="P69" s="134" t="s">
        <v>173</v>
      </c>
      <c r="Q69" s="134" t="s">
        <v>173</v>
      </c>
      <c r="R69" s="134" t="s">
        <v>173</v>
      </c>
      <c r="S69" s="134"/>
      <c r="T69" s="134"/>
      <c r="U69" s="134" t="s">
        <v>173</v>
      </c>
      <c r="W69" s="135" t="str">
        <f aca="false">IF($A69="","",IF($X69&lt;&gt;"",$X69,IFERROR(INDEX('Formation Initiale'!$B$2:$B$999,MATCH($A69,'Formation Initiale'!$A$2:$A$999,0)),"Général")))</f>
        <v>Général</v>
      </c>
      <c r="X69" s="136"/>
    </row>
    <row r="70" customFormat="false" ht="18" hidden="true" customHeight="true" outlineLevel="0" collapsed="false">
      <c r="A70" s="127" t="s">
        <v>376</v>
      </c>
      <c r="B70" s="128" t="s">
        <v>377</v>
      </c>
      <c r="C70" s="128" t="s">
        <v>378</v>
      </c>
      <c r="D70" s="129" t="s">
        <v>171</v>
      </c>
      <c r="E70" s="130" t="str">
        <f aca="false">IF($O70="✓","✓",IF(ISNUMBER($O70),TEXT($O70,"yyyy-mm-dd"),IF($A70="","",IF(SUMPRODUCT(('Formation Initiale'!$A$2:$A$999=$A70)*('Formation Initiale'!$R$2:$R$999="Terminé"))&gt;0,"✓",IF(SUMPRODUCT(MAX(('Formation Initiale'!$A$2:$A$999=$A70)*'Formation Initiale'!$G$2:$G$999))&gt;0,TEXT(SUMPRODUCT(MAX(('Formation Initiale'!$A$2:$A$999=$A70)*'Formation Initiale'!$G$2:$G$999)),"yyyy-mm-dd"),"")))))</f>
        <v>✓</v>
      </c>
      <c r="F70" s="131" t="str">
        <f aca="false">IF($P70="✓","✓",IF(ISNUMBER($P70),TEXT($P70,"yyyy-mm-dd"),IF($A70="","",IF($D70="Lisbonne","",IF(SUMPRODUCT(('Formation Initiale'!$A$2:$A$999=$A70)*('Formation Initiale'!$R$2:$R$999="Terminé"))&gt;0,"✓",IF(SUMPRODUCT(MAX(('Formation Initiale'!$A$2:$A$999=$A70)*'Formation Initiale'!$G$2:$G$999))&gt;0,TEXT(SUMPRODUCT(MAX(('Formation Initiale'!$A$2:$A$999=$A70)*'Formation Initiale'!$G$2:$G$999)),"yyyy-mm-dd"),""))))))</f>
        <v>✓</v>
      </c>
      <c r="G70" s="131" t="str">
        <f aca="false">IF($Q70="✓","✓",IF(ISNUMBER($Q70),TEXT($Q70,"yyyy-mm-dd"),IF($A70="","",IF(SUMPRODUCT(('Agences &amp; Après-vente'!$A$2:$A$1000=$A70)*(('Agences &amp; Après-vente'!$D$2:$D$1000="Agences")+('Agences &amp; Après-vente'!$D$2:$D$1000="Agences et Après-vente"))*('Agences &amp; Après-vente'!$I$2:$I$1000="DONE"))&gt;0,"✓",IF(SUMPRODUCT(MAX(('Agences &amp; Après-vente'!$A$2:$A$1000=$A70)*(('Agences &amp; Après-vente'!$D$2:$D$1000="Agences")+('Agences &amp; Après-vente'!$D$2:$D$1000="Agences et Après-vente"))*'Agences &amp; Après-vente'!$E$2:$E$1000))&gt;0,TEXT(SUMPRODUCT(MAX(('Agences &amp; Après-vente'!$A$2:$A$1000=$A70)*(('Agences &amp; Après-vente'!$D$2:$D$1000="Agences")+('Agences &amp; Après-vente'!$D$2:$D$1000="Agences et Après-vente"))*'Agences &amp; Après-vente'!$E$2:$E$1000)),"yyyy-mm-dd"),"")))))</f>
        <v>✓</v>
      </c>
      <c r="H70" s="131" t="str">
        <f aca="false">IF($R70="✓","✓",IF(ISNUMBER($R70),TEXT($R70,"yyyy-mm-dd"),IF($A70="","",IF($D70="Lisbonne","",IF(SUMPRODUCT(('Agences &amp; Après-vente'!$A$2:$A$1000=$A70)*(('Agences &amp; Après-vente'!$D$2:$D$1000="Agences")+('Agences &amp; Après-vente'!$D$2:$D$1000="Agences et Après-vente"))*('Agences &amp; Après-vente'!$I$2:$I$1000="DONE"))&gt;0,"✓",IF(SUMPRODUCT(MAX(('Agences &amp; Après-vente'!$A$2:$A$1000=$A70)*(('Agences &amp; Après-vente'!$D$2:$D$1000="Agences")+('Agences &amp; Après-vente'!$D$2:$D$1000="Agences et Après-vente"))*'Agences &amp; Après-vente'!$E$2:$E$1000))&gt;0,TEXT(SUMPRODUCT(MAX(('Agences &amp; Après-vente'!$A$2:$A$1000=$A70)*(('Agences &amp; Après-vente'!$D$2:$D$1000="Agences")+('Agences &amp; Après-vente'!$D$2:$D$1000="Agences et Après-vente"))*'Agences &amp; Après-vente'!$E$2:$E$1000)),"yyyy-mm-dd"),""))))))</f>
        <v>✓</v>
      </c>
      <c r="I70" s="131" t="str">
        <f aca="false">IF($S70="✓","✓",IF(ISNUMBER($S70),TEXT($S70,"yyyy-mm-dd"),IF($A70="","",IF(SUMPRODUCT(('Agences &amp; Après-vente'!$A$2:$A$1000=$A70)*(('Agences &amp; Après-vente'!$D$2:$D$1000="Après-vente")+('Agences &amp; Après-vente'!$D$2:$D$1000="Agences et Après-vente"))*('Agences &amp; Après-vente'!$I$2:$I$1000="DONE"))&gt;0,"✓",IF(SUMPRODUCT(MAX(('Agences &amp; Après-vente'!$A$2:$A$1000=$A70)*(('Agences &amp; Après-vente'!$D$2:$D$1000="Après-vente")+('Agences &amp; Après-vente'!$D$2:$D$1000="Agences et Après-vente"))*'Agences &amp; Après-vente'!$E$2:$E$1000))&gt;0,TEXT(SUMPRODUCT(MAX(('Agences &amp; Après-vente'!$A$2:$A$1000=$A70)*(('Agences &amp; Après-vente'!$D$2:$D$1000="Après-vente")+('Agences &amp; Après-vente'!$D$2:$D$1000="Agences et Après-vente"))*'Agences &amp; Après-vente'!$E$2:$E$1000)),"yyyy-mm-dd"),"")))))</f>
        <v>✓</v>
      </c>
      <c r="J70" s="131" t="str">
        <f aca="false">IF($T70="✓","✓",IF(ISNUMBER($T70),TEXT($T70,"yyyy-mm-dd"),IF($A70="","",IF($D70="Lisbonne","",IF(SUMPRODUCT(('Agences &amp; Après-vente'!$A$2:$A$1000=$A70)*(('Agences &amp; Après-vente'!$D$2:$D$1000="Après-vente")+('Agences &amp; Après-vente'!$D$2:$D$1000="Agences et Après-vente"))*('Agences &amp; Après-vente'!$I$2:$I$1000="DONE"))&gt;0,"✓",IF(SUMPRODUCT(MAX(('Agences &amp; Après-vente'!$A$2:$A$1000=$A70)*(('Agences &amp; Après-vente'!$D$2:$D$1000="Après-vente")+('Agences &amp; Après-vente'!$D$2:$D$1000="Agences et Après-vente"))*'Agences &amp; Après-vente'!$E$2:$E$1000))&gt;0,TEXT(SUMPRODUCT(MAX(('Agences &amp; Après-vente'!$A$2:$A$1000=$A70)*(('Agences &amp; Après-vente'!$D$2:$D$1000="Après-vente")+('Agences &amp; Après-vente'!$D$2:$D$1000="Agences et Après-vente"))*'Agences &amp; Après-vente'!$E$2:$E$1000)),"yyyy-mm-dd"),""))))))</f>
        <v>✓</v>
      </c>
      <c r="K70" s="131" t="str">
        <f aca="false">IF($U70="✓","✓",IF(ISNUMBER($U70),TEXT($U70,"yyyy-mm-dd"),IF($D70="Lisbonne","",IF($A70="","",IF(SUMPRODUCT((Evermont!$A$2:$A$1000=$A70)*(Evermont!$Q$2:$Q$1000="Terminé"))&gt;0,"✓",IF(SUMPRODUCT(MAX((Evermont!$A$2:$A$1000=$A70)*Evermont!$F$2:$F$1000))&gt;0,TEXT(SUMPRODUCT(MAX((Evermont!$A$2:$A$1000=$A70)*Evermont!$F$2:$F$1000)),"yyyy-mm-dd"),""))))))</f>
        <v>✓</v>
      </c>
      <c r="L70" s="132" t="n">
        <f aca="false">IF($A70="","",COUNTIF(E70:K70,"✓"))</f>
        <v>7</v>
      </c>
      <c r="M70" s="133" t="s">
        <v>172</v>
      </c>
      <c r="O70" s="134" t="s">
        <v>173</v>
      </c>
      <c r="P70" s="134" t="s">
        <v>173</v>
      </c>
      <c r="Q70" s="134" t="s">
        <v>173</v>
      </c>
      <c r="R70" s="134" t="s">
        <v>173</v>
      </c>
      <c r="S70" s="134" t="s">
        <v>173</v>
      </c>
      <c r="T70" s="134" t="s">
        <v>173</v>
      </c>
      <c r="U70" s="134" t="s">
        <v>173</v>
      </c>
      <c r="W70" s="135" t="str">
        <f aca="false">IF($A70="","",IF($X70&lt;&gt;"",$X70,IFERROR(INDEX('Formation Initiale'!$B$2:$B$999,MATCH($A70,'Formation Initiale'!$A$2:$A$999,0)),"Général")))</f>
        <v>Général</v>
      </c>
      <c r="X70" s="136"/>
    </row>
    <row r="71" customFormat="false" ht="18" hidden="true" customHeight="true" outlineLevel="0" collapsed="false">
      <c r="A71" s="127" t="s">
        <v>379</v>
      </c>
      <c r="B71" s="128" t="s">
        <v>380</v>
      </c>
      <c r="C71" s="128" t="s">
        <v>381</v>
      </c>
      <c r="D71" s="129" t="s">
        <v>171</v>
      </c>
      <c r="E71" s="130" t="str">
        <f aca="false">IF($O71="✓","✓",IF(ISNUMBER($O71),TEXT($O71,"yyyy-mm-dd"),IF($A71="","",IF(SUMPRODUCT(('Formation Initiale'!$A$2:$A$999=$A71)*('Formation Initiale'!$R$2:$R$999="Terminé"))&gt;0,"✓",IF(SUMPRODUCT(MAX(('Formation Initiale'!$A$2:$A$999=$A71)*'Formation Initiale'!$G$2:$G$999))&gt;0,TEXT(SUMPRODUCT(MAX(('Formation Initiale'!$A$2:$A$999=$A71)*'Formation Initiale'!$G$2:$G$999)),"yyyy-mm-dd"),"")))))</f>
        <v>✓</v>
      </c>
      <c r="F71" s="131" t="str">
        <f aca="false">IF($P71="✓","✓",IF(ISNUMBER($P71),TEXT($P71,"yyyy-mm-dd"),IF($A71="","",IF($D71="Lisbonne","",IF(SUMPRODUCT(('Formation Initiale'!$A$2:$A$999=$A71)*('Formation Initiale'!$R$2:$R$999="Terminé"))&gt;0,"✓",IF(SUMPRODUCT(MAX(('Formation Initiale'!$A$2:$A$999=$A71)*'Formation Initiale'!$G$2:$G$999))&gt;0,TEXT(SUMPRODUCT(MAX(('Formation Initiale'!$A$2:$A$999=$A71)*'Formation Initiale'!$G$2:$G$999)),"yyyy-mm-dd"),""))))))</f>
        <v>✓</v>
      </c>
      <c r="G71" s="131" t="str">
        <f aca="false">IF($Q71="✓","✓",IF(ISNUMBER($Q71),TEXT($Q71,"yyyy-mm-dd"),IF($A71="","",IF(SUMPRODUCT(('Agences &amp; Après-vente'!$A$2:$A$1000=$A71)*(('Agences &amp; Après-vente'!$D$2:$D$1000="Agences")+('Agences &amp; Après-vente'!$D$2:$D$1000="Agences et Après-vente"))*('Agences &amp; Après-vente'!$I$2:$I$1000="DONE"))&gt;0,"✓",IF(SUMPRODUCT(MAX(('Agences &amp; Après-vente'!$A$2:$A$1000=$A71)*(('Agences &amp; Après-vente'!$D$2:$D$1000="Agences")+('Agences &amp; Après-vente'!$D$2:$D$1000="Agences et Après-vente"))*'Agences &amp; Après-vente'!$E$2:$E$1000))&gt;0,TEXT(SUMPRODUCT(MAX(('Agences &amp; Après-vente'!$A$2:$A$1000=$A71)*(('Agences &amp; Après-vente'!$D$2:$D$1000="Agences")+('Agences &amp; Après-vente'!$D$2:$D$1000="Agences et Après-vente"))*'Agences &amp; Après-vente'!$E$2:$E$1000)),"yyyy-mm-dd"),"")))))</f>
        <v>✓</v>
      </c>
      <c r="H71" s="131" t="str">
        <f aca="false">IF($R71="✓","✓",IF(ISNUMBER($R71),TEXT($R71,"yyyy-mm-dd"),IF($A71="","",IF($D71="Lisbonne","",IF(SUMPRODUCT(('Agences &amp; Après-vente'!$A$2:$A$1000=$A71)*(('Agences &amp; Après-vente'!$D$2:$D$1000="Agences")+('Agences &amp; Après-vente'!$D$2:$D$1000="Agences et Après-vente"))*('Agences &amp; Après-vente'!$I$2:$I$1000="DONE"))&gt;0,"✓",IF(SUMPRODUCT(MAX(('Agences &amp; Après-vente'!$A$2:$A$1000=$A71)*(('Agences &amp; Après-vente'!$D$2:$D$1000="Agences")+('Agences &amp; Après-vente'!$D$2:$D$1000="Agences et Après-vente"))*'Agences &amp; Après-vente'!$E$2:$E$1000))&gt;0,TEXT(SUMPRODUCT(MAX(('Agences &amp; Après-vente'!$A$2:$A$1000=$A71)*(('Agences &amp; Après-vente'!$D$2:$D$1000="Agences")+('Agences &amp; Après-vente'!$D$2:$D$1000="Agences et Après-vente"))*'Agences &amp; Après-vente'!$E$2:$E$1000)),"yyyy-mm-dd"),""))))))</f>
        <v>✓</v>
      </c>
      <c r="I71" s="131" t="str">
        <f aca="false">IF($S71="✓","✓",IF(ISNUMBER($S71),TEXT($S71,"yyyy-mm-dd"),IF($A71="","",IF(SUMPRODUCT(('Agences &amp; Après-vente'!$A$2:$A$1000=$A71)*(('Agences &amp; Après-vente'!$D$2:$D$1000="Après-vente")+('Agences &amp; Après-vente'!$D$2:$D$1000="Agences et Après-vente"))*('Agences &amp; Après-vente'!$I$2:$I$1000="DONE"))&gt;0,"✓",IF(SUMPRODUCT(MAX(('Agences &amp; Après-vente'!$A$2:$A$1000=$A71)*(('Agences &amp; Après-vente'!$D$2:$D$1000="Après-vente")+('Agences &amp; Après-vente'!$D$2:$D$1000="Agences et Après-vente"))*'Agences &amp; Après-vente'!$E$2:$E$1000))&gt;0,TEXT(SUMPRODUCT(MAX(('Agences &amp; Après-vente'!$A$2:$A$1000=$A71)*(('Agences &amp; Après-vente'!$D$2:$D$1000="Après-vente")+('Agences &amp; Après-vente'!$D$2:$D$1000="Agences et Après-vente"))*'Agences &amp; Après-vente'!$E$2:$E$1000)),"yyyy-mm-dd"),"")))))</f>
        <v>✓</v>
      </c>
      <c r="J71" s="131" t="str">
        <f aca="false">IF($T71="✓","✓",IF(ISNUMBER($T71),TEXT($T71,"yyyy-mm-dd"),IF($A71="","",IF($D71="Lisbonne","",IF(SUMPRODUCT(('Agences &amp; Après-vente'!$A$2:$A$1000=$A71)*(('Agences &amp; Après-vente'!$D$2:$D$1000="Après-vente")+('Agences &amp; Après-vente'!$D$2:$D$1000="Agences et Après-vente"))*('Agences &amp; Après-vente'!$I$2:$I$1000="DONE"))&gt;0,"✓",IF(SUMPRODUCT(MAX(('Agences &amp; Après-vente'!$A$2:$A$1000=$A71)*(('Agences &amp; Après-vente'!$D$2:$D$1000="Après-vente")+('Agences &amp; Après-vente'!$D$2:$D$1000="Agences et Après-vente"))*'Agences &amp; Après-vente'!$E$2:$E$1000))&gt;0,TEXT(SUMPRODUCT(MAX(('Agences &amp; Après-vente'!$A$2:$A$1000=$A71)*(('Agences &amp; Après-vente'!$D$2:$D$1000="Après-vente")+('Agences &amp; Après-vente'!$D$2:$D$1000="Agences et Après-vente"))*'Agences &amp; Après-vente'!$E$2:$E$1000)),"yyyy-mm-dd"),""))))))</f>
        <v>✓</v>
      </c>
      <c r="K71" s="131" t="str">
        <f aca="false">IF($U71="✓","✓",IF(ISNUMBER($U71),TEXT($U71,"yyyy-mm-dd"),IF($D71="Lisbonne","",IF($A71="","",IF(SUMPRODUCT((Evermont!$A$2:$A$1000=$A71)*(Evermont!$Q$2:$Q$1000="Terminé"))&gt;0,"✓",IF(SUMPRODUCT(MAX((Evermont!$A$2:$A$1000=$A71)*Evermont!$F$2:$F$1000))&gt;0,TEXT(SUMPRODUCT(MAX((Evermont!$A$2:$A$1000=$A71)*Evermont!$F$2:$F$1000)),"yyyy-mm-dd"),""))))))</f>
        <v>✓</v>
      </c>
      <c r="L71" s="132" t="n">
        <f aca="false">IF($A71="","",COUNTIF(E71:K71,"✓"))</f>
        <v>7</v>
      </c>
      <c r="M71" s="133" t="s">
        <v>172</v>
      </c>
      <c r="O71" s="134" t="s">
        <v>173</v>
      </c>
      <c r="P71" s="134" t="s">
        <v>173</v>
      </c>
      <c r="Q71" s="134" t="s">
        <v>173</v>
      </c>
      <c r="R71" s="134" t="s">
        <v>173</v>
      </c>
      <c r="S71" s="134"/>
      <c r="T71" s="134"/>
      <c r="U71" s="134" t="s">
        <v>173</v>
      </c>
      <c r="W71" s="135" t="str">
        <f aca="false">IF($A71="","",IF($X71&lt;&gt;"",$X71,IFERROR(INDEX('Formation Initiale'!$B$2:$B$999,MATCH($A71,'Formation Initiale'!$A$2:$A$999,0)),"Général")))</f>
        <v>Général</v>
      </c>
      <c r="X71" s="136"/>
    </row>
    <row r="72" customFormat="false" ht="18" hidden="true" customHeight="true" outlineLevel="0" collapsed="false">
      <c r="A72" s="137" t="s">
        <v>382</v>
      </c>
      <c r="B72" s="128" t="s">
        <v>383</v>
      </c>
      <c r="C72" s="128" t="s">
        <v>384</v>
      </c>
      <c r="D72" s="129" t="s">
        <v>171</v>
      </c>
      <c r="E72" s="130" t="str">
        <f aca="false">IF($O72="✓","✓",IF(ISNUMBER($O72),TEXT($O72,"yyyy-mm-dd"),IF($A72="","",IF(SUMPRODUCT(('Formation Initiale'!$A$2:$A$999=$A72)*('Formation Initiale'!$R$2:$R$999="Terminé"))&gt;0,"✓",IF(SUMPRODUCT(MAX(('Formation Initiale'!$A$2:$A$999=$A72)*'Formation Initiale'!$G$2:$G$999))&gt;0,TEXT(SUMPRODUCT(MAX(('Formation Initiale'!$A$2:$A$999=$A72)*'Formation Initiale'!$G$2:$G$999)),"yyyy-mm-dd"),"")))))</f>
        <v>✓</v>
      </c>
      <c r="F72" s="131" t="str">
        <f aca="false">IF($P72="✓","✓",IF(ISNUMBER($P72),TEXT($P72,"yyyy-mm-dd"),IF($A72="","",IF($D72="Lisbonne","",IF(SUMPRODUCT(('Formation Initiale'!$A$2:$A$999=$A72)*('Formation Initiale'!$R$2:$R$999="Terminé"))&gt;0,"✓",IF(SUMPRODUCT(MAX(('Formation Initiale'!$A$2:$A$999=$A72)*'Formation Initiale'!$G$2:$G$999))&gt;0,TEXT(SUMPRODUCT(MAX(('Formation Initiale'!$A$2:$A$999=$A72)*'Formation Initiale'!$G$2:$G$999)),"yyyy-mm-dd"),""))))))</f>
        <v>✓</v>
      </c>
      <c r="G72" s="131" t="str">
        <f aca="false">IF($Q72="✓","✓",IF(ISNUMBER($Q72),TEXT($Q72,"yyyy-mm-dd"),IF($A72="","",IF(SUMPRODUCT(('Agences &amp; Après-vente'!$A$2:$A$1000=$A72)*(('Agences &amp; Après-vente'!$D$2:$D$1000="Agences")+('Agences &amp; Après-vente'!$D$2:$D$1000="Agences et Après-vente"))*('Agences &amp; Après-vente'!$I$2:$I$1000="DONE"))&gt;0,"✓",IF(SUMPRODUCT(MAX(('Agences &amp; Après-vente'!$A$2:$A$1000=$A72)*(('Agences &amp; Après-vente'!$D$2:$D$1000="Agences")+('Agences &amp; Après-vente'!$D$2:$D$1000="Agences et Après-vente"))*'Agences &amp; Après-vente'!$E$2:$E$1000))&gt;0,TEXT(SUMPRODUCT(MAX(('Agences &amp; Après-vente'!$A$2:$A$1000=$A72)*(('Agences &amp; Après-vente'!$D$2:$D$1000="Agences")+('Agences &amp; Après-vente'!$D$2:$D$1000="Agences et Après-vente"))*'Agences &amp; Après-vente'!$E$2:$E$1000)),"yyyy-mm-dd"),"")))))</f>
        <v/>
      </c>
      <c r="H72" s="131" t="str">
        <f aca="false">IF($R72="✓","✓",IF(ISNUMBER($R72),TEXT($R72,"yyyy-mm-dd"),IF($A72="","",IF($D72="Lisbonne","",IF(SUMPRODUCT(('Agences &amp; Après-vente'!$A$2:$A$1000=$A72)*(('Agences &amp; Après-vente'!$D$2:$D$1000="Agences")+('Agences &amp; Après-vente'!$D$2:$D$1000="Agences et Après-vente"))*('Agences &amp; Après-vente'!$I$2:$I$1000="DONE"))&gt;0,"✓",IF(SUMPRODUCT(MAX(('Agences &amp; Après-vente'!$A$2:$A$1000=$A72)*(('Agences &amp; Après-vente'!$D$2:$D$1000="Agences")+('Agences &amp; Après-vente'!$D$2:$D$1000="Agences et Après-vente"))*'Agences &amp; Après-vente'!$E$2:$E$1000))&gt;0,TEXT(SUMPRODUCT(MAX(('Agences &amp; Après-vente'!$A$2:$A$1000=$A72)*(('Agences &amp; Après-vente'!$D$2:$D$1000="Agences")+('Agences &amp; Après-vente'!$D$2:$D$1000="Agences et Après-vente"))*'Agences &amp; Après-vente'!$E$2:$E$1000)),"yyyy-mm-dd"),""))))))</f>
        <v/>
      </c>
      <c r="I72" s="131" t="str">
        <f aca="false">IF($S72="✓","✓",IF(ISNUMBER($S72),TEXT($S72,"yyyy-mm-dd"),IF($A72="","",IF(SUMPRODUCT(('Agences &amp; Après-vente'!$A$2:$A$1000=$A72)*(('Agences &amp; Après-vente'!$D$2:$D$1000="Après-vente")+('Agences &amp; Après-vente'!$D$2:$D$1000="Agences et Après-vente"))*('Agences &amp; Après-vente'!$I$2:$I$1000="DONE"))&gt;0,"✓",IF(SUMPRODUCT(MAX(('Agences &amp; Après-vente'!$A$2:$A$1000=$A72)*(('Agences &amp; Après-vente'!$D$2:$D$1000="Après-vente")+('Agences &amp; Après-vente'!$D$2:$D$1000="Agences et Après-vente"))*'Agences &amp; Après-vente'!$E$2:$E$1000))&gt;0,TEXT(SUMPRODUCT(MAX(('Agences &amp; Après-vente'!$A$2:$A$1000=$A72)*(('Agences &amp; Après-vente'!$D$2:$D$1000="Après-vente")+('Agences &amp; Après-vente'!$D$2:$D$1000="Agences et Après-vente"))*'Agences &amp; Après-vente'!$E$2:$E$1000)),"yyyy-mm-dd"),"")))))</f>
        <v/>
      </c>
      <c r="J72" s="131" t="str">
        <f aca="false">IF($T72="✓","✓",IF(ISNUMBER($T72),TEXT($T72,"yyyy-mm-dd"),IF($A72="","",IF($D72="Lisbonne","",IF(SUMPRODUCT(('Agences &amp; Après-vente'!$A$2:$A$1000=$A72)*(('Agences &amp; Après-vente'!$D$2:$D$1000="Après-vente")+('Agences &amp; Après-vente'!$D$2:$D$1000="Agences et Après-vente"))*('Agences &amp; Après-vente'!$I$2:$I$1000="DONE"))&gt;0,"✓",IF(SUMPRODUCT(MAX(('Agences &amp; Après-vente'!$A$2:$A$1000=$A72)*(('Agences &amp; Après-vente'!$D$2:$D$1000="Après-vente")+('Agences &amp; Après-vente'!$D$2:$D$1000="Agences et Après-vente"))*'Agences &amp; Après-vente'!$E$2:$E$1000))&gt;0,TEXT(SUMPRODUCT(MAX(('Agences &amp; Après-vente'!$A$2:$A$1000=$A72)*(('Agences &amp; Après-vente'!$D$2:$D$1000="Après-vente")+('Agences &amp; Après-vente'!$D$2:$D$1000="Agences et Après-vente"))*'Agences &amp; Après-vente'!$E$2:$E$1000)),"yyyy-mm-dd"),""))))))</f>
        <v/>
      </c>
      <c r="K72" s="131" t="str">
        <f aca="false">IF($U72="✓","✓",IF(ISNUMBER($U72),TEXT($U72,"yyyy-mm-dd"),IF($D72="Lisbonne","",IF($A72="","",IF(SUMPRODUCT((Evermont!$A$2:$A$1000=$A72)*(Evermont!$Q$2:$Q$1000="Terminé"))&gt;0,"✓",IF(SUMPRODUCT(MAX((Evermont!$A$2:$A$1000=$A72)*Evermont!$F$2:$F$1000))&gt;0,TEXT(SUMPRODUCT(MAX((Evermont!$A$2:$A$1000=$A72)*Evermont!$F$2:$F$1000)),"yyyy-mm-dd"),""))))))</f>
        <v>✓</v>
      </c>
      <c r="L72" s="132" t="n">
        <f aca="false">IF($A72="","",COUNTIF(E72:K72,"✓"))</f>
        <v>3</v>
      </c>
      <c r="M72" s="133" t="s">
        <v>277</v>
      </c>
      <c r="O72" s="134" t="s">
        <v>173</v>
      </c>
      <c r="P72" s="134" t="s">
        <v>173</v>
      </c>
      <c r="Q72" s="134"/>
      <c r="R72" s="134"/>
      <c r="S72" s="134"/>
      <c r="T72" s="134"/>
      <c r="U72" s="134" t="s">
        <v>173</v>
      </c>
      <c r="W72" s="135" t="str">
        <f aca="false">IF($A72="","",IF($X72&lt;&gt;"",$X72,IFERROR(INDEX('Formation Initiale'!$B$2:$B$999,MATCH($A72,'Formation Initiale'!$A$2:$A$999,0)),"Général")))</f>
        <v>Général</v>
      </c>
      <c r="X72" s="136"/>
    </row>
    <row r="73" customFormat="false" ht="18" hidden="true" customHeight="true" outlineLevel="0" collapsed="false">
      <c r="A73" s="127" t="s">
        <v>385</v>
      </c>
      <c r="B73" s="128" t="s">
        <v>386</v>
      </c>
      <c r="C73" s="128" t="s">
        <v>387</v>
      </c>
      <c r="D73" s="129" t="s">
        <v>171</v>
      </c>
      <c r="E73" s="130" t="str">
        <f aca="false">IF($O73="✓","✓",IF(ISNUMBER($O73),TEXT($O73,"yyyy-mm-dd"),IF($A73="","",IF(SUMPRODUCT(('Formation Initiale'!$A$2:$A$999=$A73)*('Formation Initiale'!$R$2:$R$999="Terminé"))&gt;0,"✓",IF(SUMPRODUCT(MAX(('Formation Initiale'!$A$2:$A$999=$A73)*'Formation Initiale'!$G$2:$G$999))&gt;0,TEXT(SUMPRODUCT(MAX(('Formation Initiale'!$A$2:$A$999=$A73)*'Formation Initiale'!$G$2:$G$999)),"yyyy-mm-dd"),"")))))</f>
        <v>✓</v>
      </c>
      <c r="F73" s="131" t="str">
        <f aca="false">IF($P73="✓","✓",IF(ISNUMBER($P73),TEXT($P73,"yyyy-mm-dd"),IF($A73="","",IF($D73="Lisbonne","",IF(SUMPRODUCT(('Formation Initiale'!$A$2:$A$999=$A73)*('Formation Initiale'!$R$2:$R$999="Terminé"))&gt;0,"✓",IF(SUMPRODUCT(MAX(('Formation Initiale'!$A$2:$A$999=$A73)*'Formation Initiale'!$G$2:$G$999))&gt;0,TEXT(SUMPRODUCT(MAX(('Formation Initiale'!$A$2:$A$999=$A73)*'Formation Initiale'!$G$2:$G$999)),"yyyy-mm-dd"),""))))))</f>
        <v>✓</v>
      </c>
      <c r="G73" s="131" t="str">
        <f aca="false">IF($Q73="✓","✓",IF(ISNUMBER($Q73),TEXT($Q73,"yyyy-mm-dd"),IF($A73="","",IF(SUMPRODUCT(('Agences &amp; Après-vente'!$A$2:$A$1000=$A73)*(('Agences &amp; Après-vente'!$D$2:$D$1000="Agences")+('Agences &amp; Après-vente'!$D$2:$D$1000="Agences et Après-vente"))*('Agences &amp; Après-vente'!$I$2:$I$1000="DONE"))&gt;0,"✓",IF(SUMPRODUCT(MAX(('Agences &amp; Après-vente'!$A$2:$A$1000=$A73)*(('Agences &amp; Après-vente'!$D$2:$D$1000="Agences")+('Agences &amp; Après-vente'!$D$2:$D$1000="Agences et Après-vente"))*'Agences &amp; Après-vente'!$E$2:$E$1000))&gt;0,TEXT(SUMPRODUCT(MAX(('Agences &amp; Après-vente'!$A$2:$A$1000=$A73)*(('Agences &amp; Après-vente'!$D$2:$D$1000="Agences")+('Agences &amp; Après-vente'!$D$2:$D$1000="Agences et Après-vente"))*'Agences &amp; Après-vente'!$E$2:$E$1000)),"yyyy-mm-dd"),"")))))</f>
        <v>✓</v>
      </c>
      <c r="H73" s="131" t="str">
        <f aca="false">IF($R73="✓","✓",IF(ISNUMBER($R73),TEXT($R73,"yyyy-mm-dd"),IF($A73="","",IF($D73="Lisbonne","",IF(SUMPRODUCT(('Agences &amp; Après-vente'!$A$2:$A$1000=$A73)*(('Agences &amp; Après-vente'!$D$2:$D$1000="Agences")+('Agences &amp; Après-vente'!$D$2:$D$1000="Agences et Après-vente"))*('Agences &amp; Après-vente'!$I$2:$I$1000="DONE"))&gt;0,"✓",IF(SUMPRODUCT(MAX(('Agences &amp; Après-vente'!$A$2:$A$1000=$A73)*(('Agences &amp; Après-vente'!$D$2:$D$1000="Agences")+('Agences &amp; Après-vente'!$D$2:$D$1000="Agences et Après-vente"))*'Agences &amp; Après-vente'!$E$2:$E$1000))&gt;0,TEXT(SUMPRODUCT(MAX(('Agences &amp; Après-vente'!$A$2:$A$1000=$A73)*(('Agences &amp; Après-vente'!$D$2:$D$1000="Agences")+('Agences &amp; Après-vente'!$D$2:$D$1000="Agences et Après-vente"))*'Agences &amp; Après-vente'!$E$2:$E$1000)),"yyyy-mm-dd"),""))))))</f>
        <v>✓</v>
      </c>
      <c r="I73" s="131" t="str">
        <f aca="false">IF($S73="✓","✓",IF(ISNUMBER($S73),TEXT($S73,"yyyy-mm-dd"),IF($A73="","",IF(SUMPRODUCT(('Agences &amp; Après-vente'!$A$2:$A$1000=$A73)*(('Agences &amp; Après-vente'!$D$2:$D$1000="Après-vente")+('Agences &amp; Après-vente'!$D$2:$D$1000="Agences et Après-vente"))*('Agences &amp; Après-vente'!$I$2:$I$1000="DONE"))&gt;0,"✓",IF(SUMPRODUCT(MAX(('Agences &amp; Après-vente'!$A$2:$A$1000=$A73)*(('Agences &amp; Après-vente'!$D$2:$D$1000="Après-vente")+('Agences &amp; Après-vente'!$D$2:$D$1000="Agences et Après-vente"))*'Agences &amp; Après-vente'!$E$2:$E$1000))&gt;0,TEXT(SUMPRODUCT(MAX(('Agences &amp; Après-vente'!$A$2:$A$1000=$A73)*(('Agences &amp; Après-vente'!$D$2:$D$1000="Après-vente")+('Agences &amp; Après-vente'!$D$2:$D$1000="Agences et Après-vente"))*'Agences &amp; Après-vente'!$E$2:$E$1000)),"yyyy-mm-dd"),"")))))</f>
        <v>✓</v>
      </c>
      <c r="J73" s="131" t="str">
        <f aca="false">IF($T73="✓","✓",IF(ISNUMBER($T73),TEXT($T73,"yyyy-mm-dd"),IF($A73="","",IF($D73="Lisbonne","",IF(SUMPRODUCT(('Agences &amp; Après-vente'!$A$2:$A$1000=$A73)*(('Agences &amp; Après-vente'!$D$2:$D$1000="Après-vente")+('Agences &amp; Après-vente'!$D$2:$D$1000="Agences et Après-vente"))*('Agences &amp; Après-vente'!$I$2:$I$1000="DONE"))&gt;0,"✓",IF(SUMPRODUCT(MAX(('Agences &amp; Après-vente'!$A$2:$A$1000=$A73)*(('Agences &amp; Après-vente'!$D$2:$D$1000="Après-vente")+('Agences &amp; Après-vente'!$D$2:$D$1000="Agences et Après-vente"))*'Agences &amp; Après-vente'!$E$2:$E$1000))&gt;0,TEXT(SUMPRODUCT(MAX(('Agences &amp; Après-vente'!$A$2:$A$1000=$A73)*(('Agences &amp; Après-vente'!$D$2:$D$1000="Après-vente")+('Agences &amp; Après-vente'!$D$2:$D$1000="Agences et Après-vente"))*'Agences &amp; Après-vente'!$E$2:$E$1000)),"yyyy-mm-dd"),""))))))</f>
        <v>✓</v>
      </c>
      <c r="K73" s="131" t="str">
        <f aca="false">IF($U73="✓","✓",IF(ISNUMBER($U73),TEXT($U73,"yyyy-mm-dd"),IF($D73="Lisbonne","",IF($A73="","",IF(SUMPRODUCT((Evermont!$A$2:$A$1000=$A73)*(Evermont!$Q$2:$Q$1000="Terminé"))&gt;0,"✓",IF(SUMPRODUCT(MAX((Evermont!$A$2:$A$1000=$A73)*Evermont!$F$2:$F$1000))&gt;0,TEXT(SUMPRODUCT(MAX((Evermont!$A$2:$A$1000=$A73)*Evermont!$F$2:$F$1000)),"yyyy-mm-dd"),""))))))</f>
        <v>✓</v>
      </c>
      <c r="L73" s="132" t="n">
        <f aca="false">IF($A73="","",COUNTIF(E73:K73,"✓"))</f>
        <v>7</v>
      </c>
      <c r="M73" s="133" t="s">
        <v>172</v>
      </c>
      <c r="O73" s="134" t="s">
        <v>173</v>
      </c>
      <c r="P73" s="134" t="s">
        <v>173</v>
      </c>
      <c r="Q73" s="134" t="s">
        <v>173</v>
      </c>
      <c r="R73" s="134" t="s">
        <v>173</v>
      </c>
      <c r="S73" s="134" t="s">
        <v>173</v>
      </c>
      <c r="T73" s="134" t="s">
        <v>173</v>
      </c>
      <c r="U73" s="134" t="s">
        <v>173</v>
      </c>
      <c r="W73" s="135" t="str">
        <f aca="false">IF($A73="","",IF($X73&lt;&gt;"",$X73,IFERROR(INDEX('Formation Initiale'!$B$2:$B$999,MATCH($A73,'Formation Initiale'!$A$2:$A$999,0)),"Général")))</f>
        <v>Général</v>
      </c>
      <c r="X73" s="136"/>
    </row>
    <row r="74" customFormat="false" ht="18" hidden="true" customHeight="true" outlineLevel="0" collapsed="false">
      <c r="A74" s="137" t="s">
        <v>388</v>
      </c>
      <c r="B74" s="128" t="s">
        <v>389</v>
      </c>
      <c r="C74" s="128" t="s">
        <v>390</v>
      </c>
      <c r="D74" s="129" t="s">
        <v>186</v>
      </c>
      <c r="E74" s="130" t="str">
        <f aca="false">IF($O74="✓","✓",IF(ISNUMBER($O74),TEXT($O74,"yyyy-mm-dd"),IF($A74="","",IF(SUMPRODUCT(('Formation Initiale'!$A$2:$A$999=$A74)*('Formation Initiale'!$R$2:$R$999="Terminé"))&gt;0,"✓",IF(SUMPRODUCT(MAX(('Formation Initiale'!$A$2:$A$999=$A74)*'Formation Initiale'!$G$2:$G$999))&gt;0,TEXT(SUMPRODUCT(MAX(('Formation Initiale'!$A$2:$A$999=$A74)*'Formation Initiale'!$G$2:$G$999)),"yyyy-mm-dd"),"")))))</f>
        <v>✓</v>
      </c>
      <c r="F74" s="131" t="str">
        <f aca="false">IF($P74="✓","✓",IF(ISNUMBER($P74),TEXT($P74,"yyyy-mm-dd"),IF($A74="","",IF($D74="Lisbonne","",IF(SUMPRODUCT(('Formation Initiale'!$A$2:$A$999=$A74)*('Formation Initiale'!$R$2:$R$999="Terminé"))&gt;0,"✓",IF(SUMPRODUCT(MAX(('Formation Initiale'!$A$2:$A$999=$A74)*'Formation Initiale'!$G$2:$G$999))&gt;0,TEXT(SUMPRODUCT(MAX(('Formation Initiale'!$A$2:$A$999=$A74)*'Formation Initiale'!$G$2:$G$999)),"yyyy-mm-dd"),""))))))</f>
        <v/>
      </c>
      <c r="G74" s="131" t="str">
        <f aca="false">IF($Q74="✓","✓",IF(ISNUMBER($Q74),TEXT($Q74,"yyyy-mm-dd"),IF($A74="","",IF(SUMPRODUCT(('Agences &amp; Après-vente'!$A$2:$A$1000=$A74)*(('Agences &amp; Après-vente'!$D$2:$D$1000="Agences")+('Agences &amp; Après-vente'!$D$2:$D$1000="Agences et Après-vente"))*('Agences &amp; Après-vente'!$I$2:$I$1000="DONE"))&gt;0,"✓",IF(SUMPRODUCT(MAX(('Agences &amp; Après-vente'!$A$2:$A$1000=$A74)*(('Agences &amp; Après-vente'!$D$2:$D$1000="Agences")+('Agences &amp; Après-vente'!$D$2:$D$1000="Agences et Après-vente"))*'Agences &amp; Après-vente'!$E$2:$E$1000))&gt;0,TEXT(SUMPRODUCT(MAX(('Agences &amp; Après-vente'!$A$2:$A$1000=$A74)*(('Agences &amp; Après-vente'!$D$2:$D$1000="Agences")+('Agences &amp; Après-vente'!$D$2:$D$1000="Agences et Après-vente"))*'Agences &amp; Après-vente'!$E$2:$E$1000)),"yyyy-mm-dd"),"")))))</f>
        <v>✓</v>
      </c>
      <c r="H74" s="131" t="str">
        <f aca="false">IF($R74="✓","✓",IF(ISNUMBER($R74),TEXT($R74,"yyyy-mm-dd"),IF($A74="","",IF($D74="Lisbonne","",IF(SUMPRODUCT(('Agences &amp; Après-vente'!$A$2:$A$1000=$A74)*(('Agences &amp; Après-vente'!$D$2:$D$1000="Agences")+('Agences &amp; Après-vente'!$D$2:$D$1000="Agences et Après-vente"))*('Agences &amp; Après-vente'!$I$2:$I$1000="DONE"))&gt;0,"✓",IF(SUMPRODUCT(MAX(('Agences &amp; Après-vente'!$A$2:$A$1000=$A74)*(('Agences &amp; Après-vente'!$D$2:$D$1000="Agences")+('Agences &amp; Après-vente'!$D$2:$D$1000="Agences et Après-vente"))*'Agences &amp; Après-vente'!$E$2:$E$1000))&gt;0,TEXT(SUMPRODUCT(MAX(('Agences &amp; Après-vente'!$A$2:$A$1000=$A74)*(('Agences &amp; Après-vente'!$D$2:$D$1000="Agences")+('Agences &amp; Après-vente'!$D$2:$D$1000="Agences et Après-vente"))*'Agences &amp; Après-vente'!$E$2:$E$1000)),"yyyy-mm-dd"),""))))))</f>
        <v/>
      </c>
      <c r="I74" s="131" t="str">
        <f aca="false">IF($S74="✓","✓",IF(ISNUMBER($S74),TEXT($S74,"yyyy-mm-dd"),IF($A74="","",IF(SUMPRODUCT(('Agences &amp; Après-vente'!$A$2:$A$1000=$A74)*(('Agences &amp; Après-vente'!$D$2:$D$1000="Après-vente")+('Agences &amp; Après-vente'!$D$2:$D$1000="Agences et Après-vente"))*('Agences &amp; Après-vente'!$I$2:$I$1000="DONE"))&gt;0,"✓",IF(SUMPRODUCT(MAX(('Agences &amp; Après-vente'!$A$2:$A$1000=$A74)*(('Agences &amp; Après-vente'!$D$2:$D$1000="Après-vente")+('Agences &amp; Après-vente'!$D$2:$D$1000="Agences et Après-vente"))*'Agences &amp; Après-vente'!$E$2:$E$1000))&gt;0,TEXT(SUMPRODUCT(MAX(('Agences &amp; Après-vente'!$A$2:$A$1000=$A74)*(('Agences &amp; Après-vente'!$D$2:$D$1000="Après-vente")+('Agences &amp; Après-vente'!$D$2:$D$1000="Agences et Après-vente"))*'Agences &amp; Après-vente'!$E$2:$E$1000)),"yyyy-mm-dd"),"")))))</f>
        <v>✓</v>
      </c>
      <c r="J74" s="131" t="str">
        <f aca="false">IF($T74="✓","✓",IF(ISNUMBER($T74),TEXT($T74,"yyyy-mm-dd"),IF($A74="","",IF($D74="Lisbonne","",IF(SUMPRODUCT(('Agences &amp; Après-vente'!$A$2:$A$1000=$A74)*(('Agences &amp; Après-vente'!$D$2:$D$1000="Après-vente")+('Agences &amp; Après-vente'!$D$2:$D$1000="Agences et Après-vente"))*('Agences &amp; Après-vente'!$I$2:$I$1000="DONE"))&gt;0,"✓",IF(SUMPRODUCT(MAX(('Agences &amp; Après-vente'!$A$2:$A$1000=$A74)*(('Agences &amp; Après-vente'!$D$2:$D$1000="Après-vente")+('Agences &amp; Après-vente'!$D$2:$D$1000="Agences et Après-vente"))*'Agences &amp; Après-vente'!$E$2:$E$1000))&gt;0,TEXT(SUMPRODUCT(MAX(('Agences &amp; Après-vente'!$A$2:$A$1000=$A74)*(('Agences &amp; Après-vente'!$D$2:$D$1000="Après-vente")+('Agences &amp; Après-vente'!$D$2:$D$1000="Agences et Après-vente"))*'Agences &amp; Après-vente'!$E$2:$E$1000)),"yyyy-mm-dd"),""))))))</f>
        <v/>
      </c>
      <c r="K74" s="131" t="str">
        <f aca="false">IF($U74="✓","✓",IF(ISNUMBER($U74),TEXT($U74,"yyyy-mm-dd"),IF($D74="Lisbonne","",IF($A74="","",IF(SUMPRODUCT((Evermont!$A$2:$A$1000=$A74)*(Evermont!$Q$2:$Q$1000="Terminé"))&gt;0,"✓",IF(SUMPRODUCT(MAX((Evermont!$A$2:$A$1000=$A74)*Evermont!$F$2:$F$1000))&gt;0,TEXT(SUMPRODUCT(MAX((Evermont!$A$2:$A$1000=$A74)*Evermont!$F$2:$F$1000)),"yyyy-mm-dd"),""))))))</f>
        <v/>
      </c>
      <c r="L74" s="132" t="n">
        <f aca="false">IF($A74="","",COUNTIF(E74:K74,"✓"))</f>
        <v>3</v>
      </c>
      <c r="M74" s="133" t="s">
        <v>172</v>
      </c>
      <c r="O74" s="134" t="s">
        <v>173</v>
      </c>
      <c r="P74" s="134"/>
      <c r="Q74" s="134"/>
      <c r="R74" s="134"/>
      <c r="S74" s="134"/>
      <c r="T74" s="134"/>
      <c r="U74" s="134"/>
      <c r="W74" s="135" t="str">
        <f aca="false">IF($A74="","",IF($X74&lt;&gt;"",$X74,IFERROR(INDEX('Formation Initiale'!$B$2:$B$999,MATCH($A74,'Formation Initiale'!$A$2:$A$999,0)),"Général")))</f>
        <v>OS1</v>
      </c>
      <c r="X74" s="136"/>
    </row>
    <row r="75" customFormat="false" ht="18" hidden="true" customHeight="true" outlineLevel="0" collapsed="false">
      <c r="A75" s="127" t="s">
        <v>391</v>
      </c>
      <c r="B75" s="128" t="s">
        <v>392</v>
      </c>
      <c r="C75" s="128" t="s">
        <v>393</v>
      </c>
      <c r="D75" s="129" t="s">
        <v>171</v>
      </c>
      <c r="E75" s="130" t="str">
        <f aca="false">IF($O75="✓","✓",IF(ISNUMBER($O75),TEXT($O75,"yyyy-mm-dd"),IF($A75="","",IF(SUMPRODUCT(('Formation Initiale'!$A$2:$A$999=$A75)*('Formation Initiale'!$R$2:$R$999="Terminé"))&gt;0,"✓",IF(SUMPRODUCT(MAX(('Formation Initiale'!$A$2:$A$999=$A75)*'Formation Initiale'!$G$2:$G$999))&gt;0,TEXT(SUMPRODUCT(MAX(('Formation Initiale'!$A$2:$A$999=$A75)*'Formation Initiale'!$G$2:$G$999)),"yyyy-mm-dd"),"")))))</f>
        <v>✓</v>
      </c>
      <c r="F75" s="131" t="str">
        <f aca="false">IF($P75="✓","✓",IF(ISNUMBER($P75),TEXT($P75,"yyyy-mm-dd"),IF($A75="","",IF($D75="Lisbonne","",IF(SUMPRODUCT(('Formation Initiale'!$A$2:$A$999=$A75)*('Formation Initiale'!$R$2:$R$999="Terminé"))&gt;0,"✓",IF(SUMPRODUCT(MAX(('Formation Initiale'!$A$2:$A$999=$A75)*'Formation Initiale'!$G$2:$G$999))&gt;0,TEXT(SUMPRODUCT(MAX(('Formation Initiale'!$A$2:$A$999=$A75)*'Formation Initiale'!$G$2:$G$999)),"yyyy-mm-dd"),""))))))</f>
        <v>✓</v>
      </c>
      <c r="G75" s="131" t="str">
        <f aca="false">IF($Q75="✓","✓",IF(ISNUMBER($Q75),TEXT($Q75,"yyyy-mm-dd"),IF($A75="","",IF(SUMPRODUCT(('Agences &amp; Après-vente'!$A$2:$A$1000=$A75)*(('Agences &amp; Après-vente'!$D$2:$D$1000="Agences")+('Agences &amp; Après-vente'!$D$2:$D$1000="Agences et Après-vente"))*('Agences &amp; Après-vente'!$I$2:$I$1000="DONE"))&gt;0,"✓",IF(SUMPRODUCT(MAX(('Agences &amp; Après-vente'!$A$2:$A$1000=$A75)*(('Agences &amp; Après-vente'!$D$2:$D$1000="Agences")+('Agences &amp; Après-vente'!$D$2:$D$1000="Agences et Après-vente"))*'Agences &amp; Après-vente'!$E$2:$E$1000))&gt;0,TEXT(SUMPRODUCT(MAX(('Agences &amp; Après-vente'!$A$2:$A$1000=$A75)*(('Agences &amp; Après-vente'!$D$2:$D$1000="Agences")+('Agences &amp; Après-vente'!$D$2:$D$1000="Agences et Après-vente"))*'Agences &amp; Après-vente'!$E$2:$E$1000)),"yyyy-mm-dd"),"")))))</f>
        <v>✓</v>
      </c>
      <c r="H75" s="131" t="str">
        <f aca="false">IF($R75="✓","✓",IF(ISNUMBER($R75),TEXT($R75,"yyyy-mm-dd"),IF($A75="","",IF($D75="Lisbonne","",IF(SUMPRODUCT(('Agences &amp; Après-vente'!$A$2:$A$1000=$A75)*(('Agences &amp; Après-vente'!$D$2:$D$1000="Agences")+('Agences &amp; Après-vente'!$D$2:$D$1000="Agences et Après-vente"))*('Agences &amp; Après-vente'!$I$2:$I$1000="DONE"))&gt;0,"✓",IF(SUMPRODUCT(MAX(('Agences &amp; Après-vente'!$A$2:$A$1000=$A75)*(('Agences &amp; Après-vente'!$D$2:$D$1000="Agences")+('Agences &amp; Après-vente'!$D$2:$D$1000="Agences et Après-vente"))*'Agences &amp; Après-vente'!$E$2:$E$1000))&gt;0,TEXT(SUMPRODUCT(MAX(('Agences &amp; Après-vente'!$A$2:$A$1000=$A75)*(('Agences &amp; Après-vente'!$D$2:$D$1000="Agences")+('Agences &amp; Après-vente'!$D$2:$D$1000="Agences et Après-vente"))*'Agences &amp; Après-vente'!$E$2:$E$1000)),"yyyy-mm-dd"),""))))))</f>
        <v>✓</v>
      </c>
      <c r="I75" s="131" t="str">
        <f aca="false">IF($S75="✓","✓",IF(ISNUMBER($S75),TEXT($S75,"yyyy-mm-dd"),IF($A75="","",IF(SUMPRODUCT(('Agences &amp; Après-vente'!$A$2:$A$1000=$A75)*(('Agences &amp; Après-vente'!$D$2:$D$1000="Après-vente")+('Agences &amp; Après-vente'!$D$2:$D$1000="Agences et Après-vente"))*('Agences &amp; Après-vente'!$I$2:$I$1000="DONE"))&gt;0,"✓",IF(SUMPRODUCT(MAX(('Agences &amp; Après-vente'!$A$2:$A$1000=$A75)*(('Agences &amp; Après-vente'!$D$2:$D$1000="Après-vente")+('Agences &amp; Après-vente'!$D$2:$D$1000="Agences et Après-vente"))*'Agences &amp; Après-vente'!$E$2:$E$1000))&gt;0,TEXT(SUMPRODUCT(MAX(('Agences &amp; Après-vente'!$A$2:$A$1000=$A75)*(('Agences &amp; Après-vente'!$D$2:$D$1000="Après-vente")+('Agences &amp; Après-vente'!$D$2:$D$1000="Agences et Après-vente"))*'Agences &amp; Après-vente'!$E$2:$E$1000)),"yyyy-mm-dd"),"")))))</f>
        <v>✓</v>
      </c>
      <c r="J75" s="131" t="str">
        <f aca="false">IF($T75="✓","✓",IF(ISNUMBER($T75),TEXT($T75,"yyyy-mm-dd"),IF($A75="","",IF($D75="Lisbonne","",IF(SUMPRODUCT(('Agences &amp; Après-vente'!$A$2:$A$1000=$A75)*(('Agences &amp; Après-vente'!$D$2:$D$1000="Après-vente")+('Agences &amp; Après-vente'!$D$2:$D$1000="Agences et Après-vente"))*('Agences &amp; Après-vente'!$I$2:$I$1000="DONE"))&gt;0,"✓",IF(SUMPRODUCT(MAX(('Agences &amp; Après-vente'!$A$2:$A$1000=$A75)*(('Agences &amp; Après-vente'!$D$2:$D$1000="Après-vente")+('Agences &amp; Après-vente'!$D$2:$D$1000="Agences et Après-vente"))*'Agences &amp; Après-vente'!$E$2:$E$1000))&gt;0,TEXT(SUMPRODUCT(MAX(('Agences &amp; Après-vente'!$A$2:$A$1000=$A75)*(('Agences &amp; Après-vente'!$D$2:$D$1000="Après-vente")+('Agences &amp; Après-vente'!$D$2:$D$1000="Agences et Après-vente"))*'Agences &amp; Après-vente'!$E$2:$E$1000)),"yyyy-mm-dd"),""))))))</f>
        <v>✓</v>
      </c>
      <c r="K75" s="131" t="str">
        <f aca="false">IF($U75="✓","✓",IF(ISNUMBER($U75),TEXT($U75,"yyyy-mm-dd"),IF($D75="Lisbonne","",IF($A75="","",IF(SUMPRODUCT((Evermont!$A$2:$A$1000=$A75)*(Evermont!$Q$2:$Q$1000="Terminé"))&gt;0,"✓",IF(SUMPRODUCT(MAX((Evermont!$A$2:$A$1000=$A75)*Evermont!$F$2:$F$1000))&gt;0,TEXT(SUMPRODUCT(MAX((Evermont!$A$2:$A$1000=$A75)*Evermont!$F$2:$F$1000)),"yyyy-mm-dd"),""))))))</f>
        <v>✓</v>
      </c>
      <c r="L75" s="132" t="n">
        <f aca="false">IF($A75="","",COUNTIF(E75:K75,"✓"))</f>
        <v>7</v>
      </c>
      <c r="M75" s="133" t="s">
        <v>172</v>
      </c>
      <c r="O75" s="134" t="s">
        <v>173</v>
      </c>
      <c r="P75" s="134" t="s">
        <v>173</v>
      </c>
      <c r="Q75" s="134" t="s">
        <v>173</v>
      </c>
      <c r="R75" s="134" t="s">
        <v>173</v>
      </c>
      <c r="S75" s="134"/>
      <c r="T75" s="134"/>
      <c r="U75" s="134" t="s">
        <v>173</v>
      </c>
      <c r="W75" s="135" t="str">
        <f aca="false">IF($A75="","",IF($X75&lt;&gt;"",$X75,IFERROR(INDEX('Formation Initiale'!$B$2:$B$999,MATCH($A75,'Formation Initiale'!$A$2:$A$999,0)),"Général")))</f>
        <v>Général</v>
      </c>
      <c r="X75" s="136"/>
    </row>
    <row r="76" customFormat="false" ht="18" hidden="true" customHeight="true" outlineLevel="0" collapsed="false">
      <c r="A76" s="138" t="s">
        <v>394</v>
      </c>
      <c r="B76" s="128" t="s">
        <v>395</v>
      </c>
      <c r="C76" s="128" t="s">
        <v>396</v>
      </c>
      <c r="D76" s="129" t="s">
        <v>186</v>
      </c>
      <c r="E76" s="130" t="str">
        <f aca="false">IF($O76="✓","✓",IF(ISNUMBER($O76),TEXT($O76,"yyyy-mm-dd"),IF($A76="","",IF(SUMPRODUCT(('Formation Initiale'!$A$2:$A$999=$A76)*('Formation Initiale'!$R$2:$R$999="Terminé"))&gt;0,"✓",IF(SUMPRODUCT(MAX(('Formation Initiale'!$A$2:$A$999=$A76)*'Formation Initiale'!$G$2:$G$999))&gt;0,TEXT(SUMPRODUCT(MAX(('Formation Initiale'!$A$2:$A$999=$A76)*'Formation Initiale'!$G$2:$G$999)),"yyyy-mm-dd"),"")))))</f>
        <v>✓</v>
      </c>
      <c r="F76" s="131" t="str">
        <f aca="false">IF($P76="✓","✓",IF(ISNUMBER($P76),TEXT($P76,"yyyy-mm-dd"),IF($A76="","",IF($D76="Lisbonne","",IF(SUMPRODUCT(('Formation Initiale'!$A$2:$A$999=$A76)*('Formation Initiale'!$R$2:$R$999="Terminé"))&gt;0,"✓",IF(SUMPRODUCT(MAX(('Formation Initiale'!$A$2:$A$999=$A76)*'Formation Initiale'!$G$2:$G$999))&gt;0,TEXT(SUMPRODUCT(MAX(('Formation Initiale'!$A$2:$A$999=$A76)*'Formation Initiale'!$G$2:$G$999)),"yyyy-mm-dd"),""))))))</f>
        <v/>
      </c>
      <c r="G76" s="131" t="str">
        <f aca="false">IF($Q76="✓","✓",IF(ISNUMBER($Q76),TEXT($Q76,"yyyy-mm-dd"),IF($A76="","",IF(SUMPRODUCT(('Agences &amp; Après-vente'!$A$2:$A$1000=$A76)*(('Agences &amp; Après-vente'!$D$2:$D$1000="Agences")+('Agences &amp; Après-vente'!$D$2:$D$1000="Agences et Après-vente"))*('Agences &amp; Après-vente'!$I$2:$I$1000="DONE"))&gt;0,"✓",IF(SUMPRODUCT(MAX(('Agences &amp; Après-vente'!$A$2:$A$1000=$A76)*(('Agences &amp; Après-vente'!$D$2:$D$1000="Agences")+('Agences &amp; Après-vente'!$D$2:$D$1000="Agences et Après-vente"))*'Agences &amp; Après-vente'!$E$2:$E$1000))&gt;0,TEXT(SUMPRODUCT(MAX(('Agences &amp; Après-vente'!$A$2:$A$1000=$A76)*(('Agences &amp; Après-vente'!$D$2:$D$1000="Agences")+('Agences &amp; Après-vente'!$D$2:$D$1000="Agences et Après-vente"))*'Agences &amp; Après-vente'!$E$2:$E$1000)),"yyyy-mm-dd"),"")))))</f>
        <v/>
      </c>
      <c r="H76" s="131" t="str">
        <f aca="false">IF($R76="✓","✓",IF(ISNUMBER($R76),TEXT($R76,"yyyy-mm-dd"),IF($A76="","",IF($D76="Lisbonne","",IF(SUMPRODUCT(('Agences &amp; Après-vente'!$A$2:$A$1000=$A76)*(('Agences &amp; Après-vente'!$D$2:$D$1000="Agences")+('Agences &amp; Après-vente'!$D$2:$D$1000="Agences et Après-vente"))*('Agences &amp; Après-vente'!$I$2:$I$1000="DONE"))&gt;0,"✓",IF(SUMPRODUCT(MAX(('Agences &amp; Après-vente'!$A$2:$A$1000=$A76)*(('Agences &amp; Après-vente'!$D$2:$D$1000="Agences")+('Agences &amp; Après-vente'!$D$2:$D$1000="Agences et Après-vente"))*'Agences &amp; Après-vente'!$E$2:$E$1000))&gt;0,TEXT(SUMPRODUCT(MAX(('Agences &amp; Après-vente'!$A$2:$A$1000=$A76)*(('Agences &amp; Après-vente'!$D$2:$D$1000="Agences")+('Agences &amp; Après-vente'!$D$2:$D$1000="Agences et Après-vente"))*'Agences &amp; Après-vente'!$E$2:$E$1000)),"yyyy-mm-dd"),""))))))</f>
        <v/>
      </c>
      <c r="I76" s="131" t="str">
        <f aca="false">IF($S76="✓","✓",IF(ISNUMBER($S76),TEXT($S76,"yyyy-mm-dd"),IF($A76="","",IF(SUMPRODUCT(('Agences &amp; Après-vente'!$A$2:$A$1000=$A76)*(('Agences &amp; Après-vente'!$D$2:$D$1000="Après-vente")+('Agences &amp; Après-vente'!$D$2:$D$1000="Agences et Après-vente"))*('Agences &amp; Après-vente'!$I$2:$I$1000="DONE"))&gt;0,"✓",IF(SUMPRODUCT(MAX(('Agences &amp; Après-vente'!$A$2:$A$1000=$A76)*(('Agences &amp; Après-vente'!$D$2:$D$1000="Après-vente")+('Agences &amp; Après-vente'!$D$2:$D$1000="Agences et Après-vente"))*'Agences &amp; Après-vente'!$E$2:$E$1000))&gt;0,TEXT(SUMPRODUCT(MAX(('Agences &amp; Après-vente'!$A$2:$A$1000=$A76)*(('Agences &amp; Après-vente'!$D$2:$D$1000="Après-vente")+('Agences &amp; Après-vente'!$D$2:$D$1000="Agences et Après-vente"))*'Agences &amp; Après-vente'!$E$2:$E$1000)),"yyyy-mm-dd"),"")))))</f>
        <v/>
      </c>
      <c r="J76" s="131" t="str">
        <f aca="false">IF($T76="✓","✓",IF(ISNUMBER($T76),TEXT($T76,"yyyy-mm-dd"),IF($A76="","",IF($D76="Lisbonne","",IF(SUMPRODUCT(('Agences &amp; Après-vente'!$A$2:$A$1000=$A76)*(('Agences &amp; Après-vente'!$D$2:$D$1000="Après-vente")+('Agences &amp; Après-vente'!$D$2:$D$1000="Agences et Après-vente"))*('Agences &amp; Après-vente'!$I$2:$I$1000="DONE"))&gt;0,"✓",IF(SUMPRODUCT(MAX(('Agences &amp; Après-vente'!$A$2:$A$1000=$A76)*(('Agences &amp; Après-vente'!$D$2:$D$1000="Après-vente")+('Agences &amp; Après-vente'!$D$2:$D$1000="Agences et Après-vente"))*'Agences &amp; Après-vente'!$E$2:$E$1000))&gt;0,TEXT(SUMPRODUCT(MAX(('Agences &amp; Après-vente'!$A$2:$A$1000=$A76)*(('Agences &amp; Après-vente'!$D$2:$D$1000="Après-vente")+('Agences &amp; Après-vente'!$D$2:$D$1000="Agences et Après-vente"))*'Agences &amp; Après-vente'!$E$2:$E$1000)),"yyyy-mm-dd"),""))))))</f>
        <v/>
      </c>
      <c r="K76" s="131" t="str">
        <f aca="false">IF($U76="✓","✓",IF(ISNUMBER($U76),TEXT($U76,"yyyy-mm-dd"),IF($D76="Lisbonne","",IF($A76="","",IF(SUMPRODUCT((Evermont!$A$2:$A$1000=$A76)*(Evermont!$Q$2:$Q$1000="Terminé"))&gt;0,"✓",IF(SUMPRODUCT(MAX((Evermont!$A$2:$A$1000=$A76)*Evermont!$F$2:$F$1000))&gt;0,TEXT(SUMPRODUCT(MAX((Evermont!$A$2:$A$1000=$A76)*Evermont!$F$2:$F$1000)),"yyyy-mm-dd"),""))))))</f>
        <v/>
      </c>
      <c r="L76" s="132" t="n">
        <f aca="false">IF($A76="","",COUNTIF(E76:K76,"✓"))</f>
        <v>1</v>
      </c>
      <c r="M76" s="133" t="s">
        <v>196</v>
      </c>
      <c r="O76" s="134"/>
      <c r="P76" s="134"/>
      <c r="Q76" s="134"/>
      <c r="R76" s="134"/>
      <c r="S76" s="134"/>
      <c r="T76" s="134"/>
      <c r="U76" s="134"/>
      <c r="W76" s="135" t="str">
        <f aca="false">IF($A76="","",IF($X76&lt;&gt;"",$X76,IFERROR(INDEX('Formation Initiale'!$B$2:$B$999,MATCH($A76,'Formation Initiale'!$A$2:$A$999,0)),"Général")))</f>
        <v>OS3</v>
      </c>
      <c r="X76" s="136"/>
    </row>
    <row r="77" customFormat="false" ht="18" hidden="true" customHeight="true" outlineLevel="0" collapsed="false">
      <c r="A77" s="140" t="s">
        <v>397</v>
      </c>
      <c r="B77" s="128" t="s">
        <v>198</v>
      </c>
      <c r="C77" s="128" t="s">
        <v>398</v>
      </c>
      <c r="D77" s="129" t="s">
        <v>186</v>
      </c>
      <c r="E77" s="130" t="str">
        <f aca="false">IF($O77="✓","✓",IF(ISNUMBER($O77),TEXT($O77,"yyyy-mm-dd"),IF($A77="","",IF(SUMPRODUCT(('Formation Initiale'!$A$2:$A$999=$A77)*('Formation Initiale'!$R$2:$R$999="Terminé"))&gt;0,"✓",IF(SUMPRODUCT(MAX(('Formation Initiale'!$A$2:$A$999=$A77)*'Formation Initiale'!$G$2:$G$999))&gt;0,TEXT(SUMPRODUCT(MAX(('Formation Initiale'!$A$2:$A$999=$A77)*'Formation Initiale'!$G$2:$G$999)),"yyyy-mm-dd"),"")))))</f>
        <v>✓</v>
      </c>
      <c r="F77" s="131" t="str">
        <f aca="false">IF($P77="✓","✓",IF(ISNUMBER($P77),TEXT($P77,"yyyy-mm-dd"),IF($A77="","",IF($D77="Lisbonne","",IF(SUMPRODUCT(('Formation Initiale'!$A$2:$A$999=$A77)*('Formation Initiale'!$R$2:$R$999="Terminé"))&gt;0,"✓",IF(SUMPRODUCT(MAX(('Formation Initiale'!$A$2:$A$999=$A77)*'Formation Initiale'!$G$2:$G$999))&gt;0,TEXT(SUMPRODUCT(MAX(('Formation Initiale'!$A$2:$A$999=$A77)*'Formation Initiale'!$G$2:$G$999)),"yyyy-mm-dd"),""))))))</f>
        <v/>
      </c>
      <c r="G77" s="131" t="str">
        <f aca="false">IF($Q77="✓","✓",IF(ISNUMBER($Q77),TEXT($Q77,"yyyy-mm-dd"),IF($A77="","",IF(SUMPRODUCT(('Agences &amp; Après-vente'!$A$2:$A$1000=$A77)*(('Agences &amp; Après-vente'!$D$2:$D$1000="Agences")+('Agences &amp; Après-vente'!$D$2:$D$1000="Agences et Après-vente"))*('Agences &amp; Après-vente'!$I$2:$I$1000="DONE"))&gt;0,"✓",IF(SUMPRODUCT(MAX(('Agences &amp; Après-vente'!$A$2:$A$1000=$A77)*(('Agences &amp; Après-vente'!$D$2:$D$1000="Agences")+('Agences &amp; Après-vente'!$D$2:$D$1000="Agences et Après-vente"))*'Agences &amp; Après-vente'!$E$2:$E$1000))&gt;0,TEXT(SUMPRODUCT(MAX(('Agences &amp; Après-vente'!$A$2:$A$1000=$A77)*(('Agences &amp; Après-vente'!$D$2:$D$1000="Agences")+('Agences &amp; Après-vente'!$D$2:$D$1000="Agences et Après-vente"))*'Agences &amp; Après-vente'!$E$2:$E$1000)),"yyyy-mm-dd"),"")))))</f>
        <v>✓</v>
      </c>
      <c r="H77" s="131" t="str">
        <f aca="false">IF($R77="✓","✓",IF(ISNUMBER($R77),TEXT($R77,"yyyy-mm-dd"),IF($A77="","",IF($D77="Lisbonne","",IF(SUMPRODUCT(('Agences &amp; Après-vente'!$A$2:$A$1000=$A77)*(('Agences &amp; Après-vente'!$D$2:$D$1000="Agences")+('Agences &amp; Après-vente'!$D$2:$D$1000="Agences et Après-vente"))*('Agences &amp; Après-vente'!$I$2:$I$1000="DONE"))&gt;0,"✓",IF(SUMPRODUCT(MAX(('Agences &amp; Après-vente'!$A$2:$A$1000=$A77)*(('Agences &amp; Après-vente'!$D$2:$D$1000="Agences")+('Agences &amp; Après-vente'!$D$2:$D$1000="Agences et Après-vente"))*'Agences &amp; Après-vente'!$E$2:$E$1000))&gt;0,TEXT(SUMPRODUCT(MAX(('Agences &amp; Après-vente'!$A$2:$A$1000=$A77)*(('Agences &amp; Après-vente'!$D$2:$D$1000="Agences")+('Agences &amp; Après-vente'!$D$2:$D$1000="Agences et Après-vente"))*'Agences &amp; Après-vente'!$E$2:$E$1000)),"yyyy-mm-dd"),""))))))</f>
        <v/>
      </c>
      <c r="I77" s="131" t="str">
        <f aca="false">IF($S77="✓","✓",IF(ISNUMBER($S77),TEXT($S77,"yyyy-mm-dd"),IF($A77="","",IF(SUMPRODUCT(('Agences &amp; Après-vente'!$A$2:$A$1000=$A77)*(('Agences &amp; Après-vente'!$D$2:$D$1000="Après-vente")+('Agences &amp; Après-vente'!$D$2:$D$1000="Agences et Après-vente"))*('Agences &amp; Après-vente'!$I$2:$I$1000="DONE"))&gt;0,"✓",IF(SUMPRODUCT(MAX(('Agences &amp; Après-vente'!$A$2:$A$1000=$A77)*(('Agences &amp; Après-vente'!$D$2:$D$1000="Après-vente")+('Agences &amp; Après-vente'!$D$2:$D$1000="Agences et Après-vente"))*'Agences &amp; Après-vente'!$E$2:$E$1000))&gt;0,TEXT(SUMPRODUCT(MAX(('Agences &amp; Après-vente'!$A$2:$A$1000=$A77)*(('Agences &amp; Après-vente'!$D$2:$D$1000="Après-vente")+('Agences &amp; Après-vente'!$D$2:$D$1000="Agences et Après-vente"))*'Agences &amp; Après-vente'!$E$2:$E$1000)),"yyyy-mm-dd"),"")))))</f>
        <v>✓</v>
      </c>
      <c r="J77" s="131" t="str">
        <f aca="false">IF($T77="✓","✓",IF(ISNUMBER($T77),TEXT($T77,"yyyy-mm-dd"),IF($A77="","",IF($D77="Lisbonne","",IF(SUMPRODUCT(('Agences &amp; Après-vente'!$A$2:$A$1000=$A77)*(('Agences &amp; Après-vente'!$D$2:$D$1000="Après-vente")+('Agences &amp; Après-vente'!$D$2:$D$1000="Agences et Après-vente"))*('Agences &amp; Après-vente'!$I$2:$I$1000="DONE"))&gt;0,"✓",IF(SUMPRODUCT(MAX(('Agences &amp; Après-vente'!$A$2:$A$1000=$A77)*(('Agences &amp; Après-vente'!$D$2:$D$1000="Après-vente")+('Agences &amp; Après-vente'!$D$2:$D$1000="Agences et Après-vente"))*'Agences &amp; Après-vente'!$E$2:$E$1000))&gt;0,TEXT(SUMPRODUCT(MAX(('Agences &amp; Après-vente'!$A$2:$A$1000=$A77)*(('Agences &amp; Après-vente'!$D$2:$D$1000="Après-vente")+('Agences &amp; Après-vente'!$D$2:$D$1000="Agences et Après-vente"))*'Agences &amp; Après-vente'!$E$2:$E$1000)),"yyyy-mm-dd"),""))))))</f>
        <v/>
      </c>
      <c r="K77" s="131" t="str">
        <f aca="false">IF($U77="✓","✓",IF(ISNUMBER($U77),TEXT($U77,"yyyy-mm-dd"),IF($D77="Lisbonne","",IF($A77="","",IF(SUMPRODUCT((Evermont!$A$2:$A$1000=$A77)*(Evermont!$Q$2:$Q$1000="Terminé"))&gt;0,"✓",IF(SUMPRODUCT(MAX((Evermont!$A$2:$A$1000=$A77)*Evermont!$F$2:$F$1000))&gt;0,TEXT(SUMPRODUCT(MAX((Evermont!$A$2:$A$1000=$A77)*Evermont!$F$2:$F$1000)),"yyyy-mm-dd"),""))))))</f>
        <v/>
      </c>
      <c r="L77" s="132" t="n">
        <f aca="false">IF($A77="","",COUNTIF(E77:K77,"✓"))</f>
        <v>3</v>
      </c>
      <c r="M77" s="133" t="s">
        <v>172</v>
      </c>
      <c r="O77" s="134" t="s">
        <v>173</v>
      </c>
      <c r="P77" s="134"/>
      <c r="Q77" s="134"/>
      <c r="R77" s="134"/>
      <c r="S77" s="134"/>
      <c r="T77" s="134"/>
      <c r="U77" s="134"/>
      <c r="W77" s="135" t="str">
        <f aca="false">IF($A77="","",IF($X77&lt;&gt;"",$X77,IFERROR(INDEX('Formation Initiale'!$B$2:$B$999,MATCH($A77,'Formation Initiale'!$A$2:$A$999,0)),"Général")))</f>
        <v>OS3</v>
      </c>
      <c r="X77" s="136"/>
    </row>
    <row r="78" customFormat="false" ht="18" hidden="true" customHeight="true" outlineLevel="0" collapsed="false">
      <c r="A78" s="127" t="s">
        <v>399</v>
      </c>
      <c r="B78" s="128" t="s">
        <v>400</v>
      </c>
      <c r="C78" s="128" t="s">
        <v>401</v>
      </c>
      <c r="D78" s="129" t="s">
        <v>171</v>
      </c>
      <c r="E78" s="130" t="str">
        <f aca="false">IF($O78="✓","✓",IF(ISNUMBER($O78),TEXT($O78,"yyyy-mm-dd"),IF($A78="","",IF(SUMPRODUCT(('Formation Initiale'!$A$2:$A$999=$A78)*('Formation Initiale'!$R$2:$R$999="Terminé"))&gt;0,"✓",IF(SUMPRODUCT(MAX(('Formation Initiale'!$A$2:$A$999=$A78)*'Formation Initiale'!$G$2:$G$999))&gt;0,TEXT(SUMPRODUCT(MAX(('Formation Initiale'!$A$2:$A$999=$A78)*'Formation Initiale'!$G$2:$G$999)),"yyyy-mm-dd"),"")))))</f>
        <v>✓</v>
      </c>
      <c r="F78" s="131" t="str">
        <f aca="false">IF($P78="✓","✓",IF(ISNUMBER($P78),TEXT($P78,"yyyy-mm-dd"),IF($A78="","",IF($D78="Lisbonne","",IF(SUMPRODUCT(('Formation Initiale'!$A$2:$A$999=$A78)*('Formation Initiale'!$R$2:$R$999="Terminé"))&gt;0,"✓",IF(SUMPRODUCT(MAX(('Formation Initiale'!$A$2:$A$999=$A78)*'Formation Initiale'!$G$2:$G$999))&gt;0,TEXT(SUMPRODUCT(MAX(('Formation Initiale'!$A$2:$A$999=$A78)*'Formation Initiale'!$G$2:$G$999)),"yyyy-mm-dd"),""))))))</f>
        <v>✓</v>
      </c>
      <c r="G78" s="131" t="str">
        <f aca="false">IF($Q78="✓","✓",IF(ISNUMBER($Q78),TEXT($Q78,"yyyy-mm-dd"),IF($A78="","",IF(SUMPRODUCT(('Agences &amp; Après-vente'!$A$2:$A$1000=$A78)*(('Agences &amp; Après-vente'!$D$2:$D$1000="Agences")+('Agences &amp; Après-vente'!$D$2:$D$1000="Agences et Après-vente"))*('Agences &amp; Après-vente'!$I$2:$I$1000="DONE"))&gt;0,"✓",IF(SUMPRODUCT(MAX(('Agences &amp; Après-vente'!$A$2:$A$1000=$A78)*(('Agences &amp; Après-vente'!$D$2:$D$1000="Agences")+('Agences &amp; Après-vente'!$D$2:$D$1000="Agences et Après-vente"))*'Agences &amp; Après-vente'!$E$2:$E$1000))&gt;0,TEXT(SUMPRODUCT(MAX(('Agences &amp; Après-vente'!$A$2:$A$1000=$A78)*(('Agences &amp; Après-vente'!$D$2:$D$1000="Agences")+('Agences &amp; Après-vente'!$D$2:$D$1000="Agences et Après-vente"))*'Agences &amp; Après-vente'!$E$2:$E$1000)),"yyyy-mm-dd"),"")))))</f>
        <v>✓</v>
      </c>
      <c r="H78" s="131" t="str">
        <f aca="false">IF($R78="✓","✓",IF(ISNUMBER($R78),TEXT($R78,"yyyy-mm-dd"),IF($A78="","",IF($D78="Lisbonne","",IF(SUMPRODUCT(('Agences &amp; Après-vente'!$A$2:$A$1000=$A78)*(('Agences &amp; Après-vente'!$D$2:$D$1000="Agences")+('Agences &amp; Après-vente'!$D$2:$D$1000="Agences et Après-vente"))*('Agences &amp; Après-vente'!$I$2:$I$1000="DONE"))&gt;0,"✓",IF(SUMPRODUCT(MAX(('Agences &amp; Après-vente'!$A$2:$A$1000=$A78)*(('Agences &amp; Après-vente'!$D$2:$D$1000="Agences")+('Agences &amp; Après-vente'!$D$2:$D$1000="Agences et Après-vente"))*'Agences &amp; Après-vente'!$E$2:$E$1000))&gt;0,TEXT(SUMPRODUCT(MAX(('Agences &amp; Après-vente'!$A$2:$A$1000=$A78)*(('Agences &amp; Après-vente'!$D$2:$D$1000="Agences")+('Agences &amp; Après-vente'!$D$2:$D$1000="Agences et Après-vente"))*'Agences &amp; Après-vente'!$E$2:$E$1000)),"yyyy-mm-dd"),""))))))</f>
        <v>✓</v>
      </c>
      <c r="I78" s="131" t="str">
        <f aca="false">IF($S78="✓","✓",IF(ISNUMBER($S78),TEXT($S78,"yyyy-mm-dd"),IF($A78="","",IF(SUMPRODUCT(('Agences &amp; Après-vente'!$A$2:$A$1000=$A78)*(('Agences &amp; Après-vente'!$D$2:$D$1000="Après-vente")+('Agences &amp; Après-vente'!$D$2:$D$1000="Agences et Après-vente"))*('Agences &amp; Après-vente'!$I$2:$I$1000="DONE"))&gt;0,"✓",IF(SUMPRODUCT(MAX(('Agences &amp; Après-vente'!$A$2:$A$1000=$A78)*(('Agences &amp; Après-vente'!$D$2:$D$1000="Après-vente")+('Agences &amp; Après-vente'!$D$2:$D$1000="Agences et Après-vente"))*'Agences &amp; Après-vente'!$E$2:$E$1000))&gt;0,TEXT(SUMPRODUCT(MAX(('Agences &amp; Après-vente'!$A$2:$A$1000=$A78)*(('Agences &amp; Après-vente'!$D$2:$D$1000="Après-vente")+('Agences &amp; Après-vente'!$D$2:$D$1000="Agences et Après-vente"))*'Agences &amp; Après-vente'!$E$2:$E$1000)),"yyyy-mm-dd"),"")))))</f>
        <v>✓</v>
      </c>
      <c r="J78" s="131" t="str">
        <f aca="false">IF($T78="✓","✓",IF(ISNUMBER($T78),TEXT($T78,"yyyy-mm-dd"),IF($A78="","",IF($D78="Lisbonne","",IF(SUMPRODUCT(('Agences &amp; Après-vente'!$A$2:$A$1000=$A78)*(('Agences &amp; Après-vente'!$D$2:$D$1000="Après-vente")+('Agences &amp; Après-vente'!$D$2:$D$1000="Agences et Après-vente"))*('Agences &amp; Après-vente'!$I$2:$I$1000="DONE"))&gt;0,"✓",IF(SUMPRODUCT(MAX(('Agences &amp; Après-vente'!$A$2:$A$1000=$A78)*(('Agences &amp; Après-vente'!$D$2:$D$1000="Après-vente")+('Agences &amp; Après-vente'!$D$2:$D$1000="Agences et Après-vente"))*'Agences &amp; Après-vente'!$E$2:$E$1000))&gt;0,TEXT(SUMPRODUCT(MAX(('Agences &amp; Après-vente'!$A$2:$A$1000=$A78)*(('Agences &amp; Après-vente'!$D$2:$D$1000="Après-vente")+('Agences &amp; Après-vente'!$D$2:$D$1000="Agences et Après-vente"))*'Agences &amp; Après-vente'!$E$2:$E$1000)),"yyyy-mm-dd"),""))))))</f>
        <v>✓</v>
      </c>
      <c r="K78" s="131" t="str">
        <f aca="false">IF($U78="✓","✓",IF(ISNUMBER($U78),TEXT($U78,"yyyy-mm-dd"),IF($D78="Lisbonne","",IF($A78="","",IF(SUMPRODUCT((Evermont!$A$2:$A$1000=$A78)*(Evermont!$Q$2:$Q$1000="Terminé"))&gt;0,"✓",IF(SUMPRODUCT(MAX((Evermont!$A$2:$A$1000=$A78)*Evermont!$F$2:$F$1000))&gt;0,TEXT(SUMPRODUCT(MAX((Evermont!$A$2:$A$1000=$A78)*Evermont!$F$2:$F$1000)),"yyyy-mm-dd"),""))))))</f>
        <v>✓</v>
      </c>
      <c r="L78" s="132" t="n">
        <f aca="false">IF($A78="","",COUNTIF(E78:K78,"✓"))</f>
        <v>7</v>
      </c>
      <c r="M78" s="133" t="s">
        <v>172</v>
      </c>
      <c r="O78" s="134" t="s">
        <v>173</v>
      </c>
      <c r="P78" s="134" t="s">
        <v>173</v>
      </c>
      <c r="Q78" s="134" t="s">
        <v>173</v>
      </c>
      <c r="R78" s="134" t="s">
        <v>173</v>
      </c>
      <c r="S78" s="134" t="s">
        <v>173</v>
      </c>
      <c r="T78" s="134" t="s">
        <v>173</v>
      </c>
      <c r="U78" s="134" t="s">
        <v>173</v>
      </c>
      <c r="W78" s="135" t="str">
        <f aca="false">IF($A78="","",IF($X78&lt;&gt;"",$X78,IFERROR(INDEX('Formation Initiale'!$B$2:$B$999,MATCH($A78,'Formation Initiale'!$A$2:$A$999,0)),"Général")))</f>
        <v>Général</v>
      </c>
      <c r="X78" s="136"/>
    </row>
    <row r="79" customFormat="false" ht="18" hidden="true" customHeight="true" outlineLevel="0" collapsed="false">
      <c r="A79" s="127" t="s">
        <v>402</v>
      </c>
      <c r="B79" s="128" t="s">
        <v>403</v>
      </c>
      <c r="C79" s="128" t="s">
        <v>404</v>
      </c>
      <c r="D79" s="129" t="s">
        <v>171</v>
      </c>
      <c r="E79" s="130" t="str">
        <f aca="false">IF($O79="✓","✓",IF(ISNUMBER($O79),TEXT($O79,"yyyy-mm-dd"),IF($A79="","",IF(SUMPRODUCT(('Formation Initiale'!$A$2:$A$999=$A79)*('Formation Initiale'!$R$2:$R$999="Terminé"))&gt;0,"✓",IF(SUMPRODUCT(MAX(('Formation Initiale'!$A$2:$A$999=$A79)*'Formation Initiale'!$G$2:$G$999))&gt;0,TEXT(SUMPRODUCT(MAX(('Formation Initiale'!$A$2:$A$999=$A79)*'Formation Initiale'!$G$2:$G$999)),"yyyy-mm-dd"),"")))))</f>
        <v>✓</v>
      </c>
      <c r="F79" s="131" t="str">
        <f aca="false">IF($P79="✓","✓",IF(ISNUMBER($P79),TEXT($P79,"yyyy-mm-dd"),IF($A79="","",IF($D79="Lisbonne","",IF(SUMPRODUCT(('Formation Initiale'!$A$2:$A$999=$A79)*('Formation Initiale'!$R$2:$R$999="Terminé"))&gt;0,"✓",IF(SUMPRODUCT(MAX(('Formation Initiale'!$A$2:$A$999=$A79)*'Formation Initiale'!$G$2:$G$999))&gt;0,TEXT(SUMPRODUCT(MAX(('Formation Initiale'!$A$2:$A$999=$A79)*'Formation Initiale'!$G$2:$G$999)),"yyyy-mm-dd"),""))))))</f>
        <v>✓</v>
      </c>
      <c r="G79" s="131" t="str">
        <f aca="false">IF($Q79="✓","✓",IF(ISNUMBER($Q79),TEXT($Q79,"yyyy-mm-dd"),IF($A79="","",IF(SUMPRODUCT(('Agences &amp; Après-vente'!$A$2:$A$1000=$A79)*(('Agences &amp; Après-vente'!$D$2:$D$1000="Agences")+('Agences &amp; Après-vente'!$D$2:$D$1000="Agences et Après-vente"))*('Agences &amp; Après-vente'!$I$2:$I$1000="DONE"))&gt;0,"✓",IF(SUMPRODUCT(MAX(('Agences &amp; Après-vente'!$A$2:$A$1000=$A79)*(('Agences &amp; Après-vente'!$D$2:$D$1000="Agences")+('Agences &amp; Après-vente'!$D$2:$D$1000="Agences et Après-vente"))*'Agences &amp; Après-vente'!$E$2:$E$1000))&gt;0,TEXT(SUMPRODUCT(MAX(('Agences &amp; Après-vente'!$A$2:$A$1000=$A79)*(('Agences &amp; Après-vente'!$D$2:$D$1000="Agences")+('Agences &amp; Après-vente'!$D$2:$D$1000="Agences et Après-vente"))*'Agences &amp; Après-vente'!$E$2:$E$1000)),"yyyy-mm-dd"),"")))))</f>
        <v/>
      </c>
      <c r="H79" s="131" t="str">
        <f aca="false">IF($R79="✓","✓",IF(ISNUMBER($R79),TEXT($R79,"yyyy-mm-dd"),IF($A79="","",IF($D79="Lisbonne","",IF(SUMPRODUCT(('Agences &amp; Après-vente'!$A$2:$A$1000=$A79)*(('Agences &amp; Après-vente'!$D$2:$D$1000="Agences")+('Agences &amp; Après-vente'!$D$2:$D$1000="Agences et Après-vente"))*('Agences &amp; Après-vente'!$I$2:$I$1000="DONE"))&gt;0,"✓",IF(SUMPRODUCT(MAX(('Agences &amp; Après-vente'!$A$2:$A$1000=$A79)*(('Agences &amp; Après-vente'!$D$2:$D$1000="Agences")+('Agences &amp; Après-vente'!$D$2:$D$1000="Agences et Après-vente"))*'Agences &amp; Après-vente'!$E$2:$E$1000))&gt;0,TEXT(SUMPRODUCT(MAX(('Agences &amp; Après-vente'!$A$2:$A$1000=$A79)*(('Agences &amp; Après-vente'!$D$2:$D$1000="Agences")+('Agences &amp; Après-vente'!$D$2:$D$1000="Agences et Après-vente"))*'Agences &amp; Après-vente'!$E$2:$E$1000)),"yyyy-mm-dd"),""))))))</f>
        <v/>
      </c>
      <c r="I79" s="131" t="str">
        <f aca="false">IF($S79="✓","✓",IF(ISNUMBER($S79),TEXT($S79,"yyyy-mm-dd"),IF($A79="","",IF(SUMPRODUCT(('Agences &amp; Après-vente'!$A$2:$A$1000=$A79)*(('Agences &amp; Après-vente'!$D$2:$D$1000="Après-vente")+('Agences &amp; Après-vente'!$D$2:$D$1000="Agences et Après-vente"))*('Agences &amp; Après-vente'!$I$2:$I$1000="DONE"))&gt;0,"✓",IF(SUMPRODUCT(MAX(('Agences &amp; Après-vente'!$A$2:$A$1000=$A79)*(('Agences &amp; Après-vente'!$D$2:$D$1000="Après-vente")+('Agences &amp; Après-vente'!$D$2:$D$1000="Agences et Après-vente"))*'Agences &amp; Après-vente'!$E$2:$E$1000))&gt;0,TEXT(SUMPRODUCT(MAX(('Agences &amp; Après-vente'!$A$2:$A$1000=$A79)*(('Agences &amp; Après-vente'!$D$2:$D$1000="Après-vente")+('Agences &amp; Après-vente'!$D$2:$D$1000="Agences et Après-vente"))*'Agences &amp; Après-vente'!$E$2:$E$1000)),"yyyy-mm-dd"),"")))))</f>
        <v/>
      </c>
      <c r="J79" s="131" t="str">
        <f aca="false">IF($T79="✓","✓",IF(ISNUMBER($T79),TEXT($T79,"yyyy-mm-dd"),IF($A79="","",IF($D79="Lisbonne","",IF(SUMPRODUCT(('Agences &amp; Après-vente'!$A$2:$A$1000=$A79)*(('Agences &amp; Après-vente'!$D$2:$D$1000="Après-vente")+('Agences &amp; Après-vente'!$D$2:$D$1000="Agences et Après-vente"))*('Agences &amp; Après-vente'!$I$2:$I$1000="DONE"))&gt;0,"✓",IF(SUMPRODUCT(MAX(('Agences &amp; Après-vente'!$A$2:$A$1000=$A79)*(('Agences &amp; Après-vente'!$D$2:$D$1000="Après-vente")+('Agences &amp; Après-vente'!$D$2:$D$1000="Agences et Après-vente"))*'Agences &amp; Après-vente'!$E$2:$E$1000))&gt;0,TEXT(SUMPRODUCT(MAX(('Agences &amp; Après-vente'!$A$2:$A$1000=$A79)*(('Agences &amp; Après-vente'!$D$2:$D$1000="Après-vente")+('Agences &amp; Après-vente'!$D$2:$D$1000="Agences et Après-vente"))*'Agences &amp; Après-vente'!$E$2:$E$1000)),"yyyy-mm-dd"),""))))))</f>
        <v/>
      </c>
      <c r="K79" s="131" t="str">
        <f aca="false">IF($U79="✓","✓",IF(ISNUMBER($U79),TEXT($U79,"yyyy-mm-dd"),IF($D79="Lisbonne","",IF($A79="","",IF(SUMPRODUCT((Evermont!$A$2:$A$1000=$A79)*(Evermont!$Q$2:$Q$1000="Terminé"))&gt;0,"✓",IF(SUMPRODUCT(MAX((Evermont!$A$2:$A$1000=$A79)*Evermont!$F$2:$F$1000))&gt;0,TEXT(SUMPRODUCT(MAX((Evermont!$A$2:$A$1000=$A79)*Evermont!$F$2:$F$1000)),"yyyy-mm-dd"),""))))))</f>
        <v/>
      </c>
      <c r="L79" s="132" t="n">
        <f aca="false">IF($A79="","",COUNTIF(E79:K79,"✓"))</f>
        <v>2</v>
      </c>
      <c r="M79" s="133" t="s">
        <v>172</v>
      </c>
      <c r="O79" s="134" t="s">
        <v>173</v>
      </c>
      <c r="P79" s="134" t="s">
        <v>173</v>
      </c>
      <c r="Q79" s="134"/>
      <c r="R79" s="134"/>
      <c r="S79" s="134"/>
      <c r="T79" s="134"/>
      <c r="U79" s="134"/>
      <c r="W79" s="135" t="str">
        <f aca="false">IF($A79="","",IF($X79&lt;&gt;"",$X79,IFERROR(INDEX('Formation Initiale'!$B$2:$B$999,MATCH($A79,'Formation Initiale'!$A$2:$A$999,0)),"Général")))</f>
        <v>Général</v>
      </c>
      <c r="X79" s="136"/>
    </row>
    <row r="80" customFormat="false" ht="18" hidden="true" customHeight="true" outlineLevel="0" collapsed="false">
      <c r="A80" s="127" t="s">
        <v>405</v>
      </c>
      <c r="B80" s="128" t="s">
        <v>406</v>
      </c>
      <c r="C80" s="128" t="s">
        <v>407</v>
      </c>
      <c r="D80" s="129" t="s">
        <v>171</v>
      </c>
      <c r="E80" s="130" t="str">
        <f aca="false">IF($O80="✓","✓",IF(ISNUMBER($O80),TEXT($O80,"yyyy-mm-dd"),IF($A80="","",IF(SUMPRODUCT(('Formation Initiale'!$A$2:$A$999=$A80)*('Formation Initiale'!$R$2:$R$999="Terminé"))&gt;0,"✓",IF(SUMPRODUCT(MAX(('Formation Initiale'!$A$2:$A$999=$A80)*'Formation Initiale'!$G$2:$G$999))&gt;0,TEXT(SUMPRODUCT(MAX(('Formation Initiale'!$A$2:$A$999=$A80)*'Formation Initiale'!$G$2:$G$999)),"yyyy-mm-dd"),"")))))</f>
        <v>✓</v>
      </c>
      <c r="F80" s="131" t="str">
        <f aca="false">IF($P80="✓","✓",IF(ISNUMBER($P80),TEXT($P80,"yyyy-mm-dd"),IF($A80="","",IF($D80="Lisbonne","",IF(SUMPRODUCT(('Formation Initiale'!$A$2:$A$999=$A80)*('Formation Initiale'!$R$2:$R$999="Terminé"))&gt;0,"✓",IF(SUMPRODUCT(MAX(('Formation Initiale'!$A$2:$A$999=$A80)*'Formation Initiale'!$G$2:$G$999))&gt;0,TEXT(SUMPRODUCT(MAX(('Formation Initiale'!$A$2:$A$999=$A80)*'Formation Initiale'!$G$2:$G$999)),"yyyy-mm-dd"),""))))))</f>
        <v>✓</v>
      </c>
      <c r="G80" s="131" t="str">
        <f aca="false">IF($Q80="✓","✓",IF(ISNUMBER($Q80),TEXT($Q80,"yyyy-mm-dd"),IF($A80="","",IF(SUMPRODUCT(('Agences &amp; Après-vente'!$A$2:$A$1000=$A80)*(('Agences &amp; Après-vente'!$D$2:$D$1000="Agences")+('Agences &amp; Après-vente'!$D$2:$D$1000="Agences et Après-vente"))*('Agences &amp; Après-vente'!$I$2:$I$1000="DONE"))&gt;0,"✓",IF(SUMPRODUCT(MAX(('Agences &amp; Après-vente'!$A$2:$A$1000=$A80)*(('Agences &amp; Après-vente'!$D$2:$D$1000="Agences")+('Agences &amp; Après-vente'!$D$2:$D$1000="Agences et Après-vente"))*'Agences &amp; Après-vente'!$E$2:$E$1000))&gt;0,TEXT(SUMPRODUCT(MAX(('Agences &amp; Après-vente'!$A$2:$A$1000=$A80)*(('Agences &amp; Après-vente'!$D$2:$D$1000="Agences")+('Agences &amp; Après-vente'!$D$2:$D$1000="Agences et Après-vente"))*'Agences &amp; Après-vente'!$E$2:$E$1000)),"yyyy-mm-dd"),"")))))</f>
        <v>✓</v>
      </c>
      <c r="H80" s="131" t="str">
        <f aca="false">IF($R80="✓","✓",IF(ISNUMBER($R80),TEXT($R80,"yyyy-mm-dd"),IF($A80="","",IF($D80="Lisbonne","",IF(SUMPRODUCT(('Agences &amp; Après-vente'!$A$2:$A$1000=$A80)*(('Agences &amp; Après-vente'!$D$2:$D$1000="Agences")+('Agences &amp; Après-vente'!$D$2:$D$1000="Agences et Après-vente"))*('Agences &amp; Après-vente'!$I$2:$I$1000="DONE"))&gt;0,"✓",IF(SUMPRODUCT(MAX(('Agences &amp; Après-vente'!$A$2:$A$1000=$A80)*(('Agences &amp; Après-vente'!$D$2:$D$1000="Agences")+('Agences &amp; Après-vente'!$D$2:$D$1000="Agences et Après-vente"))*'Agences &amp; Après-vente'!$E$2:$E$1000))&gt;0,TEXT(SUMPRODUCT(MAX(('Agences &amp; Après-vente'!$A$2:$A$1000=$A80)*(('Agences &amp; Après-vente'!$D$2:$D$1000="Agences")+('Agences &amp; Après-vente'!$D$2:$D$1000="Agences et Après-vente"))*'Agences &amp; Après-vente'!$E$2:$E$1000)),"yyyy-mm-dd"),""))))))</f>
        <v>✓</v>
      </c>
      <c r="I80" s="131" t="str">
        <f aca="false">IF($S80="✓","✓",IF(ISNUMBER($S80),TEXT($S80,"yyyy-mm-dd"),IF($A80="","",IF(SUMPRODUCT(('Agences &amp; Après-vente'!$A$2:$A$1000=$A80)*(('Agences &amp; Après-vente'!$D$2:$D$1000="Après-vente")+('Agences &amp; Après-vente'!$D$2:$D$1000="Agences et Après-vente"))*('Agences &amp; Après-vente'!$I$2:$I$1000="DONE"))&gt;0,"✓",IF(SUMPRODUCT(MAX(('Agences &amp; Après-vente'!$A$2:$A$1000=$A80)*(('Agences &amp; Après-vente'!$D$2:$D$1000="Après-vente")+('Agences &amp; Après-vente'!$D$2:$D$1000="Agences et Après-vente"))*'Agences &amp; Après-vente'!$E$2:$E$1000))&gt;0,TEXT(SUMPRODUCT(MAX(('Agences &amp; Après-vente'!$A$2:$A$1000=$A80)*(('Agences &amp; Après-vente'!$D$2:$D$1000="Après-vente")+('Agences &amp; Après-vente'!$D$2:$D$1000="Agences et Après-vente"))*'Agences &amp; Après-vente'!$E$2:$E$1000)),"yyyy-mm-dd"),"")))))</f>
        <v/>
      </c>
      <c r="J80" s="131" t="str">
        <f aca="false">IF($T80="✓","✓",IF(ISNUMBER($T80),TEXT($T80,"yyyy-mm-dd"),IF($A80="","",IF($D80="Lisbonne","",IF(SUMPRODUCT(('Agences &amp; Après-vente'!$A$2:$A$1000=$A80)*(('Agences &amp; Après-vente'!$D$2:$D$1000="Après-vente")+('Agences &amp; Après-vente'!$D$2:$D$1000="Agences et Après-vente"))*('Agences &amp; Après-vente'!$I$2:$I$1000="DONE"))&gt;0,"✓",IF(SUMPRODUCT(MAX(('Agences &amp; Après-vente'!$A$2:$A$1000=$A80)*(('Agences &amp; Après-vente'!$D$2:$D$1000="Après-vente")+('Agences &amp; Après-vente'!$D$2:$D$1000="Agences et Après-vente"))*'Agences &amp; Après-vente'!$E$2:$E$1000))&gt;0,TEXT(SUMPRODUCT(MAX(('Agences &amp; Après-vente'!$A$2:$A$1000=$A80)*(('Agences &amp; Après-vente'!$D$2:$D$1000="Après-vente")+('Agences &amp; Après-vente'!$D$2:$D$1000="Agences et Après-vente"))*'Agences &amp; Après-vente'!$E$2:$E$1000)),"yyyy-mm-dd"),""))))))</f>
        <v/>
      </c>
      <c r="K80" s="131" t="str">
        <f aca="false">IF($U80="✓","✓",IF(ISNUMBER($U80),TEXT($U80,"yyyy-mm-dd"),IF($D80="Lisbonne","",IF($A80="","",IF(SUMPRODUCT((Evermont!$A$2:$A$1000=$A80)*(Evermont!$Q$2:$Q$1000="Terminé"))&gt;0,"✓",IF(SUMPRODUCT(MAX((Evermont!$A$2:$A$1000=$A80)*Evermont!$F$2:$F$1000))&gt;0,TEXT(SUMPRODUCT(MAX((Evermont!$A$2:$A$1000=$A80)*Evermont!$F$2:$F$1000)),"yyyy-mm-dd"),""))))))</f>
        <v/>
      </c>
      <c r="L80" s="132" t="n">
        <f aca="false">IF($A80="","",COUNTIF(E80:K80,"✓"))</f>
        <v>4</v>
      </c>
      <c r="M80" s="133" t="s">
        <v>172</v>
      </c>
      <c r="O80" s="134" t="s">
        <v>173</v>
      </c>
      <c r="P80" s="134" t="s">
        <v>173</v>
      </c>
      <c r="Q80" s="134"/>
      <c r="R80" s="134"/>
      <c r="S80" s="134"/>
      <c r="T80" s="134"/>
      <c r="U80" s="134"/>
      <c r="W80" s="135" t="str">
        <f aca="false">IF($A80="","",IF($X80&lt;&gt;"",$X80,IFERROR(INDEX('Formation Initiale'!$B$2:$B$999,MATCH($A80,'Formation Initiale'!$A$2:$A$999,0)),"Général")))</f>
        <v>174</v>
      </c>
      <c r="X80" s="136"/>
    </row>
    <row r="81" customFormat="false" ht="18" hidden="true" customHeight="true" outlineLevel="0" collapsed="false">
      <c r="A81" s="127" t="s">
        <v>408</v>
      </c>
      <c r="B81" s="128" t="s">
        <v>409</v>
      </c>
      <c r="C81" s="128" t="s">
        <v>410</v>
      </c>
      <c r="D81" s="129" t="s">
        <v>171</v>
      </c>
      <c r="E81" s="130" t="str">
        <f aca="false">IF($O81="✓","✓",IF(ISNUMBER($O81),TEXT($O81,"yyyy-mm-dd"),IF($A81="","",IF(SUMPRODUCT(('Formation Initiale'!$A$2:$A$999=$A81)*('Formation Initiale'!$R$2:$R$999="Terminé"))&gt;0,"✓",IF(SUMPRODUCT(MAX(('Formation Initiale'!$A$2:$A$999=$A81)*'Formation Initiale'!$G$2:$G$999))&gt;0,TEXT(SUMPRODUCT(MAX(('Formation Initiale'!$A$2:$A$999=$A81)*'Formation Initiale'!$G$2:$G$999)),"yyyy-mm-dd"),"")))))</f>
        <v>✓</v>
      </c>
      <c r="F81" s="131" t="str">
        <f aca="false">IF($P81="✓","✓",IF(ISNUMBER($P81),TEXT($P81,"yyyy-mm-dd"),IF($A81="","",IF($D81="Lisbonne","",IF(SUMPRODUCT(('Formation Initiale'!$A$2:$A$999=$A81)*('Formation Initiale'!$R$2:$R$999="Terminé"))&gt;0,"✓",IF(SUMPRODUCT(MAX(('Formation Initiale'!$A$2:$A$999=$A81)*'Formation Initiale'!$G$2:$G$999))&gt;0,TEXT(SUMPRODUCT(MAX(('Formation Initiale'!$A$2:$A$999=$A81)*'Formation Initiale'!$G$2:$G$999)),"yyyy-mm-dd"),""))))))</f>
        <v>✓</v>
      </c>
      <c r="G81" s="131" t="str">
        <f aca="false">IF($Q81="✓","✓",IF(ISNUMBER($Q81),TEXT($Q81,"yyyy-mm-dd"),IF($A81="","",IF(SUMPRODUCT(('Agences &amp; Après-vente'!$A$2:$A$1000=$A81)*(('Agences &amp; Après-vente'!$D$2:$D$1000="Agences")+('Agences &amp; Après-vente'!$D$2:$D$1000="Agences et Après-vente"))*('Agences &amp; Après-vente'!$I$2:$I$1000="DONE"))&gt;0,"✓",IF(SUMPRODUCT(MAX(('Agences &amp; Après-vente'!$A$2:$A$1000=$A81)*(('Agences &amp; Après-vente'!$D$2:$D$1000="Agences")+('Agences &amp; Après-vente'!$D$2:$D$1000="Agences et Après-vente"))*'Agences &amp; Après-vente'!$E$2:$E$1000))&gt;0,TEXT(SUMPRODUCT(MAX(('Agences &amp; Après-vente'!$A$2:$A$1000=$A81)*(('Agences &amp; Après-vente'!$D$2:$D$1000="Agences")+('Agences &amp; Après-vente'!$D$2:$D$1000="Agences et Après-vente"))*'Agences &amp; Après-vente'!$E$2:$E$1000)),"yyyy-mm-dd"),"")))))</f>
        <v>✓</v>
      </c>
      <c r="H81" s="131" t="str">
        <f aca="false">IF($R81="✓","✓",IF(ISNUMBER($R81),TEXT($R81,"yyyy-mm-dd"),IF($A81="","",IF($D81="Lisbonne","",IF(SUMPRODUCT(('Agences &amp; Après-vente'!$A$2:$A$1000=$A81)*(('Agences &amp; Après-vente'!$D$2:$D$1000="Agences")+('Agences &amp; Après-vente'!$D$2:$D$1000="Agences et Après-vente"))*('Agences &amp; Après-vente'!$I$2:$I$1000="DONE"))&gt;0,"✓",IF(SUMPRODUCT(MAX(('Agences &amp; Après-vente'!$A$2:$A$1000=$A81)*(('Agences &amp; Après-vente'!$D$2:$D$1000="Agences")+('Agences &amp; Après-vente'!$D$2:$D$1000="Agences et Après-vente"))*'Agences &amp; Après-vente'!$E$2:$E$1000))&gt;0,TEXT(SUMPRODUCT(MAX(('Agences &amp; Après-vente'!$A$2:$A$1000=$A81)*(('Agences &amp; Après-vente'!$D$2:$D$1000="Agences")+('Agences &amp; Après-vente'!$D$2:$D$1000="Agences et Après-vente"))*'Agences &amp; Après-vente'!$E$2:$E$1000)),"yyyy-mm-dd"),""))))))</f>
        <v>✓</v>
      </c>
      <c r="I81" s="131" t="str">
        <f aca="false">IF($S81="✓","✓",IF(ISNUMBER($S81),TEXT($S81,"yyyy-mm-dd"),IF($A81="","",IF(SUMPRODUCT(('Agences &amp; Après-vente'!$A$2:$A$1000=$A81)*(('Agences &amp; Après-vente'!$D$2:$D$1000="Après-vente")+('Agences &amp; Après-vente'!$D$2:$D$1000="Agences et Après-vente"))*('Agences &amp; Après-vente'!$I$2:$I$1000="DONE"))&gt;0,"✓",IF(SUMPRODUCT(MAX(('Agences &amp; Après-vente'!$A$2:$A$1000=$A81)*(('Agences &amp; Après-vente'!$D$2:$D$1000="Après-vente")+('Agences &amp; Après-vente'!$D$2:$D$1000="Agences et Après-vente"))*'Agences &amp; Après-vente'!$E$2:$E$1000))&gt;0,TEXT(SUMPRODUCT(MAX(('Agences &amp; Après-vente'!$A$2:$A$1000=$A81)*(('Agences &amp; Après-vente'!$D$2:$D$1000="Après-vente")+('Agences &amp; Après-vente'!$D$2:$D$1000="Agences et Après-vente"))*'Agences &amp; Après-vente'!$E$2:$E$1000)),"yyyy-mm-dd"),"")))))</f>
        <v>✓</v>
      </c>
      <c r="J81" s="131" t="str">
        <f aca="false">IF($T81="✓","✓",IF(ISNUMBER($T81),TEXT($T81,"yyyy-mm-dd"),IF($A81="","",IF($D81="Lisbonne","",IF(SUMPRODUCT(('Agences &amp; Après-vente'!$A$2:$A$1000=$A81)*(('Agences &amp; Après-vente'!$D$2:$D$1000="Après-vente")+('Agences &amp; Après-vente'!$D$2:$D$1000="Agences et Après-vente"))*('Agences &amp; Après-vente'!$I$2:$I$1000="DONE"))&gt;0,"✓",IF(SUMPRODUCT(MAX(('Agences &amp; Après-vente'!$A$2:$A$1000=$A81)*(('Agences &amp; Après-vente'!$D$2:$D$1000="Après-vente")+('Agences &amp; Après-vente'!$D$2:$D$1000="Agences et Après-vente"))*'Agences &amp; Après-vente'!$E$2:$E$1000))&gt;0,TEXT(SUMPRODUCT(MAX(('Agences &amp; Après-vente'!$A$2:$A$1000=$A81)*(('Agences &amp; Après-vente'!$D$2:$D$1000="Après-vente")+('Agences &amp; Après-vente'!$D$2:$D$1000="Agences et Après-vente"))*'Agences &amp; Après-vente'!$E$2:$E$1000)),"yyyy-mm-dd"),""))))))</f>
        <v>✓</v>
      </c>
      <c r="K81" s="131" t="str">
        <f aca="false">IF($U81="✓","✓",IF(ISNUMBER($U81),TEXT($U81,"yyyy-mm-dd"),IF($D81="Lisbonne","",IF($A81="","",IF(SUMPRODUCT((Evermont!$A$2:$A$1000=$A81)*(Evermont!$Q$2:$Q$1000="Terminé"))&gt;0,"✓",IF(SUMPRODUCT(MAX((Evermont!$A$2:$A$1000=$A81)*Evermont!$F$2:$F$1000))&gt;0,TEXT(SUMPRODUCT(MAX((Evermont!$A$2:$A$1000=$A81)*Evermont!$F$2:$F$1000)),"yyyy-mm-dd"),""))))))</f>
        <v>✓</v>
      </c>
      <c r="L81" s="132" t="n">
        <f aca="false">IF($A81="","",COUNTIF(E81:K81,"✓"))</f>
        <v>7</v>
      </c>
      <c r="M81" s="133" t="s">
        <v>172</v>
      </c>
      <c r="O81" s="134" t="s">
        <v>173</v>
      </c>
      <c r="P81" s="134" t="s">
        <v>173</v>
      </c>
      <c r="Q81" s="134" t="s">
        <v>173</v>
      </c>
      <c r="R81" s="134" t="s">
        <v>173</v>
      </c>
      <c r="S81" s="134" t="s">
        <v>173</v>
      </c>
      <c r="T81" s="134" t="s">
        <v>173</v>
      </c>
      <c r="U81" s="134" t="s">
        <v>173</v>
      </c>
      <c r="W81" s="135" t="str">
        <f aca="false">IF($A81="","",IF($X81&lt;&gt;"",$X81,IFERROR(INDEX('Formation Initiale'!$B$2:$B$999,MATCH($A81,'Formation Initiale'!$A$2:$A$999,0)),"Général")))</f>
        <v>Général</v>
      </c>
      <c r="X81" s="136"/>
    </row>
    <row r="82" customFormat="false" ht="18" hidden="true" customHeight="true" outlineLevel="0" collapsed="false">
      <c r="A82" s="137" t="s">
        <v>411</v>
      </c>
      <c r="B82" s="128" t="s">
        <v>412</v>
      </c>
      <c r="C82" s="128" t="s">
        <v>413</v>
      </c>
      <c r="D82" s="129" t="s">
        <v>186</v>
      </c>
      <c r="E82" s="130" t="str">
        <f aca="false">IF($O82="✓","✓",IF(ISNUMBER($O82),TEXT($O82,"yyyy-mm-dd"),IF($A82="","",IF(SUMPRODUCT(('Formation Initiale'!$A$2:$A$999=$A82)*('Formation Initiale'!$R$2:$R$999="Terminé"))&gt;0,"✓",IF(SUMPRODUCT(MAX(('Formation Initiale'!$A$2:$A$999=$A82)*'Formation Initiale'!$G$2:$G$999))&gt;0,TEXT(SUMPRODUCT(MAX(('Formation Initiale'!$A$2:$A$999=$A82)*'Formation Initiale'!$G$2:$G$999)),"yyyy-mm-dd"),"")))))</f>
        <v>✓</v>
      </c>
      <c r="F82" s="131" t="str">
        <f aca="false">IF($P82="✓","✓",IF(ISNUMBER($P82),TEXT($P82,"yyyy-mm-dd"),IF($A82="","",IF($D82="Lisbonne","",IF(SUMPRODUCT(('Formation Initiale'!$A$2:$A$999=$A82)*('Formation Initiale'!$R$2:$R$999="Terminé"))&gt;0,"✓",IF(SUMPRODUCT(MAX(('Formation Initiale'!$A$2:$A$999=$A82)*'Formation Initiale'!$G$2:$G$999))&gt;0,TEXT(SUMPRODUCT(MAX(('Formation Initiale'!$A$2:$A$999=$A82)*'Formation Initiale'!$G$2:$G$999)),"yyyy-mm-dd"),""))))))</f>
        <v/>
      </c>
      <c r="G82" s="131" t="str">
        <f aca="false">IF($Q82="✓","✓",IF(ISNUMBER($Q82),TEXT($Q82,"yyyy-mm-dd"),IF($A82="","",IF(SUMPRODUCT(('Agences &amp; Après-vente'!$A$2:$A$1000=$A82)*(('Agences &amp; Après-vente'!$D$2:$D$1000="Agences")+('Agences &amp; Après-vente'!$D$2:$D$1000="Agences et Après-vente"))*('Agences &amp; Après-vente'!$I$2:$I$1000="DONE"))&gt;0,"✓",IF(SUMPRODUCT(MAX(('Agences &amp; Après-vente'!$A$2:$A$1000=$A82)*(('Agences &amp; Après-vente'!$D$2:$D$1000="Agences")+('Agences &amp; Après-vente'!$D$2:$D$1000="Agences et Après-vente"))*'Agences &amp; Après-vente'!$E$2:$E$1000))&gt;0,TEXT(SUMPRODUCT(MAX(('Agences &amp; Après-vente'!$A$2:$A$1000=$A82)*(('Agences &amp; Après-vente'!$D$2:$D$1000="Agences")+('Agences &amp; Après-vente'!$D$2:$D$1000="Agences et Après-vente"))*'Agences &amp; Après-vente'!$E$2:$E$1000)),"yyyy-mm-dd"),"")))))</f>
        <v>✓</v>
      </c>
      <c r="H82" s="131" t="str">
        <f aca="false">IF($R82="✓","✓",IF(ISNUMBER($R82),TEXT($R82,"yyyy-mm-dd"),IF($A82="","",IF($D82="Lisbonne","",IF(SUMPRODUCT(('Agences &amp; Après-vente'!$A$2:$A$1000=$A82)*(('Agences &amp; Après-vente'!$D$2:$D$1000="Agences")+('Agences &amp; Après-vente'!$D$2:$D$1000="Agences et Après-vente"))*('Agences &amp; Après-vente'!$I$2:$I$1000="DONE"))&gt;0,"✓",IF(SUMPRODUCT(MAX(('Agences &amp; Après-vente'!$A$2:$A$1000=$A82)*(('Agences &amp; Après-vente'!$D$2:$D$1000="Agences")+('Agences &amp; Après-vente'!$D$2:$D$1000="Agences et Après-vente"))*'Agences &amp; Après-vente'!$E$2:$E$1000))&gt;0,TEXT(SUMPRODUCT(MAX(('Agences &amp; Après-vente'!$A$2:$A$1000=$A82)*(('Agences &amp; Après-vente'!$D$2:$D$1000="Agences")+('Agences &amp; Après-vente'!$D$2:$D$1000="Agences et Après-vente"))*'Agences &amp; Après-vente'!$E$2:$E$1000)),"yyyy-mm-dd"),""))))))</f>
        <v/>
      </c>
      <c r="I82" s="131" t="str">
        <f aca="false">IF($S82="✓","✓",IF(ISNUMBER($S82),TEXT($S82,"yyyy-mm-dd"),IF($A82="","",IF(SUMPRODUCT(('Agences &amp; Après-vente'!$A$2:$A$1000=$A82)*(('Agences &amp; Après-vente'!$D$2:$D$1000="Après-vente")+('Agences &amp; Après-vente'!$D$2:$D$1000="Agences et Après-vente"))*('Agences &amp; Après-vente'!$I$2:$I$1000="DONE"))&gt;0,"✓",IF(SUMPRODUCT(MAX(('Agences &amp; Après-vente'!$A$2:$A$1000=$A82)*(('Agences &amp; Après-vente'!$D$2:$D$1000="Après-vente")+('Agences &amp; Après-vente'!$D$2:$D$1000="Agences et Après-vente"))*'Agences &amp; Après-vente'!$E$2:$E$1000))&gt;0,TEXT(SUMPRODUCT(MAX(('Agences &amp; Après-vente'!$A$2:$A$1000=$A82)*(('Agences &amp; Après-vente'!$D$2:$D$1000="Après-vente")+('Agences &amp; Après-vente'!$D$2:$D$1000="Agences et Après-vente"))*'Agences &amp; Après-vente'!$E$2:$E$1000)),"yyyy-mm-dd"),"")))))</f>
        <v>✓</v>
      </c>
      <c r="J82" s="131" t="str">
        <f aca="false">IF($T82="✓","✓",IF(ISNUMBER($T82),TEXT($T82,"yyyy-mm-dd"),IF($A82="","",IF($D82="Lisbonne","",IF(SUMPRODUCT(('Agences &amp; Après-vente'!$A$2:$A$1000=$A82)*(('Agences &amp; Après-vente'!$D$2:$D$1000="Après-vente")+('Agences &amp; Après-vente'!$D$2:$D$1000="Agences et Après-vente"))*('Agences &amp; Après-vente'!$I$2:$I$1000="DONE"))&gt;0,"✓",IF(SUMPRODUCT(MAX(('Agences &amp; Après-vente'!$A$2:$A$1000=$A82)*(('Agences &amp; Après-vente'!$D$2:$D$1000="Après-vente")+('Agences &amp; Après-vente'!$D$2:$D$1000="Agences et Après-vente"))*'Agences &amp; Après-vente'!$E$2:$E$1000))&gt;0,TEXT(SUMPRODUCT(MAX(('Agences &amp; Après-vente'!$A$2:$A$1000=$A82)*(('Agences &amp; Après-vente'!$D$2:$D$1000="Après-vente")+('Agences &amp; Après-vente'!$D$2:$D$1000="Agences et Après-vente"))*'Agences &amp; Après-vente'!$E$2:$E$1000)),"yyyy-mm-dd"),""))))))</f>
        <v/>
      </c>
      <c r="K82" s="131" t="str">
        <f aca="false">IF($U82="✓","✓",IF(ISNUMBER($U82),TEXT($U82,"yyyy-mm-dd"),IF($D82="Lisbonne","",IF($A82="","",IF(SUMPRODUCT((Evermont!$A$2:$A$1000=$A82)*(Evermont!$Q$2:$Q$1000="Terminé"))&gt;0,"✓",IF(SUMPRODUCT(MAX((Evermont!$A$2:$A$1000=$A82)*Evermont!$F$2:$F$1000))&gt;0,TEXT(SUMPRODUCT(MAX((Evermont!$A$2:$A$1000=$A82)*Evermont!$F$2:$F$1000)),"yyyy-mm-dd"),""))))))</f>
        <v/>
      </c>
      <c r="L82" s="132" t="n">
        <f aca="false">IF($A82="","",COUNTIF(E82:K82,"✓"))</f>
        <v>3</v>
      </c>
      <c r="M82" s="133" t="s">
        <v>172</v>
      </c>
      <c r="O82" s="134" t="s">
        <v>173</v>
      </c>
      <c r="P82" s="134"/>
      <c r="Q82" s="134" t="s">
        <v>173</v>
      </c>
      <c r="R82" s="134"/>
      <c r="S82" s="134"/>
      <c r="T82" s="134"/>
      <c r="U82" s="134"/>
      <c r="W82" s="135" t="str">
        <f aca="false">IF($A82="","",IF($X82&lt;&gt;"",$X82,IFERROR(INDEX('Formation Initiale'!$B$2:$B$999,MATCH($A82,'Formation Initiale'!$A$2:$A$999,0)),"Général")))</f>
        <v>OS5</v>
      </c>
      <c r="X82" s="136"/>
    </row>
    <row r="83" customFormat="false" ht="18" hidden="true" customHeight="true" outlineLevel="0" collapsed="false">
      <c r="A83" s="127" t="s">
        <v>414</v>
      </c>
      <c r="B83" s="128" t="s">
        <v>415</v>
      </c>
      <c r="C83" s="128" t="s">
        <v>416</v>
      </c>
      <c r="D83" s="129" t="s">
        <v>171</v>
      </c>
      <c r="E83" s="130" t="str">
        <f aca="false">IF($O83="✓","✓",IF(ISNUMBER($O83),TEXT($O83,"yyyy-mm-dd"),IF($A83="","",IF(SUMPRODUCT(('Formation Initiale'!$A$2:$A$999=$A83)*('Formation Initiale'!$R$2:$R$999="Terminé"))&gt;0,"✓",IF(SUMPRODUCT(MAX(('Formation Initiale'!$A$2:$A$999=$A83)*'Formation Initiale'!$G$2:$G$999))&gt;0,TEXT(SUMPRODUCT(MAX(('Formation Initiale'!$A$2:$A$999=$A83)*'Formation Initiale'!$G$2:$G$999)),"yyyy-mm-dd"),"")))))</f>
        <v>✓</v>
      </c>
      <c r="F83" s="131" t="str">
        <f aca="false">IF($P83="✓","✓",IF(ISNUMBER($P83),TEXT($P83,"yyyy-mm-dd"),IF($A83="","",IF($D83="Lisbonne","",IF(SUMPRODUCT(('Formation Initiale'!$A$2:$A$999=$A83)*('Formation Initiale'!$R$2:$R$999="Terminé"))&gt;0,"✓",IF(SUMPRODUCT(MAX(('Formation Initiale'!$A$2:$A$999=$A83)*'Formation Initiale'!$G$2:$G$999))&gt;0,TEXT(SUMPRODUCT(MAX(('Formation Initiale'!$A$2:$A$999=$A83)*'Formation Initiale'!$G$2:$G$999)),"yyyy-mm-dd"),""))))))</f>
        <v>✓</v>
      </c>
      <c r="G83" s="131" t="str">
        <f aca="false">IF($Q83="✓","✓",IF(ISNUMBER($Q83),TEXT($Q83,"yyyy-mm-dd"),IF($A83="","",IF(SUMPRODUCT(('Agences &amp; Après-vente'!$A$2:$A$1000=$A83)*(('Agences &amp; Après-vente'!$D$2:$D$1000="Agences")+('Agences &amp; Après-vente'!$D$2:$D$1000="Agences et Après-vente"))*('Agences &amp; Après-vente'!$I$2:$I$1000="DONE"))&gt;0,"✓",IF(SUMPRODUCT(MAX(('Agences &amp; Après-vente'!$A$2:$A$1000=$A83)*(('Agences &amp; Après-vente'!$D$2:$D$1000="Agences")+('Agences &amp; Après-vente'!$D$2:$D$1000="Agences et Après-vente"))*'Agences &amp; Après-vente'!$E$2:$E$1000))&gt;0,TEXT(SUMPRODUCT(MAX(('Agences &amp; Après-vente'!$A$2:$A$1000=$A83)*(('Agences &amp; Après-vente'!$D$2:$D$1000="Agences")+('Agences &amp; Après-vente'!$D$2:$D$1000="Agences et Après-vente"))*'Agences &amp; Après-vente'!$E$2:$E$1000)),"yyyy-mm-dd"),"")))))</f>
        <v>✓</v>
      </c>
      <c r="H83" s="131" t="str">
        <f aca="false">IF($R83="✓","✓",IF(ISNUMBER($R83),TEXT($R83,"yyyy-mm-dd"),IF($A83="","",IF($D83="Lisbonne","",IF(SUMPRODUCT(('Agences &amp; Après-vente'!$A$2:$A$1000=$A83)*(('Agences &amp; Après-vente'!$D$2:$D$1000="Agences")+('Agences &amp; Après-vente'!$D$2:$D$1000="Agences et Après-vente"))*('Agences &amp; Après-vente'!$I$2:$I$1000="DONE"))&gt;0,"✓",IF(SUMPRODUCT(MAX(('Agences &amp; Après-vente'!$A$2:$A$1000=$A83)*(('Agences &amp; Après-vente'!$D$2:$D$1000="Agences")+('Agences &amp; Après-vente'!$D$2:$D$1000="Agences et Après-vente"))*'Agences &amp; Après-vente'!$E$2:$E$1000))&gt;0,TEXT(SUMPRODUCT(MAX(('Agences &amp; Après-vente'!$A$2:$A$1000=$A83)*(('Agences &amp; Après-vente'!$D$2:$D$1000="Agences")+('Agences &amp; Après-vente'!$D$2:$D$1000="Agences et Après-vente"))*'Agences &amp; Après-vente'!$E$2:$E$1000)),"yyyy-mm-dd"),""))))))</f>
        <v>✓</v>
      </c>
      <c r="I83" s="131" t="str">
        <f aca="false">IF($S83="✓","✓",IF(ISNUMBER($S83),TEXT($S83,"yyyy-mm-dd"),IF($A83="","",IF(SUMPRODUCT(('Agences &amp; Après-vente'!$A$2:$A$1000=$A83)*(('Agences &amp; Après-vente'!$D$2:$D$1000="Après-vente")+('Agences &amp; Après-vente'!$D$2:$D$1000="Agences et Après-vente"))*('Agences &amp; Après-vente'!$I$2:$I$1000="DONE"))&gt;0,"✓",IF(SUMPRODUCT(MAX(('Agences &amp; Après-vente'!$A$2:$A$1000=$A83)*(('Agences &amp; Après-vente'!$D$2:$D$1000="Après-vente")+('Agences &amp; Après-vente'!$D$2:$D$1000="Agences et Après-vente"))*'Agences &amp; Après-vente'!$E$2:$E$1000))&gt;0,TEXT(SUMPRODUCT(MAX(('Agences &amp; Après-vente'!$A$2:$A$1000=$A83)*(('Agences &amp; Après-vente'!$D$2:$D$1000="Après-vente")+('Agences &amp; Après-vente'!$D$2:$D$1000="Agences et Après-vente"))*'Agences &amp; Après-vente'!$E$2:$E$1000)),"yyyy-mm-dd"),"")))))</f>
        <v>✓</v>
      </c>
      <c r="J83" s="131" t="str">
        <f aca="false">IF($T83="✓","✓",IF(ISNUMBER($T83),TEXT($T83,"yyyy-mm-dd"),IF($A83="","",IF($D83="Lisbonne","",IF(SUMPRODUCT(('Agences &amp; Après-vente'!$A$2:$A$1000=$A83)*(('Agences &amp; Après-vente'!$D$2:$D$1000="Après-vente")+('Agences &amp; Après-vente'!$D$2:$D$1000="Agences et Après-vente"))*('Agences &amp; Après-vente'!$I$2:$I$1000="DONE"))&gt;0,"✓",IF(SUMPRODUCT(MAX(('Agences &amp; Après-vente'!$A$2:$A$1000=$A83)*(('Agences &amp; Après-vente'!$D$2:$D$1000="Après-vente")+('Agences &amp; Après-vente'!$D$2:$D$1000="Agences et Après-vente"))*'Agences &amp; Après-vente'!$E$2:$E$1000))&gt;0,TEXT(SUMPRODUCT(MAX(('Agences &amp; Après-vente'!$A$2:$A$1000=$A83)*(('Agences &amp; Après-vente'!$D$2:$D$1000="Après-vente")+('Agences &amp; Après-vente'!$D$2:$D$1000="Agences et Après-vente"))*'Agences &amp; Après-vente'!$E$2:$E$1000)),"yyyy-mm-dd"),""))))))</f>
        <v>✓</v>
      </c>
      <c r="K83" s="131" t="str">
        <f aca="false">IF($U83="✓","✓",IF(ISNUMBER($U83),TEXT($U83,"yyyy-mm-dd"),IF($D83="Lisbonne","",IF($A83="","",IF(SUMPRODUCT((Evermont!$A$2:$A$1000=$A83)*(Evermont!$Q$2:$Q$1000="Terminé"))&gt;0,"✓",IF(SUMPRODUCT(MAX((Evermont!$A$2:$A$1000=$A83)*Evermont!$F$2:$F$1000))&gt;0,TEXT(SUMPRODUCT(MAX((Evermont!$A$2:$A$1000=$A83)*Evermont!$F$2:$F$1000)),"yyyy-mm-dd"),""))))))</f>
        <v>✓</v>
      </c>
      <c r="L83" s="132" t="n">
        <f aca="false">IF($A83="","",COUNTIF(E83:K83,"✓"))</f>
        <v>7</v>
      </c>
      <c r="M83" s="133" t="s">
        <v>172</v>
      </c>
      <c r="O83" s="134" t="s">
        <v>173</v>
      </c>
      <c r="P83" s="134" t="s">
        <v>173</v>
      </c>
      <c r="Q83" s="134" t="s">
        <v>173</v>
      </c>
      <c r="R83" s="134" t="s">
        <v>173</v>
      </c>
      <c r="S83" s="134" t="s">
        <v>173</v>
      </c>
      <c r="T83" s="134" t="s">
        <v>173</v>
      </c>
      <c r="U83" s="134" t="s">
        <v>173</v>
      </c>
      <c r="W83" s="135" t="str">
        <f aca="false">IF($A83="","",IF($X83&lt;&gt;"",$X83,IFERROR(INDEX('Formation Initiale'!$B$2:$B$999,MATCH($A83,'Formation Initiale'!$A$2:$A$999,0)),"Général")))</f>
        <v>Général</v>
      </c>
      <c r="X83" s="136"/>
    </row>
    <row r="84" customFormat="false" ht="18" hidden="true" customHeight="true" outlineLevel="0" collapsed="false">
      <c r="A84" s="127" t="s">
        <v>417</v>
      </c>
      <c r="B84" s="128" t="s">
        <v>418</v>
      </c>
      <c r="C84" s="128" t="s">
        <v>419</v>
      </c>
      <c r="D84" s="129" t="s">
        <v>171</v>
      </c>
      <c r="E84" s="130" t="str">
        <f aca="false">IF($O84="✓","✓",IF(ISNUMBER($O84),TEXT($O84,"yyyy-mm-dd"),IF($A84="","",IF(SUMPRODUCT(('Formation Initiale'!$A$2:$A$999=$A84)*('Formation Initiale'!$R$2:$R$999="Terminé"))&gt;0,"✓",IF(SUMPRODUCT(MAX(('Formation Initiale'!$A$2:$A$999=$A84)*'Formation Initiale'!$G$2:$G$999))&gt;0,TEXT(SUMPRODUCT(MAX(('Formation Initiale'!$A$2:$A$999=$A84)*'Formation Initiale'!$G$2:$G$999)),"yyyy-mm-dd"),"")))))</f>
        <v>✓</v>
      </c>
      <c r="F84" s="131" t="str">
        <f aca="false">IF($P84="✓","✓",IF(ISNUMBER($P84),TEXT($P84,"yyyy-mm-dd"),IF($A84="","",IF($D84="Lisbonne","",IF(SUMPRODUCT(('Formation Initiale'!$A$2:$A$999=$A84)*('Formation Initiale'!$R$2:$R$999="Terminé"))&gt;0,"✓",IF(SUMPRODUCT(MAX(('Formation Initiale'!$A$2:$A$999=$A84)*'Formation Initiale'!$G$2:$G$999))&gt;0,TEXT(SUMPRODUCT(MAX(('Formation Initiale'!$A$2:$A$999=$A84)*'Formation Initiale'!$G$2:$G$999)),"yyyy-mm-dd"),""))))))</f>
        <v>✓</v>
      </c>
      <c r="G84" s="131" t="str">
        <f aca="false">IF($Q84="✓","✓",IF(ISNUMBER($Q84),TEXT($Q84,"yyyy-mm-dd"),IF($A84="","",IF(SUMPRODUCT(('Agences &amp; Après-vente'!$A$2:$A$1000=$A84)*(('Agences &amp; Après-vente'!$D$2:$D$1000="Agences")+('Agences &amp; Après-vente'!$D$2:$D$1000="Agences et Après-vente"))*('Agences &amp; Après-vente'!$I$2:$I$1000="DONE"))&gt;0,"✓",IF(SUMPRODUCT(MAX(('Agences &amp; Après-vente'!$A$2:$A$1000=$A84)*(('Agences &amp; Après-vente'!$D$2:$D$1000="Agences")+('Agences &amp; Après-vente'!$D$2:$D$1000="Agences et Après-vente"))*'Agences &amp; Après-vente'!$E$2:$E$1000))&gt;0,TEXT(SUMPRODUCT(MAX(('Agences &amp; Après-vente'!$A$2:$A$1000=$A84)*(('Agences &amp; Après-vente'!$D$2:$D$1000="Agences")+('Agences &amp; Après-vente'!$D$2:$D$1000="Agences et Après-vente"))*'Agences &amp; Après-vente'!$E$2:$E$1000)),"yyyy-mm-dd"),"")))))</f>
        <v>✓</v>
      </c>
      <c r="H84" s="131" t="str">
        <f aca="false">IF($R84="✓","✓",IF(ISNUMBER($R84),TEXT($R84,"yyyy-mm-dd"),IF($A84="","",IF($D84="Lisbonne","",IF(SUMPRODUCT(('Agences &amp; Après-vente'!$A$2:$A$1000=$A84)*(('Agences &amp; Après-vente'!$D$2:$D$1000="Agences")+('Agences &amp; Après-vente'!$D$2:$D$1000="Agences et Après-vente"))*('Agences &amp; Après-vente'!$I$2:$I$1000="DONE"))&gt;0,"✓",IF(SUMPRODUCT(MAX(('Agences &amp; Après-vente'!$A$2:$A$1000=$A84)*(('Agences &amp; Après-vente'!$D$2:$D$1000="Agences")+('Agences &amp; Après-vente'!$D$2:$D$1000="Agences et Après-vente"))*'Agences &amp; Après-vente'!$E$2:$E$1000))&gt;0,TEXT(SUMPRODUCT(MAX(('Agences &amp; Après-vente'!$A$2:$A$1000=$A84)*(('Agences &amp; Après-vente'!$D$2:$D$1000="Agences")+('Agences &amp; Après-vente'!$D$2:$D$1000="Agences et Après-vente"))*'Agences &amp; Après-vente'!$E$2:$E$1000)),"yyyy-mm-dd"),""))))))</f>
        <v>✓</v>
      </c>
      <c r="I84" s="131" t="str">
        <f aca="false">IF($S84="✓","✓",IF(ISNUMBER($S84),TEXT($S84,"yyyy-mm-dd"),IF($A84="","",IF(SUMPRODUCT(('Agences &amp; Après-vente'!$A$2:$A$1000=$A84)*(('Agences &amp; Après-vente'!$D$2:$D$1000="Après-vente")+('Agences &amp; Après-vente'!$D$2:$D$1000="Agences et Après-vente"))*('Agences &amp; Après-vente'!$I$2:$I$1000="DONE"))&gt;0,"✓",IF(SUMPRODUCT(MAX(('Agences &amp; Après-vente'!$A$2:$A$1000=$A84)*(('Agences &amp; Après-vente'!$D$2:$D$1000="Après-vente")+('Agences &amp; Après-vente'!$D$2:$D$1000="Agences et Après-vente"))*'Agences &amp; Après-vente'!$E$2:$E$1000))&gt;0,TEXT(SUMPRODUCT(MAX(('Agences &amp; Après-vente'!$A$2:$A$1000=$A84)*(('Agences &amp; Après-vente'!$D$2:$D$1000="Après-vente")+('Agences &amp; Après-vente'!$D$2:$D$1000="Agences et Après-vente"))*'Agences &amp; Après-vente'!$E$2:$E$1000)),"yyyy-mm-dd"),"")))))</f>
        <v>✓</v>
      </c>
      <c r="J84" s="131" t="str">
        <f aca="false">IF($T84="✓","✓",IF(ISNUMBER($T84),TEXT($T84,"yyyy-mm-dd"),IF($A84="","",IF($D84="Lisbonne","",IF(SUMPRODUCT(('Agences &amp; Après-vente'!$A$2:$A$1000=$A84)*(('Agences &amp; Après-vente'!$D$2:$D$1000="Après-vente")+('Agences &amp; Après-vente'!$D$2:$D$1000="Agences et Après-vente"))*('Agences &amp; Après-vente'!$I$2:$I$1000="DONE"))&gt;0,"✓",IF(SUMPRODUCT(MAX(('Agences &amp; Après-vente'!$A$2:$A$1000=$A84)*(('Agences &amp; Après-vente'!$D$2:$D$1000="Après-vente")+('Agences &amp; Après-vente'!$D$2:$D$1000="Agences et Après-vente"))*'Agences &amp; Après-vente'!$E$2:$E$1000))&gt;0,TEXT(SUMPRODUCT(MAX(('Agences &amp; Après-vente'!$A$2:$A$1000=$A84)*(('Agences &amp; Après-vente'!$D$2:$D$1000="Après-vente")+('Agences &amp; Après-vente'!$D$2:$D$1000="Agences et Après-vente"))*'Agences &amp; Après-vente'!$E$2:$E$1000)),"yyyy-mm-dd"),""))))))</f>
        <v>✓</v>
      </c>
      <c r="K84" s="131" t="str">
        <f aca="false">IF($U84="✓","✓",IF(ISNUMBER($U84),TEXT($U84,"yyyy-mm-dd"),IF($D84="Lisbonne","",IF($A84="","",IF(SUMPRODUCT((Evermont!$A$2:$A$1000=$A84)*(Evermont!$Q$2:$Q$1000="Terminé"))&gt;0,"✓",IF(SUMPRODUCT(MAX((Evermont!$A$2:$A$1000=$A84)*Evermont!$F$2:$F$1000))&gt;0,TEXT(SUMPRODUCT(MAX((Evermont!$A$2:$A$1000=$A84)*Evermont!$F$2:$F$1000)),"yyyy-mm-dd"),""))))))</f>
        <v>✓</v>
      </c>
      <c r="L84" s="132" t="n">
        <f aca="false">IF($A84="","",COUNTIF(E84:K84,"✓"))</f>
        <v>7</v>
      </c>
      <c r="M84" s="133" t="s">
        <v>172</v>
      </c>
      <c r="O84" s="134" t="s">
        <v>173</v>
      </c>
      <c r="P84" s="134" t="s">
        <v>173</v>
      </c>
      <c r="Q84" s="134" t="s">
        <v>173</v>
      </c>
      <c r="R84" s="134" t="s">
        <v>173</v>
      </c>
      <c r="S84" s="134"/>
      <c r="T84" s="134"/>
      <c r="U84" s="134" t="s">
        <v>173</v>
      </c>
      <c r="W84" s="135" t="str">
        <f aca="false">IF($A84="","",IF($X84&lt;&gt;"",$X84,IFERROR(INDEX('Formation Initiale'!$B$2:$B$999,MATCH($A84,'Formation Initiale'!$A$2:$A$999,0)),"Général")))</f>
        <v>Général</v>
      </c>
      <c r="X84" s="136"/>
    </row>
    <row r="85" customFormat="false" ht="18" hidden="true" customHeight="true" outlineLevel="0" collapsed="false">
      <c r="A85" s="127" t="s">
        <v>420</v>
      </c>
      <c r="B85" s="128" t="s">
        <v>421</v>
      </c>
      <c r="C85" s="128" t="s">
        <v>422</v>
      </c>
      <c r="D85" s="129" t="s">
        <v>171</v>
      </c>
      <c r="E85" s="130" t="str">
        <f aca="false">IF($O85="✓","✓",IF(ISNUMBER($O85),TEXT($O85,"yyyy-mm-dd"),IF($A85="","",IF(SUMPRODUCT(('Formation Initiale'!$A$2:$A$999=$A85)*('Formation Initiale'!$R$2:$R$999="Terminé"))&gt;0,"✓",IF(SUMPRODUCT(MAX(('Formation Initiale'!$A$2:$A$999=$A85)*'Formation Initiale'!$G$2:$G$999))&gt;0,TEXT(SUMPRODUCT(MAX(('Formation Initiale'!$A$2:$A$999=$A85)*'Formation Initiale'!$G$2:$G$999)),"yyyy-mm-dd"),"")))))</f>
        <v>✓</v>
      </c>
      <c r="F85" s="131" t="str">
        <f aca="false">IF($P85="✓","✓",IF(ISNUMBER($P85),TEXT($P85,"yyyy-mm-dd"),IF($A85="","",IF($D85="Lisbonne","",IF(SUMPRODUCT(('Formation Initiale'!$A$2:$A$999=$A85)*('Formation Initiale'!$R$2:$R$999="Terminé"))&gt;0,"✓",IF(SUMPRODUCT(MAX(('Formation Initiale'!$A$2:$A$999=$A85)*'Formation Initiale'!$G$2:$G$999))&gt;0,TEXT(SUMPRODUCT(MAX(('Formation Initiale'!$A$2:$A$999=$A85)*'Formation Initiale'!$G$2:$G$999)),"yyyy-mm-dd"),""))))))</f>
        <v>✓</v>
      </c>
      <c r="G85" s="131" t="str">
        <f aca="false">IF($Q85="✓","✓",IF(ISNUMBER($Q85),TEXT($Q85,"yyyy-mm-dd"),IF($A85="","",IF(SUMPRODUCT(('Agences &amp; Après-vente'!$A$2:$A$1000=$A85)*(('Agences &amp; Après-vente'!$D$2:$D$1000="Agences")+('Agences &amp; Après-vente'!$D$2:$D$1000="Agences et Après-vente"))*('Agences &amp; Après-vente'!$I$2:$I$1000="DONE"))&gt;0,"✓",IF(SUMPRODUCT(MAX(('Agences &amp; Après-vente'!$A$2:$A$1000=$A85)*(('Agences &amp; Après-vente'!$D$2:$D$1000="Agences")+('Agences &amp; Après-vente'!$D$2:$D$1000="Agences et Après-vente"))*'Agences &amp; Après-vente'!$E$2:$E$1000))&gt;0,TEXT(SUMPRODUCT(MAX(('Agences &amp; Après-vente'!$A$2:$A$1000=$A85)*(('Agences &amp; Après-vente'!$D$2:$D$1000="Agences")+('Agences &amp; Après-vente'!$D$2:$D$1000="Agences et Après-vente"))*'Agences &amp; Après-vente'!$E$2:$E$1000)),"yyyy-mm-dd"),"")))))</f>
        <v/>
      </c>
      <c r="H85" s="131" t="str">
        <f aca="false">IF($R85="✓","✓",IF(ISNUMBER($R85),TEXT($R85,"yyyy-mm-dd"),IF($A85="","",IF($D85="Lisbonne","",IF(SUMPRODUCT(('Agences &amp; Après-vente'!$A$2:$A$1000=$A85)*(('Agences &amp; Après-vente'!$D$2:$D$1000="Agences")+('Agences &amp; Après-vente'!$D$2:$D$1000="Agences et Après-vente"))*('Agences &amp; Après-vente'!$I$2:$I$1000="DONE"))&gt;0,"✓",IF(SUMPRODUCT(MAX(('Agences &amp; Après-vente'!$A$2:$A$1000=$A85)*(('Agences &amp; Après-vente'!$D$2:$D$1000="Agences")+('Agences &amp; Après-vente'!$D$2:$D$1000="Agences et Après-vente"))*'Agences &amp; Après-vente'!$E$2:$E$1000))&gt;0,TEXT(SUMPRODUCT(MAX(('Agences &amp; Après-vente'!$A$2:$A$1000=$A85)*(('Agences &amp; Après-vente'!$D$2:$D$1000="Agences")+('Agences &amp; Après-vente'!$D$2:$D$1000="Agences et Après-vente"))*'Agences &amp; Après-vente'!$E$2:$E$1000)),"yyyy-mm-dd"),""))))))</f>
        <v/>
      </c>
      <c r="I85" s="131" t="str">
        <f aca="false">IF($S85="✓","✓",IF(ISNUMBER($S85),TEXT($S85,"yyyy-mm-dd"),IF($A85="","",IF(SUMPRODUCT(('Agences &amp; Après-vente'!$A$2:$A$1000=$A85)*(('Agences &amp; Après-vente'!$D$2:$D$1000="Après-vente")+('Agences &amp; Après-vente'!$D$2:$D$1000="Agences et Après-vente"))*('Agences &amp; Après-vente'!$I$2:$I$1000="DONE"))&gt;0,"✓",IF(SUMPRODUCT(MAX(('Agences &amp; Après-vente'!$A$2:$A$1000=$A85)*(('Agences &amp; Après-vente'!$D$2:$D$1000="Après-vente")+('Agences &amp; Après-vente'!$D$2:$D$1000="Agences et Après-vente"))*'Agences &amp; Après-vente'!$E$2:$E$1000))&gt;0,TEXT(SUMPRODUCT(MAX(('Agences &amp; Après-vente'!$A$2:$A$1000=$A85)*(('Agences &amp; Après-vente'!$D$2:$D$1000="Après-vente")+('Agences &amp; Après-vente'!$D$2:$D$1000="Agences et Après-vente"))*'Agences &amp; Après-vente'!$E$2:$E$1000)),"yyyy-mm-dd"),"")))))</f>
        <v/>
      </c>
      <c r="J85" s="131" t="str">
        <f aca="false">IF($T85="✓","✓",IF(ISNUMBER($T85),TEXT($T85,"yyyy-mm-dd"),IF($A85="","",IF($D85="Lisbonne","",IF(SUMPRODUCT(('Agences &amp; Après-vente'!$A$2:$A$1000=$A85)*(('Agences &amp; Après-vente'!$D$2:$D$1000="Après-vente")+('Agences &amp; Après-vente'!$D$2:$D$1000="Agences et Après-vente"))*('Agences &amp; Après-vente'!$I$2:$I$1000="DONE"))&gt;0,"✓",IF(SUMPRODUCT(MAX(('Agences &amp; Après-vente'!$A$2:$A$1000=$A85)*(('Agences &amp; Après-vente'!$D$2:$D$1000="Après-vente")+('Agences &amp; Après-vente'!$D$2:$D$1000="Agences et Après-vente"))*'Agences &amp; Après-vente'!$E$2:$E$1000))&gt;0,TEXT(SUMPRODUCT(MAX(('Agences &amp; Après-vente'!$A$2:$A$1000=$A85)*(('Agences &amp; Après-vente'!$D$2:$D$1000="Après-vente")+('Agences &amp; Après-vente'!$D$2:$D$1000="Agences et Après-vente"))*'Agences &amp; Après-vente'!$E$2:$E$1000)),"yyyy-mm-dd"),""))))))</f>
        <v/>
      </c>
      <c r="K85" s="131" t="str">
        <f aca="false">IF($U85="✓","✓",IF(ISNUMBER($U85),TEXT($U85,"yyyy-mm-dd"),IF($D85="Lisbonne","",IF($A85="","",IF(SUMPRODUCT((Evermont!$A$2:$A$1000=$A85)*(Evermont!$Q$2:$Q$1000="Terminé"))&gt;0,"✓",IF(SUMPRODUCT(MAX((Evermont!$A$2:$A$1000=$A85)*Evermont!$F$2:$F$1000))&gt;0,TEXT(SUMPRODUCT(MAX((Evermont!$A$2:$A$1000=$A85)*Evermont!$F$2:$F$1000)),"yyyy-mm-dd"),""))))))</f>
        <v/>
      </c>
      <c r="L85" s="132" t="n">
        <f aca="false">IF($A85="","",COUNTIF(E85:K85,"✓"))</f>
        <v>2</v>
      </c>
      <c r="M85" s="133" t="s">
        <v>172</v>
      </c>
      <c r="O85" s="134" t="s">
        <v>173</v>
      </c>
      <c r="P85" s="134" t="s">
        <v>173</v>
      </c>
      <c r="Q85" s="134"/>
      <c r="R85" s="134"/>
      <c r="S85" s="134"/>
      <c r="T85" s="134"/>
      <c r="U85" s="134"/>
      <c r="W85" s="135" t="str">
        <f aca="false">IF($A85="","",IF($X85&lt;&gt;"",$X85,IFERROR(INDEX('Formation Initiale'!$B$2:$B$999,MATCH($A85,'Formation Initiale'!$A$2:$A$999,0)),"Général")))</f>
        <v>175</v>
      </c>
      <c r="X85" s="136"/>
    </row>
    <row r="86" customFormat="false" ht="18" hidden="true" customHeight="true" outlineLevel="0" collapsed="false">
      <c r="A86" s="138" t="s">
        <v>423</v>
      </c>
      <c r="B86" s="128" t="s">
        <v>424</v>
      </c>
      <c r="C86" s="128" t="s">
        <v>425</v>
      </c>
      <c r="D86" s="129" t="s">
        <v>186</v>
      </c>
      <c r="E86" s="130" t="str">
        <f aca="false">IF($O86="✓","✓",IF(ISNUMBER($O86),TEXT($O86,"yyyy-mm-dd"),IF($A86="","",IF(SUMPRODUCT(('Formation Initiale'!$A$2:$A$999=$A86)*('Formation Initiale'!$R$2:$R$999="Terminé"))&gt;0,"✓",IF(SUMPRODUCT(MAX(('Formation Initiale'!$A$2:$A$999=$A86)*'Formation Initiale'!$G$2:$G$999))&gt;0,TEXT(SUMPRODUCT(MAX(('Formation Initiale'!$A$2:$A$999=$A86)*'Formation Initiale'!$G$2:$G$999)),"yyyy-mm-dd"),"")))))</f>
        <v>✓</v>
      </c>
      <c r="F86" s="131" t="str">
        <f aca="false">IF($P86="✓","✓",IF(ISNUMBER($P86),TEXT($P86,"yyyy-mm-dd"),IF($A86="","",IF($D86="Lisbonne","",IF(SUMPRODUCT(('Formation Initiale'!$A$2:$A$999=$A86)*('Formation Initiale'!$R$2:$R$999="Terminé"))&gt;0,"✓",IF(SUMPRODUCT(MAX(('Formation Initiale'!$A$2:$A$999=$A86)*'Formation Initiale'!$G$2:$G$999))&gt;0,TEXT(SUMPRODUCT(MAX(('Formation Initiale'!$A$2:$A$999=$A86)*'Formation Initiale'!$G$2:$G$999)),"yyyy-mm-dd"),""))))))</f>
        <v/>
      </c>
      <c r="G86" s="131" t="str">
        <f aca="false">IF($Q86="✓","✓",IF(ISNUMBER($Q86),TEXT($Q86,"yyyy-mm-dd"),IF($A86="","",IF(SUMPRODUCT(('Agences &amp; Après-vente'!$A$2:$A$1000=$A86)*(('Agences &amp; Après-vente'!$D$2:$D$1000="Agences")+('Agences &amp; Après-vente'!$D$2:$D$1000="Agences et Après-vente"))*('Agences &amp; Après-vente'!$I$2:$I$1000="DONE"))&gt;0,"✓",IF(SUMPRODUCT(MAX(('Agences &amp; Après-vente'!$A$2:$A$1000=$A86)*(('Agences &amp; Après-vente'!$D$2:$D$1000="Agences")+('Agences &amp; Après-vente'!$D$2:$D$1000="Agences et Après-vente"))*'Agences &amp; Après-vente'!$E$2:$E$1000))&gt;0,TEXT(SUMPRODUCT(MAX(('Agences &amp; Après-vente'!$A$2:$A$1000=$A86)*(('Agences &amp; Après-vente'!$D$2:$D$1000="Agences")+('Agences &amp; Après-vente'!$D$2:$D$1000="Agences et Après-vente"))*'Agences &amp; Après-vente'!$E$2:$E$1000)),"yyyy-mm-dd"),"")))))</f>
        <v>✓</v>
      </c>
      <c r="H86" s="131" t="str">
        <f aca="false">IF($R86="✓","✓",IF(ISNUMBER($R86),TEXT($R86,"yyyy-mm-dd"),IF($A86="","",IF($D86="Lisbonne","",IF(SUMPRODUCT(('Agences &amp; Après-vente'!$A$2:$A$1000=$A86)*(('Agences &amp; Après-vente'!$D$2:$D$1000="Agences")+('Agences &amp; Après-vente'!$D$2:$D$1000="Agences et Après-vente"))*('Agences &amp; Après-vente'!$I$2:$I$1000="DONE"))&gt;0,"✓",IF(SUMPRODUCT(MAX(('Agences &amp; Après-vente'!$A$2:$A$1000=$A86)*(('Agences &amp; Après-vente'!$D$2:$D$1000="Agences")+('Agences &amp; Après-vente'!$D$2:$D$1000="Agences et Après-vente"))*'Agences &amp; Après-vente'!$E$2:$E$1000))&gt;0,TEXT(SUMPRODUCT(MAX(('Agences &amp; Après-vente'!$A$2:$A$1000=$A86)*(('Agences &amp; Après-vente'!$D$2:$D$1000="Agences")+('Agences &amp; Après-vente'!$D$2:$D$1000="Agences et Après-vente"))*'Agences &amp; Après-vente'!$E$2:$E$1000)),"yyyy-mm-dd"),""))))))</f>
        <v/>
      </c>
      <c r="I86" s="131" t="str">
        <f aca="false">IF($S86="✓","✓",IF(ISNUMBER($S86),TEXT($S86,"yyyy-mm-dd"),IF($A86="","",IF(SUMPRODUCT(('Agences &amp; Après-vente'!$A$2:$A$1000=$A86)*(('Agences &amp; Après-vente'!$D$2:$D$1000="Après-vente")+('Agences &amp; Après-vente'!$D$2:$D$1000="Agences et Après-vente"))*('Agences &amp; Après-vente'!$I$2:$I$1000="DONE"))&gt;0,"✓",IF(SUMPRODUCT(MAX(('Agences &amp; Après-vente'!$A$2:$A$1000=$A86)*(('Agences &amp; Après-vente'!$D$2:$D$1000="Après-vente")+('Agences &amp; Après-vente'!$D$2:$D$1000="Agences et Après-vente"))*'Agences &amp; Après-vente'!$E$2:$E$1000))&gt;0,TEXT(SUMPRODUCT(MAX(('Agences &amp; Après-vente'!$A$2:$A$1000=$A86)*(('Agences &amp; Après-vente'!$D$2:$D$1000="Après-vente")+('Agences &amp; Après-vente'!$D$2:$D$1000="Agences et Après-vente"))*'Agences &amp; Après-vente'!$E$2:$E$1000)),"yyyy-mm-dd"),"")))))</f>
        <v>✓</v>
      </c>
      <c r="J86" s="131" t="str">
        <f aca="false">IF($T86="✓","✓",IF(ISNUMBER($T86),TEXT($T86,"yyyy-mm-dd"),IF($A86="","",IF($D86="Lisbonne","",IF(SUMPRODUCT(('Agences &amp; Après-vente'!$A$2:$A$1000=$A86)*(('Agences &amp; Après-vente'!$D$2:$D$1000="Après-vente")+('Agences &amp; Après-vente'!$D$2:$D$1000="Agences et Après-vente"))*('Agences &amp; Après-vente'!$I$2:$I$1000="DONE"))&gt;0,"✓",IF(SUMPRODUCT(MAX(('Agences &amp; Après-vente'!$A$2:$A$1000=$A86)*(('Agences &amp; Après-vente'!$D$2:$D$1000="Après-vente")+('Agences &amp; Après-vente'!$D$2:$D$1000="Agences et Après-vente"))*'Agences &amp; Après-vente'!$E$2:$E$1000))&gt;0,TEXT(SUMPRODUCT(MAX(('Agences &amp; Après-vente'!$A$2:$A$1000=$A86)*(('Agences &amp; Après-vente'!$D$2:$D$1000="Après-vente")+('Agences &amp; Après-vente'!$D$2:$D$1000="Agences et Après-vente"))*'Agences &amp; Après-vente'!$E$2:$E$1000)),"yyyy-mm-dd"),""))))))</f>
        <v/>
      </c>
      <c r="K86" s="131" t="str">
        <f aca="false">IF($U86="✓","✓",IF(ISNUMBER($U86),TEXT($U86,"yyyy-mm-dd"),IF($D86="Lisbonne","",IF($A86="","",IF(SUMPRODUCT((Evermont!$A$2:$A$1000=$A86)*(Evermont!$Q$2:$Q$1000="Terminé"))&gt;0,"✓",IF(SUMPRODUCT(MAX((Evermont!$A$2:$A$1000=$A86)*Evermont!$F$2:$F$1000))&gt;0,TEXT(SUMPRODUCT(MAX((Evermont!$A$2:$A$1000=$A86)*Evermont!$F$2:$F$1000)),"yyyy-mm-dd"),""))))))</f>
        <v/>
      </c>
      <c r="L86" s="132" t="n">
        <f aca="false">IF($A86="","",COUNTIF(E86:K86,"✓"))</f>
        <v>3</v>
      </c>
      <c r="M86" s="133" t="s">
        <v>172</v>
      </c>
      <c r="O86" s="134" t="s">
        <v>173</v>
      </c>
      <c r="P86" s="134"/>
      <c r="Q86" s="134" t="s">
        <v>173</v>
      </c>
      <c r="R86" s="134"/>
      <c r="S86" s="134"/>
      <c r="T86" s="134"/>
      <c r="U86" s="134"/>
      <c r="W86" s="135" t="str">
        <f aca="false">IF($A86="","",IF($X86&lt;&gt;"",$X86,IFERROR(INDEX('Formation Initiale'!$B$2:$B$999,MATCH($A86,'Formation Initiale'!$A$2:$A$999,0)),"Général")))</f>
        <v>OS1</v>
      </c>
      <c r="X86" s="136"/>
    </row>
    <row r="87" customFormat="false" ht="18" hidden="true" customHeight="true" outlineLevel="0" collapsed="false">
      <c r="A87" s="140" t="s">
        <v>426</v>
      </c>
      <c r="B87" s="128" t="s">
        <v>427</v>
      </c>
      <c r="C87" s="128" t="s">
        <v>428</v>
      </c>
      <c r="D87" s="129" t="s">
        <v>171</v>
      </c>
      <c r="E87" s="130" t="str">
        <f aca="false">IF($O87="✓","✓",IF(ISNUMBER($O87),TEXT($O87,"yyyy-mm-dd"),IF($A87="","",IF(SUMPRODUCT(('Formation Initiale'!$A$2:$A$999=$A87)*('Formation Initiale'!$R$2:$R$999="Terminé"))&gt;0,"✓",IF(SUMPRODUCT(MAX(('Formation Initiale'!$A$2:$A$999=$A87)*'Formation Initiale'!$G$2:$G$999))&gt;0,TEXT(SUMPRODUCT(MAX(('Formation Initiale'!$A$2:$A$999=$A87)*'Formation Initiale'!$G$2:$G$999)),"yyyy-mm-dd"),"")))))</f>
        <v>✓</v>
      </c>
      <c r="F87" s="131" t="str">
        <f aca="false">IF($P87="✓","✓",IF(ISNUMBER($P87),TEXT($P87,"yyyy-mm-dd"),IF($A87="","",IF($D87="Lisbonne","",IF(SUMPRODUCT(('Formation Initiale'!$A$2:$A$999=$A87)*('Formation Initiale'!$R$2:$R$999="Terminé"))&gt;0,"✓",IF(SUMPRODUCT(MAX(('Formation Initiale'!$A$2:$A$999=$A87)*'Formation Initiale'!$G$2:$G$999))&gt;0,TEXT(SUMPRODUCT(MAX(('Formation Initiale'!$A$2:$A$999=$A87)*'Formation Initiale'!$G$2:$G$999)),"yyyy-mm-dd"),""))))))</f>
        <v>✓</v>
      </c>
      <c r="G87" s="131" t="str">
        <f aca="false">IF($Q87="✓","✓",IF(ISNUMBER($Q87),TEXT($Q87,"yyyy-mm-dd"),IF($A87="","",IF(SUMPRODUCT(('Agences &amp; Après-vente'!$A$2:$A$1000=$A87)*(('Agences &amp; Après-vente'!$D$2:$D$1000="Agences")+('Agences &amp; Après-vente'!$D$2:$D$1000="Agences et Après-vente"))*('Agences &amp; Après-vente'!$I$2:$I$1000="DONE"))&gt;0,"✓",IF(SUMPRODUCT(MAX(('Agences &amp; Après-vente'!$A$2:$A$1000=$A87)*(('Agences &amp; Après-vente'!$D$2:$D$1000="Agences")+('Agences &amp; Après-vente'!$D$2:$D$1000="Agences et Après-vente"))*'Agences &amp; Après-vente'!$E$2:$E$1000))&gt;0,TEXT(SUMPRODUCT(MAX(('Agences &amp; Après-vente'!$A$2:$A$1000=$A87)*(('Agences &amp; Après-vente'!$D$2:$D$1000="Agences")+('Agences &amp; Après-vente'!$D$2:$D$1000="Agences et Après-vente"))*'Agences &amp; Après-vente'!$E$2:$E$1000)),"yyyy-mm-dd"),"")))))</f>
        <v/>
      </c>
      <c r="H87" s="131" t="str">
        <f aca="false">IF($R87="✓","✓",IF(ISNUMBER($R87),TEXT($R87,"yyyy-mm-dd"),IF($A87="","",IF($D87="Lisbonne","",IF(SUMPRODUCT(('Agences &amp; Après-vente'!$A$2:$A$1000=$A87)*(('Agences &amp; Après-vente'!$D$2:$D$1000="Agences")+('Agences &amp; Après-vente'!$D$2:$D$1000="Agences et Après-vente"))*('Agences &amp; Après-vente'!$I$2:$I$1000="DONE"))&gt;0,"✓",IF(SUMPRODUCT(MAX(('Agences &amp; Après-vente'!$A$2:$A$1000=$A87)*(('Agences &amp; Après-vente'!$D$2:$D$1000="Agences")+('Agences &amp; Après-vente'!$D$2:$D$1000="Agences et Après-vente"))*'Agences &amp; Après-vente'!$E$2:$E$1000))&gt;0,TEXT(SUMPRODUCT(MAX(('Agences &amp; Après-vente'!$A$2:$A$1000=$A87)*(('Agences &amp; Après-vente'!$D$2:$D$1000="Agences")+('Agences &amp; Après-vente'!$D$2:$D$1000="Agences et Après-vente"))*'Agences &amp; Après-vente'!$E$2:$E$1000)),"yyyy-mm-dd"),""))))))</f>
        <v/>
      </c>
      <c r="I87" s="131" t="str">
        <f aca="false">IF($S87="✓","✓",IF(ISNUMBER($S87),TEXT($S87,"yyyy-mm-dd"),IF($A87="","",IF(SUMPRODUCT(('Agences &amp; Après-vente'!$A$2:$A$1000=$A87)*(('Agences &amp; Après-vente'!$D$2:$D$1000="Après-vente")+('Agences &amp; Après-vente'!$D$2:$D$1000="Agences et Après-vente"))*('Agences &amp; Après-vente'!$I$2:$I$1000="DONE"))&gt;0,"✓",IF(SUMPRODUCT(MAX(('Agences &amp; Après-vente'!$A$2:$A$1000=$A87)*(('Agences &amp; Après-vente'!$D$2:$D$1000="Après-vente")+('Agences &amp; Après-vente'!$D$2:$D$1000="Agences et Après-vente"))*'Agences &amp; Après-vente'!$E$2:$E$1000))&gt;0,TEXT(SUMPRODUCT(MAX(('Agences &amp; Après-vente'!$A$2:$A$1000=$A87)*(('Agences &amp; Après-vente'!$D$2:$D$1000="Après-vente")+('Agences &amp; Après-vente'!$D$2:$D$1000="Agences et Après-vente"))*'Agences &amp; Après-vente'!$E$2:$E$1000)),"yyyy-mm-dd"),"")))))</f>
        <v>✓</v>
      </c>
      <c r="J87" s="131" t="str">
        <f aca="false">IF($T87="✓","✓",IF(ISNUMBER($T87),TEXT($T87,"yyyy-mm-dd"),IF($A87="","",IF($D87="Lisbonne","",IF(SUMPRODUCT(('Agences &amp; Après-vente'!$A$2:$A$1000=$A87)*(('Agences &amp; Après-vente'!$D$2:$D$1000="Après-vente")+('Agences &amp; Après-vente'!$D$2:$D$1000="Agences et Après-vente"))*('Agences &amp; Après-vente'!$I$2:$I$1000="DONE"))&gt;0,"✓",IF(SUMPRODUCT(MAX(('Agences &amp; Après-vente'!$A$2:$A$1000=$A87)*(('Agences &amp; Après-vente'!$D$2:$D$1000="Après-vente")+('Agences &amp; Après-vente'!$D$2:$D$1000="Agences et Après-vente"))*'Agences &amp; Après-vente'!$E$2:$E$1000))&gt;0,TEXT(SUMPRODUCT(MAX(('Agences &amp; Après-vente'!$A$2:$A$1000=$A87)*(('Agences &amp; Après-vente'!$D$2:$D$1000="Après-vente")+('Agences &amp; Après-vente'!$D$2:$D$1000="Agences et Après-vente"))*'Agences &amp; Après-vente'!$E$2:$E$1000)),"yyyy-mm-dd"),""))))))</f>
        <v>✓</v>
      </c>
      <c r="K87" s="131" t="str">
        <f aca="false">IF($U87="✓","✓",IF(ISNUMBER($U87),TEXT($U87,"yyyy-mm-dd"),IF($D87="Lisbonne","",IF($A87="","",IF(SUMPRODUCT((Evermont!$A$2:$A$1000=$A87)*(Evermont!$Q$2:$Q$1000="Terminé"))&gt;0,"✓",IF(SUMPRODUCT(MAX((Evermont!$A$2:$A$1000=$A87)*Evermont!$F$2:$F$1000))&gt;0,TEXT(SUMPRODUCT(MAX((Evermont!$A$2:$A$1000=$A87)*Evermont!$F$2:$F$1000)),"yyyy-mm-dd"),""))))))</f>
        <v/>
      </c>
      <c r="L87" s="132" t="n">
        <f aca="false">IF($A87="","",COUNTIF(E87:K87,"✓"))</f>
        <v>4</v>
      </c>
      <c r="M87" s="133" t="s">
        <v>196</v>
      </c>
      <c r="O87" s="134" t="s">
        <v>173</v>
      </c>
      <c r="P87" s="134" t="s">
        <v>173</v>
      </c>
      <c r="Q87" s="134"/>
      <c r="R87" s="134"/>
      <c r="S87" s="134" t="s">
        <v>173</v>
      </c>
      <c r="T87" s="134" t="s">
        <v>173</v>
      </c>
      <c r="U87" s="134"/>
      <c r="W87" s="135" t="str">
        <f aca="false">IF($A87="","",IF($X87&lt;&gt;"",$X87,IFERROR(INDEX('Formation Initiale'!$B$2:$B$999,MATCH($A87,'Formation Initiale'!$A$2:$A$999,0)),"Général")))</f>
        <v>Général</v>
      </c>
      <c r="X87" s="136"/>
    </row>
    <row r="88" customFormat="false" ht="18" hidden="true" customHeight="true" outlineLevel="0" collapsed="false">
      <c r="A88" s="127" t="s">
        <v>429</v>
      </c>
      <c r="B88" s="128" t="s">
        <v>430</v>
      </c>
      <c r="C88" s="128" t="s">
        <v>431</v>
      </c>
      <c r="D88" s="129" t="s">
        <v>171</v>
      </c>
      <c r="E88" s="130" t="str">
        <f aca="false">IF($O88="✓","✓",IF(ISNUMBER($O88),TEXT($O88,"yyyy-mm-dd"),IF($A88="","",IF(SUMPRODUCT(('Formation Initiale'!$A$2:$A$999=$A88)*('Formation Initiale'!$R$2:$R$999="Terminé"))&gt;0,"✓",IF(SUMPRODUCT(MAX(('Formation Initiale'!$A$2:$A$999=$A88)*'Formation Initiale'!$G$2:$G$999))&gt;0,TEXT(SUMPRODUCT(MAX(('Formation Initiale'!$A$2:$A$999=$A88)*'Formation Initiale'!$G$2:$G$999)),"yyyy-mm-dd"),"")))))</f>
        <v>✓</v>
      </c>
      <c r="F88" s="131" t="str">
        <f aca="false">IF($P88="✓","✓",IF(ISNUMBER($P88),TEXT($P88,"yyyy-mm-dd"),IF($A88="","",IF($D88="Lisbonne","",IF(SUMPRODUCT(('Formation Initiale'!$A$2:$A$999=$A88)*('Formation Initiale'!$R$2:$R$999="Terminé"))&gt;0,"✓",IF(SUMPRODUCT(MAX(('Formation Initiale'!$A$2:$A$999=$A88)*'Formation Initiale'!$G$2:$G$999))&gt;0,TEXT(SUMPRODUCT(MAX(('Formation Initiale'!$A$2:$A$999=$A88)*'Formation Initiale'!$G$2:$G$999)),"yyyy-mm-dd"),""))))))</f>
        <v>✓</v>
      </c>
      <c r="G88" s="131" t="str">
        <f aca="false">IF($Q88="✓","✓",IF(ISNUMBER($Q88),TEXT($Q88,"yyyy-mm-dd"),IF($A88="","",IF(SUMPRODUCT(('Agences &amp; Après-vente'!$A$2:$A$1000=$A88)*(('Agences &amp; Après-vente'!$D$2:$D$1000="Agences")+('Agences &amp; Après-vente'!$D$2:$D$1000="Agences et Après-vente"))*('Agences &amp; Après-vente'!$I$2:$I$1000="DONE"))&gt;0,"✓",IF(SUMPRODUCT(MAX(('Agences &amp; Après-vente'!$A$2:$A$1000=$A88)*(('Agences &amp; Après-vente'!$D$2:$D$1000="Agences")+('Agences &amp; Après-vente'!$D$2:$D$1000="Agences et Après-vente"))*'Agences &amp; Après-vente'!$E$2:$E$1000))&gt;0,TEXT(SUMPRODUCT(MAX(('Agences &amp; Après-vente'!$A$2:$A$1000=$A88)*(('Agences &amp; Après-vente'!$D$2:$D$1000="Agences")+('Agences &amp; Après-vente'!$D$2:$D$1000="Agences et Après-vente"))*'Agences &amp; Après-vente'!$E$2:$E$1000)),"yyyy-mm-dd"),"")))))</f>
        <v>✓</v>
      </c>
      <c r="H88" s="131" t="str">
        <f aca="false">IF($R88="✓","✓",IF(ISNUMBER($R88),TEXT($R88,"yyyy-mm-dd"),IF($A88="","",IF($D88="Lisbonne","",IF(SUMPRODUCT(('Agences &amp; Après-vente'!$A$2:$A$1000=$A88)*(('Agences &amp; Après-vente'!$D$2:$D$1000="Agences")+('Agences &amp; Après-vente'!$D$2:$D$1000="Agences et Après-vente"))*('Agences &amp; Après-vente'!$I$2:$I$1000="DONE"))&gt;0,"✓",IF(SUMPRODUCT(MAX(('Agences &amp; Après-vente'!$A$2:$A$1000=$A88)*(('Agences &amp; Après-vente'!$D$2:$D$1000="Agences")+('Agences &amp; Après-vente'!$D$2:$D$1000="Agences et Après-vente"))*'Agences &amp; Après-vente'!$E$2:$E$1000))&gt;0,TEXT(SUMPRODUCT(MAX(('Agences &amp; Après-vente'!$A$2:$A$1000=$A88)*(('Agences &amp; Après-vente'!$D$2:$D$1000="Agences")+('Agences &amp; Après-vente'!$D$2:$D$1000="Agences et Après-vente"))*'Agences &amp; Après-vente'!$E$2:$E$1000)),"yyyy-mm-dd"),""))))))</f>
        <v>✓</v>
      </c>
      <c r="I88" s="131" t="str">
        <f aca="false">IF($S88="✓","✓",IF(ISNUMBER($S88),TEXT($S88,"yyyy-mm-dd"),IF($A88="","",IF(SUMPRODUCT(('Agences &amp; Après-vente'!$A$2:$A$1000=$A88)*(('Agences &amp; Après-vente'!$D$2:$D$1000="Après-vente")+('Agences &amp; Après-vente'!$D$2:$D$1000="Agences et Après-vente"))*('Agences &amp; Après-vente'!$I$2:$I$1000="DONE"))&gt;0,"✓",IF(SUMPRODUCT(MAX(('Agences &amp; Après-vente'!$A$2:$A$1000=$A88)*(('Agences &amp; Après-vente'!$D$2:$D$1000="Après-vente")+('Agences &amp; Après-vente'!$D$2:$D$1000="Agences et Après-vente"))*'Agences &amp; Après-vente'!$E$2:$E$1000))&gt;0,TEXT(SUMPRODUCT(MAX(('Agences &amp; Après-vente'!$A$2:$A$1000=$A88)*(('Agences &amp; Après-vente'!$D$2:$D$1000="Après-vente")+('Agences &amp; Après-vente'!$D$2:$D$1000="Agences et Après-vente"))*'Agences &amp; Après-vente'!$E$2:$E$1000)),"yyyy-mm-dd"),"")))))</f>
        <v>✓</v>
      </c>
      <c r="J88" s="131" t="str">
        <f aca="false">IF($T88="✓","✓",IF(ISNUMBER($T88),TEXT($T88,"yyyy-mm-dd"),IF($A88="","",IF($D88="Lisbonne","",IF(SUMPRODUCT(('Agences &amp; Après-vente'!$A$2:$A$1000=$A88)*(('Agences &amp; Après-vente'!$D$2:$D$1000="Après-vente")+('Agences &amp; Après-vente'!$D$2:$D$1000="Agences et Après-vente"))*('Agences &amp; Après-vente'!$I$2:$I$1000="DONE"))&gt;0,"✓",IF(SUMPRODUCT(MAX(('Agences &amp; Après-vente'!$A$2:$A$1000=$A88)*(('Agences &amp; Après-vente'!$D$2:$D$1000="Après-vente")+('Agences &amp; Après-vente'!$D$2:$D$1000="Agences et Après-vente"))*'Agences &amp; Après-vente'!$E$2:$E$1000))&gt;0,TEXT(SUMPRODUCT(MAX(('Agences &amp; Après-vente'!$A$2:$A$1000=$A88)*(('Agences &amp; Après-vente'!$D$2:$D$1000="Après-vente")+('Agences &amp; Après-vente'!$D$2:$D$1000="Agences et Après-vente"))*'Agences &amp; Après-vente'!$E$2:$E$1000)),"yyyy-mm-dd"),""))))))</f>
        <v>✓</v>
      </c>
      <c r="K88" s="131" t="str">
        <f aca="false">IF($U88="✓","✓",IF(ISNUMBER($U88),TEXT($U88,"yyyy-mm-dd"),IF($D88="Lisbonne","",IF($A88="","",IF(SUMPRODUCT((Evermont!$A$2:$A$1000=$A88)*(Evermont!$Q$2:$Q$1000="Terminé"))&gt;0,"✓",IF(SUMPRODUCT(MAX((Evermont!$A$2:$A$1000=$A88)*Evermont!$F$2:$F$1000))&gt;0,TEXT(SUMPRODUCT(MAX((Evermont!$A$2:$A$1000=$A88)*Evermont!$F$2:$F$1000)),"yyyy-mm-dd"),""))))))</f>
        <v/>
      </c>
      <c r="L88" s="132" t="n">
        <f aca="false">IF($A88="","",COUNTIF(E88:K88,"✓"))</f>
        <v>6</v>
      </c>
      <c r="M88" s="133" t="s">
        <v>172</v>
      </c>
      <c r="O88" s="134" t="s">
        <v>173</v>
      </c>
      <c r="P88" s="134" t="s">
        <v>173</v>
      </c>
      <c r="Q88" s="134"/>
      <c r="R88" s="134"/>
      <c r="S88" s="134"/>
      <c r="T88" s="134"/>
      <c r="U88" s="134"/>
      <c r="W88" s="135" t="str">
        <f aca="false">IF($A88="","",IF($X88&lt;&gt;"",$X88,IFERROR(INDEX('Formation Initiale'!$B$2:$B$999,MATCH($A88,'Formation Initiale'!$A$2:$A$999,0)),"Général")))</f>
        <v>Général</v>
      </c>
      <c r="X88" s="136"/>
    </row>
    <row r="89" customFormat="false" ht="18" hidden="true" customHeight="true" outlineLevel="0" collapsed="false">
      <c r="A89" s="127" t="s">
        <v>432</v>
      </c>
      <c r="B89" s="128" t="s">
        <v>433</v>
      </c>
      <c r="C89" s="128" t="s">
        <v>434</v>
      </c>
      <c r="D89" s="129" t="s">
        <v>171</v>
      </c>
      <c r="E89" s="130" t="str">
        <f aca="false">IF($O89="✓","✓",IF(ISNUMBER($O89),TEXT($O89,"yyyy-mm-dd"),IF($A89="","",IF(SUMPRODUCT(('Formation Initiale'!$A$2:$A$999=$A89)*('Formation Initiale'!$R$2:$R$999="Terminé"))&gt;0,"✓",IF(SUMPRODUCT(MAX(('Formation Initiale'!$A$2:$A$999=$A89)*'Formation Initiale'!$G$2:$G$999))&gt;0,TEXT(SUMPRODUCT(MAX(('Formation Initiale'!$A$2:$A$999=$A89)*'Formation Initiale'!$G$2:$G$999)),"yyyy-mm-dd"),"")))))</f>
        <v>✓</v>
      </c>
      <c r="F89" s="131" t="str">
        <f aca="false">IF($P89="✓","✓",IF(ISNUMBER($P89),TEXT($P89,"yyyy-mm-dd"),IF($A89="","",IF($D89="Lisbonne","",IF(SUMPRODUCT(('Formation Initiale'!$A$2:$A$999=$A89)*('Formation Initiale'!$R$2:$R$999="Terminé"))&gt;0,"✓",IF(SUMPRODUCT(MAX(('Formation Initiale'!$A$2:$A$999=$A89)*'Formation Initiale'!$G$2:$G$999))&gt;0,TEXT(SUMPRODUCT(MAX(('Formation Initiale'!$A$2:$A$999=$A89)*'Formation Initiale'!$G$2:$G$999)),"yyyy-mm-dd"),""))))))</f>
        <v>✓</v>
      </c>
      <c r="G89" s="131" t="str">
        <f aca="false">IF($Q89="✓","✓",IF(ISNUMBER($Q89),TEXT($Q89,"yyyy-mm-dd"),IF($A89="","",IF(SUMPRODUCT(('Agences &amp; Après-vente'!$A$2:$A$1000=$A89)*(('Agences &amp; Après-vente'!$D$2:$D$1000="Agences")+('Agences &amp; Après-vente'!$D$2:$D$1000="Agences et Après-vente"))*('Agences &amp; Après-vente'!$I$2:$I$1000="DONE"))&gt;0,"✓",IF(SUMPRODUCT(MAX(('Agences &amp; Après-vente'!$A$2:$A$1000=$A89)*(('Agences &amp; Après-vente'!$D$2:$D$1000="Agences")+('Agences &amp; Après-vente'!$D$2:$D$1000="Agences et Après-vente"))*'Agences &amp; Après-vente'!$E$2:$E$1000))&gt;0,TEXT(SUMPRODUCT(MAX(('Agences &amp; Après-vente'!$A$2:$A$1000=$A89)*(('Agences &amp; Après-vente'!$D$2:$D$1000="Agences")+('Agences &amp; Après-vente'!$D$2:$D$1000="Agences et Après-vente"))*'Agences &amp; Après-vente'!$E$2:$E$1000)),"yyyy-mm-dd"),"")))))</f>
        <v>✓</v>
      </c>
      <c r="H89" s="131" t="str">
        <f aca="false">IF($R89="✓","✓",IF(ISNUMBER($R89),TEXT($R89,"yyyy-mm-dd"),IF($A89="","",IF($D89="Lisbonne","",IF(SUMPRODUCT(('Agences &amp; Après-vente'!$A$2:$A$1000=$A89)*(('Agences &amp; Après-vente'!$D$2:$D$1000="Agences")+('Agences &amp; Après-vente'!$D$2:$D$1000="Agences et Après-vente"))*('Agences &amp; Après-vente'!$I$2:$I$1000="DONE"))&gt;0,"✓",IF(SUMPRODUCT(MAX(('Agences &amp; Après-vente'!$A$2:$A$1000=$A89)*(('Agences &amp; Après-vente'!$D$2:$D$1000="Agences")+('Agences &amp; Après-vente'!$D$2:$D$1000="Agences et Après-vente"))*'Agences &amp; Après-vente'!$E$2:$E$1000))&gt;0,TEXT(SUMPRODUCT(MAX(('Agences &amp; Après-vente'!$A$2:$A$1000=$A89)*(('Agences &amp; Après-vente'!$D$2:$D$1000="Agences")+('Agences &amp; Après-vente'!$D$2:$D$1000="Agences et Après-vente"))*'Agences &amp; Après-vente'!$E$2:$E$1000)),"yyyy-mm-dd"),""))))))</f>
        <v>✓</v>
      </c>
      <c r="I89" s="131" t="str">
        <f aca="false">IF($S89="✓","✓",IF(ISNUMBER($S89),TEXT($S89,"yyyy-mm-dd"),IF($A89="","",IF(SUMPRODUCT(('Agences &amp; Après-vente'!$A$2:$A$1000=$A89)*(('Agences &amp; Après-vente'!$D$2:$D$1000="Après-vente")+('Agences &amp; Après-vente'!$D$2:$D$1000="Agences et Après-vente"))*('Agences &amp; Après-vente'!$I$2:$I$1000="DONE"))&gt;0,"✓",IF(SUMPRODUCT(MAX(('Agences &amp; Après-vente'!$A$2:$A$1000=$A89)*(('Agences &amp; Après-vente'!$D$2:$D$1000="Après-vente")+('Agences &amp; Après-vente'!$D$2:$D$1000="Agences et Après-vente"))*'Agences &amp; Après-vente'!$E$2:$E$1000))&gt;0,TEXT(SUMPRODUCT(MAX(('Agences &amp; Après-vente'!$A$2:$A$1000=$A89)*(('Agences &amp; Après-vente'!$D$2:$D$1000="Après-vente")+('Agences &amp; Après-vente'!$D$2:$D$1000="Agences et Après-vente"))*'Agences &amp; Après-vente'!$E$2:$E$1000)),"yyyy-mm-dd"),"")))))</f>
        <v>✓</v>
      </c>
      <c r="J89" s="131" t="str">
        <f aca="false">IF($T89="✓","✓",IF(ISNUMBER($T89),TEXT($T89,"yyyy-mm-dd"),IF($A89="","",IF($D89="Lisbonne","",IF(SUMPRODUCT(('Agences &amp; Après-vente'!$A$2:$A$1000=$A89)*(('Agences &amp; Après-vente'!$D$2:$D$1000="Après-vente")+('Agences &amp; Après-vente'!$D$2:$D$1000="Agences et Après-vente"))*('Agences &amp; Après-vente'!$I$2:$I$1000="DONE"))&gt;0,"✓",IF(SUMPRODUCT(MAX(('Agences &amp; Après-vente'!$A$2:$A$1000=$A89)*(('Agences &amp; Après-vente'!$D$2:$D$1000="Après-vente")+('Agences &amp; Après-vente'!$D$2:$D$1000="Agences et Après-vente"))*'Agences &amp; Après-vente'!$E$2:$E$1000))&gt;0,TEXT(SUMPRODUCT(MAX(('Agences &amp; Après-vente'!$A$2:$A$1000=$A89)*(('Agences &amp; Après-vente'!$D$2:$D$1000="Après-vente")+('Agences &amp; Après-vente'!$D$2:$D$1000="Agences et Après-vente"))*'Agences &amp; Après-vente'!$E$2:$E$1000)),"yyyy-mm-dd"),""))))))</f>
        <v>✓</v>
      </c>
      <c r="K89" s="131" t="str">
        <f aca="false">IF($U89="✓","✓",IF(ISNUMBER($U89),TEXT($U89,"yyyy-mm-dd"),IF($D89="Lisbonne","",IF($A89="","",IF(SUMPRODUCT((Evermont!$A$2:$A$1000=$A89)*(Evermont!$Q$2:$Q$1000="Terminé"))&gt;0,"✓",IF(SUMPRODUCT(MAX((Evermont!$A$2:$A$1000=$A89)*Evermont!$F$2:$F$1000))&gt;0,TEXT(SUMPRODUCT(MAX((Evermont!$A$2:$A$1000=$A89)*Evermont!$F$2:$F$1000)),"yyyy-mm-dd"),""))))))</f>
        <v>✓</v>
      </c>
      <c r="L89" s="132" t="n">
        <f aca="false">IF($A89="","",COUNTIF(E89:K89,"✓"))</f>
        <v>7</v>
      </c>
      <c r="M89" s="133" t="s">
        <v>172</v>
      </c>
      <c r="O89" s="134" t="s">
        <v>173</v>
      </c>
      <c r="P89" s="134" t="s">
        <v>173</v>
      </c>
      <c r="Q89" s="134" t="s">
        <v>173</v>
      </c>
      <c r="R89" s="134" t="s">
        <v>173</v>
      </c>
      <c r="S89" s="134" t="s">
        <v>173</v>
      </c>
      <c r="T89" s="134" t="s">
        <v>173</v>
      </c>
      <c r="U89" s="134" t="s">
        <v>173</v>
      </c>
      <c r="W89" s="135" t="str">
        <f aca="false">IF($A89="","",IF($X89&lt;&gt;"",$X89,IFERROR(INDEX('Formation Initiale'!$B$2:$B$999,MATCH($A89,'Formation Initiale'!$A$2:$A$999,0)),"Général")))</f>
        <v>Général</v>
      </c>
      <c r="X89" s="136"/>
    </row>
    <row r="90" customFormat="false" ht="18" hidden="true" customHeight="true" outlineLevel="0" collapsed="false">
      <c r="A90" s="127" t="s">
        <v>435</v>
      </c>
      <c r="B90" s="128" t="s">
        <v>436</v>
      </c>
      <c r="C90" s="128" t="s">
        <v>437</v>
      </c>
      <c r="D90" s="129" t="s">
        <v>171</v>
      </c>
      <c r="E90" s="130" t="str">
        <f aca="false">IF($O90="✓","✓",IF(ISNUMBER($O90),TEXT($O90,"yyyy-mm-dd"),IF($A90="","",IF(SUMPRODUCT(('Formation Initiale'!$A$2:$A$999=$A90)*('Formation Initiale'!$R$2:$R$999="Terminé"))&gt;0,"✓",IF(SUMPRODUCT(MAX(('Formation Initiale'!$A$2:$A$999=$A90)*'Formation Initiale'!$G$2:$G$999))&gt;0,TEXT(SUMPRODUCT(MAX(('Formation Initiale'!$A$2:$A$999=$A90)*'Formation Initiale'!$G$2:$G$999)),"yyyy-mm-dd"),"")))))</f>
        <v>✓</v>
      </c>
      <c r="F90" s="131" t="str">
        <f aca="false">IF($P90="✓","✓",IF(ISNUMBER($P90),TEXT($P90,"yyyy-mm-dd"),IF($A90="","",IF($D90="Lisbonne","",IF(SUMPRODUCT(('Formation Initiale'!$A$2:$A$999=$A90)*('Formation Initiale'!$R$2:$R$999="Terminé"))&gt;0,"✓",IF(SUMPRODUCT(MAX(('Formation Initiale'!$A$2:$A$999=$A90)*'Formation Initiale'!$G$2:$G$999))&gt;0,TEXT(SUMPRODUCT(MAX(('Formation Initiale'!$A$2:$A$999=$A90)*'Formation Initiale'!$G$2:$G$999)),"yyyy-mm-dd"),""))))))</f>
        <v>✓</v>
      </c>
      <c r="G90" s="131" t="str">
        <f aca="false">IF($Q90="✓","✓",IF(ISNUMBER($Q90),TEXT($Q90,"yyyy-mm-dd"),IF($A90="","",IF(SUMPRODUCT(('Agences &amp; Après-vente'!$A$2:$A$1000=$A90)*(('Agences &amp; Après-vente'!$D$2:$D$1000="Agences")+('Agences &amp; Après-vente'!$D$2:$D$1000="Agences et Après-vente"))*('Agences &amp; Après-vente'!$I$2:$I$1000="DONE"))&gt;0,"✓",IF(SUMPRODUCT(MAX(('Agences &amp; Après-vente'!$A$2:$A$1000=$A90)*(('Agences &amp; Après-vente'!$D$2:$D$1000="Agences")+('Agences &amp; Après-vente'!$D$2:$D$1000="Agences et Après-vente"))*'Agences &amp; Après-vente'!$E$2:$E$1000))&gt;0,TEXT(SUMPRODUCT(MAX(('Agences &amp; Après-vente'!$A$2:$A$1000=$A90)*(('Agences &amp; Après-vente'!$D$2:$D$1000="Agences")+('Agences &amp; Après-vente'!$D$2:$D$1000="Agences et Après-vente"))*'Agences &amp; Après-vente'!$E$2:$E$1000)),"yyyy-mm-dd"),"")))))</f>
        <v>✓</v>
      </c>
      <c r="H90" s="131" t="str">
        <f aca="false">IF($R90="✓","✓",IF(ISNUMBER($R90),TEXT($R90,"yyyy-mm-dd"),IF($A90="","",IF($D90="Lisbonne","",IF(SUMPRODUCT(('Agences &amp; Après-vente'!$A$2:$A$1000=$A90)*(('Agences &amp; Après-vente'!$D$2:$D$1000="Agences")+('Agences &amp; Après-vente'!$D$2:$D$1000="Agences et Après-vente"))*('Agences &amp; Après-vente'!$I$2:$I$1000="DONE"))&gt;0,"✓",IF(SUMPRODUCT(MAX(('Agences &amp; Après-vente'!$A$2:$A$1000=$A90)*(('Agences &amp; Après-vente'!$D$2:$D$1000="Agences")+('Agences &amp; Après-vente'!$D$2:$D$1000="Agences et Après-vente"))*'Agences &amp; Après-vente'!$E$2:$E$1000))&gt;0,TEXT(SUMPRODUCT(MAX(('Agences &amp; Après-vente'!$A$2:$A$1000=$A90)*(('Agences &amp; Après-vente'!$D$2:$D$1000="Agences")+('Agences &amp; Après-vente'!$D$2:$D$1000="Agences et Après-vente"))*'Agences &amp; Après-vente'!$E$2:$E$1000)),"yyyy-mm-dd"),""))))))</f>
        <v>✓</v>
      </c>
      <c r="I90" s="131" t="str">
        <f aca="false">IF($S90="✓","✓",IF(ISNUMBER($S90),TEXT($S90,"yyyy-mm-dd"),IF($A90="","",IF(SUMPRODUCT(('Agences &amp; Après-vente'!$A$2:$A$1000=$A90)*(('Agences &amp; Après-vente'!$D$2:$D$1000="Après-vente")+('Agences &amp; Après-vente'!$D$2:$D$1000="Agences et Après-vente"))*('Agences &amp; Après-vente'!$I$2:$I$1000="DONE"))&gt;0,"✓",IF(SUMPRODUCT(MAX(('Agences &amp; Après-vente'!$A$2:$A$1000=$A90)*(('Agences &amp; Après-vente'!$D$2:$D$1000="Après-vente")+('Agences &amp; Après-vente'!$D$2:$D$1000="Agences et Après-vente"))*'Agences &amp; Après-vente'!$E$2:$E$1000))&gt;0,TEXT(SUMPRODUCT(MAX(('Agences &amp; Après-vente'!$A$2:$A$1000=$A90)*(('Agences &amp; Après-vente'!$D$2:$D$1000="Après-vente")+('Agences &amp; Après-vente'!$D$2:$D$1000="Agences et Après-vente"))*'Agences &amp; Après-vente'!$E$2:$E$1000)),"yyyy-mm-dd"),"")))))</f>
        <v>✓</v>
      </c>
      <c r="J90" s="131" t="str">
        <f aca="false">IF($T90="✓","✓",IF(ISNUMBER($T90),TEXT($T90,"yyyy-mm-dd"),IF($A90="","",IF($D90="Lisbonne","",IF(SUMPRODUCT(('Agences &amp; Après-vente'!$A$2:$A$1000=$A90)*(('Agences &amp; Après-vente'!$D$2:$D$1000="Après-vente")+('Agences &amp; Après-vente'!$D$2:$D$1000="Agences et Après-vente"))*('Agences &amp; Après-vente'!$I$2:$I$1000="DONE"))&gt;0,"✓",IF(SUMPRODUCT(MAX(('Agences &amp; Après-vente'!$A$2:$A$1000=$A90)*(('Agences &amp; Après-vente'!$D$2:$D$1000="Après-vente")+('Agences &amp; Après-vente'!$D$2:$D$1000="Agences et Après-vente"))*'Agences &amp; Après-vente'!$E$2:$E$1000))&gt;0,TEXT(SUMPRODUCT(MAX(('Agences &amp; Après-vente'!$A$2:$A$1000=$A90)*(('Agences &amp; Après-vente'!$D$2:$D$1000="Après-vente")+('Agences &amp; Après-vente'!$D$2:$D$1000="Agences et Après-vente"))*'Agences &amp; Après-vente'!$E$2:$E$1000)),"yyyy-mm-dd"),""))))))</f>
        <v>✓</v>
      </c>
      <c r="K90" s="131" t="str">
        <f aca="false">IF($U90="✓","✓",IF(ISNUMBER($U90),TEXT($U90,"yyyy-mm-dd"),IF($D90="Lisbonne","",IF($A90="","",IF(SUMPRODUCT((Evermont!$A$2:$A$1000=$A90)*(Evermont!$Q$2:$Q$1000="Terminé"))&gt;0,"✓",IF(SUMPRODUCT(MAX((Evermont!$A$2:$A$1000=$A90)*Evermont!$F$2:$F$1000))&gt;0,TEXT(SUMPRODUCT(MAX((Evermont!$A$2:$A$1000=$A90)*Evermont!$F$2:$F$1000)),"yyyy-mm-dd"),""))))))</f>
        <v>✓</v>
      </c>
      <c r="L90" s="132" t="n">
        <f aca="false">IF($A90="","",COUNTIF(E90:K90,"✓"))</f>
        <v>7</v>
      </c>
      <c r="M90" s="133" t="s">
        <v>172</v>
      </c>
      <c r="O90" s="134" t="s">
        <v>173</v>
      </c>
      <c r="P90" s="134" t="s">
        <v>173</v>
      </c>
      <c r="Q90" s="134" t="s">
        <v>173</v>
      </c>
      <c r="R90" s="134" t="s">
        <v>173</v>
      </c>
      <c r="S90" s="134"/>
      <c r="T90" s="134"/>
      <c r="U90" s="134" t="s">
        <v>173</v>
      </c>
      <c r="W90" s="135" t="str">
        <f aca="false">IF($A90="","",IF($X90&lt;&gt;"",$X90,IFERROR(INDEX('Formation Initiale'!$B$2:$B$999,MATCH($A90,'Formation Initiale'!$A$2:$A$999,0)),"Général")))</f>
        <v>Général</v>
      </c>
      <c r="X90" s="136"/>
    </row>
    <row r="91" customFormat="false" ht="18" hidden="true" customHeight="true" outlineLevel="0" collapsed="false">
      <c r="A91" s="127" t="s">
        <v>438</v>
      </c>
      <c r="B91" s="128" t="s">
        <v>439</v>
      </c>
      <c r="C91" s="128" t="s">
        <v>440</v>
      </c>
      <c r="D91" s="129" t="s">
        <v>171</v>
      </c>
      <c r="E91" s="130" t="str">
        <f aca="false">IF($O91="✓","✓",IF(ISNUMBER($O91),TEXT($O91,"yyyy-mm-dd"),IF($A91="","",IF(SUMPRODUCT(('Formation Initiale'!$A$2:$A$999=$A91)*('Formation Initiale'!$R$2:$R$999="Terminé"))&gt;0,"✓",IF(SUMPRODUCT(MAX(('Formation Initiale'!$A$2:$A$999=$A91)*'Formation Initiale'!$G$2:$G$999))&gt;0,TEXT(SUMPRODUCT(MAX(('Formation Initiale'!$A$2:$A$999=$A91)*'Formation Initiale'!$G$2:$G$999)),"yyyy-mm-dd"),"")))))</f>
        <v>✓</v>
      </c>
      <c r="F91" s="131" t="str">
        <f aca="false">IF($P91="✓","✓",IF(ISNUMBER($P91),TEXT($P91,"yyyy-mm-dd"),IF($A91="","",IF($D91="Lisbonne","",IF(SUMPRODUCT(('Formation Initiale'!$A$2:$A$999=$A91)*('Formation Initiale'!$R$2:$R$999="Terminé"))&gt;0,"✓",IF(SUMPRODUCT(MAX(('Formation Initiale'!$A$2:$A$999=$A91)*'Formation Initiale'!$G$2:$G$999))&gt;0,TEXT(SUMPRODUCT(MAX(('Formation Initiale'!$A$2:$A$999=$A91)*'Formation Initiale'!$G$2:$G$999)),"yyyy-mm-dd"),""))))))</f>
        <v>✓</v>
      </c>
      <c r="G91" s="131" t="str">
        <f aca="false">IF($Q91="✓","✓",IF(ISNUMBER($Q91),TEXT($Q91,"yyyy-mm-dd"),IF($A91="","",IF(SUMPRODUCT(('Agences &amp; Après-vente'!$A$2:$A$1000=$A91)*(('Agences &amp; Après-vente'!$D$2:$D$1000="Agences")+('Agences &amp; Après-vente'!$D$2:$D$1000="Agences et Après-vente"))*('Agences &amp; Après-vente'!$I$2:$I$1000="DONE"))&gt;0,"✓",IF(SUMPRODUCT(MAX(('Agences &amp; Après-vente'!$A$2:$A$1000=$A91)*(('Agences &amp; Après-vente'!$D$2:$D$1000="Agences")+('Agences &amp; Après-vente'!$D$2:$D$1000="Agences et Après-vente"))*'Agences &amp; Après-vente'!$E$2:$E$1000))&gt;0,TEXT(SUMPRODUCT(MAX(('Agences &amp; Après-vente'!$A$2:$A$1000=$A91)*(('Agences &amp; Après-vente'!$D$2:$D$1000="Agences")+('Agences &amp; Après-vente'!$D$2:$D$1000="Agences et Après-vente"))*'Agences &amp; Après-vente'!$E$2:$E$1000)),"yyyy-mm-dd"),"")))))</f>
        <v>✓</v>
      </c>
      <c r="H91" s="131" t="str">
        <f aca="false">IF($R91="✓","✓",IF(ISNUMBER($R91),TEXT($R91,"yyyy-mm-dd"),IF($A91="","",IF($D91="Lisbonne","",IF(SUMPRODUCT(('Agences &amp; Après-vente'!$A$2:$A$1000=$A91)*(('Agences &amp; Après-vente'!$D$2:$D$1000="Agences")+('Agences &amp; Après-vente'!$D$2:$D$1000="Agences et Après-vente"))*('Agences &amp; Après-vente'!$I$2:$I$1000="DONE"))&gt;0,"✓",IF(SUMPRODUCT(MAX(('Agences &amp; Après-vente'!$A$2:$A$1000=$A91)*(('Agences &amp; Après-vente'!$D$2:$D$1000="Agences")+('Agences &amp; Après-vente'!$D$2:$D$1000="Agences et Après-vente"))*'Agences &amp; Après-vente'!$E$2:$E$1000))&gt;0,TEXT(SUMPRODUCT(MAX(('Agences &amp; Après-vente'!$A$2:$A$1000=$A91)*(('Agences &amp; Après-vente'!$D$2:$D$1000="Agences")+('Agences &amp; Après-vente'!$D$2:$D$1000="Agences et Après-vente"))*'Agences &amp; Après-vente'!$E$2:$E$1000)),"yyyy-mm-dd"),""))))))</f>
        <v>✓</v>
      </c>
      <c r="I91" s="131" t="str">
        <f aca="false">IF($S91="✓","✓",IF(ISNUMBER($S91),TEXT($S91,"yyyy-mm-dd"),IF($A91="","",IF(SUMPRODUCT(('Agences &amp; Après-vente'!$A$2:$A$1000=$A91)*(('Agences &amp; Après-vente'!$D$2:$D$1000="Après-vente")+('Agences &amp; Après-vente'!$D$2:$D$1000="Agences et Après-vente"))*('Agences &amp; Après-vente'!$I$2:$I$1000="DONE"))&gt;0,"✓",IF(SUMPRODUCT(MAX(('Agences &amp; Après-vente'!$A$2:$A$1000=$A91)*(('Agences &amp; Après-vente'!$D$2:$D$1000="Après-vente")+('Agences &amp; Après-vente'!$D$2:$D$1000="Agences et Après-vente"))*'Agences &amp; Après-vente'!$E$2:$E$1000))&gt;0,TEXT(SUMPRODUCT(MAX(('Agences &amp; Après-vente'!$A$2:$A$1000=$A91)*(('Agences &amp; Après-vente'!$D$2:$D$1000="Après-vente")+('Agences &amp; Après-vente'!$D$2:$D$1000="Agences et Après-vente"))*'Agences &amp; Après-vente'!$E$2:$E$1000)),"yyyy-mm-dd"),"")))))</f>
        <v>✓</v>
      </c>
      <c r="J91" s="131" t="str">
        <f aca="false">IF($T91="✓","✓",IF(ISNUMBER($T91),TEXT($T91,"yyyy-mm-dd"),IF($A91="","",IF($D91="Lisbonne","",IF(SUMPRODUCT(('Agences &amp; Après-vente'!$A$2:$A$1000=$A91)*(('Agences &amp; Après-vente'!$D$2:$D$1000="Après-vente")+('Agences &amp; Après-vente'!$D$2:$D$1000="Agences et Après-vente"))*('Agences &amp; Après-vente'!$I$2:$I$1000="DONE"))&gt;0,"✓",IF(SUMPRODUCT(MAX(('Agences &amp; Après-vente'!$A$2:$A$1000=$A91)*(('Agences &amp; Après-vente'!$D$2:$D$1000="Après-vente")+('Agences &amp; Après-vente'!$D$2:$D$1000="Agences et Après-vente"))*'Agences &amp; Après-vente'!$E$2:$E$1000))&gt;0,TEXT(SUMPRODUCT(MAX(('Agences &amp; Après-vente'!$A$2:$A$1000=$A91)*(('Agences &amp; Après-vente'!$D$2:$D$1000="Après-vente")+('Agences &amp; Après-vente'!$D$2:$D$1000="Agences et Après-vente"))*'Agences &amp; Après-vente'!$E$2:$E$1000)),"yyyy-mm-dd"),""))))))</f>
        <v>✓</v>
      </c>
      <c r="K91" s="131" t="str">
        <f aca="false">IF($U91="✓","✓",IF(ISNUMBER($U91),TEXT($U91,"yyyy-mm-dd"),IF($D91="Lisbonne","",IF($A91="","",IF(SUMPRODUCT((Evermont!$A$2:$A$1000=$A91)*(Evermont!$Q$2:$Q$1000="Terminé"))&gt;0,"✓",IF(SUMPRODUCT(MAX((Evermont!$A$2:$A$1000=$A91)*Evermont!$F$2:$F$1000))&gt;0,TEXT(SUMPRODUCT(MAX((Evermont!$A$2:$A$1000=$A91)*Evermont!$F$2:$F$1000)),"yyyy-mm-dd"),""))))))</f>
        <v>✓</v>
      </c>
      <c r="L91" s="132" t="n">
        <f aca="false">IF($A91="","",COUNTIF(E91:K91,"✓"))</f>
        <v>7</v>
      </c>
      <c r="M91" s="133" t="s">
        <v>172</v>
      </c>
      <c r="O91" s="134" t="s">
        <v>173</v>
      </c>
      <c r="P91" s="134" t="s">
        <v>173</v>
      </c>
      <c r="Q91" s="134" t="s">
        <v>173</v>
      </c>
      <c r="R91" s="134" t="s">
        <v>173</v>
      </c>
      <c r="S91" s="134"/>
      <c r="T91" s="134"/>
      <c r="U91" s="134" t="s">
        <v>173</v>
      </c>
      <c r="W91" s="135" t="str">
        <f aca="false">IF($A91="","",IF($X91&lt;&gt;"",$X91,IFERROR(INDEX('Formation Initiale'!$B$2:$B$999,MATCH($A91,'Formation Initiale'!$A$2:$A$999,0)),"Général")))</f>
        <v>Général</v>
      </c>
      <c r="X91" s="136"/>
    </row>
    <row r="92" customFormat="false" ht="18" hidden="true" customHeight="true" outlineLevel="0" collapsed="false">
      <c r="A92" s="127" t="s">
        <v>441</v>
      </c>
      <c r="B92" s="128" t="s">
        <v>442</v>
      </c>
      <c r="C92" s="128" t="s">
        <v>443</v>
      </c>
      <c r="D92" s="129" t="s">
        <v>171</v>
      </c>
      <c r="E92" s="130" t="str">
        <f aca="false">IF($O92="✓","✓",IF(ISNUMBER($O92),TEXT($O92,"yyyy-mm-dd"),IF($A92="","",IF(SUMPRODUCT(('Formation Initiale'!$A$2:$A$999=$A92)*('Formation Initiale'!$R$2:$R$999="Terminé"))&gt;0,"✓",IF(SUMPRODUCT(MAX(('Formation Initiale'!$A$2:$A$999=$A92)*'Formation Initiale'!$G$2:$G$999))&gt;0,TEXT(SUMPRODUCT(MAX(('Formation Initiale'!$A$2:$A$999=$A92)*'Formation Initiale'!$G$2:$G$999)),"yyyy-mm-dd"),"")))))</f>
        <v>✓</v>
      </c>
      <c r="F92" s="131" t="str">
        <f aca="false">IF($P92="✓","✓",IF(ISNUMBER($P92),TEXT($P92,"yyyy-mm-dd"),IF($A92="","",IF($D92="Lisbonne","",IF(SUMPRODUCT(('Formation Initiale'!$A$2:$A$999=$A92)*('Formation Initiale'!$R$2:$R$999="Terminé"))&gt;0,"✓",IF(SUMPRODUCT(MAX(('Formation Initiale'!$A$2:$A$999=$A92)*'Formation Initiale'!$G$2:$G$999))&gt;0,TEXT(SUMPRODUCT(MAX(('Formation Initiale'!$A$2:$A$999=$A92)*'Formation Initiale'!$G$2:$G$999)),"yyyy-mm-dd"),""))))))</f>
        <v>✓</v>
      </c>
      <c r="G92" s="131" t="str">
        <f aca="false">IF($Q92="✓","✓",IF(ISNUMBER($Q92),TEXT($Q92,"yyyy-mm-dd"),IF($A92="","",IF(SUMPRODUCT(('Agences &amp; Après-vente'!$A$2:$A$1000=$A92)*(('Agences &amp; Après-vente'!$D$2:$D$1000="Agences")+('Agences &amp; Après-vente'!$D$2:$D$1000="Agences et Après-vente"))*('Agences &amp; Après-vente'!$I$2:$I$1000="DONE"))&gt;0,"✓",IF(SUMPRODUCT(MAX(('Agences &amp; Après-vente'!$A$2:$A$1000=$A92)*(('Agences &amp; Après-vente'!$D$2:$D$1000="Agences")+('Agences &amp; Après-vente'!$D$2:$D$1000="Agences et Après-vente"))*'Agences &amp; Après-vente'!$E$2:$E$1000))&gt;0,TEXT(SUMPRODUCT(MAX(('Agences &amp; Après-vente'!$A$2:$A$1000=$A92)*(('Agences &amp; Après-vente'!$D$2:$D$1000="Agences")+('Agences &amp; Après-vente'!$D$2:$D$1000="Agences et Après-vente"))*'Agences &amp; Après-vente'!$E$2:$E$1000)),"yyyy-mm-dd"),"")))))</f>
        <v/>
      </c>
      <c r="H92" s="131" t="str">
        <f aca="false">IF($R92="✓","✓",IF(ISNUMBER($R92),TEXT($R92,"yyyy-mm-dd"),IF($A92="","",IF($D92="Lisbonne","",IF(SUMPRODUCT(('Agences &amp; Après-vente'!$A$2:$A$1000=$A92)*(('Agences &amp; Après-vente'!$D$2:$D$1000="Agences")+('Agences &amp; Après-vente'!$D$2:$D$1000="Agences et Après-vente"))*('Agences &amp; Après-vente'!$I$2:$I$1000="DONE"))&gt;0,"✓",IF(SUMPRODUCT(MAX(('Agences &amp; Après-vente'!$A$2:$A$1000=$A92)*(('Agences &amp; Après-vente'!$D$2:$D$1000="Agences")+('Agences &amp; Après-vente'!$D$2:$D$1000="Agences et Après-vente"))*'Agences &amp; Après-vente'!$E$2:$E$1000))&gt;0,TEXT(SUMPRODUCT(MAX(('Agences &amp; Après-vente'!$A$2:$A$1000=$A92)*(('Agences &amp; Après-vente'!$D$2:$D$1000="Agences")+('Agences &amp; Après-vente'!$D$2:$D$1000="Agences et Après-vente"))*'Agences &amp; Après-vente'!$E$2:$E$1000)),"yyyy-mm-dd"),""))))))</f>
        <v/>
      </c>
      <c r="I92" s="131" t="str">
        <f aca="false">IF($S92="✓","✓",IF(ISNUMBER($S92),TEXT($S92,"yyyy-mm-dd"),IF($A92="","",IF(SUMPRODUCT(('Agences &amp; Après-vente'!$A$2:$A$1000=$A92)*(('Agences &amp; Après-vente'!$D$2:$D$1000="Après-vente")+('Agences &amp; Après-vente'!$D$2:$D$1000="Agences et Après-vente"))*('Agences &amp; Après-vente'!$I$2:$I$1000="DONE"))&gt;0,"✓",IF(SUMPRODUCT(MAX(('Agences &amp; Après-vente'!$A$2:$A$1000=$A92)*(('Agences &amp; Après-vente'!$D$2:$D$1000="Après-vente")+('Agences &amp; Après-vente'!$D$2:$D$1000="Agences et Après-vente"))*'Agences &amp; Après-vente'!$E$2:$E$1000))&gt;0,TEXT(SUMPRODUCT(MAX(('Agences &amp; Après-vente'!$A$2:$A$1000=$A92)*(('Agences &amp; Après-vente'!$D$2:$D$1000="Après-vente")+('Agences &amp; Après-vente'!$D$2:$D$1000="Agences et Après-vente"))*'Agences &amp; Après-vente'!$E$2:$E$1000)),"yyyy-mm-dd"),"")))))</f>
        <v/>
      </c>
      <c r="J92" s="131" t="str">
        <f aca="false">IF($T92="✓","✓",IF(ISNUMBER($T92),TEXT($T92,"yyyy-mm-dd"),IF($A92="","",IF($D92="Lisbonne","",IF(SUMPRODUCT(('Agences &amp; Après-vente'!$A$2:$A$1000=$A92)*(('Agences &amp; Après-vente'!$D$2:$D$1000="Après-vente")+('Agences &amp; Après-vente'!$D$2:$D$1000="Agences et Après-vente"))*('Agences &amp; Après-vente'!$I$2:$I$1000="DONE"))&gt;0,"✓",IF(SUMPRODUCT(MAX(('Agences &amp; Après-vente'!$A$2:$A$1000=$A92)*(('Agences &amp; Après-vente'!$D$2:$D$1000="Après-vente")+('Agences &amp; Après-vente'!$D$2:$D$1000="Agences et Après-vente"))*'Agences &amp; Après-vente'!$E$2:$E$1000))&gt;0,TEXT(SUMPRODUCT(MAX(('Agences &amp; Après-vente'!$A$2:$A$1000=$A92)*(('Agences &amp; Après-vente'!$D$2:$D$1000="Après-vente")+('Agences &amp; Après-vente'!$D$2:$D$1000="Agences et Après-vente"))*'Agences &amp; Après-vente'!$E$2:$E$1000)),"yyyy-mm-dd"),""))))))</f>
        <v/>
      </c>
      <c r="K92" s="131" t="str">
        <f aca="false">IF($U92="✓","✓",IF(ISNUMBER($U92),TEXT($U92,"yyyy-mm-dd"),IF($D92="Lisbonne","",IF($A92="","",IF(SUMPRODUCT((Evermont!$A$2:$A$1000=$A92)*(Evermont!$Q$2:$Q$1000="Terminé"))&gt;0,"✓",IF(SUMPRODUCT(MAX((Evermont!$A$2:$A$1000=$A92)*Evermont!$F$2:$F$1000))&gt;0,TEXT(SUMPRODUCT(MAX((Evermont!$A$2:$A$1000=$A92)*Evermont!$F$2:$F$1000)),"yyyy-mm-dd"),""))))))</f>
        <v/>
      </c>
      <c r="L92" s="132" t="n">
        <f aca="false">IF($A92="","",COUNTIF(E92:K92,"✓"))</f>
        <v>2</v>
      </c>
      <c r="M92" s="133" t="s">
        <v>172</v>
      </c>
      <c r="O92" s="134" t="s">
        <v>173</v>
      </c>
      <c r="P92" s="134" t="s">
        <v>173</v>
      </c>
      <c r="Q92" s="134"/>
      <c r="R92" s="134"/>
      <c r="S92" s="134"/>
      <c r="T92" s="134"/>
      <c r="U92" s="134"/>
      <c r="W92" s="135" t="str">
        <f aca="false">IF($A92="","",IF($X92&lt;&gt;"",$X92,IFERROR(INDEX('Formation Initiale'!$B$2:$B$999,MATCH($A92,'Formation Initiale'!$A$2:$A$999,0)),"Général")))</f>
        <v>Général</v>
      </c>
      <c r="X92" s="136"/>
    </row>
    <row r="93" customFormat="false" ht="18" hidden="true" customHeight="true" outlineLevel="0" collapsed="false">
      <c r="A93" s="138" t="s">
        <v>444</v>
      </c>
      <c r="B93" s="128" t="s">
        <v>242</v>
      </c>
      <c r="C93" s="128" t="s">
        <v>445</v>
      </c>
      <c r="D93" s="129" t="s">
        <v>186</v>
      </c>
      <c r="E93" s="130" t="str">
        <f aca="false">IF($O93="✓","✓",IF(ISNUMBER($O93),TEXT($O93,"yyyy-mm-dd"),IF($A93="","",IF(SUMPRODUCT(('Formation Initiale'!$A$2:$A$999=$A93)*('Formation Initiale'!$R$2:$R$999="Terminé"))&gt;0,"✓",IF(SUMPRODUCT(MAX(('Formation Initiale'!$A$2:$A$999=$A93)*'Formation Initiale'!$G$2:$G$999))&gt;0,TEXT(SUMPRODUCT(MAX(('Formation Initiale'!$A$2:$A$999=$A93)*'Formation Initiale'!$G$2:$G$999)),"yyyy-mm-dd"),"")))))</f>
        <v>✓</v>
      </c>
      <c r="F93" s="131" t="str">
        <f aca="false">IF($P93="✓","✓",IF(ISNUMBER($P93),TEXT($P93,"yyyy-mm-dd"),IF($A93="","",IF($D93="Lisbonne","",IF(SUMPRODUCT(('Formation Initiale'!$A$2:$A$999=$A93)*('Formation Initiale'!$R$2:$R$999="Terminé"))&gt;0,"✓",IF(SUMPRODUCT(MAX(('Formation Initiale'!$A$2:$A$999=$A93)*'Formation Initiale'!$G$2:$G$999))&gt;0,TEXT(SUMPRODUCT(MAX(('Formation Initiale'!$A$2:$A$999=$A93)*'Formation Initiale'!$G$2:$G$999)),"yyyy-mm-dd"),""))))))</f>
        <v/>
      </c>
      <c r="G93" s="131" t="str">
        <f aca="false">IF($Q93="✓","✓",IF(ISNUMBER($Q93),TEXT($Q93,"yyyy-mm-dd"),IF($A93="","",IF(SUMPRODUCT(('Agences &amp; Après-vente'!$A$2:$A$1000=$A93)*(('Agences &amp; Après-vente'!$D$2:$D$1000="Agences")+('Agences &amp; Après-vente'!$D$2:$D$1000="Agences et Après-vente"))*('Agences &amp; Après-vente'!$I$2:$I$1000="DONE"))&gt;0,"✓",IF(SUMPRODUCT(MAX(('Agences &amp; Après-vente'!$A$2:$A$1000=$A93)*(('Agences &amp; Après-vente'!$D$2:$D$1000="Agences")+('Agences &amp; Après-vente'!$D$2:$D$1000="Agences et Après-vente"))*'Agences &amp; Après-vente'!$E$2:$E$1000))&gt;0,TEXT(SUMPRODUCT(MAX(('Agences &amp; Après-vente'!$A$2:$A$1000=$A93)*(('Agences &amp; Après-vente'!$D$2:$D$1000="Agences")+('Agences &amp; Après-vente'!$D$2:$D$1000="Agences et Après-vente"))*'Agences &amp; Après-vente'!$E$2:$E$1000)),"yyyy-mm-dd"),"")))))</f>
        <v>✓</v>
      </c>
      <c r="H93" s="131" t="str">
        <f aca="false">IF($R93="✓","✓",IF(ISNUMBER($R93),TEXT($R93,"yyyy-mm-dd"),IF($A93="","",IF($D93="Lisbonne","",IF(SUMPRODUCT(('Agences &amp; Après-vente'!$A$2:$A$1000=$A93)*(('Agences &amp; Après-vente'!$D$2:$D$1000="Agences")+('Agences &amp; Après-vente'!$D$2:$D$1000="Agences et Après-vente"))*('Agences &amp; Après-vente'!$I$2:$I$1000="DONE"))&gt;0,"✓",IF(SUMPRODUCT(MAX(('Agences &amp; Après-vente'!$A$2:$A$1000=$A93)*(('Agences &amp; Après-vente'!$D$2:$D$1000="Agences")+('Agences &amp; Après-vente'!$D$2:$D$1000="Agences et Après-vente"))*'Agences &amp; Après-vente'!$E$2:$E$1000))&gt;0,TEXT(SUMPRODUCT(MAX(('Agences &amp; Après-vente'!$A$2:$A$1000=$A93)*(('Agences &amp; Après-vente'!$D$2:$D$1000="Agences")+('Agences &amp; Après-vente'!$D$2:$D$1000="Agences et Après-vente"))*'Agences &amp; Après-vente'!$E$2:$E$1000)),"yyyy-mm-dd"),""))))))</f>
        <v/>
      </c>
      <c r="I93" s="131" t="str">
        <f aca="false">IF($S93="✓","✓",IF(ISNUMBER($S93),TEXT($S93,"yyyy-mm-dd"),IF($A93="","",IF(SUMPRODUCT(('Agences &amp; Après-vente'!$A$2:$A$1000=$A93)*(('Agences &amp; Après-vente'!$D$2:$D$1000="Après-vente")+('Agences &amp; Après-vente'!$D$2:$D$1000="Agences et Après-vente"))*('Agences &amp; Après-vente'!$I$2:$I$1000="DONE"))&gt;0,"✓",IF(SUMPRODUCT(MAX(('Agences &amp; Après-vente'!$A$2:$A$1000=$A93)*(('Agences &amp; Après-vente'!$D$2:$D$1000="Après-vente")+('Agences &amp; Après-vente'!$D$2:$D$1000="Agences et Après-vente"))*'Agences &amp; Après-vente'!$E$2:$E$1000))&gt;0,TEXT(SUMPRODUCT(MAX(('Agences &amp; Après-vente'!$A$2:$A$1000=$A93)*(('Agences &amp; Après-vente'!$D$2:$D$1000="Après-vente")+('Agences &amp; Après-vente'!$D$2:$D$1000="Agences et Après-vente"))*'Agences &amp; Après-vente'!$E$2:$E$1000)),"yyyy-mm-dd"),"")))))</f>
        <v/>
      </c>
      <c r="J93" s="131" t="str">
        <f aca="false">IF($T93="✓","✓",IF(ISNUMBER($T93),TEXT($T93,"yyyy-mm-dd"),IF($A93="","",IF($D93="Lisbonne","",IF(SUMPRODUCT(('Agences &amp; Après-vente'!$A$2:$A$1000=$A93)*(('Agences &amp; Après-vente'!$D$2:$D$1000="Après-vente")+('Agences &amp; Après-vente'!$D$2:$D$1000="Agences et Après-vente"))*('Agences &amp; Après-vente'!$I$2:$I$1000="DONE"))&gt;0,"✓",IF(SUMPRODUCT(MAX(('Agences &amp; Après-vente'!$A$2:$A$1000=$A93)*(('Agences &amp; Après-vente'!$D$2:$D$1000="Après-vente")+('Agences &amp; Après-vente'!$D$2:$D$1000="Agences et Après-vente"))*'Agences &amp; Après-vente'!$E$2:$E$1000))&gt;0,TEXT(SUMPRODUCT(MAX(('Agences &amp; Après-vente'!$A$2:$A$1000=$A93)*(('Agences &amp; Après-vente'!$D$2:$D$1000="Après-vente")+('Agences &amp; Après-vente'!$D$2:$D$1000="Agences et Après-vente"))*'Agences &amp; Après-vente'!$E$2:$E$1000)),"yyyy-mm-dd"),""))))))</f>
        <v/>
      </c>
      <c r="K93" s="131" t="str">
        <f aca="false">IF($U93="✓","✓",IF(ISNUMBER($U93),TEXT($U93,"yyyy-mm-dd"),IF($D93="Lisbonne","",IF($A93="","",IF(SUMPRODUCT((Evermont!$A$2:$A$1000=$A93)*(Evermont!$Q$2:$Q$1000="Terminé"))&gt;0,"✓",IF(SUMPRODUCT(MAX((Evermont!$A$2:$A$1000=$A93)*Evermont!$F$2:$F$1000))&gt;0,TEXT(SUMPRODUCT(MAX((Evermont!$A$2:$A$1000=$A93)*Evermont!$F$2:$F$1000)),"yyyy-mm-dd"),""))))))</f>
        <v/>
      </c>
      <c r="L93" s="132" t="n">
        <f aca="false">IF($A93="","",COUNTIF(E93:K93,"✓"))</f>
        <v>2</v>
      </c>
      <c r="M93" s="133" t="s">
        <v>172</v>
      </c>
      <c r="O93" s="134" t="s">
        <v>173</v>
      </c>
      <c r="P93" s="134"/>
      <c r="Q93" s="134"/>
      <c r="R93" s="134"/>
      <c r="S93" s="134"/>
      <c r="T93" s="134"/>
      <c r="U93" s="134"/>
      <c r="W93" s="135" t="str">
        <f aca="false">IF($A93="","",IF($X93&lt;&gt;"",$X93,IFERROR(INDEX('Formation Initiale'!$B$2:$B$999,MATCH($A93,'Formation Initiale'!$A$2:$A$999,0)),"Général")))</f>
        <v>OS5</v>
      </c>
      <c r="X93" s="136"/>
    </row>
    <row r="94" customFormat="false" ht="18" hidden="true" customHeight="true" outlineLevel="0" collapsed="false">
      <c r="A94" s="140" t="s">
        <v>446</v>
      </c>
      <c r="B94" s="128" t="s">
        <v>447</v>
      </c>
      <c r="C94" s="128" t="s">
        <v>448</v>
      </c>
      <c r="D94" s="129" t="s">
        <v>186</v>
      </c>
      <c r="E94" s="130" t="str">
        <f aca="false">IF($O94="✓","✓",IF(ISNUMBER($O94),TEXT($O94,"yyyy-mm-dd"),IF($A94="","",IF(SUMPRODUCT(('Formation Initiale'!$A$2:$A$999=$A94)*('Formation Initiale'!$R$2:$R$999="Terminé"))&gt;0,"✓",IF(SUMPRODUCT(MAX(('Formation Initiale'!$A$2:$A$999=$A94)*'Formation Initiale'!$G$2:$G$999))&gt;0,TEXT(SUMPRODUCT(MAX(('Formation Initiale'!$A$2:$A$999=$A94)*'Formation Initiale'!$G$2:$G$999)),"yyyy-mm-dd"),"")))))</f>
        <v>✓</v>
      </c>
      <c r="F94" s="131" t="str">
        <f aca="false">IF($P94="✓","✓",IF(ISNUMBER($P94),TEXT($P94,"yyyy-mm-dd"),IF($A94="","",IF($D94="Lisbonne","",IF(SUMPRODUCT(('Formation Initiale'!$A$2:$A$999=$A94)*('Formation Initiale'!$R$2:$R$999="Terminé"))&gt;0,"✓",IF(SUMPRODUCT(MAX(('Formation Initiale'!$A$2:$A$999=$A94)*'Formation Initiale'!$G$2:$G$999))&gt;0,TEXT(SUMPRODUCT(MAX(('Formation Initiale'!$A$2:$A$999=$A94)*'Formation Initiale'!$G$2:$G$999)),"yyyy-mm-dd"),""))))))</f>
        <v/>
      </c>
      <c r="G94" s="131" t="str">
        <f aca="false">IF($Q94="✓","✓",IF(ISNUMBER($Q94),TEXT($Q94,"yyyy-mm-dd"),IF($A94="","",IF(SUMPRODUCT(('Agences &amp; Après-vente'!$A$2:$A$1000=$A94)*(('Agences &amp; Après-vente'!$D$2:$D$1000="Agences")+('Agences &amp; Après-vente'!$D$2:$D$1000="Agences et Après-vente"))*('Agences &amp; Après-vente'!$I$2:$I$1000="DONE"))&gt;0,"✓",IF(SUMPRODUCT(MAX(('Agences &amp; Après-vente'!$A$2:$A$1000=$A94)*(('Agences &amp; Après-vente'!$D$2:$D$1000="Agences")+('Agences &amp; Après-vente'!$D$2:$D$1000="Agences et Après-vente"))*'Agences &amp; Après-vente'!$E$2:$E$1000))&gt;0,TEXT(SUMPRODUCT(MAX(('Agences &amp; Après-vente'!$A$2:$A$1000=$A94)*(('Agences &amp; Après-vente'!$D$2:$D$1000="Agences")+('Agences &amp; Après-vente'!$D$2:$D$1000="Agences et Après-vente"))*'Agences &amp; Après-vente'!$E$2:$E$1000)),"yyyy-mm-dd"),"")))))</f>
        <v>✓</v>
      </c>
      <c r="H94" s="131" t="str">
        <f aca="false">IF($R94="✓","✓",IF(ISNUMBER($R94),TEXT($R94,"yyyy-mm-dd"),IF($A94="","",IF($D94="Lisbonne","",IF(SUMPRODUCT(('Agences &amp; Après-vente'!$A$2:$A$1000=$A94)*(('Agences &amp; Après-vente'!$D$2:$D$1000="Agences")+('Agences &amp; Après-vente'!$D$2:$D$1000="Agences et Après-vente"))*('Agences &amp; Après-vente'!$I$2:$I$1000="DONE"))&gt;0,"✓",IF(SUMPRODUCT(MAX(('Agences &amp; Après-vente'!$A$2:$A$1000=$A94)*(('Agences &amp; Après-vente'!$D$2:$D$1000="Agences")+('Agences &amp; Après-vente'!$D$2:$D$1000="Agences et Après-vente"))*'Agences &amp; Après-vente'!$E$2:$E$1000))&gt;0,TEXT(SUMPRODUCT(MAX(('Agences &amp; Après-vente'!$A$2:$A$1000=$A94)*(('Agences &amp; Après-vente'!$D$2:$D$1000="Agences")+('Agences &amp; Après-vente'!$D$2:$D$1000="Agences et Après-vente"))*'Agences &amp; Après-vente'!$E$2:$E$1000)),"yyyy-mm-dd"),""))))))</f>
        <v/>
      </c>
      <c r="I94" s="131" t="str">
        <f aca="false">IF($S94="✓","✓",IF(ISNUMBER($S94),TEXT($S94,"yyyy-mm-dd"),IF($A94="","",IF(SUMPRODUCT(('Agences &amp; Après-vente'!$A$2:$A$1000=$A94)*(('Agences &amp; Après-vente'!$D$2:$D$1000="Après-vente")+('Agences &amp; Après-vente'!$D$2:$D$1000="Agences et Après-vente"))*('Agences &amp; Après-vente'!$I$2:$I$1000="DONE"))&gt;0,"✓",IF(SUMPRODUCT(MAX(('Agences &amp; Après-vente'!$A$2:$A$1000=$A94)*(('Agences &amp; Après-vente'!$D$2:$D$1000="Après-vente")+('Agences &amp; Après-vente'!$D$2:$D$1000="Agences et Après-vente"))*'Agences &amp; Après-vente'!$E$2:$E$1000))&gt;0,TEXT(SUMPRODUCT(MAX(('Agences &amp; Après-vente'!$A$2:$A$1000=$A94)*(('Agences &amp; Après-vente'!$D$2:$D$1000="Après-vente")+('Agences &amp; Après-vente'!$D$2:$D$1000="Agences et Après-vente"))*'Agences &amp; Après-vente'!$E$2:$E$1000)),"yyyy-mm-dd"),"")))))</f>
        <v>✓</v>
      </c>
      <c r="J94" s="131" t="str">
        <f aca="false">IF($T94="✓","✓",IF(ISNUMBER($T94),TEXT($T94,"yyyy-mm-dd"),IF($A94="","",IF($D94="Lisbonne","",IF(SUMPRODUCT(('Agences &amp; Après-vente'!$A$2:$A$1000=$A94)*(('Agences &amp; Après-vente'!$D$2:$D$1000="Après-vente")+('Agences &amp; Après-vente'!$D$2:$D$1000="Agences et Après-vente"))*('Agences &amp; Après-vente'!$I$2:$I$1000="DONE"))&gt;0,"✓",IF(SUMPRODUCT(MAX(('Agences &amp; Après-vente'!$A$2:$A$1000=$A94)*(('Agences &amp; Après-vente'!$D$2:$D$1000="Après-vente")+('Agences &amp; Après-vente'!$D$2:$D$1000="Agences et Après-vente"))*'Agences &amp; Après-vente'!$E$2:$E$1000))&gt;0,TEXT(SUMPRODUCT(MAX(('Agences &amp; Après-vente'!$A$2:$A$1000=$A94)*(('Agences &amp; Après-vente'!$D$2:$D$1000="Après-vente")+('Agences &amp; Après-vente'!$D$2:$D$1000="Agences et Après-vente"))*'Agences &amp; Après-vente'!$E$2:$E$1000)),"yyyy-mm-dd"),""))))))</f>
        <v/>
      </c>
      <c r="K94" s="131" t="str">
        <f aca="false">IF($U94="✓","✓",IF(ISNUMBER($U94),TEXT($U94,"yyyy-mm-dd"),IF($D94="Lisbonne","",IF($A94="","",IF(SUMPRODUCT((Evermont!$A$2:$A$1000=$A94)*(Evermont!$Q$2:$Q$1000="Terminé"))&gt;0,"✓",IF(SUMPRODUCT(MAX((Evermont!$A$2:$A$1000=$A94)*Evermont!$F$2:$F$1000))&gt;0,TEXT(SUMPRODUCT(MAX((Evermont!$A$2:$A$1000=$A94)*Evermont!$F$2:$F$1000)),"yyyy-mm-dd"),""))))))</f>
        <v/>
      </c>
      <c r="L94" s="132" t="n">
        <f aca="false">IF($A94="","",COUNTIF(E94:K94,"✓"))</f>
        <v>3</v>
      </c>
      <c r="M94" s="133" t="s">
        <v>172</v>
      </c>
      <c r="O94" s="134" t="s">
        <v>173</v>
      </c>
      <c r="P94" s="134"/>
      <c r="Q94" s="134" t="s">
        <v>173</v>
      </c>
      <c r="R94" s="134"/>
      <c r="S94" s="134"/>
      <c r="T94" s="134"/>
      <c r="U94" s="134"/>
      <c r="W94" s="135" t="str">
        <f aca="false">IF($A94="","",IF($X94&lt;&gt;"",$X94,IFERROR(INDEX('Formation Initiale'!$B$2:$B$999,MATCH($A94,'Formation Initiale'!$A$2:$A$999,0)),"Général")))</f>
        <v>OS1</v>
      </c>
      <c r="X94" s="136"/>
    </row>
    <row r="95" customFormat="false" ht="18" hidden="true" customHeight="true" outlineLevel="0" collapsed="false">
      <c r="A95" s="127" t="s">
        <v>449</v>
      </c>
      <c r="B95" s="128" t="s">
        <v>450</v>
      </c>
      <c r="C95" s="128" t="s">
        <v>451</v>
      </c>
      <c r="D95" s="129" t="s">
        <v>171</v>
      </c>
      <c r="E95" s="130" t="str">
        <f aca="false">IF($O95="✓","✓",IF(ISNUMBER($O95),TEXT($O95,"yyyy-mm-dd"),IF($A95="","",IF(SUMPRODUCT(('Formation Initiale'!$A$2:$A$999=$A95)*('Formation Initiale'!$R$2:$R$999="Terminé"))&gt;0,"✓",IF(SUMPRODUCT(MAX(('Formation Initiale'!$A$2:$A$999=$A95)*'Formation Initiale'!$G$2:$G$999))&gt;0,TEXT(SUMPRODUCT(MAX(('Formation Initiale'!$A$2:$A$999=$A95)*'Formation Initiale'!$G$2:$G$999)),"yyyy-mm-dd"),"")))))</f>
        <v>✓</v>
      </c>
      <c r="F95" s="131" t="str">
        <f aca="false">IF($P95="✓","✓",IF(ISNUMBER($P95),TEXT($P95,"yyyy-mm-dd"),IF($A95="","",IF($D95="Lisbonne","",IF(SUMPRODUCT(('Formation Initiale'!$A$2:$A$999=$A95)*('Formation Initiale'!$R$2:$R$999="Terminé"))&gt;0,"✓",IF(SUMPRODUCT(MAX(('Formation Initiale'!$A$2:$A$999=$A95)*'Formation Initiale'!$G$2:$G$999))&gt;0,TEXT(SUMPRODUCT(MAX(('Formation Initiale'!$A$2:$A$999=$A95)*'Formation Initiale'!$G$2:$G$999)),"yyyy-mm-dd"),""))))))</f>
        <v>✓</v>
      </c>
      <c r="G95" s="131" t="str">
        <f aca="false">IF($Q95="✓","✓",IF(ISNUMBER($Q95),TEXT($Q95,"yyyy-mm-dd"),IF($A95="","",IF(SUMPRODUCT(('Agences &amp; Après-vente'!$A$2:$A$1000=$A95)*(('Agences &amp; Après-vente'!$D$2:$D$1000="Agences")+('Agences &amp; Après-vente'!$D$2:$D$1000="Agences et Après-vente"))*('Agences &amp; Après-vente'!$I$2:$I$1000="DONE"))&gt;0,"✓",IF(SUMPRODUCT(MAX(('Agences &amp; Après-vente'!$A$2:$A$1000=$A95)*(('Agences &amp; Après-vente'!$D$2:$D$1000="Agences")+('Agences &amp; Après-vente'!$D$2:$D$1000="Agences et Après-vente"))*'Agences &amp; Après-vente'!$E$2:$E$1000))&gt;0,TEXT(SUMPRODUCT(MAX(('Agences &amp; Après-vente'!$A$2:$A$1000=$A95)*(('Agences &amp; Après-vente'!$D$2:$D$1000="Agences")+('Agences &amp; Après-vente'!$D$2:$D$1000="Agences et Après-vente"))*'Agences &amp; Après-vente'!$E$2:$E$1000)),"yyyy-mm-dd"),"")))))</f>
        <v>✓</v>
      </c>
      <c r="H95" s="131" t="str">
        <f aca="false">IF($R95="✓","✓",IF(ISNUMBER($R95),TEXT($R95,"yyyy-mm-dd"),IF($A95="","",IF($D95="Lisbonne","",IF(SUMPRODUCT(('Agences &amp; Après-vente'!$A$2:$A$1000=$A95)*(('Agences &amp; Après-vente'!$D$2:$D$1000="Agences")+('Agences &amp; Après-vente'!$D$2:$D$1000="Agences et Après-vente"))*('Agences &amp; Après-vente'!$I$2:$I$1000="DONE"))&gt;0,"✓",IF(SUMPRODUCT(MAX(('Agences &amp; Après-vente'!$A$2:$A$1000=$A95)*(('Agences &amp; Après-vente'!$D$2:$D$1000="Agences")+('Agences &amp; Après-vente'!$D$2:$D$1000="Agences et Après-vente"))*'Agences &amp; Après-vente'!$E$2:$E$1000))&gt;0,TEXT(SUMPRODUCT(MAX(('Agences &amp; Après-vente'!$A$2:$A$1000=$A95)*(('Agences &amp; Après-vente'!$D$2:$D$1000="Agences")+('Agences &amp; Après-vente'!$D$2:$D$1000="Agences et Après-vente"))*'Agences &amp; Après-vente'!$E$2:$E$1000)),"yyyy-mm-dd"),""))))))</f>
        <v>✓</v>
      </c>
      <c r="I95" s="131" t="str">
        <f aca="false">IF($S95="✓","✓",IF(ISNUMBER($S95),TEXT($S95,"yyyy-mm-dd"),IF($A95="","",IF(SUMPRODUCT(('Agences &amp; Après-vente'!$A$2:$A$1000=$A95)*(('Agences &amp; Après-vente'!$D$2:$D$1000="Après-vente")+('Agences &amp; Après-vente'!$D$2:$D$1000="Agences et Après-vente"))*('Agences &amp; Après-vente'!$I$2:$I$1000="DONE"))&gt;0,"✓",IF(SUMPRODUCT(MAX(('Agences &amp; Après-vente'!$A$2:$A$1000=$A95)*(('Agences &amp; Après-vente'!$D$2:$D$1000="Après-vente")+('Agences &amp; Après-vente'!$D$2:$D$1000="Agences et Après-vente"))*'Agences &amp; Après-vente'!$E$2:$E$1000))&gt;0,TEXT(SUMPRODUCT(MAX(('Agences &amp; Après-vente'!$A$2:$A$1000=$A95)*(('Agences &amp; Après-vente'!$D$2:$D$1000="Après-vente")+('Agences &amp; Après-vente'!$D$2:$D$1000="Agences et Après-vente"))*'Agences &amp; Après-vente'!$E$2:$E$1000)),"yyyy-mm-dd"),"")))))</f>
        <v>✓</v>
      </c>
      <c r="J95" s="131" t="str">
        <f aca="false">IF($T95="✓","✓",IF(ISNUMBER($T95),TEXT($T95,"yyyy-mm-dd"),IF($A95="","",IF($D95="Lisbonne","",IF(SUMPRODUCT(('Agences &amp; Après-vente'!$A$2:$A$1000=$A95)*(('Agences &amp; Après-vente'!$D$2:$D$1000="Après-vente")+('Agences &amp; Après-vente'!$D$2:$D$1000="Agences et Après-vente"))*('Agences &amp; Après-vente'!$I$2:$I$1000="DONE"))&gt;0,"✓",IF(SUMPRODUCT(MAX(('Agences &amp; Après-vente'!$A$2:$A$1000=$A95)*(('Agences &amp; Après-vente'!$D$2:$D$1000="Après-vente")+('Agences &amp; Après-vente'!$D$2:$D$1000="Agences et Après-vente"))*'Agences &amp; Après-vente'!$E$2:$E$1000))&gt;0,TEXT(SUMPRODUCT(MAX(('Agences &amp; Après-vente'!$A$2:$A$1000=$A95)*(('Agences &amp; Après-vente'!$D$2:$D$1000="Après-vente")+('Agences &amp; Après-vente'!$D$2:$D$1000="Agences et Après-vente"))*'Agences &amp; Après-vente'!$E$2:$E$1000)),"yyyy-mm-dd"),""))))))</f>
        <v>✓</v>
      </c>
      <c r="K95" s="131" t="str">
        <f aca="false">IF($U95="✓","✓",IF(ISNUMBER($U95),TEXT($U95,"yyyy-mm-dd"),IF($D95="Lisbonne","",IF($A95="","",IF(SUMPRODUCT((Evermont!$A$2:$A$1000=$A95)*(Evermont!$Q$2:$Q$1000="Terminé"))&gt;0,"✓",IF(SUMPRODUCT(MAX((Evermont!$A$2:$A$1000=$A95)*Evermont!$F$2:$F$1000))&gt;0,TEXT(SUMPRODUCT(MAX((Evermont!$A$2:$A$1000=$A95)*Evermont!$F$2:$F$1000)),"yyyy-mm-dd"),""))))))</f>
        <v>✓</v>
      </c>
      <c r="L95" s="132" t="n">
        <f aca="false">IF($A95="","",COUNTIF(E95:K95,"✓"))</f>
        <v>7</v>
      </c>
      <c r="M95" s="133" t="s">
        <v>172</v>
      </c>
      <c r="O95" s="134" t="s">
        <v>173</v>
      </c>
      <c r="P95" s="134" t="s">
        <v>173</v>
      </c>
      <c r="Q95" s="134" t="s">
        <v>173</v>
      </c>
      <c r="R95" s="134" t="s">
        <v>173</v>
      </c>
      <c r="S95" s="134"/>
      <c r="T95" s="134"/>
      <c r="U95" s="134" t="s">
        <v>173</v>
      </c>
      <c r="W95" s="135" t="str">
        <f aca="false">IF($A95="","",IF($X95&lt;&gt;"",$X95,IFERROR(INDEX('Formation Initiale'!$B$2:$B$999,MATCH($A95,'Formation Initiale'!$A$2:$A$999,0)),"Général")))</f>
        <v>Général</v>
      </c>
      <c r="X95" s="136"/>
    </row>
    <row r="96" customFormat="false" ht="18" hidden="true" customHeight="true" outlineLevel="0" collapsed="false">
      <c r="A96" s="138" t="s">
        <v>452</v>
      </c>
      <c r="B96" s="128" t="s">
        <v>453</v>
      </c>
      <c r="C96" s="128" t="s">
        <v>454</v>
      </c>
      <c r="D96" s="129" t="s">
        <v>186</v>
      </c>
      <c r="E96" s="130" t="str">
        <f aca="false">IF($O96="✓","✓",IF(ISNUMBER($O96),TEXT($O96,"yyyy-mm-dd"),IF($A96="","",IF(SUMPRODUCT(('Formation Initiale'!$A$2:$A$999=$A96)*('Formation Initiale'!$R$2:$R$999="Terminé"))&gt;0,"✓",IF(SUMPRODUCT(MAX(('Formation Initiale'!$A$2:$A$999=$A96)*'Formation Initiale'!$G$2:$G$999))&gt;0,TEXT(SUMPRODUCT(MAX(('Formation Initiale'!$A$2:$A$999=$A96)*'Formation Initiale'!$G$2:$G$999)),"yyyy-mm-dd"),"")))))</f>
        <v>✓</v>
      </c>
      <c r="F96" s="131" t="str">
        <f aca="false">IF($P96="✓","✓",IF(ISNUMBER($P96),TEXT($P96,"yyyy-mm-dd"),IF($A96="","",IF($D96="Lisbonne","",IF(SUMPRODUCT(('Formation Initiale'!$A$2:$A$999=$A96)*('Formation Initiale'!$R$2:$R$999="Terminé"))&gt;0,"✓",IF(SUMPRODUCT(MAX(('Formation Initiale'!$A$2:$A$999=$A96)*'Formation Initiale'!$G$2:$G$999))&gt;0,TEXT(SUMPRODUCT(MAX(('Formation Initiale'!$A$2:$A$999=$A96)*'Formation Initiale'!$G$2:$G$999)),"yyyy-mm-dd"),""))))))</f>
        <v/>
      </c>
      <c r="G96" s="131" t="str">
        <f aca="false">IF($Q96="✓","✓",IF(ISNUMBER($Q96),TEXT($Q96,"yyyy-mm-dd"),IF($A96="","",IF(SUMPRODUCT(('Agences &amp; Après-vente'!$A$2:$A$1000=$A96)*(('Agences &amp; Après-vente'!$D$2:$D$1000="Agences")+('Agences &amp; Après-vente'!$D$2:$D$1000="Agences et Après-vente"))*('Agences &amp; Après-vente'!$I$2:$I$1000="DONE"))&gt;0,"✓",IF(SUMPRODUCT(MAX(('Agences &amp; Après-vente'!$A$2:$A$1000=$A96)*(('Agences &amp; Après-vente'!$D$2:$D$1000="Agences")+('Agences &amp; Après-vente'!$D$2:$D$1000="Agences et Après-vente"))*'Agences &amp; Après-vente'!$E$2:$E$1000))&gt;0,TEXT(SUMPRODUCT(MAX(('Agences &amp; Après-vente'!$A$2:$A$1000=$A96)*(('Agences &amp; Après-vente'!$D$2:$D$1000="Agences")+('Agences &amp; Après-vente'!$D$2:$D$1000="Agences et Après-vente"))*'Agences &amp; Après-vente'!$E$2:$E$1000)),"yyyy-mm-dd"),"")))))</f>
        <v>✓</v>
      </c>
      <c r="H96" s="131" t="str">
        <f aca="false">IF($R96="✓","✓",IF(ISNUMBER($R96),TEXT($R96,"yyyy-mm-dd"),IF($A96="","",IF($D96="Lisbonne","",IF(SUMPRODUCT(('Agences &amp; Après-vente'!$A$2:$A$1000=$A96)*(('Agences &amp; Après-vente'!$D$2:$D$1000="Agences")+('Agences &amp; Après-vente'!$D$2:$D$1000="Agences et Après-vente"))*('Agences &amp; Après-vente'!$I$2:$I$1000="DONE"))&gt;0,"✓",IF(SUMPRODUCT(MAX(('Agences &amp; Après-vente'!$A$2:$A$1000=$A96)*(('Agences &amp; Après-vente'!$D$2:$D$1000="Agences")+('Agences &amp; Après-vente'!$D$2:$D$1000="Agences et Après-vente"))*'Agences &amp; Après-vente'!$E$2:$E$1000))&gt;0,TEXT(SUMPRODUCT(MAX(('Agences &amp; Après-vente'!$A$2:$A$1000=$A96)*(('Agences &amp; Après-vente'!$D$2:$D$1000="Agences")+('Agences &amp; Après-vente'!$D$2:$D$1000="Agences et Après-vente"))*'Agences &amp; Après-vente'!$E$2:$E$1000)),"yyyy-mm-dd"),""))))))</f>
        <v/>
      </c>
      <c r="I96" s="131" t="str">
        <f aca="false">IF($S96="✓","✓",IF(ISNUMBER($S96),TEXT($S96,"yyyy-mm-dd"),IF($A96="","",IF(SUMPRODUCT(('Agences &amp; Après-vente'!$A$2:$A$1000=$A96)*(('Agences &amp; Après-vente'!$D$2:$D$1000="Après-vente")+('Agences &amp; Après-vente'!$D$2:$D$1000="Agences et Après-vente"))*('Agences &amp; Après-vente'!$I$2:$I$1000="DONE"))&gt;0,"✓",IF(SUMPRODUCT(MAX(('Agences &amp; Après-vente'!$A$2:$A$1000=$A96)*(('Agences &amp; Après-vente'!$D$2:$D$1000="Après-vente")+('Agences &amp; Après-vente'!$D$2:$D$1000="Agences et Après-vente"))*'Agences &amp; Après-vente'!$E$2:$E$1000))&gt;0,TEXT(SUMPRODUCT(MAX(('Agences &amp; Après-vente'!$A$2:$A$1000=$A96)*(('Agences &amp; Après-vente'!$D$2:$D$1000="Après-vente")+('Agences &amp; Après-vente'!$D$2:$D$1000="Agences et Après-vente"))*'Agences &amp; Après-vente'!$E$2:$E$1000)),"yyyy-mm-dd"),"")))))</f>
        <v>✓</v>
      </c>
      <c r="J96" s="131" t="str">
        <f aca="false">IF($T96="✓","✓",IF(ISNUMBER($T96),TEXT($T96,"yyyy-mm-dd"),IF($A96="","",IF($D96="Lisbonne","",IF(SUMPRODUCT(('Agences &amp; Après-vente'!$A$2:$A$1000=$A96)*(('Agences &amp; Après-vente'!$D$2:$D$1000="Après-vente")+('Agences &amp; Après-vente'!$D$2:$D$1000="Agences et Après-vente"))*('Agences &amp; Après-vente'!$I$2:$I$1000="DONE"))&gt;0,"✓",IF(SUMPRODUCT(MAX(('Agences &amp; Après-vente'!$A$2:$A$1000=$A96)*(('Agences &amp; Après-vente'!$D$2:$D$1000="Après-vente")+('Agences &amp; Après-vente'!$D$2:$D$1000="Agences et Après-vente"))*'Agences &amp; Après-vente'!$E$2:$E$1000))&gt;0,TEXT(SUMPRODUCT(MAX(('Agences &amp; Après-vente'!$A$2:$A$1000=$A96)*(('Agences &amp; Après-vente'!$D$2:$D$1000="Après-vente")+('Agences &amp; Après-vente'!$D$2:$D$1000="Agences et Après-vente"))*'Agences &amp; Après-vente'!$E$2:$E$1000)),"yyyy-mm-dd"),""))))))</f>
        <v/>
      </c>
      <c r="K96" s="131" t="str">
        <f aca="false">IF($U96="✓","✓",IF(ISNUMBER($U96),TEXT($U96,"yyyy-mm-dd"),IF($D96="Lisbonne","",IF($A96="","",IF(SUMPRODUCT((Evermont!$A$2:$A$1000=$A96)*(Evermont!$Q$2:$Q$1000="Terminé"))&gt;0,"✓",IF(SUMPRODUCT(MAX((Evermont!$A$2:$A$1000=$A96)*Evermont!$F$2:$F$1000))&gt;0,TEXT(SUMPRODUCT(MAX((Evermont!$A$2:$A$1000=$A96)*Evermont!$F$2:$F$1000)),"yyyy-mm-dd"),""))))))</f>
        <v/>
      </c>
      <c r="L96" s="132" t="n">
        <f aca="false">IF($A96="","",COUNTIF(E96:K96,"✓"))</f>
        <v>3</v>
      </c>
      <c r="M96" s="133" t="s">
        <v>172</v>
      </c>
      <c r="O96" s="134" t="s">
        <v>173</v>
      </c>
      <c r="P96" s="134"/>
      <c r="Q96" s="134"/>
      <c r="R96" s="134"/>
      <c r="S96" s="134"/>
      <c r="T96" s="134"/>
      <c r="U96" s="134"/>
      <c r="W96" s="135" t="str">
        <f aca="false">IF($A96="","",IF($X96&lt;&gt;"",$X96,IFERROR(INDEX('Formation Initiale'!$B$2:$B$999,MATCH($A96,'Formation Initiale'!$A$2:$A$999,0)),"Général")))</f>
        <v>OS4</v>
      </c>
      <c r="X96" s="136"/>
    </row>
    <row r="97" customFormat="false" ht="18" hidden="true" customHeight="true" outlineLevel="0" collapsed="false">
      <c r="A97" s="139" t="s">
        <v>455</v>
      </c>
      <c r="B97" s="128" t="s">
        <v>456</v>
      </c>
      <c r="C97" s="128" t="s">
        <v>454</v>
      </c>
      <c r="D97" s="129" t="s">
        <v>186</v>
      </c>
      <c r="E97" s="130" t="str">
        <f aca="false">IF($O97="✓","✓",IF(ISNUMBER($O97),TEXT($O97,"yyyy-mm-dd"),IF($A97="","",IF(SUMPRODUCT(('Formation Initiale'!$A$2:$A$999=$A97)*('Formation Initiale'!$R$2:$R$999="Terminé"))&gt;0,"✓",IF(SUMPRODUCT(MAX(('Formation Initiale'!$A$2:$A$999=$A97)*'Formation Initiale'!$G$2:$G$999))&gt;0,TEXT(SUMPRODUCT(MAX(('Formation Initiale'!$A$2:$A$999=$A97)*'Formation Initiale'!$G$2:$G$999)),"yyyy-mm-dd"),"")))))</f>
        <v>✓</v>
      </c>
      <c r="F97" s="131" t="str">
        <f aca="false">IF($P97="✓","✓",IF(ISNUMBER($P97),TEXT($P97,"yyyy-mm-dd"),IF($A97="","",IF($D97="Lisbonne","",IF(SUMPRODUCT(('Formation Initiale'!$A$2:$A$999=$A97)*('Formation Initiale'!$R$2:$R$999="Terminé"))&gt;0,"✓",IF(SUMPRODUCT(MAX(('Formation Initiale'!$A$2:$A$999=$A97)*'Formation Initiale'!$G$2:$G$999))&gt;0,TEXT(SUMPRODUCT(MAX(('Formation Initiale'!$A$2:$A$999=$A97)*'Formation Initiale'!$G$2:$G$999)),"yyyy-mm-dd"),""))))))</f>
        <v/>
      </c>
      <c r="G97" s="131" t="str">
        <f aca="false">IF($Q97="✓","✓",IF(ISNUMBER($Q97),TEXT($Q97,"yyyy-mm-dd"),IF($A97="","",IF(SUMPRODUCT(('Agences &amp; Après-vente'!$A$2:$A$1000=$A97)*(('Agences &amp; Après-vente'!$D$2:$D$1000="Agences")+('Agences &amp; Après-vente'!$D$2:$D$1000="Agences et Après-vente"))*('Agences &amp; Après-vente'!$I$2:$I$1000="DONE"))&gt;0,"✓",IF(SUMPRODUCT(MAX(('Agences &amp; Après-vente'!$A$2:$A$1000=$A97)*(('Agences &amp; Après-vente'!$D$2:$D$1000="Agences")+('Agences &amp; Après-vente'!$D$2:$D$1000="Agences et Après-vente"))*'Agences &amp; Après-vente'!$E$2:$E$1000))&gt;0,TEXT(SUMPRODUCT(MAX(('Agences &amp; Après-vente'!$A$2:$A$1000=$A97)*(('Agences &amp; Après-vente'!$D$2:$D$1000="Agences")+('Agences &amp; Après-vente'!$D$2:$D$1000="Agences et Après-vente"))*'Agences &amp; Après-vente'!$E$2:$E$1000)),"yyyy-mm-dd"),"")))))</f>
        <v/>
      </c>
      <c r="H97" s="131" t="str">
        <f aca="false">IF($R97="✓","✓",IF(ISNUMBER($R97),TEXT($R97,"yyyy-mm-dd"),IF($A97="","",IF($D97="Lisbonne","",IF(SUMPRODUCT(('Agences &amp; Après-vente'!$A$2:$A$1000=$A97)*(('Agences &amp; Après-vente'!$D$2:$D$1000="Agences")+('Agences &amp; Après-vente'!$D$2:$D$1000="Agences et Après-vente"))*('Agences &amp; Après-vente'!$I$2:$I$1000="DONE"))&gt;0,"✓",IF(SUMPRODUCT(MAX(('Agences &amp; Après-vente'!$A$2:$A$1000=$A97)*(('Agences &amp; Après-vente'!$D$2:$D$1000="Agences")+('Agences &amp; Après-vente'!$D$2:$D$1000="Agences et Après-vente"))*'Agences &amp; Après-vente'!$E$2:$E$1000))&gt;0,TEXT(SUMPRODUCT(MAX(('Agences &amp; Après-vente'!$A$2:$A$1000=$A97)*(('Agences &amp; Après-vente'!$D$2:$D$1000="Agences")+('Agences &amp; Après-vente'!$D$2:$D$1000="Agences et Après-vente"))*'Agences &amp; Après-vente'!$E$2:$E$1000)),"yyyy-mm-dd"),""))))))</f>
        <v/>
      </c>
      <c r="I97" s="131" t="str">
        <f aca="false">IF($S97="✓","✓",IF(ISNUMBER($S97),TEXT($S97,"yyyy-mm-dd"),IF($A97="","",IF(SUMPRODUCT(('Agences &amp; Après-vente'!$A$2:$A$1000=$A97)*(('Agences &amp; Après-vente'!$D$2:$D$1000="Après-vente")+('Agences &amp; Après-vente'!$D$2:$D$1000="Agences et Après-vente"))*('Agences &amp; Après-vente'!$I$2:$I$1000="DONE"))&gt;0,"✓",IF(SUMPRODUCT(MAX(('Agences &amp; Après-vente'!$A$2:$A$1000=$A97)*(('Agences &amp; Après-vente'!$D$2:$D$1000="Après-vente")+('Agences &amp; Après-vente'!$D$2:$D$1000="Agences et Après-vente"))*'Agences &amp; Après-vente'!$E$2:$E$1000))&gt;0,TEXT(SUMPRODUCT(MAX(('Agences &amp; Après-vente'!$A$2:$A$1000=$A97)*(('Agences &amp; Après-vente'!$D$2:$D$1000="Après-vente")+('Agences &amp; Après-vente'!$D$2:$D$1000="Agences et Après-vente"))*'Agences &amp; Après-vente'!$E$2:$E$1000)),"yyyy-mm-dd"),"")))))</f>
        <v/>
      </c>
      <c r="J97" s="131" t="str">
        <f aca="false">IF($T97="✓","✓",IF(ISNUMBER($T97),TEXT($T97,"yyyy-mm-dd"),IF($A97="","",IF($D97="Lisbonne","",IF(SUMPRODUCT(('Agences &amp; Après-vente'!$A$2:$A$1000=$A97)*(('Agences &amp; Après-vente'!$D$2:$D$1000="Après-vente")+('Agences &amp; Après-vente'!$D$2:$D$1000="Agences et Après-vente"))*('Agences &amp; Après-vente'!$I$2:$I$1000="DONE"))&gt;0,"✓",IF(SUMPRODUCT(MAX(('Agences &amp; Après-vente'!$A$2:$A$1000=$A97)*(('Agences &amp; Après-vente'!$D$2:$D$1000="Après-vente")+('Agences &amp; Après-vente'!$D$2:$D$1000="Agences et Après-vente"))*'Agences &amp; Après-vente'!$E$2:$E$1000))&gt;0,TEXT(SUMPRODUCT(MAX(('Agences &amp; Après-vente'!$A$2:$A$1000=$A97)*(('Agences &amp; Après-vente'!$D$2:$D$1000="Après-vente")+('Agences &amp; Après-vente'!$D$2:$D$1000="Agences et Après-vente"))*'Agences &amp; Après-vente'!$E$2:$E$1000)),"yyyy-mm-dd"),""))))))</f>
        <v/>
      </c>
      <c r="K97" s="131" t="str">
        <f aca="false">IF($U97="✓","✓",IF(ISNUMBER($U97),TEXT($U97,"yyyy-mm-dd"),IF($D97="Lisbonne","",IF($A97="","",IF(SUMPRODUCT((Evermont!$A$2:$A$1000=$A97)*(Evermont!$Q$2:$Q$1000="Terminé"))&gt;0,"✓",IF(SUMPRODUCT(MAX((Evermont!$A$2:$A$1000=$A97)*Evermont!$F$2:$F$1000))&gt;0,TEXT(SUMPRODUCT(MAX((Evermont!$A$2:$A$1000=$A97)*Evermont!$F$2:$F$1000)),"yyyy-mm-dd"),""))))))</f>
        <v/>
      </c>
      <c r="L97" s="132" t="n">
        <f aca="false">IF($A97="","",COUNTIF(E97:K97,"✓"))</f>
        <v>1</v>
      </c>
      <c r="M97" s="133" t="s">
        <v>196</v>
      </c>
      <c r="O97" s="134"/>
      <c r="P97" s="134"/>
      <c r="Q97" s="134"/>
      <c r="R97" s="134"/>
      <c r="S97" s="134"/>
      <c r="T97" s="134"/>
      <c r="U97" s="134"/>
      <c r="W97" s="135" t="str">
        <f aca="false">IF($A97="","",IF($X97&lt;&gt;"",$X97,IFERROR(INDEX('Formation Initiale'!$B$2:$B$999,MATCH($A97,'Formation Initiale'!$A$2:$A$999,0)),"Général")))</f>
        <v>OS3</v>
      </c>
      <c r="X97" s="136"/>
    </row>
    <row r="98" customFormat="false" ht="18" hidden="true" customHeight="true" outlineLevel="0" collapsed="false">
      <c r="A98" s="140" t="s">
        <v>457</v>
      </c>
      <c r="B98" s="128" t="s">
        <v>458</v>
      </c>
      <c r="C98" s="128" t="s">
        <v>459</v>
      </c>
      <c r="D98" s="129" t="s">
        <v>171</v>
      </c>
      <c r="E98" s="130" t="str">
        <f aca="false">IF($O98="✓","✓",IF(ISNUMBER($O98),TEXT($O98,"yyyy-mm-dd"),IF($A98="","",IF(SUMPRODUCT(('Formation Initiale'!$A$2:$A$999=$A98)*('Formation Initiale'!$R$2:$R$999="Terminé"))&gt;0,"✓",IF(SUMPRODUCT(MAX(('Formation Initiale'!$A$2:$A$999=$A98)*'Formation Initiale'!$G$2:$G$999))&gt;0,TEXT(SUMPRODUCT(MAX(('Formation Initiale'!$A$2:$A$999=$A98)*'Formation Initiale'!$G$2:$G$999)),"yyyy-mm-dd"),"")))))</f>
        <v>✓</v>
      </c>
      <c r="F98" s="131" t="str">
        <f aca="false">IF($P98="✓","✓",IF(ISNUMBER($P98),TEXT($P98,"yyyy-mm-dd"),IF($A98="","",IF($D98="Lisbonne","",IF(SUMPRODUCT(('Formation Initiale'!$A$2:$A$999=$A98)*('Formation Initiale'!$R$2:$R$999="Terminé"))&gt;0,"✓",IF(SUMPRODUCT(MAX(('Formation Initiale'!$A$2:$A$999=$A98)*'Formation Initiale'!$G$2:$G$999))&gt;0,TEXT(SUMPRODUCT(MAX(('Formation Initiale'!$A$2:$A$999=$A98)*'Formation Initiale'!$G$2:$G$999)),"yyyy-mm-dd"),""))))))</f>
        <v>✓</v>
      </c>
      <c r="G98" s="131" t="str">
        <f aca="false">IF($Q98="✓","✓",IF(ISNUMBER($Q98),TEXT($Q98,"yyyy-mm-dd"),IF($A98="","",IF(SUMPRODUCT(('Agences &amp; Après-vente'!$A$2:$A$1000=$A98)*(('Agences &amp; Après-vente'!$D$2:$D$1000="Agences")+('Agences &amp; Après-vente'!$D$2:$D$1000="Agences et Après-vente"))*('Agences &amp; Après-vente'!$I$2:$I$1000="DONE"))&gt;0,"✓",IF(SUMPRODUCT(MAX(('Agences &amp; Après-vente'!$A$2:$A$1000=$A98)*(('Agences &amp; Après-vente'!$D$2:$D$1000="Agences")+('Agences &amp; Après-vente'!$D$2:$D$1000="Agences et Après-vente"))*'Agences &amp; Après-vente'!$E$2:$E$1000))&gt;0,TEXT(SUMPRODUCT(MAX(('Agences &amp; Après-vente'!$A$2:$A$1000=$A98)*(('Agences &amp; Après-vente'!$D$2:$D$1000="Agences")+('Agences &amp; Après-vente'!$D$2:$D$1000="Agences et Après-vente"))*'Agences &amp; Après-vente'!$E$2:$E$1000)),"yyyy-mm-dd"),"")))))</f>
        <v/>
      </c>
      <c r="H98" s="131" t="str">
        <f aca="false">IF($R98="✓","✓",IF(ISNUMBER($R98),TEXT($R98,"yyyy-mm-dd"),IF($A98="","",IF($D98="Lisbonne","",IF(SUMPRODUCT(('Agences &amp; Après-vente'!$A$2:$A$1000=$A98)*(('Agences &amp; Après-vente'!$D$2:$D$1000="Agences")+('Agences &amp; Après-vente'!$D$2:$D$1000="Agences et Après-vente"))*('Agences &amp; Après-vente'!$I$2:$I$1000="DONE"))&gt;0,"✓",IF(SUMPRODUCT(MAX(('Agences &amp; Après-vente'!$A$2:$A$1000=$A98)*(('Agences &amp; Après-vente'!$D$2:$D$1000="Agences")+('Agences &amp; Après-vente'!$D$2:$D$1000="Agences et Après-vente"))*'Agences &amp; Après-vente'!$E$2:$E$1000))&gt;0,TEXT(SUMPRODUCT(MAX(('Agences &amp; Après-vente'!$A$2:$A$1000=$A98)*(('Agences &amp; Après-vente'!$D$2:$D$1000="Agences")+('Agences &amp; Après-vente'!$D$2:$D$1000="Agences et Après-vente"))*'Agences &amp; Après-vente'!$E$2:$E$1000)),"yyyy-mm-dd"),""))))))</f>
        <v/>
      </c>
      <c r="I98" s="131" t="str">
        <f aca="false">IF($S98="✓","✓",IF(ISNUMBER($S98),TEXT($S98,"yyyy-mm-dd"),IF($A98="","",IF(SUMPRODUCT(('Agences &amp; Après-vente'!$A$2:$A$1000=$A98)*(('Agences &amp; Après-vente'!$D$2:$D$1000="Après-vente")+('Agences &amp; Après-vente'!$D$2:$D$1000="Agences et Après-vente"))*('Agences &amp; Après-vente'!$I$2:$I$1000="DONE"))&gt;0,"✓",IF(SUMPRODUCT(MAX(('Agences &amp; Après-vente'!$A$2:$A$1000=$A98)*(('Agences &amp; Après-vente'!$D$2:$D$1000="Après-vente")+('Agences &amp; Après-vente'!$D$2:$D$1000="Agences et Après-vente"))*'Agences &amp; Après-vente'!$E$2:$E$1000))&gt;0,TEXT(SUMPRODUCT(MAX(('Agences &amp; Après-vente'!$A$2:$A$1000=$A98)*(('Agences &amp; Après-vente'!$D$2:$D$1000="Après-vente")+('Agences &amp; Après-vente'!$D$2:$D$1000="Agences et Après-vente"))*'Agences &amp; Après-vente'!$E$2:$E$1000)),"yyyy-mm-dd"),"")))))</f>
        <v/>
      </c>
      <c r="J98" s="131" t="str">
        <f aca="false">IF($T98="✓","✓",IF(ISNUMBER($T98),TEXT($T98,"yyyy-mm-dd"),IF($A98="","",IF($D98="Lisbonne","",IF(SUMPRODUCT(('Agences &amp; Après-vente'!$A$2:$A$1000=$A98)*(('Agences &amp; Après-vente'!$D$2:$D$1000="Après-vente")+('Agences &amp; Après-vente'!$D$2:$D$1000="Agences et Après-vente"))*('Agences &amp; Après-vente'!$I$2:$I$1000="DONE"))&gt;0,"✓",IF(SUMPRODUCT(MAX(('Agences &amp; Après-vente'!$A$2:$A$1000=$A98)*(('Agences &amp; Après-vente'!$D$2:$D$1000="Après-vente")+('Agences &amp; Après-vente'!$D$2:$D$1000="Agences et Après-vente"))*'Agences &amp; Après-vente'!$E$2:$E$1000))&gt;0,TEXT(SUMPRODUCT(MAX(('Agences &amp; Après-vente'!$A$2:$A$1000=$A98)*(('Agences &amp; Après-vente'!$D$2:$D$1000="Après-vente")+('Agences &amp; Après-vente'!$D$2:$D$1000="Agences et Après-vente"))*'Agences &amp; Après-vente'!$E$2:$E$1000)),"yyyy-mm-dd"),""))))))</f>
        <v/>
      </c>
      <c r="K98" s="131" t="str">
        <f aca="false">IF($U98="✓","✓",IF(ISNUMBER($U98),TEXT($U98,"yyyy-mm-dd"),IF($D98="Lisbonne","",IF($A98="","",IF(SUMPRODUCT((Evermont!$A$2:$A$1000=$A98)*(Evermont!$Q$2:$Q$1000="Terminé"))&gt;0,"✓",IF(SUMPRODUCT(MAX((Evermont!$A$2:$A$1000=$A98)*Evermont!$F$2:$F$1000))&gt;0,TEXT(SUMPRODUCT(MAX((Evermont!$A$2:$A$1000=$A98)*Evermont!$F$2:$F$1000)),"yyyy-mm-dd"),""))))))</f>
        <v/>
      </c>
      <c r="L98" s="132" t="n">
        <f aca="false">IF($A98="","",COUNTIF(E98:K98,"✓"))</f>
        <v>2</v>
      </c>
      <c r="M98" s="133" t="s">
        <v>196</v>
      </c>
      <c r="O98" s="134" t="s">
        <v>173</v>
      </c>
      <c r="P98" s="134" t="s">
        <v>173</v>
      </c>
      <c r="Q98" s="134"/>
      <c r="R98" s="134"/>
      <c r="S98" s="134"/>
      <c r="T98" s="134"/>
      <c r="U98" s="134"/>
      <c r="W98" s="135" t="str">
        <f aca="false">IF($A98="","",IF($X98&lt;&gt;"",$X98,IFERROR(INDEX('Formation Initiale'!$B$2:$B$999,MATCH($A98,'Formation Initiale'!$A$2:$A$999,0)),"Général")))</f>
        <v>Général</v>
      </c>
      <c r="X98" s="136"/>
    </row>
    <row r="99" customFormat="false" ht="18" hidden="true" customHeight="true" outlineLevel="0" collapsed="false">
      <c r="A99" s="127" t="s">
        <v>460</v>
      </c>
      <c r="B99" s="128" t="s">
        <v>461</v>
      </c>
      <c r="C99" s="128" t="s">
        <v>462</v>
      </c>
      <c r="D99" s="129" t="s">
        <v>171</v>
      </c>
      <c r="E99" s="130" t="str">
        <f aca="false">IF($O99="✓","✓",IF(ISNUMBER($O99),TEXT($O99,"yyyy-mm-dd"),IF($A99="","",IF(SUMPRODUCT(('Formation Initiale'!$A$2:$A$999=$A99)*('Formation Initiale'!$R$2:$R$999="Terminé"))&gt;0,"✓",IF(SUMPRODUCT(MAX(('Formation Initiale'!$A$2:$A$999=$A99)*'Formation Initiale'!$G$2:$G$999))&gt;0,TEXT(SUMPRODUCT(MAX(('Formation Initiale'!$A$2:$A$999=$A99)*'Formation Initiale'!$G$2:$G$999)),"yyyy-mm-dd"),"")))))</f>
        <v>✓</v>
      </c>
      <c r="F99" s="131" t="str">
        <f aca="false">IF($P99="✓","✓",IF(ISNUMBER($P99),TEXT($P99,"yyyy-mm-dd"),IF($A99="","",IF($D99="Lisbonne","",IF(SUMPRODUCT(('Formation Initiale'!$A$2:$A$999=$A99)*('Formation Initiale'!$R$2:$R$999="Terminé"))&gt;0,"✓",IF(SUMPRODUCT(MAX(('Formation Initiale'!$A$2:$A$999=$A99)*'Formation Initiale'!$G$2:$G$999))&gt;0,TEXT(SUMPRODUCT(MAX(('Formation Initiale'!$A$2:$A$999=$A99)*'Formation Initiale'!$G$2:$G$999)),"yyyy-mm-dd"),""))))))</f>
        <v>✓</v>
      </c>
      <c r="G99" s="131" t="str">
        <f aca="false">IF($Q99="✓","✓",IF(ISNUMBER($Q99),TEXT($Q99,"yyyy-mm-dd"),IF($A99="","",IF(SUMPRODUCT(('Agences &amp; Après-vente'!$A$2:$A$1000=$A99)*(('Agences &amp; Après-vente'!$D$2:$D$1000="Agences")+('Agences &amp; Après-vente'!$D$2:$D$1000="Agences et Après-vente"))*('Agences &amp; Après-vente'!$I$2:$I$1000="DONE"))&gt;0,"✓",IF(SUMPRODUCT(MAX(('Agences &amp; Après-vente'!$A$2:$A$1000=$A99)*(('Agences &amp; Après-vente'!$D$2:$D$1000="Agences")+('Agences &amp; Après-vente'!$D$2:$D$1000="Agences et Après-vente"))*'Agences &amp; Après-vente'!$E$2:$E$1000))&gt;0,TEXT(SUMPRODUCT(MAX(('Agences &amp; Après-vente'!$A$2:$A$1000=$A99)*(('Agences &amp; Après-vente'!$D$2:$D$1000="Agences")+('Agences &amp; Après-vente'!$D$2:$D$1000="Agences et Après-vente"))*'Agences &amp; Après-vente'!$E$2:$E$1000)),"yyyy-mm-dd"),"")))))</f>
        <v>✓</v>
      </c>
      <c r="H99" s="131" t="str">
        <f aca="false">IF($R99="✓","✓",IF(ISNUMBER($R99),TEXT($R99,"yyyy-mm-dd"),IF($A99="","",IF($D99="Lisbonne","",IF(SUMPRODUCT(('Agences &amp; Après-vente'!$A$2:$A$1000=$A99)*(('Agences &amp; Après-vente'!$D$2:$D$1000="Agences")+('Agences &amp; Après-vente'!$D$2:$D$1000="Agences et Après-vente"))*('Agences &amp; Après-vente'!$I$2:$I$1000="DONE"))&gt;0,"✓",IF(SUMPRODUCT(MAX(('Agences &amp; Après-vente'!$A$2:$A$1000=$A99)*(('Agences &amp; Après-vente'!$D$2:$D$1000="Agences")+('Agences &amp; Après-vente'!$D$2:$D$1000="Agences et Après-vente"))*'Agences &amp; Après-vente'!$E$2:$E$1000))&gt;0,TEXT(SUMPRODUCT(MAX(('Agences &amp; Après-vente'!$A$2:$A$1000=$A99)*(('Agences &amp; Après-vente'!$D$2:$D$1000="Agences")+('Agences &amp; Après-vente'!$D$2:$D$1000="Agences et Après-vente"))*'Agences &amp; Après-vente'!$E$2:$E$1000)),"yyyy-mm-dd"),""))))))</f>
        <v>✓</v>
      </c>
      <c r="I99" s="131" t="str">
        <f aca="false">IF($S99="✓","✓",IF(ISNUMBER($S99),TEXT($S99,"yyyy-mm-dd"),IF($A99="","",IF(SUMPRODUCT(('Agences &amp; Après-vente'!$A$2:$A$1000=$A99)*(('Agences &amp; Après-vente'!$D$2:$D$1000="Après-vente")+('Agences &amp; Après-vente'!$D$2:$D$1000="Agences et Après-vente"))*('Agences &amp; Après-vente'!$I$2:$I$1000="DONE"))&gt;0,"✓",IF(SUMPRODUCT(MAX(('Agences &amp; Après-vente'!$A$2:$A$1000=$A99)*(('Agences &amp; Après-vente'!$D$2:$D$1000="Après-vente")+('Agences &amp; Après-vente'!$D$2:$D$1000="Agences et Après-vente"))*'Agences &amp; Après-vente'!$E$2:$E$1000))&gt;0,TEXT(SUMPRODUCT(MAX(('Agences &amp; Après-vente'!$A$2:$A$1000=$A99)*(('Agences &amp; Après-vente'!$D$2:$D$1000="Après-vente")+('Agences &amp; Après-vente'!$D$2:$D$1000="Agences et Après-vente"))*'Agences &amp; Après-vente'!$E$2:$E$1000)),"yyyy-mm-dd"),"")))))</f>
        <v>✓</v>
      </c>
      <c r="J99" s="131" t="str">
        <f aca="false">IF($T99="✓","✓",IF(ISNUMBER($T99),TEXT($T99,"yyyy-mm-dd"),IF($A99="","",IF($D99="Lisbonne","",IF(SUMPRODUCT(('Agences &amp; Après-vente'!$A$2:$A$1000=$A99)*(('Agences &amp; Après-vente'!$D$2:$D$1000="Après-vente")+('Agences &amp; Après-vente'!$D$2:$D$1000="Agences et Après-vente"))*('Agences &amp; Après-vente'!$I$2:$I$1000="DONE"))&gt;0,"✓",IF(SUMPRODUCT(MAX(('Agences &amp; Après-vente'!$A$2:$A$1000=$A99)*(('Agences &amp; Après-vente'!$D$2:$D$1000="Après-vente")+('Agences &amp; Après-vente'!$D$2:$D$1000="Agences et Après-vente"))*'Agences &amp; Après-vente'!$E$2:$E$1000))&gt;0,TEXT(SUMPRODUCT(MAX(('Agences &amp; Après-vente'!$A$2:$A$1000=$A99)*(('Agences &amp; Après-vente'!$D$2:$D$1000="Après-vente")+('Agences &amp; Après-vente'!$D$2:$D$1000="Agences et Après-vente"))*'Agences &amp; Après-vente'!$E$2:$E$1000)),"yyyy-mm-dd"),""))))))</f>
        <v>✓</v>
      </c>
      <c r="K99" s="131" t="str">
        <f aca="false">IF($U99="✓","✓",IF(ISNUMBER($U99),TEXT($U99,"yyyy-mm-dd"),IF($D99="Lisbonne","",IF($A99="","",IF(SUMPRODUCT((Evermont!$A$2:$A$1000=$A99)*(Evermont!$Q$2:$Q$1000="Terminé"))&gt;0,"✓",IF(SUMPRODUCT(MAX((Evermont!$A$2:$A$1000=$A99)*Evermont!$F$2:$F$1000))&gt;0,TEXT(SUMPRODUCT(MAX((Evermont!$A$2:$A$1000=$A99)*Evermont!$F$2:$F$1000)),"yyyy-mm-dd"),""))))))</f>
        <v>✓</v>
      </c>
      <c r="L99" s="132" t="n">
        <f aca="false">IF($A99="","",COUNTIF(E99:K99,"✓"))</f>
        <v>7</v>
      </c>
      <c r="M99" s="133" t="s">
        <v>172</v>
      </c>
      <c r="O99" s="134" t="s">
        <v>173</v>
      </c>
      <c r="P99" s="134" t="s">
        <v>173</v>
      </c>
      <c r="Q99" s="134" t="s">
        <v>173</v>
      </c>
      <c r="R99" s="134" t="s">
        <v>173</v>
      </c>
      <c r="S99" s="134"/>
      <c r="T99" s="134"/>
      <c r="U99" s="134" t="s">
        <v>173</v>
      </c>
      <c r="W99" s="135" t="str">
        <f aca="false">IF($A99="","",IF($X99&lt;&gt;"",$X99,IFERROR(INDEX('Formation Initiale'!$B$2:$B$999,MATCH($A99,'Formation Initiale'!$A$2:$A$999,0)),"Général")))</f>
        <v>Général</v>
      </c>
      <c r="X99" s="136"/>
    </row>
    <row r="100" customFormat="false" ht="18" hidden="true" customHeight="true" outlineLevel="0" collapsed="false">
      <c r="A100" s="138" t="s">
        <v>463</v>
      </c>
      <c r="B100" s="128" t="s">
        <v>464</v>
      </c>
      <c r="C100" s="128" t="s">
        <v>465</v>
      </c>
      <c r="D100" s="129" t="s">
        <v>186</v>
      </c>
      <c r="E100" s="130" t="str">
        <f aca="false">IF($O100="✓","✓",IF(ISNUMBER($O100),TEXT($O100,"yyyy-mm-dd"),IF($A100="","",IF(SUMPRODUCT(('Formation Initiale'!$A$2:$A$999=$A100)*('Formation Initiale'!$R$2:$R$999="Terminé"))&gt;0,"✓",IF(SUMPRODUCT(MAX(('Formation Initiale'!$A$2:$A$999=$A100)*'Formation Initiale'!$G$2:$G$999))&gt;0,TEXT(SUMPRODUCT(MAX(('Formation Initiale'!$A$2:$A$999=$A100)*'Formation Initiale'!$G$2:$G$999)),"yyyy-mm-dd"),"")))))</f>
        <v>✓</v>
      </c>
      <c r="F100" s="131" t="str">
        <f aca="false">IF($P100="✓","✓",IF(ISNUMBER($P100),TEXT($P100,"yyyy-mm-dd"),IF($A100="","",IF($D100="Lisbonne","",IF(SUMPRODUCT(('Formation Initiale'!$A$2:$A$999=$A100)*('Formation Initiale'!$R$2:$R$999="Terminé"))&gt;0,"✓",IF(SUMPRODUCT(MAX(('Formation Initiale'!$A$2:$A$999=$A100)*'Formation Initiale'!$G$2:$G$999))&gt;0,TEXT(SUMPRODUCT(MAX(('Formation Initiale'!$A$2:$A$999=$A100)*'Formation Initiale'!$G$2:$G$999)),"yyyy-mm-dd"),""))))))</f>
        <v/>
      </c>
      <c r="G100" s="131" t="str">
        <f aca="false">IF($Q100="✓","✓",IF(ISNUMBER($Q100),TEXT($Q100,"yyyy-mm-dd"),IF($A100="","",IF(SUMPRODUCT(('Agences &amp; Après-vente'!$A$2:$A$1000=$A100)*(('Agences &amp; Après-vente'!$D$2:$D$1000="Agences")+('Agences &amp; Après-vente'!$D$2:$D$1000="Agences et Après-vente"))*('Agences &amp; Après-vente'!$I$2:$I$1000="DONE"))&gt;0,"✓",IF(SUMPRODUCT(MAX(('Agences &amp; Après-vente'!$A$2:$A$1000=$A100)*(('Agences &amp; Après-vente'!$D$2:$D$1000="Agences")+('Agences &amp; Après-vente'!$D$2:$D$1000="Agences et Après-vente"))*'Agences &amp; Après-vente'!$E$2:$E$1000))&gt;0,TEXT(SUMPRODUCT(MAX(('Agences &amp; Après-vente'!$A$2:$A$1000=$A100)*(('Agences &amp; Après-vente'!$D$2:$D$1000="Agences")+('Agences &amp; Après-vente'!$D$2:$D$1000="Agences et Après-vente"))*'Agences &amp; Après-vente'!$E$2:$E$1000)),"yyyy-mm-dd"),"")))))</f>
        <v/>
      </c>
      <c r="H100" s="131" t="str">
        <f aca="false">IF($R100="✓","✓",IF(ISNUMBER($R100),TEXT($R100,"yyyy-mm-dd"),IF($A100="","",IF($D100="Lisbonne","",IF(SUMPRODUCT(('Agences &amp; Après-vente'!$A$2:$A$1000=$A100)*(('Agences &amp; Après-vente'!$D$2:$D$1000="Agences")+('Agences &amp; Après-vente'!$D$2:$D$1000="Agences et Après-vente"))*('Agences &amp; Après-vente'!$I$2:$I$1000="DONE"))&gt;0,"✓",IF(SUMPRODUCT(MAX(('Agences &amp; Après-vente'!$A$2:$A$1000=$A100)*(('Agences &amp; Après-vente'!$D$2:$D$1000="Agences")+('Agences &amp; Après-vente'!$D$2:$D$1000="Agences et Après-vente"))*'Agences &amp; Après-vente'!$E$2:$E$1000))&gt;0,TEXT(SUMPRODUCT(MAX(('Agences &amp; Après-vente'!$A$2:$A$1000=$A100)*(('Agences &amp; Après-vente'!$D$2:$D$1000="Agences")+('Agences &amp; Après-vente'!$D$2:$D$1000="Agences et Après-vente"))*'Agences &amp; Après-vente'!$E$2:$E$1000)),"yyyy-mm-dd"),""))))))</f>
        <v/>
      </c>
      <c r="I100" s="131" t="str">
        <f aca="false">IF($S100="✓","✓",IF(ISNUMBER($S100),TEXT($S100,"yyyy-mm-dd"),IF($A100="","",IF(SUMPRODUCT(('Agences &amp; Après-vente'!$A$2:$A$1000=$A100)*(('Agences &amp; Après-vente'!$D$2:$D$1000="Après-vente")+('Agences &amp; Après-vente'!$D$2:$D$1000="Agences et Après-vente"))*('Agences &amp; Après-vente'!$I$2:$I$1000="DONE"))&gt;0,"✓",IF(SUMPRODUCT(MAX(('Agences &amp; Après-vente'!$A$2:$A$1000=$A100)*(('Agences &amp; Après-vente'!$D$2:$D$1000="Après-vente")+('Agences &amp; Après-vente'!$D$2:$D$1000="Agences et Après-vente"))*'Agences &amp; Après-vente'!$E$2:$E$1000))&gt;0,TEXT(SUMPRODUCT(MAX(('Agences &amp; Après-vente'!$A$2:$A$1000=$A100)*(('Agences &amp; Après-vente'!$D$2:$D$1000="Après-vente")+('Agences &amp; Après-vente'!$D$2:$D$1000="Agences et Après-vente"))*'Agences &amp; Après-vente'!$E$2:$E$1000)),"yyyy-mm-dd"),"")))))</f>
        <v/>
      </c>
      <c r="J100" s="131" t="str">
        <f aca="false">IF($T100="✓","✓",IF(ISNUMBER($T100),TEXT($T100,"yyyy-mm-dd"),IF($A100="","",IF($D100="Lisbonne","",IF(SUMPRODUCT(('Agences &amp; Après-vente'!$A$2:$A$1000=$A100)*(('Agences &amp; Après-vente'!$D$2:$D$1000="Après-vente")+('Agences &amp; Après-vente'!$D$2:$D$1000="Agences et Après-vente"))*('Agences &amp; Après-vente'!$I$2:$I$1000="DONE"))&gt;0,"✓",IF(SUMPRODUCT(MAX(('Agences &amp; Après-vente'!$A$2:$A$1000=$A100)*(('Agences &amp; Après-vente'!$D$2:$D$1000="Après-vente")+('Agences &amp; Après-vente'!$D$2:$D$1000="Agences et Après-vente"))*'Agences &amp; Après-vente'!$E$2:$E$1000))&gt;0,TEXT(SUMPRODUCT(MAX(('Agences &amp; Après-vente'!$A$2:$A$1000=$A100)*(('Agences &amp; Après-vente'!$D$2:$D$1000="Après-vente")+('Agences &amp; Après-vente'!$D$2:$D$1000="Agences et Après-vente"))*'Agences &amp; Après-vente'!$E$2:$E$1000)),"yyyy-mm-dd"),""))))))</f>
        <v/>
      </c>
      <c r="K100" s="131" t="str">
        <f aca="false">IF($U100="✓","✓",IF(ISNUMBER($U100),TEXT($U100,"yyyy-mm-dd"),IF($D100="Lisbonne","",IF($A100="","",IF(SUMPRODUCT((Evermont!$A$2:$A$1000=$A100)*(Evermont!$Q$2:$Q$1000="Terminé"))&gt;0,"✓",IF(SUMPRODUCT(MAX((Evermont!$A$2:$A$1000=$A100)*Evermont!$F$2:$F$1000))&gt;0,TEXT(SUMPRODUCT(MAX((Evermont!$A$2:$A$1000=$A100)*Evermont!$F$2:$F$1000)),"yyyy-mm-dd"),""))))))</f>
        <v/>
      </c>
      <c r="L100" s="132" t="n">
        <f aca="false">IF($A100="","",COUNTIF(E100:K100,"✓"))</f>
        <v>1</v>
      </c>
      <c r="M100" s="133" t="s">
        <v>196</v>
      </c>
      <c r="O100" s="134"/>
      <c r="P100" s="134"/>
      <c r="Q100" s="134"/>
      <c r="R100" s="134"/>
      <c r="S100" s="134"/>
      <c r="T100" s="134"/>
      <c r="U100" s="134"/>
      <c r="W100" s="135" t="str">
        <f aca="false">IF($A100="","",IF($X100&lt;&gt;"",$X100,IFERROR(INDEX('Formation Initiale'!$B$2:$B$999,MATCH($A100,'Formation Initiale'!$A$2:$A$999,0)),"Général")))</f>
        <v>OS1</v>
      </c>
      <c r="X100" s="136"/>
    </row>
    <row r="101" customFormat="false" ht="18" hidden="true" customHeight="true" outlineLevel="0" collapsed="false">
      <c r="A101" s="139" t="s">
        <v>466</v>
      </c>
      <c r="B101" s="128" t="s">
        <v>467</v>
      </c>
      <c r="C101" s="128" t="s">
        <v>468</v>
      </c>
      <c r="D101" s="129" t="s">
        <v>186</v>
      </c>
      <c r="E101" s="130" t="str">
        <f aca="false">IF($O101="✓","✓",IF(ISNUMBER($O101),TEXT($O101,"yyyy-mm-dd"),IF($A101="","",IF(SUMPRODUCT(('Formation Initiale'!$A$2:$A$999=$A101)*('Formation Initiale'!$R$2:$R$999="Terminé"))&gt;0,"✓",IF(SUMPRODUCT(MAX(('Formation Initiale'!$A$2:$A$999=$A101)*'Formation Initiale'!$G$2:$G$999))&gt;0,TEXT(SUMPRODUCT(MAX(('Formation Initiale'!$A$2:$A$999=$A101)*'Formation Initiale'!$G$2:$G$999)),"yyyy-mm-dd"),"")))))</f>
        <v>✓</v>
      </c>
      <c r="F101" s="131" t="str">
        <f aca="false">IF($P101="✓","✓",IF(ISNUMBER($P101),TEXT($P101,"yyyy-mm-dd"),IF($A101="","",IF($D101="Lisbonne","",IF(SUMPRODUCT(('Formation Initiale'!$A$2:$A$999=$A101)*('Formation Initiale'!$R$2:$R$999="Terminé"))&gt;0,"✓",IF(SUMPRODUCT(MAX(('Formation Initiale'!$A$2:$A$999=$A101)*'Formation Initiale'!$G$2:$G$999))&gt;0,TEXT(SUMPRODUCT(MAX(('Formation Initiale'!$A$2:$A$999=$A101)*'Formation Initiale'!$G$2:$G$999)),"yyyy-mm-dd"),""))))))</f>
        <v/>
      </c>
      <c r="G101" s="131" t="str">
        <f aca="false">IF($Q101="✓","✓",IF(ISNUMBER($Q101),TEXT($Q101,"yyyy-mm-dd"),IF($A101="","",IF(SUMPRODUCT(('Agences &amp; Après-vente'!$A$2:$A$1000=$A101)*(('Agences &amp; Après-vente'!$D$2:$D$1000="Agences")+('Agences &amp; Après-vente'!$D$2:$D$1000="Agences et Après-vente"))*('Agences &amp; Après-vente'!$I$2:$I$1000="DONE"))&gt;0,"✓",IF(SUMPRODUCT(MAX(('Agences &amp; Après-vente'!$A$2:$A$1000=$A101)*(('Agences &amp; Après-vente'!$D$2:$D$1000="Agences")+('Agences &amp; Après-vente'!$D$2:$D$1000="Agences et Après-vente"))*'Agences &amp; Après-vente'!$E$2:$E$1000))&gt;0,TEXT(SUMPRODUCT(MAX(('Agences &amp; Après-vente'!$A$2:$A$1000=$A101)*(('Agences &amp; Après-vente'!$D$2:$D$1000="Agences")+('Agences &amp; Après-vente'!$D$2:$D$1000="Agences et Après-vente"))*'Agences &amp; Après-vente'!$E$2:$E$1000)),"yyyy-mm-dd"),"")))))</f>
        <v>✓</v>
      </c>
      <c r="H101" s="131" t="str">
        <f aca="false">IF($R101="✓","✓",IF(ISNUMBER($R101),TEXT($R101,"yyyy-mm-dd"),IF($A101="","",IF($D101="Lisbonne","",IF(SUMPRODUCT(('Agences &amp; Après-vente'!$A$2:$A$1000=$A101)*(('Agences &amp; Après-vente'!$D$2:$D$1000="Agences")+('Agences &amp; Après-vente'!$D$2:$D$1000="Agences et Après-vente"))*('Agences &amp; Après-vente'!$I$2:$I$1000="DONE"))&gt;0,"✓",IF(SUMPRODUCT(MAX(('Agences &amp; Après-vente'!$A$2:$A$1000=$A101)*(('Agences &amp; Après-vente'!$D$2:$D$1000="Agences")+('Agences &amp; Après-vente'!$D$2:$D$1000="Agences et Après-vente"))*'Agences &amp; Après-vente'!$E$2:$E$1000))&gt;0,TEXT(SUMPRODUCT(MAX(('Agences &amp; Après-vente'!$A$2:$A$1000=$A101)*(('Agences &amp; Après-vente'!$D$2:$D$1000="Agences")+('Agences &amp; Après-vente'!$D$2:$D$1000="Agences et Après-vente"))*'Agences &amp; Après-vente'!$E$2:$E$1000)),"yyyy-mm-dd"),""))))))</f>
        <v/>
      </c>
      <c r="I101" s="131" t="str">
        <f aca="false">IF($S101="✓","✓",IF(ISNUMBER($S101),TEXT($S101,"yyyy-mm-dd"),IF($A101="","",IF(SUMPRODUCT(('Agences &amp; Après-vente'!$A$2:$A$1000=$A101)*(('Agences &amp; Après-vente'!$D$2:$D$1000="Après-vente")+('Agences &amp; Après-vente'!$D$2:$D$1000="Agences et Après-vente"))*('Agences &amp; Après-vente'!$I$2:$I$1000="DONE"))&gt;0,"✓",IF(SUMPRODUCT(MAX(('Agences &amp; Après-vente'!$A$2:$A$1000=$A101)*(('Agences &amp; Après-vente'!$D$2:$D$1000="Après-vente")+('Agences &amp; Après-vente'!$D$2:$D$1000="Agences et Après-vente"))*'Agences &amp; Après-vente'!$E$2:$E$1000))&gt;0,TEXT(SUMPRODUCT(MAX(('Agences &amp; Après-vente'!$A$2:$A$1000=$A101)*(('Agences &amp; Après-vente'!$D$2:$D$1000="Après-vente")+('Agences &amp; Après-vente'!$D$2:$D$1000="Agences et Après-vente"))*'Agences &amp; Après-vente'!$E$2:$E$1000)),"yyyy-mm-dd"),"")))))</f>
        <v>✓</v>
      </c>
      <c r="J101" s="131" t="str">
        <f aca="false">IF($T101="✓","✓",IF(ISNUMBER($T101),TEXT($T101,"yyyy-mm-dd"),IF($A101="","",IF($D101="Lisbonne","",IF(SUMPRODUCT(('Agences &amp; Après-vente'!$A$2:$A$1000=$A101)*(('Agences &amp; Après-vente'!$D$2:$D$1000="Après-vente")+('Agences &amp; Après-vente'!$D$2:$D$1000="Agences et Après-vente"))*('Agences &amp; Après-vente'!$I$2:$I$1000="DONE"))&gt;0,"✓",IF(SUMPRODUCT(MAX(('Agences &amp; Après-vente'!$A$2:$A$1000=$A101)*(('Agences &amp; Après-vente'!$D$2:$D$1000="Après-vente")+('Agences &amp; Après-vente'!$D$2:$D$1000="Agences et Après-vente"))*'Agences &amp; Après-vente'!$E$2:$E$1000))&gt;0,TEXT(SUMPRODUCT(MAX(('Agences &amp; Après-vente'!$A$2:$A$1000=$A101)*(('Agences &amp; Après-vente'!$D$2:$D$1000="Après-vente")+('Agences &amp; Après-vente'!$D$2:$D$1000="Agences et Après-vente"))*'Agences &amp; Après-vente'!$E$2:$E$1000)),"yyyy-mm-dd"),""))))))</f>
        <v/>
      </c>
      <c r="K101" s="131" t="str">
        <f aca="false">IF($U101="✓","✓",IF(ISNUMBER($U101),TEXT($U101,"yyyy-mm-dd"),IF($D101="Lisbonne","",IF($A101="","",IF(SUMPRODUCT((Evermont!$A$2:$A$1000=$A101)*(Evermont!$Q$2:$Q$1000="Terminé"))&gt;0,"✓",IF(SUMPRODUCT(MAX((Evermont!$A$2:$A$1000=$A101)*Evermont!$F$2:$F$1000))&gt;0,TEXT(SUMPRODUCT(MAX((Evermont!$A$2:$A$1000=$A101)*Evermont!$F$2:$F$1000)),"yyyy-mm-dd"),""))))))</f>
        <v/>
      </c>
      <c r="L101" s="132" t="n">
        <f aca="false">IF($A101="","",COUNTIF(E101:K101,"✓"))</f>
        <v>3</v>
      </c>
      <c r="M101" s="133" t="s">
        <v>172</v>
      </c>
      <c r="O101" s="134" t="s">
        <v>173</v>
      </c>
      <c r="P101" s="134"/>
      <c r="Q101" s="134"/>
      <c r="R101" s="134"/>
      <c r="S101" s="134"/>
      <c r="T101" s="134"/>
      <c r="U101" s="134"/>
      <c r="W101" s="135" t="str">
        <f aca="false">IF($A101="","",IF($X101&lt;&gt;"",$X101,IFERROR(INDEX('Formation Initiale'!$B$2:$B$999,MATCH($A101,'Formation Initiale'!$A$2:$A$999,0)),"Général")))</f>
        <v>OS1</v>
      </c>
      <c r="X101" s="136"/>
    </row>
    <row r="102" customFormat="false" ht="18" hidden="true" customHeight="true" outlineLevel="0" collapsed="false">
      <c r="A102" s="139" t="s">
        <v>469</v>
      </c>
      <c r="B102" s="128" t="s">
        <v>470</v>
      </c>
      <c r="C102" s="128" t="s">
        <v>471</v>
      </c>
      <c r="D102" s="129" t="s">
        <v>186</v>
      </c>
      <c r="E102" s="130" t="str">
        <f aca="false">IF($O102="✓","✓",IF(ISNUMBER($O102),TEXT($O102,"yyyy-mm-dd"),IF($A102="","",IF(SUMPRODUCT(('Formation Initiale'!$A$2:$A$999=$A102)*('Formation Initiale'!$R$2:$R$999="Terminé"))&gt;0,"✓",IF(SUMPRODUCT(MAX(('Formation Initiale'!$A$2:$A$999=$A102)*'Formation Initiale'!$G$2:$G$999))&gt;0,TEXT(SUMPRODUCT(MAX(('Formation Initiale'!$A$2:$A$999=$A102)*'Formation Initiale'!$G$2:$G$999)),"yyyy-mm-dd"),"")))))</f>
        <v>✓</v>
      </c>
      <c r="F102" s="131" t="str">
        <f aca="false">IF($P102="✓","✓",IF(ISNUMBER($P102),TEXT($P102,"yyyy-mm-dd"),IF($A102="","",IF($D102="Lisbonne","",IF(SUMPRODUCT(('Formation Initiale'!$A$2:$A$999=$A102)*('Formation Initiale'!$R$2:$R$999="Terminé"))&gt;0,"✓",IF(SUMPRODUCT(MAX(('Formation Initiale'!$A$2:$A$999=$A102)*'Formation Initiale'!$G$2:$G$999))&gt;0,TEXT(SUMPRODUCT(MAX(('Formation Initiale'!$A$2:$A$999=$A102)*'Formation Initiale'!$G$2:$G$999)),"yyyy-mm-dd"),""))))))</f>
        <v/>
      </c>
      <c r="G102" s="131" t="str">
        <f aca="false">IF($Q102="✓","✓",IF(ISNUMBER($Q102),TEXT($Q102,"yyyy-mm-dd"),IF($A102="","",IF(SUMPRODUCT(('Agences &amp; Après-vente'!$A$2:$A$1000=$A102)*(('Agences &amp; Après-vente'!$D$2:$D$1000="Agences")+('Agences &amp; Après-vente'!$D$2:$D$1000="Agences et Après-vente"))*('Agences &amp; Après-vente'!$I$2:$I$1000="DONE"))&gt;0,"✓",IF(SUMPRODUCT(MAX(('Agences &amp; Après-vente'!$A$2:$A$1000=$A102)*(('Agences &amp; Après-vente'!$D$2:$D$1000="Agences")+('Agences &amp; Après-vente'!$D$2:$D$1000="Agences et Après-vente"))*'Agences &amp; Après-vente'!$E$2:$E$1000))&gt;0,TEXT(SUMPRODUCT(MAX(('Agences &amp; Après-vente'!$A$2:$A$1000=$A102)*(('Agences &amp; Après-vente'!$D$2:$D$1000="Agences")+('Agences &amp; Après-vente'!$D$2:$D$1000="Agences et Après-vente"))*'Agences &amp; Après-vente'!$E$2:$E$1000)),"yyyy-mm-dd"),"")))))</f>
        <v/>
      </c>
      <c r="H102" s="131" t="str">
        <f aca="false">IF($R102="✓","✓",IF(ISNUMBER($R102),TEXT($R102,"yyyy-mm-dd"),IF($A102="","",IF($D102="Lisbonne","",IF(SUMPRODUCT(('Agences &amp; Après-vente'!$A$2:$A$1000=$A102)*(('Agences &amp; Après-vente'!$D$2:$D$1000="Agences")+('Agences &amp; Après-vente'!$D$2:$D$1000="Agences et Après-vente"))*('Agences &amp; Après-vente'!$I$2:$I$1000="DONE"))&gt;0,"✓",IF(SUMPRODUCT(MAX(('Agences &amp; Après-vente'!$A$2:$A$1000=$A102)*(('Agences &amp; Après-vente'!$D$2:$D$1000="Agences")+('Agences &amp; Après-vente'!$D$2:$D$1000="Agences et Après-vente"))*'Agences &amp; Après-vente'!$E$2:$E$1000))&gt;0,TEXT(SUMPRODUCT(MAX(('Agences &amp; Après-vente'!$A$2:$A$1000=$A102)*(('Agences &amp; Après-vente'!$D$2:$D$1000="Agences")+('Agences &amp; Après-vente'!$D$2:$D$1000="Agences et Après-vente"))*'Agences &amp; Après-vente'!$E$2:$E$1000)),"yyyy-mm-dd"),""))))))</f>
        <v/>
      </c>
      <c r="I102" s="131" t="str">
        <f aca="false">IF($S102="✓","✓",IF(ISNUMBER($S102),TEXT($S102,"yyyy-mm-dd"),IF($A102="","",IF(SUMPRODUCT(('Agences &amp; Après-vente'!$A$2:$A$1000=$A102)*(('Agences &amp; Après-vente'!$D$2:$D$1000="Après-vente")+('Agences &amp; Après-vente'!$D$2:$D$1000="Agences et Après-vente"))*('Agences &amp; Après-vente'!$I$2:$I$1000="DONE"))&gt;0,"✓",IF(SUMPRODUCT(MAX(('Agences &amp; Après-vente'!$A$2:$A$1000=$A102)*(('Agences &amp; Après-vente'!$D$2:$D$1000="Après-vente")+('Agences &amp; Après-vente'!$D$2:$D$1000="Agences et Après-vente"))*'Agences &amp; Après-vente'!$E$2:$E$1000))&gt;0,TEXT(SUMPRODUCT(MAX(('Agences &amp; Après-vente'!$A$2:$A$1000=$A102)*(('Agences &amp; Après-vente'!$D$2:$D$1000="Après-vente")+('Agences &amp; Après-vente'!$D$2:$D$1000="Agences et Après-vente"))*'Agences &amp; Après-vente'!$E$2:$E$1000)),"yyyy-mm-dd"),"")))))</f>
        <v/>
      </c>
      <c r="J102" s="131" t="str">
        <f aca="false">IF($T102="✓","✓",IF(ISNUMBER($T102),TEXT($T102,"yyyy-mm-dd"),IF($A102="","",IF($D102="Lisbonne","",IF(SUMPRODUCT(('Agences &amp; Après-vente'!$A$2:$A$1000=$A102)*(('Agences &amp; Après-vente'!$D$2:$D$1000="Après-vente")+('Agences &amp; Après-vente'!$D$2:$D$1000="Agences et Après-vente"))*('Agences &amp; Après-vente'!$I$2:$I$1000="DONE"))&gt;0,"✓",IF(SUMPRODUCT(MAX(('Agences &amp; Après-vente'!$A$2:$A$1000=$A102)*(('Agences &amp; Après-vente'!$D$2:$D$1000="Après-vente")+('Agences &amp; Après-vente'!$D$2:$D$1000="Agences et Après-vente"))*'Agences &amp; Après-vente'!$E$2:$E$1000))&gt;0,TEXT(SUMPRODUCT(MAX(('Agences &amp; Après-vente'!$A$2:$A$1000=$A102)*(('Agences &amp; Après-vente'!$D$2:$D$1000="Après-vente")+('Agences &amp; Après-vente'!$D$2:$D$1000="Agences et Après-vente"))*'Agences &amp; Après-vente'!$E$2:$E$1000)),"yyyy-mm-dd"),""))))))</f>
        <v/>
      </c>
      <c r="K102" s="131" t="str">
        <f aca="false">IF($U102="✓","✓",IF(ISNUMBER($U102),TEXT($U102,"yyyy-mm-dd"),IF($D102="Lisbonne","",IF($A102="","",IF(SUMPRODUCT((Evermont!$A$2:$A$1000=$A102)*(Evermont!$Q$2:$Q$1000="Terminé"))&gt;0,"✓",IF(SUMPRODUCT(MAX((Evermont!$A$2:$A$1000=$A102)*Evermont!$F$2:$F$1000))&gt;0,TEXT(SUMPRODUCT(MAX((Evermont!$A$2:$A$1000=$A102)*Evermont!$F$2:$F$1000)),"yyyy-mm-dd"),""))))))</f>
        <v/>
      </c>
      <c r="L102" s="132" t="n">
        <f aca="false">IF($A102="","",COUNTIF(E102:K102,"✓"))</f>
        <v>1</v>
      </c>
      <c r="M102" s="133" t="s">
        <v>172</v>
      </c>
      <c r="O102" s="134" t="s">
        <v>173</v>
      </c>
      <c r="P102" s="134"/>
      <c r="Q102" s="134"/>
      <c r="R102" s="134"/>
      <c r="S102" s="134"/>
      <c r="T102" s="134"/>
      <c r="U102" s="134"/>
      <c r="W102" s="135" t="str">
        <f aca="false">IF($A102="","",IF($X102&lt;&gt;"",$X102,IFERROR(INDEX('Formation Initiale'!$B$2:$B$999,MATCH($A102,'Formation Initiale'!$A$2:$A$999,0)),"Général")))</f>
        <v>OS7</v>
      </c>
      <c r="X102" s="136"/>
    </row>
    <row r="103" customFormat="false" ht="18" hidden="true" customHeight="true" outlineLevel="0" collapsed="false">
      <c r="A103" s="139" t="s">
        <v>472</v>
      </c>
      <c r="B103" s="128" t="s">
        <v>194</v>
      </c>
      <c r="C103" s="128" t="s">
        <v>473</v>
      </c>
      <c r="D103" s="129" t="s">
        <v>186</v>
      </c>
      <c r="E103" s="130" t="str">
        <f aca="false">IF($O103="✓","✓",IF(ISNUMBER($O103),TEXT($O103,"yyyy-mm-dd"),IF($A103="","",IF(SUMPRODUCT(('Formation Initiale'!$A$2:$A$999=$A103)*('Formation Initiale'!$R$2:$R$999="Terminé"))&gt;0,"✓",IF(SUMPRODUCT(MAX(('Formation Initiale'!$A$2:$A$999=$A103)*'Formation Initiale'!$G$2:$G$999))&gt;0,TEXT(SUMPRODUCT(MAX(('Formation Initiale'!$A$2:$A$999=$A103)*'Formation Initiale'!$G$2:$G$999)),"yyyy-mm-dd"),"")))))</f>
        <v>✓</v>
      </c>
      <c r="F103" s="131" t="str">
        <f aca="false">IF($P103="✓","✓",IF(ISNUMBER($P103),TEXT($P103,"yyyy-mm-dd"),IF($A103="","",IF($D103="Lisbonne","",IF(SUMPRODUCT(('Formation Initiale'!$A$2:$A$999=$A103)*('Formation Initiale'!$R$2:$R$999="Terminé"))&gt;0,"✓",IF(SUMPRODUCT(MAX(('Formation Initiale'!$A$2:$A$999=$A103)*'Formation Initiale'!$G$2:$G$999))&gt;0,TEXT(SUMPRODUCT(MAX(('Formation Initiale'!$A$2:$A$999=$A103)*'Formation Initiale'!$G$2:$G$999)),"yyyy-mm-dd"),""))))))</f>
        <v/>
      </c>
      <c r="G103" s="131" t="str">
        <f aca="false">IF($Q103="✓","✓",IF(ISNUMBER($Q103),TEXT($Q103,"yyyy-mm-dd"),IF($A103="","",IF(SUMPRODUCT(('Agences &amp; Après-vente'!$A$2:$A$1000=$A103)*(('Agences &amp; Après-vente'!$D$2:$D$1000="Agences")+('Agences &amp; Après-vente'!$D$2:$D$1000="Agences et Après-vente"))*('Agences &amp; Après-vente'!$I$2:$I$1000="DONE"))&gt;0,"✓",IF(SUMPRODUCT(MAX(('Agences &amp; Après-vente'!$A$2:$A$1000=$A103)*(('Agences &amp; Après-vente'!$D$2:$D$1000="Agences")+('Agences &amp; Après-vente'!$D$2:$D$1000="Agences et Après-vente"))*'Agences &amp; Après-vente'!$E$2:$E$1000))&gt;0,TEXT(SUMPRODUCT(MAX(('Agences &amp; Après-vente'!$A$2:$A$1000=$A103)*(('Agences &amp; Après-vente'!$D$2:$D$1000="Agences")+('Agences &amp; Après-vente'!$D$2:$D$1000="Agences et Après-vente"))*'Agences &amp; Après-vente'!$E$2:$E$1000)),"yyyy-mm-dd"),"")))))</f>
        <v/>
      </c>
      <c r="H103" s="131" t="str">
        <f aca="false">IF($R103="✓","✓",IF(ISNUMBER($R103),TEXT($R103,"yyyy-mm-dd"),IF($A103="","",IF($D103="Lisbonne","",IF(SUMPRODUCT(('Agences &amp; Après-vente'!$A$2:$A$1000=$A103)*(('Agences &amp; Après-vente'!$D$2:$D$1000="Agences")+('Agences &amp; Après-vente'!$D$2:$D$1000="Agences et Après-vente"))*('Agences &amp; Après-vente'!$I$2:$I$1000="DONE"))&gt;0,"✓",IF(SUMPRODUCT(MAX(('Agences &amp; Après-vente'!$A$2:$A$1000=$A103)*(('Agences &amp; Après-vente'!$D$2:$D$1000="Agences")+('Agences &amp; Après-vente'!$D$2:$D$1000="Agences et Après-vente"))*'Agences &amp; Après-vente'!$E$2:$E$1000))&gt;0,TEXT(SUMPRODUCT(MAX(('Agences &amp; Après-vente'!$A$2:$A$1000=$A103)*(('Agences &amp; Après-vente'!$D$2:$D$1000="Agences")+('Agences &amp; Après-vente'!$D$2:$D$1000="Agences et Après-vente"))*'Agences &amp; Après-vente'!$E$2:$E$1000)),"yyyy-mm-dd"),""))))))</f>
        <v/>
      </c>
      <c r="I103" s="131" t="str">
        <f aca="false">IF($S103="✓","✓",IF(ISNUMBER($S103),TEXT($S103,"yyyy-mm-dd"),IF($A103="","",IF(SUMPRODUCT(('Agences &amp; Après-vente'!$A$2:$A$1000=$A103)*(('Agences &amp; Après-vente'!$D$2:$D$1000="Après-vente")+('Agences &amp; Après-vente'!$D$2:$D$1000="Agences et Après-vente"))*('Agences &amp; Après-vente'!$I$2:$I$1000="DONE"))&gt;0,"✓",IF(SUMPRODUCT(MAX(('Agences &amp; Après-vente'!$A$2:$A$1000=$A103)*(('Agences &amp; Après-vente'!$D$2:$D$1000="Après-vente")+('Agences &amp; Après-vente'!$D$2:$D$1000="Agences et Après-vente"))*'Agences &amp; Après-vente'!$E$2:$E$1000))&gt;0,TEXT(SUMPRODUCT(MAX(('Agences &amp; Après-vente'!$A$2:$A$1000=$A103)*(('Agences &amp; Après-vente'!$D$2:$D$1000="Après-vente")+('Agences &amp; Après-vente'!$D$2:$D$1000="Agences et Après-vente"))*'Agences &amp; Après-vente'!$E$2:$E$1000)),"yyyy-mm-dd"),"")))))</f>
        <v/>
      </c>
      <c r="J103" s="131" t="str">
        <f aca="false">IF($T103="✓","✓",IF(ISNUMBER($T103),TEXT($T103,"yyyy-mm-dd"),IF($A103="","",IF($D103="Lisbonne","",IF(SUMPRODUCT(('Agences &amp; Après-vente'!$A$2:$A$1000=$A103)*(('Agences &amp; Après-vente'!$D$2:$D$1000="Après-vente")+('Agences &amp; Après-vente'!$D$2:$D$1000="Agences et Après-vente"))*('Agences &amp; Après-vente'!$I$2:$I$1000="DONE"))&gt;0,"✓",IF(SUMPRODUCT(MAX(('Agences &amp; Après-vente'!$A$2:$A$1000=$A103)*(('Agences &amp; Après-vente'!$D$2:$D$1000="Après-vente")+('Agences &amp; Après-vente'!$D$2:$D$1000="Agences et Après-vente"))*'Agences &amp; Après-vente'!$E$2:$E$1000))&gt;0,TEXT(SUMPRODUCT(MAX(('Agences &amp; Après-vente'!$A$2:$A$1000=$A103)*(('Agences &amp; Après-vente'!$D$2:$D$1000="Après-vente")+('Agences &amp; Après-vente'!$D$2:$D$1000="Agences et Après-vente"))*'Agences &amp; Après-vente'!$E$2:$E$1000)),"yyyy-mm-dd"),""))))))</f>
        <v/>
      </c>
      <c r="K103" s="131" t="str">
        <f aca="false">IF($U103="✓","✓",IF(ISNUMBER($U103),TEXT($U103,"yyyy-mm-dd"),IF($D103="Lisbonne","",IF($A103="","",IF(SUMPRODUCT((Evermont!$A$2:$A$1000=$A103)*(Evermont!$Q$2:$Q$1000="Terminé"))&gt;0,"✓",IF(SUMPRODUCT(MAX((Evermont!$A$2:$A$1000=$A103)*Evermont!$F$2:$F$1000))&gt;0,TEXT(SUMPRODUCT(MAX((Evermont!$A$2:$A$1000=$A103)*Evermont!$F$2:$F$1000)),"yyyy-mm-dd"),""))))))</f>
        <v/>
      </c>
      <c r="L103" s="132" t="n">
        <f aca="false">IF($A103="","",COUNTIF(E103:K103,"✓"))</f>
        <v>1</v>
      </c>
      <c r="M103" s="133" t="s">
        <v>172</v>
      </c>
      <c r="O103" s="134" t="s">
        <v>173</v>
      </c>
      <c r="P103" s="134"/>
      <c r="Q103" s="134"/>
      <c r="R103" s="134"/>
      <c r="S103" s="134"/>
      <c r="T103" s="134"/>
      <c r="U103" s="134"/>
      <c r="W103" s="135" t="str">
        <f aca="false">IF($A103="","",IF($X103&lt;&gt;"",$X103,IFERROR(INDEX('Formation Initiale'!$B$2:$B$999,MATCH($A103,'Formation Initiale'!$A$2:$A$999,0)),"Général")))</f>
        <v>OS6</v>
      </c>
      <c r="X103" s="136"/>
    </row>
    <row r="104" customFormat="false" ht="18" hidden="true" customHeight="true" outlineLevel="0" collapsed="false">
      <c r="A104" s="140" t="s">
        <v>474</v>
      </c>
      <c r="B104" s="128" t="s">
        <v>467</v>
      </c>
      <c r="C104" s="128" t="s">
        <v>475</v>
      </c>
      <c r="D104" s="129" t="s">
        <v>186</v>
      </c>
      <c r="E104" s="130" t="str">
        <f aca="false">IF($O104="✓","✓",IF(ISNUMBER($O104),TEXT($O104,"yyyy-mm-dd"),IF($A104="","",IF(SUMPRODUCT(('Formation Initiale'!$A$2:$A$999=$A104)*('Formation Initiale'!$R$2:$R$999="Terminé"))&gt;0,"✓",IF(SUMPRODUCT(MAX(('Formation Initiale'!$A$2:$A$999=$A104)*'Formation Initiale'!$G$2:$G$999))&gt;0,TEXT(SUMPRODUCT(MAX(('Formation Initiale'!$A$2:$A$999=$A104)*'Formation Initiale'!$G$2:$G$999)),"yyyy-mm-dd"),"")))))</f>
        <v>✓</v>
      </c>
      <c r="F104" s="131" t="str">
        <f aca="false">IF($P104="✓","✓",IF(ISNUMBER($P104),TEXT($P104,"yyyy-mm-dd"),IF($A104="","",IF($D104="Lisbonne","",IF(SUMPRODUCT(('Formation Initiale'!$A$2:$A$999=$A104)*('Formation Initiale'!$R$2:$R$999="Terminé"))&gt;0,"✓",IF(SUMPRODUCT(MAX(('Formation Initiale'!$A$2:$A$999=$A104)*'Formation Initiale'!$G$2:$G$999))&gt;0,TEXT(SUMPRODUCT(MAX(('Formation Initiale'!$A$2:$A$999=$A104)*'Formation Initiale'!$G$2:$G$999)),"yyyy-mm-dd"),""))))))</f>
        <v/>
      </c>
      <c r="G104" s="131" t="str">
        <f aca="false">IF($Q104="✓","✓",IF(ISNUMBER($Q104),TEXT($Q104,"yyyy-mm-dd"),IF($A104="","",IF(SUMPRODUCT(('Agences &amp; Après-vente'!$A$2:$A$1000=$A104)*(('Agences &amp; Après-vente'!$D$2:$D$1000="Agences")+('Agences &amp; Après-vente'!$D$2:$D$1000="Agences et Après-vente"))*('Agences &amp; Après-vente'!$I$2:$I$1000="DONE"))&gt;0,"✓",IF(SUMPRODUCT(MAX(('Agences &amp; Après-vente'!$A$2:$A$1000=$A104)*(('Agences &amp; Après-vente'!$D$2:$D$1000="Agences")+('Agences &amp; Après-vente'!$D$2:$D$1000="Agences et Après-vente"))*'Agences &amp; Après-vente'!$E$2:$E$1000))&gt;0,TEXT(SUMPRODUCT(MAX(('Agences &amp; Après-vente'!$A$2:$A$1000=$A104)*(('Agences &amp; Après-vente'!$D$2:$D$1000="Agences")+('Agences &amp; Après-vente'!$D$2:$D$1000="Agences et Après-vente"))*'Agences &amp; Après-vente'!$E$2:$E$1000)),"yyyy-mm-dd"),"")))))</f>
        <v/>
      </c>
      <c r="H104" s="131" t="str">
        <f aca="false">IF($R104="✓","✓",IF(ISNUMBER($R104),TEXT($R104,"yyyy-mm-dd"),IF($A104="","",IF($D104="Lisbonne","",IF(SUMPRODUCT(('Agences &amp; Après-vente'!$A$2:$A$1000=$A104)*(('Agences &amp; Après-vente'!$D$2:$D$1000="Agences")+('Agences &amp; Après-vente'!$D$2:$D$1000="Agences et Après-vente"))*('Agences &amp; Après-vente'!$I$2:$I$1000="DONE"))&gt;0,"✓",IF(SUMPRODUCT(MAX(('Agences &amp; Après-vente'!$A$2:$A$1000=$A104)*(('Agences &amp; Après-vente'!$D$2:$D$1000="Agences")+('Agences &amp; Après-vente'!$D$2:$D$1000="Agences et Après-vente"))*'Agences &amp; Après-vente'!$E$2:$E$1000))&gt;0,TEXT(SUMPRODUCT(MAX(('Agences &amp; Après-vente'!$A$2:$A$1000=$A104)*(('Agences &amp; Après-vente'!$D$2:$D$1000="Agences")+('Agences &amp; Après-vente'!$D$2:$D$1000="Agences et Après-vente"))*'Agences &amp; Après-vente'!$E$2:$E$1000)),"yyyy-mm-dd"),""))))))</f>
        <v/>
      </c>
      <c r="I104" s="131" t="str">
        <f aca="false">IF($S104="✓","✓",IF(ISNUMBER($S104),TEXT($S104,"yyyy-mm-dd"),IF($A104="","",IF(SUMPRODUCT(('Agences &amp; Après-vente'!$A$2:$A$1000=$A104)*(('Agences &amp; Après-vente'!$D$2:$D$1000="Après-vente")+('Agences &amp; Après-vente'!$D$2:$D$1000="Agences et Après-vente"))*('Agences &amp; Après-vente'!$I$2:$I$1000="DONE"))&gt;0,"✓",IF(SUMPRODUCT(MAX(('Agences &amp; Après-vente'!$A$2:$A$1000=$A104)*(('Agences &amp; Après-vente'!$D$2:$D$1000="Après-vente")+('Agences &amp; Après-vente'!$D$2:$D$1000="Agences et Après-vente"))*'Agences &amp; Après-vente'!$E$2:$E$1000))&gt;0,TEXT(SUMPRODUCT(MAX(('Agences &amp; Après-vente'!$A$2:$A$1000=$A104)*(('Agences &amp; Après-vente'!$D$2:$D$1000="Après-vente")+('Agences &amp; Après-vente'!$D$2:$D$1000="Agences et Après-vente"))*'Agences &amp; Après-vente'!$E$2:$E$1000)),"yyyy-mm-dd"),"")))))</f>
        <v/>
      </c>
      <c r="J104" s="131" t="str">
        <f aca="false">IF($T104="✓","✓",IF(ISNUMBER($T104),TEXT($T104,"yyyy-mm-dd"),IF($A104="","",IF($D104="Lisbonne","",IF(SUMPRODUCT(('Agences &amp; Après-vente'!$A$2:$A$1000=$A104)*(('Agences &amp; Après-vente'!$D$2:$D$1000="Après-vente")+('Agences &amp; Après-vente'!$D$2:$D$1000="Agences et Après-vente"))*('Agences &amp; Après-vente'!$I$2:$I$1000="DONE"))&gt;0,"✓",IF(SUMPRODUCT(MAX(('Agences &amp; Après-vente'!$A$2:$A$1000=$A104)*(('Agences &amp; Après-vente'!$D$2:$D$1000="Après-vente")+('Agences &amp; Après-vente'!$D$2:$D$1000="Agences et Après-vente"))*'Agences &amp; Après-vente'!$E$2:$E$1000))&gt;0,TEXT(SUMPRODUCT(MAX(('Agences &amp; Après-vente'!$A$2:$A$1000=$A104)*(('Agences &amp; Après-vente'!$D$2:$D$1000="Après-vente")+('Agences &amp; Après-vente'!$D$2:$D$1000="Agences et Après-vente"))*'Agences &amp; Après-vente'!$E$2:$E$1000)),"yyyy-mm-dd"),""))))))</f>
        <v/>
      </c>
      <c r="K104" s="131" t="str">
        <f aca="false">IF($U104="✓","✓",IF(ISNUMBER($U104),TEXT($U104,"yyyy-mm-dd"),IF($D104="Lisbonne","",IF($A104="","",IF(SUMPRODUCT((Evermont!$A$2:$A$1000=$A104)*(Evermont!$Q$2:$Q$1000="Terminé"))&gt;0,"✓",IF(SUMPRODUCT(MAX((Evermont!$A$2:$A$1000=$A104)*Evermont!$F$2:$F$1000))&gt;0,TEXT(SUMPRODUCT(MAX((Evermont!$A$2:$A$1000=$A104)*Evermont!$F$2:$F$1000)),"yyyy-mm-dd"),""))))))</f>
        <v/>
      </c>
      <c r="L104" s="132" t="n">
        <f aca="false">IF($A104="","",COUNTIF(E104:K104,"✓"))</f>
        <v>1</v>
      </c>
      <c r="M104" s="133" t="s">
        <v>196</v>
      </c>
      <c r="O104" s="134" t="s">
        <v>173</v>
      </c>
      <c r="P104" s="134"/>
      <c r="Q104" s="134"/>
      <c r="R104" s="134"/>
      <c r="S104" s="134"/>
      <c r="T104" s="134"/>
      <c r="U104" s="134"/>
      <c r="W104" s="135" t="str">
        <f aca="false">IF($A104="","",IF($X104&lt;&gt;"",$X104,IFERROR(INDEX('Formation Initiale'!$B$2:$B$999,MATCH($A104,'Formation Initiale'!$A$2:$A$999,0)),"Général")))</f>
        <v>OS7</v>
      </c>
      <c r="X104" s="136"/>
    </row>
    <row r="105" customFormat="false" ht="18" hidden="true" customHeight="true" outlineLevel="0" collapsed="false">
      <c r="A105" s="127" t="s">
        <v>476</v>
      </c>
      <c r="B105" s="128" t="s">
        <v>477</v>
      </c>
      <c r="C105" s="128" t="s">
        <v>478</v>
      </c>
      <c r="D105" s="129" t="s">
        <v>171</v>
      </c>
      <c r="E105" s="130" t="str">
        <f aca="false">IF($O105="✓","✓",IF(ISNUMBER($O105),TEXT($O105,"yyyy-mm-dd"),IF($A105="","",IF(SUMPRODUCT(('Formation Initiale'!$A$2:$A$999=$A105)*('Formation Initiale'!$R$2:$R$999="Terminé"))&gt;0,"✓",IF(SUMPRODUCT(MAX(('Formation Initiale'!$A$2:$A$999=$A105)*'Formation Initiale'!$G$2:$G$999))&gt;0,TEXT(SUMPRODUCT(MAX(('Formation Initiale'!$A$2:$A$999=$A105)*'Formation Initiale'!$G$2:$G$999)),"yyyy-mm-dd"),"")))))</f>
        <v>✓</v>
      </c>
      <c r="F105" s="131" t="str">
        <f aca="false">IF($P105="✓","✓",IF(ISNUMBER($P105),TEXT($P105,"yyyy-mm-dd"),IF($A105="","",IF($D105="Lisbonne","",IF(SUMPRODUCT(('Formation Initiale'!$A$2:$A$999=$A105)*('Formation Initiale'!$R$2:$R$999="Terminé"))&gt;0,"✓",IF(SUMPRODUCT(MAX(('Formation Initiale'!$A$2:$A$999=$A105)*'Formation Initiale'!$G$2:$G$999))&gt;0,TEXT(SUMPRODUCT(MAX(('Formation Initiale'!$A$2:$A$999=$A105)*'Formation Initiale'!$G$2:$G$999)),"yyyy-mm-dd"),""))))))</f>
        <v>✓</v>
      </c>
      <c r="G105" s="131" t="str">
        <f aca="false">IF($Q105="✓","✓",IF(ISNUMBER($Q105),TEXT($Q105,"yyyy-mm-dd"),IF($A105="","",IF(SUMPRODUCT(('Agences &amp; Après-vente'!$A$2:$A$1000=$A105)*(('Agences &amp; Après-vente'!$D$2:$D$1000="Agences")+('Agences &amp; Après-vente'!$D$2:$D$1000="Agences et Après-vente"))*('Agences &amp; Après-vente'!$I$2:$I$1000="DONE"))&gt;0,"✓",IF(SUMPRODUCT(MAX(('Agences &amp; Après-vente'!$A$2:$A$1000=$A105)*(('Agences &amp; Après-vente'!$D$2:$D$1000="Agences")+('Agences &amp; Après-vente'!$D$2:$D$1000="Agences et Après-vente"))*'Agences &amp; Après-vente'!$E$2:$E$1000))&gt;0,TEXT(SUMPRODUCT(MAX(('Agences &amp; Après-vente'!$A$2:$A$1000=$A105)*(('Agences &amp; Après-vente'!$D$2:$D$1000="Agences")+('Agences &amp; Après-vente'!$D$2:$D$1000="Agences et Après-vente"))*'Agences &amp; Après-vente'!$E$2:$E$1000)),"yyyy-mm-dd"),"")))))</f>
        <v>✓</v>
      </c>
      <c r="H105" s="131" t="str">
        <f aca="false">IF($R105="✓","✓",IF(ISNUMBER($R105),TEXT($R105,"yyyy-mm-dd"),IF($A105="","",IF($D105="Lisbonne","",IF(SUMPRODUCT(('Agences &amp; Après-vente'!$A$2:$A$1000=$A105)*(('Agences &amp; Après-vente'!$D$2:$D$1000="Agences")+('Agences &amp; Après-vente'!$D$2:$D$1000="Agences et Après-vente"))*('Agences &amp; Après-vente'!$I$2:$I$1000="DONE"))&gt;0,"✓",IF(SUMPRODUCT(MAX(('Agences &amp; Après-vente'!$A$2:$A$1000=$A105)*(('Agences &amp; Après-vente'!$D$2:$D$1000="Agences")+('Agences &amp; Après-vente'!$D$2:$D$1000="Agences et Après-vente"))*'Agences &amp; Après-vente'!$E$2:$E$1000))&gt;0,TEXT(SUMPRODUCT(MAX(('Agences &amp; Après-vente'!$A$2:$A$1000=$A105)*(('Agences &amp; Après-vente'!$D$2:$D$1000="Agences")+('Agences &amp; Après-vente'!$D$2:$D$1000="Agences et Après-vente"))*'Agences &amp; Après-vente'!$E$2:$E$1000)),"yyyy-mm-dd"),""))))))</f>
        <v>✓</v>
      </c>
      <c r="I105" s="131" t="str">
        <f aca="false">IF($S105="✓","✓",IF(ISNUMBER($S105),TEXT($S105,"yyyy-mm-dd"),IF($A105="","",IF(SUMPRODUCT(('Agences &amp; Après-vente'!$A$2:$A$1000=$A105)*(('Agences &amp; Après-vente'!$D$2:$D$1000="Après-vente")+('Agences &amp; Après-vente'!$D$2:$D$1000="Agences et Après-vente"))*('Agences &amp; Après-vente'!$I$2:$I$1000="DONE"))&gt;0,"✓",IF(SUMPRODUCT(MAX(('Agences &amp; Après-vente'!$A$2:$A$1000=$A105)*(('Agences &amp; Après-vente'!$D$2:$D$1000="Après-vente")+('Agences &amp; Après-vente'!$D$2:$D$1000="Agences et Après-vente"))*'Agences &amp; Après-vente'!$E$2:$E$1000))&gt;0,TEXT(SUMPRODUCT(MAX(('Agences &amp; Après-vente'!$A$2:$A$1000=$A105)*(('Agences &amp; Après-vente'!$D$2:$D$1000="Après-vente")+('Agences &amp; Après-vente'!$D$2:$D$1000="Agences et Après-vente"))*'Agences &amp; Après-vente'!$E$2:$E$1000)),"yyyy-mm-dd"),"")))))</f>
        <v>✓</v>
      </c>
      <c r="J105" s="131" t="str">
        <f aca="false">IF($T105="✓","✓",IF(ISNUMBER($T105),TEXT($T105,"yyyy-mm-dd"),IF($A105="","",IF($D105="Lisbonne","",IF(SUMPRODUCT(('Agences &amp; Après-vente'!$A$2:$A$1000=$A105)*(('Agences &amp; Après-vente'!$D$2:$D$1000="Après-vente")+('Agences &amp; Après-vente'!$D$2:$D$1000="Agences et Après-vente"))*('Agences &amp; Après-vente'!$I$2:$I$1000="DONE"))&gt;0,"✓",IF(SUMPRODUCT(MAX(('Agences &amp; Après-vente'!$A$2:$A$1000=$A105)*(('Agences &amp; Après-vente'!$D$2:$D$1000="Après-vente")+('Agences &amp; Après-vente'!$D$2:$D$1000="Agences et Après-vente"))*'Agences &amp; Après-vente'!$E$2:$E$1000))&gt;0,TEXT(SUMPRODUCT(MAX(('Agences &amp; Après-vente'!$A$2:$A$1000=$A105)*(('Agences &amp; Après-vente'!$D$2:$D$1000="Après-vente")+('Agences &amp; Après-vente'!$D$2:$D$1000="Agences et Après-vente"))*'Agences &amp; Après-vente'!$E$2:$E$1000)),"yyyy-mm-dd"),""))))))</f>
        <v>✓</v>
      </c>
      <c r="K105" s="131" t="str">
        <f aca="false">IF($U105="✓","✓",IF(ISNUMBER($U105),TEXT($U105,"yyyy-mm-dd"),IF($D105="Lisbonne","",IF($A105="","",IF(SUMPRODUCT((Evermont!$A$2:$A$1000=$A105)*(Evermont!$Q$2:$Q$1000="Terminé"))&gt;0,"✓",IF(SUMPRODUCT(MAX((Evermont!$A$2:$A$1000=$A105)*Evermont!$F$2:$F$1000))&gt;0,TEXT(SUMPRODUCT(MAX((Evermont!$A$2:$A$1000=$A105)*Evermont!$F$2:$F$1000)),"yyyy-mm-dd"),""))))))</f>
        <v>✓</v>
      </c>
      <c r="L105" s="132" t="n">
        <f aca="false">IF($A105="","",COUNTIF(E105:K105,"✓"))</f>
        <v>7</v>
      </c>
      <c r="M105" s="133" t="s">
        <v>172</v>
      </c>
      <c r="O105" s="134" t="s">
        <v>173</v>
      </c>
      <c r="P105" s="134" t="s">
        <v>173</v>
      </c>
      <c r="Q105" s="134"/>
      <c r="R105" s="134"/>
      <c r="S105" s="134"/>
      <c r="T105" s="134"/>
      <c r="U105" s="134" t="s">
        <v>173</v>
      </c>
      <c r="W105" s="135" t="str">
        <f aca="false">IF($A105="","",IF($X105&lt;&gt;"",$X105,IFERROR(INDEX('Formation Initiale'!$B$2:$B$999,MATCH($A105,'Formation Initiale'!$A$2:$A$999,0)),"Général")))</f>
        <v>Général</v>
      </c>
      <c r="X105" s="136"/>
    </row>
    <row r="106" customFormat="false" ht="18" hidden="true" customHeight="true" outlineLevel="0" collapsed="false">
      <c r="A106" s="127" t="s">
        <v>479</v>
      </c>
      <c r="B106" s="128" t="s">
        <v>480</v>
      </c>
      <c r="C106" s="128" t="s">
        <v>481</v>
      </c>
      <c r="D106" s="129" t="s">
        <v>171</v>
      </c>
      <c r="E106" s="130" t="str">
        <f aca="false">IF($O106="✓","✓",IF(ISNUMBER($O106),TEXT($O106,"yyyy-mm-dd"),IF($A106="","",IF(SUMPRODUCT(('Formation Initiale'!$A$2:$A$999=$A106)*('Formation Initiale'!$R$2:$R$999="Terminé"))&gt;0,"✓",IF(SUMPRODUCT(MAX(('Formation Initiale'!$A$2:$A$999=$A106)*'Formation Initiale'!$G$2:$G$999))&gt;0,TEXT(SUMPRODUCT(MAX(('Formation Initiale'!$A$2:$A$999=$A106)*'Formation Initiale'!$G$2:$G$999)),"yyyy-mm-dd"),"")))))</f>
        <v>✓</v>
      </c>
      <c r="F106" s="131" t="str">
        <f aca="false">IF($P106="✓","✓",IF(ISNUMBER($P106),TEXT($P106,"yyyy-mm-dd"),IF($A106="","",IF($D106="Lisbonne","",IF(SUMPRODUCT(('Formation Initiale'!$A$2:$A$999=$A106)*('Formation Initiale'!$R$2:$R$999="Terminé"))&gt;0,"✓",IF(SUMPRODUCT(MAX(('Formation Initiale'!$A$2:$A$999=$A106)*'Formation Initiale'!$G$2:$G$999))&gt;0,TEXT(SUMPRODUCT(MAX(('Formation Initiale'!$A$2:$A$999=$A106)*'Formation Initiale'!$G$2:$G$999)),"yyyy-mm-dd"),""))))))</f>
        <v>✓</v>
      </c>
      <c r="G106" s="131" t="str">
        <f aca="false">IF($Q106="✓","✓",IF(ISNUMBER($Q106),TEXT($Q106,"yyyy-mm-dd"),IF($A106="","",IF(SUMPRODUCT(('Agences &amp; Après-vente'!$A$2:$A$1000=$A106)*(('Agences &amp; Après-vente'!$D$2:$D$1000="Agences")+('Agences &amp; Après-vente'!$D$2:$D$1000="Agences et Après-vente"))*('Agences &amp; Après-vente'!$I$2:$I$1000="DONE"))&gt;0,"✓",IF(SUMPRODUCT(MAX(('Agences &amp; Après-vente'!$A$2:$A$1000=$A106)*(('Agences &amp; Après-vente'!$D$2:$D$1000="Agences")+('Agences &amp; Après-vente'!$D$2:$D$1000="Agences et Après-vente"))*'Agences &amp; Après-vente'!$E$2:$E$1000))&gt;0,TEXT(SUMPRODUCT(MAX(('Agences &amp; Après-vente'!$A$2:$A$1000=$A106)*(('Agences &amp; Après-vente'!$D$2:$D$1000="Agences")+('Agences &amp; Après-vente'!$D$2:$D$1000="Agences et Après-vente"))*'Agences &amp; Après-vente'!$E$2:$E$1000)),"yyyy-mm-dd"),"")))))</f>
        <v>✓</v>
      </c>
      <c r="H106" s="131" t="str">
        <f aca="false">IF($R106="✓","✓",IF(ISNUMBER($R106),TEXT($R106,"yyyy-mm-dd"),IF($A106="","",IF($D106="Lisbonne","",IF(SUMPRODUCT(('Agences &amp; Après-vente'!$A$2:$A$1000=$A106)*(('Agences &amp; Après-vente'!$D$2:$D$1000="Agences")+('Agences &amp; Après-vente'!$D$2:$D$1000="Agences et Après-vente"))*('Agences &amp; Après-vente'!$I$2:$I$1000="DONE"))&gt;0,"✓",IF(SUMPRODUCT(MAX(('Agences &amp; Après-vente'!$A$2:$A$1000=$A106)*(('Agences &amp; Après-vente'!$D$2:$D$1000="Agences")+('Agences &amp; Après-vente'!$D$2:$D$1000="Agences et Après-vente"))*'Agences &amp; Après-vente'!$E$2:$E$1000))&gt;0,TEXT(SUMPRODUCT(MAX(('Agences &amp; Après-vente'!$A$2:$A$1000=$A106)*(('Agences &amp; Après-vente'!$D$2:$D$1000="Agences")+('Agences &amp; Après-vente'!$D$2:$D$1000="Agences et Après-vente"))*'Agences &amp; Après-vente'!$E$2:$E$1000)),"yyyy-mm-dd"),""))))))</f>
        <v>✓</v>
      </c>
      <c r="I106" s="131" t="str">
        <f aca="false">IF($S106="✓","✓",IF(ISNUMBER($S106),TEXT($S106,"yyyy-mm-dd"),IF($A106="","",IF(SUMPRODUCT(('Agences &amp; Après-vente'!$A$2:$A$1000=$A106)*(('Agences &amp; Après-vente'!$D$2:$D$1000="Après-vente")+('Agences &amp; Après-vente'!$D$2:$D$1000="Agences et Après-vente"))*('Agences &amp; Après-vente'!$I$2:$I$1000="DONE"))&gt;0,"✓",IF(SUMPRODUCT(MAX(('Agences &amp; Après-vente'!$A$2:$A$1000=$A106)*(('Agences &amp; Après-vente'!$D$2:$D$1000="Après-vente")+('Agences &amp; Après-vente'!$D$2:$D$1000="Agences et Après-vente"))*'Agences &amp; Après-vente'!$E$2:$E$1000))&gt;0,TEXT(SUMPRODUCT(MAX(('Agences &amp; Après-vente'!$A$2:$A$1000=$A106)*(('Agences &amp; Après-vente'!$D$2:$D$1000="Après-vente")+('Agences &amp; Après-vente'!$D$2:$D$1000="Agences et Après-vente"))*'Agences &amp; Après-vente'!$E$2:$E$1000)),"yyyy-mm-dd"),"")))))</f>
        <v>✓</v>
      </c>
      <c r="J106" s="131" t="str">
        <f aca="false">IF($T106="✓","✓",IF(ISNUMBER($T106),TEXT($T106,"yyyy-mm-dd"),IF($A106="","",IF($D106="Lisbonne","",IF(SUMPRODUCT(('Agences &amp; Après-vente'!$A$2:$A$1000=$A106)*(('Agences &amp; Après-vente'!$D$2:$D$1000="Après-vente")+('Agences &amp; Après-vente'!$D$2:$D$1000="Agences et Après-vente"))*('Agences &amp; Après-vente'!$I$2:$I$1000="DONE"))&gt;0,"✓",IF(SUMPRODUCT(MAX(('Agences &amp; Après-vente'!$A$2:$A$1000=$A106)*(('Agences &amp; Après-vente'!$D$2:$D$1000="Après-vente")+('Agences &amp; Après-vente'!$D$2:$D$1000="Agences et Après-vente"))*'Agences &amp; Après-vente'!$E$2:$E$1000))&gt;0,TEXT(SUMPRODUCT(MAX(('Agences &amp; Après-vente'!$A$2:$A$1000=$A106)*(('Agences &amp; Après-vente'!$D$2:$D$1000="Après-vente")+('Agences &amp; Après-vente'!$D$2:$D$1000="Agences et Après-vente"))*'Agences &amp; Après-vente'!$E$2:$E$1000)),"yyyy-mm-dd"),""))))))</f>
        <v>✓</v>
      </c>
      <c r="K106" s="131" t="str">
        <f aca="false">IF($U106="✓","✓",IF(ISNUMBER($U106),TEXT($U106,"yyyy-mm-dd"),IF($D106="Lisbonne","",IF($A106="","",IF(SUMPRODUCT((Evermont!$A$2:$A$1000=$A106)*(Evermont!$Q$2:$Q$1000="Terminé"))&gt;0,"✓",IF(SUMPRODUCT(MAX((Evermont!$A$2:$A$1000=$A106)*Evermont!$F$2:$F$1000))&gt;0,TEXT(SUMPRODUCT(MAX((Evermont!$A$2:$A$1000=$A106)*Evermont!$F$2:$F$1000)),"yyyy-mm-dd"),""))))))</f>
        <v>✓</v>
      </c>
      <c r="L106" s="132" t="n">
        <f aca="false">IF($A106="","",COUNTIF(E106:K106,"✓"))</f>
        <v>7</v>
      </c>
      <c r="M106" s="133" t="s">
        <v>172</v>
      </c>
      <c r="O106" s="134" t="s">
        <v>173</v>
      </c>
      <c r="P106" s="134" t="s">
        <v>173</v>
      </c>
      <c r="Q106" s="134" t="s">
        <v>173</v>
      </c>
      <c r="R106" s="134" t="s">
        <v>173</v>
      </c>
      <c r="S106" s="134" t="s">
        <v>173</v>
      </c>
      <c r="T106" s="134" t="s">
        <v>173</v>
      </c>
      <c r="U106" s="134" t="s">
        <v>173</v>
      </c>
      <c r="W106" s="135" t="str">
        <f aca="false">IF($A106="","",IF($X106&lt;&gt;"",$X106,IFERROR(INDEX('Formation Initiale'!$B$2:$B$999,MATCH($A106,'Formation Initiale'!$A$2:$A$999,0)),"Général")))</f>
        <v>Général</v>
      </c>
      <c r="X106" s="136"/>
    </row>
    <row r="107" customFormat="false" ht="18" hidden="true" customHeight="true" outlineLevel="0" collapsed="false">
      <c r="A107" s="127" t="s">
        <v>482</v>
      </c>
      <c r="B107" s="128" t="s">
        <v>483</v>
      </c>
      <c r="C107" s="128" t="s">
        <v>484</v>
      </c>
      <c r="D107" s="129" t="s">
        <v>171</v>
      </c>
      <c r="E107" s="130" t="str">
        <f aca="false">IF($O107="✓","✓",IF(ISNUMBER($O107),TEXT($O107,"yyyy-mm-dd"),IF($A107="","",IF(SUMPRODUCT(('Formation Initiale'!$A$2:$A$999=$A107)*('Formation Initiale'!$R$2:$R$999="Terminé"))&gt;0,"✓",IF(SUMPRODUCT(MAX(('Formation Initiale'!$A$2:$A$999=$A107)*'Formation Initiale'!$G$2:$G$999))&gt;0,TEXT(SUMPRODUCT(MAX(('Formation Initiale'!$A$2:$A$999=$A107)*'Formation Initiale'!$G$2:$G$999)),"yyyy-mm-dd"),"")))))</f>
        <v>✓</v>
      </c>
      <c r="F107" s="131" t="str">
        <f aca="false">IF($P107="✓","✓",IF(ISNUMBER($P107),TEXT($P107,"yyyy-mm-dd"),IF($A107="","",IF($D107="Lisbonne","",IF(SUMPRODUCT(('Formation Initiale'!$A$2:$A$999=$A107)*('Formation Initiale'!$R$2:$R$999="Terminé"))&gt;0,"✓",IF(SUMPRODUCT(MAX(('Formation Initiale'!$A$2:$A$999=$A107)*'Formation Initiale'!$G$2:$G$999))&gt;0,TEXT(SUMPRODUCT(MAX(('Formation Initiale'!$A$2:$A$999=$A107)*'Formation Initiale'!$G$2:$G$999)),"yyyy-mm-dd"),""))))))</f>
        <v>✓</v>
      </c>
      <c r="G107" s="131" t="str">
        <f aca="false">IF($Q107="✓","✓",IF(ISNUMBER($Q107),TEXT($Q107,"yyyy-mm-dd"),IF($A107="","",IF(SUMPRODUCT(('Agences &amp; Après-vente'!$A$2:$A$1000=$A107)*(('Agences &amp; Après-vente'!$D$2:$D$1000="Agences")+('Agences &amp; Après-vente'!$D$2:$D$1000="Agences et Après-vente"))*('Agences &amp; Après-vente'!$I$2:$I$1000="DONE"))&gt;0,"✓",IF(SUMPRODUCT(MAX(('Agences &amp; Après-vente'!$A$2:$A$1000=$A107)*(('Agences &amp; Après-vente'!$D$2:$D$1000="Agences")+('Agences &amp; Après-vente'!$D$2:$D$1000="Agences et Après-vente"))*'Agences &amp; Après-vente'!$E$2:$E$1000))&gt;0,TEXT(SUMPRODUCT(MAX(('Agences &amp; Après-vente'!$A$2:$A$1000=$A107)*(('Agences &amp; Après-vente'!$D$2:$D$1000="Agences")+('Agences &amp; Après-vente'!$D$2:$D$1000="Agences et Après-vente"))*'Agences &amp; Après-vente'!$E$2:$E$1000)),"yyyy-mm-dd"),"")))))</f>
        <v/>
      </c>
      <c r="H107" s="131" t="str">
        <f aca="false">IF($R107="✓","✓",IF(ISNUMBER($R107),TEXT($R107,"yyyy-mm-dd"),IF($A107="","",IF($D107="Lisbonne","",IF(SUMPRODUCT(('Agences &amp; Après-vente'!$A$2:$A$1000=$A107)*(('Agences &amp; Après-vente'!$D$2:$D$1000="Agences")+('Agences &amp; Après-vente'!$D$2:$D$1000="Agences et Après-vente"))*('Agences &amp; Après-vente'!$I$2:$I$1000="DONE"))&gt;0,"✓",IF(SUMPRODUCT(MAX(('Agences &amp; Après-vente'!$A$2:$A$1000=$A107)*(('Agences &amp; Après-vente'!$D$2:$D$1000="Agences")+('Agences &amp; Après-vente'!$D$2:$D$1000="Agences et Après-vente"))*'Agences &amp; Après-vente'!$E$2:$E$1000))&gt;0,TEXT(SUMPRODUCT(MAX(('Agences &amp; Après-vente'!$A$2:$A$1000=$A107)*(('Agences &amp; Après-vente'!$D$2:$D$1000="Agences")+('Agences &amp; Après-vente'!$D$2:$D$1000="Agences et Après-vente"))*'Agences &amp; Après-vente'!$E$2:$E$1000)),"yyyy-mm-dd"),""))))))</f>
        <v/>
      </c>
      <c r="I107" s="131" t="str">
        <f aca="false">IF($S107="✓","✓",IF(ISNUMBER($S107),TEXT($S107,"yyyy-mm-dd"),IF($A107="","",IF(SUMPRODUCT(('Agences &amp; Après-vente'!$A$2:$A$1000=$A107)*(('Agences &amp; Après-vente'!$D$2:$D$1000="Après-vente")+('Agences &amp; Après-vente'!$D$2:$D$1000="Agences et Après-vente"))*('Agences &amp; Après-vente'!$I$2:$I$1000="DONE"))&gt;0,"✓",IF(SUMPRODUCT(MAX(('Agences &amp; Après-vente'!$A$2:$A$1000=$A107)*(('Agences &amp; Après-vente'!$D$2:$D$1000="Après-vente")+('Agences &amp; Après-vente'!$D$2:$D$1000="Agences et Après-vente"))*'Agences &amp; Après-vente'!$E$2:$E$1000))&gt;0,TEXT(SUMPRODUCT(MAX(('Agences &amp; Après-vente'!$A$2:$A$1000=$A107)*(('Agences &amp; Après-vente'!$D$2:$D$1000="Après-vente")+('Agences &amp; Après-vente'!$D$2:$D$1000="Agences et Après-vente"))*'Agences &amp; Après-vente'!$E$2:$E$1000)),"yyyy-mm-dd"),"")))))</f>
        <v/>
      </c>
      <c r="J107" s="131" t="str">
        <f aca="false">IF($T107="✓","✓",IF(ISNUMBER($T107),TEXT($T107,"yyyy-mm-dd"),IF($A107="","",IF($D107="Lisbonne","",IF(SUMPRODUCT(('Agences &amp; Après-vente'!$A$2:$A$1000=$A107)*(('Agences &amp; Après-vente'!$D$2:$D$1000="Après-vente")+('Agences &amp; Après-vente'!$D$2:$D$1000="Agences et Après-vente"))*('Agences &amp; Après-vente'!$I$2:$I$1000="DONE"))&gt;0,"✓",IF(SUMPRODUCT(MAX(('Agences &amp; Après-vente'!$A$2:$A$1000=$A107)*(('Agences &amp; Après-vente'!$D$2:$D$1000="Après-vente")+('Agences &amp; Après-vente'!$D$2:$D$1000="Agences et Après-vente"))*'Agences &amp; Après-vente'!$E$2:$E$1000))&gt;0,TEXT(SUMPRODUCT(MAX(('Agences &amp; Après-vente'!$A$2:$A$1000=$A107)*(('Agences &amp; Après-vente'!$D$2:$D$1000="Après-vente")+('Agences &amp; Après-vente'!$D$2:$D$1000="Agences et Après-vente"))*'Agences &amp; Après-vente'!$E$2:$E$1000)),"yyyy-mm-dd"),""))))))</f>
        <v/>
      </c>
      <c r="K107" s="131" t="str">
        <f aca="false">IF($U107="✓","✓",IF(ISNUMBER($U107),TEXT($U107,"yyyy-mm-dd"),IF($D107="Lisbonne","",IF($A107="","",IF(SUMPRODUCT((Evermont!$A$2:$A$1000=$A107)*(Evermont!$Q$2:$Q$1000="Terminé"))&gt;0,"✓",IF(SUMPRODUCT(MAX((Evermont!$A$2:$A$1000=$A107)*Evermont!$F$2:$F$1000))&gt;0,TEXT(SUMPRODUCT(MAX((Evermont!$A$2:$A$1000=$A107)*Evermont!$F$2:$F$1000)),"yyyy-mm-dd"),""))))))</f>
        <v/>
      </c>
      <c r="L107" s="132" t="n">
        <f aca="false">IF($A107="","",COUNTIF(E107:K107,"✓"))</f>
        <v>2</v>
      </c>
      <c r="M107" s="133" t="s">
        <v>172</v>
      </c>
      <c r="O107" s="134" t="s">
        <v>173</v>
      </c>
      <c r="P107" s="134" t="s">
        <v>173</v>
      </c>
      <c r="Q107" s="134"/>
      <c r="R107" s="134"/>
      <c r="S107" s="134"/>
      <c r="T107" s="134"/>
      <c r="U107" s="134"/>
      <c r="W107" s="135" t="str">
        <f aca="false">IF($A107="","",IF($X107&lt;&gt;"",$X107,IFERROR(INDEX('Formation Initiale'!$B$2:$B$999,MATCH($A107,'Formation Initiale'!$A$2:$A$999,0)),"Général")))</f>
        <v>175</v>
      </c>
      <c r="X107" s="136"/>
    </row>
    <row r="108" customFormat="false" ht="18" hidden="true" customHeight="true" outlineLevel="0" collapsed="false">
      <c r="A108" s="137" t="s">
        <v>485</v>
      </c>
      <c r="B108" s="128" t="s">
        <v>486</v>
      </c>
      <c r="C108" s="128" t="s">
        <v>487</v>
      </c>
      <c r="D108" s="129" t="s">
        <v>171</v>
      </c>
      <c r="E108" s="130" t="str">
        <f aca="false">IF($O108="✓","✓",IF(ISNUMBER($O108),TEXT($O108,"yyyy-mm-dd"),IF($A108="","",IF(SUMPRODUCT(('Formation Initiale'!$A$2:$A$999=$A108)*('Formation Initiale'!$R$2:$R$999="Terminé"))&gt;0,"✓",IF(SUMPRODUCT(MAX(('Formation Initiale'!$A$2:$A$999=$A108)*'Formation Initiale'!$G$2:$G$999))&gt;0,TEXT(SUMPRODUCT(MAX(('Formation Initiale'!$A$2:$A$999=$A108)*'Formation Initiale'!$G$2:$G$999)),"yyyy-mm-dd"),"")))))</f>
        <v>✓</v>
      </c>
      <c r="F108" s="131" t="str">
        <f aca="false">IF($P108="✓","✓",IF(ISNUMBER($P108),TEXT($P108,"yyyy-mm-dd"),IF($A108="","",IF($D108="Lisbonne","",IF(SUMPRODUCT(('Formation Initiale'!$A$2:$A$999=$A108)*('Formation Initiale'!$R$2:$R$999="Terminé"))&gt;0,"✓",IF(SUMPRODUCT(MAX(('Formation Initiale'!$A$2:$A$999=$A108)*'Formation Initiale'!$G$2:$G$999))&gt;0,TEXT(SUMPRODUCT(MAX(('Formation Initiale'!$A$2:$A$999=$A108)*'Formation Initiale'!$G$2:$G$999)),"yyyy-mm-dd"),""))))))</f>
        <v>✓</v>
      </c>
      <c r="G108" s="131" t="str">
        <f aca="false">IF($Q108="✓","✓",IF(ISNUMBER($Q108),TEXT($Q108,"yyyy-mm-dd"),IF($A108="","",IF(SUMPRODUCT(('Agences &amp; Après-vente'!$A$2:$A$1000=$A108)*(('Agences &amp; Après-vente'!$D$2:$D$1000="Agences")+('Agences &amp; Après-vente'!$D$2:$D$1000="Agences et Après-vente"))*('Agences &amp; Après-vente'!$I$2:$I$1000="DONE"))&gt;0,"✓",IF(SUMPRODUCT(MAX(('Agences &amp; Après-vente'!$A$2:$A$1000=$A108)*(('Agences &amp; Après-vente'!$D$2:$D$1000="Agences")+('Agences &amp; Après-vente'!$D$2:$D$1000="Agences et Après-vente"))*'Agences &amp; Après-vente'!$E$2:$E$1000))&gt;0,TEXT(SUMPRODUCT(MAX(('Agences &amp; Après-vente'!$A$2:$A$1000=$A108)*(('Agences &amp; Après-vente'!$D$2:$D$1000="Agences")+('Agences &amp; Après-vente'!$D$2:$D$1000="Agences et Après-vente"))*'Agences &amp; Après-vente'!$E$2:$E$1000)),"yyyy-mm-dd"),"")))))</f>
        <v/>
      </c>
      <c r="H108" s="131" t="str">
        <f aca="false">IF($R108="✓","✓",IF(ISNUMBER($R108),TEXT($R108,"yyyy-mm-dd"),IF($A108="","",IF($D108="Lisbonne","",IF(SUMPRODUCT(('Agences &amp; Après-vente'!$A$2:$A$1000=$A108)*(('Agences &amp; Après-vente'!$D$2:$D$1000="Agences")+('Agences &amp; Après-vente'!$D$2:$D$1000="Agences et Après-vente"))*('Agences &amp; Après-vente'!$I$2:$I$1000="DONE"))&gt;0,"✓",IF(SUMPRODUCT(MAX(('Agences &amp; Après-vente'!$A$2:$A$1000=$A108)*(('Agences &amp; Après-vente'!$D$2:$D$1000="Agences")+('Agences &amp; Après-vente'!$D$2:$D$1000="Agences et Après-vente"))*'Agences &amp; Après-vente'!$E$2:$E$1000))&gt;0,TEXT(SUMPRODUCT(MAX(('Agences &amp; Après-vente'!$A$2:$A$1000=$A108)*(('Agences &amp; Après-vente'!$D$2:$D$1000="Agences")+('Agences &amp; Après-vente'!$D$2:$D$1000="Agences et Après-vente"))*'Agences &amp; Après-vente'!$E$2:$E$1000)),"yyyy-mm-dd"),""))))))</f>
        <v/>
      </c>
      <c r="I108" s="131" t="str">
        <f aca="false">IF($S108="✓","✓",IF(ISNUMBER($S108),TEXT($S108,"yyyy-mm-dd"),IF($A108="","",IF(SUMPRODUCT(('Agences &amp; Après-vente'!$A$2:$A$1000=$A108)*(('Agences &amp; Après-vente'!$D$2:$D$1000="Après-vente")+('Agences &amp; Après-vente'!$D$2:$D$1000="Agences et Après-vente"))*('Agences &amp; Après-vente'!$I$2:$I$1000="DONE"))&gt;0,"✓",IF(SUMPRODUCT(MAX(('Agences &amp; Après-vente'!$A$2:$A$1000=$A108)*(('Agences &amp; Après-vente'!$D$2:$D$1000="Après-vente")+('Agences &amp; Après-vente'!$D$2:$D$1000="Agences et Après-vente"))*'Agences &amp; Après-vente'!$E$2:$E$1000))&gt;0,TEXT(SUMPRODUCT(MAX(('Agences &amp; Après-vente'!$A$2:$A$1000=$A108)*(('Agences &amp; Après-vente'!$D$2:$D$1000="Après-vente")+('Agences &amp; Après-vente'!$D$2:$D$1000="Agences et Après-vente"))*'Agences &amp; Après-vente'!$E$2:$E$1000)),"yyyy-mm-dd"),"")))))</f>
        <v/>
      </c>
      <c r="J108" s="131" t="str">
        <f aca="false">IF($T108="✓","✓",IF(ISNUMBER($T108),TEXT($T108,"yyyy-mm-dd"),IF($A108="","",IF($D108="Lisbonne","",IF(SUMPRODUCT(('Agences &amp; Après-vente'!$A$2:$A$1000=$A108)*(('Agences &amp; Après-vente'!$D$2:$D$1000="Après-vente")+('Agences &amp; Après-vente'!$D$2:$D$1000="Agences et Après-vente"))*('Agences &amp; Après-vente'!$I$2:$I$1000="DONE"))&gt;0,"✓",IF(SUMPRODUCT(MAX(('Agences &amp; Après-vente'!$A$2:$A$1000=$A108)*(('Agences &amp; Après-vente'!$D$2:$D$1000="Après-vente")+('Agences &amp; Après-vente'!$D$2:$D$1000="Agences et Après-vente"))*'Agences &amp; Après-vente'!$E$2:$E$1000))&gt;0,TEXT(SUMPRODUCT(MAX(('Agences &amp; Après-vente'!$A$2:$A$1000=$A108)*(('Agences &amp; Après-vente'!$D$2:$D$1000="Après-vente")+('Agences &amp; Après-vente'!$D$2:$D$1000="Agences et Après-vente"))*'Agences &amp; Après-vente'!$E$2:$E$1000)),"yyyy-mm-dd"),""))))))</f>
        <v/>
      </c>
      <c r="K108" s="131" t="str">
        <f aca="false">IF($U108="✓","✓",IF(ISNUMBER($U108),TEXT($U108,"yyyy-mm-dd"),IF($D108="Lisbonne","",IF($A108="","",IF(SUMPRODUCT((Evermont!$A$2:$A$1000=$A108)*(Evermont!$Q$2:$Q$1000="Terminé"))&gt;0,"✓",IF(SUMPRODUCT(MAX((Evermont!$A$2:$A$1000=$A108)*Evermont!$F$2:$F$1000))&gt;0,TEXT(SUMPRODUCT(MAX((Evermont!$A$2:$A$1000=$A108)*Evermont!$F$2:$F$1000)),"yyyy-mm-dd"),""))))))</f>
        <v/>
      </c>
      <c r="L108" s="132" t="n">
        <f aca="false">IF($A108="","",COUNTIF(E108:K108,"✓"))</f>
        <v>2</v>
      </c>
      <c r="M108" s="133" t="s">
        <v>196</v>
      </c>
      <c r="O108" s="134"/>
      <c r="P108" s="134"/>
      <c r="Q108" s="134"/>
      <c r="R108" s="134"/>
      <c r="S108" s="134"/>
      <c r="T108" s="134"/>
      <c r="U108" s="134"/>
      <c r="W108" s="135" t="str">
        <f aca="false">IF($A108="","",IF($X108&lt;&gt;"",$X108,IFERROR(INDEX('Formation Initiale'!$B$2:$B$999,MATCH($A108,'Formation Initiale'!$A$2:$A$999,0)),"Général")))</f>
        <v>173</v>
      </c>
      <c r="X108" s="136"/>
    </row>
    <row r="109" customFormat="false" ht="18" hidden="true" customHeight="true" outlineLevel="0" collapsed="false">
      <c r="A109" s="127" t="s">
        <v>488</v>
      </c>
      <c r="B109" s="128" t="s">
        <v>489</v>
      </c>
      <c r="C109" s="128" t="s">
        <v>490</v>
      </c>
      <c r="D109" s="129" t="s">
        <v>171</v>
      </c>
      <c r="E109" s="130" t="str">
        <f aca="false">IF($O109="✓","✓",IF(ISNUMBER($O109),TEXT($O109,"yyyy-mm-dd"),IF($A109="","",IF(SUMPRODUCT(('Formation Initiale'!$A$2:$A$999=$A109)*('Formation Initiale'!$R$2:$R$999="Terminé"))&gt;0,"✓",IF(SUMPRODUCT(MAX(('Formation Initiale'!$A$2:$A$999=$A109)*'Formation Initiale'!$G$2:$G$999))&gt;0,TEXT(SUMPRODUCT(MAX(('Formation Initiale'!$A$2:$A$999=$A109)*'Formation Initiale'!$G$2:$G$999)),"yyyy-mm-dd"),"")))))</f>
        <v>✓</v>
      </c>
      <c r="F109" s="131" t="str">
        <f aca="false">IF($P109="✓","✓",IF(ISNUMBER($P109),TEXT($P109,"yyyy-mm-dd"),IF($A109="","",IF($D109="Lisbonne","",IF(SUMPRODUCT(('Formation Initiale'!$A$2:$A$999=$A109)*('Formation Initiale'!$R$2:$R$999="Terminé"))&gt;0,"✓",IF(SUMPRODUCT(MAX(('Formation Initiale'!$A$2:$A$999=$A109)*'Formation Initiale'!$G$2:$G$999))&gt;0,TEXT(SUMPRODUCT(MAX(('Formation Initiale'!$A$2:$A$999=$A109)*'Formation Initiale'!$G$2:$G$999)),"yyyy-mm-dd"),""))))))</f>
        <v>✓</v>
      </c>
      <c r="G109" s="131" t="str">
        <f aca="false">IF($Q109="✓","✓",IF(ISNUMBER($Q109),TEXT($Q109,"yyyy-mm-dd"),IF($A109="","",IF(SUMPRODUCT(('Agences &amp; Après-vente'!$A$2:$A$1000=$A109)*(('Agences &amp; Après-vente'!$D$2:$D$1000="Agences")+('Agences &amp; Après-vente'!$D$2:$D$1000="Agences et Après-vente"))*('Agences &amp; Après-vente'!$I$2:$I$1000="DONE"))&gt;0,"✓",IF(SUMPRODUCT(MAX(('Agences &amp; Après-vente'!$A$2:$A$1000=$A109)*(('Agences &amp; Après-vente'!$D$2:$D$1000="Agences")+('Agences &amp; Après-vente'!$D$2:$D$1000="Agences et Après-vente"))*'Agences &amp; Après-vente'!$E$2:$E$1000))&gt;0,TEXT(SUMPRODUCT(MAX(('Agences &amp; Après-vente'!$A$2:$A$1000=$A109)*(('Agences &amp; Après-vente'!$D$2:$D$1000="Agences")+('Agences &amp; Après-vente'!$D$2:$D$1000="Agences et Après-vente"))*'Agences &amp; Après-vente'!$E$2:$E$1000)),"yyyy-mm-dd"),"")))))</f>
        <v>✓</v>
      </c>
      <c r="H109" s="131" t="str">
        <f aca="false">IF($R109="✓","✓",IF(ISNUMBER($R109),TEXT($R109,"yyyy-mm-dd"),IF($A109="","",IF($D109="Lisbonne","",IF(SUMPRODUCT(('Agences &amp; Après-vente'!$A$2:$A$1000=$A109)*(('Agences &amp; Après-vente'!$D$2:$D$1000="Agences")+('Agences &amp; Après-vente'!$D$2:$D$1000="Agences et Après-vente"))*('Agences &amp; Après-vente'!$I$2:$I$1000="DONE"))&gt;0,"✓",IF(SUMPRODUCT(MAX(('Agences &amp; Après-vente'!$A$2:$A$1000=$A109)*(('Agences &amp; Après-vente'!$D$2:$D$1000="Agences")+('Agences &amp; Après-vente'!$D$2:$D$1000="Agences et Après-vente"))*'Agences &amp; Après-vente'!$E$2:$E$1000))&gt;0,TEXT(SUMPRODUCT(MAX(('Agences &amp; Après-vente'!$A$2:$A$1000=$A109)*(('Agences &amp; Après-vente'!$D$2:$D$1000="Agences")+('Agences &amp; Après-vente'!$D$2:$D$1000="Agences et Après-vente"))*'Agences &amp; Après-vente'!$E$2:$E$1000)),"yyyy-mm-dd"),""))))))</f>
        <v>✓</v>
      </c>
      <c r="I109" s="131" t="str">
        <f aca="false">IF($S109="✓","✓",IF(ISNUMBER($S109),TEXT($S109,"yyyy-mm-dd"),IF($A109="","",IF(SUMPRODUCT(('Agences &amp; Après-vente'!$A$2:$A$1000=$A109)*(('Agences &amp; Après-vente'!$D$2:$D$1000="Après-vente")+('Agences &amp; Après-vente'!$D$2:$D$1000="Agences et Après-vente"))*('Agences &amp; Après-vente'!$I$2:$I$1000="DONE"))&gt;0,"✓",IF(SUMPRODUCT(MAX(('Agences &amp; Après-vente'!$A$2:$A$1000=$A109)*(('Agences &amp; Après-vente'!$D$2:$D$1000="Après-vente")+('Agences &amp; Après-vente'!$D$2:$D$1000="Agences et Après-vente"))*'Agences &amp; Après-vente'!$E$2:$E$1000))&gt;0,TEXT(SUMPRODUCT(MAX(('Agences &amp; Après-vente'!$A$2:$A$1000=$A109)*(('Agences &amp; Après-vente'!$D$2:$D$1000="Après-vente")+('Agences &amp; Après-vente'!$D$2:$D$1000="Agences et Après-vente"))*'Agences &amp; Après-vente'!$E$2:$E$1000)),"yyyy-mm-dd"),"")))))</f>
        <v>✓</v>
      </c>
      <c r="J109" s="131" t="str">
        <f aca="false">IF($T109="✓","✓",IF(ISNUMBER($T109),TEXT($T109,"yyyy-mm-dd"),IF($A109="","",IF($D109="Lisbonne","",IF(SUMPRODUCT(('Agences &amp; Après-vente'!$A$2:$A$1000=$A109)*(('Agences &amp; Après-vente'!$D$2:$D$1000="Après-vente")+('Agences &amp; Après-vente'!$D$2:$D$1000="Agences et Après-vente"))*('Agences &amp; Après-vente'!$I$2:$I$1000="DONE"))&gt;0,"✓",IF(SUMPRODUCT(MAX(('Agences &amp; Après-vente'!$A$2:$A$1000=$A109)*(('Agences &amp; Après-vente'!$D$2:$D$1000="Après-vente")+('Agences &amp; Après-vente'!$D$2:$D$1000="Agences et Après-vente"))*'Agences &amp; Après-vente'!$E$2:$E$1000))&gt;0,TEXT(SUMPRODUCT(MAX(('Agences &amp; Après-vente'!$A$2:$A$1000=$A109)*(('Agences &amp; Après-vente'!$D$2:$D$1000="Après-vente")+('Agences &amp; Après-vente'!$D$2:$D$1000="Agences et Après-vente"))*'Agences &amp; Après-vente'!$E$2:$E$1000)),"yyyy-mm-dd"),""))))))</f>
        <v>✓</v>
      </c>
      <c r="K109" s="131" t="str">
        <f aca="false">IF($U109="✓","✓",IF(ISNUMBER($U109),TEXT($U109,"yyyy-mm-dd"),IF($D109="Lisbonne","",IF($A109="","",IF(SUMPRODUCT((Evermont!$A$2:$A$1000=$A109)*(Evermont!$Q$2:$Q$1000="Terminé"))&gt;0,"✓",IF(SUMPRODUCT(MAX((Evermont!$A$2:$A$1000=$A109)*Evermont!$F$2:$F$1000))&gt;0,TEXT(SUMPRODUCT(MAX((Evermont!$A$2:$A$1000=$A109)*Evermont!$F$2:$F$1000)),"yyyy-mm-dd"),""))))))</f>
        <v>✓</v>
      </c>
      <c r="L109" s="132" t="n">
        <f aca="false">IF($A109="","",COUNTIF(E109:K109,"✓"))</f>
        <v>7</v>
      </c>
      <c r="M109" s="133" t="s">
        <v>172</v>
      </c>
      <c r="O109" s="134" t="s">
        <v>173</v>
      </c>
      <c r="P109" s="134" t="s">
        <v>173</v>
      </c>
      <c r="Q109" s="134" t="s">
        <v>173</v>
      </c>
      <c r="R109" s="134" t="s">
        <v>173</v>
      </c>
      <c r="S109" s="134" t="s">
        <v>173</v>
      </c>
      <c r="T109" s="134" t="s">
        <v>173</v>
      </c>
      <c r="U109" s="134" t="s">
        <v>173</v>
      </c>
      <c r="W109" s="135" t="str">
        <f aca="false">IF($A109="","",IF($X109&lt;&gt;"",$X109,IFERROR(INDEX('Formation Initiale'!$B$2:$B$999,MATCH($A109,'Formation Initiale'!$A$2:$A$999,0)),"Général")))</f>
        <v>Général</v>
      </c>
      <c r="X109" s="136"/>
    </row>
    <row r="110" customFormat="false" ht="18" hidden="true" customHeight="true" outlineLevel="0" collapsed="false">
      <c r="A110" s="127" t="s">
        <v>491</v>
      </c>
      <c r="B110" s="128" t="s">
        <v>492</v>
      </c>
      <c r="C110" s="128" t="s">
        <v>493</v>
      </c>
      <c r="D110" s="129" t="s">
        <v>171</v>
      </c>
      <c r="E110" s="130" t="str">
        <f aca="false">IF($O110="✓","✓",IF(ISNUMBER($O110),TEXT($O110,"yyyy-mm-dd"),IF($A110="","",IF(SUMPRODUCT(('Formation Initiale'!$A$2:$A$999=$A110)*('Formation Initiale'!$R$2:$R$999="Terminé"))&gt;0,"✓",IF(SUMPRODUCT(MAX(('Formation Initiale'!$A$2:$A$999=$A110)*'Formation Initiale'!$G$2:$G$999))&gt;0,TEXT(SUMPRODUCT(MAX(('Formation Initiale'!$A$2:$A$999=$A110)*'Formation Initiale'!$G$2:$G$999)),"yyyy-mm-dd"),"")))))</f>
        <v>✓</v>
      </c>
      <c r="F110" s="131" t="str">
        <f aca="false">IF($P110="✓","✓",IF(ISNUMBER($P110),TEXT($P110,"yyyy-mm-dd"),IF($A110="","",IF($D110="Lisbonne","",IF(SUMPRODUCT(('Formation Initiale'!$A$2:$A$999=$A110)*('Formation Initiale'!$R$2:$R$999="Terminé"))&gt;0,"✓",IF(SUMPRODUCT(MAX(('Formation Initiale'!$A$2:$A$999=$A110)*'Formation Initiale'!$G$2:$G$999))&gt;0,TEXT(SUMPRODUCT(MAX(('Formation Initiale'!$A$2:$A$999=$A110)*'Formation Initiale'!$G$2:$G$999)),"yyyy-mm-dd"),""))))))</f>
        <v>✓</v>
      </c>
      <c r="G110" s="131" t="str">
        <f aca="false">IF($Q110="✓","✓",IF(ISNUMBER($Q110),TEXT($Q110,"yyyy-mm-dd"),IF($A110="","",IF(SUMPRODUCT(('Agences &amp; Après-vente'!$A$2:$A$1000=$A110)*(('Agences &amp; Après-vente'!$D$2:$D$1000="Agences")+('Agences &amp; Après-vente'!$D$2:$D$1000="Agences et Après-vente"))*('Agences &amp; Après-vente'!$I$2:$I$1000="DONE"))&gt;0,"✓",IF(SUMPRODUCT(MAX(('Agences &amp; Après-vente'!$A$2:$A$1000=$A110)*(('Agences &amp; Après-vente'!$D$2:$D$1000="Agences")+('Agences &amp; Après-vente'!$D$2:$D$1000="Agences et Après-vente"))*'Agences &amp; Après-vente'!$E$2:$E$1000))&gt;0,TEXT(SUMPRODUCT(MAX(('Agences &amp; Après-vente'!$A$2:$A$1000=$A110)*(('Agences &amp; Après-vente'!$D$2:$D$1000="Agences")+('Agences &amp; Après-vente'!$D$2:$D$1000="Agences et Après-vente"))*'Agences &amp; Après-vente'!$E$2:$E$1000)),"yyyy-mm-dd"),"")))))</f>
        <v>✓</v>
      </c>
      <c r="H110" s="131" t="str">
        <f aca="false">IF($R110="✓","✓",IF(ISNUMBER($R110),TEXT($R110,"yyyy-mm-dd"),IF($A110="","",IF($D110="Lisbonne","",IF(SUMPRODUCT(('Agences &amp; Après-vente'!$A$2:$A$1000=$A110)*(('Agences &amp; Après-vente'!$D$2:$D$1000="Agences")+('Agences &amp; Après-vente'!$D$2:$D$1000="Agences et Après-vente"))*('Agences &amp; Après-vente'!$I$2:$I$1000="DONE"))&gt;0,"✓",IF(SUMPRODUCT(MAX(('Agences &amp; Après-vente'!$A$2:$A$1000=$A110)*(('Agences &amp; Après-vente'!$D$2:$D$1000="Agences")+('Agences &amp; Après-vente'!$D$2:$D$1000="Agences et Après-vente"))*'Agences &amp; Après-vente'!$E$2:$E$1000))&gt;0,TEXT(SUMPRODUCT(MAX(('Agences &amp; Après-vente'!$A$2:$A$1000=$A110)*(('Agences &amp; Après-vente'!$D$2:$D$1000="Agences")+('Agences &amp; Après-vente'!$D$2:$D$1000="Agences et Après-vente"))*'Agences &amp; Après-vente'!$E$2:$E$1000)),"yyyy-mm-dd"),""))))))</f>
        <v>✓</v>
      </c>
      <c r="I110" s="131" t="str">
        <f aca="false">IF($S110="✓","✓",IF(ISNUMBER($S110),TEXT($S110,"yyyy-mm-dd"),IF($A110="","",IF(SUMPRODUCT(('Agences &amp; Après-vente'!$A$2:$A$1000=$A110)*(('Agences &amp; Après-vente'!$D$2:$D$1000="Après-vente")+('Agences &amp; Après-vente'!$D$2:$D$1000="Agences et Après-vente"))*('Agences &amp; Après-vente'!$I$2:$I$1000="DONE"))&gt;0,"✓",IF(SUMPRODUCT(MAX(('Agences &amp; Après-vente'!$A$2:$A$1000=$A110)*(('Agences &amp; Après-vente'!$D$2:$D$1000="Après-vente")+('Agences &amp; Après-vente'!$D$2:$D$1000="Agences et Après-vente"))*'Agences &amp; Après-vente'!$E$2:$E$1000))&gt;0,TEXT(SUMPRODUCT(MAX(('Agences &amp; Après-vente'!$A$2:$A$1000=$A110)*(('Agences &amp; Après-vente'!$D$2:$D$1000="Après-vente")+('Agences &amp; Après-vente'!$D$2:$D$1000="Agences et Après-vente"))*'Agences &amp; Après-vente'!$E$2:$E$1000)),"yyyy-mm-dd"),"")))))</f>
        <v>✓</v>
      </c>
      <c r="J110" s="131" t="str">
        <f aca="false">IF($T110="✓","✓",IF(ISNUMBER($T110),TEXT($T110,"yyyy-mm-dd"),IF($A110="","",IF($D110="Lisbonne","",IF(SUMPRODUCT(('Agences &amp; Après-vente'!$A$2:$A$1000=$A110)*(('Agences &amp; Après-vente'!$D$2:$D$1000="Après-vente")+('Agences &amp; Après-vente'!$D$2:$D$1000="Agences et Après-vente"))*('Agences &amp; Après-vente'!$I$2:$I$1000="DONE"))&gt;0,"✓",IF(SUMPRODUCT(MAX(('Agences &amp; Après-vente'!$A$2:$A$1000=$A110)*(('Agences &amp; Après-vente'!$D$2:$D$1000="Après-vente")+('Agences &amp; Après-vente'!$D$2:$D$1000="Agences et Après-vente"))*'Agences &amp; Après-vente'!$E$2:$E$1000))&gt;0,TEXT(SUMPRODUCT(MAX(('Agences &amp; Après-vente'!$A$2:$A$1000=$A110)*(('Agences &amp; Après-vente'!$D$2:$D$1000="Après-vente")+('Agences &amp; Après-vente'!$D$2:$D$1000="Agences et Après-vente"))*'Agences &amp; Après-vente'!$E$2:$E$1000)),"yyyy-mm-dd"),""))))))</f>
        <v>✓</v>
      </c>
      <c r="K110" s="131" t="str">
        <f aca="false">IF($U110="✓","✓",IF(ISNUMBER($U110),TEXT($U110,"yyyy-mm-dd"),IF($D110="Lisbonne","",IF($A110="","",IF(SUMPRODUCT((Evermont!$A$2:$A$1000=$A110)*(Evermont!$Q$2:$Q$1000="Terminé"))&gt;0,"✓",IF(SUMPRODUCT(MAX((Evermont!$A$2:$A$1000=$A110)*Evermont!$F$2:$F$1000))&gt;0,TEXT(SUMPRODUCT(MAX((Evermont!$A$2:$A$1000=$A110)*Evermont!$F$2:$F$1000)),"yyyy-mm-dd"),""))))))</f>
        <v>✓</v>
      </c>
      <c r="L110" s="132" t="n">
        <f aca="false">IF($A110="","",COUNTIF(E110:K110,"✓"))</f>
        <v>7</v>
      </c>
      <c r="M110" s="133" t="s">
        <v>196</v>
      </c>
      <c r="O110" s="134" t="s">
        <v>173</v>
      </c>
      <c r="P110" s="134" t="s">
        <v>173</v>
      </c>
      <c r="Q110" s="134"/>
      <c r="R110" s="134"/>
      <c r="S110" s="134"/>
      <c r="T110" s="134"/>
      <c r="U110" s="134" t="s">
        <v>173</v>
      </c>
      <c r="W110" s="135" t="str">
        <f aca="false">IF($A110="","",IF($X110&lt;&gt;"",$X110,IFERROR(INDEX('Formation Initiale'!$B$2:$B$999,MATCH($A110,'Formation Initiale'!$A$2:$A$999,0)),"Général")))</f>
        <v>Général</v>
      </c>
      <c r="X110" s="136"/>
    </row>
    <row r="111" customFormat="false" ht="18" hidden="true" customHeight="true" outlineLevel="0" collapsed="false">
      <c r="A111" s="127" t="s">
        <v>494</v>
      </c>
      <c r="B111" s="128" t="s">
        <v>495</v>
      </c>
      <c r="C111" s="128" t="s">
        <v>496</v>
      </c>
      <c r="D111" s="129" t="s">
        <v>171</v>
      </c>
      <c r="E111" s="130" t="str">
        <f aca="false">IF($O111="✓","✓",IF(ISNUMBER($O111),TEXT($O111,"yyyy-mm-dd"),IF($A111="","",IF(SUMPRODUCT(('Formation Initiale'!$A$2:$A$999=$A111)*('Formation Initiale'!$R$2:$R$999="Terminé"))&gt;0,"✓",IF(SUMPRODUCT(MAX(('Formation Initiale'!$A$2:$A$999=$A111)*'Formation Initiale'!$G$2:$G$999))&gt;0,TEXT(SUMPRODUCT(MAX(('Formation Initiale'!$A$2:$A$999=$A111)*'Formation Initiale'!$G$2:$G$999)),"yyyy-mm-dd"),"")))))</f>
        <v>✓</v>
      </c>
      <c r="F111" s="131" t="str">
        <f aca="false">IF($P111="✓","✓",IF(ISNUMBER($P111),TEXT($P111,"yyyy-mm-dd"),IF($A111="","",IF($D111="Lisbonne","",IF(SUMPRODUCT(('Formation Initiale'!$A$2:$A$999=$A111)*('Formation Initiale'!$R$2:$R$999="Terminé"))&gt;0,"✓",IF(SUMPRODUCT(MAX(('Formation Initiale'!$A$2:$A$999=$A111)*'Formation Initiale'!$G$2:$G$999))&gt;0,TEXT(SUMPRODUCT(MAX(('Formation Initiale'!$A$2:$A$999=$A111)*'Formation Initiale'!$G$2:$G$999)),"yyyy-mm-dd"),""))))))</f>
        <v>✓</v>
      </c>
      <c r="G111" s="131" t="str">
        <f aca="false">IF($Q111="✓","✓",IF(ISNUMBER($Q111),TEXT($Q111,"yyyy-mm-dd"),IF($A111="","",IF(SUMPRODUCT(('Agences &amp; Après-vente'!$A$2:$A$1000=$A111)*(('Agences &amp; Après-vente'!$D$2:$D$1000="Agences")+('Agences &amp; Après-vente'!$D$2:$D$1000="Agences et Après-vente"))*('Agences &amp; Après-vente'!$I$2:$I$1000="DONE"))&gt;0,"✓",IF(SUMPRODUCT(MAX(('Agences &amp; Après-vente'!$A$2:$A$1000=$A111)*(('Agences &amp; Après-vente'!$D$2:$D$1000="Agences")+('Agences &amp; Après-vente'!$D$2:$D$1000="Agences et Après-vente"))*'Agences &amp; Après-vente'!$E$2:$E$1000))&gt;0,TEXT(SUMPRODUCT(MAX(('Agences &amp; Après-vente'!$A$2:$A$1000=$A111)*(('Agences &amp; Après-vente'!$D$2:$D$1000="Agences")+('Agences &amp; Après-vente'!$D$2:$D$1000="Agences et Après-vente"))*'Agences &amp; Après-vente'!$E$2:$E$1000)),"yyyy-mm-dd"),"")))))</f>
        <v>✓</v>
      </c>
      <c r="H111" s="131" t="str">
        <f aca="false">IF($R111="✓","✓",IF(ISNUMBER($R111),TEXT($R111,"yyyy-mm-dd"),IF($A111="","",IF($D111="Lisbonne","",IF(SUMPRODUCT(('Agences &amp; Après-vente'!$A$2:$A$1000=$A111)*(('Agences &amp; Après-vente'!$D$2:$D$1000="Agences")+('Agences &amp; Après-vente'!$D$2:$D$1000="Agences et Après-vente"))*('Agences &amp; Après-vente'!$I$2:$I$1000="DONE"))&gt;0,"✓",IF(SUMPRODUCT(MAX(('Agences &amp; Après-vente'!$A$2:$A$1000=$A111)*(('Agences &amp; Après-vente'!$D$2:$D$1000="Agences")+('Agences &amp; Après-vente'!$D$2:$D$1000="Agences et Après-vente"))*'Agences &amp; Après-vente'!$E$2:$E$1000))&gt;0,TEXT(SUMPRODUCT(MAX(('Agences &amp; Après-vente'!$A$2:$A$1000=$A111)*(('Agences &amp; Après-vente'!$D$2:$D$1000="Agences")+('Agences &amp; Après-vente'!$D$2:$D$1000="Agences et Après-vente"))*'Agences &amp; Après-vente'!$E$2:$E$1000)),"yyyy-mm-dd"),""))))))</f>
        <v>✓</v>
      </c>
      <c r="I111" s="131" t="str">
        <f aca="false">IF($S111="✓","✓",IF(ISNUMBER($S111),TEXT($S111,"yyyy-mm-dd"),IF($A111="","",IF(SUMPRODUCT(('Agences &amp; Après-vente'!$A$2:$A$1000=$A111)*(('Agences &amp; Après-vente'!$D$2:$D$1000="Après-vente")+('Agences &amp; Après-vente'!$D$2:$D$1000="Agences et Après-vente"))*('Agences &amp; Après-vente'!$I$2:$I$1000="DONE"))&gt;0,"✓",IF(SUMPRODUCT(MAX(('Agences &amp; Après-vente'!$A$2:$A$1000=$A111)*(('Agences &amp; Après-vente'!$D$2:$D$1000="Après-vente")+('Agences &amp; Après-vente'!$D$2:$D$1000="Agences et Après-vente"))*'Agences &amp; Après-vente'!$E$2:$E$1000))&gt;0,TEXT(SUMPRODUCT(MAX(('Agences &amp; Après-vente'!$A$2:$A$1000=$A111)*(('Agences &amp; Après-vente'!$D$2:$D$1000="Après-vente")+('Agences &amp; Après-vente'!$D$2:$D$1000="Agences et Après-vente"))*'Agences &amp; Après-vente'!$E$2:$E$1000)),"yyyy-mm-dd"),"")))))</f>
        <v>✓</v>
      </c>
      <c r="J111" s="131" t="str">
        <f aca="false">IF($T111="✓","✓",IF(ISNUMBER($T111),TEXT($T111,"yyyy-mm-dd"),IF($A111="","",IF($D111="Lisbonne","",IF(SUMPRODUCT(('Agences &amp; Après-vente'!$A$2:$A$1000=$A111)*(('Agences &amp; Après-vente'!$D$2:$D$1000="Après-vente")+('Agences &amp; Après-vente'!$D$2:$D$1000="Agences et Après-vente"))*('Agences &amp; Après-vente'!$I$2:$I$1000="DONE"))&gt;0,"✓",IF(SUMPRODUCT(MAX(('Agences &amp; Après-vente'!$A$2:$A$1000=$A111)*(('Agences &amp; Après-vente'!$D$2:$D$1000="Après-vente")+('Agences &amp; Après-vente'!$D$2:$D$1000="Agences et Après-vente"))*'Agences &amp; Après-vente'!$E$2:$E$1000))&gt;0,TEXT(SUMPRODUCT(MAX(('Agences &amp; Après-vente'!$A$2:$A$1000=$A111)*(('Agences &amp; Après-vente'!$D$2:$D$1000="Après-vente")+('Agences &amp; Après-vente'!$D$2:$D$1000="Agences et Après-vente"))*'Agences &amp; Après-vente'!$E$2:$E$1000)),"yyyy-mm-dd"),""))))))</f>
        <v>✓</v>
      </c>
      <c r="K111" s="131" t="str">
        <f aca="false">IF($U111="✓","✓",IF(ISNUMBER($U111),TEXT($U111,"yyyy-mm-dd"),IF($D111="Lisbonne","",IF($A111="","",IF(SUMPRODUCT((Evermont!$A$2:$A$1000=$A111)*(Evermont!$Q$2:$Q$1000="Terminé"))&gt;0,"✓",IF(SUMPRODUCT(MAX((Evermont!$A$2:$A$1000=$A111)*Evermont!$F$2:$F$1000))&gt;0,TEXT(SUMPRODUCT(MAX((Evermont!$A$2:$A$1000=$A111)*Evermont!$F$2:$F$1000)),"yyyy-mm-dd"),""))))))</f>
        <v>✓</v>
      </c>
      <c r="L111" s="132" t="n">
        <f aca="false">IF($A111="","",COUNTIF(E111:K111,"✓"))</f>
        <v>7</v>
      </c>
      <c r="M111" s="133" t="s">
        <v>172</v>
      </c>
      <c r="O111" s="134" t="s">
        <v>173</v>
      </c>
      <c r="P111" s="134" t="s">
        <v>173</v>
      </c>
      <c r="Q111" s="134"/>
      <c r="R111" s="134"/>
      <c r="S111" s="134"/>
      <c r="T111" s="134"/>
      <c r="U111" s="134"/>
      <c r="W111" s="135" t="str">
        <f aca="false">IF($A111="","",IF($X111&lt;&gt;"",$X111,IFERROR(INDEX('Formation Initiale'!$B$2:$B$999,MATCH($A111,'Formation Initiale'!$A$2:$A$999,0)),"Général")))</f>
        <v>174</v>
      </c>
      <c r="X111" s="136"/>
    </row>
    <row r="112" customFormat="false" ht="18" hidden="true" customHeight="true" outlineLevel="0" collapsed="false">
      <c r="A112" s="127" t="s">
        <v>497</v>
      </c>
      <c r="B112" s="128" t="s">
        <v>498</v>
      </c>
      <c r="C112" s="128" t="s">
        <v>499</v>
      </c>
      <c r="D112" s="129" t="s">
        <v>171</v>
      </c>
      <c r="E112" s="130" t="str">
        <f aca="false">IF($O112="✓","✓",IF(ISNUMBER($O112),TEXT($O112,"yyyy-mm-dd"),IF($A112="","",IF(SUMPRODUCT(('Formation Initiale'!$A$2:$A$999=$A112)*('Formation Initiale'!$R$2:$R$999="Terminé"))&gt;0,"✓",IF(SUMPRODUCT(MAX(('Formation Initiale'!$A$2:$A$999=$A112)*'Formation Initiale'!$G$2:$G$999))&gt;0,TEXT(SUMPRODUCT(MAX(('Formation Initiale'!$A$2:$A$999=$A112)*'Formation Initiale'!$G$2:$G$999)),"yyyy-mm-dd"),"")))))</f>
        <v>✓</v>
      </c>
      <c r="F112" s="131" t="str">
        <f aca="false">IF($P112="✓","✓",IF(ISNUMBER($P112),TEXT($P112,"yyyy-mm-dd"),IF($A112="","",IF($D112="Lisbonne","",IF(SUMPRODUCT(('Formation Initiale'!$A$2:$A$999=$A112)*('Formation Initiale'!$R$2:$R$999="Terminé"))&gt;0,"✓",IF(SUMPRODUCT(MAX(('Formation Initiale'!$A$2:$A$999=$A112)*'Formation Initiale'!$G$2:$G$999))&gt;0,TEXT(SUMPRODUCT(MAX(('Formation Initiale'!$A$2:$A$999=$A112)*'Formation Initiale'!$G$2:$G$999)),"yyyy-mm-dd"),""))))))</f>
        <v>✓</v>
      </c>
      <c r="G112" s="131" t="str">
        <f aca="false">IF($Q112="✓","✓",IF(ISNUMBER($Q112),TEXT($Q112,"yyyy-mm-dd"),IF($A112="","",IF(SUMPRODUCT(('Agences &amp; Après-vente'!$A$2:$A$1000=$A112)*(('Agences &amp; Après-vente'!$D$2:$D$1000="Agences")+('Agences &amp; Après-vente'!$D$2:$D$1000="Agences et Après-vente"))*('Agences &amp; Après-vente'!$I$2:$I$1000="DONE"))&gt;0,"✓",IF(SUMPRODUCT(MAX(('Agences &amp; Après-vente'!$A$2:$A$1000=$A112)*(('Agences &amp; Après-vente'!$D$2:$D$1000="Agences")+('Agences &amp; Après-vente'!$D$2:$D$1000="Agences et Après-vente"))*'Agences &amp; Après-vente'!$E$2:$E$1000))&gt;0,TEXT(SUMPRODUCT(MAX(('Agences &amp; Après-vente'!$A$2:$A$1000=$A112)*(('Agences &amp; Après-vente'!$D$2:$D$1000="Agences")+('Agences &amp; Après-vente'!$D$2:$D$1000="Agences et Après-vente"))*'Agences &amp; Après-vente'!$E$2:$E$1000)),"yyyy-mm-dd"),"")))))</f>
        <v>✓</v>
      </c>
      <c r="H112" s="131" t="str">
        <f aca="false">IF($R112="✓","✓",IF(ISNUMBER($R112),TEXT($R112,"yyyy-mm-dd"),IF($A112="","",IF($D112="Lisbonne","",IF(SUMPRODUCT(('Agences &amp; Après-vente'!$A$2:$A$1000=$A112)*(('Agences &amp; Après-vente'!$D$2:$D$1000="Agences")+('Agences &amp; Après-vente'!$D$2:$D$1000="Agences et Après-vente"))*('Agences &amp; Après-vente'!$I$2:$I$1000="DONE"))&gt;0,"✓",IF(SUMPRODUCT(MAX(('Agences &amp; Après-vente'!$A$2:$A$1000=$A112)*(('Agences &amp; Après-vente'!$D$2:$D$1000="Agences")+('Agences &amp; Après-vente'!$D$2:$D$1000="Agences et Après-vente"))*'Agences &amp; Après-vente'!$E$2:$E$1000))&gt;0,TEXT(SUMPRODUCT(MAX(('Agences &amp; Après-vente'!$A$2:$A$1000=$A112)*(('Agences &amp; Après-vente'!$D$2:$D$1000="Agences")+('Agences &amp; Après-vente'!$D$2:$D$1000="Agences et Après-vente"))*'Agences &amp; Après-vente'!$E$2:$E$1000)),"yyyy-mm-dd"),""))))))</f>
        <v>✓</v>
      </c>
      <c r="I112" s="131" t="str">
        <f aca="false">IF($S112="✓","✓",IF(ISNUMBER($S112),TEXT($S112,"yyyy-mm-dd"),IF($A112="","",IF(SUMPRODUCT(('Agences &amp; Après-vente'!$A$2:$A$1000=$A112)*(('Agences &amp; Après-vente'!$D$2:$D$1000="Après-vente")+('Agences &amp; Après-vente'!$D$2:$D$1000="Agences et Après-vente"))*('Agences &amp; Après-vente'!$I$2:$I$1000="DONE"))&gt;0,"✓",IF(SUMPRODUCT(MAX(('Agences &amp; Après-vente'!$A$2:$A$1000=$A112)*(('Agences &amp; Après-vente'!$D$2:$D$1000="Après-vente")+('Agences &amp; Après-vente'!$D$2:$D$1000="Agences et Après-vente"))*'Agences &amp; Après-vente'!$E$2:$E$1000))&gt;0,TEXT(SUMPRODUCT(MAX(('Agences &amp; Après-vente'!$A$2:$A$1000=$A112)*(('Agences &amp; Après-vente'!$D$2:$D$1000="Après-vente")+('Agences &amp; Après-vente'!$D$2:$D$1000="Agences et Après-vente"))*'Agences &amp; Après-vente'!$E$2:$E$1000)),"yyyy-mm-dd"),"")))))</f>
        <v>✓</v>
      </c>
      <c r="J112" s="131" t="str">
        <f aca="false">IF($T112="✓","✓",IF(ISNUMBER($T112),TEXT($T112,"yyyy-mm-dd"),IF($A112="","",IF($D112="Lisbonne","",IF(SUMPRODUCT(('Agences &amp; Après-vente'!$A$2:$A$1000=$A112)*(('Agences &amp; Après-vente'!$D$2:$D$1000="Après-vente")+('Agences &amp; Après-vente'!$D$2:$D$1000="Agences et Après-vente"))*('Agences &amp; Après-vente'!$I$2:$I$1000="DONE"))&gt;0,"✓",IF(SUMPRODUCT(MAX(('Agences &amp; Après-vente'!$A$2:$A$1000=$A112)*(('Agences &amp; Après-vente'!$D$2:$D$1000="Après-vente")+('Agences &amp; Après-vente'!$D$2:$D$1000="Agences et Après-vente"))*'Agences &amp; Après-vente'!$E$2:$E$1000))&gt;0,TEXT(SUMPRODUCT(MAX(('Agences &amp; Après-vente'!$A$2:$A$1000=$A112)*(('Agences &amp; Après-vente'!$D$2:$D$1000="Après-vente")+('Agences &amp; Après-vente'!$D$2:$D$1000="Agences et Après-vente"))*'Agences &amp; Après-vente'!$E$2:$E$1000)),"yyyy-mm-dd"),""))))))</f>
        <v>✓</v>
      </c>
      <c r="K112" s="131" t="str">
        <f aca="false">IF($U112="✓","✓",IF(ISNUMBER($U112),TEXT($U112,"yyyy-mm-dd"),IF($D112="Lisbonne","",IF($A112="","",IF(SUMPRODUCT((Evermont!$A$2:$A$1000=$A112)*(Evermont!$Q$2:$Q$1000="Terminé"))&gt;0,"✓",IF(SUMPRODUCT(MAX((Evermont!$A$2:$A$1000=$A112)*Evermont!$F$2:$F$1000))&gt;0,TEXT(SUMPRODUCT(MAX((Evermont!$A$2:$A$1000=$A112)*Evermont!$F$2:$F$1000)),"yyyy-mm-dd"),""))))))</f>
        <v/>
      </c>
      <c r="L112" s="132" t="n">
        <f aca="false">IF($A112="","",COUNTIF(E112:K112,"✓"))</f>
        <v>6</v>
      </c>
      <c r="M112" s="133" t="s">
        <v>172</v>
      </c>
      <c r="O112" s="134" t="s">
        <v>173</v>
      </c>
      <c r="P112" s="134" t="s">
        <v>173</v>
      </c>
      <c r="Q112" s="134"/>
      <c r="R112" s="134"/>
      <c r="S112" s="134"/>
      <c r="T112" s="134"/>
      <c r="U112" s="134"/>
      <c r="W112" s="135" t="str">
        <f aca="false">IF($A112="","",IF($X112&lt;&gt;"",$X112,IFERROR(INDEX('Formation Initiale'!$B$2:$B$999,MATCH($A112,'Formation Initiale'!$A$2:$A$999,0)),"Général")))</f>
        <v>Général</v>
      </c>
      <c r="X112" s="136"/>
    </row>
    <row r="113" customFormat="false" ht="18" hidden="true" customHeight="true" outlineLevel="0" collapsed="false">
      <c r="A113" s="137" t="s">
        <v>500</v>
      </c>
      <c r="B113" s="128" t="s">
        <v>501</v>
      </c>
      <c r="C113" s="128" t="s">
        <v>502</v>
      </c>
      <c r="D113" s="129" t="s">
        <v>186</v>
      </c>
      <c r="E113" s="130" t="str">
        <f aca="false">IF($O113="✓","✓",IF(ISNUMBER($O113),TEXT($O113,"yyyy-mm-dd"),IF($A113="","",IF(SUMPRODUCT(('Formation Initiale'!$A$2:$A$999=$A113)*('Formation Initiale'!$R$2:$R$999="Terminé"))&gt;0,"✓",IF(SUMPRODUCT(MAX(('Formation Initiale'!$A$2:$A$999=$A113)*'Formation Initiale'!$G$2:$G$999))&gt;0,TEXT(SUMPRODUCT(MAX(('Formation Initiale'!$A$2:$A$999=$A113)*'Formation Initiale'!$G$2:$G$999)),"yyyy-mm-dd"),"")))))</f>
        <v>✓</v>
      </c>
      <c r="F113" s="131" t="str">
        <f aca="false">IF($P113="✓","✓",IF(ISNUMBER($P113),TEXT($P113,"yyyy-mm-dd"),IF($A113="","",IF($D113="Lisbonne","",IF(SUMPRODUCT(('Formation Initiale'!$A$2:$A$999=$A113)*('Formation Initiale'!$R$2:$R$999="Terminé"))&gt;0,"✓",IF(SUMPRODUCT(MAX(('Formation Initiale'!$A$2:$A$999=$A113)*'Formation Initiale'!$G$2:$G$999))&gt;0,TEXT(SUMPRODUCT(MAX(('Formation Initiale'!$A$2:$A$999=$A113)*'Formation Initiale'!$G$2:$G$999)),"yyyy-mm-dd"),""))))))</f>
        <v/>
      </c>
      <c r="G113" s="131" t="str">
        <f aca="false">IF($Q113="✓","✓",IF(ISNUMBER($Q113),TEXT($Q113,"yyyy-mm-dd"),IF($A113="","",IF(SUMPRODUCT(('Agences &amp; Après-vente'!$A$2:$A$1000=$A113)*(('Agences &amp; Après-vente'!$D$2:$D$1000="Agences")+('Agences &amp; Après-vente'!$D$2:$D$1000="Agences et Après-vente"))*('Agences &amp; Après-vente'!$I$2:$I$1000="DONE"))&gt;0,"✓",IF(SUMPRODUCT(MAX(('Agences &amp; Après-vente'!$A$2:$A$1000=$A113)*(('Agences &amp; Après-vente'!$D$2:$D$1000="Agences")+('Agences &amp; Après-vente'!$D$2:$D$1000="Agences et Après-vente"))*'Agences &amp; Après-vente'!$E$2:$E$1000))&gt;0,TEXT(SUMPRODUCT(MAX(('Agences &amp; Après-vente'!$A$2:$A$1000=$A113)*(('Agences &amp; Après-vente'!$D$2:$D$1000="Agences")+('Agences &amp; Après-vente'!$D$2:$D$1000="Agences et Après-vente"))*'Agences &amp; Après-vente'!$E$2:$E$1000)),"yyyy-mm-dd"),"")))))</f>
        <v>✓</v>
      </c>
      <c r="H113" s="131" t="str">
        <f aca="false">IF($R113="✓","✓",IF(ISNUMBER($R113),TEXT($R113,"yyyy-mm-dd"),IF($A113="","",IF($D113="Lisbonne","",IF(SUMPRODUCT(('Agences &amp; Après-vente'!$A$2:$A$1000=$A113)*(('Agences &amp; Après-vente'!$D$2:$D$1000="Agences")+('Agences &amp; Après-vente'!$D$2:$D$1000="Agences et Après-vente"))*('Agences &amp; Après-vente'!$I$2:$I$1000="DONE"))&gt;0,"✓",IF(SUMPRODUCT(MAX(('Agences &amp; Après-vente'!$A$2:$A$1000=$A113)*(('Agences &amp; Après-vente'!$D$2:$D$1000="Agences")+('Agences &amp; Après-vente'!$D$2:$D$1000="Agences et Après-vente"))*'Agences &amp; Après-vente'!$E$2:$E$1000))&gt;0,TEXT(SUMPRODUCT(MAX(('Agences &amp; Après-vente'!$A$2:$A$1000=$A113)*(('Agences &amp; Après-vente'!$D$2:$D$1000="Agences")+('Agences &amp; Après-vente'!$D$2:$D$1000="Agences et Après-vente"))*'Agences &amp; Après-vente'!$E$2:$E$1000)),"yyyy-mm-dd"),""))))))</f>
        <v/>
      </c>
      <c r="I113" s="131" t="str">
        <f aca="false">IF($S113="✓","✓",IF(ISNUMBER($S113),TEXT($S113,"yyyy-mm-dd"),IF($A113="","",IF(SUMPRODUCT(('Agences &amp; Après-vente'!$A$2:$A$1000=$A113)*(('Agences &amp; Après-vente'!$D$2:$D$1000="Après-vente")+('Agences &amp; Après-vente'!$D$2:$D$1000="Agences et Après-vente"))*('Agences &amp; Après-vente'!$I$2:$I$1000="DONE"))&gt;0,"✓",IF(SUMPRODUCT(MAX(('Agences &amp; Après-vente'!$A$2:$A$1000=$A113)*(('Agences &amp; Après-vente'!$D$2:$D$1000="Après-vente")+('Agences &amp; Après-vente'!$D$2:$D$1000="Agences et Après-vente"))*'Agences &amp; Après-vente'!$E$2:$E$1000))&gt;0,TEXT(SUMPRODUCT(MAX(('Agences &amp; Après-vente'!$A$2:$A$1000=$A113)*(('Agences &amp; Après-vente'!$D$2:$D$1000="Après-vente")+('Agences &amp; Après-vente'!$D$2:$D$1000="Agences et Après-vente"))*'Agences &amp; Après-vente'!$E$2:$E$1000)),"yyyy-mm-dd"),"")))))</f>
        <v>✓</v>
      </c>
      <c r="J113" s="131" t="str">
        <f aca="false">IF($T113="✓","✓",IF(ISNUMBER($T113),TEXT($T113,"yyyy-mm-dd"),IF($A113="","",IF($D113="Lisbonne","",IF(SUMPRODUCT(('Agences &amp; Après-vente'!$A$2:$A$1000=$A113)*(('Agences &amp; Après-vente'!$D$2:$D$1000="Après-vente")+('Agences &amp; Après-vente'!$D$2:$D$1000="Agences et Après-vente"))*('Agences &amp; Après-vente'!$I$2:$I$1000="DONE"))&gt;0,"✓",IF(SUMPRODUCT(MAX(('Agences &amp; Après-vente'!$A$2:$A$1000=$A113)*(('Agences &amp; Après-vente'!$D$2:$D$1000="Après-vente")+('Agences &amp; Après-vente'!$D$2:$D$1000="Agences et Après-vente"))*'Agences &amp; Après-vente'!$E$2:$E$1000))&gt;0,TEXT(SUMPRODUCT(MAX(('Agences &amp; Après-vente'!$A$2:$A$1000=$A113)*(('Agences &amp; Après-vente'!$D$2:$D$1000="Après-vente")+('Agences &amp; Après-vente'!$D$2:$D$1000="Agences et Après-vente"))*'Agences &amp; Après-vente'!$E$2:$E$1000)),"yyyy-mm-dd"),""))))))</f>
        <v/>
      </c>
      <c r="K113" s="131" t="str">
        <f aca="false">IF($U113="✓","✓",IF(ISNUMBER($U113),TEXT($U113,"yyyy-mm-dd"),IF($D113="Lisbonne","",IF($A113="","",IF(SUMPRODUCT((Evermont!$A$2:$A$1000=$A113)*(Evermont!$Q$2:$Q$1000="Terminé"))&gt;0,"✓",IF(SUMPRODUCT(MAX((Evermont!$A$2:$A$1000=$A113)*Evermont!$F$2:$F$1000))&gt;0,TEXT(SUMPRODUCT(MAX((Evermont!$A$2:$A$1000=$A113)*Evermont!$F$2:$F$1000)),"yyyy-mm-dd"),""))))))</f>
        <v/>
      </c>
      <c r="L113" s="132" t="n">
        <f aca="false">IF($A113="","",COUNTIF(E113:K113,"✓"))</f>
        <v>3</v>
      </c>
      <c r="M113" s="133" t="s">
        <v>172</v>
      </c>
      <c r="O113" s="134" t="s">
        <v>173</v>
      </c>
      <c r="P113" s="134"/>
      <c r="Q113" s="134" t="s">
        <v>173</v>
      </c>
      <c r="R113" s="134"/>
      <c r="S113" s="134"/>
      <c r="T113" s="134"/>
      <c r="U113" s="134"/>
      <c r="W113" s="135" t="str">
        <f aca="false">IF($A113="","",IF($X113&lt;&gt;"",$X113,IFERROR(INDEX('Formation Initiale'!$B$2:$B$999,MATCH($A113,'Formation Initiale'!$A$2:$A$999,0)),"Général")))</f>
        <v>OS5</v>
      </c>
      <c r="X113" s="136"/>
    </row>
    <row r="114" customFormat="false" ht="18" hidden="true" customHeight="true" outlineLevel="0" collapsed="false">
      <c r="A114" s="127" t="s">
        <v>503</v>
      </c>
      <c r="B114" s="128" t="s">
        <v>504</v>
      </c>
      <c r="C114" s="128" t="s">
        <v>505</v>
      </c>
      <c r="D114" s="129" t="s">
        <v>171</v>
      </c>
      <c r="E114" s="130" t="str">
        <f aca="false">IF($O114="✓","✓",IF(ISNUMBER($O114),TEXT($O114,"yyyy-mm-dd"),IF($A114="","",IF(SUMPRODUCT(('Formation Initiale'!$A$2:$A$999=$A114)*('Formation Initiale'!$R$2:$R$999="Terminé"))&gt;0,"✓",IF(SUMPRODUCT(MAX(('Formation Initiale'!$A$2:$A$999=$A114)*'Formation Initiale'!$G$2:$G$999))&gt;0,TEXT(SUMPRODUCT(MAX(('Formation Initiale'!$A$2:$A$999=$A114)*'Formation Initiale'!$G$2:$G$999)),"yyyy-mm-dd"),"")))))</f>
        <v>✓</v>
      </c>
      <c r="F114" s="131" t="str">
        <f aca="false">IF($P114="✓","✓",IF(ISNUMBER($P114),TEXT($P114,"yyyy-mm-dd"),IF($A114="","",IF($D114="Lisbonne","",IF(SUMPRODUCT(('Formation Initiale'!$A$2:$A$999=$A114)*('Formation Initiale'!$R$2:$R$999="Terminé"))&gt;0,"✓",IF(SUMPRODUCT(MAX(('Formation Initiale'!$A$2:$A$999=$A114)*'Formation Initiale'!$G$2:$G$999))&gt;0,TEXT(SUMPRODUCT(MAX(('Formation Initiale'!$A$2:$A$999=$A114)*'Formation Initiale'!$G$2:$G$999)),"yyyy-mm-dd"),""))))))</f>
        <v>✓</v>
      </c>
      <c r="G114" s="131" t="str">
        <f aca="false">IF($Q114="✓","✓",IF(ISNUMBER($Q114),TEXT($Q114,"yyyy-mm-dd"),IF($A114="","",IF(SUMPRODUCT(('Agences &amp; Après-vente'!$A$2:$A$1000=$A114)*(('Agences &amp; Après-vente'!$D$2:$D$1000="Agences")+('Agences &amp; Après-vente'!$D$2:$D$1000="Agences et Après-vente"))*('Agences &amp; Après-vente'!$I$2:$I$1000="DONE"))&gt;0,"✓",IF(SUMPRODUCT(MAX(('Agences &amp; Après-vente'!$A$2:$A$1000=$A114)*(('Agences &amp; Après-vente'!$D$2:$D$1000="Agences")+('Agences &amp; Après-vente'!$D$2:$D$1000="Agences et Après-vente"))*'Agences &amp; Après-vente'!$E$2:$E$1000))&gt;0,TEXT(SUMPRODUCT(MAX(('Agences &amp; Après-vente'!$A$2:$A$1000=$A114)*(('Agences &amp; Après-vente'!$D$2:$D$1000="Agences")+('Agences &amp; Après-vente'!$D$2:$D$1000="Agences et Après-vente"))*'Agences &amp; Après-vente'!$E$2:$E$1000)),"yyyy-mm-dd"),"")))))</f>
        <v>✓</v>
      </c>
      <c r="H114" s="131" t="str">
        <f aca="false">IF($R114="✓","✓",IF(ISNUMBER($R114),TEXT($R114,"yyyy-mm-dd"),IF($A114="","",IF($D114="Lisbonne","",IF(SUMPRODUCT(('Agences &amp; Après-vente'!$A$2:$A$1000=$A114)*(('Agences &amp; Après-vente'!$D$2:$D$1000="Agences")+('Agences &amp; Après-vente'!$D$2:$D$1000="Agences et Après-vente"))*('Agences &amp; Après-vente'!$I$2:$I$1000="DONE"))&gt;0,"✓",IF(SUMPRODUCT(MAX(('Agences &amp; Après-vente'!$A$2:$A$1000=$A114)*(('Agences &amp; Après-vente'!$D$2:$D$1000="Agences")+('Agences &amp; Après-vente'!$D$2:$D$1000="Agences et Après-vente"))*'Agences &amp; Après-vente'!$E$2:$E$1000))&gt;0,TEXT(SUMPRODUCT(MAX(('Agences &amp; Après-vente'!$A$2:$A$1000=$A114)*(('Agences &amp; Après-vente'!$D$2:$D$1000="Agences")+('Agences &amp; Après-vente'!$D$2:$D$1000="Agences et Après-vente"))*'Agences &amp; Après-vente'!$E$2:$E$1000)),"yyyy-mm-dd"),""))))))</f>
        <v>✓</v>
      </c>
      <c r="I114" s="131" t="str">
        <f aca="false">IF($S114="✓","✓",IF(ISNUMBER($S114),TEXT($S114,"yyyy-mm-dd"),IF($A114="","",IF(SUMPRODUCT(('Agences &amp; Après-vente'!$A$2:$A$1000=$A114)*(('Agences &amp; Après-vente'!$D$2:$D$1000="Après-vente")+('Agences &amp; Après-vente'!$D$2:$D$1000="Agences et Après-vente"))*('Agences &amp; Après-vente'!$I$2:$I$1000="DONE"))&gt;0,"✓",IF(SUMPRODUCT(MAX(('Agences &amp; Après-vente'!$A$2:$A$1000=$A114)*(('Agences &amp; Après-vente'!$D$2:$D$1000="Après-vente")+('Agences &amp; Après-vente'!$D$2:$D$1000="Agences et Après-vente"))*'Agences &amp; Après-vente'!$E$2:$E$1000))&gt;0,TEXT(SUMPRODUCT(MAX(('Agences &amp; Après-vente'!$A$2:$A$1000=$A114)*(('Agences &amp; Après-vente'!$D$2:$D$1000="Après-vente")+('Agences &amp; Après-vente'!$D$2:$D$1000="Agences et Après-vente"))*'Agences &amp; Après-vente'!$E$2:$E$1000)),"yyyy-mm-dd"),"")))))</f>
        <v>✓</v>
      </c>
      <c r="J114" s="131" t="str">
        <f aca="false">IF($T114="✓","✓",IF(ISNUMBER($T114),TEXT($T114,"yyyy-mm-dd"),IF($A114="","",IF($D114="Lisbonne","",IF(SUMPRODUCT(('Agences &amp; Après-vente'!$A$2:$A$1000=$A114)*(('Agences &amp; Après-vente'!$D$2:$D$1000="Après-vente")+('Agences &amp; Après-vente'!$D$2:$D$1000="Agences et Après-vente"))*('Agences &amp; Après-vente'!$I$2:$I$1000="DONE"))&gt;0,"✓",IF(SUMPRODUCT(MAX(('Agences &amp; Après-vente'!$A$2:$A$1000=$A114)*(('Agences &amp; Après-vente'!$D$2:$D$1000="Après-vente")+('Agences &amp; Après-vente'!$D$2:$D$1000="Agences et Après-vente"))*'Agences &amp; Après-vente'!$E$2:$E$1000))&gt;0,TEXT(SUMPRODUCT(MAX(('Agences &amp; Après-vente'!$A$2:$A$1000=$A114)*(('Agences &amp; Après-vente'!$D$2:$D$1000="Après-vente")+('Agences &amp; Après-vente'!$D$2:$D$1000="Agences et Après-vente"))*'Agences &amp; Après-vente'!$E$2:$E$1000)),"yyyy-mm-dd"),""))))))</f>
        <v>✓</v>
      </c>
      <c r="K114" s="131" t="str">
        <f aca="false">IF($U114="✓","✓",IF(ISNUMBER($U114),TEXT($U114,"yyyy-mm-dd"),IF($D114="Lisbonne","",IF($A114="","",IF(SUMPRODUCT((Evermont!$A$2:$A$1000=$A114)*(Evermont!$Q$2:$Q$1000="Terminé"))&gt;0,"✓",IF(SUMPRODUCT(MAX((Evermont!$A$2:$A$1000=$A114)*Evermont!$F$2:$F$1000))&gt;0,TEXT(SUMPRODUCT(MAX((Evermont!$A$2:$A$1000=$A114)*Evermont!$F$2:$F$1000)),"yyyy-mm-dd"),""))))))</f>
        <v/>
      </c>
      <c r="L114" s="132" t="n">
        <f aca="false">IF($A114="","",COUNTIF(E114:K114,"✓"))</f>
        <v>6</v>
      </c>
      <c r="M114" s="133" t="s">
        <v>172</v>
      </c>
      <c r="O114" s="134" t="s">
        <v>173</v>
      </c>
      <c r="P114" s="134" t="s">
        <v>173</v>
      </c>
      <c r="Q114" s="134"/>
      <c r="R114" s="134"/>
      <c r="S114" s="134"/>
      <c r="T114" s="134"/>
      <c r="U114" s="134"/>
      <c r="W114" s="135" t="str">
        <f aca="false">IF($A114="","",IF($X114&lt;&gt;"",$X114,IFERROR(INDEX('Formation Initiale'!$B$2:$B$999,MATCH($A114,'Formation Initiale'!$A$2:$A$999,0)),"Général")))</f>
        <v>173</v>
      </c>
      <c r="X114" s="136"/>
    </row>
    <row r="115" customFormat="false" ht="18" hidden="true" customHeight="true" outlineLevel="0" collapsed="false">
      <c r="A115" s="138" t="s">
        <v>506</v>
      </c>
      <c r="B115" s="128" t="s">
        <v>507</v>
      </c>
      <c r="C115" s="128" t="s">
        <v>508</v>
      </c>
      <c r="D115" s="129" t="s">
        <v>186</v>
      </c>
      <c r="E115" s="130" t="str">
        <f aca="false">IF($O115="✓","✓",IF(ISNUMBER($O115),TEXT($O115,"yyyy-mm-dd"),IF($A115="","",IF(SUMPRODUCT(('Formation Initiale'!$A$2:$A$999=$A115)*('Formation Initiale'!$R$2:$R$999="Terminé"))&gt;0,"✓",IF(SUMPRODUCT(MAX(('Formation Initiale'!$A$2:$A$999=$A115)*'Formation Initiale'!$G$2:$G$999))&gt;0,TEXT(SUMPRODUCT(MAX(('Formation Initiale'!$A$2:$A$999=$A115)*'Formation Initiale'!$G$2:$G$999)),"yyyy-mm-dd"),"")))))</f>
        <v>✓</v>
      </c>
      <c r="F115" s="131" t="str">
        <f aca="false">IF($P115="✓","✓",IF(ISNUMBER($P115),TEXT($P115,"yyyy-mm-dd"),IF($A115="","",IF($D115="Lisbonne","",IF(SUMPRODUCT(('Formation Initiale'!$A$2:$A$999=$A115)*('Formation Initiale'!$R$2:$R$999="Terminé"))&gt;0,"✓",IF(SUMPRODUCT(MAX(('Formation Initiale'!$A$2:$A$999=$A115)*'Formation Initiale'!$G$2:$G$999))&gt;0,TEXT(SUMPRODUCT(MAX(('Formation Initiale'!$A$2:$A$999=$A115)*'Formation Initiale'!$G$2:$G$999)),"yyyy-mm-dd"),""))))))</f>
        <v/>
      </c>
      <c r="G115" s="131" t="str">
        <f aca="false">IF($Q115="✓","✓",IF(ISNUMBER($Q115),TEXT($Q115,"yyyy-mm-dd"),IF($A115="","",IF(SUMPRODUCT(('Agences &amp; Après-vente'!$A$2:$A$1000=$A115)*(('Agences &amp; Après-vente'!$D$2:$D$1000="Agences")+('Agences &amp; Après-vente'!$D$2:$D$1000="Agences et Après-vente"))*('Agences &amp; Après-vente'!$I$2:$I$1000="DONE"))&gt;0,"✓",IF(SUMPRODUCT(MAX(('Agences &amp; Après-vente'!$A$2:$A$1000=$A115)*(('Agences &amp; Après-vente'!$D$2:$D$1000="Agences")+('Agences &amp; Après-vente'!$D$2:$D$1000="Agences et Après-vente"))*'Agences &amp; Après-vente'!$E$2:$E$1000))&gt;0,TEXT(SUMPRODUCT(MAX(('Agences &amp; Après-vente'!$A$2:$A$1000=$A115)*(('Agences &amp; Après-vente'!$D$2:$D$1000="Agences")+('Agences &amp; Après-vente'!$D$2:$D$1000="Agences et Après-vente"))*'Agences &amp; Après-vente'!$E$2:$E$1000)),"yyyy-mm-dd"),"")))))</f>
        <v/>
      </c>
      <c r="H115" s="131" t="str">
        <f aca="false">IF($R115="✓","✓",IF(ISNUMBER($R115),TEXT($R115,"yyyy-mm-dd"),IF($A115="","",IF($D115="Lisbonne","",IF(SUMPRODUCT(('Agences &amp; Après-vente'!$A$2:$A$1000=$A115)*(('Agences &amp; Après-vente'!$D$2:$D$1000="Agences")+('Agences &amp; Après-vente'!$D$2:$D$1000="Agences et Après-vente"))*('Agences &amp; Après-vente'!$I$2:$I$1000="DONE"))&gt;0,"✓",IF(SUMPRODUCT(MAX(('Agences &amp; Après-vente'!$A$2:$A$1000=$A115)*(('Agences &amp; Après-vente'!$D$2:$D$1000="Agences")+('Agences &amp; Après-vente'!$D$2:$D$1000="Agences et Après-vente"))*'Agences &amp; Après-vente'!$E$2:$E$1000))&gt;0,TEXT(SUMPRODUCT(MAX(('Agences &amp; Après-vente'!$A$2:$A$1000=$A115)*(('Agences &amp; Après-vente'!$D$2:$D$1000="Agences")+('Agences &amp; Après-vente'!$D$2:$D$1000="Agences et Après-vente"))*'Agences &amp; Après-vente'!$E$2:$E$1000)),"yyyy-mm-dd"),""))))))</f>
        <v/>
      </c>
      <c r="I115" s="131" t="str">
        <f aca="false">IF($S115="✓","✓",IF(ISNUMBER($S115),TEXT($S115,"yyyy-mm-dd"),IF($A115="","",IF(SUMPRODUCT(('Agences &amp; Après-vente'!$A$2:$A$1000=$A115)*(('Agences &amp; Après-vente'!$D$2:$D$1000="Après-vente")+('Agences &amp; Après-vente'!$D$2:$D$1000="Agences et Après-vente"))*('Agences &amp; Après-vente'!$I$2:$I$1000="DONE"))&gt;0,"✓",IF(SUMPRODUCT(MAX(('Agences &amp; Après-vente'!$A$2:$A$1000=$A115)*(('Agences &amp; Après-vente'!$D$2:$D$1000="Après-vente")+('Agences &amp; Après-vente'!$D$2:$D$1000="Agences et Après-vente"))*'Agences &amp; Après-vente'!$E$2:$E$1000))&gt;0,TEXT(SUMPRODUCT(MAX(('Agences &amp; Après-vente'!$A$2:$A$1000=$A115)*(('Agences &amp; Après-vente'!$D$2:$D$1000="Après-vente")+('Agences &amp; Après-vente'!$D$2:$D$1000="Agences et Après-vente"))*'Agences &amp; Après-vente'!$E$2:$E$1000)),"yyyy-mm-dd"),"")))))</f>
        <v/>
      </c>
      <c r="J115" s="131" t="str">
        <f aca="false">IF($T115="✓","✓",IF(ISNUMBER($T115),TEXT($T115,"yyyy-mm-dd"),IF($A115="","",IF($D115="Lisbonne","",IF(SUMPRODUCT(('Agences &amp; Après-vente'!$A$2:$A$1000=$A115)*(('Agences &amp; Après-vente'!$D$2:$D$1000="Après-vente")+('Agences &amp; Après-vente'!$D$2:$D$1000="Agences et Après-vente"))*('Agences &amp; Après-vente'!$I$2:$I$1000="DONE"))&gt;0,"✓",IF(SUMPRODUCT(MAX(('Agences &amp; Après-vente'!$A$2:$A$1000=$A115)*(('Agences &amp; Après-vente'!$D$2:$D$1000="Après-vente")+('Agences &amp; Après-vente'!$D$2:$D$1000="Agences et Après-vente"))*'Agences &amp; Après-vente'!$E$2:$E$1000))&gt;0,TEXT(SUMPRODUCT(MAX(('Agences &amp; Après-vente'!$A$2:$A$1000=$A115)*(('Agences &amp; Après-vente'!$D$2:$D$1000="Après-vente")+('Agences &amp; Après-vente'!$D$2:$D$1000="Agences et Après-vente"))*'Agences &amp; Après-vente'!$E$2:$E$1000)),"yyyy-mm-dd"),""))))))</f>
        <v/>
      </c>
      <c r="K115" s="131" t="str">
        <f aca="false">IF($U115="✓","✓",IF(ISNUMBER($U115),TEXT($U115,"yyyy-mm-dd"),IF($D115="Lisbonne","",IF($A115="","",IF(SUMPRODUCT((Evermont!$A$2:$A$1000=$A115)*(Evermont!$Q$2:$Q$1000="Terminé"))&gt;0,"✓",IF(SUMPRODUCT(MAX((Evermont!$A$2:$A$1000=$A115)*Evermont!$F$2:$F$1000))&gt;0,TEXT(SUMPRODUCT(MAX((Evermont!$A$2:$A$1000=$A115)*Evermont!$F$2:$F$1000)),"yyyy-mm-dd"),""))))))</f>
        <v/>
      </c>
      <c r="L115" s="132" t="n">
        <f aca="false">IF($A115="","",COUNTIF(E115:K115,"✓"))</f>
        <v>1</v>
      </c>
      <c r="M115" s="133" t="s">
        <v>196</v>
      </c>
      <c r="O115" s="134"/>
      <c r="P115" s="134"/>
      <c r="Q115" s="134"/>
      <c r="R115" s="134"/>
      <c r="S115" s="134"/>
      <c r="T115" s="134"/>
      <c r="U115" s="134"/>
      <c r="W115" s="135" t="str">
        <f aca="false">IF($A115="","",IF($X115&lt;&gt;"",$X115,IFERROR(INDEX('Formation Initiale'!$B$2:$B$999,MATCH($A115,'Formation Initiale'!$A$2:$A$999,0)),"Général")))</f>
        <v>OS3</v>
      </c>
      <c r="X115" s="136"/>
    </row>
    <row r="116" customFormat="false" ht="18" hidden="true" customHeight="true" outlineLevel="0" collapsed="false">
      <c r="A116" s="140" t="s">
        <v>509</v>
      </c>
      <c r="B116" s="128" t="s">
        <v>510</v>
      </c>
      <c r="C116" s="128" t="s">
        <v>511</v>
      </c>
      <c r="D116" s="129" t="s">
        <v>186</v>
      </c>
      <c r="E116" s="130" t="str">
        <f aca="false">IF($O116="✓","✓",IF(ISNUMBER($O116),TEXT($O116,"yyyy-mm-dd"),IF($A116="","",IF(SUMPRODUCT(('Formation Initiale'!$A$2:$A$999=$A116)*('Formation Initiale'!$R$2:$R$999="Terminé"))&gt;0,"✓",IF(SUMPRODUCT(MAX(('Formation Initiale'!$A$2:$A$999=$A116)*'Formation Initiale'!$G$2:$G$999))&gt;0,TEXT(SUMPRODUCT(MAX(('Formation Initiale'!$A$2:$A$999=$A116)*'Formation Initiale'!$G$2:$G$999)),"yyyy-mm-dd"),"")))))</f>
        <v>✓</v>
      </c>
      <c r="F116" s="131" t="str">
        <f aca="false">IF($P116="✓","✓",IF(ISNUMBER($P116),TEXT($P116,"yyyy-mm-dd"),IF($A116="","",IF($D116="Lisbonne","",IF(SUMPRODUCT(('Formation Initiale'!$A$2:$A$999=$A116)*('Formation Initiale'!$R$2:$R$999="Terminé"))&gt;0,"✓",IF(SUMPRODUCT(MAX(('Formation Initiale'!$A$2:$A$999=$A116)*'Formation Initiale'!$G$2:$G$999))&gt;0,TEXT(SUMPRODUCT(MAX(('Formation Initiale'!$A$2:$A$999=$A116)*'Formation Initiale'!$G$2:$G$999)),"yyyy-mm-dd"),""))))))</f>
        <v/>
      </c>
      <c r="G116" s="131" t="str">
        <f aca="false">IF($Q116="✓","✓",IF(ISNUMBER($Q116),TEXT($Q116,"yyyy-mm-dd"),IF($A116="","",IF(SUMPRODUCT(('Agences &amp; Après-vente'!$A$2:$A$1000=$A116)*(('Agences &amp; Après-vente'!$D$2:$D$1000="Agences")+('Agences &amp; Après-vente'!$D$2:$D$1000="Agences et Après-vente"))*('Agences &amp; Après-vente'!$I$2:$I$1000="DONE"))&gt;0,"✓",IF(SUMPRODUCT(MAX(('Agences &amp; Après-vente'!$A$2:$A$1000=$A116)*(('Agences &amp; Après-vente'!$D$2:$D$1000="Agences")+('Agences &amp; Après-vente'!$D$2:$D$1000="Agences et Après-vente"))*'Agences &amp; Après-vente'!$E$2:$E$1000))&gt;0,TEXT(SUMPRODUCT(MAX(('Agences &amp; Après-vente'!$A$2:$A$1000=$A116)*(('Agences &amp; Après-vente'!$D$2:$D$1000="Agences")+('Agences &amp; Après-vente'!$D$2:$D$1000="Agences et Après-vente"))*'Agences &amp; Après-vente'!$E$2:$E$1000)),"yyyy-mm-dd"),"")))))</f>
        <v/>
      </c>
      <c r="H116" s="131" t="str">
        <f aca="false">IF($R116="✓","✓",IF(ISNUMBER($R116),TEXT($R116,"yyyy-mm-dd"),IF($A116="","",IF($D116="Lisbonne","",IF(SUMPRODUCT(('Agences &amp; Après-vente'!$A$2:$A$1000=$A116)*(('Agences &amp; Après-vente'!$D$2:$D$1000="Agences")+('Agences &amp; Après-vente'!$D$2:$D$1000="Agences et Après-vente"))*('Agences &amp; Après-vente'!$I$2:$I$1000="DONE"))&gt;0,"✓",IF(SUMPRODUCT(MAX(('Agences &amp; Après-vente'!$A$2:$A$1000=$A116)*(('Agences &amp; Après-vente'!$D$2:$D$1000="Agences")+('Agences &amp; Après-vente'!$D$2:$D$1000="Agences et Après-vente"))*'Agences &amp; Après-vente'!$E$2:$E$1000))&gt;0,TEXT(SUMPRODUCT(MAX(('Agences &amp; Après-vente'!$A$2:$A$1000=$A116)*(('Agences &amp; Après-vente'!$D$2:$D$1000="Agences")+('Agences &amp; Après-vente'!$D$2:$D$1000="Agences et Après-vente"))*'Agences &amp; Après-vente'!$E$2:$E$1000)),"yyyy-mm-dd"),""))))))</f>
        <v/>
      </c>
      <c r="I116" s="131" t="str">
        <f aca="false">IF($S116="✓","✓",IF(ISNUMBER($S116),TEXT($S116,"yyyy-mm-dd"),IF($A116="","",IF(SUMPRODUCT(('Agences &amp; Après-vente'!$A$2:$A$1000=$A116)*(('Agences &amp; Après-vente'!$D$2:$D$1000="Après-vente")+('Agences &amp; Après-vente'!$D$2:$D$1000="Agences et Après-vente"))*('Agences &amp; Après-vente'!$I$2:$I$1000="DONE"))&gt;0,"✓",IF(SUMPRODUCT(MAX(('Agences &amp; Après-vente'!$A$2:$A$1000=$A116)*(('Agences &amp; Après-vente'!$D$2:$D$1000="Après-vente")+('Agences &amp; Après-vente'!$D$2:$D$1000="Agences et Après-vente"))*'Agences &amp; Après-vente'!$E$2:$E$1000))&gt;0,TEXT(SUMPRODUCT(MAX(('Agences &amp; Après-vente'!$A$2:$A$1000=$A116)*(('Agences &amp; Après-vente'!$D$2:$D$1000="Après-vente")+('Agences &amp; Après-vente'!$D$2:$D$1000="Agences et Après-vente"))*'Agences &amp; Après-vente'!$E$2:$E$1000)),"yyyy-mm-dd"),"")))))</f>
        <v/>
      </c>
      <c r="J116" s="131" t="str">
        <f aca="false">IF($T116="✓","✓",IF(ISNUMBER($T116),TEXT($T116,"yyyy-mm-dd"),IF($A116="","",IF($D116="Lisbonne","",IF(SUMPRODUCT(('Agences &amp; Après-vente'!$A$2:$A$1000=$A116)*(('Agences &amp; Après-vente'!$D$2:$D$1000="Après-vente")+('Agences &amp; Après-vente'!$D$2:$D$1000="Agences et Après-vente"))*('Agences &amp; Après-vente'!$I$2:$I$1000="DONE"))&gt;0,"✓",IF(SUMPRODUCT(MAX(('Agences &amp; Après-vente'!$A$2:$A$1000=$A116)*(('Agences &amp; Après-vente'!$D$2:$D$1000="Après-vente")+('Agences &amp; Après-vente'!$D$2:$D$1000="Agences et Après-vente"))*'Agences &amp; Après-vente'!$E$2:$E$1000))&gt;0,TEXT(SUMPRODUCT(MAX(('Agences &amp; Après-vente'!$A$2:$A$1000=$A116)*(('Agences &amp; Après-vente'!$D$2:$D$1000="Après-vente")+('Agences &amp; Après-vente'!$D$2:$D$1000="Agences et Après-vente"))*'Agences &amp; Après-vente'!$E$2:$E$1000)),"yyyy-mm-dd"),""))))))</f>
        <v/>
      </c>
      <c r="K116" s="131" t="str">
        <f aca="false">IF($U116="✓","✓",IF(ISNUMBER($U116),TEXT($U116,"yyyy-mm-dd"),IF($D116="Lisbonne","",IF($A116="","",IF(SUMPRODUCT((Evermont!$A$2:$A$1000=$A116)*(Evermont!$Q$2:$Q$1000="Terminé"))&gt;0,"✓",IF(SUMPRODUCT(MAX((Evermont!$A$2:$A$1000=$A116)*Evermont!$F$2:$F$1000))&gt;0,TEXT(SUMPRODUCT(MAX((Evermont!$A$2:$A$1000=$A116)*Evermont!$F$2:$F$1000)),"yyyy-mm-dd"),""))))))</f>
        <v/>
      </c>
      <c r="L116" s="132" t="n">
        <f aca="false">IF($A116="","",COUNTIF(E116:K116,"✓"))</f>
        <v>1</v>
      </c>
      <c r="M116" s="133" t="s">
        <v>196</v>
      </c>
      <c r="O116" s="134"/>
      <c r="P116" s="134"/>
      <c r="Q116" s="134"/>
      <c r="R116" s="134"/>
      <c r="S116" s="134"/>
      <c r="T116" s="134"/>
      <c r="U116" s="134"/>
      <c r="W116" s="135" t="str">
        <f aca="false">IF($A116="","",IF($X116&lt;&gt;"",$X116,IFERROR(INDEX('Formation Initiale'!$B$2:$B$999,MATCH($A116,'Formation Initiale'!$A$2:$A$999,0)),"Général")))</f>
        <v>OS4</v>
      </c>
      <c r="X116" s="136"/>
    </row>
    <row r="117" customFormat="false" ht="18" hidden="true" customHeight="true" outlineLevel="0" collapsed="false">
      <c r="A117" s="127" t="s">
        <v>512</v>
      </c>
      <c r="B117" s="128" t="s">
        <v>513</v>
      </c>
      <c r="C117" s="128" t="s">
        <v>514</v>
      </c>
      <c r="D117" s="129" t="s">
        <v>171</v>
      </c>
      <c r="E117" s="130" t="str">
        <f aca="false">IF($O117="✓","✓",IF(ISNUMBER($O117),TEXT($O117,"yyyy-mm-dd"),IF($A117="","",IF(SUMPRODUCT(('Formation Initiale'!$A$2:$A$999=$A117)*('Formation Initiale'!$R$2:$R$999="Terminé"))&gt;0,"✓",IF(SUMPRODUCT(MAX(('Formation Initiale'!$A$2:$A$999=$A117)*'Formation Initiale'!$G$2:$G$999))&gt;0,TEXT(SUMPRODUCT(MAX(('Formation Initiale'!$A$2:$A$999=$A117)*'Formation Initiale'!$G$2:$G$999)),"yyyy-mm-dd"),"")))))</f>
        <v>✓</v>
      </c>
      <c r="F117" s="131" t="str">
        <f aca="false">IF($P117="✓","✓",IF(ISNUMBER($P117),TEXT($P117,"yyyy-mm-dd"),IF($A117="","",IF($D117="Lisbonne","",IF(SUMPRODUCT(('Formation Initiale'!$A$2:$A$999=$A117)*('Formation Initiale'!$R$2:$R$999="Terminé"))&gt;0,"✓",IF(SUMPRODUCT(MAX(('Formation Initiale'!$A$2:$A$999=$A117)*'Formation Initiale'!$G$2:$G$999))&gt;0,TEXT(SUMPRODUCT(MAX(('Formation Initiale'!$A$2:$A$999=$A117)*'Formation Initiale'!$G$2:$G$999)),"yyyy-mm-dd"),""))))))</f>
        <v>✓</v>
      </c>
      <c r="G117" s="131" t="str">
        <f aca="false">IF($Q117="✓","✓",IF(ISNUMBER($Q117),TEXT($Q117,"yyyy-mm-dd"),IF($A117="","",IF(SUMPRODUCT(('Agences &amp; Après-vente'!$A$2:$A$1000=$A117)*(('Agences &amp; Après-vente'!$D$2:$D$1000="Agences")+('Agences &amp; Après-vente'!$D$2:$D$1000="Agences et Après-vente"))*('Agences &amp; Après-vente'!$I$2:$I$1000="DONE"))&gt;0,"✓",IF(SUMPRODUCT(MAX(('Agences &amp; Après-vente'!$A$2:$A$1000=$A117)*(('Agences &amp; Après-vente'!$D$2:$D$1000="Agences")+('Agences &amp; Après-vente'!$D$2:$D$1000="Agences et Après-vente"))*'Agences &amp; Après-vente'!$E$2:$E$1000))&gt;0,TEXT(SUMPRODUCT(MAX(('Agences &amp; Après-vente'!$A$2:$A$1000=$A117)*(('Agences &amp; Après-vente'!$D$2:$D$1000="Agences")+('Agences &amp; Après-vente'!$D$2:$D$1000="Agences et Après-vente"))*'Agences &amp; Après-vente'!$E$2:$E$1000)),"yyyy-mm-dd"),"")))))</f>
        <v>✓</v>
      </c>
      <c r="H117" s="131" t="str">
        <f aca="false">IF($R117="✓","✓",IF(ISNUMBER($R117),TEXT($R117,"yyyy-mm-dd"),IF($A117="","",IF($D117="Lisbonne","",IF(SUMPRODUCT(('Agences &amp; Après-vente'!$A$2:$A$1000=$A117)*(('Agences &amp; Après-vente'!$D$2:$D$1000="Agences")+('Agences &amp; Après-vente'!$D$2:$D$1000="Agences et Après-vente"))*('Agences &amp; Après-vente'!$I$2:$I$1000="DONE"))&gt;0,"✓",IF(SUMPRODUCT(MAX(('Agences &amp; Après-vente'!$A$2:$A$1000=$A117)*(('Agences &amp; Après-vente'!$D$2:$D$1000="Agences")+('Agences &amp; Après-vente'!$D$2:$D$1000="Agences et Après-vente"))*'Agences &amp; Après-vente'!$E$2:$E$1000))&gt;0,TEXT(SUMPRODUCT(MAX(('Agences &amp; Après-vente'!$A$2:$A$1000=$A117)*(('Agences &amp; Après-vente'!$D$2:$D$1000="Agences")+('Agences &amp; Après-vente'!$D$2:$D$1000="Agences et Après-vente"))*'Agences &amp; Après-vente'!$E$2:$E$1000)),"yyyy-mm-dd"),""))))))</f>
        <v>✓</v>
      </c>
      <c r="I117" s="131" t="str">
        <f aca="false">IF($S117="✓","✓",IF(ISNUMBER($S117),TEXT($S117,"yyyy-mm-dd"),IF($A117="","",IF(SUMPRODUCT(('Agences &amp; Après-vente'!$A$2:$A$1000=$A117)*(('Agences &amp; Après-vente'!$D$2:$D$1000="Après-vente")+('Agences &amp; Après-vente'!$D$2:$D$1000="Agences et Après-vente"))*('Agences &amp; Après-vente'!$I$2:$I$1000="DONE"))&gt;0,"✓",IF(SUMPRODUCT(MAX(('Agences &amp; Après-vente'!$A$2:$A$1000=$A117)*(('Agences &amp; Après-vente'!$D$2:$D$1000="Après-vente")+('Agences &amp; Après-vente'!$D$2:$D$1000="Agences et Après-vente"))*'Agences &amp; Après-vente'!$E$2:$E$1000))&gt;0,TEXT(SUMPRODUCT(MAX(('Agences &amp; Après-vente'!$A$2:$A$1000=$A117)*(('Agences &amp; Après-vente'!$D$2:$D$1000="Après-vente")+('Agences &amp; Après-vente'!$D$2:$D$1000="Agences et Après-vente"))*'Agences &amp; Après-vente'!$E$2:$E$1000)),"yyyy-mm-dd"),"")))))</f>
        <v/>
      </c>
      <c r="J117" s="131" t="str">
        <f aca="false">IF($T117="✓","✓",IF(ISNUMBER($T117),TEXT($T117,"yyyy-mm-dd"),IF($A117="","",IF($D117="Lisbonne","",IF(SUMPRODUCT(('Agences &amp; Après-vente'!$A$2:$A$1000=$A117)*(('Agences &amp; Après-vente'!$D$2:$D$1000="Après-vente")+('Agences &amp; Après-vente'!$D$2:$D$1000="Agences et Après-vente"))*('Agences &amp; Après-vente'!$I$2:$I$1000="DONE"))&gt;0,"✓",IF(SUMPRODUCT(MAX(('Agences &amp; Après-vente'!$A$2:$A$1000=$A117)*(('Agences &amp; Après-vente'!$D$2:$D$1000="Après-vente")+('Agences &amp; Après-vente'!$D$2:$D$1000="Agences et Après-vente"))*'Agences &amp; Après-vente'!$E$2:$E$1000))&gt;0,TEXT(SUMPRODUCT(MAX(('Agences &amp; Après-vente'!$A$2:$A$1000=$A117)*(('Agences &amp; Après-vente'!$D$2:$D$1000="Après-vente")+('Agences &amp; Après-vente'!$D$2:$D$1000="Agences et Après-vente"))*'Agences &amp; Après-vente'!$E$2:$E$1000)),"yyyy-mm-dd"),""))))))</f>
        <v/>
      </c>
      <c r="K117" s="131" t="str">
        <f aca="false">IF($U117="✓","✓",IF(ISNUMBER($U117),TEXT($U117,"yyyy-mm-dd"),IF($D117="Lisbonne","",IF($A117="","",IF(SUMPRODUCT((Evermont!$A$2:$A$1000=$A117)*(Evermont!$Q$2:$Q$1000="Terminé"))&gt;0,"✓",IF(SUMPRODUCT(MAX((Evermont!$A$2:$A$1000=$A117)*Evermont!$F$2:$F$1000))&gt;0,TEXT(SUMPRODUCT(MAX((Evermont!$A$2:$A$1000=$A117)*Evermont!$F$2:$F$1000)),"yyyy-mm-dd"),""))))))</f>
        <v>✓</v>
      </c>
      <c r="L117" s="132" t="n">
        <f aca="false">IF($A117="","",COUNTIF(E117:K117,"✓"))</f>
        <v>5</v>
      </c>
      <c r="M117" s="133" t="s">
        <v>172</v>
      </c>
      <c r="O117" s="134" t="s">
        <v>173</v>
      </c>
      <c r="P117" s="134" t="s">
        <v>173</v>
      </c>
      <c r="Q117" s="134" t="s">
        <v>173</v>
      </c>
      <c r="R117" s="134" t="s">
        <v>173</v>
      </c>
      <c r="S117" s="134"/>
      <c r="T117" s="134"/>
      <c r="U117" s="134" t="s">
        <v>173</v>
      </c>
      <c r="W117" s="135" t="str">
        <f aca="false">IF($A117="","",IF($X117&lt;&gt;"",$X117,IFERROR(INDEX('Formation Initiale'!$B$2:$B$999,MATCH($A117,'Formation Initiale'!$A$2:$A$999,0)),"Général")))</f>
        <v>Général</v>
      </c>
      <c r="X117" s="136"/>
    </row>
    <row r="118" customFormat="false" ht="18" hidden="true" customHeight="true" outlineLevel="0" collapsed="false">
      <c r="A118" s="127" t="s">
        <v>515</v>
      </c>
      <c r="B118" s="128" t="s">
        <v>516</v>
      </c>
      <c r="C118" s="128" t="s">
        <v>517</v>
      </c>
      <c r="D118" s="129" t="s">
        <v>171</v>
      </c>
      <c r="E118" s="130" t="str">
        <f aca="false">IF($O118="✓","✓",IF(ISNUMBER($O118),TEXT($O118,"yyyy-mm-dd"),IF($A118="","",IF(SUMPRODUCT(('Formation Initiale'!$A$2:$A$999=$A118)*('Formation Initiale'!$R$2:$R$999="Terminé"))&gt;0,"✓",IF(SUMPRODUCT(MAX(('Formation Initiale'!$A$2:$A$999=$A118)*'Formation Initiale'!$G$2:$G$999))&gt;0,TEXT(SUMPRODUCT(MAX(('Formation Initiale'!$A$2:$A$999=$A118)*'Formation Initiale'!$G$2:$G$999)),"yyyy-mm-dd"),"")))))</f>
        <v>✓</v>
      </c>
      <c r="F118" s="131" t="str">
        <f aca="false">IF($P118="✓","✓",IF(ISNUMBER($P118),TEXT($P118,"yyyy-mm-dd"),IF($A118="","",IF($D118="Lisbonne","",IF(SUMPRODUCT(('Formation Initiale'!$A$2:$A$999=$A118)*('Formation Initiale'!$R$2:$R$999="Terminé"))&gt;0,"✓",IF(SUMPRODUCT(MAX(('Formation Initiale'!$A$2:$A$999=$A118)*'Formation Initiale'!$G$2:$G$999))&gt;0,TEXT(SUMPRODUCT(MAX(('Formation Initiale'!$A$2:$A$999=$A118)*'Formation Initiale'!$G$2:$G$999)),"yyyy-mm-dd"),""))))))</f>
        <v>✓</v>
      </c>
      <c r="G118" s="131" t="str">
        <f aca="false">IF($Q118="✓","✓",IF(ISNUMBER($Q118),TEXT($Q118,"yyyy-mm-dd"),IF($A118="","",IF(SUMPRODUCT(('Agences &amp; Après-vente'!$A$2:$A$1000=$A118)*(('Agences &amp; Après-vente'!$D$2:$D$1000="Agences")+('Agences &amp; Après-vente'!$D$2:$D$1000="Agences et Après-vente"))*('Agences &amp; Après-vente'!$I$2:$I$1000="DONE"))&gt;0,"✓",IF(SUMPRODUCT(MAX(('Agences &amp; Après-vente'!$A$2:$A$1000=$A118)*(('Agences &amp; Après-vente'!$D$2:$D$1000="Agences")+('Agences &amp; Après-vente'!$D$2:$D$1000="Agences et Après-vente"))*'Agences &amp; Après-vente'!$E$2:$E$1000))&gt;0,TEXT(SUMPRODUCT(MAX(('Agences &amp; Après-vente'!$A$2:$A$1000=$A118)*(('Agences &amp; Après-vente'!$D$2:$D$1000="Agences")+('Agences &amp; Après-vente'!$D$2:$D$1000="Agences et Après-vente"))*'Agences &amp; Après-vente'!$E$2:$E$1000)),"yyyy-mm-dd"),"")))))</f>
        <v>✓</v>
      </c>
      <c r="H118" s="131" t="str">
        <f aca="false">IF($R118="✓","✓",IF(ISNUMBER($R118),TEXT($R118,"yyyy-mm-dd"),IF($A118="","",IF($D118="Lisbonne","",IF(SUMPRODUCT(('Agences &amp; Après-vente'!$A$2:$A$1000=$A118)*(('Agences &amp; Après-vente'!$D$2:$D$1000="Agences")+('Agences &amp; Après-vente'!$D$2:$D$1000="Agences et Après-vente"))*('Agences &amp; Après-vente'!$I$2:$I$1000="DONE"))&gt;0,"✓",IF(SUMPRODUCT(MAX(('Agences &amp; Après-vente'!$A$2:$A$1000=$A118)*(('Agences &amp; Après-vente'!$D$2:$D$1000="Agences")+('Agences &amp; Après-vente'!$D$2:$D$1000="Agences et Après-vente"))*'Agences &amp; Après-vente'!$E$2:$E$1000))&gt;0,TEXT(SUMPRODUCT(MAX(('Agences &amp; Après-vente'!$A$2:$A$1000=$A118)*(('Agences &amp; Après-vente'!$D$2:$D$1000="Agences")+('Agences &amp; Après-vente'!$D$2:$D$1000="Agences et Après-vente"))*'Agences &amp; Après-vente'!$E$2:$E$1000)),"yyyy-mm-dd"),""))))))</f>
        <v>✓</v>
      </c>
      <c r="I118" s="131" t="str">
        <f aca="false">IF($S118="✓","✓",IF(ISNUMBER($S118),TEXT($S118,"yyyy-mm-dd"),IF($A118="","",IF(SUMPRODUCT(('Agences &amp; Après-vente'!$A$2:$A$1000=$A118)*(('Agences &amp; Après-vente'!$D$2:$D$1000="Après-vente")+('Agences &amp; Après-vente'!$D$2:$D$1000="Agences et Après-vente"))*('Agences &amp; Après-vente'!$I$2:$I$1000="DONE"))&gt;0,"✓",IF(SUMPRODUCT(MAX(('Agences &amp; Après-vente'!$A$2:$A$1000=$A118)*(('Agences &amp; Après-vente'!$D$2:$D$1000="Après-vente")+('Agences &amp; Après-vente'!$D$2:$D$1000="Agences et Après-vente"))*'Agences &amp; Après-vente'!$E$2:$E$1000))&gt;0,TEXT(SUMPRODUCT(MAX(('Agences &amp; Après-vente'!$A$2:$A$1000=$A118)*(('Agences &amp; Après-vente'!$D$2:$D$1000="Après-vente")+('Agences &amp; Après-vente'!$D$2:$D$1000="Agences et Après-vente"))*'Agences &amp; Après-vente'!$E$2:$E$1000)),"yyyy-mm-dd"),"")))))</f>
        <v>✓</v>
      </c>
      <c r="J118" s="131" t="str">
        <f aca="false">IF($T118="✓","✓",IF(ISNUMBER($T118),TEXT($T118,"yyyy-mm-dd"),IF($A118="","",IF($D118="Lisbonne","",IF(SUMPRODUCT(('Agences &amp; Après-vente'!$A$2:$A$1000=$A118)*(('Agences &amp; Après-vente'!$D$2:$D$1000="Après-vente")+('Agences &amp; Après-vente'!$D$2:$D$1000="Agences et Après-vente"))*('Agences &amp; Après-vente'!$I$2:$I$1000="DONE"))&gt;0,"✓",IF(SUMPRODUCT(MAX(('Agences &amp; Après-vente'!$A$2:$A$1000=$A118)*(('Agences &amp; Après-vente'!$D$2:$D$1000="Après-vente")+('Agences &amp; Après-vente'!$D$2:$D$1000="Agences et Après-vente"))*'Agences &amp; Après-vente'!$E$2:$E$1000))&gt;0,TEXT(SUMPRODUCT(MAX(('Agences &amp; Après-vente'!$A$2:$A$1000=$A118)*(('Agences &amp; Après-vente'!$D$2:$D$1000="Après-vente")+('Agences &amp; Après-vente'!$D$2:$D$1000="Agences et Après-vente"))*'Agences &amp; Après-vente'!$E$2:$E$1000)),"yyyy-mm-dd"),""))))))</f>
        <v>✓</v>
      </c>
      <c r="K118" s="131" t="str">
        <f aca="false">IF($U118="✓","✓",IF(ISNUMBER($U118),TEXT($U118,"yyyy-mm-dd"),IF($D118="Lisbonne","",IF($A118="","",IF(SUMPRODUCT((Evermont!$A$2:$A$1000=$A118)*(Evermont!$Q$2:$Q$1000="Terminé"))&gt;0,"✓",IF(SUMPRODUCT(MAX((Evermont!$A$2:$A$1000=$A118)*Evermont!$F$2:$F$1000))&gt;0,TEXT(SUMPRODUCT(MAX((Evermont!$A$2:$A$1000=$A118)*Evermont!$F$2:$F$1000)),"yyyy-mm-dd"),""))))))</f>
        <v>✓</v>
      </c>
      <c r="L118" s="132" t="n">
        <f aca="false">IF($A118="","",COUNTIF(E118:K118,"✓"))</f>
        <v>7</v>
      </c>
      <c r="M118" s="133" t="s">
        <v>172</v>
      </c>
      <c r="O118" s="134" t="s">
        <v>173</v>
      </c>
      <c r="P118" s="134" t="s">
        <v>173</v>
      </c>
      <c r="Q118" s="134" t="s">
        <v>173</v>
      </c>
      <c r="R118" s="134" t="s">
        <v>173</v>
      </c>
      <c r="S118" s="134" t="s">
        <v>173</v>
      </c>
      <c r="T118" s="134" t="s">
        <v>173</v>
      </c>
      <c r="U118" s="134" t="s">
        <v>173</v>
      </c>
      <c r="W118" s="135" t="str">
        <f aca="false">IF($A118="","",IF($X118&lt;&gt;"",$X118,IFERROR(INDEX('Formation Initiale'!$B$2:$B$999,MATCH($A118,'Formation Initiale'!$A$2:$A$999,0)),"Général")))</f>
        <v>Général</v>
      </c>
      <c r="X118" s="136"/>
    </row>
    <row r="119" customFormat="false" ht="18" hidden="true" customHeight="true" outlineLevel="0" collapsed="false">
      <c r="A119" s="127" t="s">
        <v>518</v>
      </c>
      <c r="B119" s="128" t="s">
        <v>519</v>
      </c>
      <c r="C119" s="128" t="s">
        <v>520</v>
      </c>
      <c r="D119" s="129" t="s">
        <v>171</v>
      </c>
      <c r="E119" s="130" t="str">
        <f aca="false">IF($O119="✓","✓",IF(ISNUMBER($O119),TEXT($O119,"yyyy-mm-dd"),IF($A119="","",IF(SUMPRODUCT(('Formation Initiale'!$A$2:$A$999=$A119)*('Formation Initiale'!$R$2:$R$999="Terminé"))&gt;0,"✓",IF(SUMPRODUCT(MAX(('Formation Initiale'!$A$2:$A$999=$A119)*'Formation Initiale'!$G$2:$G$999))&gt;0,TEXT(SUMPRODUCT(MAX(('Formation Initiale'!$A$2:$A$999=$A119)*'Formation Initiale'!$G$2:$G$999)),"yyyy-mm-dd"),"")))))</f>
        <v>✓</v>
      </c>
      <c r="F119" s="131" t="str">
        <f aca="false">IF($P119="✓","✓",IF(ISNUMBER($P119),TEXT($P119,"yyyy-mm-dd"),IF($A119="","",IF($D119="Lisbonne","",IF(SUMPRODUCT(('Formation Initiale'!$A$2:$A$999=$A119)*('Formation Initiale'!$R$2:$R$999="Terminé"))&gt;0,"✓",IF(SUMPRODUCT(MAX(('Formation Initiale'!$A$2:$A$999=$A119)*'Formation Initiale'!$G$2:$G$999))&gt;0,TEXT(SUMPRODUCT(MAX(('Formation Initiale'!$A$2:$A$999=$A119)*'Formation Initiale'!$G$2:$G$999)),"yyyy-mm-dd"),""))))))</f>
        <v>✓</v>
      </c>
      <c r="G119" s="131" t="str">
        <f aca="false">IF($Q119="✓","✓",IF(ISNUMBER($Q119),TEXT($Q119,"yyyy-mm-dd"),IF($A119="","",IF(SUMPRODUCT(('Agences &amp; Après-vente'!$A$2:$A$1000=$A119)*(('Agences &amp; Après-vente'!$D$2:$D$1000="Agences")+('Agences &amp; Après-vente'!$D$2:$D$1000="Agences et Après-vente"))*('Agences &amp; Après-vente'!$I$2:$I$1000="DONE"))&gt;0,"✓",IF(SUMPRODUCT(MAX(('Agences &amp; Après-vente'!$A$2:$A$1000=$A119)*(('Agences &amp; Après-vente'!$D$2:$D$1000="Agences")+('Agences &amp; Après-vente'!$D$2:$D$1000="Agences et Après-vente"))*'Agences &amp; Après-vente'!$E$2:$E$1000))&gt;0,TEXT(SUMPRODUCT(MAX(('Agences &amp; Après-vente'!$A$2:$A$1000=$A119)*(('Agences &amp; Après-vente'!$D$2:$D$1000="Agences")+('Agences &amp; Après-vente'!$D$2:$D$1000="Agences et Après-vente"))*'Agences &amp; Après-vente'!$E$2:$E$1000)),"yyyy-mm-dd"),"")))))</f>
        <v>✓</v>
      </c>
      <c r="H119" s="131" t="str">
        <f aca="false">IF($R119="✓","✓",IF(ISNUMBER($R119),TEXT($R119,"yyyy-mm-dd"),IF($A119="","",IF($D119="Lisbonne","",IF(SUMPRODUCT(('Agences &amp; Après-vente'!$A$2:$A$1000=$A119)*(('Agences &amp; Après-vente'!$D$2:$D$1000="Agences")+('Agences &amp; Après-vente'!$D$2:$D$1000="Agences et Après-vente"))*('Agences &amp; Après-vente'!$I$2:$I$1000="DONE"))&gt;0,"✓",IF(SUMPRODUCT(MAX(('Agences &amp; Après-vente'!$A$2:$A$1000=$A119)*(('Agences &amp; Après-vente'!$D$2:$D$1000="Agences")+('Agences &amp; Après-vente'!$D$2:$D$1000="Agences et Après-vente"))*'Agences &amp; Après-vente'!$E$2:$E$1000))&gt;0,TEXT(SUMPRODUCT(MAX(('Agences &amp; Après-vente'!$A$2:$A$1000=$A119)*(('Agences &amp; Après-vente'!$D$2:$D$1000="Agences")+('Agences &amp; Après-vente'!$D$2:$D$1000="Agences et Après-vente"))*'Agences &amp; Après-vente'!$E$2:$E$1000)),"yyyy-mm-dd"),""))))))</f>
        <v>✓</v>
      </c>
      <c r="I119" s="131" t="str">
        <f aca="false">IF($S119="✓","✓",IF(ISNUMBER($S119),TEXT($S119,"yyyy-mm-dd"),IF($A119="","",IF(SUMPRODUCT(('Agences &amp; Après-vente'!$A$2:$A$1000=$A119)*(('Agences &amp; Après-vente'!$D$2:$D$1000="Après-vente")+('Agences &amp; Après-vente'!$D$2:$D$1000="Agences et Après-vente"))*('Agences &amp; Après-vente'!$I$2:$I$1000="DONE"))&gt;0,"✓",IF(SUMPRODUCT(MAX(('Agences &amp; Après-vente'!$A$2:$A$1000=$A119)*(('Agences &amp; Après-vente'!$D$2:$D$1000="Après-vente")+('Agences &amp; Après-vente'!$D$2:$D$1000="Agences et Après-vente"))*'Agences &amp; Après-vente'!$E$2:$E$1000))&gt;0,TEXT(SUMPRODUCT(MAX(('Agences &amp; Après-vente'!$A$2:$A$1000=$A119)*(('Agences &amp; Après-vente'!$D$2:$D$1000="Après-vente")+('Agences &amp; Après-vente'!$D$2:$D$1000="Agences et Après-vente"))*'Agences &amp; Après-vente'!$E$2:$E$1000)),"yyyy-mm-dd"),"")))))</f>
        <v>✓</v>
      </c>
      <c r="J119" s="131" t="str">
        <f aca="false">IF($T119="✓","✓",IF(ISNUMBER($T119),TEXT($T119,"yyyy-mm-dd"),IF($A119="","",IF($D119="Lisbonne","",IF(SUMPRODUCT(('Agences &amp; Après-vente'!$A$2:$A$1000=$A119)*(('Agences &amp; Après-vente'!$D$2:$D$1000="Après-vente")+('Agences &amp; Après-vente'!$D$2:$D$1000="Agences et Après-vente"))*('Agences &amp; Après-vente'!$I$2:$I$1000="DONE"))&gt;0,"✓",IF(SUMPRODUCT(MAX(('Agences &amp; Après-vente'!$A$2:$A$1000=$A119)*(('Agences &amp; Après-vente'!$D$2:$D$1000="Après-vente")+('Agences &amp; Après-vente'!$D$2:$D$1000="Agences et Après-vente"))*'Agences &amp; Après-vente'!$E$2:$E$1000))&gt;0,TEXT(SUMPRODUCT(MAX(('Agences &amp; Après-vente'!$A$2:$A$1000=$A119)*(('Agences &amp; Après-vente'!$D$2:$D$1000="Après-vente")+('Agences &amp; Après-vente'!$D$2:$D$1000="Agences et Après-vente"))*'Agences &amp; Après-vente'!$E$2:$E$1000)),"yyyy-mm-dd"),""))))))</f>
        <v>✓</v>
      </c>
      <c r="K119" s="131" t="str">
        <f aca="false">IF($U119="✓","✓",IF(ISNUMBER($U119),TEXT($U119,"yyyy-mm-dd"),IF($D119="Lisbonne","",IF($A119="","",IF(SUMPRODUCT((Evermont!$A$2:$A$1000=$A119)*(Evermont!$Q$2:$Q$1000="Terminé"))&gt;0,"✓",IF(SUMPRODUCT(MAX((Evermont!$A$2:$A$1000=$A119)*Evermont!$F$2:$F$1000))&gt;0,TEXT(SUMPRODUCT(MAX((Evermont!$A$2:$A$1000=$A119)*Evermont!$F$2:$F$1000)),"yyyy-mm-dd"),""))))))</f>
        <v>✓</v>
      </c>
      <c r="L119" s="132" t="n">
        <f aca="false">IF($A119="","",COUNTIF(E119:K119,"✓"))</f>
        <v>7</v>
      </c>
      <c r="M119" s="133" t="s">
        <v>172</v>
      </c>
      <c r="O119" s="134" t="s">
        <v>173</v>
      </c>
      <c r="P119" s="134" t="s">
        <v>173</v>
      </c>
      <c r="Q119" s="134"/>
      <c r="R119" s="134"/>
      <c r="S119" s="134"/>
      <c r="T119" s="134"/>
      <c r="U119" s="134"/>
      <c r="W119" s="135" t="str">
        <f aca="false">IF($A119="","",IF($X119&lt;&gt;"",$X119,IFERROR(INDEX('Formation Initiale'!$B$2:$B$999,MATCH($A119,'Formation Initiale'!$A$2:$A$999,0)),"Général")))</f>
        <v>Général</v>
      </c>
      <c r="X119" s="136"/>
    </row>
    <row r="120" customFormat="false" ht="18" hidden="true" customHeight="true" outlineLevel="0" collapsed="false">
      <c r="A120" s="137" t="s">
        <v>521</v>
      </c>
      <c r="B120" s="128" t="s">
        <v>175</v>
      </c>
      <c r="C120" s="128" t="s">
        <v>522</v>
      </c>
      <c r="D120" s="129" t="s">
        <v>186</v>
      </c>
      <c r="E120" s="130" t="str">
        <f aca="false">IF($O120="✓","✓",IF(ISNUMBER($O120),TEXT($O120,"yyyy-mm-dd"),IF($A120="","",IF(SUMPRODUCT(('Formation Initiale'!$A$2:$A$999=$A120)*('Formation Initiale'!$R$2:$R$999="Terminé"))&gt;0,"✓",IF(SUMPRODUCT(MAX(('Formation Initiale'!$A$2:$A$999=$A120)*'Formation Initiale'!$G$2:$G$999))&gt;0,TEXT(SUMPRODUCT(MAX(('Formation Initiale'!$A$2:$A$999=$A120)*'Formation Initiale'!$G$2:$G$999)),"yyyy-mm-dd"),"")))))</f>
        <v>✓</v>
      </c>
      <c r="F120" s="131" t="str">
        <f aca="false">IF($P120="✓","✓",IF(ISNUMBER($P120),TEXT($P120,"yyyy-mm-dd"),IF($A120="","",IF($D120="Lisbonne","",IF(SUMPRODUCT(('Formation Initiale'!$A$2:$A$999=$A120)*('Formation Initiale'!$R$2:$R$999="Terminé"))&gt;0,"✓",IF(SUMPRODUCT(MAX(('Formation Initiale'!$A$2:$A$999=$A120)*'Formation Initiale'!$G$2:$G$999))&gt;0,TEXT(SUMPRODUCT(MAX(('Formation Initiale'!$A$2:$A$999=$A120)*'Formation Initiale'!$G$2:$G$999)),"yyyy-mm-dd"),""))))))</f>
        <v/>
      </c>
      <c r="G120" s="131" t="str">
        <f aca="false">IF($Q120="✓","✓",IF(ISNUMBER($Q120),TEXT($Q120,"yyyy-mm-dd"),IF($A120="","",IF(SUMPRODUCT(('Agences &amp; Après-vente'!$A$2:$A$1000=$A120)*(('Agences &amp; Après-vente'!$D$2:$D$1000="Agences")+('Agences &amp; Après-vente'!$D$2:$D$1000="Agences et Après-vente"))*('Agences &amp; Après-vente'!$I$2:$I$1000="DONE"))&gt;0,"✓",IF(SUMPRODUCT(MAX(('Agences &amp; Après-vente'!$A$2:$A$1000=$A120)*(('Agences &amp; Après-vente'!$D$2:$D$1000="Agences")+('Agences &amp; Après-vente'!$D$2:$D$1000="Agences et Après-vente"))*'Agences &amp; Après-vente'!$E$2:$E$1000))&gt;0,TEXT(SUMPRODUCT(MAX(('Agences &amp; Après-vente'!$A$2:$A$1000=$A120)*(('Agences &amp; Après-vente'!$D$2:$D$1000="Agences")+('Agences &amp; Après-vente'!$D$2:$D$1000="Agences et Après-vente"))*'Agences &amp; Après-vente'!$E$2:$E$1000)),"yyyy-mm-dd"),"")))))</f>
        <v>✓</v>
      </c>
      <c r="H120" s="131" t="str">
        <f aca="false">IF($R120="✓","✓",IF(ISNUMBER($R120),TEXT($R120,"yyyy-mm-dd"),IF($A120="","",IF($D120="Lisbonne","",IF(SUMPRODUCT(('Agences &amp; Après-vente'!$A$2:$A$1000=$A120)*(('Agences &amp; Après-vente'!$D$2:$D$1000="Agences")+('Agences &amp; Après-vente'!$D$2:$D$1000="Agences et Après-vente"))*('Agences &amp; Après-vente'!$I$2:$I$1000="DONE"))&gt;0,"✓",IF(SUMPRODUCT(MAX(('Agences &amp; Après-vente'!$A$2:$A$1000=$A120)*(('Agences &amp; Après-vente'!$D$2:$D$1000="Agences")+('Agences &amp; Après-vente'!$D$2:$D$1000="Agences et Après-vente"))*'Agences &amp; Après-vente'!$E$2:$E$1000))&gt;0,TEXT(SUMPRODUCT(MAX(('Agences &amp; Après-vente'!$A$2:$A$1000=$A120)*(('Agences &amp; Après-vente'!$D$2:$D$1000="Agences")+('Agences &amp; Après-vente'!$D$2:$D$1000="Agences et Après-vente"))*'Agences &amp; Après-vente'!$E$2:$E$1000)),"yyyy-mm-dd"),""))))))</f>
        <v/>
      </c>
      <c r="I120" s="131" t="str">
        <f aca="false">IF($S120="✓","✓",IF(ISNUMBER($S120),TEXT($S120,"yyyy-mm-dd"),IF($A120="","",IF(SUMPRODUCT(('Agences &amp; Après-vente'!$A$2:$A$1000=$A120)*(('Agences &amp; Après-vente'!$D$2:$D$1000="Après-vente")+('Agences &amp; Après-vente'!$D$2:$D$1000="Agences et Après-vente"))*('Agences &amp; Après-vente'!$I$2:$I$1000="DONE"))&gt;0,"✓",IF(SUMPRODUCT(MAX(('Agences &amp; Après-vente'!$A$2:$A$1000=$A120)*(('Agences &amp; Après-vente'!$D$2:$D$1000="Après-vente")+('Agences &amp; Après-vente'!$D$2:$D$1000="Agences et Après-vente"))*'Agences &amp; Après-vente'!$E$2:$E$1000))&gt;0,TEXT(SUMPRODUCT(MAX(('Agences &amp; Après-vente'!$A$2:$A$1000=$A120)*(('Agences &amp; Après-vente'!$D$2:$D$1000="Après-vente")+('Agences &amp; Après-vente'!$D$2:$D$1000="Agences et Après-vente"))*'Agences &amp; Après-vente'!$E$2:$E$1000)),"yyyy-mm-dd"),"")))))</f>
        <v>✓</v>
      </c>
      <c r="J120" s="131" t="str">
        <f aca="false">IF($T120="✓","✓",IF(ISNUMBER($T120),TEXT($T120,"yyyy-mm-dd"),IF($A120="","",IF($D120="Lisbonne","",IF(SUMPRODUCT(('Agences &amp; Après-vente'!$A$2:$A$1000=$A120)*(('Agences &amp; Après-vente'!$D$2:$D$1000="Après-vente")+('Agences &amp; Après-vente'!$D$2:$D$1000="Agences et Après-vente"))*('Agences &amp; Après-vente'!$I$2:$I$1000="DONE"))&gt;0,"✓",IF(SUMPRODUCT(MAX(('Agences &amp; Après-vente'!$A$2:$A$1000=$A120)*(('Agences &amp; Après-vente'!$D$2:$D$1000="Après-vente")+('Agences &amp; Après-vente'!$D$2:$D$1000="Agences et Après-vente"))*'Agences &amp; Après-vente'!$E$2:$E$1000))&gt;0,TEXT(SUMPRODUCT(MAX(('Agences &amp; Après-vente'!$A$2:$A$1000=$A120)*(('Agences &amp; Après-vente'!$D$2:$D$1000="Après-vente")+('Agences &amp; Après-vente'!$D$2:$D$1000="Agences et Après-vente"))*'Agences &amp; Après-vente'!$E$2:$E$1000)),"yyyy-mm-dd"),""))))))</f>
        <v/>
      </c>
      <c r="K120" s="131" t="str">
        <f aca="false">IF($U120="✓","✓",IF(ISNUMBER($U120),TEXT($U120,"yyyy-mm-dd"),IF($D120="Lisbonne","",IF($A120="","",IF(SUMPRODUCT((Evermont!$A$2:$A$1000=$A120)*(Evermont!$Q$2:$Q$1000="Terminé"))&gt;0,"✓",IF(SUMPRODUCT(MAX((Evermont!$A$2:$A$1000=$A120)*Evermont!$F$2:$F$1000))&gt;0,TEXT(SUMPRODUCT(MAX((Evermont!$A$2:$A$1000=$A120)*Evermont!$F$2:$F$1000)),"yyyy-mm-dd"),""))))))</f>
        <v/>
      </c>
      <c r="L120" s="132" t="n">
        <f aca="false">IF($A120="","",COUNTIF(E120:K120,"✓"))</f>
        <v>3</v>
      </c>
      <c r="M120" s="133" t="s">
        <v>172</v>
      </c>
      <c r="O120" s="134" t="s">
        <v>173</v>
      </c>
      <c r="P120" s="134"/>
      <c r="Q120" s="134" t="s">
        <v>173</v>
      </c>
      <c r="R120" s="134"/>
      <c r="S120" s="134"/>
      <c r="T120" s="134"/>
      <c r="U120" s="134"/>
      <c r="W120" s="135" t="str">
        <f aca="false">IF($A120="","",IF($X120&lt;&gt;"",$X120,IFERROR(INDEX('Formation Initiale'!$B$2:$B$999,MATCH($A120,'Formation Initiale'!$A$2:$A$999,0)),"Général")))</f>
        <v>OS2</v>
      </c>
      <c r="X120" s="136"/>
    </row>
    <row r="121" customFormat="false" ht="18" hidden="true" customHeight="true" outlineLevel="0" collapsed="false">
      <c r="A121" s="127" t="s">
        <v>523</v>
      </c>
      <c r="B121" s="128" t="s">
        <v>524</v>
      </c>
      <c r="C121" s="128" t="s">
        <v>525</v>
      </c>
      <c r="D121" s="129" t="s">
        <v>171</v>
      </c>
      <c r="E121" s="130" t="str">
        <f aca="false">IF($O121="✓","✓",IF(ISNUMBER($O121),TEXT($O121,"yyyy-mm-dd"),IF($A121="","",IF(SUMPRODUCT(('Formation Initiale'!$A$2:$A$999=$A121)*('Formation Initiale'!$R$2:$R$999="Terminé"))&gt;0,"✓",IF(SUMPRODUCT(MAX(('Formation Initiale'!$A$2:$A$999=$A121)*'Formation Initiale'!$G$2:$G$999))&gt;0,TEXT(SUMPRODUCT(MAX(('Formation Initiale'!$A$2:$A$999=$A121)*'Formation Initiale'!$G$2:$G$999)),"yyyy-mm-dd"),"")))))</f>
        <v>✓</v>
      </c>
      <c r="F121" s="131" t="str">
        <f aca="false">IF($P121="✓","✓",IF(ISNUMBER($P121),TEXT($P121,"yyyy-mm-dd"),IF($A121="","",IF($D121="Lisbonne","",IF(SUMPRODUCT(('Formation Initiale'!$A$2:$A$999=$A121)*('Formation Initiale'!$R$2:$R$999="Terminé"))&gt;0,"✓",IF(SUMPRODUCT(MAX(('Formation Initiale'!$A$2:$A$999=$A121)*'Formation Initiale'!$G$2:$G$999))&gt;0,TEXT(SUMPRODUCT(MAX(('Formation Initiale'!$A$2:$A$999=$A121)*'Formation Initiale'!$G$2:$G$999)),"yyyy-mm-dd"),""))))))</f>
        <v>✓</v>
      </c>
      <c r="G121" s="131" t="str">
        <f aca="false">IF($Q121="✓","✓",IF(ISNUMBER($Q121),TEXT($Q121,"yyyy-mm-dd"),IF($A121="","",IF(SUMPRODUCT(('Agences &amp; Après-vente'!$A$2:$A$1000=$A121)*(('Agences &amp; Après-vente'!$D$2:$D$1000="Agences")+('Agences &amp; Après-vente'!$D$2:$D$1000="Agences et Après-vente"))*('Agences &amp; Après-vente'!$I$2:$I$1000="DONE"))&gt;0,"✓",IF(SUMPRODUCT(MAX(('Agences &amp; Après-vente'!$A$2:$A$1000=$A121)*(('Agences &amp; Après-vente'!$D$2:$D$1000="Agences")+('Agences &amp; Après-vente'!$D$2:$D$1000="Agences et Après-vente"))*'Agences &amp; Après-vente'!$E$2:$E$1000))&gt;0,TEXT(SUMPRODUCT(MAX(('Agences &amp; Après-vente'!$A$2:$A$1000=$A121)*(('Agences &amp; Après-vente'!$D$2:$D$1000="Agences")+('Agences &amp; Après-vente'!$D$2:$D$1000="Agences et Après-vente"))*'Agences &amp; Après-vente'!$E$2:$E$1000)),"yyyy-mm-dd"),"")))))</f>
        <v>✓</v>
      </c>
      <c r="H121" s="131" t="str">
        <f aca="false">IF($R121="✓","✓",IF(ISNUMBER($R121),TEXT($R121,"yyyy-mm-dd"),IF($A121="","",IF($D121="Lisbonne","",IF(SUMPRODUCT(('Agences &amp; Après-vente'!$A$2:$A$1000=$A121)*(('Agences &amp; Après-vente'!$D$2:$D$1000="Agences")+('Agences &amp; Après-vente'!$D$2:$D$1000="Agences et Après-vente"))*('Agences &amp; Après-vente'!$I$2:$I$1000="DONE"))&gt;0,"✓",IF(SUMPRODUCT(MAX(('Agences &amp; Après-vente'!$A$2:$A$1000=$A121)*(('Agences &amp; Après-vente'!$D$2:$D$1000="Agences")+('Agences &amp; Après-vente'!$D$2:$D$1000="Agences et Après-vente"))*'Agences &amp; Après-vente'!$E$2:$E$1000))&gt;0,TEXT(SUMPRODUCT(MAX(('Agences &amp; Après-vente'!$A$2:$A$1000=$A121)*(('Agences &amp; Après-vente'!$D$2:$D$1000="Agences")+('Agences &amp; Après-vente'!$D$2:$D$1000="Agences et Après-vente"))*'Agences &amp; Après-vente'!$E$2:$E$1000)),"yyyy-mm-dd"),""))))))</f>
        <v>✓</v>
      </c>
      <c r="I121" s="131" t="str">
        <f aca="false">IF($S121="✓","✓",IF(ISNUMBER($S121),TEXT($S121,"yyyy-mm-dd"),IF($A121="","",IF(SUMPRODUCT(('Agences &amp; Après-vente'!$A$2:$A$1000=$A121)*(('Agences &amp; Après-vente'!$D$2:$D$1000="Après-vente")+('Agences &amp; Après-vente'!$D$2:$D$1000="Agences et Après-vente"))*('Agences &amp; Après-vente'!$I$2:$I$1000="DONE"))&gt;0,"✓",IF(SUMPRODUCT(MAX(('Agences &amp; Après-vente'!$A$2:$A$1000=$A121)*(('Agences &amp; Après-vente'!$D$2:$D$1000="Après-vente")+('Agences &amp; Après-vente'!$D$2:$D$1000="Agences et Après-vente"))*'Agences &amp; Après-vente'!$E$2:$E$1000))&gt;0,TEXT(SUMPRODUCT(MAX(('Agences &amp; Après-vente'!$A$2:$A$1000=$A121)*(('Agences &amp; Après-vente'!$D$2:$D$1000="Après-vente")+('Agences &amp; Après-vente'!$D$2:$D$1000="Agences et Après-vente"))*'Agences &amp; Après-vente'!$E$2:$E$1000)),"yyyy-mm-dd"),"")))))</f>
        <v>✓</v>
      </c>
      <c r="J121" s="131" t="str">
        <f aca="false">IF($T121="✓","✓",IF(ISNUMBER($T121),TEXT($T121,"yyyy-mm-dd"),IF($A121="","",IF($D121="Lisbonne","",IF(SUMPRODUCT(('Agences &amp; Après-vente'!$A$2:$A$1000=$A121)*(('Agences &amp; Après-vente'!$D$2:$D$1000="Après-vente")+('Agences &amp; Après-vente'!$D$2:$D$1000="Agences et Après-vente"))*('Agences &amp; Après-vente'!$I$2:$I$1000="DONE"))&gt;0,"✓",IF(SUMPRODUCT(MAX(('Agences &amp; Après-vente'!$A$2:$A$1000=$A121)*(('Agences &amp; Après-vente'!$D$2:$D$1000="Après-vente")+('Agences &amp; Après-vente'!$D$2:$D$1000="Agences et Après-vente"))*'Agences &amp; Après-vente'!$E$2:$E$1000))&gt;0,TEXT(SUMPRODUCT(MAX(('Agences &amp; Après-vente'!$A$2:$A$1000=$A121)*(('Agences &amp; Après-vente'!$D$2:$D$1000="Après-vente")+('Agences &amp; Après-vente'!$D$2:$D$1000="Agences et Après-vente"))*'Agences &amp; Après-vente'!$E$2:$E$1000)),"yyyy-mm-dd"),""))))))</f>
        <v>✓</v>
      </c>
      <c r="K121" s="131" t="str">
        <f aca="false">IF($U121="✓","✓",IF(ISNUMBER($U121),TEXT($U121,"yyyy-mm-dd"),IF($D121="Lisbonne","",IF($A121="","",IF(SUMPRODUCT((Evermont!$A$2:$A$1000=$A121)*(Evermont!$Q$2:$Q$1000="Terminé"))&gt;0,"✓",IF(SUMPRODUCT(MAX((Evermont!$A$2:$A$1000=$A121)*Evermont!$F$2:$F$1000))&gt;0,TEXT(SUMPRODUCT(MAX((Evermont!$A$2:$A$1000=$A121)*Evermont!$F$2:$F$1000)),"yyyy-mm-dd"),""))))))</f>
        <v>✓</v>
      </c>
      <c r="L121" s="132" t="n">
        <f aca="false">IF($A121="","",COUNTIF(E121:K121,"✓"))</f>
        <v>7</v>
      </c>
      <c r="M121" s="133" t="s">
        <v>172</v>
      </c>
      <c r="O121" s="134" t="s">
        <v>173</v>
      </c>
      <c r="P121" s="134" t="s">
        <v>173</v>
      </c>
      <c r="Q121" s="134" t="s">
        <v>173</v>
      </c>
      <c r="R121" s="134" t="s">
        <v>173</v>
      </c>
      <c r="S121" s="134" t="s">
        <v>173</v>
      </c>
      <c r="T121" s="134" t="s">
        <v>173</v>
      </c>
      <c r="U121" s="134" t="s">
        <v>173</v>
      </c>
      <c r="W121" s="135" t="str">
        <f aca="false">IF($A121="","",IF($X121&lt;&gt;"",$X121,IFERROR(INDEX('Formation Initiale'!$B$2:$B$999,MATCH($A121,'Formation Initiale'!$A$2:$A$999,0)),"Général")))</f>
        <v>Général</v>
      </c>
      <c r="X121" s="136"/>
    </row>
    <row r="122" customFormat="false" ht="18" hidden="true" customHeight="true" outlineLevel="0" collapsed="false">
      <c r="A122" s="127" t="s">
        <v>526</v>
      </c>
      <c r="B122" s="128" t="s">
        <v>275</v>
      </c>
      <c r="C122" s="128" t="s">
        <v>527</v>
      </c>
      <c r="D122" s="129" t="s">
        <v>171</v>
      </c>
      <c r="E122" s="130" t="str">
        <f aca="false">IF($O122="✓","✓",IF(ISNUMBER($O122),TEXT($O122,"yyyy-mm-dd"),IF($A122="","",IF(SUMPRODUCT(('Formation Initiale'!$A$2:$A$999=$A122)*('Formation Initiale'!$R$2:$R$999="Terminé"))&gt;0,"✓",IF(SUMPRODUCT(MAX(('Formation Initiale'!$A$2:$A$999=$A122)*'Formation Initiale'!$G$2:$G$999))&gt;0,TEXT(SUMPRODUCT(MAX(('Formation Initiale'!$A$2:$A$999=$A122)*'Formation Initiale'!$G$2:$G$999)),"yyyy-mm-dd"),"")))))</f>
        <v>✓</v>
      </c>
      <c r="F122" s="131" t="str">
        <f aca="false">IF($P122="✓","✓",IF(ISNUMBER($P122),TEXT($P122,"yyyy-mm-dd"),IF($A122="","",IF($D122="Lisbonne","",IF(SUMPRODUCT(('Formation Initiale'!$A$2:$A$999=$A122)*('Formation Initiale'!$R$2:$R$999="Terminé"))&gt;0,"✓",IF(SUMPRODUCT(MAX(('Formation Initiale'!$A$2:$A$999=$A122)*'Formation Initiale'!$G$2:$G$999))&gt;0,TEXT(SUMPRODUCT(MAX(('Formation Initiale'!$A$2:$A$999=$A122)*'Formation Initiale'!$G$2:$G$999)),"yyyy-mm-dd"),""))))))</f>
        <v>✓</v>
      </c>
      <c r="G122" s="131" t="str">
        <f aca="false">IF($Q122="✓","✓",IF(ISNUMBER($Q122),TEXT($Q122,"yyyy-mm-dd"),IF($A122="","",IF(SUMPRODUCT(('Agences &amp; Après-vente'!$A$2:$A$1000=$A122)*(('Agences &amp; Après-vente'!$D$2:$D$1000="Agences")+('Agences &amp; Après-vente'!$D$2:$D$1000="Agences et Après-vente"))*('Agences &amp; Après-vente'!$I$2:$I$1000="DONE"))&gt;0,"✓",IF(SUMPRODUCT(MAX(('Agences &amp; Après-vente'!$A$2:$A$1000=$A122)*(('Agences &amp; Après-vente'!$D$2:$D$1000="Agences")+('Agences &amp; Après-vente'!$D$2:$D$1000="Agences et Après-vente"))*'Agences &amp; Après-vente'!$E$2:$E$1000))&gt;0,TEXT(SUMPRODUCT(MAX(('Agences &amp; Après-vente'!$A$2:$A$1000=$A122)*(('Agences &amp; Après-vente'!$D$2:$D$1000="Agences")+('Agences &amp; Après-vente'!$D$2:$D$1000="Agences et Après-vente"))*'Agences &amp; Après-vente'!$E$2:$E$1000)),"yyyy-mm-dd"),"")))))</f>
        <v>✓</v>
      </c>
      <c r="H122" s="131" t="str">
        <f aca="false">IF($R122="✓","✓",IF(ISNUMBER($R122),TEXT($R122,"yyyy-mm-dd"),IF($A122="","",IF($D122="Lisbonne","",IF(SUMPRODUCT(('Agences &amp; Après-vente'!$A$2:$A$1000=$A122)*(('Agences &amp; Après-vente'!$D$2:$D$1000="Agences")+('Agences &amp; Après-vente'!$D$2:$D$1000="Agences et Après-vente"))*('Agences &amp; Après-vente'!$I$2:$I$1000="DONE"))&gt;0,"✓",IF(SUMPRODUCT(MAX(('Agences &amp; Après-vente'!$A$2:$A$1000=$A122)*(('Agences &amp; Après-vente'!$D$2:$D$1000="Agences")+('Agences &amp; Après-vente'!$D$2:$D$1000="Agences et Après-vente"))*'Agences &amp; Après-vente'!$E$2:$E$1000))&gt;0,TEXT(SUMPRODUCT(MAX(('Agences &amp; Après-vente'!$A$2:$A$1000=$A122)*(('Agences &amp; Après-vente'!$D$2:$D$1000="Agences")+('Agences &amp; Après-vente'!$D$2:$D$1000="Agences et Après-vente"))*'Agences &amp; Après-vente'!$E$2:$E$1000)),"yyyy-mm-dd"),""))))))</f>
        <v>✓</v>
      </c>
      <c r="I122" s="131" t="str">
        <f aca="false">IF($S122="✓","✓",IF(ISNUMBER($S122),TEXT($S122,"yyyy-mm-dd"),IF($A122="","",IF(SUMPRODUCT(('Agences &amp; Après-vente'!$A$2:$A$1000=$A122)*(('Agences &amp; Après-vente'!$D$2:$D$1000="Après-vente")+('Agences &amp; Après-vente'!$D$2:$D$1000="Agences et Après-vente"))*('Agences &amp; Après-vente'!$I$2:$I$1000="DONE"))&gt;0,"✓",IF(SUMPRODUCT(MAX(('Agences &amp; Après-vente'!$A$2:$A$1000=$A122)*(('Agences &amp; Après-vente'!$D$2:$D$1000="Après-vente")+('Agences &amp; Après-vente'!$D$2:$D$1000="Agences et Après-vente"))*'Agences &amp; Après-vente'!$E$2:$E$1000))&gt;0,TEXT(SUMPRODUCT(MAX(('Agences &amp; Après-vente'!$A$2:$A$1000=$A122)*(('Agences &amp; Après-vente'!$D$2:$D$1000="Après-vente")+('Agences &amp; Après-vente'!$D$2:$D$1000="Agences et Après-vente"))*'Agences &amp; Après-vente'!$E$2:$E$1000)),"yyyy-mm-dd"),"")))))</f>
        <v>✓</v>
      </c>
      <c r="J122" s="131" t="str">
        <f aca="false">IF($T122="✓","✓",IF(ISNUMBER($T122),TEXT($T122,"yyyy-mm-dd"),IF($A122="","",IF($D122="Lisbonne","",IF(SUMPRODUCT(('Agences &amp; Après-vente'!$A$2:$A$1000=$A122)*(('Agences &amp; Après-vente'!$D$2:$D$1000="Après-vente")+('Agences &amp; Après-vente'!$D$2:$D$1000="Agences et Après-vente"))*('Agences &amp; Après-vente'!$I$2:$I$1000="DONE"))&gt;0,"✓",IF(SUMPRODUCT(MAX(('Agences &amp; Après-vente'!$A$2:$A$1000=$A122)*(('Agences &amp; Après-vente'!$D$2:$D$1000="Après-vente")+('Agences &amp; Après-vente'!$D$2:$D$1000="Agences et Après-vente"))*'Agences &amp; Après-vente'!$E$2:$E$1000))&gt;0,TEXT(SUMPRODUCT(MAX(('Agences &amp; Après-vente'!$A$2:$A$1000=$A122)*(('Agences &amp; Après-vente'!$D$2:$D$1000="Après-vente")+('Agences &amp; Après-vente'!$D$2:$D$1000="Agences et Après-vente"))*'Agences &amp; Après-vente'!$E$2:$E$1000)),"yyyy-mm-dd"),""))))))</f>
        <v>✓</v>
      </c>
      <c r="K122" s="131" t="str">
        <f aca="false">IF($U122="✓","✓",IF(ISNUMBER($U122),TEXT($U122,"yyyy-mm-dd"),IF($D122="Lisbonne","",IF($A122="","",IF(SUMPRODUCT((Evermont!$A$2:$A$1000=$A122)*(Evermont!$Q$2:$Q$1000="Terminé"))&gt;0,"✓",IF(SUMPRODUCT(MAX((Evermont!$A$2:$A$1000=$A122)*Evermont!$F$2:$F$1000))&gt;0,TEXT(SUMPRODUCT(MAX((Evermont!$A$2:$A$1000=$A122)*Evermont!$F$2:$F$1000)),"yyyy-mm-dd"),""))))))</f>
        <v/>
      </c>
      <c r="L122" s="132" t="n">
        <f aca="false">IF($A122="","",COUNTIF(E122:K122,"✓"))</f>
        <v>6</v>
      </c>
      <c r="M122" s="133" t="s">
        <v>172</v>
      </c>
      <c r="O122" s="134" t="s">
        <v>173</v>
      </c>
      <c r="P122" s="134" t="s">
        <v>173</v>
      </c>
      <c r="Q122" s="134"/>
      <c r="R122" s="134"/>
      <c r="S122" s="134"/>
      <c r="T122" s="134"/>
      <c r="U122" s="134"/>
      <c r="W122" s="135" t="str">
        <f aca="false">IF($A122="","",IF($X122&lt;&gt;"",$X122,IFERROR(INDEX('Formation Initiale'!$B$2:$B$999,MATCH($A122,'Formation Initiale'!$A$2:$A$999,0)),"Général")))</f>
        <v>Général</v>
      </c>
      <c r="X122" s="136"/>
    </row>
    <row r="123" customFormat="false" ht="18" hidden="true" customHeight="true" outlineLevel="0" collapsed="false">
      <c r="A123" s="138" t="s">
        <v>528</v>
      </c>
      <c r="B123" s="128" t="s">
        <v>529</v>
      </c>
      <c r="C123" s="128" t="s">
        <v>530</v>
      </c>
      <c r="D123" s="129" t="s">
        <v>186</v>
      </c>
      <c r="E123" s="130" t="str">
        <f aca="false">IF($O123="✓","✓",IF(ISNUMBER($O123),TEXT($O123,"yyyy-mm-dd"),IF($A123="","",IF(SUMPRODUCT(('Formation Initiale'!$A$2:$A$999=$A123)*('Formation Initiale'!$R$2:$R$999="Terminé"))&gt;0,"✓",IF(SUMPRODUCT(MAX(('Formation Initiale'!$A$2:$A$999=$A123)*'Formation Initiale'!$G$2:$G$999))&gt;0,TEXT(SUMPRODUCT(MAX(('Formation Initiale'!$A$2:$A$999=$A123)*'Formation Initiale'!$G$2:$G$999)),"yyyy-mm-dd"),"")))))</f>
        <v>✓</v>
      </c>
      <c r="F123" s="131" t="str">
        <f aca="false">IF($P123="✓","✓",IF(ISNUMBER($P123),TEXT($P123,"yyyy-mm-dd"),IF($A123="","",IF($D123="Lisbonne","",IF(SUMPRODUCT(('Formation Initiale'!$A$2:$A$999=$A123)*('Formation Initiale'!$R$2:$R$999="Terminé"))&gt;0,"✓",IF(SUMPRODUCT(MAX(('Formation Initiale'!$A$2:$A$999=$A123)*'Formation Initiale'!$G$2:$G$999))&gt;0,TEXT(SUMPRODUCT(MAX(('Formation Initiale'!$A$2:$A$999=$A123)*'Formation Initiale'!$G$2:$G$999)),"yyyy-mm-dd"),""))))))</f>
        <v/>
      </c>
      <c r="G123" s="131" t="str">
        <f aca="false">IF($Q123="✓","✓",IF(ISNUMBER($Q123),TEXT($Q123,"yyyy-mm-dd"),IF($A123="","",IF(SUMPRODUCT(('Agences &amp; Après-vente'!$A$2:$A$1000=$A123)*(('Agences &amp; Après-vente'!$D$2:$D$1000="Agences")+('Agences &amp; Après-vente'!$D$2:$D$1000="Agences et Après-vente"))*('Agences &amp; Après-vente'!$I$2:$I$1000="DONE"))&gt;0,"✓",IF(SUMPRODUCT(MAX(('Agences &amp; Après-vente'!$A$2:$A$1000=$A123)*(('Agences &amp; Après-vente'!$D$2:$D$1000="Agences")+('Agences &amp; Après-vente'!$D$2:$D$1000="Agences et Après-vente"))*'Agences &amp; Après-vente'!$E$2:$E$1000))&gt;0,TEXT(SUMPRODUCT(MAX(('Agences &amp; Après-vente'!$A$2:$A$1000=$A123)*(('Agences &amp; Après-vente'!$D$2:$D$1000="Agences")+('Agences &amp; Après-vente'!$D$2:$D$1000="Agences et Après-vente"))*'Agences &amp; Après-vente'!$E$2:$E$1000)),"yyyy-mm-dd"),"")))))</f>
        <v/>
      </c>
      <c r="H123" s="131" t="str">
        <f aca="false">IF($R123="✓","✓",IF(ISNUMBER($R123),TEXT($R123,"yyyy-mm-dd"),IF($A123="","",IF($D123="Lisbonne","",IF(SUMPRODUCT(('Agences &amp; Après-vente'!$A$2:$A$1000=$A123)*(('Agences &amp; Après-vente'!$D$2:$D$1000="Agences")+('Agences &amp; Après-vente'!$D$2:$D$1000="Agences et Après-vente"))*('Agences &amp; Après-vente'!$I$2:$I$1000="DONE"))&gt;0,"✓",IF(SUMPRODUCT(MAX(('Agences &amp; Après-vente'!$A$2:$A$1000=$A123)*(('Agences &amp; Après-vente'!$D$2:$D$1000="Agences")+('Agences &amp; Après-vente'!$D$2:$D$1000="Agences et Après-vente"))*'Agences &amp; Après-vente'!$E$2:$E$1000))&gt;0,TEXT(SUMPRODUCT(MAX(('Agences &amp; Après-vente'!$A$2:$A$1000=$A123)*(('Agences &amp; Après-vente'!$D$2:$D$1000="Agences")+('Agences &amp; Après-vente'!$D$2:$D$1000="Agences et Après-vente"))*'Agences &amp; Après-vente'!$E$2:$E$1000)),"yyyy-mm-dd"),""))))))</f>
        <v/>
      </c>
      <c r="I123" s="131" t="str">
        <f aca="false">IF($S123="✓","✓",IF(ISNUMBER($S123),TEXT($S123,"yyyy-mm-dd"),IF($A123="","",IF(SUMPRODUCT(('Agences &amp; Après-vente'!$A$2:$A$1000=$A123)*(('Agences &amp; Après-vente'!$D$2:$D$1000="Après-vente")+('Agences &amp; Après-vente'!$D$2:$D$1000="Agences et Après-vente"))*('Agences &amp; Après-vente'!$I$2:$I$1000="DONE"))&gt;0,"✓",IF(SUMPRODUCT(MAX(('Agences &amp; Après-vente'!$A$2:$A$1000=$A123)*(('Agences &amp; Après-vente'!$D$2:$D$1000="Après-vente")+('Agences &amp; Après-vente'!$D$2:$D$1000="Agences et Après-vente"))*'Agences &amp; Après-vente'!$E$2:$E$1000))&gt;0,TEXT(SUMPRODUCT(MAX(('Agences &amp; Après-vente'!$A$2:$A$1000=$A123)*(('Agences &amp; Après-vente'!$D$2:$D$1000="Après-vente")+('Agences &amp; Après-vente'!$D$2:$D$1000="Agences et Après-vente"))*'Agences &amp; Après-vente'!$E$2:$E$1000)),"yyyy-mm-dd"),"")))))</f>
        <v/>
      </c>
      <c r="J123" s="131" t="str">
        <f aca="false">IF($T123="✓","✓",IF(ISNUMBER($T123),TEXT($T123,"yyyy-mm-dd"),IF($A123="","",IF($D123="Lisbonne","",IF(SUMPRODUCT(('Agences &amp; Après-vente'!$A$2:$A$1000=$A123)*(('Agences &amp; Après-vente'!$D$2:$D$1000="Après-vente")+('Agences &amp; Après-vente'!$D$2:$D$1000="Agences et Après-vente"))*('Agences &amp; Après-vente'!$I$2:$I$1000="DONE"))&gt;0,"✓",IF(SUMPRODUCT(MAX(('Agences &amp; Après-vente'!$A$2:$A$1000=$A123)*(('Agences &amp; Après-vente'!$D$2:$D$1000="Après-vente")+('Agences &amp; Après-vente'!$D$2:$D$1000="Agences et Après-vente"))*'Agences &amp; Après-vente'!$E$2:$E$1000))&gt;0,TEXT(SUMPRODUCT(MAX(('Agences &amp; Après-vente'!$A$2:$A$1000=$A123)*(('Agences &amp; Après-vente'!$D$2:$D$1000="Après-vente")+('Agences &amp; Après-vente'!$D$2:$D$1000="Agences et Après-vente"))*'Agences &amp; Après-vente'!$E$2:$E$1000)),"yyyy-mm-dd"),""))))))</f>
        <v/>
      </c>
      <c r="K123" s="131" t="str">
        <f aca="false">IF($U123="✓","✓",IF(ISNUMBER($U123),TEXT($U123,"yyyy-mm-dd"),IF($D123="Lisbonne","",IF($A123="","",IF(SUMPRODUCT((Evermont!$A$2:$A$1000=$A123)*(Evermont!$Q$2:$Q$1000="Terminé"))&gt;0,"✓",IF(SUMPRODUCT(MAX((Evermont!$A$2:$A$1000=$A123)*Evermont!$F$2:$F$1000))&gt;0,TEXT(SUMPRODUCT(MAX((Evermont!$A$2:$A$1000=$A123)*Evermont!$F$2:$F$1000)),"yyyy-mm-dd"),""))))))</f>
        <v/>
      </c>
      <c r="L123" s="132" t="n">
        <f aca="false">IF($A123="","",COUNTIF(E123:K123,"✓"))</f>
        <v>1</v>
      </c>
      <c r="M123" s="133" t="s">
        <v>196</v>
      </c>
      <c r="O123" s="134"/>
      <c r="P123" s="134"/>
      <c r="Q123" s="134"/>
      <c r="R123" s="134"/>
      <c r="S123" s="134"/>
      <c r="T123" s="134"/>
      <c r="U123" s="134"/>
      <c r="W123" s="135" t="str">
        <f aca="false">IF($A123="","",IF($X123&lt;&gt;"",$X123,IFERROR(INDEX('Formation Initiale'!$B$2:$B$999,MATCH($A123,'Formation Initiale'!$A$2:$A$999,0)),"Général")))</f>
        <v>OS1</v>
      </c>
      <c r="X123" s="136"/>
    </row>
    <row r="124" customFormat="false" ht="18" hidden="true" customHeight="true" outlineLevel="0" collapsed="false">
      <c r="A124" s="139" t="s">
        <v>531</v>
      </c>
      <c r="B124" s="128" t="s">
        <v>532</v>
      </c>
      <c r="C124" s="128" t="s">
        <v>533</v>
      </c>
      <c r="D124" s="129" t="s">
        <v>186</v>
      </c>
      <c r="E124" s="130" t="str">
        <f aca="false">IF($O124="✓","✓",IF(ISNUMBER($O124),TEXT($O124,"yyyy-mm-dd"),IF($A124="","",IF(SUMPRODUCT(('Formation Initiale'!$A$2:$A$999=$A124)*('Formation Initiale'!$R$2:$R$999="Terminé"))&gt;0,"✓",IF(SUMPRODUCT(MAX(('Formation Initiale'!$A$2:$A$999=$A124)*'Formation Initiale'!$G$2:$G$999))&gt;0,TEXT(SUMPRODUCT(MAX(('Formation Initiale'!$A$2:$A$999=$A124)*'Formation Initiale'!$G$2:$G$999)),"yyyy-mm-dd"),"")))))</f>
        <v>✓</v>
      </c>
      <c r="F124" s="131" t="str">
        <f aca="false">IF($P124="✓","✓",IF(ISNUMBER($P124),TEXT($P124,"yyyy-mm-dd"),IF($A124="","",IF($D124="Lisbonne","",IF(SUMPRODUCT(('Formation Initiale'!$A$2:$A$999=$A124)*('Formation Initiale'!$R$2:$R$999="Terminé"))&gt;0,"✓",IF(SUMPRODUCT(MAX(('Formation Initiale'!$A$2:$A$999=$A124)*'Formation Initiale'!$G$2:$G$999))&gt;0,TEXT(SUMPRODUCT(MAX(('Formation Initiale'!$A$2:$A$999=$A124)*'Formation Initiale'!$G$2:$G$999)),"yyyy-mm-dd"),""))))))</f>
        <v/>
      </c>
      <c r="G124" s="131" t="str">
        <f aca="false">IF($Q124="✓","✓",IF(ISNUMBER($Q124),TEXT($Q124,"yyyy-mm-dd"),IF($A124="","",IF(SUMPRODUCT(('Agences &amp; Après-vente'!$A$2:$A$1000=$A124)*(('Agences &amp; Après-vente'!$D$2:$D$1000="Agences")+('Agences &amp; Après-vente'!$D$2:$D$1000="Agences et Après-vente"))*('Agences &amp; Après-vente'!$I$2:$I$1000="DONE"))&gt;0,"✓",IF(SUMPRODUCT(MAX(('Agences &amp; Après-vente'!$A$2:$A$1000=$A124)*(('Agences &amp; Après-vente'!$D$2:$D$1000="Agences")+('Agences &amp; Après-vente'!$D$2:$D$1000="Agences et Après-vente"))*'Agences &amp; Après-vente'!$E$2:$E$1000))&gt;0,TEXT(SUMPRODUCT(MAX(('Agences &amp; Après-vente'!$A$2:$A$1000=$A124)*(('Agences &amp; Après-vente'!$D$2:$D$1000="Agences")+('Agences &amp; Après-vente'!$D$2:$D$1000="Agences et Après-vente"))*'Agences &amp; Après-vente'!$E$2:$E$1000)),"yyyy-mm-dd"),"")))))</f>
        <v/>
      </c>
      <c r="H124" s="131" t="str">
        <f aca="false">IF($R124="✓","✓",IF(ISNUMBER($R124),TEXT($R124,"yyyy-mm-dd"),IF($A124="","",IF($D124="Lisbonne","",IF(SUMPRODUCT(('Agences &amp; Après-vente'!$A$2:$A$1000=$A124)*(('Agences &amp; Après-vente'!$D$2:$D$1000="Agences")+('Agences &amp; Après-vente'!$D$2:$D$1000="Agences et Après-vente"))*('Agences &amp; Après-vente'!$I$2:$I$1000="DONE"))&gt;0,"✓",IF(SUMPRODUCT(MAX(('Agences &amp; Après-vente'!$A$2:$A$1000=$A124)*(('Agences &amp; Après-vente'!$D$2:$D$1000="Agences")+('Agences &amp; Après-vente'!$D$2:$D$1000="Agences et Après-vente"))*'Agences &amp; Après-vente'!$E$2:$E$1000))&gt;0,TEXT(SUMPRODUCT(MAX(('Agences &amp; Après-vente'!$A$2:$A$1000=$A124)*(('Agences &amp; Après-vente'!$D$2:$D$1000="Agences")+('Agences &amp; Après-vente'!$D$2:$D$1000="Agences et Après-vente"))*'Agences &amp; Après-vente'!$E$2:$E$1000)),"yyyy-mm-dd"),""))))))</f>
        <v/>
      </c>
      <c r="I124" s="131" t="str">
        <f aca="false">IF($S124="✓","✓",IF(ISNUMBER($S124),TEXT($S124,"yyyy-mm-dd"),IF($A124="","",IF(SUMPRODUCT(('Agences &amp; Après-vente'!$A$2:$A$1000=$A124)*(('Agences &amp; Après-vente'!$D$2:$D$1000="Après-vente")+('Agences &amp; Après-vente'!$D$2:$D$1000="Agences et Après-vente"))*('Agences &amp; Après-vente'!$I$2:$I$1000="DONE"))&gt;0,"✓",IF(SUMPRODUCT(MAX(('Agences &amp; Après-vente'!$A$2:$A$1000=$A124)*(('Agences &amp; Après-vente'!$D$2:$D$1000="Après-vente")+('Agences &amp; Après-vente'!$D$2:$D$1000="Agences et Après-vente"))*'Agences &amp; Après-vente'!$E$2:$E$1000))&gt;0,TEXT(SUMPRODUCT(MAX(('Agences &amp; Après-vente'!$A$2:$A$1000=$A124)*(('Agences &amp; Après-vente'!$D$2:$D$1000="Après-vente")+('Agences &amp; Après-vente'!$D$2:$D$1000="Agences et Après-vente"))*'Agences &amp; Après-vente'!$E$2:$E$1000)),"yyyy-mm-dd"),"")))))</f>
        <v/>
      </c>
      <c r="J124" s="131" t="str">
        <f aca="false">IF($T124="✓","✓",IF(ISNUMBER($T124),TEXT($T124,"yyyy-mm-dd"),IF($A124="","",IF($D124="Lisbonne","",IF(SUMPRODUCT(('Agences &amp; Après-vente'!$A$2:$A$1000=$A124)*(('Agences &amp; Après-vente'!$D$2:$D$1000="Après-vente")+('Agences &amp; Après-vente'!$D$2:$D$1000="Agences et Après-vente"))*('Agences &amp; Après-vente'!$I$2:$I$1000="DONE"))&gt;0,"✓",IF(SUMPRODUCT(MAX(('Agences &amp; Après-vente'!$A$2:$A$1000=$A124)*(('Agences &amp; Après-vente'!$D$2:$D$1000="Après-vente")+('Agences &amp; Après-vente'!$D$2:$D$1000="Agences et Après-vente"))*'Agences &amp; Après-vente'!$E$2:$E$1000))&gt;0,TEXT(SUMPRODUCT(MAX(('Agences &amp; Après-vente'!$A$2:$A$1000=$A124)*(('Agences &amp; Après-vente'!$D$2:$D$1000="Après-vente")+('Agences &amp; Après-vente'!$D$2:$D$1000="Agences et Après-vente"))*'Agences &amp; Après-vente'!$E$2:$E$1000)),"yyyy-mm-dd"),""))))))</f>
        <v/>
      </c>
      <c r="K124" s="131" t="str">
        <f aca="false">IF($U124="✓","✓",IF(ISNUMBER($U124),TEXT($U124,"yyyy-mm-dd"),IF($D124="Lisbonne","",IF($A124="","",IF(SUMPRODUCT((Evermont!$A$2:$A$1000=$A124)*(Evermont!$Q$2:$Q$1000="Terminé"))&gt;0,"✓",IF(SUMPRODUCT(MAX((Evermont!$A$2:$A$1000=$A124)*Evermont!$F$2:$F$1000))&gt;0,TEXT(SUMPRODUCT(MAX((Evermont!$A$2:$A$1000=$A124)*Evermont!$F$2:$F$1000)),"yyyy-mm-dd"),""))))))</f>
        <v/>
      </c>
      <c r="L124" s="132" t="n">
        <f aca="false">IF($A124="","",COUNTIF(E124:K124,"✓"))</f>
        <v>1</v>
      </c>
      <c r="M124" s="133" t="s">
        <v>172</v>
      </c>
      <c r="O124" s="134" t="s">
        <v>173</v>
      </c>
      <c r="P124" s="134"/>
      <c r="Q124" s="134"/>
      <c r="R124" s="134"/>
      <c r="S124" s="134"/>
      <c r="T124" s="134"/>
      <c r="U124" s="134"/>
      <c r="W124" s="135" t="str">
        <f aca="false">IF($A124="","",IF($X124&lt;&gt;"",$X124,IFERROR(INDEX('Formation Initiale'!$B$2:$B$999,MATCH($A124,'Formation Initiale'!$A$2:$A$999,0)),"Général")))</f>
        <v>OS6</v>
      </c>
      <c r="X124" s="136"/>
    </row>
    <row r="125" customFormat="false" ht="18" hidden="true" customHeight="true" outlineLevel="0" collapsed="false">
      <c r="A125" s="139" t="s">
        <v>534</v>
      </c>
      <c r="B125" s="128" t="s">
        <v>535</v>
      </c>
      <c r="C125" s="128" t="s">
        <v>536</v>
      </c>
      <c r="D125" s="129" t="s">
        <v>186</v>
      </c>
      <c r="E125" s="130" t="str">
        <f aca="false">IF($O125="✓","✓",IF(ISNUMBER($O125),TEXT($O125,"yyyy-mm-dd"),IF($A125="","",IF(SUMPRODUCT(('Formation Initiale'!$A$2:$A$999=$A125)*('Formation Initiale'!$R$2:$R$999="Terminé"))&gt;0,"✓",IF(SUMPRODUCT(MAX(('Formation Initiale'!$A$2:$A$999=$A125)*'Formation Initiale'!$G$2:$G$999))&gt;0,TEXT(SUMPRODUCT(MAX(('Formation Initiale'!$A$2:$A$999=$A125)*'Formation Initiale'!$G$2:$G$999)),"yyyy-mm-dd"),"")))))</f>
        <v>✓</v>
      </c>
      <c r="F125" s="131" t="str">
        <f aca="false">IF($P125="✓","✓",IF(ISNUMBER($P125),TEXT($P125,"yyyy-mm-dd"),IF($A125="","",IF($D125="Lisbonne","",IF(SUMPRODUCT(('Formation Initiale'!$A$2:$A$999=$A125)*('Formation Initiale'!$R$2:$R$999="Terminé"))&gt;0,"✓",IF(SUMPRODUCT(MAX(('Formation Initiale'!$A$2:$A$999=$A125)*'Formation Initiale'!$G$2:$G$999))&gt;0,TEXT(SUMPRODUCT(MAX(('Formation Initiale'!$A$2:$A$999=$A125)*'Formation Initiale'!$G$2:$G$999)),"yyyy-mm-dd"),""))))))</f>
        <v/>
      </c>
      <c r="G125" s="131" t="str">
        <f aca="false">IF($Q125="✓","✓",IF(ISNUMBER($Q125),TEXT($Q125,"yyyy-mm-dd"),IF($A125="","",IF(SUMPRODUCT(('Agences &amp; Après-vente'!$A$2:$A$1000=$A125)*(('Agences &amp; Après-vente'!$D$2:$D$1000="Agences")+('Agences &amp; Après-vente'!$D$2:$D$1000="Agences et Après-vente"))*('Agences &amp; Après-vente'!$I$2:$I$1000="DONE"))&gt;0,"✓",IF(SUMPRODUCT(MAX(('Agences &amp; Après-vente'!$A$2:$A$1000=$A125)*(('Agences &amp; Après-vente'!$D$2:$D$1000="Agences")+('Agences &amp; Après-vente'!$D$2:$D$1000="Agences et Après-vente"))*'Agences &amp; Après-vente'!$E$2:$E$1000))&gt;0,TEXT(SUMPRODUCT(MAX(('Agences &amp; Après-vente'!$A$2:$A$1000=$A125)*(('Agences &amp; Après-vente'!$D$2:$D$1000="Agences")+('Agences &amp; Après-vente'!$D$2:$D$1000="Agences et Après-vente"))*'Agences &amp; Après-vente'!$E$2:$E$1000)),"yyyy-mm-dd"),"")))))</f>
        <v/>
      </c>
      <c r="H125" s="131" t="str">
        <f aca="false">IF($R125="✓","✓",IF(ISNUMBER($R125),TEXT($R125,"yyyy-mm-dd"),IF($A125="","",IF($D125="Lisbonne","",IF(SUMPRODUCT(('Agences &amp; Après-vente'!$A$2:$A$1000=$A125)*(('Agences &amp; Après-vente'!$D$2:$D$1000="Agences")+('Agences &amp; Après-vente'!$D$2:$D$1000="Agences et Après-vente"))*('Agences &amp; Après-vente'!$I$2:$I$1000="DONE"))&gt;0,"✓",IF(SUMPRODUCT(MAX(('Agences &amp; Après-vente'!$A$2:$A$1000=$A125)*(('Agences &amp; Après-vente'!$D$2:$D$1000="Agences")+('Agences &amp; Après-vente'!$D$2:$D$1000="Agences et Après-vente"))*'Agences &amp; Après-vente'!$E$2:$E$1000))&gt;0,TEXT(SUMPRODUCT(MAX(('Agences &amp; Après-vente'!$A$2:$A$1000=$A125)*(('Agences &amp; Après-vente'!$D$2:$D$1000="Agences")+('Agences &amp; Après-vente'!$D$2:$D$1000="Agences et Après-vente"))*'Agences &amp; Après-vente'!$E$2:$E$1000)),"yyyy-mm-dd"),""))))))</f>
        <v/>
      </c>
      <c r="I125" s="131" t="str">
        <f aca="false">IF($S125="✓","✓",IF(ISNUMBER($S125),TEXT($S125,"yyyy-mm-dd"),IF($A125="","",IF(SUMPRODUCT(('Agences &amp; Après-vente'!$A$2:$A$1000=$A125)*(('Agences &amp; Après-vente'!$D$2:$D$1000="Après-vente")+('Agences &amp; Après-vente'!$D$2:$D$1000="Agences et Après-vente"))*('Agences &amp; Après-vente'!$I$2:$I$1000="DONE"))&gt;0,"✓",IF(SUMPRODUCT(MAX(('Agences &amp; Après-vente'!$A$2:$A$1000=$A125)*(('Agences &amp; Après-vente'!$D$2:$D$1000="Après-vente")+('Agences &amp; Après-vente'!$D$2:$D$1000="Agences et Après-vente"))*'Agences &amp; Après-vente'!$E$2:$E$1000))&gt;0,TEXT(SUMPRODUCT(MAX(('Agences &amp; Après-vente'!$A$2:$A$1000=$A125)*(('Agences &amp; Après-vente'!$D$2:$D$1000="Après-vente")+('Agences &amp; Après-vente'!$D$2:$D$1000="Agences et Après-vente"))*'Agences &amp; Après-vente'!$E$2:$E$1000)),"yyyy-mm-dd"),"")))))</f>
        <v/>
      </c>
      <c r="J125" s="131" t="str">
        <f aca="false">IF($T125="✓","✓",IF(ISNUMBER($T125),TEXT($T125,"yyyy-mm-dd"),IF($A125="","",IF($D125="Lisbonne","",IF(SUMPRODUCT(('Agences &amp; Après-vente'!$A$2:$A$1000=$A125)*(('Agences &amp; Après-vente'!$D$2:$D$1000="Après-vente")+('Agences &amp; Après-vente'!$D$2:$D$1000="Agences et Après-vente"))*('Agences &amp; Après-vente'!$I$2:$I$1000="DONE"))&gt;0,"✓",IF(SUMPRODUCT(MAX(('Agences &amp; Après-vente'!$A$2:$A$1000=$A125)*(('Agences &amp; Après-vente'!$D$2:$D$1000="Après-vente")+('Agences &amp; Après-vente'!$D$2:$D$1000="Agences et Après-vente"))*'Agences &amp; Après-vente'!$E$2:$E$1000))&gt;0,TEXT(SUMPRODUCT(MAX(('Agences &amp; Après-vente'!$A$2:$A$1000=$A125)*(('Agences &amp; Après-vente'!$D$2:$D$1000="Après-vente")+('Agences &amp; Après-vente'!$D$2:$D$1000="Agences et Après-vente"))*'Agences &amp; Après-vente'!$E$2:$E$1000)),"yyyy-mm-dd"),""))))))</f>
        <v/>
      </c>
      <c r="K125" s="131" t="str">
        <f aca="false">IF($U125="✓","✓",IF(ISNUMBER($U125),TEXT($U125,"yyyy-mm-dd"),IF($D125="Lisbonne","",IF($A125="","",IF(SUMPRODUCT((Evermont!$A$2:$A$1000=$A125)*(Evermont!$Q$2:$Q$1000="Terminé"))&gt;0,"✓",IF(SUMPRODUCT(MAX((Evermont!$A$2:$A$1000=$A125)*Evermont!$F$2:$F$1000))&gt;0,TEXT(SUMPRODUCT(MAX((Evermont!$A$2:$A$1000=$A125)*Evermont!$F$2:$F$1000)),"yyyy-mm-dd"),""))))))</f>
        <v/>
      </c>
      <c r="L125" s="132" t="n">
        <f aca="false">IF($A125="","",COUNTIF(E125:K125,"✓"))</f>
        <v>1</v>
      </c>
      <c r="M125" s="133" t="s">
        <v>196</v>
      </c>
      <c r="O125" s="134"/>
      <c r="P125" s="134"/>
      <c r="Q125" s="134"/>
      <c r="R125" s="134"/>
      <c r="S125" s="134"/>
      <c r="T125" s="134"/>
      <c r="U125" s="134"/>
      <c r="W125" s="135" t="str">
        <f aca="false">IF($A125="","",IF($X125&lt;&gt;"",$X125,IFERROR(INDEX('Formation Initiale'!$B$2:$B$999,MATCH($A125,'Formation Initiale'!$A$2:$A$999,0)),"Général")))</f>
        <v>OS2</v>
      </c>
      <c r="X125" s="136"/>
    </row>
    <row r="126" customFormat="false" ht="18" hidden="true" customHeight="true" outlineLevel="0" collapsed="false">
      <c r="A126" s="139" t="s">
        <v>537</v>
      </c>
      <c r="B126" s="128" t="s">
        <v>538</v>
      </c>
      <c r="C126" s="128" t="s">
        <v>536</v>
      </c>
      <c r="D126" s="129" t="s">
        <v>186</v>
      </c>
      <c r="E126" s="130" t="str">
        <f aca="false">IF($O126="✓","✓",IF(ISNUMBER($O126),TEXT($O126,"yyyy-mm-dd"),IF($A126="","",IF(SUMPRODUCT(('Formation Initiale'!$A$2:$A$999=$A126)*('Formation Initiale'!$R$2:$R$999="Terminé"))&gt;0,"✓",IF(SUMPRODUCT(MAX(('Formation Initiale'!$A$2:$A$999=$A126)*'Formation Initiale'!$G$2:$G$999))&gt;0,TEXT(SUMPRODUCT(MAX(('Formation Initiale'!$A$2:$A$999=$A126)*'Formation Initiale'!$G$2:$G$999)),"yyyy-mm-dd"),"")))))</f>
        <v>✓</v>
      </c>
      <c r="F126" s="131" t="str">
        <f aca="false">IF($P126="✓","✓",IF(ISNUMBER($P126),TEXT($P126,"yyyy-mm-dd"),IF($A126="","",IF($D126="Lisbonne","",IF(SUMPRODUCT(('Formation Initiale'!$A$2:$A$999=$A126)*('Formation Initiale'!$R$2:$R$999="Terminé"))&gt;0,"✓",IF(SUMPRODUCT(MAX(('Formation Initiale'!$A$2:$A$999=$A126)*'Formation Initiale'!$G$2:$G$999))&gt;0,TEXT(SUMPRODUCT(MAX(('Formation Initiale'!$A$2:$A$999=$A126)*'Formation Initiale'!$G$2:$G$999)),"yyyy-mm-dd"),""))))))</f>
        <v/>
      </c>
      <c r="G126" s="131" t="str">
        <f aca="false">IF($Q126="✓","✓",IF(ISNUMBER($Q126),TEXT($Q126,"yyyy-mm-dd"),IF($A126="","",IF(SUMPRODUCT(('Agences &amp; Après-vente'!$A$2:$A$1000=$A126)*(('Agences &amp; Après-vente'!$D$2:$D$1000="Agences")+('Agences &amp; Après-vente'!$D$2:$D$1000="Agences et Après-vente"))*('Agences &amp; Après-vente'!$I$2:$I$1000="DONE"))&gt;0,"✓",IF(SUMPRODUCT(MAX(('Agences &amp; Après-vente'!$A$2:$A$1000=$A126)*(('Agences &amp; Après-vente'!$D$2:$D$1000="Agences")+('Agences &amp; Après-vente'!$D$2:$D$1000="Agences et Après-vente"))*'Agences &amp; Après-vente'!$E$2:$E$1000))&gt;0,TEXT(SUMPRODUCT(MAX(('Agences &amp; Après-vente'!$A$2:$A$1000=$A126)*(('Agences &amp; Après-vente'!$D$2:$D$1000="Agences")+('Agences &amp; Après-vente'!$D$2:$D$1000="Agences et Après-vente"))*'Agences &amp; Après-vente'!$E$2:$E$1000)),"yyyy-mm-dd"),"")))))</f>
        <v/>
      </c>
      <c r="H126" s="131" t="str">
        <f aca="false">IF($R126="✓","✓",IF(ISNUMBER($R126),TEXT($R126,"yyyy-mm-dd"),IF($A126="","",IF($D126="Lisbonne","",IF(SUMPRODUCT(('Agences &amp; Après-vente'!$A$2:$A$1000=$A126)*(('Agences &amp; Après-vente'!$D$2:$D$1000="Agences")+('Agences &amp; Après-vente'!$D$2:$D$1000="Agences et Après-vente"))*('Agences &amp; Après-vente'!$I$2:$I$1000="DONE"))&gt;0,"✓",IF(SUMPRODUCT(MAX(('Agences &amp; Après-vente'!$A$2:$A$1000=$A126)*(('Agences &amp; Après-vente'!$D$2:$D$1000="Agences")+('Agences &amp; Après-vente'!$D$2:$D$1000="Agences et Après-vente"))*'Agences &amp; Après-vente'!$E$2:$E$1000))&gt;0,TEXT(SUMPRODUCT(MAX(('Agences &amp; Après-vente'!$A$2:$A$1000=$A126)*(('Agences &amp; Après-vente'!$D$2:$D$1000="Agences")+('Agences &amp; Après-vente'!$D$2:$D$1000="Agences et Après-vente"))*'Agences &amp; Après-vente'!$E$2:$E$1000)),"yyyy-mm-dd"),""))))))</f>
        <v/>
      </c>
      <c r="I126" s="131" t="str">
        <f aca="false">IF($S126="✓","✓",IF(ISNUMBER($S126),TEXT($S126,"yyyy-mm-dd"),IF($A126="","",IF(SUMPRODUCT(('Agences &amp; Après-vente'!$A$2:$A$1000=$A126)*(('Agences &amp; Après-vente'!$D$2:$D$1000="Après-vente")+('Agences &amp; Après-vente'!$D$2:$D$1000="Agences et Après-vente"))*('Agences &amp; Après-vente'!$I$2:$I$1000="DONE"))&gt;0,"✓",IF(SUMPRODUCT(MAX(('Agences &amp; Après-vente'!$A$2:$A$1000=$A126)*(('Agences &amp; Après-vente'!$D$2:$D$1000="Après-vente")+('Agences &amp; Après-vente'!$D$2:$D$1000="Agences et Après-vente"))*'Agences &amp; Après-vente'!$E$2:$E$1000))&gt;0,TEXT(SUMPRODUCT(MAX(('Agences &amp; Après-vente'!$A$2:$A$1000=$A126)*(('Agences &amp; Après-vente'!$D$2:$D$1000="Après-vente")+('Agences &amp; Après-vente'!$D$2:$D$1000="Agences et Après-vente"))*'Agences &amp; Après-vente'!$E$2:$E$1000)),"yyyy-mm-dd"),"")))))</f>
        <v/>
      </c>
      <c r="J126" s="131" t="str">
        <f aca="false">IF($T126="✓","✓",IF(ISNUMBER($T126),TEXT($T126,"yyyy-mm-dd"),IF($A126="","",IF($D126="Lisbonne","",IF(SUMPRODUCT(('Agences &amp; Après-vente'!$A$2:$A$1000=$A126)*(('Agences &amp; Après-vente'!$D$2:$D$1000="Après-vente")+('Agences &amp; Après-vente'!$D$2:$D$1000="Agences et Après-vente"))*('Agences &amp; Après-vente'!$I$2:$I$1000="DONE"))&gt;0,"✓",IF(SUMPRODUCT(MAX(('Agences &amp; Après-vente'!$A$2:$A$1000=$A126)*(('Agences &amp; Après-vente'!$D$2:$D$1000="Après-vente")+('Agences &amp; Après-vente'!$D$2:$D$1000="Agences et Après-vente"))*'Agences &amp; Après-vente'!$E$2:$E$1000))&gt;0,TEXT(SUMPRODUCT(MAX(('Agences &amp; Après-vente'!$A$2:$A$1000=$A126)*(('Agences &amp; Après-vente'!$D$2:$D$1000="Après-vente")+('Agences &amp; Après-vente'!$D$2:$D$1000="Agences et Après-vente"))*'Agences &amp; Après-vente'!$E$2:$E$1000)),"yyyy-mm-dd"),""))))))</f>
        <v/>
      </c>
      <c r="K126" s="131" t="str">
        <f aca="false">IF($U126="✓","✓",IF(ISNUMBER($U126),TEXT($U126,"yyyy-mm-dd"),IF($D126="Lisbonne","",IF($A126="","",IF(SUMPRODUCT((Evermont!$A$2:$A$1000=$A126)*(Evermont!$Q$2:$Q$1000="Terminé"))&gt;0,"✓",IF(SUMPRODUCT(MAX((Evermont!$A$2:$A$1000=$A126)*Evermont!$F$2:$F$1000))&gt;0,TEXT(SUMPRODUCT(MAX((Evermont!$A$2:$A$1000=$A126)*Evermont!$F$2:$F$1000)),"yyyy-mm-dd"),""))))))</f>
        <v/>
      </c>
      <c r="L126" s="132" t="n">
        <f aca="false">IF($A126="","",COUNTIF(E126:K126,"✓"))</f>
        <v>1</v>
      </c>
      <c r="M126" s="133" t="s">
        <v>196</v>
      </c>
      <c r="O126" s="134"/>
      <c r="P126" s="134"/>
      <c r="Q126" s="134"/>
      <c r="R126" s="134"/>
      <c r="S126" s="134"/>
      <c r="T126" s="134"/>
      <c r="U126" s="134"/>
      <c r="W126" s="135" t="str">
        <f aca="false">IF($A126="","",IF($X126&lt;&gt;"",$X126,IFERROR(INDEX('Formation Initiale'!$B$2:$B$999,MATCH($A126,'Formation Initiale'!$A$2:$A$999,0)),"Général")))</f>
        <v>OS2</v>
      </c>
      <c r="X126" s="136"/>
    </row>
    <row r="127" customFormat="false" ht="18" hidden="true" customHeight="true" outlineLevel="0" collapsed="false">
      <c r="A127" s="140" t="s">
        <v>539</v>
      </c>
      <c r="B127" s="128" t="s">
        <v>540</v>
      </c>
      <c r="C127" s="128" t="s">
        <v>541</v>
      </c>
      <c r="D127" s="129" t="s">
        <v>171</v>
      </c>
      <c r="E127" s="130" t="str">
        <f aca="false">IF($O127="✓","✓",IF(ISNUMBER($O127),TEXT($O127,"yyyy-mm-dd"),IF($A127="","",IF(SUMPRODUCT(('Formation Initiale'!$A$2:$A$999=$A127)*('Formation Initiale'!$R$2:$R$999="Terminé"))&gt;0,"✓",IF(SUMPRODUCT(MAX(('Formation Initiale'!$A$2:$A$999=$A127)*'Formation Initiale'!$G$2:$G$999))&gt;0,TEXT(SUMPRODUCT(MAX(('Formation Initiale'!$A$2:$A$999=$A127)*'Formation Initiale'!$G$2:$G$999)),"yyyy-mm-dd"),"")))))</f>
        <v>✓</v>
      </c>
      <c r="F127" s="131" t="str">
        <f aca="false">IF($P127="✓","✓",IF(ISNUMBER($P127),TEXT($P127,"yyyy-mm-dd"),IF($A127="","",IF($D127="Lisbonne","",IF(SUMPRODUCT(('Formation Initiale'!$A$2:$A$999=$A127)*('Formation Initiale'!$R$2:$R$999="Terminé"))&gt;0,"✓",IF(SUMPRODUCT(MAX(('Formation Initiale'!$A$2:$A$999=$A127)*'Formation Initiale'!$G$2:$G$999))&gt;0,TEXT(SUMPRODUCT(MAX(('Formation Initiale'!$A$2:$A$999=$A127)*'Formation Initiale'!$G$2:$G$999)),"yyyy-mm-dd"),""))))))</f>
        <v>✓</v>
      </c>
      <c r="G127" s="131" t="str">
        <f aca="false">IF($Q127="✓","✓",IF(ISNUMBER($Q127),TEXT($Q127,"yyyy-mm-dd"),IF($A127="","",IF(SUMPRODUCT(('Agences &amp; Après-vente'!$A$2:$A$1000=$A127)*(('Agences &amp; Après-vente'!$D$2:$D$1000="Agences")+('Agences &amp; Après-vente'!$D$2:$D$1000="Agences et Après-vente"))*('Agences &amp; Après-vente'!$I$2:$I$1000="DONE"))&gt;0,"✓",IF(SUMPRODUCT(MAX(('Agences &amp; Après-vente'!$A$2:$A$1000=$A127)*(('Agences &amp; Après-vente'!$D$2:$D$1000="Agences")+('Agences &amp; Après-vente'!$D$2:$D$1000="Agences et Après-vente"))*'Agences &amp; Après-vente'!$E$2:$E$1000))&gt;0,TEXT(SUMPRODUCT(MAX(('Agences &amp; Après-vente'!$A$2:$A$1000=$A127)*(('Agences &amp; Après-vente'!$D$2:$D$1000="Agences")+('Agences &amp; Après-vente'!$D$2:$D$1000="Agences et Après-vente"))*'Agences &amp; Après-vente'!$E$2:$E$1000)),"yyyy-mm-dd"),"")))))</f>
        <v>✓</v>
      </c>
      <c r="H127" s="131" t="str">
        <f aca="false">IF($R127="✓","✓",IF(ISNUMBER($R127),TEXT($R127,"yyyy-mm-dd"),IF($A127="","",IF($D127="Lisbonne","",IF(SUMPRODUCT(('Agences &amp; Après-vente'!$A$2:$A$1000=$A127)*(('Agences &amp; Après-vente'!$D$2:$D$1000="Agences")+('Agences &amp; Après-vente'!$D$2:$D$1000="Agences et Après-vente"))*('Agences &amp; Après-vente'!$I$2:$I$1000="DONE"))&gt;0,"✓",IF(SUMPRODUCT(MAX(('Agences &amp; Après-vente'!$A$2:$A$1000=$A127)*(('Agences &amp; Après-vente'!$D$2:$D$1000="Agences")+('Agences &amp; Après-vente'!$D$2:$D$1000="Agences et Après-vente"))*'Agences &amp; Après-vente'!$E$2:$E$1000))&gt;0,TEXT(SUMPRODUCT(MAX(('Agences &amp; Après-vente'!$A$2:$A$1000=$A127)*(('Agences &amp; Après-vente'!$D$2:$D$1000="Agences")+('Agences &amp; Après-vente'!$D$2:$D$1000="Agences et Après-vente"))*'Agences &amp; Après-vente'!$E$2:$E$1000)),"yyyy-mm-dd"),""))))))</f>
        <v>✓</v>
      </c>
      <c r="I127" s="131" t="str">
        <f aca="false">IF($S127="✓","✓",IF(ISNUMBER($S127),TEXT($S127,"yyyy-mm-dd"),IF($A127="","",IF(SUMPRODUCT(('Agences &amp; Après-vente'!$A$2:$A$1000=$A127)*(('Agences &amp; Après-vente'!$D$2:$D$1000="Après-vente")+('Agences &amp; Après-vente'!$D$2:$D$1000="Agences et Après-vente"))*('Agences &amp; Après-vente'!$I$2:$I$1000="DONE"))&gt;0,"✓",IF(SUMPRODUCT(MAX(('Agences &amp; Après-vente'!$A$2:$A$1000=$A127)*(('Agences &amp; Après-vente'!$D$2:$D$1000="Après-vente")+('Agences &amp; Après-vente'!$D$2:$D$1000="Agences et Après-vente"))*'Agences &amp; Après-vente'!$E$2:$E$1000))&gt;0,TEXT(SUMPRODUCT(MAX(('Agences &amp; Après-vente'!$A$2:$A$1000=$A127)*(('Agences &amp; Après-vente'!$D$2:$D$1000="Après-vente")+('Agences &amp; Après-vente'!$D$2:$D$1000="Agences et Après-vente"))*'Agences &amp; Après-vente'!$E$2:$E$1000)),"yyyy-mm-dd"),"")))))</f>
        <v/>
      </c>
      <c r="J127" s="131" t="str">
        <f aca="false">IF($T127="✓","✓",IF(ISNUMBER($T127),TEXT($T127,"yyyy-mm-dd"),IF($A127="","",IF($D127="Lisbonne","",IF(SUMPRODUCT(('Agences &amp; Après-vente'!$A$2:$A$1000=$A127)*(('Agences &amp; Après-vente'!$D$2:$D$1000="Après-vente")+('Agences &amp; Après-vente'!$D$2:$D$1000="Agences et Après-vente"))*('Agences &amp; Après-vente'!$I$2:$I$1000="DONE"))&gt;0,"✓",IF(SUMPRODUCT(MAX(('Agences &amp; Après-vente'!$A$2:$A$1000=$A127)*(('Agences &amp; Après-vente'!$D$2:$D$1000="Après-vente")+('Agences &amp; Après-vente'!$D$2:$D$1000="Agences et Après-vente"))*'Agences &amp; Après-vente'!$E$2:$E$1000))&gt;0,TEXT(SUMPRODUCT(MAX(('Agences &amp; Après-vente'!$A$2:$A$1000=$A127)*(('Agences &amp; Après-vente'!$D$2:$D$1000="Après-vente")+('Agences &amp; Après-vente'!$D$2:$D$1000="Agences et Après-vente"))*'Agences &amp; Après-vente'!$E$2:$E$1000)),"yyyy-mm-dd"),""))))))</f>
        <v/>
      </c>
      <c r="K127" s="131" t="str">
        <f aca="false">IF($U127="✓","✓",IF(ISNUMBER($U127),TEXT($U127,"yyyy-mm-dd"),IF($D127="Lisbonne","",IF($A127="","",IF(SUMPRODUCT((Evermont!$A$2:$A$1000=$A127)*(Evermont!$Q$2:$Q$1000="Terminé"))&gt;0,"✓",IF(SUMPRODUCT(MAX((Evermont!$A$2:$A$1000=$A127)*Evermont!$F$2:$F$1000))&gt;0,TEXT(SUMPRODUCT(MAX((Evermont!$A$2:$A$1000=$A127)*Evermont!$F$2:$F$1000)),"yyyy-mm-dd"),""))))))</f>
        <v>✓</v>
      </c>
      <c r="L127" s="132" t="n">
        <f aca="false">IF($A127="","",COUNTIF(E127:K127,"✓"))</f>
        <v>5</v>
      </c>
      <c r="M127" s="133" t="s">
        <v>196</v>
      </c>
      <c r="O127" s="134" t="s">
        <v>173</v>
      </c>
      <c r="P127" s="134" t="s">
        <v>173</v>
      </c>
      <c r="Q127" s="134" t="s">
        <v>173</v>
      </c>
      <c r="R127" s="134" t="s">
        <v>173</v>
      </c>
      <c r="S127" s="134"/>
      <c r="T127" s="134"/>
      <c r="U127" s="134" t="s">
        <v>173</v>
      </c>
      <c r="W127" s="135" t="str">
        <f aca="false">IF($A127="","",IF($X127&lt;&gt;"",$X127,IFERROR(INDEX('Formation Initiale'!$B$2:$B$999,MATCH($A127,'Formation Initiale'!$A$2:$A$999,0)),"Général")))</f>
        <v>Général</v>
      </c>
      <c r="X127" s="136"/>
    </row>
    <row r="128" customFormat="false" ht="18" hidden="true" customHeight="true" outlineLevel="0" collapsed="false">
      <c r="A128" s="127" t="s">
        <v>542</v>
      </c>
      <c r="B128" s="128" t="s">
        <v>543</v>
      </c>
      <c r="C128" s="128" t="s">
        <v>544</v>
      </c>
      <c r="D128" s="129" t="s">
        <v>171</v>
      </c>
      <c r="E128" s="130" t="str">
        <f aca="false">IF($O128="✓","✓",IF(ISNUMBER($O128),TEXT($O128,"yyyy-mm-dd"),IF($A128="","",IF(SUMPRODUCT(('Formation Initiale'!$A$2:$A$999=$A128)*('Formation Initiale'!$R$2:$R$999="Terminé"))&gt;0,"✓",IF(SUMPRODUCT(MAX(('Formation Initiale'!$A$2:$A$999=$A128)*'Formation Initiale'!$G$2:$G$999))&gt;0,TEXT(SUMPRODUCT(MAX(('Formation Initiale'!$A$2:$A$999=$A128)*'Formation Initiale'!$G$2:$G$999)),"yyyy-mm-dd"),"")))))</f>
        <v>✓</v>
      </c>
      <c r="F128" s="131" t="str">
        <f aca="false">IF($P128="✓","✓",IF(ISNUMBER($P128),TEXT($P128,"yyyy-mm-dd"),IF($A128="","",IF($D128="Lisbonne","",IF(SUMPRODUCT(('Formation Initiale'!$A$2:$A$999=$A128)*('Formation Initiale'!$R$2:$R$999="Terminé"))&gt;0,"✓",IF(SUMPRODUCT(MAX(('Formation Initiale'!$A$2:$A$999=$A128)*'Formation Initiale'!$G$2:$G$999))&gt;0,TEXT(SUMPRODUCT(MAX(('Formation Initiale'!$A$2:$A$999=$A128)*'Formation Initiale'!$G$2:$G$999)),"yyyy-mm-dd"),""))))))</f>
        <v>✓</v>
      </c>
      <c r="G128" s="131" t="str">
        <f aca="false">IF($Q128="✓","✓",IF(ISNUMBER($Q128),TEXT($Q128,"yyyy-mm-dd"),IF($A128="","",IF(SUMPRODUCT(('Agences &amp; Après-vente'!$A$2:$A$1000=$A128)*(('Agences &amp; Après-vente'!$D$2:$D$1000="Agences")+('Agences &amp; Après-vente'!$D$2:$D$1000="Agences et Après-vente"))*('Agences &amp; Après-vente'!$I$2:$I$1000="DONE"))&gt;0,"✓",IF(SUMPRODUCT(MAX(('Agences &amp; Après-vente'!$A$2:$A$1000=$A128)*(('Agences &amp; Après-vente'!$D$2:$D$1000="Agences")+('Agences &amp; Après-vente'!$D$2:$D$1000="Agences et Après-vente"))*'Agences &amp; Après-vente'!$E$2:$E$1000))&gt;0,TEXT(SUMPRODUCT(MAX(('Agences &amp; Après-vente'!$A$2:$A$1000=$A128)*(('Agences &amp; Après-vente'!$D$2:$D$1000="Agences")+('Agences &amp; Après-vente'!$D$2:$D$1000="Agences et Après-vente"))*'Agences &amp; Après-vente'!$E$2:$E$1000)),"yyyy-mm-dd"),"")))))</f>
        <v>✓</v>
      </c>
      <c r="H128" s="131" t="str">
        <f aca="false">IF($R128="✓","✓",IF(ISNUMBER($R128),TEXT($R128,"yyyy-mm-dd"),IF($A128="","",IF($D128="Lisbonne","",IF(SUMPRODUCT(('Agences &amp; Après-vente'!$A$2:$A$1000=$A128)*(('Agences &amp; Après-vente'!$D$2:$D$1000="Agences")+('Agences &amp; Après-vente'!$D$2:$D$1000="Agences et Après-vente"))*('Agences &amp; Après-vente'!$I$2:$I$1000="DONE"))&gt;0,"✓",IF(SUMPRODUCT(MAX(('Agences &amp; Après-vente'!$A$2:$A$1000=$A128)*(('Agences &amp; Après-vente'!$D$2:$D$1000="Agences")+('Agences &amp; Après-vente'!$D$2:$D$1000="Agences et Après-vente"))*'Agences &amp; Après-vente'!$E$2:$E$1000))&gt;0,TEXT(SUMPRODUCT(MAX(('Agences &amp; Après-vente'!$A$2:$A$1000=$A128)*(('Agences &amp; Après-vente'!$D$2:$D$1000="Agences")+('Agences &amp; Après-vente'!$D$2:$D$1000="Agences et Après-vente"))*'Agences &amp; Après-vente'!$E$2:$E$1000)),"yyyy-mm-dd"),""))))))</f>
        <v>✓</v>
      </c>
      <c r="I128" s="131" t="str">
        <f aca="false">IF($S128="✓","✓",IF(ISNUMBER($S128),TEXT($S128,"yyyy-mm-dd"),IF($A128="","",IF(SUMPRODUCT(('Agences &amp; Après-vente'!$A$2:$A$1000=$A128)*(('Agences &amp; Après-vente'!$D$2:$D$1000="Après-vente")+('Agences &amp; Après-vente'!$D$2:$D$1000="Agences et Après-vente"))*('Agences &amp; Après-vente'!$I$2:$I$1000="DONE"))&gt;0,"✓",IF(SUMPRODUCT(MAX(('Agences &amp; Après-vente'!$A$2:$A$1000=$A128)*(('Agences &amp; Après-vente'!$D$2:$D$1000="Après-vente")+('Agences &amp; Après-vente'!$D$2:$D$1000="Agences et Après-vente"))*'Agences &amp; Après-vente'!$E$2:$E$1000))&gt;0,TEXT(SUMPRODUCT(MAX(('Agences &amp; Après-vente'!$A$2:$A$1000=$A128)*(('Agences &amp; Après-vente'!$D$2:$D$1000="Après-vente")+('Agences &amp; Après-vente'!$D$2:$D$1000="Agences et Après-vente"))*'Agences &amp; Après-vente'!$E$2:$E$1000)),"yyyy-mm-dd"),"")))))</f>
        <v>✓</v>
      </c>
      <c r="J128" s="131" t="str">
        <f aca="false">IF($T128="✓","✓",IF(ISNUMBER($T128),TEXT($T128,"yyyy-mm-dd"),IF($A128="","",IF($D128="Lisbonne","",IF(SUMPRODUCT(('Agences &amp; Après-vente'!$A$2:$A$1000=$A128)*(('Agences &amp; Après-vente'!$D$2:$D$1000="Après-vente")+('Agences &amp; Après-vente'!$D$2:$D$1000="Agences et Après-vente"))*('Agences &amp; Après-vente'!$I$2:$I$1000="DONE"))&gt;0,"✓",IF(SUMPRODUCT(MAX(('Agences &amp; Après-vente'!$A$2:$A$1000=$A128)*(('Agences &amp; Après-vente'!$D$2:$D$1000="Après-vente")+('Agences &amp; Après-vente'!$D$2:$D$1000="Agences et Après-vente"))*'Agences &amp; Après-vente'!$E$2:$E$1000))&gt;0,TEXT(SUMPRODUCT(MAX(('Agences &amp; Après-vente'!$A$2:$A$1000=$A128)*(('Agences &amp; Après-vente'!$D$2:$D$1000="Après-vente")+('Agences &amp; Après-vente'!$D$2:$D$1000="Agences et Après-vente"))*'Agences &amp; Après-vente'!$E$2:$E$1000)),"yyyy-mm-dd"),""))))))</f>
        <v>✓</v>
      </c>
      <c r="K128" s="131" t="str">
        <f aca="false">IF($U128="✓","✓",IF(ISNUMBER($U128),TEXT($U128,"yyyy-mm-dd"),IF($D128="Lisbonne","",IF($A128="","",IF(SUMPRODUCT((Evermont!$A$2:$A$1000=$A128)*(Evermont!$Q$2:$Q$1000="Terminé"))&gt;0,"✓",IF(SUMPRODUCT(MAX((Evermont!$A$2:$A$1000=$A128)*Evermont!$F$2:$F$1000))&gt;0,TEXT(SUMPRODUCT(MAX((Evermont!$A$2:$A$1000=$A128)*Evermont!$F$2:$F$1000)),"yyyy-mm-dd"),""))))))</f>
        <v>✓</v>
      </c>
      <c r="L128" s="132" t="n">
        <f aca="false">IF($A128="","",COUNTIF(E128:K128,"✓"))</f>
        <v>7</v>
      </c>
      <c r="M128" s="133" t="s">
        <v>172</v>
      </c>
      <c r="O128" s="134" t="s">
        <v>173</v>
      </c>
      <c r="P128" s="134" t="s">
        <v>173</v>
      </c>
      <c r="Q128" s="134" t="s">
        <v>173</v>
      </c>
      <c r="R128" s="134" t="s">
        <v>173</v>
      </c>
      <c r="S128" s="134" t="s">
        <v>173</v>
      </c>
      <c r="T128" s="134" t="s">
        <v>173</v>
      </c>
      <c r="U128" s="134" t="s">
        <v>173</v>
      </c>
      <c r="W128" s="135" t="str">
        <f aca="false">IF($A128="","",IF($X128&lt;&gt;"",$X128,IFERROR(INDEX('Formation Initiale'!$B$2:$B$999,MATCH($A128,'Formation Initiale'!$A$2:$A$999,0)),"Général")))</f>
        <v>Général</v>
      </c>
      <c r="X128" s="136"/>
    </row>
    <row r="129" customFormat="false" ht="18" hidden="true" customHeight="true" outlineLevel="0" collapsed="false">
      <c r="A129" s="127" t="s">
        <v>545</v>
      </c>
      <c r="B129" s="128" t="s">
        <v>546</v>
      </c>
      <c r="C129" s="128" t="s">
        <v>547</v>
      </c>
      <c r="D129" s="129" t="s">
        <v>171</v>
      </c>
      <c r="E129" s="130" t="str">
        <f aca="false">IF($O129="✓","✓",IF(ISNUMBER($O129),TEXT($O129,"yyyy-mm-dd"),IF($A129="","",IF(SUMPRODUCT(('Formation Initiale'!$A$2:$A$999=$A129)*('Formation Initiale'!$R$2:$R$999="Terminé"))&gt;0,"✓",IF(SUMPRODUCT(MAX(('Formation Initiale'!$A$2:$A$999=$A129)*'Formation Initiale'!$G$2:$G$999))&gt;0,TEXT(SUMPRODUCT(MAX(('Formation Initiale'!$A$2:$A$999=$A129)*'Formation Initiale'!$G$2:$G$999)),"yyyy-mm-dd"),"")))))</f>
        <v>✓</v>
      </c>
      <c r="F129" s="131" t="str">
        <f aca="false">IF($P129="✓","✓",IF(ISNUMBER($P129),TEXT($P129,"yyyy-mm-dd"),IF($A129="","",IF($D129="Lisbonne","",IF(SUMPRODUCT(('Formation Initiale'!$A$2:$A$999=$A129)*('Formation Initiale'!$R$2:$R$999="Terminé"))&gt;0,"✓",IF(SUMPRODUCT(MAX(('Formation Initiale'!$A$2:$A$999=$A129)*'Formation Initiale'!$G$2:$G$999))&gt;0,TEXT(SUMPRODUCT(MAX(('Formation Initiale'!$A$2:$A$999=$A129)*'Formation Initiale'!$G$2:$G$999)),"yyyy-mm-dd"),""))))))</f>
        <v>✓</v>
      </c>
      <c r="G129" s="131" t="str">
        <f aca="false">IF($Q129="✓","✓",IF(ISNUMBER($Q129),TEXT($Q129,"yyyy-mm-dd"),IF($A129="","",IF(SUMPRODUCT(('Agences &amp; Après-vente'!$A$2:$A$1000=$A129)*(('Agences &amp; Après-vente'!$D$2:$D$1000="Agences")+('Agences &amp; Après-vente'!$D$2:$D$1000="Agences et Après-vente"))*('Agences &amp; Après-vente'!$I$2:$I$1000="DONE"))&gt;0,"✓",IF(SUMPRODUCT(MAX(('Agences &amp; Après-vente'!$A$2:$A$1000=$A129)*(('Agences &amp; Après-vente'!$D$2:$D$1000="Agences")+('Agences &amp; Après-vente'!$D$2:$D$1000="Agences et Après-vente"))*'Agences &amp; Après-vente'!$E$2:$E$1000))&gt;0,TEXT(SUMPRODUCT(MAX(('Agences &amp; Après-vente'!$A$2:$A$1000=$A129)*(('Agences &amp; Après-vente'!$D$2:$D$1000="Agences")+('Agences &amp; Après-vente'!$D$2:$D$1000="Agences et Après-vente"))*'Agences &amp; Après-vente'!$E$2:$E$1000)),"yyyy-mm-dd"),"")))))</f>
        <v>✓</v>
      </c>
      <c r="H129" s="131" t="str">
        <f aca="false">IF($R129="✓","✓",IF(ISNUMBER($R129),TEXT($R129,"yyyy-mm-dd"),IF($A129="","",IF($D129="Lisbonne","",IF(SUMPRODUCT(('Agences &amp; Après-vente'!$A$2:$A$1000=$A129)*(('Agences &amp; Après-vente'!$D$2:$D$1000="Agences")+('Agences &amp; Après-vente'!$D$2:$D$1000="Agences et Après-vente"))*('Agences &amp; Après-vente'!$I$2:$I$1000="DONE"))&gt;0,"✓",IF(SUMPRODUCT(MAX(('Agences &amp; Après-vente'!$A$2:$A$1000=$A129)*(('Agences &amp; Après-vente'!$D$2:$D$1000="Agences")+('Agences &amp; Après-vente'!$D$2:$D$1000="Agences et Après-vente"))*'Agences &amp; Après-vente'!$E$2:$E$1000))&gt;0,TEXT(SUMPRODUCT(MAX(('Agences &amp; Après-vente'!$A$2:$A$1000=$A129)*(('Agences &amp; Après-vente'!$D$2:$D$1000="Agences")+('Agences &amp; Après-vente'!$D$2:$D$1000="Agences et Après-vente"))*'Agences &amp; Après-vente'!$E$2:$E$1000)),"yyyy-mm-dd"),""))))))</f>
        <v>✓</v>
      </c>
      <c r="I129" s="131" t="str">
        <f aca="false">IF($S129="✓","✓",IF(ISNUMBER($S129),TEXT($S129,"yyyy-mm-dd"),IF($A129="","",IF(SUMPRODUCT(('Agences &amp; Après-vente'!$A$2:$A$1000=$A129)*(('Agences &amp; Après-vente'!$D$2:$D$1000="Après-vente")+('Agences &amp; Après-vente'!$D$2:$D$1000="Agences et Après-vente"))*('Agences &amp; Après-vente'!$I$2:$I$1000="DONE"))&gt;0,"✓",IF(SUMPRODUCT(MAX(('Agences &amp; Après-vente'!$A$2:$A$1000=$A129)*(('Agences &amp; Après-vente'!$D$2:$D$1000="Après-vente")+('Agences &amp; Après-vente'!$D$2:$D$1000="Agences et Après-vente"))*'Agences &amp; Après-vente'!$E$2:$E$1000))&gt;0,TEXT(SUMPRODUCT(MAX(('Agences &amp; Après-vente'!$A$2:$A$1000=$A129)*(('Agences &amp; Après-vente'!$D$2:$D$1000="Après-vente")+('Agences &amp; Après-vente'!$D$2:$D$1000="Agences et Après-vente"))*'Agences &amp; Après-vente'!$E$2:$E$1000)),"yyyy-mm-dd"),"")))))</f>
        <v>✓</v>
      </c>
      <c r="J129" s="131" t="str">
        <f aca="false">IF($T129="✓","✓",IF(ISNUMBER($T129),TEXT($T129,"yyyy-mm-dd"),IF($A129="","",IF($D129="Lisbonne","",IF(SUMPRODUCT(('Agences &amp; Après-vente'!$A$2:$A$1000=$A129)*(('Agences &amp; Après-vente'!$D$2:$D$1000="Après-vente")+('Agences &amp; Après-vente'!$D$2:$D$1000="Agences et Après-vente"))*('Agences &amp; Après-vente'!$I$2:$I$1000="DONE"))&gt;0,"✓",IF(SUMPRODUCT(MAX(('Agences &amp; Après-vente'!$A$2:$A$1000=$A129)*(('Agences &amp; Après-vente'!$D$2:$D$1000="Après-vente")+('Agences &amp; Après-vente'!$D$2:$D$1000="Agences et Après-vente"))*'Agences &amp; Après-vente'!$E$2:$E$1000))&gt;0,TEXT(SUMPRODUCT(MAX(('Agences &amp; Après-vente'!$A$2:$A$1000=$A129)*(('Agences &amp; Après-vente'!$D$2:$D$1000="Après-vente")+('Agences &amp; Après-vente'!$D$2:$D$1000="Agences et Après-vente"))*'Agences &amp; Après-vente'!$E$2:$E$1000)),"yyyy-mm-dd"),""))))))</f>
        <v>✓</v>
      </c>
      <c r="K129" s="131" t="str">
        <f aca="false">IF($U129="✓","✓",IF(ISNUMBER($U129),TEXT($U129,"yyyy-mm-dd"),IF($D129="Lisbonne","",IF($A129="","",IF(SUMPRODUCT((Evermont!$A$2:$A$1000=$A129)*(Evermont!$Q$2:$Q$1000="Terminé"))&gt;0,"✓",IF(SUMPRODUCT(MAX((Evermont!$A$2:$A$1000=$A129)*Evermont!$F$2:$F$1000))&gt;0,TEXT(SUMPRODUCT(MAX((Evermont!$A$2:$A$1000=$A129)*Evermont!$F$2:$F$1000)),"yyyy-mm-dd"),""))))))</f>
        <v>✓</v>
      </c>
      <c r="L129" s="132" t="n">
        <f aca="false">IF($A129="","",COUNTIF(E129:K129,"✓"))</f>
        <v>7</v>
      </c>
      <c r="M129" s="133" t="s">
        <v>172</v>
      </c>
      <c r="O129" s="134" t="s">
        <v>173</v>
      </c>
      <c r="P129" s="134" t="s">
        <v>173</v>
      </c>
      <c r="Q129" s="134" t="s">
        <v>173</v>
      </c>
      <c r="R129" s="134" t="s">
        <v>173</v>
      </c>
      <c r="S129" s="134" t="s">
        <v>173</v>
      </c>
      <c r="T129" s="134" t="s">
        <v>173</v>
      </c>
      <c r="U129" s="134" t="s">
        <v>173</v>
      </c>
      <c r="W129" s="135" t="str">
        <f aca="false">IF($A129="","",IF($X129&lt;&gt;"",$X129,IFERROR(INDEX('Formation Initiale'!$B$2:$B$999,MATCH($A129,'Formation Initiale'!$A$2:$A$999,0)),"Général")))</f>
        <v>Général</v>
      </c>
      <c r="X129" s="136"/>
    </row>
    <row r="130" customFormat="false" ht="18" hidden="true" customHeight="true" outlineLevel="0" collapsed="false">
      <c r="A130" s="137" t="s">
        <v>548</v>
      </c>
      <c r="B130" s="128" t="s">
        <v>549</v>
      </c>
      <c r="C130" s="128" t="s">
        <v>550</v>
      </c>
      <c r="D130" s="129" t="s">
        <v>186</v>
      </c>
      <c r="E130" s="130" t="str">
        <f aca="false">IF($O130="✓","✓",IF(ISNUMBER($O130),TEXT($O130,"yyyy-mm-dd"),IF($A130="","",IF(SUMPRODUCT(('Formation Initiale'!$A$2:$A$999=$A130)*('Formation Initiale'!$R$2:$R$999="Terminé"))&gt;0,"✓",IF(SUMPRODUCT(MAX(('Formation Initiale'!$A$2:$A$999=$A130)*'Formation Initiale'!$G$2:$G$999))&gt;0,TEXT(SUMPRODUCT(MAX(('Formation Initiale'!$A$2:$A$999=$A130)*'Formation Initiale'!$G$2:$G$999)),"yyyy-mm-dd"),"")))))</f>
        <v>✓</v>
      </c>
      <c r="F130" s="131" t="str">
        <f aca="false">IF($P130="✓","✓",IF(ISNUMBER($P130),TEXT($P130,"yyyy-mm-dd"),IF($A130="","",IF($D130="Lisbonne","",IF(SUMPRODUCT(('Formation Initiale'!$A$2:$A$999=$A130)*('Formation Initiale'!$R$2:$R$999="Terminé"))&gt;0,"✓",IF(SUMPRODUCT(MAX(('Formation Initiale'!$A$2:$A$999=$A130)*'Formation Initiale'!$G$2:$G$999))&gt;0,TEXT(SUMPRODUCT(MAX(('Formation Initiale'!$A$2:$A$999=$A130)*'Formation Initiale'!$G$2:$G$999)),"yyyy-mm-dd"),""))))))</f>
        <v/>
      </c>
      <c r="G130" s="131" t="str">
        <f aca="false">IF($Q130="✓","✓",IF(ISNUMBER($Q130),TEXT($Q130,"yyyy-mm-dd"),IF($A130="","",IF(SUMPRODUCT(('Agences &amp; Après-vente'!$A$2:$A$1000=$A130)*(('Agences &amp; Après-vente'!$D$2:$D$1000="Agences")+('Agences &amp; Après-vente'!$D$2:$D$1000="Agences et Après-vente"))*('Agences &amp; Après-vente'!$I$2:$I$1000="DONE"))&gt;0,"✓",IF(SUMPRODUCT(MAX(('Agences &amp; Après-vente'!$A$2:$A$1000=$A130)*(('Agences &amp; Après-vente'!$D$2:$D$1000="Agences")+('Agences &amp; Après-vente'!$D$2:$D$1000="Agences et Après-vente"))*'Agences &amp; Après-vente'!$E$2:$E$1000))&gt;0,TEXT(SUMPRODUCT(MAX(('Agences &amp; Après-vente'!$A$2:$A$1000=$A130)*(('Agences &amp; Après-vente'!$D$2:$D$1000="Agences")+('Agences &amp; Après-vente'!$D$2:$D$1000="Agences et Après-vente"))*'Agences &amp; Après-vente'!$E$2:$E$1000)),"yyyy-mm-dd"),"")))))</f>
        <v>✓</v>
      </c>
      <c r="H130" s="131" t="str">
        <f aca="false">IF($R130="✓","✓",IF(ISNUMBER($R130),TEXT($R130,"yyyy-mm-dd"),IF($A130="","",IF($D130="Lisbonne","",IF(SUMPRODUCT(('Agences &amp; Après-vente'!$A$2:$A$1000=$A130)*(('Agences &amp; Après-vente'!$D$2:$D$1000="Agences")+('Agences &amp; Après-vente'!$D$2:$D$1000="Agences et Après-vente"))*('Agences &amp; Après-vente'!$I$2:$I$1000="DONE"))&gt;0,"✓",IF(SUMPRODUCT(MAX(('Agences &amp; Après-vente'!$A$2:$A$1000=$A130)*(('Agences &amp; Après-vente'!$D$2:$D$1000="Agences")+('Agences &amp; Après-vente'!$D$2:$D$1000="Agences et Après-vente"))*'Agences &amp; Après-vente'!$E$2:$E$1000))&gt;0,TEXT(SUMPRODUCT(MAX(('Agences &amp; Après-vente'!$A$2:$A$1000=$A130)*(('Agences &amp; Après-vente'!$D$2:$D$1000="Agences")+('Agences &amp; Après-vente'!$D$2:$D$1000="Agences et Après-vente"))*'Agences &amp; Après-vente'!$E$2:$E$1000)),"yyyy-mm-dd"),""))))))</f>
        <v/>
      </c>
      <c r="I130" s="131" t="str">
        <f aca="false">IF($S130="✓","✓",IF(ISNUMBER($S130),TEXT($S130,"yyyy-mm-dd"),IF($A130="","",IF(SUMPRODUCT(('Agences &amp; Après-vente'!$A$2:$A$1000=$A130)*(('Agences &amp; Après-vente'!$D$2:$D$1000="Après-vente")+('Agences &amp; Après-vente'!$D$2:$D$1000="Agences et Après-vente"))*('Agences &amp; Après-vente'!$I$2:$I$1000="DONE"))&gt;0,"✓",IF(SUMPRODUCT(MAX(('Agences &amp; Après-vente'!$A$2:$A$1000=$A130)*(('Agences &amp; Après-vente'!$D$2:$D$1000="Après-vente")+('Agences &amp; Après-vente'!$D$2:$D$1000="Agences et Après-vente"))*'Agences &amp; Après-vente'!$E$2:$E$1000))&gt;0,TEXT(SUMPRODUCT(MAX(('Agences &amp; Après-vente'!$A$2:$A$1000=$A130)*(('Agences &amp; Après-vente'!$D$2:$D$1000="Après-vente")+('Agences &amp; Après-vente'!$D$2:$D$1000="Agences et Après-vente"))*'Agences &amp; Après-vente'!$E$2:$E$1000)),"yyyy-mm-dd"),"")))))</f>
        <v>✓</v>
      </c>
      <c r="J130" s="131" t="str">
        <f aca="false">IF($T130="✓","✓",IF(ISNUMBER($T130),TEXT($T130,"yyyy-mm-dd"),IF($A130="","",IF($D130="Lisbonne","",IF(SUMPRODUCT(('Agences &amp; Après-vente'!$A$2:$A$1000=$A130)*(('Agences &amp; Après-vente'!$D$2:$D$1000="Après-vente")+('Agences &amp; Après-vente'!$D$2:$D$1000="Agences et Après-vente"))*('Agences &amp; Après-vente'!$I$2:$I$1000="DONE"))&gt;0,"✓",IF(SUMPRODUCT(MAX(('Agences &amp; Après-vente'!$A$2:$A$1000=$A130)*(('Agences &amp; Après-vente'!$D$2:$D$1000="Après-vente")+('Agences &amp; Après-vente'!$D$2:$D$1000="Agences et Après-vente"))*'Agences &amp; Après-vente'!$E$2:$E$1000))&gt;0,TEXT(SUMPRODUCT(MAX(('Agences &amp; Après-vente'!$A$2:$A$1000=$A130)*(('Agences &amp; Après-vente'!$D$2:$D$1000="Après-vente")+('Agences &amp; Après-vente'!$D$2:$D$1000="Agences et Après-vente"))*'Agences &amp; Après-vente'!$E$2:$E$1000)),"yyyy-mm-dd"),""))))))</f>
        <v/>
      </c>
      <c r="K130" s="131" t="str">
        <f aca="false">IF($U130="✓","✓",IF(ISNUMBER($U130),TEXT($U130,"yyyy-mm-dd"),IF($D130="Lisbonne","",IF($A130="","",IF(SUMPRODUCT((Evermont!$A$2:$A$1000=$A130)*(Evermont!$Q$2:$Q$1000="Terminé"))&gt;0,"✓",IF(SUMPRODUCT(MAX((Evermont!$A$2:$A$1000=$A130)*Evermont!$F$2:$F$1000))&gt;0,TEXT(SUMPRODUCT(MAX((Evermont!$A$2:$A$1000=$A130)*Evermont!$F$2:$F$1000)),"yyyy-mm-dd"),""))))))</f>
        <v/>
      </c>
      <c r="L130" s="132" t="n">
        <f aca="false">IF($A130="","",COUNTIF(E130:K130,"✓"))</f>
        <v>3</v>
      </c>
      <c r="M130" s="133" t="s">
        <v>172</v>
      </c>
      <c r="O130" s="134" t="s">
        <v>173</v>
      </c>
      <c r="P130" s="134"/>
      <c r="Q130" s="134" t="s">
        <v>173</v>
      </c>
      <c r="R130" s="134"/>
      <c r="S130" s="134"/>
      <c r="T130" s="134"/>
      <c r="U130" s="134"/>
      <c r="W130" s="135" t="str">
        <f aca="false">IF($A130="","",IF($X130&lt;&gt;"",$X130,IFERROR(INDEX('Formation Initiale'!$B$2:$B$999,MATCH($A130,'Formation Initiale'!$A$2:$A$999,0)),"Général")))</f>
        <v>OS1</v>
      </c>
      <c r="X130" s="136"/>
    </row>
    <row r="131" customFormat="false" ht="18" hidden="true" customHeight="true" outlineLevel="0" collapsed="false">
      <c r="A131" s="127" t="s">
        <v>551</v>
      </c>
      <c r="B131" s="128" t="s">
        <v>552</v>
      </c>
      <c r="C131" s="128" t="s">
        <v>553</v>
      </c>
      <c r="D131" s="129" t="s">
        <v>171</v>
      </c>
      <c r="E131" s="130" t="str">
        <f aca="false">IF($O131="✓","✓",IF(ISNUMBER($O131),TEXT($O131,"yyyy-mm-dd"),IF($A131="","",IF(SUMPRODUCT(('Formation Initiale'!$A$2:$A$999=$A131)*('Formation Initiale'!$R$2:$R$999="Terminé"))&gt;0,"✓",IF(SUMPRODUCT(MAX(('Formation Initiale'!$A$2:$A$999=$A131)*'Formation Initiale'!$G$2:$G$999))&gt;0,TEXT(SUMPRODUCT(MAX(('Formation Initiale'!$A$2:$A$999=$A131)*'Formation Initiale'!$G$2:$G$999)),"yyyy-mm-dd"),"")))))</f>
        <v>✓</v>
      </c>
      <c r="F131" s="131" t="str">
        <f aca="false">IF($P131="✓","✓",IF(ISNUMBER($P131),TEXT($P131,"yyyy-mm-dd"),IF($A131="","",IF($D131="Lisbonne","",IF(SUMPRODUCT(('Formation Initiale'!$A$2:$A$999=$A131)*('Formation Initiale'!$R$2:$R$999="Terminé"))&gt;0,"✓",IF(SUMPRODUCT(MAX(('Formation Initiale'!$A$2:$A$999=$A131)*'Formation Initiale'!$G$2:$G$999))&gt;0,TEXT(SUMPRODUCT(MAX(('Formation Initiale'!$A$2:$A$999=$A131)*'Formation Initiale'!$G$2:$G$999)),"yyyy-mm-dd"),""))))))</f>
        <v>✓</v>
      </c>
      <c r="G131" s="131" t="str">
        <f aca="false">IF($Q131="✓","✓",IF(ISNUMBER($Q131),TEXT($Q131,"yyyy-mm-dd"),IF($A131="","",IF(SUMPRODUCT(('Agences &amp; Après-vente'!$A$2:$A$1000=$A131)*(('Agences &amp; Après-vente'!$D$2:$D$1000="Agences")+('Agences &amp; Après-vente'!$D$2:$D$1000="Agences et Après-vente"))*('Agences &amp; Après-vente'!$I$2:$I$1000="DONE"))&gt;0,"✓",IF(SUMPRODUCT(MAX(('Agences &amp; Après-vente'!$A$2:$A$1000=$A131)*(('Agences &amp; Après-vente'!$D$2:$D$1000="Agences")+('Agences &amp; Après-vente'!$D$2:$D$1000="Agences et Après-vente"))*'Agences &amp; Après-vente'!$E$2:$E$1000))&gt;0,TEXT(SUMPRODUCT(MAX(('Agences &amp; Après-vente'!$A$2:$A$1000=$A131)*(('Agences &amp; Après-vente'!$D$2:$D$1000="Agences")+('Agences &amp; Après-vente'!$D$2:$D$1000="Agences et Après-vente"))*'Agences &amp; Après-vente'!$E$2:$E$1000)),"yyyy-mm-dd"),"")))))</f>
        <v/>
      </c>
      <c r="H131" s="131" t="str">
        <f aca="false">IF($R131="✓","✓",IF(ISNUMBER($R131),TEXT($R131,"yyyy-mm-dd"),IF($A131="","",IF($D131="Lisbonne","",IF(SUMPRODUCT(('Agences &amp; Après-vente'!$A$2:$A$1000=$A131)*(('Agences &amp; Après-vente'!$D$2:$D$1000="Agences")+('Agences &amp; Après-vente'!$D$2:$D$1000="Agences et Après-vente"))*('Agences &amp; Après-vente'!$I$2:$I$1000="DONE"))&gt;0,"✓",IF(SUMPRODUCT(MAX(('Agences &amp; Après-vente'!$A$2:$A$1000=$A131)*(('Agences &amp; Après-vente'!$D$2:$D$1000="Agences")+('Agences &amp; Après-vente'!$D$2:$D$1000="Agences et Après-vente"))*'Agences &amp; Après-vente'!$E$2:$E$1000))&gt;0,TEXT(SUMPRODUCT(MAX(('Agences &amp; Après-vente'!$A$2:$A$1000=$A131)*(('Agences &amp; Après-vente'!$D$2:$D$1000="Agences")+('Agences &amp; Après-vente'!$D$2:$D$1000="Agences et Après-vente"))*'Agences &amp; Après-vente'!$E$2:$E$1000)),"yyyy-mm-dd"),""))))))</f>
        <v/>
      </c>
      <c r="I131" s="131" t="str">
        <f aca="false">IF($S131="✓","✓",IF(ISNUMBER($S131),TEXT($S131,"yyyy-mm-dd"),IF($A131="","",IF(SUMPRODUCT(('Agences &amp; Après-vente'!$A$2:$A$1000=$A131)*(('Agences &amp; Après-vente'!$D$2:$D$1000="Après-vente")+('Agences &amp; Après-vente'!$D$2:$D$1000="Agences et Après-vente"))*('Agences &amp; Après-vente'!$I$2:$I$1000="DONE"))&gt;0,"✓",IF(SUMPRODUCT(MAX(('Agences &amp; Après-vente'!$A$2:$A$1000=$A131)*(('Agences &amp; Après-vente'!$D$2:$D$1000="Après-vente")+('Agences &amp; Après-vente'!$D$2:$D$1000="Agences et Après-vente"))*'Agences &amp; Après-vente'!$E$2:$E$1000))&gt;0,TEXT(SUMPRODUCT(MAX(('Agences &amp; Après-vente'!$A$2:$A$1000=$A131)*(('Agences &amp; Après-vente'!$D$2:$D$1000="Après-vente")+('Agences &amp; Après-vente'!$D$2:$D$1000="Agences et Après-vente"))*'Agences &amp; Après-vente'!$E$2:$E$1000)),"yyyy-mm-dd"),"")))))</f>
        <v/>
      </c>
      <c r="J131" s="131" t="str">
        <f aca="false">IF($T131="✓","✓",IF(ISNUMBER($T131),TEXT($T131,"yyyy-mm-dd"),IF($A131="","",IF($D131="Lisbonne","",IF(SUMPRODUCT(('Agences &amp; Après-vente'!$A$2:$A$1000=$A131)*(('Agences &amp; Après-vente'!$D$2:$D$1000="Après-vente")+('Agences &amp; Après-vente'!$D$2:$D$1000="Agences et Après-vente"))*('Agences &amp; Après-vente'!$I$2:$I$1000="DONE"))&gt;0,"✓",IF(SUMPRODUCT(MAX(('Agences &amp; Après-vente'!$A$2:$A$1000=$A131)*(('Agences &amp; Après-vente'!$D$2:$D$1000="Après-vente")+('Agences &amp; Après-vente'!$D$2:$D$1000="Agences et Après-vente"))*'Agences &amp; Après-vente'!$E$2:$E$1000))&gt;0,TEXT(SUMPRODUCT(MAX(('Agences &amp; Après-vente'!$A$2:$A$1000=$A131)*(('Agences &amp; Après-vente'!$D$2:$D$1000="Après-vente")+('Agences &amp; Après-vente'!$D$2:$D$1000="Agences et Après-vente"))*'Agences &amp; Après-vente'!$E$2:$E$1000)),"yyyy-mm-dd"),""))))))</f>
        <v/>
      </c>
      <c r="K131" s="131" t="str">
        <f aca="false">IF($U131="✓","✓",IF(ISNUMBER($U131),TEXT($U131,"yyyy-mm-dd"),IF($D131="Lisbonne","",IF($A131="","",IF(SUMPRODUCT((Evermont!$A$2:$A$1000=$A131)*(Evermont!$Q$2:$Q$1000="Terminé"))&gt;0,"✓",IF(SUMPRODUCT(MAX((Evermont!$A$2:$A$1000=$A131)*Evermont!$F$2:$F$1000))&gt;0,TEXT(SUMPRODUCT(MAX((Evermont!$A$2:$A$1000=$A131)*Evermont!$F$2:$F$1000)),"yyyy-mm-dd"),""))))))</f>
        <v/>
      </c>
      <c r="L131" s="132" t="n">
        <f aca="false">IF($A131="","",COUNTIF(E131:K131,"✓"))</f>
        <v>2</v>
      </c>
      <c r="M131" s="133" t="s">
        <v>172</v>
      </c>
      <c r="O131" s="134" t="s">
        <v>173</v>
      </c>
      <c r="P131" s="134" t="s">
        <v>173</v>
      </c>
      <c r="Q131" s="134"/>
      <c r="R131" s="134"/>
      <c r="S131" s="134"/>
      <c r="T131" s="134"/>
      <c r="U131" s="134"/>
      <c r="W131" s="135" t="str">
        <f aca="false">IF($A131="","",IF($X131&lt;&gt;"",$X131,IFERROR(INDEX('Formation Initiale'!$B$2:$B$999,MATCH($A131,'Formation Initiale'!$A$2:$A$999,0)),"Général")))</f>
        <v>175</v>
      </c>
      <c r="X131" s="136"/>
    </row>
    <row r="132" customFormat="false" ht="18" hidden="true" customHeight="true" outlineLevel="0" collapsed="false">
      <c r="A132" s="127" t="s">
        <v>554</v>
      </c>
      <c r="B132" s="128" t="s">
        <v>555</v>
      </c>
      <c r="C132" s="128" t="s">
        <v>556</v>
      </c>
      <c r="D132" s="129" t="s">
        <v>171</v>
      </c>
      <c r="E132" s="130" t="str">
        <f aca="false">IF($O132="✓","✓",IF(ISNUMBER($O132),TEXT($O132,"yyyy-mm-dd"),IF($A132="","",IF(SUMPRODUCT(('Formation Initiale'!$A$2:$A$999=$A132)*('Formation Initiale'!$R$2:$R$999="Terminé"))&gt;0,"✓",IF(SUMPRODUCT(MAX(('Formation Initiale'!$A$2:$A$999=$A132)*'Formation Initiale'!$G$2:$G$999))&gt;0,TEXT(SUMPRODUCT(MAX(('Formation Initiale'!$A$2:$A$999=$A132)*'Formation Initiale'!$G$2:$G$999)),"yyyy-mm-dd"),"")))))</f>
        <v>✓</v>
      </c>
      <c r="F132" s="131" t="str">
        <f aca="false">IF($P132="✓","✓",IF(ISNUMBER($P132),TEXT($P132,"yyyy-mm-dd"),IF($A132="","",IF($D132="Lisbonne","",IF(SUMPRODUCT(('Formation Initiale'!$A$2:$A$999=$A132)*('Formation Initiale'!$R$2:$R$999="Terminé"))&gt;0,"✓",IF(SUMPRODUCT(MAX(('Formation Initiale'!$A$2:$A$999=$A132)*'Formation Initiale'!$G$2:$G$999))&gt;0,TEXT(SUMPRODUCT(MAX(('Formation Initiale'!$A$2:$A$999=$A132)*'Formation Initiale'!$G$2:$G$999)),"yyyy-mm-dd"),""))))))</f>
        <v>✓</v>
      </c>
      <c r="G132" s="131" t="str">
        <f aca="false">IF($Q132="✓","✓",IF(ISNUMBER($Q132),TEXT($Q132,"yyyy-mm-dd"),IF($A132="","",IF(SUMPRODUCT(('Agences &amp; Après-vente'!$A$2:$A$1000=$A132)*(('Agences &amp; Après-vente'!$D$2:$D$1000="Agences")+('Agences &amp; Après-vente'!$D$2:$D$1000="Agences et Après-vente"))*('Agences &amp; Après-vente'!$I$2:$I$1000="DONE"))&gt;0,"✓",IF(SUMPRODUCT(MAX(('Agences &amp; Après-vente'!$A$2:$A$1000=$A132)*(('Agences &amp; Après-vente'!$D$2:$D$1000="Agences")+('Agences &amp; Après-vente'!$D$2:$D$1000="Agences et Après-vente"))*'Agences &amp; Après-vente'!$E$2:$E$1000))&gt;0,TEXT(SUMPRODUCT(MAX(('Agences &amp; Après-vente'!$A$2:$A$1000=$A132)*(('Agences &amp; Après-vente'!$D$2:$D$1000="Agences")+('Agences &amp; Après-vente'!$D$2:$D$1000="Agences et Après-vente"))*'Agences &amp; Après-vente'!$E$2:$E$1000)),"yyyy-mm-dd"),"")))))</f>
        <v>✓</v>
      </c>
      <c r="H132" s="131" t="str">
        <f aca="false">IF($R132="✓","✓",IF(ISNUMBER($R132),TEXT($R132,"yyyy-mm-dd"),IF($A132="","",IF($D132="Lisbonne","",IF(SUMPRODUCT(('Agences &amp; Après-vente'!$A$2:$A$1000=$A132)*(('Agences &amp; Après-vente'!$D$2:$D$1000="Agences")+('Agences &amp; Après-vente'!$D$2:$D$1000="Agences et Après-vente"))*('Agences &amp; Après-vente'!$I$2:$I$1000="DONE"))&gt;0,"✓",IF(SUMPRODUCT(MAX(('Agences &amp; Après-vente'!$A$2:$A$1000=$A132)*(('Agences &amp; Après-vente'!$D$2:$D$1000="Agences")+('Agences &amp; Après-vente'!$D$2:$D$1000="Agences et Après-vente"))*'Agences &amp; Après-vente'!$E$2:$E$1000))&gt;0,TEXT(SUMPRODUCT(MAX(('Agences &amp; Après-vente'!$A$2:$A$1000=$A132)*(('Agences &amp; Après-vente'!$D$2:$D$1000="Agences")+('Agences &amp; Après-vente'!$D$2:$D$1000="Agences et Après-vente"))*'Agences &amp; Après-vente'!$E$2:$E$1000)),"yyyy-mm-dd"),""))))))</f>
        <v>✓</v>
      </c>
      <c r="I132" s="131" t="str">
        <f aca="false">IF($S132="✓","✓",IF(ISNUMBER($S132),TEXT($S132,"yyyy-mm-dd"),IF($A132="","",IF(SUMPRODUCT(('Agences &amp; Après-vente'!$A$2:$A$1000=$A132)*(('Agences &amp; Après-vente'!$D$2:$D$1000="Après-vente")+('Agences &amp; Après-vente'!$D$2:$D$1000="Agences et Après-vente"))*('Agences &amp; Après-vente'!$I$2:$I$1000="DONE"))&gt;0,"✓",IF(SUMPRODUCT(MAX(('Agences &amp; Après-vente'!$A$2:$A$1000=$A132)*(('Agences &amp; Après-vente'!$D$2:$D$1000="Après-vente")+('Agences &amp; Après-vente'!$D$2:$D$1000="Agences et Après-vente"))*'Agences &amp; Après-vente'!$E$2:$E$1000))&gt;0,TEXT(SUMPRODUCT(MAX(('Agences &amp; Après-vente'!$A$2:$A$1000=$A132)*(('Agences &amp; Après-vente'!$D$2:$D$1000="Après-vente")+('Agences &amp; Après-vente'!$D$2:$D$1000="Agences et Après-vente"))*'Agences &amp; Après-vente'!$E$2:$E$1000)),"yyyy-mm-dd"),"")))))</f>
        <v>✓</v>
      </c>
      <c r="J132" s="131" t="str">
        <f aca="false">IF($T132="✓","✓",IF(ISNUMBER($T132),TEXT($T132,"yyyy-mm-dd"),IF($A132="","",IF($D132="Lisbonne","",IF(SUMPRODUCT(('Agences &amp; Après-vente'!$A$2:$A$1000=$A132)*(('Agences &amp; Après-vente'!$D$2:$D$1000="Après-vente")+('Agences &amp; Après-vente'!$D$2:$D$1000="Agences et Après-vente"))*('Agences &amp; Après-vente'!$I$2:$I$1000="DONE"))&gt;0,"✓",IF(SUMPRODUCT(MAX(('Agences &amp; Après-vente'!$A$2:$A$1000=$A132)*(('Agences &amp; Après-vente'!$D$2:$D$1000="Après-vente")+('Agences &amp; Après-vente'!$D$2:$D$1000="Agences et Après-vente"))*'Agences &amp; Après-vente'!$E$2:$E$1000))&gt;0,TEXT(SUMPRODUCT(MAX(('Agences &amp; Après-vente'!$A$2:$A$1000=$A132)*(('Agences &amp; Après-vente'!$D$2:$D$1000="Après-vente")+('Agences &amp; Après-vente'!$D$2:$D$1000="Agences et Après-vente"))*'Agences &amp; Après-vente'!$E$2:$E$1000)),"yyyy-mm-dd"),""))))))</f>
        <v>✓</v>
      </c>
      <c r="K132" s="131" t="str">
        <f aca="false">IF($U132="✓","✓",IF(ISNUMBER($U132),TEXT($U132,"yyyy-mm-dd"),IF($D132="Lisbonne","",IF($A132="","",IF(SUMPRODUCT((Evermont!$A$2:$A$1000=$A132)*(Evermont!$Q$2:$Q$1000="Terminé"))&gt;0,"✓",IF(SUMPRODUCT(MAX((Evermont!$A$2:$A$1000=$A132)*Evermont!$F$2:$F$1000))&gt;0,TEXT(SUMPRODUCT(MAX((Evermont!$A$2:$A$1000=$A132)*Evermont!$F$2:$F$1000)),"yyyy-mm-dd"),""))))))</f>
        <v>✓</v>
      </c>
      <c r="L132" s="132" t="n">
        <f aca="false">IF($A132="","",COUNTIF(E132:K132,"✓"))</f>
        <v>7</v>
      </c>
      <c r="M132" s="133" t="s">
        <v>172</v>
      </c>
      <c r="O132" s="134" t="s">
        <v>173</v>
      </c>
      <c r="P132" s="134" t="s">
        <v>173</v>
      </c>
      <c r="Q132" s="134" t="s">
        <v>173</v>
      </c>
      <c r="R132" s="134" t="s">
        <v>173</v>
      </c>
      <c r="S132" s="134" t="s">
        <v>173</v>
      </c>
      <c r="T132" s="134" t="s">
        <v>173</v>
      </c>
      <c r="U132" s="134" t="s">
        <v>173</v>
      </c>
      <c r="W132" s="135" t="str">
        <f aca="false">IF($A132="","",IF($X132&lt;&gt;"",$X132,IFERROR(INDEX('Formation Initiale'!$B$2:$B$999,MATCH($A132,'Formation Initiale'!$A$2:$A$999,0)),"Général")))</f>
        <v>Général</v>
      </c>
      <c r="X132" s="136"/>
    </row>
    <row r="133" customFormat="false" ht="18" hidden="true" customHeight="true" outlineLevel="0" collapsed="false">
      <c r="A133" s="127" t="s">
        <v>557</v>
      </c>
      <c r="B133" s="128" t="s">
        <v>558</v>
      </c>
      <c r="C133" s="128" t="s">
        <v>559</v>
      </c>
      <c r="D133" s="129" t="s">
        <v>171</v>
      </c>
      <c r="E133" s="130" t="str">
        <f aca="false">IF($O133="✓","✓",IF(ISNUMBER($O133),TEXT($O133,"yyyy-mm-dd"),IF($A133="","",IF(SUMPRODUCT(('Formation Initiale'!$A$2:$A$999=$A133)*('Formation Initiale'!$R$2:$R$999="Terminé"))&gt;0,"✓",IF(SUMPRODUCT(MAX(('Formation Initiale'!$A$2:$A$999=$A133)*'Formation Initiale'!$G$2:$G$999))&gt;0,TEXT(SUMPRODUCT(MAX(('Formation Initiale'!$A$2:$A$999=$A133)*'Formation Initiale'!$G$2:$G$999)),"yyyy-mm-dd"),"")))))</f>
        <v>✓</v>
      </c>
      <c r="F133" s="131" t="str">
        <f aca="false">IF($P133="✓","✓",IF(ISNUMBER($P133),TEXT($P133,"yyyy-mm-dd"),IF($A133="","",IF($D133="Lisbonne","",IF(SUMPRODUCT(('Formation Initiale'!$A$2:$A$999=$A133)*('Formation Initiale'!$R$2:$R$999="Terminé"))&gt;0,"✓",IF(SUMPRODUCT(MAX(('Formation Initiale'!$A$2:$A$999=$A133)*'Formation Initiale'!$G$2:$G$999))&gt;0,TEXT(SUMPRODUCT(MAX(('Formation Initiale'!$A$2:$A$999=$A133)*'Formation Initiale'!$G$2:$G$999)),"yyyy-mm-dd"),""))))))</f>
        <v>✓</v>
      </c>
      <c r="G133" s="131" t="str">
        <f aca="false">IF($Q133="✓","✓",IF(ISNUMBER($Q133),TEXT($Q133,"yyyy-mm-dd"),IF($A133="","",IF(SUMPRODUCT(('Agences &amp; Après-vente'!$A$2:$A$1000=$A133)*(('Agences &amp; Après-vente'!$D$2:$D$1000="Agences")+('Agences &amp; Après-vente'!$D$2:$D$1000="Agences et Après-vente"))*('Agences &amp; Après-vente'!$I$2:$I$1000="DONE"))&gt;0,"✓",IF(SUMPRODUCT(MAX(('Agences &amp; Après-vente'!$A$2:$A$1000=$A133)*(('Agences &amp; Après-vente'!$D$2:$D$1000="Agences")+('Agences &amp; Après-vente'!$D$2:$D$1000="Agences et Après-vente"))*'Agences &amp; Après-vente'!$E$2:$E$1000))&gt;0,TEXT(SUMPRODUCT(MAX(('Agences &amp; Après-vente'!$A$2:$A$1000=$A133)*(('Agences &amp; Après-vente'!$D$2:$D$1000="Agences")+('Agences &amp; Après-vente'!$D$2:$D$1000="Agences et Après-vente"))*'Agences &amp; Après-vente'!$E$2:$E$1000)),"yyyy-mm-dd"),"")))))</f>
        <v>✓</v>
      </c>
      <c r="H133" s="131" t="str">
        <f aca="false">IF($R133="✓","✓",IF(ISNUMBER($R133),TEXT($R133,"yyyy-mm-dd"),IF($A133="","",IF($D133="Lisbonne","",IF(SUMPRODUCT(('Agences &amp; Après-vente'!$A$2:$A$1000=$A133)*(('Agences &amp; Après-vente'!$D$2:$D$1000="Agences")+('Agences &amp; Après-vente'!$D$2:$D$1000="Agences et Après-vente"))*('Agences &amp; Après-vente'!$I$2:$I$1000="DONE"))&gt;0,"✓",IF(SUMPRODUCT(MAX(('Agences &amp; Après-vente'!$A$2:$A$1000=$A133)*(('Agences &amp; Après-vente'!$D$2:$D$1000="Agences")+('Agences &amp; Après-vente'!$D$2:$D$1000="Agences et Après-vente"))*'Agences &amp; Après-vente'!$E$2:$E$1000))&gt;0,TEXT(SUMPRODUCT(MAX(('Agences &amp; Après-vente'!$A$2:$A$1000=$A133)*(('Agences &amp; Après-vente'!$D$2:$D$1000="Agences")+('Agences &amp; Après-vente'!$D$2:$D$1000="Agences et Après-vente"))*'Agences &amp; Après-vente'!$E$2:$E$1000)),"yyyy-mm-dd"),""))))))</f>
        <v>✓</v>
      </c>
      <c r="I133" s="131" t="str">
        <f aca="false">IF($S133="✓","✓",IF(ISNUMBER($S133),TEXT($S133,"yyyy-mm-dd"),IF($A133="","",IF(SUMPRODUCT(('Agences &amp; Après-vente'!$A$2:$A$1000=$A133)*(('Agences &amp; Après-vente'!$D$2:$D$1000="Après-vente")+('Agences &amp; Après-vente'!$D$2:$D$1000="Agences et Après-vente"))*('Agences &amp; Après-vente'!$I$2:$I$1000="DONE"))&gt;0,"✓",IF(SUMPRODUCT(MAX(('Agences &amp; Après-vente'!$A$2:$A$1000=$A133)*(('Agences &amp; Après-vente'!$D$2:$D$1000="Après-vente")+('Agences &amp; Après-vente'!$D$2:$D$1000="Agences et Après-vente"))*'Agences &amp; Après-vente'!$E$2:$E$1000))&gt;0,TEXT(SUMPRODUCT(MAX(('Agences &amp; Après-vente'!$A$2:$A$1000=$A133)*(('Agences &amp; Après-vente'!$D$2:$D$1000="Après-vente")+('Agences &amp; Après-vente'!$D$2:$D$1000="Agences et Après-vente"))*'Agences &amp; Après-vente'!$E$2:$E$1000)),"yyyy-mm-dd"),"")))))</f>
        <v>✓</v>
      </c>
      <c r="J133" s="131" t="str">
        <f aca="false">IF($T133="✓","✓",IF(ISNUMBER($T133),TEXT($T133,"yyyy-mm-dd"),IF($A133="","",IF($D133="Lisbonne","",IF(SUMPRODUCT(('Agences &amp; Après-vente'!$A$2:$A$1000=$A133)*(('Agences &amp; Après-vente'!$D$2:$D$1000="Après-vente")+('Agences &amp; Après-vente'!$D$2:$D$1000="Agences et Après-vente"))*('Agences &amp; Après-vente'!$I$2:$I$1000="DONE"))&gt;0,"✓",IF(SUMPRODUCT(MAX(('Agences &amp; Après-vente'!$A$2:$A$1000=$A133)*(('Agences &amp; Après-vente'!$D$2:$D$1000="Après-vente")+('Agences &amp; Après-vente'!$D$2:$D$1000="Agences et Après-vente"))*'Agences &amp; Après-vente'!$E$2:$E$1000))&gt;0,TEXT(SUMPRODUCT(MAX(('Agences &amp; Après-vente'!$A$2:$A$1000=$A133)*(('Agences &amp; Après-vente'!$D$2:$D$1000="Après-vente")+('Agences &amp; Après-vente'!$D$2:$D$1000="Agences et Après-vente"))*'Agences &amp; Après-vente'!$E$2:$E$1000)),"yyyy-mm-dd"),""))))))</f>
        <v>✓</v>
      </c>
      <c r="K133" s="131" t="str">
        <f aca="false">IF($U133="✓","✓",IF(ISNUMBER($U133),TEXT($U133,"yyyy-mm-dd"),IF($D133="Lisbonne","",IF($A133="","",IF(SUMPRODUCT((Evermont!$A$2:$A$1000=$A133)*(Evermont!$Q$2:$Q$1000="Terminé"))&gt;0,"✓",IF(SUMPRODUCT(MAX((Evermont!$A$2:$A$1000=$A133)*Evermont!$F$2:$F$1000))&gt;0,TEXT(SUMPRODUCT(MAX((Evermont!$A$2:$A$1000=$A133)*Evermont!$F$2:$F$1000)),"yyyy-mm-dd"),""))))))</f>
        <v>✓</v>
      </c>
      <c r="L133" s="132" t="n">
        <f aca="false">IF($A133="","",COUNTIF(E133:K133,"✓"))</f>
        <v>7</v>
      </c>
      <c r="M133" s="133" t="s">
        <v>172</v>
      </c>
      <c r="O133" s="134" t="s">
        <v>173</v>
      </c>
      <c r="P133" s="134" t="s">
        <v>173</v>
      </c>
      <c r="Q133" s="134" t="s">
        <v>173</v>
      </c>
      <c r="R133" s="134" t="s">
        <v>173</v>
      </c>
      <c r="S133" s="134" t="s">
        <v>173</v>
      </c>
      <c r="T133" s="134" t="s">
        <v>173</v>
      </c>
      <c r="U133" s="134" t="s">
        <v>173</v>
      </c>
      <c r="W133" s="135" t="str">
        <f aca="false">IF($A133="","",IF($X133&lt;&gt;"",$X133,IFERROR(INDEX('Formation Initiale'!$B$2:$B$999,MATCH($A133,'Formation Initiale'!$A$2:$A$999,0)),"Général")))</f>
        <v>Général</v>
      </c>
      <c r="X133" s="136"/>
    </row>
    <row r="134" customFormat="false" ht="18" hidden="true" customHeight="true" outlineLevel="0" collapsed="false">
      <c r="A134" s="127" t="s">
        <v>560</v>
      </c>
      <c r="B134" s="128" t="s">
        <v>561</v>
      </c>
      <c r="C134" s="128" t="s">
        <v>562</v>
      </c>
      <c r="D134" s="129" t="s">
        <v>171</v>
      </c>
      <c r="E134" s="130" t="str">
        <f aca="false">IF($O134="✓","✓",IF(ISNUMBER($O134),TEXT($O134,"yyyy-mm-dd"),IF($A134="","",IF(SUMPRODUCT(('Formation Initiale'!$A$2:$A$999=$A134)*('Formation Initiale'!$R$2:$R$999="Terminé"))&gt;0,"✓",IF(SUMPRODUCT(MAX(('Formation Initiale'!$A$2:$A$999=$A134)*'Formation Initiale'!$G$2:$G$999))&gt;0,TEXT(SUMPRODUCT(MAX(('Formation Initiale'!$A$2:$A$999=$A134)*'Formation Initiale'!$G$2:$G$999)),"yyyy-mm-dd"),"")))))</f>
        <v>✓</v>
      </c>
      <c r="F134" s="131" t="str">
        <f aca="false">IF($P134="✓","✓",IF(ISNUMBER($P134),TEXT($P134,"yyyy-mm-dd"),IF($A134="","",IF($D134="Lisbonne","",IF(SUMPRODUCT(('Formation Initiale'!$A$2:$A$999=$A134)*('Formation Initiale'!$R$2:$R$999="Terminé"))&gt;0,"✓",IF(SUMPRODUCT(MAX(('Formation Initiale'!$A$2:$A$999=$A134)*'Formation Initiale'!$G$2:$G$999))&gt;0,TEXT(SUMPRODUCT(MAX(('Formation Initiale'!$A$2:$A$999=$A134)*'Formation Initiale'!$G$2:$G$999)),"yyyy-mm-dd"),""))))))</f>
        <v>✓</v>
      </c>
      <c r="G134" s="131" t="str">
        <f aca="false">IF($Q134="✓","✓",IF(ISNUMBER($Q134),TEXT($Q134,"yyyy-mm-dd"),IF($A134="","",IF(SUMPRODUCT(('Agences &amp; Après-vente'!$A$2:$A$1000=$A134)*(('Agences &amp; Après-vente'!$D$2:$D$1000="Agences")+('Agences &amp; Après-vente'!$D$2:$D$1000="Agences et Après-vente"))*('Agences &amp; Après-vente'!$I$2:$I$1000="DONE"))&gt;0,"✓",IF(SUMPRODUCT(MAX(('Agences &amp; Après-vente'!$A$2:$A$1000=$A134)*(('Agences &amp; Après-vente'!$D$2:$D$1000="Agences")+('Agences &amp; Après-vente'!$D$2:$D$1000="Agences et Après-vente"))*'Agences &amp; Après-vente'!$E$2:$E$1000))&gt;0,TEXT(SUMPRODUCT(MAX(('Agences &amp; Après-vente'!$A$2:$A$1000=$A134)*(('Agences &amp; Après-vente'!$D$2:$D$1000="Agences")+('Agences &amp; Après-vente'!$D$2:$D$1000="Agences et Après-vente"))*'Agences &amp; Après-vente'!$E$2:$E$1000)),"yyyy-mm-dd"),"")))))</f>
        <v>✓</v>
      </c>
      <c r="H134" s="131" t="str">
        <f aca="false">IF($R134="✓","✓",IF(ISNUMBER($R134),TEXT($R134,"yyyy-mm-dd"),IF($A134="","",IF($D134="Lisbonne","",IF(SUMPRODUCT(('Agences &amp; Après-vente'!$A$2:$A$1000=$A134)*(('Agences &amp; Après-vente'!$D$2:$D$1000="Agences")+('Agences &amp; Après-vente'!$D$2:$D$1000="Agences et Après-vente"))*('Agences &amp; Après-vente'!$I$2:$I$1000="DONE"))&gt;0,"✓",IF(SUMPRODUCT(MAX(('Agences &amp; Après-vente'!$A$2:$A$1000=$A134)*(('Agences &amp; Après-vente'!$D$2:$D$1000="Agences")+('Agences &amp; Après-vente'!$D$2:$D$1000="Agences et Après-vente"))*'Agences &amp; Après-vente'!$E$2:$E$1000))&gt;0,TEXT(SUMPRODUCT(MAX(('Agences &amp; Après-vente'!$A$2:$A$1000=$A134)*(('Agences &amp; Après-vente'!$D$2:$D$1000="Agences")+('Agences &amp; Après-vente'!$D$2:$D$1000="Agences et Après-vente"))*'Agences &amp; Après-vente'!$E$2:$E$1000)),"yyyy-mm-dd"),""))))))</f>
        <v>✓</v>
      </c>
      <c r="I134" s="131" t="str">
        <f aca="false">IF($S134="✓","✓",IF(ISNUMBER($S134),TEXT($S134,"yyyy-mm-dd"),IF($A134="","",IF(SUMPRODUCT(('Agences &amp; Après-vente'!$A$2:$A$1000=$A134)*(('Agences &amp; Après-vente'!$D$2:$D$1000="Après-vente")+('Agences &amp; Après-vente'!$D$2:$D$1000="Agences et Après-vente"))*('Agences &amp; Après-vente'!$I$2:$I$1000="DONE"))&gt;0,"✓",IF(SUMPRODUCT(MAX(('Agences &amp; Après-vente'!$A$2:$A$1000=$A134)*(('Agences &amp; Après-vente'!$D$2:$D$1000="Après-vente")+('Agences &amp; Après-vente'!$D$2:$D$1000="Agences et Après-vente"))*'Agences &amp; Après-vente'!$E$2:$E$1000))&gt;0,TEXT(SUMPRODUCT(MAX(('Agences &amp; Après-vente'!$A$2:$A$1000=$A134)*(('Agences &amp; Après-vente'!$D$2:$D$1000="Après-vente")+('Agences &amp; Après-vente'!$D$2:$D$1000="Agences et Après-vente"))*'Agences &amp; Après-vente'!$E$2:$E$1000)),"yyyy-mm-dd"),"")))))</f>
        <v>✓</v>
      </c>
      <c r="J134" s="131" t="str">
        <f aca="false">IF($T134="✓","✓",IF(ISNUMBER($T134),TEXT($T134,"yyyy-mm-dd"),IF($A134="","",IF($D134="Lisbonne","",IF(SUMPRODUCT(('Agences &amp; Après-vente'!$A$2:$A$1000=$A134)*(('Agences &amp; Après-vente'!$D$2:$D$1000="Après-vente")+('Agences &amp; Après-vente'!$D$2:$D$1000="Agences et Après-vente"))*('Agences &amp; Après-vente'!$I$2:$I$1000="DONE"))&gt;0,"✓",IF(SUMPRODUCT(MAX(('Agences &amp; Après-vente'!$A$2:$A$1000=$A134)*(('Agences &amp; Après-vente'!$D$2:$D$1000="Après-vente")+('Agences &amp; Après-vente'!$D$2:$D$1000="Agences et Après-vente"))*'Agences &amp; Après-vente'!$E$2:$E$1000))&gt;0,TEXT(SUMPRODUCT(MAX(('Agences &amp; Après-vente'!$A$2:$A$1000=$A134)*(('Agences &amp; Après-vente'!$D$2:$D$1000="Après-vente")+('Agences &amp; Après-vente'!$D$2:$D$1000="Agences et Après-vente"))*'Agences &amp; Après-vente'!$E$2:$E$1000)),"yyyy-mm-dd"),""))))))</f>
        <v>✓</v>
      </c>
      <c r="K134" s="131" t="str">
        <f aca="false">IF($U134="✓","✓",IF(ISNUMBER($U134),TEXT($U134,"yyyy-mm-dd"),IF($D134="Lisbonne","",IF($A134="","",IF(SUMPRODUCT((Evermont!$A$2:$A$1000=$A134)*(Evermont!$Q$2:$Q$1000="Terminé"))&gt;0,"✓",IF(SUMPRODUCT(MAX((Evermont!$A$2:$A$1000=$A134)*Evermont!$F$2:$F$1000))&gt;0,TEXT(SUMPRODUCT(MAX((Evermont!$A$2:$A$1000=$A134)*Evermont!$F$2:$F$1000)),"yyyy-mm-dd"),""))))))</f>
        <v>✓</v>
      </c>
      <c r="L134" s="132" t="n">
        <f aca="false">IF($A134="","",COUNTIF(E134:K134,"✓"))</f>
        <v>7</v>
      </c>
      <c r="M134" s="133" t="s">
        <v>172</v>
      </c>
      <c r="O134" s="134" t="s">
        <v>173</v>
      </c>
      <c r="P134" s="134" t="s">
        <v>173</v>
      </c>
      <c r="Q134" s="134" t="s">
        <v>173</v>
      </c>
      <c r="R134" s="134" t="s">
        <v>173</v>
      </c>
      <c r="S134" s="134"/>
      <c r="T134" s="134"/>
      <c r="U134" s="134" t="s">
        <v>173</v>
      </c>
      <c r="W134" s="135" t="str">
        <f aca="false">IF($A134="","",IF($X134&lt;&gt;"",$X134,IFERROR(INDEX('Formation Initiale'!$B$2:$B$999,MATCH($A134,'Formation Initiale'!$A$2:$A$999,0)),"Général")))</f>
        <v>Général</v>
      </c>
      <c r="X134" s="136"/>
    </row>
    <row r="135" customFormat="false" ht="15" hidden="true" customHeight="true" outlineLevel="0" collapsed="false">
      <c r="A135" s="127" t="s">
        <v>563</v>
      </c>
      <c r="B135" s="128" t="s">
        <v>564</v>
      </c>
      <c r="C135" s="128" t="s">
        <v>565</v>
      </c>
      <c r="D135" s="129" t="s">
        <v>171</v>
      </c>
      <c r="E135" s="130" t="str">
        <f aca="false">IF($O135="✓","✓",IF(ISNUMBER($O135),TEXT($O135,"yyyy-mm-dd"),IF($A135="","",IF(SUMPRODUCT(('Formation Initiale'!$A$2:$A$999=$A135)*('Formation Initiale'!$R$2:$R$999="Terminé"))&gt;0,"✓",IF(SUMPRODUCT(MAX(('Formation Initiale'!$A$2:$A$999=$A135)*'Formation Initiale'!$G$2:$G$999))&gt;0,TEXT(SUMPRODUCT(MAX(('Formation Initiale'!$A$2:$A$999=$A135)*'Formation Initiale'!$G$2:$G$999)),"yyyy-mm-dd"),"")))))</f>
        <v>✓</v>
      </c>
      <c r="F135" s="131" t="str">
        <f aca="false">IF($P135="✓","✓",IF(ISNUMBER($P135),TEXT($P135,"yyyy-mm-dd"),IF($A135="","",IF($D135="Lisbonne","",IF(SUMPRODUCT(('Formation Initiale'!$A$2:$A$999=$A135)*('Formation Initiale'!$R$2:$R$999="Terminé"))&gt;0,"✓",IF(SUMPRODUCT(MAX(('Formation Initiale'!$A$2:$A$999=$A135)*'Formation Initiale'!$G$2:$G$999))&gt;0,TEXT(SUMPRODUCT(MAX(('Formation Initiale'!$A$2:$A$999=$A135)*'Formation Initiale'!$G$2:$G$999)),"yyyy-mm-dd"),""))))))</f>
        <v>✓</v>
      </c>
      <c r="G135" s="131" t="str">
        <f aca="false">IF($Q135="✓","✓",IF(ISNUMBER($Q135),TEXT($Q135,"yyyy-mm-dd"),IF($A135="","",IF(SUMPRODUCT(('Agences &amp; Après-vente'!$A$2:$A$1000=$A135)*(('Agences &amp; Après-vente'!$D$2:$D$1000="Agences")+('Agences &amp; Après-vente'!$D$2:$D$1000="Agences et Après-vente"))*('Agences &amp; Après-vente'!$I$2:$I$1000="DONE"))&gt;0,"✓",IF(SUMPRODUCT(MAX(('Agences &amp; Après-vente'!$A$2:$A$1000=$A135)*(('Agences &amp; Après-vente'!$D$2:$D$1000="Agences")+('Agences &amp; Après-vente'!$D$2:$D$1000="Agences et Après-vente"))*'Agences &amp; Après-vente'!$E$2:$E$1000))&gt;0,TEXT(SUMPRODUCT(MAX(('Agences &amp; Après-vente'!$A$2:$A$1000=$A135)*(('Agences &amp; Après-vente'!$D$2:$D$1000="Agences")+('Agences &amp; Après-vente'!$D$2:$D$1000="Agences et Après-vente"))*'Agences &amp; Après-vente'!$E$2:$E$1000)),"yyyy-mm-dd"),"")))))</f>
        <v>✓</v>
      </c>
      <c r="H135" s="131" t="str">
        <f aca="false">IF($R135="✓","✓",IF(ISNUMBER($R135),TEXT($R135,"yyyy-mm-dd"),IF($A135="","",IF($D135="Lisbonne","",IF(SUMPRODUCT(('Agences &amp; Après-vente'!$A$2:$A$1000=$A135)*(('Agences &amp; Après-vente'!$D$2:$D$1000="Agences")+('Agences &amp; Après-vente'!$D$2:$D$1000="Agences et Après-vente"))*('Agences &amp; Après-vente'!$I$2:$I$1000="DONE"))&gt;0,"✓",IF(SUMPRODUCT(MAX(('Agences &amp; Après-vente'!$A$2:$A$1000=$A135)*(('Agences &amp; Après-vente'!$D$2:$D$1000="Agences")+('Agences &amp; Après-vente'!$D$2:$D$1000="Agences et Après-vente"))*'Agences &amp; Après-vente'!$E$2:$E$1000))&gt;0,TEXT(SUMPRODUCT(MAX(('Agences &amp; Après-vente'!$A$2:$A$1000=$A135)*(('Agences &amp; Après-vente'!$D$2:$D$1000="Agences")+('Agences &amp; Après-vente'!$D$2:$D$1000="Agences et Après-vente"))*'Agences &amp; Après-vente'!$E$2:$E$1000)),"yyyy-mm-dd"),""))))))</f>
        <v>✓</v>
      </c>
      <c r="I135" s="131" t="str">
        <f aca="false">IF($S135="✓","✓",IF(ISNUMBER($S135),TEXT($S135,"yyyy-mm-dd"),IF($A135="","",IF(SUMPRODUCT(('Agences &amp; Après-vente'!$A$2:$A$1000=$A135)*(('Agences &amp; Après-vente'!$D$2:$D$1000="Après-vente")+('Agences &amp; Après-vente'!$D$2:$D$1000="Agences et Après-vente"))*('Agences &amp; Après-vente'!$I$2:$I$1000="DONE"))&gt;0,"✓",IF(SUMPRODUCT(MAX(('Agences &amp; Après-vente'!$A$2:$A$1000=$A135)*(('Agences &amp; Après-vente'!$D$2:$D$1000="Après-vente")+('Agences &amp; Après-vente'!$D$2:$D$1000="Agences et Après-vente"))*'Agences &amp; Après-vente'!$E$2:$E$1000))&gt;0,TEXT(SUMPRODUCT(MAX(('Agences &amp; Après-vente'!$A$2:$A$1000=$A135)*(('Agences &amp; Après-vente'!$D$2:$D$1000="Après-vente")+('Agences &amp; Après-vente'!$D$2:$D$1000="Agences et Après-vente"))*'Agences &amp; Après-vente'!$E$2:$E$1000)),"yyyy-mm-dd"),"")))))</f>
        <v>✓</v>
      </c>
      <c r="J135" s="131" t="str">
        <f aca="false">IF($T135="✓","✓",IF(ISNUMBER($T135),TEXT($T135,"yyyy-mm-dd"),IF($A135="","",IF($D135="Lisbonne","",IF(SUMPRODUCT(('Agences &amp; Après-vente'!$A$2:$A$1000=$A135)*(('Agences &amp; Après-vente'!$D$2:$D$1000="Après-vente")+('Agences &amp; Après-vente'!$D$2:$D$1000="Agences et Après-vente"))*('Agences &amp; Après-vente'!$I$2:$I$1000="DONE"))&gt;0,"✓",IF(SUMPRODUCT(MAX(('Agences &amp; Après-vente'!$A$2:$A$1000=$A135)*(('Agences &amp; Après-vente'!$D$2:$D$1000="Après-vente")+('Agences &amp; Après-vente'!$D$2:$D$1000="Agences et Après-vente"))*'Agences &amp; Après-vente'!$E$2:$E$1000))&gt;0,TEXT(SUMPRODUCT(MAX(('Agences &amp; Après-vente'!$A$2:$A$1000=$A135)*(('Agences &amp; Après-vente'!$D$2:$D$1000="Après-vente")+('Agences &amp; Après-vente'!$D$2:$D$1000="Agences et Après-vente"))*'Agences &amp; Après-vente'!$E$2:$E$1000)),"yyyy-mm-dd"),""))))))</f>
        <v>✓</v>
      </c>
      <c r="K135" s="131" t="str">
        <f aca="false">IF($U135="✓","✓",IF(ISNUMBER($U135),TEXT($U135,"yyyy-mm-dd"),IF($D135="Lisbonne","",IF($A135="","",IF(SUMPRODUCT((Evermont!$A$2:$A$1000=$A135)*(Evermont!$Q$2:$Q$1000="Terminé"))&gt;0,"✓",IF(SUMPRODUCT(MAX((Evermont!$A$2:$A$1000=$A135)*Evermont!$F$2:$F$1000))&gt;0,TEXT(SUMPRODUCT(MAX((Evermont!$A$2:$A$1000=$A135)*Evermont!$F$2:$F$1000)),"yyyy-mm-dd"),""))))))</f>
        <v/>
      </c>
      <c r="L135" s="132" t="n">
        <f aca="false">IF($A135="","",COUNTIF(E135:K135,"✓"))</f>
        <v>6</v>
      </c>
      <c r="M135" s="133" t="s">
        <v>172</v>
      </c>
      <c r="O135" s="134" t="s">
        <v>173</v>
      </c>
      <c r="P135" s="134" t="s">
        <v>173</v>
      </c>
      <c r="Q135" s="134"/>
      <c r="R135" s="134"/>
      <c r="S135" s="134"/>
      <c r="T135" s="134"/>
      <c r="U135" s="134"/>
      <c r="W135" s="135" t="str">
        <f aca="false">IF($A135="","",IF($X135&lt;&gt;"",$X135,IFERROR(INDEX('Formation Initiale'!$B$2:$B$999,MATCH($A135,'Formation Initiale'!$A$2:$A$999,0)),"Général")))</f>
        <v>Général</v>
      </c>
      <c r="X135" s="136"/>
    </row>
    <row r="136" customFormat="false" ht="15" hidden="true" customHeight="true" outlineLevel="0" collapsed="false">
      <c r="A136" s="127" t="s">
        <v>566</v>
      </c>
      <c r="B136" s="128" t="s">
        <v>567</v>
      </c>
      <c r="C136" s="128" t="s">
        <v>568</v>
      </c>
      <c r="D136" s="129" t="s">
        <v>171</v>
      </c>
      <c r="E136" s="130" t="str">
        <f aca="false">IF($O136="✓","✓",IF(ISNUMBER($O136),TEXT($O136,"yyyy-mm-dd"),IF($A136="","",IF(SUMPRODUCT(('Formation Initiale'!$A$2:$A$999=$A136)*('Formation Initiale'!$R$2:$R$999="Terminé"))&gt;0,"✓",IF(SUMPRODUCT(MAX(('Formation Initiale'!$A$2:$A$999=$A136)*'Formation Initiale'!$G$2:$G$999))&gt;0,TEXT(SUMPRODUCT(MAX(('Formation Initiale'!$A$2:$A$999=$A136)*'Formation Initiale'!$G$2:$G$999)),"yyyy-mm-dd"),"")))))</f>
        <v>✓</v>
      </c>
      <c r="F136" s="131" t="str">
        <f aca="false">IF($P136="✓","✓",IF(ISNUMBER($P136),TEXT($P136,"yyyy-mm-dd"),IF($A136="","",IF($D136="Lisbonne","",IF(SUMPRODUCT(('Formation Initiale'!$A$2:$A$999=$A136)*('Formation Initiale'!$R$2:$R$999="Terminé"))&gt;0,"✓",IF(SUMPRODUCT(MAX(('Formation Initiale'!$A$2:$A$999=$A136)*'Formation Initiale'!$G$2:$G$999))&gt;0,TEXT(SUMPRODUCT(MAX(('Formation Initiale'!$A$2:$A$999=$A136)*'Formation Initiale'!$G$2:$G$999)),"yyyy-mm-dd"),""))))))</f>
        <v>✓</v>
      </c>
      <c r="G136" s="131" t="str">
        <f aca="false">IF($Q136="✓","✓",IF(ISNUMBER($Q136),TEXT($Q136,"yyyy-mm-dd"),IF($A136="","",IF(SUMPRODUCT(('Agences &amp; Après-vente'!$A$2:$A$1000=$A136)*(('Agences &amp; Après-vente'!$D$2:$D$1000="Agences")+('Agences &amp; Après-vente'!$D$2:$D$1000="Agences et Après-vente"))*('Agences &amp; Après-vente'!$I$2:$I$1000="DONE"))&gt;0,"✓",IF(SUMPRODUCT(MAX(('Agences &amp; Après-vente'!$A$2:$A$1000=$A136)*(('Agences &amp; Après-vente'!$D$2:$D$1000="Agences")+('Agences &amp; Après-vente'!$D$2:$D$1000="Agences et Après-vente"))*'Agences &amp; Après-vente'!$E$2:$E$1000))&gt;0,TEXT(SUMPRODUCT(MAX(('Agences &amp; Après-vente'!$A$2:$A$1000=$A136)*(('Agences &amp; Après-vente'!$D$2:$D$1000="Agences")+('Agences &amp; Après-vente'!$D$2:$D$1000="Agences et Après-vente"))*'Agences &amp; Après-vente'!$E$2:$E$1000)),"yyyy-mm-dd"),"")))))</f>
        <v>✓</v>
      </c>
      <c r="H136" s="131" t="str">
        <f aca="false">IF($R136="✓","✓",IF(ISNUMBER($R136),TEXT($R136,"yyyy-mm-dd"),IF($A136="","",IF($D136="Lisbonne","",IF(SUMPRODUCT(('Agences &amp; Après-vente'!$A$2:$A$1000=$A136)*(('Agences &amp; Après-vente'!$D$2:$D$1000="Agences")+('Agences &amp; Après-vente'!$D$2:$D$1000="Agences et Après-vente"))*('Agences &amp; Après-vente'!$I$2:$I$1000="DONE"))&gt;0,"✓",IF(SUMPRODUCT(MAX(('Agences &amp; Après-vente'!$A$2:$A$1000=$A136)*(('Agences &amp; Après-vente'!$D$2:$D$1000="Agences")+('Agences &amp; Après-vente'!$D$2:$D$1000="Agences et Après-vente"))*'Agences &amp; Après-vente'!$E$2:$E$1000))&gt;0,TEXT(SUMPRODUCT(MAX(('Agences &amp; Après-vente'!$A$2:$A$1000=$A136)*(('Agences &amp; Après-vente'!$D$2:$D$1000="Agences")+('Agences &amp; Après-vente'!$D$2:$D$1000="Agences et Après-vente"))*'Agences &amp; Après-vente'!$E$2:$E$1000)),"yyyy-mm-dd"),""))))))</f>
        <v>✓</v>
      </c>
      <c r="I136" s="131" t="str">
        <f aca="false">IF($S136="✓","✓",IF(ISNUMBER($S136),TEXT($S136,"yyyy-mm-dd"),IF($A136="","",IF(SUMPRODUCT(('Agences &amp; Après-vente'!$A$2:$A$1000=$A136)*(('Agences &amp; Après-vente'!$D$2:$D$1000="Après-vente")+('Agences &amp; Après-vente'!$D$2:$D$1000="Agences et Après-vente"))*('Agences &amp; Après-vente'!$I$2:$I$1000="DONE"))&gt;0,"✓",IF(SUMPRODUCT(MAX(('Agences &amp; Après-vente'!$A$2:$A$1000=$A136)*(('Agences &amp; Après-vente'!$D$2:$D$1000="Après-vente")+('Agences &amp; Après-vente'!$D$2:$D$1000="Agences et Après-vente"))*'Agences &amp; Après-vente'!$E$2:$E$1000))&gt;0,TEXT(SUMPRODUCT(MAX(('Agences &amp; Après-vente'!$A$2:$A$1000=$A136)*(('Agences &amp; Après-vente'!$D$2:$D$1000="Après-vente")+('Agences &amp; Après-vente'!$D$2:$D$1000="Agences et Après-vente"))*'Agences &amp; Après-vente'!$E$2:$E$1000)),"yyyy-mm-dd"),"")))))</f>
        <v>✓</v>
      </c>
      <c r="J136" s="131" t="str">
        <f aca="false">IF($T136="✓","✓",IF(ISNUMBER($T136),TEXT($T136,"yyyy-mm-dd"),IF($A136="","",IF($D136="Lisbonne","",IF(SUMPRODUCT(('Agences &amp; Après-vente'!$A$2:$A$1000=$A136)*(('Agences &amp; Après-vente'!$D$2:$D$1000="Après-vente")+('Agences &amp; Après-vente'!$D$2:$D$1000="Agences et Après-vente"))*('Agences &amp; Après-vente'!$I$2:$I$1000="DONE"))&gt;0,"✓",IF(SUMPRODUCT(MAX(('Agences &amp; Après-vente'!$A$2:$A$1000=$A136)*(('Agences &amp; Après-vente'!$D$2:$D$1000="Après-vente")+('Agences &amp; Après-vente'!$D$2:$D$1000="Agences et Après-vente"))*'Agences &amp; Après-vente'!$E$2:$E$1000))&gt;0,TEXT(SUMPRODUCT(MAX(('Agences &amp; Après-vente'!$A$2:$A$1000=$A136)*(('Agences &amp; Après-vente'!$D$2:$D$1000="Après-vente")+('Agences &amp; Après-vente'!$D$2:$D$1000="Agences et Après-vente"))*'Agences &amp; Après-vente'!$E$2:$E$1000)),"yyyy-mm-dd"),""))))))</f>
        <v>✓</v>
      </c>
      <c r="K136" s="131" t="str">
        <f aca="false">IF($U136="✓","✓",IF(ISNUMBER($U136),TEXT($U136,"yyyy-mm-dd"),IF($D136="Lisbonne","",IF($A136="","",IF(SUMPRODUCT((Evermont!$A$2:$A$1000=$A136)*(Evermont!$Q$2:$Q$1000="Terminé"))&gt;0,"✓",IF(SUMPRODUCT(MAX((Evermont!$A$2:$A$1000=$A136)*Evermont!$F$2:$F$1000))&gt;0,TEXT(SUMPRODUCT(MAX((Evermont!$A$2:$A$1000=$A136)*Evermont!$F$2:$F$1000)),"yyyy-mm-dd"),""))))))</f>
        <v/>
      </c>
      <c r="L136" s="132" t="n">
        <f aca="false">IF($A136="","",COUNTIF(E136:K136,"✓"))</f>
        <v>6</v>
      </c>
      <c r="M136" s="133" t="s">
        <v>172</v>
      </c>
      <c r="O136" s="134" t="s">
        <v>173</v>
      </c>
      <c r="P136" s="134" t="s">
        <v>173</v>
      </c>
      <c r="Q136" s="134"/>
      <c r="R136" s="134"/>
      <c r="S136" s="134"/>
      <c r="T136" s="134"/>
      <c r="U136" s="134"/>
      <c r="W136" s="135" t="str">
        <f aca="false">IF($A136="","",IF($X136&lt;&gt;"",$X136,IFERROR(INDEX('Formation Initiale'!$B$2:$B$999,MATCH($A136,'Formation Initiale'!$A$2:$A$999,0)),"Général")))</f>
        <v>173</v>
      </c>
      <c r="X136" s="136"/>
    </row>
    <row r="137" customFormat="false" ht="15" hidden="true" customHeight="true" outlineLevel="0" collapsed="false">
      <c r="A137" s="127" t="s">
        <v>569</v>
      </c>
      <c r="B137" s="128" t="s">
        <v>570</v>
      </c>
      <c r="C137" s="128" t="s">
        <v>571</v>
      </c>
      <c r="D137" s="129" t="s">
        <v>171</v>
      </c>
      <c r="E137" s="130" t="str">
        <f aca="false">IF($O137="✓","✓",IF(ISNUMBER($O137),TEXT($O137,"yyyy-mm-dd"),IF($A137="","",IF(SUMPRODUCT(('Formation Initiale'!$A$2:$A$999=$A137)*('Formation Initiale'!$R$2:$R$999="Terminé"))&gt;0,"✓",IF(SUMPRODUCT(MAX(('Formation Initiale'!$A$2:$A$999=$A137)*'Formation Initiale'!$G$2:$G$999))&gt;0,TEXT(SUMPRODUCT(MAX(('Formation Initiale'!$A$2:$A$999=$A137)*'Formation Initiale'!$G$2:$G$999)),"yyyy-mm-dd"),"")))))</f>
        <v>✓</v>
      </c>
      <c r="F137" s="131" t="str">
        <f aca="false">IF($P137="✓","✓",IF(ISNUMBER($P137),TEXT($P137,"yyyy-mm-dd"),IF($A137="","",IF($D137="Lisbonne","",IF(SUMPRODUCT(('Formation Initiale'!$A$2:$A$999=$A137)*('Formation Initiale'!$R$2:$R$999="Terminé"))&gt;0,"✓",IF(SUMPRODUCT(MAX(('Formation Initiale'!$A$2:$A$999=$A137)*'Formation Initiale'!$G$2:$G$999))&gt;0,TEXT(SUMPRODUCT(MAX(('Formation Initiale'!$A$2:$A$999=$A137)*'Formation Initiale'!$G$2:$G$999)),"yyyy-mm-dd"),""))))))</f>
        <v>✓</v>
      </c>
      <c r="G137" s="131" t="str">
        <f aca="false">IF($Q137="✓","✓",IF(ISNUMBER($Q137),TEXT($Q137,"yyyy-mm-dd"),IF($A137="","",IF(SUMPRODUCT(('Agences &amp; Après-vente'!$A$2:$A$1000=$A137)*(('Agences &amp; Après-vente'!$D$2:$D$1000="Agences")+('Agences &amp; Après-vente'!$D$2:$D$1000="Agences et Après-vente"))*('Agences &amp; Après-vente'!$I$2:$I$1000="DONE"))&gt;0,"✓",IF(SUMPRODUCT(MAX(('Agences &amp; Après-vente'!$A$2:$A$1000=$A137)*(('Agences &amp; Après-vente'!$D$2:$D$1000="Agences")+('Agences &amp; Après-vente'!$D$2:$D$1000="Agences et Après-vente"))*'Agences &amp; Après-vente'!$E$2:$E$1000))&gt;0,TEXT(SUMPRODUCT(MAX(('Agences &amp; Après-vente'!$A$2:$A$1000=$A137)*(('Agences &amp; Après-vente'!$D$2:$D$1000="Agences")+('Agences &amp; Après-vente'!$D$2:$D$1000="Agences et Après-vente"))*'Agences &amp; Après-vente'!$E$2:$E$1000)),"yyyy-mm-dd"),"")))))</f>
        <v>✓</v>
      </c>
      <c r="H137" s="131" t="str">
        <f aca="false">IF($R137="✓","✓",IF(ISNUMBER($R137),TEXT($R137,"yyyy-mm-dd"),IF($A137="","",IF($D137="Lisbonne","",IF(SUMPRODUCT(('Agences &amp; Après-vente'!$A$2:$A$1000=$A137)*(('Agences &amp; Après-vente'!$D$2:$D$1000="Agences")+('Agences &amp; Après-vente'!$D$2:$D$1000="Agences et Après-vente"))*('Agences &amp; Après-vente'!$I$2:$I$1000="DONE"))&gt;0,"✓",IF(SUMPRODUCT(MAX(('Agences &amp; Après-vente'!$A$2:$A$1000=$A137)*(('Agences &amp; Après-vente'!$D$2:$D$1000="Agences")+('Agences &amp; Après-vente'!$D$2:$D$1000="Agences et Après-vente"))*'Agences &amp; Après-vente'!$E$2:$E$1000))&gt;0,TEXT(SUMPRODUCT(MAX(('Agences &amp; Après-vente'!$A$2:$A$1000=$A137)*(('Agences &amp; Après-vente'!$D$2:$D$1000="Agences")+('Agences &amp; Après-vente'!$D$2:$D$1000="Agences et Après-vente"))*'Agences &amp; Après-vente'!$E$2:$E$1000)),"yyyy-mm-dd"),""))))))</f>
        <v>✓</v>
      </c>
      <c r="I137" s="131" t="str">
        <f aca="false">IF($S137="✓","✓",IF(ISNUMBER($S137),TEXT($S137,"yyyy-mm-dd"),IF($A137="","",IF(SUMPRODUCT(('Agences &amp; Après-vente'!$A$2:$A$1000=$A137)*(('Agences &amp; Après-vente'!$D$2:$D$1000="Après-vente")+('Agences &amp; Après-vente'!$D$2:$D$1000="Agences et Après-vente"))*('Agences &amp; Après-vente'!$I$2:$I$1000="DONE"))&gt;0,"✓",IF(SUMPRODUCT(MAX(('Agences &amp; Après-vente'!$A$2:$A$1000=$A137)*(('Agences &amp; Après-vente'!$D$2:$D$1000="Après-vente")+('Agences &amp; Après-vente'!$D$2:$D$1000="Agences et Après-vente"))*'Agences &amp; Après-vente'!$E$2:$E$1000))&gt;0,TEXT(SUMPRODUCT(MAX(('Agences &amp; Après-vente'!$A$2:$A$1000=$A137)*(('Agences &amp; Après-vente'!$D$2:$D$1000="Après-vente")+('Agences &amp; Après-vente'!$D$2:$D$1000="Agences et Après-vente"))*'Agences &amp; Après-vente'!$E$2:$E$1000)),"yyyy-mm-dd"),"")))))</f>
        <v/>
      </c>
      <c r="J137" s="131" t="str">
        <f aca="false">IF($T137="✓","✓",IF(ISNUMBER($T137),TEXT($T137,"yyyy-mm-dd"),IF($A137="","",IF($D137="Lisbonne","",IF(SUMPRODUCT(('Agences &amp; Après-vente'!$A$2:$A$1000=$A137)*(('Agences &amp; Après-vente'!$D$2:$D$1000="Après-vente")+('Agences &amp; Après-vente'!$D$2:$D$1000="Agences et Après-vente"))*('Agences &amp; Après-vente'!$I$2:$I$1000="DONE"))&gt;0,"✓",IF(SUMPRODUCT(MAX(('Agences &amp; Après-vente'!$A$2:$A$1000=$A137)*(('Agences &amp; Après-vente'!$D$2:$D$1000="Après-vente")+('Agences &amp; Après-vente'!$D$2:$D$1000="Agences et Après-vente"))*'Agences &amp; Après-vente'!$E$2:$E$1000))&gt;0,TEXT(SUMPRODUCT(MAX(('Agences &amp; Après-vente'!$A$2:$A$1000=$A137)*(('Agences &amp; Après-vente'!$D$2:$D$1000="Après-vente")+('Agences &amp; Après-vente'!$D$2:$D$1000="Agences et Après-vente"))*'Agences &amp; Après-vente'!$E$2:$E$1000)),"yyyy-mm-dd"),""))))))</f>
        <v/>
      </c>
      <c r="K137" s="131" t="str">
        <f aca="false">IF($U137="✓","✓",IF(ISNUMBER($U137),TEXT($U137,"yyyy-mm-dd"),IF($D137="Lisbonne","",IF($A137="","",IF(SUMPRODUCT((Evermont!$A$2:$A$1000=$A137)*(Evermont!$Q$2:$Q$1000="Terminé"))&gt;0,"✓",IF(SUMPRODUCT(MAX((Evermont!$A$2:$A$1000=$A137)*Evermont!$F$2:$F$1000))&gt;0,TEXT(SUMPRODUCT(MAX((Evermont!$A$2:$A$1000=$A137)*Evermont!$F$2:$F$1000)),"yyyy-mm-dd"),""))))))</f>
        <v/>
      </c>
      <c r="L137" s="132" t="n">
        <f aca="false">IF($A137="","",COUNTIF(E137:K137,"✓"))</f>
        <v>4</v>
      </c>
      <c r="M137" s="133" t="s">
        <v>172</v>
      </c>
      <c r="O137" s="134" t="s">
        <v>173</v>
      </c>
      <c r="P137" s="134" t="s">
        <v>173</v>
      </c>
      <c r="Q137" s="134"/>
      <c r="R137" s="134"/>
      <c r="S137" s="134"/>
      <c r="T137" s="134"/>
      <c r="U137" s="134"/>
      <c r="W137" s="135" t="str">
        <f aca="false">IF($A137="","",IF($X137&lt;&gt;"",$X137,IFERROR(INDEX('Formation Initiale'!$B$2:$B$999,MATCH($A137,'Formation Initiale'!$A$2:$A$999,0)),"Général")))</f>
        <v>174</v>
      </c>
      <c r="X137" s="136"/>
    </row>
    <row r="138" customFormat="false" ht="15" hidden="true" customHeight="true" outlineLevel="0" collapsed="false">
      <c r="A138" s="127" t="s">
        <v>572</v>
      </c>
      <c r="B138" s="128" t="s">
        <v>573</v>
      </c>
      <c r="C138" s="128" t="s">
        <v>574</v>
      </c>
      <c r="D138" s="129" t="s">
        <v>171</v>
      </c>
      <c r="E138" s="130" t="str">
        <f aca="false">IF($O138="✓","✓",IF(ISNUMBER($O138),TEXT($O138,"yyyy-mm-dd"),IF($A138="","",IF(SUMPRODUCT(('Formation Initiale'!$A$2:$A$999=$A138)*('Formation Initiale'!$R$2:$R$999="Terminé"))&gt;0,"✓",IF(SUMPRODUCT(MAX(('Formation Initiale'!$A$2:$A$999=$A138)*'Formation Initiale'!$G$2:$G$999))&gt;0,TEXT(SUMPRODUCT(MAX(('Formation Initiale'!$A$2:$A$999=$A138)*'Formation Initiale'!$G$2:$G$999)),"yyyy-mm-dd"),"")))))</f>
        <v>✓</v>
      </c>
      <c r="F138" s="131" t="str">
        <f aca="false">IF($P138="✓","✓",IF(ISNUMBER($P138),TEXT($P138,"yyyy-mm-dd"),IF($A138="","",IF($D138="Lisbonne","",IF(SUMPRODUCT(('Formation Initiale'!$A$2:$A$999=$A138)*('Formation Initiale'!$R$2:$R$999="Terminé"))&gt;0,"✓",IF(SUMPRODUCT(MAX(('Formation Initiale'!$A$2:$A$999=$A138)*'Formation Initiale'!$G$2:$G$999))&gt;0,TEXT(SUMPRODUCT(MAX(('Formation Initiale'!$A$2:$A$999=$A138)*'Formation Initiale'!$G$2:$G$999)),"yyyy-mm-dd"),""))))))</f>
        <v>✓</v>
      </c>
      <c r="G138" s="131" t="str">
        <f aca="false">IF($Q138="✓","✓",IF(ISNUMBER($Q138),TEXT($Q138,"yyyy-mm-dd"),IF($A138="","",IF(SUMPRODUCT(('Agences &amp; Après-vente'!$A$2:$A$1000=$A138)*(('Agences &amp; Après-vente'!$D$2:$D$1000="Agences")+('Agences &amp; Après-vente'!$D$2:$D$1000="Agences et Après-vente"))*('Agences &amp; Après-vente'!$I$2:$I$1000="DONE"))&gt;0,"✓",IF(SUMPRODUCT(MAX(('Agences &amp; Après-vente'!$A$2:$A$1000=$A138)*(('Agences &amp; Après-vente'!$D$2:$D$1000="Agences")+('Agences &amp; Après-vente'!$D$2:$D$1000="Agences et Après-vente"))*'Agences &amp; Après-vente'!$E$2:$E$1000))&gt;0,TEXT(SUMPRODUCT(MAX(('Agences &amp; Après-vente'!$A$2:$A$1000=$A138)*(('Agences &amp; Après-vente'!$D$2:$D$1000="Agences")+('Agences &amp; Après-vente'!$D$2:$D$1000="Agences et Après-vente"))*'Agences &amp; Après-vente'!$E$2:$E$1000)),"yyyy-mm-dd"),"")))))</f>
        <v/>
      </c>
      <c r="H138" s="131" t="str">
        <f aca="false">IF($R138="✓","✓",IF(ISNUMBER($R138),TEXT($R138,"yyyy-mm-dd"),IF($A138="","",IF($D138="Lisbonne","",IF(SUMPRODUCT(('Agences &amp; Après-vente'!$A$2:$A$1000=$A138)*(('Agences &amp; Après-vente'!$D$2:$D$1000="Agences")+('Agences &amp; Après-vente'!$D$2:$D$1000="Agences et Après-vente"))*('Agences &amp; Après-vente'!$I$2:$I$1000="DONE"))&gt;0,"✓",IF(SUMPRODUCT(MAX(('Agences &amp; Après-vente'!$A$2:$A$1000=$A138)*(('Agences &amp; Après-vente'!$D$2:$D$1000="Agences")+('Agences &amp; Après-vente'!$D$2:$D$1000="Agences et Après-vente"))*'Agences &amp; Après-vente'!$E$2:$E$1000))&gt;0,TEXT(SUMPRODUCT(MAX(('Agences &amp; Après-vente'!$A$2:$A$1000=$A138)*(('Agences &amp; Après-vente'!$D$2:$D$1000="Agences")+('Agences &amp; Après-vente'!$D$2:$D$1000="Agences et Après-vente"))*'Agences &amp; Après-vente'!$E$2:$E$1000)),"yyyy-mm-dd"),""))))))</f>
        <v/>
      </c>
      <c r="I138" s="131" t="str">
        <f aca="false">IF($S138="✓","✓",IF(ISNUMBER($S138),TEXT($S138,"yyyy-mm-dd"),IF($A138="","",IF(SUMPRODUCT(('Agences &amp; Après-vente'!$A$2:$A$1000=$A138)*(('Agences &amp; Après-vente'!$D$2:$D$1000="Après-vente")+('Agences &amp; Après-vente'!$D$2:$D$1000="Agences et Après-vente"))*('Agences &amp; Après-vente'!$I$2:$I$1000="DONE"))&gt;0,"✓",IF(SUMPRODUCT(MAX(('Agences &amp; Après-vente'!$A$2:$A$1000=$A138)*(('Agences &amp; Après-vente'!$D$2:$D$1000="Après-vente")+('Agences &amp; Après-vente'!$D$2:$D$1000="Agences et Après-vente"))*'Agences &amp; Après-vente'!$E$2:$E$1000))&gt;0,TEXT(SUMPRODUCT(MAX(('Agences &amp; Après-vente'!$A$2:$A$1000=$A138)*(('Agences &amp; Après-vente'!$D$2:$D$1000="Après-vente")+('Agences &amp; Après-vente'!$D$2:$D$1000="Agences et Après-vente"))*'Agences &amp; Après-vente'!$E$2:$E$1000)),"yyyy-mm-dd"),"")))))</f>
        <v/>
      </c>
      <c r="J138" s="131" t="str">
        <f aca="false">IF($T138="✓","✓",IF(ISNUMBER($T138),TEXT($T138,"yyyy-mm-dd"),IF($A138="","",IF($D138="Lisbonne","",IF(SUMPRODUCT(('Agences &amp; Après-vente'!$A$2:$A$1000=$A138)*(('Agences &amp; Après-vente'!$D$2:$D$1000="Après-vente")+('Agences &amp; Après-vente'!$D$2:$D$1000="Agences et Après-vente"))*('Agences &amp; Après-vente'!$I$2:$I$1000="DONE"))&gt;0,"✓",IF(SUMPRODUCT(MAX(('Agences &amp; Après-vente'!$A$2:$A$1000=$A138)*(('Agences &amp; Après-vente'!$D$2:$D$1000="Après-vente")+('Agences &amp; Après-vente'!$D$2:$D$1000="Agences et Après-vente"))*'Agences &amp; Après-vente'!$E$2:$E$1000))&gt;0,TEXT(SUMPRODUCT(MAX(('Agences &amp; Après-vente'!$A$2:$A$1000=$A138)*(('Agences &amp; Après-vente'!$D$2:$D$1000="Après-vente")+('Agences &amp; Après-vente'!$D$2:$D$1000="Agences et Après-vente"))*'Agences &amp; Après-vente'!$E$2:$E$1000)),"yyyy-mm-dd"),""))))))</f>
        <v/>
      </c>
      <c r="K138" s="131" t="str">
        <f aca="false">IF($U138="✓","✓",IF(ISNUMBER($U138),TEXT($U138,"yyyy-mm-dd"),IF($D138="Lisbonne","",IF($A138="","",IF(SUMPRODUCT((Evermont!$A$2:$A$1000=$A138)*(Evermont!$Q$2:$Q$1000="Terminé"))&gt;0,"✓",IF(SUMPRODUCT(MAX((Evermont!$A$2:$A$1000=$A138)*Evermont!$F$2:$F$1000))&gt;0,TEXT(SUMPRODUCT(MAX((Evermont!$A$2:$A$1000=$A138)*Evermont!$F$2:$F$1000)),"yyyy-mm-dd"),""))))))</f>
        <v/>
      </c>
      <c r="L138" s="132" t="n">
        <f aca="false">IF($A138="","",COUNTIF(E138:K138,"✓"))</f>
        <v>2</v>
      </c>
      <c r="M138" s="133" t="s">
        <v>172</v>
      </c>
      <c r="O138" s="134" t="s">
        <v>173</v>
      </c>
      <c r="P138" s="134" t="s">
        <v>173</v>
      </c>
      <c r="Q138" s="134"/>
      <c r="R138" s="134"/>
      <c r="S138" s="134"/>
      <c r="T138" s="134"/>
      <c r="U138" s="134"/>
      <c r="W138" s="135" t="str">
        <f aca="false">IF($A138="","",IF($X138&lt;&gt;"",$X138,IFERROR(INDEX('Formation Initiale'!$B$2:$B$999,MATCH($A138,'Formation Initiale'!$A$2:$A$999,0)),"Général")))</f>
        <v>175</v>
      </c>
      <c r="X138" s="136"/>
    </row>
    <row r="139" customFormat="false" ht="15" hidden="true" customHeight="true" outlineLevel="0" collapsed="false">
      <c r="A139" s="127" t="s">
        <v>575</v>
      </c>
      <c r="B139" s="128" t="s">
        <v>248</v>
      </c>
      <c r="C139" s="128" t="s">
        <v>576</v>
      </c>
      <c r="D139" s="129" t="s">
        <v>171</v>
      </c>
      <c r="E139" s="130" t="str">
        <f aca="false">IF($O139="✓","✓",IF(ISNUMBER($O139),TEXT($O139,"yyyy-mm-dd"),IF($A139="","",IF(SUMPRODUCT(('Formation Initiale'!$A$2:$A$999=$A139)*('Formation Initiale'!$R$2:$R$999="Terminé"))&gt;0,"✓",IF(SUMPRODUCT(MAX(('Formation Initiale'!$A$2:$A$999=$A139)*'Formation Initiale'!$G$2:$G$999))&gt;0,TEXT(SUMPRODUCT(MAX(('Formation Initiale'!$A$2:$A$999=$A139)*'Formation Initiale'!$G$2:$G$999)),"yyyy-mm-dd"),"")))))</f>
        <v>✓</v>
      </c>
      <c r="F139" s="131" t="str">
        <f aca="false">IF($P139="✓","✓",IF(ISNUMBER($P139),TEXT($P139,"yyyy-mm-dd"),IF($A139="","",IF($D139="Lisbonne","",IF(SUMPRODUCT(('Formation Initiale'!$A$2:$A$999=$A139)*('Formation Initiale'!$R$2:$R$999="Terminé"))&gt;0,"✓",IF(SUMPRODUCT(MAX(('Formation Initiale'!$A$2:$A$999=$A139)*'Formation Initiale'!$G$2:$G$999))&gt;0,TEXT(SUMPRODUCT(MAX(('Formation Initiale'!$A$2:$A$999=$A139)*'Formation Initiale'!$G$2:$G$999)),"yyyy-mm-dd"),""))))))</f>
        <v>✓</v>
      </c>
      <c r="G139" s="131" t="str">
        <f aca="false">IF($Q139="✓","✓",IF(ISNUMBER($Q139),TEXT($Q139,"yyyy-mm-dd"),IF($A139="","",IF(SUMPRODUCT(('Agences &amp; Après-vente'!$A$2:$A$1000=$A139)*(('Agences &amp; Après-vente'!$D$2:$D$1000="Agences")+('Agences &amp; Après-vente'!$D$2:$D$1000="Agences et Après-vente"))*('Agences &amp; Après-vente'!$I$2:$I$1000="DONE"))&gt;0,"✓",IF(SUMPRODUCT(MAX(('Agences &amp; Après-vente'!$A$2:$A$1000=$A139)*(('Agences &amp; Après-vente'!$D$2:$D$1000="Agences")+('Agences &amp; Après-vente'!$D$2:$D$1000="Agences et Après-vente"))*'Agences &amp; Après-vente'!$E$2:$E$1000))&gt;0,TEXT(SUMPRODUCT(MAX(('Agences &amp; Après-vente'!$A$2:$A$1000=$A139)*(('Agences &amp; Après-vente'!$D$2:$D$1000="Agences")+('Agences &amp; Après-vente'!$D$2:$D$1000="Agences et Après-vente"))*'Agences &amp; Après-vente'!$E$2:$E$1000)),"yyyy-mm-dd"),"")))))</f>
        <v>✓</v>
      </c>
      <c r="H139" s="131" t="str">
        <f aca="false">IF($R139="✓","✓",IF(ISNUMBER($R139),TEXT($R139,"yyyy-mm-dd"),IF($A139="","",IF($D139="Lisbonne","",IF(SUMPRODUCT(('Agences &amp; Après-vente'!$A$2:$A$1000=$A139)*(('Agences &amp; Après-vente'!$D$2:$D$1000="Agences")+('Agences &amp; Après-vente'!$D$2:$D$1000="Agences et Après-vente"))*('Agences &amp; Après-vente'!$I$2:$I$1000="DONE"))&gt;0,"✓",IF(SUMPRODUCT(MAX(('Agences &amp; Après-vente'!$A$2:$A$1000=$A139)*(('Agences &amp; Après-vente'!$D$2:$D$1000="Agences")+('Agences &amp; Après-vente'!$D$2:$D$1000="Agences et Après-vente"))*'Agences &amp; Après-vente'!$E$2:$E$1000))&gt;0,TEXT(SUMPRODUCT(MAX(('Agences &amp; Après-vente'!$A$2:$A$1000=$A139)*(('Agences &amp; Après-vente'!$D$2:$D$1000="Agences")+('Agences &amp; Après-vente'!$D$2:$D$1000="Agences et Après-vente"))*'Agences &amp; Après-vente'!$E$2:$E$1000)),"yyyy-mm-dd"),""))))))</f>
        <v>✓</v>
      </c>
      <c r="I139" s="131" t="str">
        <f aca="false">IF($S139="✓","✓",IF(ISNUMBER($S139),TEXT($S139,"yyyy-mm-dd"),IF($A139="","",IF(SUMPRODUCT(('Agences &amp; Après-vente'!$A$2:$A$1000=$A139)*(('Agences &amp; Après-vente'!$D$2:$D$1000="Après-vente")+('Agences &amp; Après-vente'!$D$2:$D$1000="Agences et Après-vente"))*('Agences &amp; Après-vente'!$I$2:$I$1000="DONE"))&gt;0,"✓",IF(SUMPRODUCT(MAX(('Agences &amp; Après-vente'!$A$2:$A$1000=$A139)*(('Agences &amp; Après-vente'!$D$2:$D$1000="Après-vente")+('Agences &amp; Après-vente'!$D$2:$D$1000="Agences et Après-vente"))*'Agences &amp; Après-vente'!$E$2:$E$1000))&gt;0,TEXT(SUMPRODUCT(MAX(('Agences &amp; Après-vente'!$A$2:$A$1000=$A139)*(('Agences &amp; Après-vente'!$D$2:$D$1000="Après-vente")+('Agences &amp; Après-vente'!$D$2:$D$1000="Agences et Après-vente"))*'Agences &amp; Après-vente'!$E$2:$E$1000)),"yyyy-mm-dd"),"")))))</f>
        <v>✓</v>
      </c>
      <c r="J139" s="131" t="str">
        <f aca="false">IF($T139="✓","✓",IF(ISNUMBER($T139),TEXT($T139,"yyyy-mm-dd"),IF($A139="","",IF($D139="Lisbonne","",IF(SUMPRODUCT(('Agences &amp; Après-vente'!$A$2:$A$1000=$A139)*(('Agences &amp; Après-vente'!$D$2:$D$1000="Après-vente")+('Agences &amp; Après-vente'!$D$2:$D$1000="Agences et Après-vente"))*('Agences &amp; Après-vente'!$I$2:$I$1000="DONE"))&gt;0,"✓",IF(SUMPRODUCT(MAX(('Agences &amp; Après-vente'!$A$2:$A$1000=$A139)*(('Agences &amp; Après-vente'!$D$2:$D$1000="Après-vente")+('Agences &amp; Après-vente'!$D$2:$D$1000="Agences et Après-vente"))*'Agences &amp; Après-vente'!$E$2:$E$1000))&gt;0,TEXT(SUMPRODUCT(MAX(('Agences &amp; Après-vente'!$A$2:$A$1000=$A139)*(('Agences &amp; Après-vente'!$D$2:$D$1000="Après-vente")+('Agences &amp; Après-vente'!$D$2:$D$1000="Agences et Après-vente"))*'Agences &amp; Après-vente'!$E$2:$E$1000)),"yyyy-mm-dd"),""))))))</f>
        <v>✓</v>
      </c>
      <c r="K139" s="131" t="str">
        <f aca="false">IF($U139="✓","✓",IF(ISNUMBER($U139),TEXT($U139,"yyyy-mm-dd"),IF($D139="Lisbonne","",IF($A139="","",IF(SUMPRODUCT((Evermont!$A$2:$A$1000=$A139)*(Evermont!$Q$2:$Q$1000="Terminé"))&gt;0,"✓",IF(SUMPRODUCT(MAX((Evermont!$A$2:$A$1000=$A139)*Evermont!$F$2:$F$1000))&gt;0,TEXT(SUMPRODUCT(MAX((Evermont!$A$2:$A$1000=$A139)*Evermont!$F$2:$F$1000)),"yyyy-mm-dd"),""))))))</f>
        <v>✓</v>
      </c>
      <c r="L139" s="132" t="n">
        <f aca="false">IF($A139="","",COUNTIF(E139:K139,"✓"))</f>
        <v>7</v>
      </c>
      <c r="M139" s="133" t="s">
        <v>172</v>
      </c>
      <c r="O139" s="134" t="s">
        <v>173</v>
      </c>
      <c r="P139" s="134" t="s">
        <v>173</v>
      </c>
      <c r="Q139" s="134" t="s">
        <v>173</v>
      </c>
      <c r="R139" s="134" t="s">
        <v>173</v>
      </c>
      <c r="S139" s="134" t="s">
        <v>173</v>
      </c>
      <c r="T139" s="134" t="s">
        <v>173</v>
      </c>
      <c r="U139" s="134" t="s">
        <v>173</v>
      </c>
      <c r="W139" s="135" t="str">
        <f aca="false">IF($A139="","",IF($X139&lt;&gt;"",$X139,IFERROR(INDEX('Formation Initiale'!$B$2:$B$999,MATCH($A139,'Formation Initiale'!$A$2:$A$999,0)),"Général")))</f>
        <v>Général</v>
      </c>
      <c r="X139" s="136"/>
    </row>
    <row r="140" customFormat="false" ht="15" hidden="true" customHeight="true" outlineLevel="0" collapsed="false">
      <c r="A140" s="127" t="s">
        <v>577</v>
      </c>
      <c r="B140" s="128" t="s">
        <v>578</v>
      </c>
      <c r="C140" s="128" t="s">
        <v>579</v>
      </c>
      <c r="D140" s="129" t="s">
        <v>171</v>
      </c>
      <c r="E140" s="130" t="str">
        <f aca="false">IF($O140="✓","✓",IF(ISNUMBER($O140),TEXT($O140,"yyyy-mm-dd"),IF($A140="","",IF(SUMPRODUCT(('Formation Initiale'!$A$2:$A$999=$A140)*('Formation Initiale'!$R$2:$R$999="Terminé"))&gt;0,"✓",IF(SUMPRODUCT(MAX(('Formation Initiale'!$A$2:$A$999=$A140)*'Formation Initiale'!$G$2:$G$999))&gt;0,TEXT(SUMPRODUCT(MAX(('Formation Initiale'!$A$2:$A$999=$A140)*'Formation Initiale'!$G$2:$G$999)),"yyyy-mm-dd"),"")))))</f>
        <v>✓</v>
      </c>
      <c r="F140" s="131" t="str">
        <f aca="false">IF($P140="✓","✓",IF(ISNUMBER($P140),TEXT($P140,"yyyy-mm-dd"),IF($A140="","",IF($D140="Lisbonne","",IF(SUMPRODUCT(('Formation Initiale'!$A$2:$A$999=$A140)*('Formation Initiale'!$R$2:$R$999="Terminé"))&gt;0,"✓",IF(SUMPRODUCT(MAX(('Formation Initiale'!$A$2:$A$999=$A140)*'Formation Initiale'!$G$2:$G$999))&gt;0,TEXT(SUMPRODUCT(MAX(('Formation Initiale'!$A$2:$A$999=$A140)*'Formation Initiale'!$G$2:$G$999)),"yyyy-mm-dd"),""))))))</f>
        <v>✓</v>
      </c>
      <c r="G140" s="131" t="str">
        <f aca="false">IF($Q140="✓","✓",IF(ISNUMBER($Q140),TEXT($Q140,"yyyy-mm-dd"),IF($A140="","",IF(SUMPRODUCT(('Agences &amp; Après-vente'!$A$2:$A$1000=$A140)*(('Agences &amp; Après-vente'!$D$2:$D$1000="Agences")+('Agences &amp; Après-vente'!$D$2:$D$1000="Agences et Après-vente"))*('Agences &amp; Après-vente'!$I$2:$I$1000="DONE"))&gt;0,"✓",IF(SUMPRODUCT(MAX(('Agences &amp; Après-vente'!$A$2:$A$1000=$A140)*(('Agences &amp; Après-vente'!$D$2:$D$1000="Agences")+('Agences &amp; Après-vente'!$D$2:$D$1000="Agences et Après-vente"))*'Agences &amp; Après-vente'!$E$2:$E$1000))&gt;0,TEXT(SUMPRODUCT(MAX(('Agences &amp; Après-vente'!$A$2:$A$1000=$A140)*(('Agences &amp; Après-vente'!$D$2:$D$1000="Agences")+('Agences &amp; Après-vente'!$D$2:$D$1000="Agences et Après-vente"))*'Agences &amp; Après-vente'!$E$2:$E$1000)),"yyyy-mm-dd"),"")))))</f>
        <v>✓</v>
      </c>
      <c r="H140" s="131" t="str">
        <f aca="false">IF($R140="✓","✓",IF(ISNUMBER($R140),TEXT($R140,"yyyy-mm-dd"),IF($A140="","",IF($D140="Lisbonne","",IF(SUMPRODUCT(('Agences &amp; Après-vente'!$A$2:$A$1000=$A140)*(('Agences &amp; Après-vente'!$D$2:$D$1000="Agences")+('Agences &amp; Après-vente'!$D$2:$D$1000="Agences et Après-vente"))*('Agences &amp; Après-vente'!$I$2:$I$1000="DONE"))&gt;0,"✓",IF(SUMPRODUCT(MAX(('Agences &amp; Après-vente'!$A$2:$A$1000=$A140)*(('Agences &amp; Après-vente'!$D$2:$D$1000="Agences")+('Agences &amp; Après-vente'!$D$2:$D$1000="Agences et Après-vente"))*'Agences &amp; Après-vente'!$E$2:$E$1000))&gt;0,TEXT(SUMPRODUCT(MAX(('Agences &amp; Après-vente'!$A$2:$A$1000=$A140)*(('Agences &amp; Après-vente'!$D$2:$D$1000="Agences")+('Agences &amp; Après-vente'!$D$2:$D$1000="Agences et Après-vente"))*'Agences &amp; Après-vente'!$E$2:$E$1000)),"yyyy-mm-dd"),""))))))</f>
        <v>✓</v>
      </c>
      <c r="I140" s="131" t="str">
        <f aca="false">IF($S140="✓","✓",IF(ISNUMBER($S140),TEXT($S140,"yyyy-mm-dd"),IF($A140="","",IF(SUMPRODUCT(('Agences &amp; Après-vente'!$A$2:$A$1000=$A140)*(('Agences &amp; Après-vente'!$D$2:$D$1000="Après-vente")+('Agences &amp; Après-vente'!$D$2:$D$1000="Agences et Après-vente"))*('Agences &amp; Après-vente'!$I$2:$I$1000="DONE"))&gt;0,"✓",IF(SUMPRODUCT(MAX(('Agences &amp; Après-vente'!$A$2:$A$1000=$A140)*(('Agences &amp; Après-vente'!$D$2:$D$1000="Après-vente")+('Agences &amp; Après-vente'!$D$2:$D$1000="Agences et Après-vente"))*'Agences &amp; Après-vente'!$E$2:$E$1000))&gt;0,TEXT(SUMPRODUCT(MAX(('Agences &amp; Après-vente'!$A$2:$A$1000=$A140)*(('Agences &amp; Après-vente'!$D$2:$D$1000="Après-vente")+('Agences &amp; Après-vente'!$D$2:$D$1000="Agences et Après-vente"))*'Agences &amp; Après-vente'!$E$2:$E$1000)),"yyyy-mm-dd"),"")))))</f>
        <v>✓</v>
      </c>
      <c r="J140" s="131" t="str">
        <f aca="false">IF($T140="✓","✓",IF(ISNUMBER($T140),TEXT($T140,"yyyy-mm-dd"),IF($A140="","",IF($D140="Lisbonne","",IF(SUMPRODUCT(('Agences &amp; Après-vente'!$A$2:$A$1000=$A140)*(('Agences &amp; Après-vente'!$D$2:$D$1000="Après-vente")+('Agences &amp; Après-vente'!$D$2:$D$1000="Agences et Après-vente"))*('Agences &amp; Après-vente'!$I$2:$I$1000="DONE"))&gt;0,"✓",IF(SUMPRODUCT(MAX(('Agences &amp; Après-vente'!$A$2:$A$1000=$A140)*(('Agences &amp; Après-vente'!$D$2:$D$1000="Après-vente")+('Agences &amp; Après-vente'!$D$2:$D$1000="Agences et Après-vente"))*'Agences &amp; Après-vente'!$E$2:$E$1000))&gt;0,TEXT(SUMPRODUCT(MAX(('Agences &amp; Après-vente'!$A$2:$A$1000=$A140)*(('Agences &amp; Après-vente'!$D$2:$D$1000="Après-vente")+('Agences &amp; Après-vente'!$D$2:$D$1000="Agences et Après-vente"))*'Agences &amp; Après-vente'!$E$2:$E$1000)),"yyyy-mm-dd"),""))))))</f>
        <v>✓</v>
      </c>
      <c r="K140" s="131" t="str">
        <f aca="false">IF($U140="✓","✓",IF(ISNUMBER($U140),TEXT($U140,"yyyy-mm-dd"),IF($D140="Lisbonne","",IF($A140="","",IF(SUMPRODUCT((Evermont!$A$2:$A$1000=$A140)*(Evermont!$Q$2:$Q$1000="Terminé"))&gt;0,"✓",IF(SUMPRODUCT(MAX((Evermont!$A$2:$A$1000=$A140)*Evermont!$F$2:$F$1000))&gt;0,TEXT(SUMPRODUCT(MAX((Evermont!$A$2:$A$1000=$A140)*Evermont!$F$2:$F$1000)),"yyyy-mm-dd"),""))))))</f>
        <v>✓</v>
      </c>
      <c r="L140" s="132" t="n">
        <f aca="false">IF($A140="","",COUNTIF(E140:K140,"✓"))</f>
        <v>7</v>
      </c>
      <c r="M140" s="133" t="s">
        <v>172</v>
      </c>
      <c r="O140" s="134" t="s">
        <v>173</v>
      </c>
      <c r="P140" s="134" t="s">
        <v>173</v>
      </c>
      <c r="Q140" s="134" t="s">
        <v>173</v>
      </c>
      <c r="R140" s="134" t="s">
        <v>173</v>
      </c>
      <c r="S140" s="134" t="s">
        <v>173</v>
      </c>
      <c r="T140" s="134" t="s">
        <v>173</v>
      </c>
      <c r="U140" s="134" t="s">
        <v>173</v>
      </c>
      <c r="W140" s="135" t="str">
        <f aca="false">IF($A140="","",IF($X140&lt;&gt;"",$X140,IFERROR(INDEX('Formation Initiale'!$B$2:$B$999,MATCH($A140,'Formation Initiale'!$A$2:$A$999,0)),"Général")))</f>
        <v>Général</v>
      </c>
      <c r="X140" s="136"/>
    </row>
    <row r="141" customFormat="false" ht="15" hidden="true" customHeight="true" outlineLevel="0" collapsed="false">
      <c r="A141" s="127" t="s">
        <v>580</v>
      </c>
      <c r="B141" s="128" t="s">
        <v>581</v>
      </c>
      <c r="C141" s="128" t="s">
        <v>582</v>
      </c>
      <c r="D141" s="129" t="s">
        <v>171</v>
      </c>
      <c r="E141" s="130" t="str">
        <f aca="false">IF($O141="✓","✓",IF(ISNUMBER($O141),TEXT($O141,"yyyy-mm-dd"),IF($A141="","",IF(SUMPRODUCT(('Formation Initiale'!$A$2:$A$999=$A141)*('Formation Initiale'!$R$2:$R$999="Terminé"))&gt;0,"✓",IF(SUMPRODUCT(MAX(('Formation Initiale'!$A$2:$A$999=$A141)*'Formation Initiale'!$G$2:$G$999))&gt;0,TEXT(SUMPRODUCT(MAX(('Formation Initiale'!$A$2:$A$999=$A141)*'Formation Initiale'!$G$2:$G$999)),"yyyy-mm-dd"),"")))))</f>
        <v>✓</v>
      </c>
      <c r="F141" s="131" t="str">
        <f aca="false">IF($P141="✓","✓",IF(ISNUMBER($P141),TEXT($P141,"yyyy-mm-dd"),IF($A141="","",IF($D141="Lisbonne","",IF(SUMPRODUCT(('Formation Initiale'!$A$2:$A$999=$A141)*('Formation Initiale'!$R$2:$R$999="Terminé"))&gt;0,"✓",IF(SUMPRODUCT(MAX(('Formation Initiale'!$A$2:$A$999=$A141)*'Formation Initiale'!$G$2:$G$999))&gt;0,TEXT(SUMPRODUCT(MAX(('Formation Initiale'!$A$2:$A$999=$A141)*'Formation Initiale'!$G$2:$G$999)),"yyyy-mm-dd"),""))))))</f>
        <v>✓</v>
      </c>
      <c r="G141" s="131" t="str">
        <f aca="false">IF($Q141="✓","✓",IF(ISNUMBER($Q141),TEXT($Q141,"yyyy-mm-dd"),IF($A141="","",IF(SUMPRODUCT(('Agences &amp; Après-vente'!$A$2:$A$1000=$A141)*(('Agences &amp; Après-vente'!$D$2:$D$1000="Agences")+('Agences &amp; Après-vente'!$D$2:$D$1000="Agences et Après-vente"))*('Agences &amp; Après-vente'!$I$2:$I$1000="DONE"))&gt;0,"✓",IF(SUMPRODUCT(MAX(('Agences &amp; Après-vente'!$A$2:$A$1000=$A141)*(('Agences &amp; Après-vente'!$D$2:$D$1000="Agences")+('Agences &amp; Après-vente'!$D$2:$D$1000="Agences et Après-vente"))*'Agences &amp; Après-vente'!$E$2:$E$1000))&gt;0,TEXT(SUMPRODUCT(MAX(('Agences &amp; Après-vente'!$A$2:$A$1000=$A141)*(('Agences &amp; Après-vente'!$D$2:$D$1000="Agences")+('Agences &amp; Après-vente'!$D$2:$D$1000="Agences et Après-vente"))*'Agences &amp; Après-vente'!$E$2:$E$1000)),"yyyy-mm-dd"),"")))))</f>
        <v>✓</v>
      </c>
      <c r="H141" s="131" t="str">
        <f aca="false">IF($R141="✓","✓",IF(ISNUMBER($R141),TEXT($R141,"yyyy-mm-dd"),IF($A141="","",IF($D141="Lisbonne","",IF(SUMPRODUCT(('Agences &amp; Après-vente'!$A$2:$A$1000=$A141)*(('Agences &amp; Après-vente'!$D$2:$D$1000="Agences")+('Agences &amp; Après-vente'!$D$2:$D$1000="Agences et Après-vente"))*('Agences &amp; Après-vente'!$I$2:$I$1000="DONE"))&gt;0,"✓",IF(SUMPRODUCT(MAX(('Agences &amp; Après-vente'!$A$2:$A$1000=$A141)*(('Agences &amp; Après-vente'!$D$2:$D$1000="Agences")+('Agences &amp; Après-vente'!$D$2:$D$1000="Agences et Après-vente"))*'Agences &amp; Après-vente'!$E$2:$E$1000))&gt;0,TEXT(SUMPRODUCT(MAX(('Agences &amp; Après-vente'!$A$2:$A$1000=$A141)*(('Agences &amp; Après-vente'!$D$2:$D$1000="Agences")+('Agences &amp; Après-vente'!$D$2:$D$1000="Agences et Après-vente"))*'Agences &amp; Après-vente'!$E$2:$E$1000)),"yyyy-mm-dd"),""))))))</f>
        <v>✓</v>
      </c>
      <c r="I141" s="131" t="str">
        <f aca="false">IF($S141="✓","✓",IF(ISNUMBER($S141),TEXT($S141,"yyyy-mm-dd"),IF($A141="","",IF(SUMPRODUCT(('Agences &amp; Après-vente'!$A$2:$A$1000=$A141)*(('Agences &amp; Après-vente'!$D$2:$D$1000="Après-vente")+('Agences &amp; Après-vente'!$D$2:$D$1000="Agences et Après-vente"))*('Agences &amp; Après-vente'!$I$2:$I$1000="DONE"))&gt;0,"✓",IF(SUMPRODUCT(MAX(('Agences &amp; Après-vente'!$A$2:$A$1000=$A141)*(('Agences &amp; Après-vente'!$D$2:$D$1000="Après-vente")+('Agences &amp; Après-vente'!$D$2:$D$1000="Agences et Après-vente"))*'Agences &amp; Après-vente'!$E$2:$E$1000))&gt;0,TEXT(SUMPRODUCT(MAX(('Agences &amp; Après-vente'!$A$2:$A$1000=$A141)*(('Agences &amp; Après-vente'!$D$2:$D$1000="Après-vente")+('Agences &amp; Après-vente'!$D$2:$D$1000="Agences et Après-vente"))*'Agences &amp; Après-vente'!$E$2:$E$1000)),"yyyy-mm-dd"),"")))))</f>
        <v>✓</v>
      </c>
      <c r="J141" s="131" t="str">
        <f aca="false">IF($T141="✓","✓",IF(ISNUMBER($T141),TEXT($T141,"yyyy-mm-dd"),IF($A141="","",IF($D141="Lisbonne","",IF(SUMPRODUCT(('Agences &amp; Après-vente'!$A$2:$A$1000=$A141)*(('Agences &amp; Après-vente'!$D$2:$D$1000="Après-vente")+('Agences &amp; Après-vente'!$D$2:$D$1000="Agences et Après-vente"))*('Agences &amp; Après-vente'!$I$2:$I$1000="DONE"))&gt;0,"✓",IF(SUMPRODUCT(MAX(('Agences &amp; Après-vente'!$A$2:$A$1000=$A141)*(('Agences &amp; Après-vente'!$D$2:$D$1000="Après-vente")+('Agences &amp; Après-vente'!$D$2:$D$1000="Agences et Après-vente"))*'Agences &amp; Après-vente'!$E$2:$E$1000))&gt;0,TEXT(SUMPRODUCT(MAX(('Agences &amp; Après-vente'!$A$2:$A$1000=$A141)*(('Agences &amp; Après-vente'!$D$2:$D$1000="Après-vente")+('Agences &amp; Après-vente'!$D$2:$D$1000="Agences et Après-vente"))*'Agences &amp; Après-vente'!$E$2:$E$1000)),"yyyy-mm-dd"),""))))))</f>
        <v>✓</v>
      </c>
      <c r="K141" s="131" t="str">
        <f aca="false">IF($U141="✓","✓",IF(ISNUMBER($U141),TEXT($U141,"yyyy-mm-dd"),IF($D141="Lisbonne","",IF($A141="","",IF(SUMPRODUCT((Evermont!$A$2:$A$1000=$A141)*(Evermont!$Q$2:$Q$1000="Terminé"))&gt;0,"✓",IF(SUMPRODUCT(MAX((Evermont!$A$2:$A$1000=$A141)*Evermont!$F$2:$F$1000))&gt;0,TEXT(SUMPRODUCT(MAX((Evermont!$A$2:$A$1000=$A141)*Evermont!$F$2:$F$1000)),"yyyy-mm-dd"),""))))))</f>
        <v>2026-06-01</v>
      </c>
      <c r="L141" s="132" t="n">
        <f aca="false">IF($A141="","",COUNTIF(E141:K141,"✓"))</f>
        <v>6</v>
      </c>
      <c r="M141" s="133" t="s">
        <v>172</v>
      </c>
      <c r="O141" s="134" t="s">
        <v>173</v>
      </c>
      <c r="P141" s="134" t="s">
        <v>173</v>
      </c>
      <c r="Q141" s="134" t="s">
        <v>173</v>
      </c>
      <c r="R141" s="134" t="s">
        <v>173</v>
      </c>
      <c r="S141" s="134"/>
      <c r="T141" s="134"/>
      <c r="U141" s="134"/>
      <c r="W141" s="135" t="str">
        <f aca="false">IF($A141="","",IF($X141&lt;&gt;"",$X141,IFERROR(INDEX('Formation Initiale'!$B$2:$B$999,MATCH($A141,'Formation Initiale'!$A$2:$A$999,0)),"Général")))</f>
        <v>Général</v>
      </c>
      <c r="X141" s="136"/>
    </row>
    <row r="142" customFormat="false" ht="15" hidden="true" customHeight="true" outlineLevel="0" collapsed="false">
      <c r="A142" s="138" t="s">
        <v>583</v>
      </c>
      <c r="B142" s="128" t="s">
        <v>584</v>
      </c>
      <c r="C142" s="128" t="s">
        <v>585</v>
      </c>
      <c r="D142" s="129" t="s">
        <v>186</v>
      </c>
      <c r="E142" s="130" t="str">
        <f aca="false">IF($O142="✓","✓",IF(ISNUMBER($O142),TEXT($O142,"yyyy-mm-dd"),IF($A142="","",IF(SUMPRODUCT(('Formation Initiale'!$A$2:$A$999=$A142)*('Formation Initiale'!$R$2:$R$999="Terminé"))&gt;0,"✓",IF(SUMPRODUCT(MAX(('Formation Initiale'!$A$2:$A$999=$A142)*'Formation Initiale'!$G$2:$G$999))&gt;0,TEXT(SUMPRODUCT(MAX(('Formation Initiale'!$A$2:$A$999=$A142)*'Formation Initiale'!$G$2:$G$999)),"yyyy-mm-dd"),"")))))</f>
        <v>✓</v>
      </c>
      <c r="F142" s="131" t="str">
        <f aca="false">IF($P142="✓","✓",IF(ISNUMBER($P142),TEXT($P142,"yyyy-mm-dd"),IF($A142="","",IF($D142="Lisbonne","",IF(SUMPRODUCT(('Formation Initiale'!$A$2:$A$999=$A142)*('Formation Initiale'!$R$2:$R$999="Terminé"))&gt;0,"✓",IF(SUMPRODUCT(MAX(('Formation Initiale'!$A$2:$A$999=$A142)*'Formation Initiale'!$G$2:$G$999))&gt;0,TEXT(SUMPRODUCT(MAX(('Formation Initiale'!$A$2:$A$999=$A142)*'Formation Initiale'!$G$2:$G$999)),"yyyy-mm-dd"),""))))))</f>
        <v/>
      </c>
      <c r="G142" s="131" t="str">
        <f aca="false">IF($Q142="✓","✓",IF(ISNUMBER($Q142),TEXT($Q142,"yyyy-mm-dd"),IF($A142="","",IF(SUMPRODUCT(('Agences &amp; Après-vente'!$A$2:$A$1000=$A142)*(('Agences &amp; Après-vente'!$D$2:$D$1000="Agences")+('Agences &amp; Après-vente'!$D$2:$D$1000="Agences et Après-vente"))*('Agences &amp; Après-vente'!$I$2:$I$1000="DONE"))&gt;0,"✓",IF(SUMPRODUCT(MAX(('Agences &amp; Après-vente'!$A$2:$A$1000=$A142)*(('Agences &amp; Après-vente'!$D$2:$D$1000="Agences")+('Agences &amp; Après-vente'!$D$2:$D$1000="Agences et Après-vente"))*'Agences &amp; Après-vente'!$E$2:$E$1000))&gt;0,TEXT(SUMPRODUCT(MAX(('Agences &amp; Après-vente'!$A$2:$A$1000=$A142)*(('Agences &amp; Après-vente'!$D$2:$D$1000="Agences")+('Agences &amp; Après-vente'!$D$2:$D$1000="Agences et Après-vente"))*'Agences &amp; Après-vente'!$E$2:$E$1000)),"yyyy-mm-dd"),"")))))</f>
        <v/>
      </c>
      <c r="H142" s="131" t="str">
        <f aca="false">IF($R142="✓","✓",IF(ISNUMBER($R142),TEXT($R142,"yyyy-mm-dd"),IF($A142="","",IF($D142="Lisbonne","",IF(SUMPRODUCT(('Agences &amp; Après-vente'!$A$2:$A$1000=$A142)*(('Agences &amp; Après-vente'!$D$2:$D$1000="Agences")+('Agences &amp; Après-vente'!$D$2:$D$1000="Agences et Après-vente"))*('Agences &amp; Après-vente'!$I$2:$I$1000="DONE"))&gt;0,"✓",IF(SUMPRODUCT(MAX(('Agences &amp; Après-vente'!$A$2:$A$1000=$A142)*(('Agences &amp; Après-vente'!$D$2:$D$1000="Agences")+('Agences &amp; Après-vente'!$D$2:$D$1000="Agences et Après-vente"))*'Agences &amp; Après-vente'!$E$2:$E$1000))&gt;0,TEXT(SUMPRODUCT(MAX(('Agences &amp; Après-vente'!$A$2:$A$1000=$A142)*(('Agences &amp; Après-vente'!$D$2:$D$1000="Agences")+('Agences &amp; Après-vente'!$D$2:$D$1000="Agences et Après-vente"))*'Agences &amp; Après-vente'!$E$2:$E$1000)),"yyyy-mm-dd"),""))))))</f>
        <v/>
      </c>
      <c r="I142" s="131" t="str">
        <f aca="false">IF($S142="✓","✓",IF(ISNUMBER($S142),TEXT($S142,"yyyy-mm-dd"),IF($A142="","",IF(SUMPRODUCT(('Agences &amp; Après-vente'!$A$2:$A$1000=$A142)*(('Agences &amp; Après-vente'!$D$2:$D$1000="Après-vente")+('Agences &amp; Après-vente'!$D$2:$D$1000="Agences et Après-vente"))*('Agences &amp; Après-vente'!$I$2:$I$1000="DONE"))&gt;0,"✓",IF(SUMPRODUCT(MAX(('Agences &amp; Après-vente'!$A$2:$A$1000=$A142)*(('Agences &amp; Après-vente'!$D$2:$D$1000="Après-vente")+('Agences &amp; Après-vente'!$D$2:$D$1000="Agences et Après-vente"))*'Agences &amp; Après-vente'!$E$2:$E$1000))&gt;0,TEXT(SUMPRODUCT(MAX(('Agences &amp; Après-vente'!$A$2:$A$1000=$A142)*(('Agences &amp; Après-vente'!$D$2:$D$1000="Après-vente")+('Agences &amp; Après-vente'!$D$2:$D$1000="Agences et Après-vente"))*'Agences &amp; Après-vente'!$E$2:$E$1000)),"yyyy-mm-dd"),"")))))</f>
        <v/>
      </c>
      <c r="J142" s="131" t="str">
        <f aca="false">IF($T142="✓","✓",IF(ISNUMBER($T142),TEXT($T142,"yyyy-mm-dd"),IF($A142="","",IF($D142="Lisbonne","",IF(SUMPRODUCT(('Agences &amp; Après-vente'!$A$2:$A$1000=$A142)*(('Agences &amp; Après-vente'!$D$2:$D$1000="Après-vente")+('Agences &amp; Après-vente'!$D$2:$D$1000="Agences et Après-vente"))*('Agences &amp; Après-vente'!$I$2:$I$1000="DONE"))&gt;0,"✓",IF(SUMPRODUCT(MAX(('Agences &amp; Après-vente'!$A$2:$A$1000=$A142)*(('Agences &amp; Après-vente'!$D$2:$D$1000="Après-vente")+('Agences &amp; Après-vente'!$D$2:$D$1000="Agences et Après-vente"))*'Agences &amp; Après-vente'!$E$2:$E$1000))&gt;0,TEXT(SUMPRODUCT(MAX(('Agences &amp; Après-vente'!$A$2:$A$1000=$A142)*(('Agences &amp; Après-vente'!$D$2:$D$1000="Après-vente")+('Agences &amp; Après-vente'!$D$2:$D$1000="Agences et Après-vente"))*'Agences &amp; Après-vente'!$E$2:$E$1000)),"yyyy-mm-dd"),""))))))</f>
        <v/>
      </c>
      <c r="K142" s="131" t="str">
        <f aca="false">IF($U142="✓","✓",IF(ISNUMBER($U142),TEXT($U142,"yyyy-mm-dd"),IF($D142="Lisbonne","",IF($A142="","",IF(SUMPRODUCT((Evermont!$A$2:$A$1000=$A142)*(Evermont!$Q$2:$Q$1000="Terminé"))&gt;0,"✓",IF(SUMPRODUCT(MAX((Evermont!$A$2:$A$1000=$A142)*Evermont!$F$2:$F$1000))&gt;0,TEXT(SUMPRODUCT(MAX((Evermont!$A$2:$A$1000=$A142)*Evermont!$F$2:$F$1000)),"yyyy-mm-dd"),""))))))</f>
        <v/>
      </c>
      <c r="L142" s="132" t="n">
        <f aca="false">IF($A142="","",COUNTIF(E142:K142,"✓"))</f>
        <v>1</v>
      </c>
      <c r="M142" s="133" t="s">
        <v>196</v>
      </c>
      <c r="O142" s="134"/>
      <c r="P142" s="134"/>
      <c r="Q142" s="134"/>
      <c r="R142" s="134"/>
      <c r="S142" s="134"/>
      <c r="T142" s="134"/>
      <c r="U142" s="134"/>
      <c r="W142" s="135" t="str">
        <f aca="false">IF($A142="","",IF($X142&lt;&gt;"",$X142,IFERROR(INDEX('Formation Initiale'!$B$2:$B$999,MATCH($A142,'Formation Initiale'!$A$2:$A$999,0)),"Général")))</f>
        <v>OS2</v>
      </c>
      <c r="X142" s="136"/>
    </row>
    <row r="143" customFormat="false" ht="15" hidden="true" customHeight="true" outlineLevel="0" collapsed="false">
      <c r="A143" s="140" t="s">
        <v>586</v>
      </c>
      <c r="B143" s="128" t="s">
        <v>587</v>
      </c>
      <c r="C143" s="128" t="s">
        <v>588</v>
      </c>
      <c r="D143" s="129" t="s">
        <v>186</v>
      </c>
      <c r="E143" s="130" t="str">
        <f aca="false">IF($O143="✓","✓",IF(ISNUMBER($O143),TEXT($O143,"yyyy-mm-dd"),IF($A143="","",IF(SUMPRODUCT(('Formation Initiale'!$A$2:$A$999=$A143)*('Formation Initiale'!$R$2:$R$999="Terminé"))&gt;0,"✓",IF(SUMPRODUCT(MAX(('Formation Initiale'!$A$2:$A$999=$A143)*'Formation Initiale'!$G$2:$G$999))&gt;0,TEXT(SUMPRODUCT(MAX(('Formation Initiale'!$A$2:$A$999=$A143)*'Formation Initiale'!$G$2:$G$999)),"yyyy-mm-dd"),"")))))</f>
        <v>✓</v>
      </c>
      <c r="F143" s="131" t="str">
        <f aca="false">IF($P143="✓","✓",IF(ISNUMBER($P143),TEXT($P143,"yyyy-mm-dd"),IF($A143="","",IF($D143="Lisbonne","",IF(SUMPRODUCT(('Formation Initiale'!$A$2:$A$999=$A143)*('Formation Initiale'!$R$2:$R$999="Terminé"))&gt;0,"✓",IF(SUMPRODUCT(MAX(('Formation Initiale'!$A$2:$A$999=$A143)*'Formation Initiale'!$G$2:$G$999))&gt;0,TEXT(SUMPRODUCT(MAX(('Formation Initiale'!$A$2:$A$999=$A143)*'Formation Initiale'!$G$2:$G$999)),"yyyy-mm-dd"),""))))))</f>
        <v/>
      </c>
      <c r="G143" s="131" t="str">
        <f aca="false">IF($Q143="✓","✓",IF(ISNUMBER($Q143),TEXT($Q143,"yyyy-mm-dd"),IF($A143="","",IF(SUMPRODUCT(('Agences &amp; Après-vente'!$A$2:$A$1000=$A143)*(('Agences &amp; Après-vente'!$D$2:$D$1000="Agences")+('Agences &amp; Après-vente'!$D$2:$D$1000="Agences et Après-vente"))*('Agences &amp; Après-vente'!$I$2:$I$1000="DONE"))&gt;0,"✓",IF(SUMPRODUCT(MAX(('Agences &amp; Après-vente'!$A$2:$A$1000=$A143)*(('Agences &amp; Après-vente'!$D$2:$D$1000="Agences")+('Agences &amp; Après-vente'!$D$2:$D$1000="Agences et Après-vente"))*'Agences &amp; Après-vente'!$E$2:$E$1000))&gt;0,TEXT(SUMPRODUCT(MAX(('Agences &amp; Après-vente'!$A$2:$A$1000=$A143)*(('Agences &amp; Après-vente'!$D$2:$D$1000="Agences")+('Agences &amp; Après-vente'!$D$2:$D$1000="Agences et Après-vente"))*'Agences &amp; Après-vente'!$E$2:$E$1000)),"yyyy-mm-dd"),"")))))</f>
        <v>✓</v>
      </c>
      <c r="H143" s="131" t="str">
        <f aca="false">IF($R143="✓","✓",IF(ISNUMBER($R143),TEXT($R143,"yyyy-mm-dd"),IF($A143="","",IF($D143="Lisbonne","",IF(SUMPRODUCT(('Agences &amp; Après-vente'!$A$2:$A$1000=$A143)*(('Agences &amp; Après-vente'!$D$2:$D$1000="Agences")+('Agences &amp; Après-vente'!$D$2:$D$1000="Agences et Après-vente"))*('Agences &amp; Après-vente'!$I$2:$I$1000="DONE"))&gt;0,"✓",IF(SUMPRODUCT(MAX(('Agences &amp; Après-vente'!$A$2:$A$1000=$A143)*(('Agences &amp; Après-vente'!$D$2:$D$1000="Agences")+('Agences &amp; Après-vente'!$D$2:$D$1000="Agences et Après-vente"))*'Agences &amp; Après-vente'!$E$2:$E$1000))&gt;0,TEXT(SUMPRODUCT(MAX(('Agences &amp; Après-vente'!$A$2:$A$1000=$A143)*(('Agences &amp; Après-vente'!$D$2:$D$1000="Agences")+('Agences &amp; Après-vente'!$D$2:$D$1000="Agences et Après-vente"))*'Agences &amp; Après-vente'!$E$2:$E$1000)),"yyyy-mm-dd"),""))))))</f>
        <v/>
      </c>
      <c r="I143" s="131" t="str">
        <f aca="false">IF($S143="✓","✓",IF(ISNUMBER($S143),TEXT($S143,"yyyy-mm-dd"),IF($A143="","",IF(SUMPRODUCT(('Agences &amp; Après-vente'!$A$2:$A$1000=$A143)*(('Agences &amp; Après-vente'!$D$2:$D$1000="Après-vente")+('Agences &amp; Après-vente'!$D$2:$D$1000="Agences et Après-vente"))*('Agences &amp; Après-vente'!$I$2:$I$1000="DONE"))&gt;0,"✓",IF(SUMPRODUCT(MAX(('Agences &amp; Après-vente'!$A$2:$A$1000=$A143)*(('Agences &amp; Après-vente'!$D$2:$D$1000="Après-vente")+('Agences &amp; Après-vente'!$D$2:$D$1000="Agences et Après-vente"))*'Agences &amp; Après-vente'!$E$2:$E$1000))&gt;0,TEXT(SUMPRODUCT(MAX(('Agences &amp; Après-vente'!$A$2:$A$1000=$A143)*(('Agences &amp; Après-vente'!$D$2:$D$1000="Après-vente")+('Agences &amp; Après-vente'!$D$2:$D$1000="Agences et Après-vente"))*'Agences &amp; Après-vente'!$E$2:$E$1000)),"yyyy-mm-dd"),"")))))</f>
        <v>✓</v>
      </c>
      <c r="J143" s="131" t="str">
        <f aca="false">IF($T143="✓","✓",IF(ISNUMBER($T143),TEXT($T143,"yyyy-mm-dd"),IF($A143="","",IF($D143="Lisbonne","",IF(SUMPRODUCT(('Agences &amp; Après-vente'!$A$2:$A$1000=$A143)*(('Agences &amp; Après-vente'!$D$2:$D$1000="Après-vente")+('Agences &amp; Après-vente'!$D$2:$D$1000="Agences et Après-vente"))*('Agences &amp; Après-vente'!$I$2:$I$1000="DONE"))&gt;0,"✓",IF(SUMPRODUCT(MAX(('Agences &amp; Après-vente'!$A$2:$A$1000=$A143)*(('Agences &amp; Après-vente'!$D$2:$D$1000="Après-vente")+('Agences &amp; Après-vente'!$D$2:$D$1000="Agences et Après-vente"))*'Agences &amp; Après-vente'!$E$2:$E$1000))&gt;0,TEXT(SUMPRODUCT(MAX(('Agences &amp; Après-vente'!$A$2:$A$1000=$A143)*(('Agences &amp; Après-vente'!$D$2:$D$1000="Après-vente")+('Agences &amp; Après-vente'!$D$2:$D$1000="Agences et Après-vente"))*'Agences &amp; Après-vente'!$E$2:$E$1000)),"yyyy-mm-dd"),""))))))</f>
        <v/>
      </c>
      <c r="K143" s="131" t="str">
        <f aca="false">IF($U143="✓","✓",IF(ISNUMBER($U143),TEXT($U143,"yyyy-mm-dd"),IF($D143="Lisbonne","",IF($A143="","",IF(SUMPRODUCT((Evermont!$A$2:$A$1000=$A143)*(Evermont!$Q$2:$Q$1000="Terminé"))&gt;0,"✓",IF(SUMPRODUCT(MAX((Evermont!$A$2:$A$1000=$A143)*Evermont!$F$2:$F$1000))&gt;0,TEXT(SUMPRODUCT(MAX((Evermont!$A$2:$A$1000=$A143)*Evermont!$F$2:$F$1000)),"yyyy-mm-dd"),""))))))</f>
        <v/>
      </c>
      <c r="L143" s="132" t="n">
        <f aca="false">IF($A143="","",COUNTIF(E143:K143,"✓"))</f>
        <v>3</v>
      </c>
      <c r="M143" s="133" t="s">
        <v>172</v>
      </c>
      <c r="O143" s="134" t="s">
        <v>173</v>
      </c>
      <c r="P143" s="134"/>
      <c r="Q143" s="134"/>
      <c r="R143" s="134"/>
      <c r="S143" s="134"/>
      <c r="T143" s="134"/>
      <c r="U143" s="134"/>
      <c r="W143" s="135" t="str">
        <f aca="false">IF($A143="","",IF($X143&lt;&gt;"",$X143,IFERROR(INDEX('Formation Initiale'!$B$2:$B$999,MATCH($A143,'Formation Initiale'!$A$2:$A$999,0)),"Général")))</f>
        <v>OS5</v>
      </c>
      <c r="X143" s="136"/>
    </row>
    <row r="144" customFormat="false" ht="15" hidden="true" customHeight="true" outlineLevel="0" collapsed="false">
      <c r="A144" s="127" t="s">
        <v>589</v>
      </c>
      <c r="B144" s="128" t="s">
        <v>590</v>
      </c>
      <c r="C144" s="128" t="s">
        <v>591</v>
      </c>
      <c r="D144" s="129" t="s">
        <v>171</v>
      </c>
      <c r="E144" s="130" t="str">
        <f aca="false">IF($O144="✓","✓",IF(ISNUMBER($O144),TEXT($O144,"yyyy-mm-dd"),IF($A144="","",IF(SUMPRODUCT(('Formation Initiale'!$A$2:$A$999=$A144)*('Formation Initiale'!$R$2:$R$999="Terminé"))&gt;0,"✓",IF(SUMPRODUCT(MAX(('Formation Initiale'!$A$2:$A$999=$A144)*'Formation Initiale'!$G$2:$G$999))&gt;0,TEXT(SUMPRODUCT(MAX(('Formation Initiale'!$A$2:$A$999=$A144)*'Formation Initiale'!$G$2:$G$999)),"yyyy-mm-dd"),"")))))</f>
        <v>✓</v>
      </c>
      <c r="F144" s="131" t="str">
        <f aca="false">IF($P144="✓","✓",IF(ISNUMBER($P144),TEXT($P144,"yyyy-mm-dd"),IF($A144="","",IF($D144="Lisbonne","",IF(SUMPRODUCT(('Formation Initiale'!$A$2:$A$999=$A144)*('Formation Initiale'!$R$2:$R$999="Terminé"))&gt;0,"✓",IF(SUMPRODUCT(MAX(('Formation Initiale'!$A$2:$A$999=$A144)*'Formation Initiale'!$G$2:$G$999))&gt;0,TEXT(SUMPRODUCT(MAX(('Formation Initiale'!$A$2:$A$999=$A144)*'Formation Initiale'!$G$2:$G$999)),"yyyy-mm-dd"),""))))))</f>
        <v>✓</v>
      </c>
      <c r="G144" s="131" t="str">
        <f aca="false">IF($Q144="✓","✓",IF(ISNUMBER($Q144),TEXT($Q144,"yyyy-mm-dd"),IF($A144="","",IF(SUMPRODUCT(('Agences &amp; Après-vente'!$A$2:$A$1000=$A144)*(('Agences &amp; Après-vente'!$D$2:$D$1000="Agences")+('Agences &amp; Après-vente'!$D$2:$D$1000="Agences et Après-vente"))*('Agences &amp; Après-vente'!$I$2:$I$1000="DONE"))&gt;0,"✓",IF(SUMPRODUCT(MAX(('Agences &amp; Après-vente'!$A$2:$A$1000=$A144)*(('Agences &amp; Après-vente'!$D$2:$D$1000="Agences")+('Agences &amp; Après-vente'!$D$2:$D$1000="Agences et Après-vente"))*'Agences &amp; Après-vente'!$E$2:$E$1000))&gt;0,TEXT(SUMPRODUCT(MAX(('Agences &amp; Après-vente'!$A$2:$A$1000=$A144)*(('Agences &amp; Après-vente'!$D$2:$D$1000="Agences")+('Agences &amp; Après-vente'!$D$2:$D$1000="Agences et Après-vente"))*'Agences &amp; Après-vente'!$E$2:$E$1000)),"yyyy-mm-dd"),"")))))</f>
        <v/>
      </c>
      <c r="H144" s="131" t="str">
        <f aca="false">IF($R144="✓","✓",IF(ISNUMBER($R144),TEXT($R144,"yyyy-mm-dd"),IF($A144="","",IF($D144="Lisbonne","",IF(SUMPRODUCT(('Agences &amp; Après-vente'!$A$2:$A$1000=$A144)*(('Agences &amp; Après-vente'!$D$2:$D$1000="Agences")+('Agences &amp; Après-vente'!$D$2:$D$1000="Agences et Après-vente"))*('Agences &amp; Après-vente'!$I$2:$I$1000="DONE"))&gt;0,"✓",IF(SUMPRODUCT(MAX(('Agences &amp; Après-vente'!$A$2:$A$1000=$A144)*(('Agences &amp; Après-vente'!$D$2:$D$1000="Agences")+('Agences &amp; Après-vente'!$D$2:$D$1000="Agences et Après-vente"))*'Agences &amp; Après-vente'!$E$2:$E$1000))&gt;0,TEXT(SUMPRODUCT(MAX(('Agences &amp; Après-vente'!$A$2:$A$1000=$A144)*(('Agences &amp; Après-vente'!$D$2:$D$1000="Agences")+('Agences &amp; Après-vente'!$D$2:$D$1000="Agences et Après-vente"))*'Agences &amp; Après-vente'!$E$2:$E$1000)),"yyyy-mm-dd"),""))))))</f>
        <v/>
      </c>
      <c r="I144" s="131" t="str">
        <f aca="false">IF($S144="✓","✓",IF(ISNUMBER($S144),TEXT($S144,"yyyy-mm-dd"),IF($A144="","",IF(SUMPRODUCT(('Agences &amp; Après-vente'!$A$2:$A$1000=$A144)*(('Agences &amp; Après-vente'!$D$2:$D$1000="Après-vente")+('Agences &amp; Après-vente'!$D$2:$D$1000="Agences et Après-vente"))*('Agences &amp; Après-vente'!$I$2:$I$1000="DONE"))&gt;0,"✓",IF(SUMPRODUCT(MAX(('Agences &amp; Après-vente'!$A$2:$A$1000=$A144)*(('Agences &amp; Après-vente'!$D$2:$D$1000="Après-vente")+('Agences &amp; Après-vente'!$D$2:$D$1000="Agences et Après-vente"))*'Agences &amp; Après-vente'!$E$2:$E$1000))&gt;0,TEXT(SUMPRODUCT(MAX(('Agences &amp; Après-vente'!$A$2:$A$1000=$A144)*(('Agences &amp; Après-vente'!$D$2:$D$1000="Après-vente")+('Agences &amp; Après-vente'!$D$2:$D$1000="Agences et Après-vente"))*'Agences &amp; Après-vente'!$E$2:$E$1000)),"yyyy-mm-dd"),"")))))</f>
        <v/>
      </c>
      <c r="J144" s="131" t="str">
        <f aca="false">IF($T144="✓","✓",IF(ISNUMBER($T144),TEXT($T144,"yyyy-mm-dd"),IF($A144="","",IF($D144="Lisbonne","",IF(SUMPRODUCT(('Agences &amp; Après-vente'!$A$2:$A$1000=$A144)*(('Agences &amp; Après-vente'!$D$2:$D$1000="Après-vente")+('Agences &amp; Après-vente'!$D$2:$D$1000="Agences et Après-vente"))*('Agences &amp; Après-vente'!$I$2:$I$1000="DONE"))&gt;0,"✓",IF(SUMPRODUCT(MAX(('Agences &amp; Après-vente'!$A$2:$A$1000=$A144)*(('Agences &amp; Après-vente'!$D$2:$D$1000="Après-vente")+('Agences &amp; Après-vente'!$D$2:$D$1000="Agences et Après-vente"))*'Agences &amp; Après-vente'!$E$2:$E$1000))&gt;0,TEXT(SUMPRODUCT(MAX(('Agences &amp; Après-vente'!$A$2:$A$1000=$A144)*(('Agences &amp; Après-vente'!$D$2:$D$1000="Après-vente")+('Agences &amp; Après-vente'!$D$2:$D$1000="Agences et Après-vente"))*'Agences &amp; Après-vente'!$E$2:$E$1000)),"yyyy-mm-dd"),""))))))</f>
        <v/>
      </c>
      <c r="K144" s="131" t="str">
        <f aca="false">IF($U144="✓","✓",IF(ISNUMBER($U144),TEXT($U144,"yyyy-mm-dd"),IF($D144="Lisbonne","",IF($A144="","",IF(SUMPRODUCT((Evermont!$A$2:$A$1000=$A144)*(Evermont!$Q$2:$Q$1000="Terminé"))&gt;0,"✓",IF(SUMPRODUCT(MAX((Evermont!$A$2:$A$1000=$A144)*Evermont!$F$2:$F$1000))&gt;0,TEXT(SUMPRODUCT(MAX((Evermont!$A$2:$A$1000=$A144)*Evermont!$F$2:$F$1000)),"yyyy-mm-dd"),""))))))</f>
        <v/>
      </c>
      <c r="L144" s="132" t="n">
        <f aca="false">IF($A144="","",COUNTIF(E144:K144,"✓"))</f>
        <v>2</v>
      </c>
      <c r="M144" s="133" t="s">
        <v>172</v>
      </c>
      <c r="O144" s="134" t="s">
        <v>173</v>
      </c>
      <c r="P144" s="134" t="s">
        <v>173</v>
      </c>
      <c r="Q144" s="134"/>
      <c r="R144" s="134"/>
      <c r="S144" s="134"/>
      <c r="T144" s="134"/>
      <c r="U144" s="134"/>
      <c r="W144" s="135" t="str">
        <f aca="false">IF($A144="","",IF($X144&lt;&gt;"",$X144,IFERROR(INDEX('Formation Initiale'!$B$2:$B$999,MATCH($A144,'Formation Initiale'!$A$2:$A$999,0)),"Général")))</f>
        <v>175</v>
      </c>
      <c r="X144" s="136"/>
    </row>
    <row r="145" customFormat="false" ht="15" hidden="true" customHeight="true" outlineLevel="0" collapsed="false">
      <c r="A145" s="127" t="s">
        <v>592</v>
      </c>
      <c r="B145" s="128" t="s">
        <v>291</v>
      </c>
      <c r="C145" s="128" t="s">
        <v>593</v>
      </c>
      <c r="D145" s="129" t="s">
        <v>171</v>
      </c>
      <c r="E145" s="130" t="str">
        <f aca="false">IF($O145="✓","✓",IF(ISNUMBER($O145),TEXT($O145,"yyyy-mm-dd"),IF($A145="","",IF(SUMPRODUCT(('Formation Initiale'!$A$2:$A$999=$A145)*('Formation Initiale'!$R$2:$R$999="Terminé"))&gt;0,"✓",IF(SUMPRODUCT(MAX(('Formation Initiale'!$A$2:$A$999=$A145)*'Formation Initiale'!$G$2:$G$999))&gt;0,TEXT(SUMPRODUCT(MAX(('Formation Initiale'!$A$2:$A$999=$A145)*'Formation Initiale'!$G$2:$G$999)),"yyyy-mm-dd"),"")))))</f>
        <v>✓</v>
      </c>
      <c r="F145" s="131" t="str">
        <f aca="false">IF($P145="✓","✓",IF(ISNUMBER($P145),TEXT($P145,"yyyy-mm-dd"),IF($A145="","",IF($D145="Lisbonne","",IF(SUMPRODUCT(('Formation Initiale'!$A$2:$A$999=$A145)*('Formation Initiale'!$R$2:$R$999="Terminé"))&gt;0,"✓",IF(SUMPRODUCT(MAX(('Formation Initiale'!$A$2:$A$999=$A145)*'Formation Initiale'!$G$2:$G$999))&gt;0,TEXT(SUMPRODUCT(MAX(('Formation Initiale'!$A$2:$A$999=$A145)*'Formation Initiale'!$G$2:$G$999)),"yyyy-mm-dd"),""))))))</f>
        <v>✓</v>
      </c>
      <c r="G145" s="131" t="str">
        <f aca="false">IF($Q145="✓","✓",IF(ISNUMBER($Q145),TEXT($Q145,"yyyy-mm-dd"),IF($A145="","",IF(SUMPRODUCT(('Agences &amp; Après-vente'!$A$2:$A$1000=$A145)*(('Agences &amp; Après-vente'!$D$2:$D$1000="Agences")+('Agences &amp; Après-vente'!$D$2:$D$1000="Agences et Après-vente"))*('Agences &amp; Après-vente'!$I$2:$I$1000="DONE"))&gt;0,"✓",IF(SUMPRODUCT(MAX(('Agences &amp; Après-vente'!$A$2:$A$1000=$A145)*(('Agences &amp; Après-vente'!$D$2:$D$1000="Agences")+('Agences &amp; Après-vente'!$D$2:$D$1000="Agences et Après-vente"))*'Agences &amp; Après-vente'!$E$2:$E$1000))&gt;0,TEXT(SUMPRODUCT(MAX(('Agences &amp; Après-vente'!$A$2:$A$1000=$A145)*(('Agences &amp; Après-vente'!$D$2:$D$1000="Agences")+('Agences &amp; Après-vente'!$D$2:$D$1000="Agences et Après-vente"))*'Agences &amp; Après-vente'!$E$2:$E$1000)),"yyyy-mm-dd"),"")))))</f>
        <v>✓</v>
      </c>
      <c r="H145" s="131" t="str">
        <f aca="false">IF($R145="✓","✓",IF(ISNUMBER($R145),TEXT($R145,"yyyy-mm-dd"),IF($A145="","",IF($D145="Lisbonne","",IF(SUMPRODUCT(('Agences &amp; Après-vente'!$A$2:$A$1000=$A145)*(('Agences &amp; Après-vente'!$D$2:$D$1000="Agences")+('Agences &amp; Après-vente'!$D$2:$D$1000="Agences et Après-vente"))*('Agences &amp; Après-vente'!$I$2:$I$1000="DONE"))&gt;0,"✓",IF(SUMPRODUCT(MAX(('Agences &amp; Après-vente'!$A$2:$A$1000=$A145)*(('Agences &amp; Après-vente'!$D$2:$D$1000="Agences")+('Agences &amp; Après-vente'!$D$2:$D$1000="Agences et Après-vente"))*'Agences &amp; Après-vente'!$E$2:$E$1000))&gt;0,TEXT(SUMPRODUCT(MAX(('Agences &amp; Après-vente'!$A$2:$A$1000=$A145)*(('Agences &amp; Après-vente'!$D$2:$D$1000="Agences")+('Agences &amp; Après-vente'!$D$2:$D$1000="Agences et Après-vente"))*'Agences &amp; Après-vente'!$E$2:$E$1000)),"yyyy-mm-dd"),""))))))</f>
        <v>✓</v>
      </c>
      <c r="I145" s="131" t="str">
        <f aca="false">IF($S145="✓","✓",IF(ISNUMBER($S145),TEXT($S145,"yyyy-mm-dd"),IF($A145="","",IF(SUMPRODUCT(('Agences &amp; Après-vente'!$A$2:$A$1000=$A145)*(('Agences &amp; Après-vente'!$D$2:$D$1000="Après-vente")+('Agences &amp; Après-vente'!$D$2:$D$1000="Agences et Après-vente"))*('Agences &amp; Après-vente'!$I$2:$I$1000="DONE"))&gt;0,"✓",IF(SUMPRODUCT(MAX(('Agences &amp; Après-vente'!$A$2:$A$1000=$A145)*(('Agences &amp; Après-vente'!$D$2:$D$1000="Après-vente")+('Agences &amp; Après-vente'!$D$2:$D$1000="Agences et Après-vente"))*'Agences &amp; Après-vente'!$E$2:$E$1000))&gt;0,TEXT(SUMPRODUCT(MAX(('Agences &amp; Après-vente'!$A$2:$A$1000=$A145)*(('Agences &amp; Après-vente'!$D$2:$D$1000="Après-vente")+('Agences &amp; Après-vente'!$D$2:$D$1000="Agences et Après-vente"))*'Agences &amp; Après-vente'!$E$2:$E$1000)),"yyyy-mm-dd"),"")))))</f>
        <v>✓</v>
      </c>
      <c r="J145" s="131" t="str">
        <f aca="false">IF($T145="✓","✓",IF(ISNUMBER($T145),TEXT($T145,"yyyy-mm-dd"),IF($A145="","",IF($D145="Lisbonne","",IF(SUMPRODUCT(('Agences &amp; Après-vente'!$A$2:$A$1000=$A145)*(('Agences &amp; Après-vente'!$D$2:$D$1000="Après-vente")+('Agences &amp; Après-vente'!$D$2:$D$1000="Agences et Après-vente"))*('Agences &amp; Après-vente'!$I$2:$I$1000="DONE"))&gt;0,"✓",IF(SUMPRODUCT(MAX(('Agences &amp; Après-vente'!$A$2:$A$1000=$A145)*(('Agences &amp; Après-vente'!$D$2:$D$1000="Après-vente")+('Agences &amp; Après-vente'!$D$2:$D$1000="Agences et Après-vente"))*'Agences &amp; Après-vente'!$E$2:$E$1000))&gt;0,TEXT(SUMPRODUCT(MAX(('Agences &amp; Après-vente'!$A$2:$A$1000=$A145)*(('Agences &amp; Après-vente'!$D$2:$D$1000="Après-vente")+('Agences &amp; Après-vente'!$D$2:$D$1000="Agences et Après-vente"))*'Agences &amp; Après-vente'!$E$2:$E$1000)),"yyyy-mm-dd"),""))))))</f>
        <v>✓</v>
      </c>
      <c r="K145" s="131" t="str">
        <f aca="false">IF($U145="✓","✓",IF(ISNUMBER($U145),TEXT($U145,"yyyy-mm-dd"),IF($D145="Lisbonne","",IF($A145="","",IF(SUMPRODUCT((Evermont!$A$2:$A$1000=$A145)*(Evermont!$Q$2:$Q$1000="Terminé"))&gt;0,"✓",IF(SUMPRODUCT(MAX((Evermont!$A$2:$A$1000=$A145)*Evermont!$F$2:$F$1000))&gt;0,TEXT(SUMPRODUCT(MAX((Evermont!$A$2:$A$1000=$A145)*Evermont!$F$2:$F$1000)),"yyyy-mm-dd"),""))))))</f>
        <v/>
      </c>
      <c r="L145" s="132" t="n">
        <f aca="false">IF($A145="","",COUNTIF(E145:K145,"✓"))</f>
        <v>6</v>
      </c>
      <c r="M145" s="133" t="s">
        <v>172</v>
      </c>
      <c r="O145" s="134" t="s">
        <v>173</v>
      </c>
      <c r="P145" s="134" t="s">
        <v>173</v>
      </c>
      <c r="Q145" s="134"/>
      <c r="R145" s="134"/>
      <c r="S145" s="134"/>
      <c r="T145" s="134"/>
      <c r="U145" s="134"/>
      <c r="W145" s="135" t="str">
        <f aca="false">IF($A145="","",IF($X145&lt;&gt;"",$X145,IFERROR(INDEX('Formation Initiale'!$B$2:$B$999,MATCH($A145,'Formation Initiale'!$A$2:$A$999,0)),"Général")))</f>
        <v>173</v>
      </c>
      <c r="X145" s="136"/>
    </row>
    <row r="146" customFormat="false" ht="15" hidden="true" customHeight="true" outlineLevel="0" collapsed="false">
      <c r="A146" s="127" t="s">
        <v>594</v>
      </c>
      <c r="B146" s="128" t="s">
        <v>194</v>
      </c>
      <c r="C146" s="128" t="s">
        <v>595</v>
      </c>
      <c r="D146" s="129" t="s">
        <v>171</v>
      </c>
      <c r="E146" s="130" t="str">
        <f aca="false">IF($O146="✓","✓",IF(ISNUMBER($O146),TEXT($O146,"yyyy-mm-dd"),IF($A146="","",IF(SUMPRODUCT(('Formation Initiale'!$A$2:$A$999=$A146)*('Formation Initiale'!$R$2:$R$999="Terminé"))&gt;0,"✓",IF(SUMPRODUCT(MAX(('Formation Initiale'!$A$2:$A$999=$A146)*'Formation Initiale'!$G$2:$G$999))&gt;0,TEXT(SUMPRODUCT(MAX(('Formation Initiale'!$A$2:$A$999=$A146)*'Formation Initiale'!$G$2:$G$999)),"yyyy-mm-dd"),"")))))</f>
        <v>✓</v>
      </c>
      <c r="F146" s="131" t="str">
        <f aca="false">IF($P146="✓","✓",IF(ISNUMBER($P146),TEXT($P146,"yyyy-mm-dd"),IF($A146="","",IF($D146="Lisbonne","",IF(SUMPRODUCT(('Formation Initiale'!$A$2:$A$999=$A146)*('Formation Initiale'!$R$2:$R$999="Terminé"))&gt;0,"✓",IF(SUMPRODUCT(MAX(('Formation Initiale'!$A$2:$A$999=$A146)*'Formation Initiale'!$G$2:$G$999))&gt;0,TEXT(SUMPRODUCT(MAX(('Formation Initiale'!$A$2:$A$999=$A146)*'Formation Initiale'!$G$2:$G$999)),"yyyy-mm-dd"),""))))))</f>
        <v>✓</v>
      </c>
      <c r="G146" s="131" t="str">
        <f aca="false">IF($Q146="✓","✓",IF(ISNUMBER($Q146),TEXT($Q146,"yyyy-mm-dd"),IF($A146="","",IF(SUMPRODUCT(('Agences &amp; Après-vente'!$A$2:$A$1000=$A146)*(('Agences &amp; Après-vente'!$D$2:$D$1000="Agences")+('Agences &amp; Après-vente'!$D$2:$D$1000="Agences et Après-vente"))*('Agences &amp; Après-vente'!$I$2:$I$1000="DONE"))&gt;0,"✓",IF(SUMPRODUCT(MAX(('Agences &amp; Après-vente'!$A$2:$A$1000=$A146)*(('Agences &amp; Après-vente'!$D$2:$D$1000="Agences")+('Agences &amp; Après-vente'!$D$2:$D$1000="Agences et Après-vente"))*'Agences &amp; Après-vente'!$E$2:$E$1000))&gt;0,TEXT(SUMPRODUCT(MAX(('Agences &amp; Après-vente'!$A$2:$A$1000=$A146)*(('Agences &amp; Après-vente'!$D$2:$D$1000="Agences")+('Agences &amp; Après-vente'!$D$2:$D$1000="Agences et Après-vente"))*'Agences &amp; Après-vente'!$E$2:$E$1000)),"yyyy-mm-dd"),"")))))</f>
        <v>✓</v>
      </c>
      <c r="H146" s="131" t="str">
        <f aca="false">IF($R146="✓","✓",IF(ISNUMBER($R146),TEXT($R146,"yyyy-mm-dd"),IF($A146="","",IF($D146="Lisbonne","",IF(SUMPRODUCT(('Agences &amp; Après-vente'!$A$2:$A$1000=$A146)*(('Agences &amp; Après-vente'!$D$2:$D$1000="Agences")+('Agences &amp; Après-vente'!$D$2:$D$1000="Agences et Après-vente"))*('Agences &amp; Après-vente'!$I$2:$I$1000="DONE"))&gt;0,"✓",IF(SUMPRODUCT(MAX(('Agences &amp; Après-vente'!$A$2:$A$1000=$A146)*(('Agences &amp; Après-vente'!$D$2:$D$1000="Agences")+('Agences &amp; Après-vente'!$D$2:$D$1000="Agences et Après-vente"))*'Agences &amp; Après-vente'!$E$2:$E$1000))&gt;0,TEXT(SUMPRODUCT(MAX(('Agences &amp; Après-vente'!$A$2:$A$1000=$A146)*(('Agences &amp; Après-vente'!$D$2:$D$1000="Agences")+('Agences &amp; Après-vente'!$D$2:$D$1000="Agences et Après-vente"))*'Agences &amp; Après-vente'!$E$2:$E$1000)),"yyyy-mm-dd"),""))))))</f>
        <v>✓</v>
      </c>
      <c r="I146" s="131" t="str">
        <f aca="false">IF($S146="✓","✓",IF(ISNUMBER($S146),TEXT($S146,"yyyy-mm-dd"),IF($A146="","",IF(SUMPRODUCT(('Agences &amp; Après-vente'!$A$2:$A$1000=$A146)*(('Agences &amp; Après-vente'!$D$2:$D$1000="Après-vente")+('Agences &amp; Après-vente'!$D$2:$D$1000="Agences et Après-vente"))*('Agences &amp; Après-vente'!$I$2:$I$1000="DONE"))&gt;0,"✓",IF(SUMPRODUCT(MAX(('Agences &amp; Après-vente'!$A$2:$A$1000=$A146)*(('Agences &amp; Après-vente'!$D$2:$D$1000="Après-vente")+('Agences &amp; Après-vente'!$D$2:$D$1000="Agences et Après-vente"))*'Agences &amp; Après-vente'!$E$2:$E$1000))&gt;0,TEXT(SUMPRODUCT(MAX(('Agences &amp; Après-vente'!$A$2:$A$1000=$A146)*(('Agences &amp; Après-vente'!$D$2:$D$1000="Après-vente")+('Agences &amp; Après-vente'!$D$2:$D$1000="Agences et Après-vente"))*'Agences &amp; Après-vente'!$E$2:$E$1000)),"yyyy-mm-dd"),"")))))</f>
        <v>✓</v>
      </c>
      <c r="J146" s="131" t="str">
        <f aca="false">IF($T146="✓","✓",IF(ISNUMBER($T146),TEXT($T146,"yyyy-mm-dd"),IF($A146="","",IF($D146="Lisbonne","",IF(SUMPRODUCT(('Agences &amp; Après-vente'!$A$2:$A$1000=$A146)*(('Agences &amp; Après-vente'!$D$2:$D$1000="Après-vente")+('Agences &amp; Après-vente'!$D$2:$D$1000="Agences et Après-vente"))*('Agences &amp; Après-vente'!$I$2:$I$1000="DONE"))&gt;0,"✓",IF(SUMPRODUCT(MAX(('Agences &amp; Après-vente'!$A$2:$A$1000=$A146)*(('Agences &amp; Après-vente'!$D$2:$D$1000="Après-vente")+('Agences &amp; Après-vente'!$D$2:$D$1000="Agences et Après-vente"))*'Agences &amp; Après-vente'!$E$2:$E$1000))&gt;0,TEXT(SUMPRODUCT(MAX(('Agences &amp; Après-vente'!$A$2:$A$1000=$A146)*(('Agences &amp; Après-vente'!$D$2:$D$1000="Après-vente")+('Agences &amp; Après-vente'!$D$2:$D$1000="Agences et Après-vente"))*'Agences &amp; Après-vente'!$E$2:$E$1000)),"yyyy-mm-dd"),""))))))</f>
        <v>✓</v>
      </c>
      <c r="K146" s="131" t="str">
        <f aca="false">IF($U146="✓","✓",IF(ISNUMBER($U146),TEXT($U146,"yyyy-mm-dd"),IF($D146="Lisbonne","",IF($A146="","",IF(SUMPRODUCT((Evermont!$A$2:$A$1000=$A146)*(Evermont!$Q$2:$Q$1000="Terminé"))&gt;0,"✓",IF(SUMPRODUCT(MAX((Evermont!$A$2:$A$1000=$A146)*Evermont!$F$2:$F$1000))&gt;0,TEXT(SUMPRODUCT(MAX((Evermont!$A$2:$A$1000=$A146)*Evermont!$F$2:$F$1000)),"yyyy-mm-dd"),""))))))</f>
        <v>✓</v>
      </c>
      <c r="L146" s="132" t="n">
        <f aca="false">IF($A146="","",COUNTIF(E146:K146,"✓"))</f>
        <v>7</v>
      </c>
      <c r="M146" s="133" t="s">
        <v>172</v>
      </c>
      <c r="O146" s="134" t="s">
        <v>173</v>
      </c>
      <c r="P146" s="134" t="s">
        <v>173</v>
      </c>
      <c r="Q146" s="134" t="s">
        <v>173</v>
      </c>
      <c r="R146" s="134" t="s">
        <v>173</v>
      </c>
      <c r="S146" s="134" t="s">
        <v>173</v>
      </c>
      <c r="T146" s="134" t="s">
        <v>173</v>
      </c>
      <c r="U146" s="134" t="s">
        <v>173</v>
      </c>
      <c r="W146" s="135" t="str">
        <f aca="false">IF($A146="","",IF($X146&lt;&gt;"",$X146,IFERROR(INDEX('Formation Initiale'!$B$2:$B$999,MATCH($A146,'Formation Initiale'!$A$2:$A$999,0)),"Général")))</f>
        <v>Général</v>
      </c>
      <c r="X146" s="136"/>
    </row>
    <row r="147" customFormat="false" ht="15" hidden="true" customHeight="true" outlineLevel="0" collapsed="false">
      <c r="A147" s="138" t="s">
        <v>596</v>
      </c>
      <c r="B147" s="128" t="s">
        <v>597</v>
      </c>
      <c r="C147" s="128" t="s">
        <v>598</v>
      </c>
      <c r="D147" s="129" t="s">
        <v>186</v>
      </c>
      <c r="E147" s="130" t="str">
        <f aca="false">IF($O147="✓","✓",IF(ISNUMBER($O147),TEXT($O147,"yyyy-mm-dd"),IF($A147="","",IF(SUMPRODUCT(('Formation Initiale'!$A$2:$A$999=$A147)*('Formation Initiale'!$R$2:$R$999="Terminé"))&gt;0,"✓",IF(SUMPRODUCT(MAX(('Formation Initiale'!$A$2:$A$999=$A147)*'Formation Initiale'!$G$2:$G$999))&gt;0,TEXT(SUMPRODUCT(MAX(('Formation Initiale'!$A$2:$A$999=$A147)*'Formation Initiale'!$G$2:$G$999)),"yyyy-mm-dd"),"")))))</f>
        <v>✓</v>
      </c>
      <c r="F147" s="131" t="str">
        <f aca="false">IF($P147="✓","✓",IF(ISNUMBER($P147),TEXT($P147,"yyyy-mm-dd"),IF($A147="","",IF($D147="Lisbonne","",IF(SUMPRODUCT(('Formation Initiale'!$A$2:$A$999=$A147)*('Formation Initiale'!$R$2:$R$999="Terminé"))&gt;0,"✓",IF(SUMPRODUCT(MAX(('Formation Initiale'!$A$2:$A$999=$A147)*'Formation Initiale'!$G$2:$G$999))&gt;0,TEXT(SUMPRODUCT(MAX(('Formation Initiale'!$A$2:$A$999=$A147)*'Formation Initiale'!$G$2:$G$999)),"yyyy-mm-dd"),""))))))</f>
        <v/>
      </c>
      <c r="G147" s="131" t="str">
        <f aca="false">IF($Q147="✓","✓",IF(ISNUMBER($Q147),TEXT($Q147,"yyyy-mm-dd"),IF($A147="","",IF(SUMPRODUCT(('Agences &amp; Après-vente'!$A$2:$A$1000=$A147)*(('Agences &amp; Après-vente'!$D$2:$D$1000="Agences")+('Agences &amp; Après-vente'!$D$2:$D$1000="Agences et Après-vente"))*('Agences &amp; Après-vente'!$I$2:$I$1000="DONE"))&gt;0,"✓",IF(SUMPRODUCT(MAX(('Agences &amp; Après-vente'!$A$2:$A$1000=$A147)*(('Agences &amp; Après-vente'!$D$2:$D$1000="Agences")+('Agences &amp; Après-vente'!$D$2:$D$1000="Agences et Après-vente"))*'Agences &amp; Après-vente'!$E$2:$E$1000))&gt;0,TEXT(SUMPRODUCT(MAX(('Agences &amp; Après-vente'!$A$2:$A$1000=$A147)*(('Agences &amp; Après-vente'!$D$2:$D$1000="Agences")+('Agences &amp; Après-vente'!$D$2:$D$1000="Agences et Après-vente"))*'Agences &amp; Après-vente'!$E$2:$E$1000)),"yyyy-mm-dd"),"")))))</f>
        <v/>
      </c>
      <c r="H147" s="131" t="str">
        <f aca="false">IF($R147="✓","✓",IF(ISNUMBER($R147),TEXT($R147,"yyyy-mm-dd"),IF($A147="","",IF($D147="Lisbonne","",IF(SUMPRODUCT(('Agences &amp; Après-vente'!$A$2:$A$1000=$A147)*(('Agences &amp; Après-vente'!$D$2:$D$1000="Agences")+('Agences &amp; Après-vente'!$D$2:$D$1000="Agences et Après-vente"))*('Agences &amp; Après-vente'!$I$2:$I$1000="DONE"))&gt;0,"✓",IF(SUMPRODUCT(MAX(('Agences &amp; Après-vente'!$A$2:$A$1000=$A147)*(('Agences &amp; Après-vente'!$D$2:$D$1000="Agences")+('Agences &amp; Après-vente'!$D$2:$D$1000="Agences et Après-vente"))*'Agences &amp; Après-vente'!$E$2:$E$1000))&gt;0,TEXT(SUMPRODUCT(MAX(('Agences &amp; Après-vente'!$A$2:$A$1000=$A147)*(('Agences &amp; Après-vente'!$D$2:$D$1000="Agences")+('Agences &amp; Après-vente'!$D$2:$D$1000="Agences et Après-vente"))*'Agences &amp; Après-vente'!$E$2:$E$1000)),"yyyy-mm-dd"),""))))))</f>
        <v/>
      </c>
      <c r="I147" s="131" t="str">
        <f aca="false">IF($S147="✓","✓",IF(ISNUMBER($S147),TEXT($S147,"yyyy-mm-dd"),IF($A147="","",IF(SUMPRODUCT(('Agences &amp; Après-vente'!$A$2:$A$1000=$A147)*(('Agences &amp; Après-vente'!$D$2:$D$1000="Après-vente")+('Agences &amp; Après-vente'!$D$2:$D$1000="Agences et Après-vente"))*('Agences &amp; Après-vente'!$I$2:$I$1000="DONE"))&gt;0,"✓",IF(SUMPRODUCT(MAX(('Agences &amp; Après-vente'!$A$2:$A$1000=$A147)*(('Agences &amp; Après-vente'!$D$2:$D$1000="Après-vente")+('Agences &amp; Après-vente'!$D$2:$D$1000="Agences et Après-vente"))*'Agences &amp; Après-vente'!$E$2:$E$1000))&gt;0,TEXT(SUMPRODUCT(MAX(('Agences &amp; Après-vente'!$A$2:$A$1000=$A147)*(('Agences &amp; Après-vente'!$D$2:$D$1000="Après-vente")+('Agences &amp; Après-vente'!$D$2:$D$1000="Agences et Après-vente"))*'Agences &amp; Après-vente'!$E$2:$E$1000)),"yyyy-mm-dd"),"")))))</f>
        <v/>
      </c>
      <c r="J147" s="131" t="str">
        <f aca="false">IF($T147="✓","✓",IF(ISNUMBER($T147),TEXT($T147,"yyyy-mm-dd"),IF($A147="","",IF($D147="Lisbonne","",IF(SUMPRODUCT(('Agences &amp; Après-vente'!$A$2:$A$1000=$A147)*(('Agences &amp; Après-vente'!$D$2:$D$1000="Après-vente")+('Agences &amp; Après-vente'!$D$2:$D$1000="Agences et Après-vente"))*('Agences &amp; Après-vente'!$I$2:$I$1000="DONE"))&gt;0,"✓",IF(SUMPRODUCT(MAX(('Agences &amp; Après-vente'!$A$2:$A$1000=$A147)*(('Agences &amp; Après-vente'!$D$2:$D$1000="Après-vente")+('Agences &amp; Après-vente'!$D$2:$D$1000="Agences et Après-vente"))*'Agences &amp; Après-vente'!$E$2:$E$1000))&gt;0,TEXT(SUMPRODUCT(MAX(('Agences &amp; Après-vente'!$A$2:$A$1000=$A147)*(('Agences &amp; Après-vente'!$D$2:$D$1000="Après-vente")+('Agences &amp; Après-vente'!$D$2:$D$1000="Agences et Après-vente"))*'Agences &amp; Après-vente'!$E$2:$E$1000)),"yyyy-mm-dd"),""))))))</f>
        <v/>
      </c>
      <c r="K147" s="131" t="str">
        <f aca="false">IF($U147="✓","✓",IF(ISNUMBER($U147),TEXT($U147,"yyyy-mm-dd"),IF($D147="Lisbonne","",IF($A147="","",IF(SUMPRODUCT((Evermont!$A$2:$A$1000=$A147)*(Evermont!$Q$2:$Q$1000="Terminé"))&gt;0,"✓",IF(SUMPRODUCT(MAX((Evermont!$A$2:$A$1000=$A147)*Evermont!$F$2:$F$1000))&gt;0,TEXT(SUMPRODUCT(MAX((Evermont!$A$2:$A$1000=$A147)*Evermont!$F$2:$F$1000)),"yyyy-mm-dd"),""))))))</f>
        <v/>
      </c>
      <c r="L147" s="132" t="n">
        <f aca="false">IF($A147="","",COUNTIF(E147:K147,"✓"))</f>
        <v>1</v>
      </c>
      <c r="M147" s="133" t="s">
        <v>196</v>
      </c>
      <c r="O147" s="134"/>
      <c r="P147" s="134"/>
      <c r="Q147" s="134"/>
      <c r="R147" s="134"/>
      <c r="S147" s="134"/>
      <c r="T147" s="134"/>
      <c r="U147" s="134"/>
      <c r="W147" s="135" t="str">
        <f aca="false">IF($A147="","",IF($X147&lt;&gt;"",$X147,IFERROR(INDEX('Formation Initiale'!$B$2:$B$999,MATCH($A147,'Formation Initiale'!$A$2:$A$999,0)),"Général")))</f>
        <v>OS7</v>
      </c>
      <c r="X147" s="136"/>
    </row>
    <row r="148" customFormat="false" ht="20.25" hidden="true" customHeight="true" outlineLevel="0" collapsed="false">
      <c r="A148" s="139" t="s">
        <v>599</v>
      </c>
      <c r="B148" s="128" t="s">
        <v>600</v>
      </c>
      <c r="C148" s="128" t="s">
        <v>601</v>
      </c>
      <c r="D148" s="129" t="s">
        <v>186</v>
      </c>
      <c r="E148" s="130" t="str">
        <f aca="false">IF($O148="✓","✓",IF(ISNUMBER($O148),TEXT($O148,"yyyy-mm-dd"),IF($A148="","",IF(SUMPRODUCT(('Formation Initiale'!$A$2:$A$999=$A148)*('Formation Initiale'!$R$2:$R$999="Terminé"))&gt;0,"✓",IF(SUMPRODUCT(MAX(('Formation Initiale'!$A$2:$A$999=$A148)*'Formation Initiale'!$G$2:$G$999))&gt;0,TEXT(SUMPRODUCT(MAX(('Formation Initiale'!$A$2:$A$999=$A148)*'Formation Initiale'!$G$2:$G$999)),"yyyy-mm-dd"),"")))))</f>
        <v>✓</v>
      </c>
      <c r="F148" s="131" t="str">
        <f aca="false">IF($P148="✓","✓",IF(ISNUMBER($P148),TEXT($P148,"yyyy-mm-dd"),IF($A148="","",IF($D148="Lisbonne","",IF(SUMPRODUCT(('Formation Initiale'!$A$2:$A$999=$A148)*('Formation Initiale'!$R$2:$R$999="Terminé"))&gt;0,"✓",IF(SUMPRODUCT(MAX(('Formation Initiale'!$A$2:$A$999=$A148)*'Formation Initiale'!$G$2:$G$999))&gt;0,TEXT(SUMPRODUCT(MAX(('Formation Initiale'!$A$2:$A$999=$A148)*'Formation Initiale'!$G$2:$G$999)),"yyyy-mm-dd"),""))))))</f>
        <v/>
      </c>
      <c r="G148" s="131" t="str">
        <f aca="false">IF($Q148="✓","✓",IF(ISNUMBER($Q148),TEXT($Q148,"yyyy-mm-dd"),IF($A148="","",IF(SUMPRODUCT(('Agences &amp; Après-vente'!$A$2:$A$1000=$A148)*(('Agences &amp; Après-vente'!$D$2:$D$1000="Agences")+('Agences &amp; Après-vente'!$D$2:$D$1000="Agences et Après-vente"))*('Agences &amp; Après-vente'!$I$2:$I$1000="DONE"))&gt;0,"✓",IF(SUMPRODUCT(MAX(('Agences &amp; Après-vente'!$A$2:$A$1000=$A148)*(('Agences &amp; Après-vente'!$D$2:$D$1000="Agences")+('Agences &amp; Après-vente'!$D$2:$D$1000="Agences et Après-vente"))*'Agences &amp; Après-vente'!$E$2:$E$1000))&gt;0,TEXT(SUMPRODUCT(MAX(('Agences &amp; Après-vente'!$A$2:$A$1000=$A148)*(('Agences &amp; Après-vente'!$D$2:$D$1000="Agences")+('Agences &amp; Après-vente'!$D$2:$D$1000="Agences et Après-vente"))*'Agences &amp; Après-vente'!$E$2:$E$1000)),"yyyy-mm-dd"),"")))))</f>
        <v/>
      </c>
      <c r="H148" s="131" t="str">
        <f aca="false">IF($R148="✓","✓",IF(ISNUMBER($R148),TEXT($R148,"yyyy-mm-dd"),IF($A148="","",IF($D148="Lisbonne","",IF(SUMPRODUCT(('Agences &amp; Après-vente'!$A$2:$A$1000=$A148)*(('Agences &amp; Après-vente'!$D$2:$D$1000="Agences")+('Agences &amp; Après-vente'!$D$2:$D$1000="Agences et Après-vente"))*('Agences &amp; Après-vente'!$I$2:$I$1000="DONE"))&gt;0,"✓",IF(SUMPRODUCT(MAX(('Agences &amp; Après-vente'!$A$2:$A$1000=$A148)*(('Agences &amp; Après-vente'!$D$2:$D$1000="Agences")+('Agences &amp; Après-vente'!$D$2:$D$1000="Agences et Après-vente"))*'Agences &amp; Après-vente'!$E$2:$E$1000))&gt;0,TEXT(SUMPRODUCT(MAX(('Agences &amp; Après-vente'!$A$2:$A$1000=$A148)*(('Agences &amp; Après-vente'!$D$2:$D$1000="Agences")+('Agences &amp; Après-vente'!$D$2:$D$1000="Agences et Après-vente"))*'Agences &amp; Après-vente'!$E$2:$E$1000)),"yyyy-mm-dd"),""))))))</f>
        <v/>
      </c>
      <c r="I148" s="131" t="str">
        <f aca="false">IF($S148="✓","✓",IF(ISNUMBER($S148),TEXT($S148,"yyyy-mm-dd"),IF($A148="","",IF(SUMPRODUCT(('Agences &amp; Après-vente'!$A$2:$A$1000=$A148)*(('Agences &amp; Après-vente'!$D$2:$D$1000="Après-vente")+('Agences &amp; Après-vente'!$D$2:$D$1000="Agences et Après-vente"))*('Agences &amp; Après-vente'!$I$2:$I$1000="DONE"))&gt;0,"✓",IF(SUMPRODUCT(MAX(('Agences &amp; Après-vente'!$A$2:$A$1000=$A148)*(('Agences &amp; Après-vente'!$D$2:$D$1000="Après-vente")+('Agences &amp; Après-vente'!$D$2:$D$1000="Agences et Après-vente"))*'Agences &amp; Après-vente'!$E$2:$E$1000))&gt;0,TEXT(SUMPRODUCT(MAX(('Agences &amp; Après-vente'!$A$2:$A$1000=$A148)*(('Agences &amp; Après-vente'!$D$2:$D$1000="Après-vente")+('Agences &amp; Après-vente'!$D$2:$D$1000="Agences et Après-vente"))*'Agences &amp; Après-vente'!$E$2:$E$1000)),"yyyy-mm-dd"),"")))))</f>
        <v/>
      </c>
      <c r="J148" s="131" t="str">
        <f aca="false">IF($T148="✓","✓",IF(ISNUMBER($T148),TEXT($T148,"yyyy-mm-dd"),IF($A148="","",IF($D148="Lisbonne","",IF(SUMPRODUCT(('Agences &amp; Après-vente'!$A$2:$A$1000=$A148)*(('Agences &amp; Après-vente'!$D$2:$D$1000="Après-vente")+('Agences &amp; Après-vente'!$D$2:$D$1000="Agences et Après-vente"))*('Agences &amp; Après-vente'!$I$2:$I$1000="DONE"))&gt;0,"✓",IF(SUMPRODUCT(MAX(('Agences &amp; Après-vente'!$A$2:$A$1000=$A148)*(('Agences &amp; Après-vente'!$D$2:$D$1000="Après-vente")+('Agences &amp; Après-vente'!$D$2:$D$1000="Agences et Après-vente"))*'Agences &amp; Après-vente'!$E$2:$E$1000))&gt;0,TEXT(SUMPRODUCT(MAX(('Agences &amp; Après-vente'!$A$2:$A$1000=$A148)*(('Agences &amp; Après-vente'!$D$2:$D$1000="Après-vente")+('Agences &amp; Après-vente'!$D$2:$D$1000="Agences et Après-vente"))*'Agences &amp; Après-vente'!$E$2:$E$1000)),"yyyy-mm-dd"),""))))))</f>
        <v/>
      </c>
      <c r="K148" s="131" t="str">
        <f aca="false">IF($U148="✓","✓",IF(ISNUMBER($U148),TEXT($U148,"yyyy-mm-dd"),IF($D148="Lisbonne","",IF($A148="","",IF(SUMPRODUCT((Evermont!$A$2:$A$1000=$A148)*(Evermont!$Q$2:$Q$1000="Terminé"))&gt;0,"✓",IF(SUMPRODUCT(MAX((Evermont!$A$2:$A$1000=$A148)*Evermont!$F$2:$F$1000))&gt;0,TEXT(SUMPRODUCT(MAX((Evermont!$A$2:$A$1000=$A148)*Evermont!$F$2:$F$1000)),"yyyy-mm-dd"),""))))))</f>
        <v/>
      </c>
      <c r="L148" s="132" t="n">
        <f aca="false">IF($A148="","",COUNTIF(E148:K148,"✓"))</f>
        <v>1</v>
      </c>
      <c r="M148" s="133" t="s">
        <v>196</v>
      </c>
      <c r="O148" s="134"/>
      <c r="P148" s="134"/>
      <c r="Q148" s="134"/>
      <c r="R148" s="134"/>
      <c r="S148" s="134"/>
      <c r="T148" s="134"/>
      <c r="U148" s="134"/>
      <c r="W148" s="135" t="str">
        <f aca="false">IF($A148="","",IF($X148&lt;&gt;"",$X148,IFERROR(INDEX('Formation Initiale'!$B$2:$B$999,MATCH($A148,'Formation Initiale'!$A$2:$A$999,0)),"Général")))</f>
        <v>OS3</v>
      </c>
      <c r="X148" s="136"/>
    </row>
    <row r="149" customFormat="false" ht="15" hidden="true" customHeight="true" outlineLevel="0" collapsed="false">
      <c r="A149" s="139" t="s">
        <v>602</v>
      </c>
      <c r="B149" s="128" t="s">
        <v>603</v>
      </c>
      <c r="C149" s="128" t="s">
        <v>604</v>
      </c>
      <c r="D149" s="129" t="s">
        <v>186</v>
      </c>
      <c r="E149" s="130" t="str">
        <f aca="false">IF($O149="✓","✓",IF(ISNUMBER($O149),TEXT($O149,"yyyy-mm-dd"),IF($A149="","",IF(SUMPRODUCT(('Formation Initiale'!$A$2:$A$999=$A149)*('Formation Initiale'!$R$2:$R$999="Terminé"))&gt;0,"✓",IF(SUMPRODUCT(MAX(('Formation Initiale'!$A$2:$A$999=$A149)*'Formation Initiale'!$G$2:$G$999))&gt;0,TEXT(SUMPRODUCT(MAX(('Formation Initiale'!$A$2:$A$999=$A149)*'Formation Initiale'!$G$2:$G$999)),"yyyy-mm-dd"),"")))))</f>
        <v>✓</v>
      </c>
      <c r="F149" s="131" t="str">
        <f aca="false">IF($P149="✓","✓",IF(ISNUMBER($P149),TEXT($P149,"yyyy-mm-dd"),IF($A149="","",IF($D149="Lisbonne","",IF(SUMPRODUCT(('Formation Initiale'!$A$2:$A$999=$A149)*('Formation Initiale'!$R$2:$R$999="Terminé"))&gt;0,"✓",IF(SUMPRODUCT(MAX(('Formation Initiale'!$A$2:$A$999=$A149)*'Formation Initiale'!$G$2:$G$999))&gt;0,TEXT(SUMPRODUCT(MAX(('Formation Initiale'!$A$2:$A$999=$A149)*'Formation Initiale'!$G$2:$G$999)),"yyyy-mm-dd"),""))))))</f>
        <v/>
      </c>
      <c r="G149" s="131" t="str">
        <f aca="false">IF($Q149="✓","✓",IF(ISNUMBER($Q149),TEXT($Q149,"yyyy-mm-dd"),IF($A149="","",IF(SUMPRODUCT(('Agences &amp; Après-vente'!$A$2:$A$1000=$A149)*(('Agences &amp; Après-vente'!$D$2:$D$1000="Agences")+('Agences &amp; Après-vente'!$D$2:$D$1000="Agences et Après-vente"))*('Agences &amp; Après-vente'!$I$2:$I$1000="DONE"))&gt;0,"✓",IF(SUMPRODUCT(MAX(('Agences &amp; Après-vente'!$A$2:$A$1000=$A149)*(('Agences &amp; Après-vente'!$D$2:$D$1000="Agences")+('Agences &amp; Après-vente'!$D$2:$D$1000="Agences et Après-vente"))*'Agences &amp; Après-vente'!$E$2:$E$1000))&gt;0,TEXT(SUMPRODUCT(MAX(('Agences &amp; Après-vente'!$A$2:$A$1000=$A149)*(('Agences &amp; Après-vente'!$D$2:$D$1000="Agences")+('Agences &amp; Après-vente'!$D$2:$D$1000="Agences et Après-vente"))*'Agences &amp; Après-vente'!$E$2:$E$1000)),"yyyy-mm-dd"),"")))))</f>
        <v/>
      </c>
      <c r="H149" s="131" t="str">
        <f aca="false">IF($R149="✓","✓",IF(ISNUMBER($R149),TEXT($R149,"yyyy-mm-dd"),IF($A149="","",IF($D149="Lisbonne","",IF(SUMPRODUCT(('Agences &amp; Après-vente'!$A$2:$A$1000=$A149)*(('Agences &amp; Après-vente'!$D$2:$D$1000="Agences")+('Agences &amp; Après-vente'!$D$2:$D$1000="Agences et Après-vente"))*('Agences &amp; Après-vente'!$I$2:$I$1000="DONE"))&gt;0,"✓",IF(SUMPRODUCT(MAX(('Agences &amp; Après-vente'!$A$2:$A$1000=$A149)*(('Agences &amp; Après-vente'!$D$2:$D$1000="Agences")+('Agences &amp; Après-vente'!$D$2:$D$1000="Agences et Après-vente"))*'Agences &amp; Après-vente'!$E$2:$E$1000))&gt;0,TEXT(SUMPRODUCT(MAX(('Agences &amp; Après-vente'!$A$2:$A$1000=$A149)*(('Agences &amp; Après-vente'!$D$2:$D$1000="Agences")+('Agences &amp; Après-vente'!$D$2:$D$1000="Agences et Après-vente"))*'Agences &amp; Après-vente'!$E$2:$E$1000)),"yyyy-mm-dd"),""))))))</f>
        <v/>
      </c>
      <c r="I149" s="131" t="str">
        <f aca="false">IF($S149="✓","✓",IF(ISNUMBER($S149),TEXT($S149,"yyyy-mm-dd"),IF($A149="","",IF(SUMPRODUCT(('Agences &amp; Après-vente'!$A$2:$A$1000=$A149)*(('Agences &amp; Après-vente'!$D$2:$D$1000="Après-vente")+('Agences &amp; Après-vente'!$D$2:$D$1000="Agences et Après-vente"))*('Agences &amp; Après-vente'!$I$2:$I$1000="DONE"))&gt;0,"✓",IF(SUMPRODUCT(MAX(('Agences &amp; Après-vente'!$A$2:$A$1000=$A149)*(('Agences &amp; Après-vente'!$D$2:$D$1000="Après-vente")+('Agences &amp; Après-vente'!$D$2:$D$1000="Agences et Après-vente"))*'Agences &amp; Après-vente'!$E$2:$E$1000))&gt;0,TEXT(SUMPRODUCT(MAX(('Agences &amp; Après-vente'!$A$2:$A$1000=$A149)*(('Agences &amp; Après-vente'!$D$2:$D$1000="Après-vente")+('Agences &amp; Après-vente'!$D$2:$D$1000="Agences et Après-vente"))*'Agences &amp; Après-vente'!$E$2:$E$1000)),"yyyy-mm-dd"),"")))))</f>
        <v/>
      </c>
      <c r="J149" s="131" t="str">
        <f aca="false">IF($T149="✓","✓",IF(ISNUMBER($T149),TEXT($T149,"yyyy-mm-dd"),IF($A149="","",IF($D149="Lisbonne","",IF(SUMPRODUCT(('Agences &amp; Après-vente'!$A$2:$A$1000=$A149)*(('Agences &amp; Après-vente'!$D$2:$D$1000="Après-vente")+('Agences &amp; Après-vente'!$D$2:$D$1000="Agences et Après-vente"))*('Agences &amp; Après-vente'!$I$2:$I$1000="DONE"))&gt;0,"✓",IF(SUMPRODUCT(MAX(('Agences &amp; Après-vente'!$A$2:$A$1000=$A149)*(('Agences &amp; Après-vente'!$D$2:$D$1000="Après-vente")+('Agences &amp; Après-vente'!$D$2:$D$1000="Agences et Après-vente"))*'Agences &amp; Après-vente'!$E$2:$E$1000))&gt;0,TEXT(SUMPRODUCT(MAX(('Agences &amp; Après-vente'!$A$2:$A$1000=$A149)*(('Agences &amp; Après-vente'!$D$2:$D$1000="Après-vente")+('Agences &amp; Après-vente'!$D$2:$D$1000="Agences et Après-vente"))*'Agences &amp; Après-vente'!$E$2:$E$1000)),"yyyy-mm-dd"),""))))))</f>
        <v/>
      </c>
      <c r="K149" s="131" t="str">
        <f aca="false">IF($U149="✓","✓",IF(ISNUMBER($U149),TEXT($U149,"yyyy-mm-dd"),IF($D149="Lisbonne","",IF($A149="","",IF(SUMPRODUCT((Evermont!$A$2:$A$1000=$A149)*(Evermont!$Q$2:$Q$1000="Terminé"))&gt;0,"✓",IF(SUMPRODUCT(MAX((Evermont!$A$2:$A$1000=$A149)*Evermont!$F$2:$F$1000))&gt;0,TEXT(SUMPRODUCT(MAX((Evermont!$A$2:$A$1000=$A149)*Evermont!$F$2:$F$1000)),"yyyy-mm-dd"),""))))))</f>
        <v/>
      </c>
      <c r="L149" s="132" t="n">
        <f aca="false">IF($A149="","",COUNTIF(E149:K149,"✓"))</f>
        <v>1</v>
      </c>
      <c r="M149" s="133" t="s">
        <v>172</v>
      </c>
      <c r="O149" s="134"/>
      <c r="P149" s="134"/>
      <c r="Q149" s="134"/>
      <c r="R149" s="134"/>
      <c r="S149" s="134"/>
      <c r="T149" s="134"/>
      <c r="U149" s="134"/>
      <c r="W149" s="135" t="str">
        <f aca="false">IF($A149="","",IF($X149&lt;&gt;"",$X149,IFERROR(INDEX('Formation Initiale'!$B$2:$B$999,MATCH($A149,'Formation Initiale'!$A$2:$A$999,0)),"Général")))</f>
        <v>OS8</v>
      </c>
      <c r="X149" s="136"/>
    </row>
    <row r="150" customFormat="false" ht="15" hidden="true" customHeight="true" outlineLevel="0" collapsed="false">
      <c r="A150" s="139" t="s">
        <v>605</v>
      </c>
      <c r="B150" s="128" t="s">
        <v>606</v>
      </c>
      <c r="C150" s="128" t="s">
        <v>607</v>
      </c>
      <c r="D150" s="129" t="s">
        <v>186</v>
      </c>
      <c r="E150" s="130" t="str">
        <f aca="false">IF($O150="✓","✓",IF(ISNUMBER($O150),TEXT($O150,"yyyy-mm-dd"),IF($A150="","",IF(SUMPRODUCT(('Formation Initiale'!$A$2:$A$999=$A150)*('Formation Initiale'!$R$2:$R$999="Terminé"))&gt;0,"✓",IF(SUMPRODUCT(MAX(('Formation Initiale'!$A$2:$A$999=$A150)*'Formation Initiale'!$G$2:$G$999))&gt;0,TEXT(SUMPRODUCT(MAX(('Formation Initiale'!$A$2:$A$999=$A150)*'Formation Initiale'!$G$2:$G$999)),"yyyy-mm-dd"),"")))))</f>
        <v>✓</v>
      </c>
      <c r="F150" s="131" t="str">
        <f aca="false">IF($P150="✓","✓",IF(ISNUMBER($P150),TEXT($P150,"yyyy-mm-dd"),IF($A150="","",IF($D150="Lisbonne","",IF(SUMPRODUCT(('Formation Initiale'!$A$2:$A$999=$A150)*('Formation Initiale'!$R$2:$R$999="Terminé"))&gt;0,"✓",IF(SUMPRODUCT(MAX(('Formation Initiale'!$A$2:$A$999=$A150)*'Formation Initiale'!$G$2:$G$999))&gt;0,TEXT(SUMPRODUCT(MAX(('Formation Initiale'!$A$2:$A$999=$A150)*'Formation Initiale'!$G$2:$G$999)),"yyyy-mm-dd"),""))))))</f>
        <v/>
      </c>
      <c r="G150" s="131" t="str">
        <f aca="false">IF($Q150="✓","✓",IF(ISNUMBER($Q150),TEXT($Q150,"yyyy-mm-dd"),IF($A150="","",IF(SUMPRODUCT(('Agences &amp; Après-vente'!$A$2:$A$1000=$A150)*(('Agences &amp; Après-vente'!$D$2:$D$1000="Agences")+('Agences &amp; Après-vente'!$D$2:$D$1000="Agences et Après-vente"))*('Agences &amp; Après-vente'!$I$2:$I$1000="DONE"))&gt;0,"✓",IF(SUMPRODUCT(MAX(('Agences &amp; Après-vente'!$A$2:$A$1000=$A150)*(('Agences &amp; Après-vente'!$D$2:$D$1000="Agences")+('Agences &amp; Après-vente'!$D$2:$D$1000="Agences et Après-vente"))*'Agences &amp; Après-vente'!$E$2:$E$1000))&gt;0,TEXT(SUMPRODUCT(MAX(('Agences &amp; Après-vente'!$A$2:$A$1000=$A150)*(('Agences &amp; Après-vente'!$D$2:$D$1000="Agences")+('Agences &amp; Après-vente'!$D$2:$D$1000="Agences et Après-vente"))*'Agences &amp; Après-vente'!$E$2:$E$1000)),"yyyy-mm-dd"),"")))))</f>
        <v/>
      </c>
      <c r="H150" s="131" t="str">
        <f aca="false">IF($R150="✓","✓",IF(ISNUMBER($R150),TEXT($R150,"yyyy-mm-dd"),IF($A150="","",IF($D150="Lisbonne","",IF(SUMPRODUCT(('Agences &amp; Après-vente'!$A$2:$A$1000=$A150)*(('Agences &amp; Après-vente'!$D$2:$D$1000="Agences")+('Agences &amp; Après-vente'!$D$2:$D$1000="Agences et Après-vente"))*('Agences &amp; Après-vente'!$I$2:$I$1000="DONE"))&gt;0,"✓",IF(SUMPRODUCT(MAX(('Agences &amp; Après-vente'!$A$2:$A$1000=$A150)*(('Agences &amp; Après-vente'!$D$2:$D$1000="Agences")+('Agences &amp; Après-vente'!$D$2:$D$1000="Agences et Après-vente"))*'Agences &amp; Après-vente'!$E$2:$E$1000))&gt;0,TEXT(SUMPRODUCT(MAX(('Agences &amp; Après-vente'!$A$2:$A$1000=$A150)*(('Agences &amp; Après-vente'!$D$2:$D$1000="Agences")+('Agences &amp; Après-vente'!$D$2:$D$1000="Agences et Après-vente"))*'Agences &amp; Après-vente'!$E$2:$E$1000)),"yyyy-mm-dd"),""))))))</f>
        <v/>
      </c>
      <c r="I150" s="131" t="str">
        <f aca="false">IF($S150="✓","✓",IF(ISNUMBER($S150),TEXT($S150,"yyyy-mm-dd"),IF($A150="","",IF(SUMPRODUCT(('Agences &amp; Après-vente'!$A$2:$A$1000=$A150)*(('Agences &amp; Après-vente'!$D$2:$D$1000="Après-vente")+('Agences &amp; Après-vente'!$D$2:$D$1000="Agences et Après-vente"))*('Agences &amp; Après-vente'!$I$2:$I$1000="DONE"))&gt;0,"✓",IF(SUMPRODUCT(MAX(('Agences &amp; Après-vente'!$A$2:$A$1000=$A150)*(('Agences &amp; Après-vente'!$D$2:$D$1000="Après-vente")+('Agences &amp; Après-vente'!$D$2:$D$1000="Agences et Après-vente"))*'Agences &amp; Après-vente'!$E$2:$E$1000))&gt;0,TEXT(SUMPRODUCT(MAX(('Agences &amp; Après-vente'!$A$2:$A$1000=$A150)*(('Agences &amp; Après-vente'!$D$2:$D$1000="Après-vente")+('Agences &amp; Après-vente'!$D$2:$D$1000="Agences et Après-vente"))*'Agences &amp; Après-vente'!$E$2:$E$1000)),"yyyy-mm-dd"),"")))))</f>
        <v/>
      </c>
      <c r="J150" s="131" t="str">
        <f aca="false">IF($T150="✓","✓",IF(ISNUMBER($T150),TEXT($T150,"yyyy-mm-dd"),IF($A150="","",IF($D150="Lisbonne","",IF(SUMPRODUCT(('Agences &amp; Après-vente'!$A$2:$A$1000=$A150)*(('Agences &amp; Après-vente'!$D$2:$D$1000="Après-vente")+('Agences &amp; Après-vente'!$D$2:$D$1000="Agences et Après-vente"))*('Agences &amp; Après-vente'!$I$2:$I$1000="DONE"))&gt;0,"✓",IF(SUMPRODUCT(MAX(('Agences &amp; Après-vente'!$A$2:$A$1000=$A150)*(('Agences &amp; Après-vente'!$D$2:$D$1000="Après-vente")+('Agences &amp; Après-vente'!$D$2:$D$1000="Agences et Après-vente"))*'Agences &amp; Après-vente'!$E$2:$E$1000))&gt;0,TEXT(SUMPRODUCT(MAX(('Agences &amp; Après-vente'!$A$2:$A$1000=$A150)*(('Agences &amp; Après-vente'!$D$2:$D$1000="Après-vente")+('Agences &amp; Après-vente'!$D$2:$D$1000="Agences et Après-vente"))*'Agences &amp; Après-vente'!$E$2:$E$1000)),"yyyy-mm-dd"),""))))))</f>
        <v/>
      </c>
      <c r="K150" s="131" t="str">
        <f aca="false">IF($U150="✓","✓",IF(ISNUMBER($U150),TEXT($U150,"yyyy-mm-dd"),IF($D150="Lisbonne","",IF($A150="","",IF(SUMPRODUCT((Evermont!$A$2:$A$1000=$A150)*(Evermont!$Q$2:$Q$1000="Terminé"))&gt;0,"✓",IF(SUMPRODUCT(MAX((Evermont!$A$2:$A$1000=$A150)*Evermont!$F$2:$F$1000))&gt;0,TEXT(SUMPRODUCT(MAX((Evermont!$A$2:$A$1000=$A150)*Evermont!$F$2:$F$1000)),"yyyy-mm-dd"),""))))))</f>
        <v/>
      </c>
      <c r="L150" s="132" t="n">
        <f aca="false">IF($A150="","",COUNTIF(E150:K150,"✓"))</f>
        <v>1</v>
      </c>
      <c r="M150" s="133" t="s">
        <v>172</v>
      </c>
      <c r="O150" s="134"/>
      <c r="P150" s="134"/>
      <c r="Q150" s="134"/>
      <c r="R150" s="134"/>
      <c r="S150" s="134"/>
      <c r="T150" s="134"/>
      <c r="U150" s="134"/>
      <c r="W150" s="135" t="str">
        <f aca="false">IF($A150="","",IF($X150&lt;&gt;"",$X150,IFERROR(INDEX('Formation Initiale'!$B$2:$B$999,MATCH($A150,'Formation Initiale'!$A$2:$A$999,0)),"Général")))</f>
        <v>OS8</v>
      </c>
      <c r="X150" s="136"/>
    </row>
    <row r="151" customFormat="false" ht="15" hidden="true" customHeight="true" outlineLevel="0" collapsed="false">
      <c r="A151" s="139" t="s">
        <v>608</v>
      </c>
      <c r="B151" s="128" t="s">
        <v>535</v>
      </c>
      <c r="C151" s="128" t="s">
        <v>609</v>
      </c>
      <c r="D151" s="129" t="s">
        <v>186</v>
      </c>
      <c r="E151" s="130" t="str">
        <f aca="false">IF($O151="✓","✓",IF(ISNUMBER($O151),TEXT($O151,"yyyy-mm-dd"),IF($A151="","",IF(SUMPRODUCT(('Formation Initiale'!$A$2:$A$999=$A151)*('Formation Initiale'!$R$2:$R$999="Terminé"))&gt;0,"✓",IF(SUMPRODUCT(MAX(('Formation Initiale'!$A$2:$A$999=$A151)*'Formation Initiale'!$G$2:$G$999))&gt;0,TEXT(SUMPRODUCT(MAX(('Formation Initiale'!$A$2:$A$999=$A151)*'Formation Initiale'!$G$2:$G$999)),"yyyy-mm-dd"),"")))))</f>
        <v>✓</v>
      </c>
      <c r="F151" s="131" t="str">
        <f aca="false">IF($P151="✓","✓",IF(ISNUMBER($P151),TEXT($P151,"yyyy-mm-dd"),IF($A151="","",IF($D151="Lisbonne","",IF(SUMPRODUCT(('Formation Initiale'!$A$2:$A$999=$A151)*('Formation Initiale'!$R$2:$R$999="Terminé"))&gt;0,"✓",IF(SUMPRODUCT(MAX(('Formation Initiale'!$A$2:$A$999=$A151)*'Formation Initiale'!$G$2:$G$999))&gt;0,TEXT(SUMPRODUCT(MAX(('Formation Initiale'!$A$2:$A$999=$A151)*'Formation Initiale'!$G$2:$G$999)),"yyyy-mm-dd"),""))))))</f>
        <v/>
      </c>
      <c r="G151" s="131" t="str">
        <f aca="false">IF($Q151="✓","✓",IF(ISNUMBER($Q151),TEXT($Q151,"yyyy-mm-dd"),IF($A151="","",IF(SUMPRODUCT(('Agences &amp; Après-vente'!$A$2:$A$1000=$A151)*(('Agences &amp; Après-vente'!$D$2:$D$1000="Agences")+('Agences &amp; Après-vente'!$D$2:$D$1000="Agences et Après-vente"))*('Agences &amp; Après-vente'!$I$2:$I$1000="DONE"))&gt;0,"✓",IF(SUMPRODUCT(MAX(('Agences &amp; Après-vente'!$A$2:$A$1000=$A151)*(('Agences &amp; Après-vente'!$D$2:$D$1000="Agences")+('Agences &amp; Après-vente'!$D$2:$D$1000="Agences et Après-vente"))*'Agences &amp; Après-vente'!$E$2:$E$1000))&gt;0,TEXT(SUMPRODUCT(MAX(('Agences &amp; Après-vente'!$A$2:$A$1000=$A151)*(('Agences &amp; Après-vente'!$D$2:$D$1000="Agences")+('Agences &amp; Après-vente'!$D$2:$D$1000="Agences et Après-vente"))*'Agences &amp; Après-vente'!$E$2:$E$1000)),"yyyy-mm-dd"),"")))))</f>
        <v/>
      </c>
      <c r="H151" s="131" t="str">
        <f aca="false">IF($R151="✓","✓",IF(ISNUMBER($R151),TEXT($R151,"yyyy-mm-dd"),IF($A151="","",IF($D151="Lisbonne","",IF(SUMPRODUCT(('Agences &amp; Après-vente'!$A$2:$A$1000=$A151)*(('Agences &amp; Après-vente'!$D$2:$D$1000="Agences")+('Agences &amp; Après-vente'!$D$2:$D$1000="Agences et Après-vente"))*('Agences &amp; Après-vente'!$I$2:$I$1000="DONE"))&gt;0,"✓",IF(SUMPRODUCT(MAX(('Agences &amp; Après-vente'!$A$2:$A$1000=$A151)*(('Agences &amp; Après-vente'!$D$2:$D$1000="Agences")+('Agences &amp; Après-vente'!$D$2:$D$1000="Agences et Après-vente"))*'Agences &amp; Après-vente'!$E$2:$E$1000))&gt;0,TEXT(SUMPRODUCT(MAX(('Agences &amp; Après-vente'!$A$2:$A$1000=$A151)*(('Agences &amp; Après-vente'!$D$2:$D$1000="Agences")+('Agences &amp; Après-vente'!$D$2:$D$1000="Agences et Après-vente"))*'Agences &amp; Après-vente'!$E$2:$E$1000)),"yyyy-mm-dd"),""))))))</f>
        <v/>
      </c>
      <c r="I151" s="131" t="str">
        <f aca="false">IF($S151="✓","✓",IF(ISNUMBER($S151),TEXT($S151,"yyyy-mm-dd"),IF($A151="","",IF(SUMPRODUCT(('Agences &amp; Après-vente'!$A$2:$A$1000=$A151)*(('Agences &amp; Après-vente'!$D$2:$D$1000="Après-vente")+('Agences &amp; Après-vente'!$D$2:$D$1000="Agences et Après-vente"))*('Agences &amp; Après-vente'!$I$2:$I$1000="DONE"))&gt;0,"✓",IF(SUMPRODUCT(MAX(('Agences &amp; Après-vente'!$A$2:$A$1000=$A151)*(('Agences &amp; Après-vente'!$D$2:$D$1000="Après-vente")+('Agences &amp; Après-vente'!$D$2:$D$1000="Agences et Après-vente"))*'Agences &amp; Après-vente'!$E$2:$E$1000))&gt;0,TEXT(SUMPRODUCT(MAX(('Agences &amp; Après-vente'!$A$2:$A$1000=$A151)*(('Agences &amp; Après-vente'!$D$2:$D$1000="Après-vente")+('Agences &amp; Après-vente'!$D$2:$D$1000="Agences et Après-vente"))*'Agences &amp; Après-vente'!$E$2:$E$1000)),"yyyy-mm-dd"),"")))))</f>
        <v/>
      </c>
      <c r="J151" s="131" t="str">
        <f aca="false">IF($T151="✓","✓",IF(ISNUMBER($T151),TEXT($T151,"yyyy-mm-dd"),IF($A151="","",IF($D151="Lisbonne","",IF(SUMPRODUCT(('Agences &amp; Après-vente'!$A$2:$A$1000=$A151)*(('Agences &amp; Après-vente'!$D$2:$D$1000="Après-vente")+('Agences &amp; Après-vente'!$D$2:$D$1000="Agences et Après-vente"))*('Agences &amp; Après-vente'!$I$2:$I$1000="DONE"))&gt;0,"✓",IF(SUMPRODUCT(MAX(('Agences &amp; Après-vente'!$A$2:$A$1000=$A151)*(('Agences &amp; Après-vente'!$D$2:$D$1000="Après-vente")+('Agences &amp; Après-vente'!$D$2:$D$1000="Agences et Après-vente"))*'Agences &amp; Après-vente'!$E$2:$E$1000))&gt;0,TEXT(SUMPRODUCT(MAX(('Agences &amp; Après-vente'!$A$2:$A$1000=$A151)*(('Agences &amp; Après-vente'!$D$2:$D$1000="Après-vente")+('Agences &amp; Après-vente'!$D$2:$D$1000="Agences et Après-vente"))*'Agences &amp; Après-vente'!$E$2:$E$1000)),"yyyy-mm-dd"),""))))))</f>
        <v/>
      </c>
      <c r="K151" s="131" t="str">
        <f aca="false">IF($U151="✓","✓",IF(ISNUMBER($U151),TEXT($U151,"yyyy-mm-dd"),IF($D151="Lisbonne","",IF($A151="","",IF(SUMPRODUCT((Evermont!$A$2:$A$1000=$A151)*(Evermont!$Q$2:$Q$1000="Terminé"))&gt;0,"✓",IF(SUMPRODUCT(MAX((Evermont!$A$2:$A$1000=$A151)*Evermont!$F$2:$F$1000))&gt;0,TEXT(SUMPRODUCT(MAX((Evermont!$A$2:$A$1000=$A151)*Evermont!$F$2:$F$1000)),"yyyy-mm-dd"),""))))))</f>
        <v/>
      </c>
      <c r="L151" s="132" t="n">
        <f aca="false">IF($A151="","",COUNTIF(E151:K151,"✓"))</f>
        <v>1</v>
      </c>
      <c r="M151" s="133" t="s">
        <v>172</v>
      </c>
      <c r="O151" s="134"/>
      <c r="P151" s="134"/>
      <c r="Q151" s="134"/>
      <c r="R151" s="134"/>
      <c r="S151" s="134"/>
      <c r="T151" s="134"/>
      <c r="U151" s="134"/>
      <c r="W151" s="135" t="str">
        <f aca="false">IF($A151="","",IF($X151&lt;&gt;"",$X151,IFERROR(INDEX('Formation Initiale'!$B$2:$B$999,MATCH($A151,'Formation Initiale'!$A$2:$A$999,0)),"Général")))</f>
        <v>OS8</v>
      </c>
      <c r="X151" s="136"/>
    </row>
    <row r="152" customFormat="false" ht="15" hidden="true" customHeight="true" outlineLevel="0" collapsed="false">
      <c r="A152" s="139" t="s">
        <v>610</v>
      </c>
      <c r="B152" s="128" t="s">
        <v>611</v>
      </c>
      <c r="C152" s="128" t="s">
        <v>612</v>
      </c>
      <c r="D152" s="129" t="s">
        <v>186</v>
      </c>
      <c r="E152" s="130" t="str">
        <f aca="false">IF($O152="✓","✓",IF(ISNUMBER($O152),TEXT($O152,"yyyy-mm-dd"),IF($A152="","",IF(SUMPRODUCT(('Formation Initiale'!$A$2:$A$999=$A152)*('Formation Initiale'!$R$2:$R$999="Terminé"))&gt;0,"✓",IF(SUMPRODUCT(MAX(('Formation Initiale'!$A$2:$A$999=$A152)*'Formation Initiale'!$G$2:$G$999))&gt;0,TEXT(SUMPRODUCT(MAX(('Formation Initiale'!$A$2:$A$999=$A152)*'Formation Initiale'!$G$2:$G$999)),"yyyy-mm-dd"),"")))))</f>
        <v>✓</v>
      </c>
      <c r="F152" s="131" t="str">
        <f aca="false">IF($P152="✓","✓",IF(ISNUMBER($P152),TEXT($P152,"yyyy-mm-dd"),IF($A152="","",IF($D152="Lisbonne","",IF(SUMPRODUCT(('Formation Initiale'!$A$2:$A$999=$A152)*('Formation Initiale'!$R$2:$R$999="Terminé"))&gt;0,"✓",IF(SUMPRODUCT(MAX(('Formation Initiale'!$A$2:$A$999=$A152)*'Formation Initiale'!$G$2:$G$999))&gt;0,TEXT(SUMPRODUCT(MAX(('Formation Initiale'!$A$2:$A$999=$A152)*'Formation Initiale'!$G$2:$G$999)),"yyyy-mm-dd"),""))))))</f>
        <v/>
      </c>
      <c r="G152" s="131" t="str">
        <f aca="false">IF($Q152="✓","✓",IF(ISNUMBER($Q152),TEXT($Q152,"yyyy-mm-dd"),IF($A152="","",IF(SUMPRODUCT(('Agences &amp; Après-vente'!$A$2:$A$1000=$A152)*(('Agences &amp; Après-vente'!$D$2:$D$1000="Agences")+('Agences &amp; Après-vente'!$D$2:$D$1000="Agences et Après-vente"))*('Agences &amp; Après-vente'!$I$2:$I$1000="DONE"))&gt;0,"✓",IF(SUMPRODUCT(MAX(('Agences &amp; Après-vente'!$A$2:$A$1000=$A152)*(('Agences &amp; Après-vente'!$D$2:$D$1000="Agences")+('Agences &amp; Après-vente'!$D$2:$D$1000="Agences et Après-vente"))*'Agences &amp; Après-vente'!$E$2:$E$1000))&gt;0,TEXT(SUMPRODUCT(MAX(('Agences &amp; Après-vente'!$A$2:$A$1000=$A152)*(('Agences &amp; Après-vente'!$D$2:$D$1000="Agences")+('Agences &amp; Après-vente'!$D$2:$D$1000="Agences et Après-vente"))*'Agences &amp; Après-vente'!$E$2:$E$1000)),"yyyy-mm-dd"),"")))))</f>
        <v/>
      </c>
      <c r="H152" s="131" t="str">
        <f aca="false">IF($R152="✓","✓",IF(ISNUMBER($R152),TEXT($R152,"yyyy-mm-dd"),IF($A152="","",IF($D152="Lisbonne","",IF(SUMPRODUCT(('Agences &amp; Après-vente'!$A$2:$A$1000=$A152)*(('Agences &amp; Après-vente'!$D$2:$D$1000="Agences")+('Agences &amp; Après-vente'!$D$2:$D$1000="Agences et Après-vente"))*('Agences &amp; Après-vente'!$I$2:$I$1000="DONE"))&gt;0,"✓",IF(SUMPRODUCT(MAX(('Agences &amp; Après-vente'!$A$2:$A$1000=$A152)*(('Agences &amp; Après-vente'!$D$2:$D$1000="Agences")+('Agences &amp; Après-vente'!$D$2:$D$1000="Agences et Après-vente"))*'Agences &amp; Après-vente'!$E$2:$E$1000))&gt;0,TEXT(SUMPRODUCT(MAX(('Agences &amp; Après-vente'!$A$2:$A$1000=$A152)*(('Agences &amp; Après-vente'!$D$2:$D$1000="Agences")+('Agences &amp; Après-vente'!$D$2:$D$1000="Agences et Après-vente"))*'Agences &amp; Après-vente'!$E$2:$E$1000)),"yyyy-mm-dd"),""))))))</f>
        <v/>
      </c>
      <c r="I152" s="131" t="str">
        <f aca="false">IF($S152="✓","✓",IF(ISNUMBER($S152),TEXT($S152,"yyyy-mm-dd"),IF($A152="","",IF(SUMPRODUCT(('Agences &amp; Après-vente'!$A$2:$A$1000=$A152)*(('Agences &amp; Après-vente'!$D$2:$D$1000="Après-vente")+('Agences &amp; Après-vente'!$D$2:$D$1000="Agences et Après-vente"))*('Agences &amp; Après-vente'!$I$2:$I$1000="DONE"))&gt;0,"✓",IF(SUMPRODUCT(MAX(('Agences &amp; Après-vente'!$A$2:$A$1000=$A152)*(('Agences &amp; Après-vente'!$D$2:$D$1000="Après-vente")+('Agences &amp; Après-vente'!$D$2:$D$1000="Agences et Après-vente"))*'Agences &amp; Après-vente'!$E$2:$E$1000))&gt;0,TEXT(SUMPRODUCT(MAX(('Agences &amp; Après-vente'!$A$2:$A$1000=$A152)*(('Agences &amp; Après-vente'!$D$2:$D$1000="Après-vente")+('Agences &amp; Après-vente'!$D$2:$D$1000="Agences et Après-vente"))*'Agences &amp; Après-vente'!$E$2:$E$1000)),"yyyy-mm-dd"),"")))))</f>
        <v/>
      </c>
      <c r="J152" s="131" t="str">
        <f aca="false">IF($T152="✓","✓",IF(ISNUMBER($T152),TEXT($T152,"yyyy-mm-dd"),IF($A152="","",IF($D152="Lisbonne","",IF(SUMPRODUCT(('Agences &amp; Après-vente'!$A$2:$A$1000=$A152)*(('Agences &amp; Après-vente'!$D$2:$D$1000="Après-vente")+('Agences &amp; Après-vente'!$D$2:$D$1000="Agences et Après-vente"))*('Agences &amp; Après-vente'!$I$2:$I$1000="DONE"))&gt;0,"✓",IF(SUMPRODUCT(MAX(('Agences &amp; Après-vente'!$A$2:$A$1000=$A152)*(('Agences &amp; Après-vente'!$D$2:$D$1000="Après-vente")+('Agences &amp; Après-vente'!$D$2:$D$1000="Agences et Après-vente"))*'Agences &amp; Après-vente'!$E$2:$E$1000))&gt;0,TEXT(SUMPRODUCT(MAX(('Agences &amp; Après-vente'!$A$2:$A$1000=$A152)*(('Agences &amp; Après-vente'!$D$2:$D$1000="Après-vente")+('Agences &amp; Après-vente'!$D$2:$D$1000="Agences et Après-vente"))*'Agences &amp; Après-vente'!$E$2:$E$1000)),"yyyy-mm-dd"),""))))))</f>
        <v/>
      </c>
      <c r="K152" s="131" t="str">
        <f aca="false">IF($U152="✓","✓",IF(ISNUMBER($U152),TEXT($U152,"yyyy-mm-dd"),IF($D152="Lisbonne","",IF($A152="","",IF(SUMPRODUCT((Evermont!$A$2:$A$1000=$A152)*(Evermont!$Q$2:$Q$1000="Terminé"))&gt;0,"✓",IF(SUMPRODUCT(MAX((Evermont!$A$2:$A$1000=$A152)*Evermont!$F$2:$F$1000))&gt;0,TEXT(SUMPRODUCT(MAX((Evermont!$A$2:$A$1000=$A152)*Evermont!$F$2:$F$1000)),"yyyy-mm-dd"),""))))))</f>
        <v/>
      </c>
      <c r="L152" s="132" t="n">
        <f aca="false">IF($A152="","",COUNTIF(E152:K152,"✓"))</f>
        <v>1</v>
      </c>
      <c r="M152" s="133" t="s">
        <v>172</v>
      </c>
      <c r="O152" s="134"/>
      <c r="P152" s="134"/>
      <c r="Q152" s="134"/>
      <c r="R152" s="134"/>
      <c r="S152" s="134"/>
      <c r="T152" s="134"/>
      <c r="U152" s="134"/>
      <c r="W152" s="135" t="str">
        <f aca="false">IF($A152="","",IF($X152&lt;&gt;"",$X152,IFERROR(INDEX('Formation Initiale'!$B$2:$B$999,MATCH($A152,'Formation Initiale'!$A$2:$A$999,0)),"Général")))</f>
        <v>OS8</v>
      </c>
      <c r="X152" s="136"/>
    </row>
    <row r="153" customFormat="false" ht="15" hidden="true" customHeight="true" outlineLevel="0" collapsed="false">
      <c r="A153" s="139" t="s">
        <v>613</v>
      </c>
      <c r="B153" s="128" t="s">
        <v>447</v>
      </c>
      <c r="C153" s="128" t="s">
        <v>614</v>
      </c>
      <c r="D153" s="129" t="s">
        <v>186</v>
      </c>
      <c r="E153" s="130" t="str">
        <f aca="false">IF($O153="✓","✓",IF(ISNUMBER($O153),TEXT($O153,"yyyy-mm-dd"),IF($A153="","",IF(SUMPRODUCT(('Formation Initiale'!$A$2:$A$999=$A153)*('Formation Initiale'!$R$2:$R$999="Terminé"))&gt;0,"✓",IF(SUMPRODUCT(MAX(('Formation Initiale'!$A$2:$A$999=$A153)*'Formation Initiale'!$G$2:$G$999))&gt;0,TEXT(SUMPRODUCT(MAX(('Formation Initiale'!$A$2:$A$999=$A153)*'Formation Initiale'!$G$2:$G$999)),"yyyy-mm-dd"),"")))))</f>
        <v>✓</v>
      </c>
      <c r="F153" s="131" t="str">
        <f aca="false">IF($P153="✓","✓",IF(ISNUMBER($P153),TEXT($P153,"yyyy-mm-dd"),IF($A153="","",IF($D153="Lisbonne","",IF(SUMPRODUCT(('Formation Initiale'!$A$2:$A$999=$A153)*('Formation Initiale'!$R$2:$R$999="Terminé"))&gt;0,"✓",IF(SUMPRODUCT(MAX(('Formation Initiale'!$A$2:$A$999=$A153)*'Formation Initiale'!$G$2:$G$999))&gt;0,TEXT(SUMPRODUCT(MAX(('Formation Initiale'!$A$2:$A$999=$A153)*'Formation Initiale'!$G$2:$G$999)),"yyyy-mm-dd"),""))))))</f>
        <v/>
      </c>
      <c r="G153" s="131" t="str">
        <f aca="false">IF($Q153="✓","✓",IF(ISNUMBER($Q153),TEXT($Q153,"yyyy-mm-dd"),IF($A153="","",IF(SUMPRODUCT(('Agences &amp; Après-vente'!$A$2:$A$1000=$A153)*(('Agences &amp; Après-vente'!$D$2:$D$1000="Agences")+('Agences &amp; Après-vente'!$D$2:$D$1000="Agences et Après-vente"))*('Agences &amp; Après-vente'!$I$2:$I$1000="DONE"))&gt;0,"✓",IF(SUMPRODUCT(MAX(('Agences &amp; Après-vente'!$A$2:$A$1000=$A153)*(('Agences &amp; Après-vente'!$D$2:$D$1000="Agences")+('Agences &amp; Après-vente'!$D$2:$D$1000="Agences et Après-vente"))*'Agences &amp; Après-vente'!$E$2:$E$1000))&gt;0,TEXT(SUMPRODUCT(MAX(('Agences &amp; Après-vente'!$A$2:$A$1000=$A153)*(('Agences &amp; Après-vente'!$D$2:$D$1000="Agences")+('Agences &amp; Après-vente'!$D$2:$D$1000="Agences et Après-vente"))*'Agences &amp; Après-vente'!$E$2:$E$1000)),"yyyy-mm-dd"),"")))))</f>
        <v/>
      </c>
      <c r="H153" s="131" t="str">
        <f aca="false">IF($R153="✓","✓",IF(ISNUMBER($R153),TEXT($R153,"yyyy-mm-dd"),IF($A153="","",IF($D153="Lisbonne","",IF(SUMPRODUCT(('Agences &amp; Après-vente'!$A$2:$A$1000=$A153)*(('Agences &amp; Après-vente'!$D$2:$D$1000="Agences")+('Agences &amp; Après-vente'!$D$2:$D$1000="Agences et Après-vente"))*('Agences &amp; Après-vente'!$I$2:$I$1000="DONE"))&gt;0,"✓",IF(SUMPRODUCT(MAX(('Agences &amp; Après-vente'!$A$2:$A$1000=$A153)*(('Agences &amp; Après-vente'!$D$2:$D$1000="Agences")+('Agences &amp; Après-vente'!$D$2:$D$1000="Agences et Après-vente"))*'Agences &amp; Après-vente'!$E$2:$E$1000))&gt;0,TEXT(SUMPRODUCT(MAX(('Agences &amp; Après-vente'!$A$2:$A$1000=$A153)*(('Agences &amp; Après-vente'!$D$2:$D$1000="Agences")+('Agences &amp; Après-vente'!$D$2:$D$1000="Agences et Après-vente"))*'Agences &amp; Après-vente'!$E$2:$E$1000)),"yyyy-mm-dd"),""))))))</f>
        <v/>
      </c>
      <c r="I153" s="131" t="str">
        <f aca="false">IF($S153="✓","✓",IF(ISNUMBER($S153),TEXT($S153,"yyyy-mm-dd"),IF($A153="","",IF(SUMPRODUCT(('Agences &amp; Après-vente'!$A$2:$A$1000=$A153)*(('Agences &amp; Après-vente'!$D$2:$D$1000="Après-vente")+('Agences &amp; Après-vente'!$D$2:$D$1000="Agences et Après-vente"))*('Agences &amp; Après-vente'!$I$2:$I$1000="DONE"))&gt;0,"✓",IF(SUMPRODUCT(MAX(('Agences &amp; Après-vente'!$A$2:$A$1000=$A153)*(('Agences &amp; Après-vente'!$D$2:$D$1000="Après-vente")+('Agences &amp; Après-vente'!$D$2:$D$1000="Agences et Après-vente"))*'Agences &amp; Après-vente'!$E$2:$E$1000))&gt;0,TEXT(SUMPRODUCT(MAX(('Agences &amp; Après-vente'!$A$2:$A$1000=$A153)*(('Agences &amp; Après-vente'!$D$2:$D$1000="Après-vente")+('Agences &amp; Après-vente'!$D$2:$D$1000="Agences et Après-vente"))*'Agences &amp; Après-vente'!$E$2:$E$1000)),"yyyy-mm-dd"),"")))))</f>
        <v/>
      </c>
      <c r="J153" s="131" t="str">
        <f aca="false">IF($T153="✓","✓",IF(ISNUMBER($T153),TEXT($T153,"yyyy-mm-dd"),IF($A153="","",IF($D153="Lisbonne","",IF(SUMPRODUCT(('Agences &amp; Après-vente'!$A$2:$A$1000=$A153)*(('Agences &amp; Après-vente'!$D$2:$D$1000="Après-vente")+('Agences &amp; Après-vente'!$D$2:$D$1000="Agences et Après-vente"))*('Agences &amp; Après-vente'!$I$2:$I$1000="DONE"))&gt;0,"✓",IF(SUMPRODUCT(MAX(('Agences &amp; Après-vente'!$A$2:$A$1000=$A153)*(('Agences &amp; Après-vente'!$D$2:$D$1000="Après-vente")+('Agences &amp; Après-vente'!$D$2:$D$1000="Agences et Après-vente"))*'Agences &amp; Après-vente'!$E$2:$E$1000))&gt;0,TEXT(SUMPRODUCT(MAX(('Agences &amp; Après-vente'!$A$2:$A$1000=$A153)*(('Agences &amp; Après-vente'!$D$2:$D$1000="Après-vente")+('Agences &amp; Après-vente'!$D$2:$D$1000="Agences et Après-vente"))*'Agences &amp; Après-vente'!$E$2:$E$1000)),"yyyy-mm-dd"),""))))))</f>
        <v/>
      </c>
      <c r="K153" s="131" t="str">
        <f aca="false">IF($U153="✓","✓",IF(ISNUMBER($U153),TEXT($U153,"yyyy-mm-dd"),IF($D153="Lisbonne","",IF($A153="","",IF(SUMPRODUCT((Evermont!$A$2:$A$1000=$A153)*(Evermont!$Q$2:$Q$1000="Terminé"))&gt;0,"✓",IF(SUMPRODUCT(MAX((Evermont!$A$2:$A$1000=$A153)*Evermont!$F$2:$F$1000))&gt;0,TEXT(SUMPRODUCT(MAX((Evermont!$A$2:$A$1000=$A153)*Evermont!$F$2:$F$1000)),"yyyy-mm-dd"),""))))))</f>
        <v/>
      </c>
      <c r="L153" s="132" t="n">
        <f aca="false">IF($A153="","",COUNTIF(E153:K153,"✓"))</f>
        <v>1</v>
      </c>
      <c r="M153" s="133" t="s">
        <v>172</v>
      </c>
      <c r="O153" s="134"/>
      <c r="P153" s="134"/>
      <c r="Q153" s="134"/>
      <c r="R153" s="134"/>
      <c r="S153" s="134"/>
      <c r="T153" s="134"/>
      <c r="U153" s="134"/>
      <c r="W153" s="135" t="str">
        <f aca="false">IF($A153="","",IF($X153&lt;&gt;"",$X153,IFERROR(INDEX('Formation Initiale'!$B$2:$B$999,MATCH($A153,'Formation Initiale'!$A$2:$A$999,0)),"Général")))</f>
        <v>OS8</v>
      </c>
      <c r="X153" s="136"/>
    </row>
    <row r="154" customFormat="false" ht="15" hidden="true" customHeight="true" outlineLevel="0" collapsed="false">
      <c r="A154" s="140" t="s">
        <v>615</v>
      </c>
      <c r="B154" s="128" t="s">
        <v>194</v>
      </c>
      <c r="C154" s="128" t="s">
        <v>616</v>
      </c>
      <c r="D154" s="129" t="s">
        <v>186</v>
      </c>
      <c r="E154" s="130" t="str">
        <f aca="false">IF($O154="✓","✓",IF(ISNUMBER($O154),TEXT($O154,"yyyy-mm-dd"),IF($A154="","",IF(SUMPRODUCT(('Formation Initiale'!$A$2:$A$999=$A154)*('Formation Initiale'!$R$2:$R$999="Terminé"))&gt;0,"✓",IF(SUMPRODUCT(MAX(('Formation Initiale'!$A$2:$A$999=$A154)*'Formation Initiale'!$G$2:$G$999))&gt;0,TEXT(SUMPRODUCT(MAX(('Formation Initiale'!$A$2:$A$999=$A154)*'Formation Initiale'!$G$2:$G$999)),"yyyy-mm-dd"),"")))))</f>
        <v>✓</v>
      </c>
      <c r="F154" s="131" t="str">
        <f aca="false">IF($P154="✓","✓",IF(ISNUMBER($P154),TEXT($P154,"yyyy-mm-dd"),IF($A154="","",IF($D154="Lisbonne","",IF(SUMPRODUCT(('Formation Initiale'!$A$2:$A$999=$A154)*('Formation Initiale'!$R$2:$R$999="Terminé"))&gt;0,"✓",IF(SUMPRODUCT(MAX(('Formation Initiale'!$A$2:$A$999=$A154)*'Formation Initiale'!$G$2:$G$999))&gt;0,TEXT(SUMPRODUCT(MAX(('Formation Initiale'!$A$2:$A$999=$A154)*'Formation Initiale'!$G$2:$G$999)),"yyyy-mm-dd"),""))))))</f>
        <v/>
      </c>
      <c r="G154" s="131" t="str">
        <f aca="false">IF($Q154="✓","✓",IF(ISNUMBER($Q154),TEXT($Q154,"yyyy-mm-dd"),IF($A154="","",IF(SUMPRODUCT(('Agences &amp; Après-vente'!$A$2:$A$1000=$A154)*(('Agences &amp; Après-vente'!$D$2:$D$1000="Agences")+('Agences &amp; Après-vente'!$D$2:$D$1000="Agences et Après-vente"))*('Agences &amp; Après-vente'!$I$2:$I$1000="DONE"))&gt;0,"✓",IF(SUMPRODUCT(MAX(('Agences &amp; Après-vente'!$A$2:$A$1000=$A154)*(('Agences &amp; Après-vente'!$D$2:$D$1000="Agences")+('Agences &amp; Après-vente'!$D$2:$D$1000="Agences et Après-vente"))*'Agences &amp; Après-vente'!$E$2:$E$1000))&gt;0,TEXT(SUMPRODUCT(MAX(('Agences &amp; Après-vente'!$A$2:$A$1000=$A154)*(('Agences &amp; Après-vente'!$D$2:$D$1000="Agences")+('Agences &amp; Après-vente'!$D$2:$D$1000="Agences et Après-vente"))*'Agences &amp; Après-vente'!$E$2:$E$1000)),"yyyy-mm-dd"),"")))))</f>
        <v/>
      </c>
      <c r="H154" s="131" t="str">
        <f aca="false">IF($R154="✓","✓",IF(ISNUMBER($R154),TEXT($R154,"yyyy-mm-dd"),IF($A154="","",IF($D154="Lisbonne","",IF(SUMPRODUCT(('Agences &amp; Après-vente'!$A$2:$A$1000=$A154)*(('Agences &amp; Après-vente'!$D$2:$D$1000="Agences")+('Agences &amp; Après-vente'!$D$2:$D$1000="Agences et Après-vente"))*('Agences &amp; Après-vente'!$I$2:$I$1000="DONE"))&gt;0,"✓",IF(SUMPRODUCT(MAX(('Agences &amp; Après-vente'!$A$2:$A$1000=$A154)*(('Agences &amp; Après-vente'!$D$2:$D$1000="Agences")+('Agences &amp; Après-vente'!$D$2:$D$1000="Agences et Après-vente"))*'Agences &amp; Après-vente'!$E$2:$E$1000))&gt;0,TEXT(SUMPRODUCT(MAX(('Agences &amp; Après-vente'!$A$2:$A$1000=$A154)*(('Agences &amp; Après-vente'!$D$2:$D$1000="Agences")+('Agences &amp; Après-vente'!$D$2:$D$1000="Agences et Après-vente"))*'Agences &amp; Après-vente'!$E$2:$E$1000)),"yyyy-mm-dd"),""))))))</f>
        <v/>
      </c>
      <c r="I154" s="131" t="str">
        <f aca="false">IF($S154="✓","✓",IF(ISNUMBER($S154),TEXT($S154,"yyyy-mm-dd"),IF($A154="","",IF(SUMPRODUCT(('Agences &amp; Après-vente'!$A$2:$A$1000=$A154)*(('Agences &amp; Après-vente'!$D$2:$D$1000="Après-vente")+('Agences &amp; Après-vente'!$D$2:$D$1000="Agences et Après-vente"))*('Agences &amp; Après-vente'!$I$2:$I$1000="DONE"))&gt;0,"✓",IF(SUMPRODUCT(MAX(('Agences &amp; Après-vente'!$A$2:$A$1000=$A154)*(('Agences &amp; Après-vente'!$D$2:$D$1000="Après-vente")+('Agences &amp; Après-vente'!$D$2:$D$1000="Agences et Après-vente"))*'Agences &amp; Après-vente'!$E$2:$E$1000))&gt;0,TEXT(SUMPRODUCT(MAX(('Agences &amp; Après-vente'!$A$2:$A$1000=$A154)*(('Agences &amp; Après-vente'!$D$2:$D$1000="Après-vente")+('Agences &amp; Après-vente'!$D$2:$D$1000="Agences et Après-vente"))*'Agences &amp; Après-vente'!$E$2:$E$1000)),"yyyy-mm-dd"),"")))))</f>
        <v/>
      </c>
      <c r="J154" s="131" t="str">
        <f aca="false">IF($T154="✓","✓",IF(ISNUMBER($T154),TEXT($T154,"yyyy-mm-dd"),IF($A154="","",IF($D154="Lisbonne","",IF(SUMPRODUCT(('Agences &amp; Après-vente'!$A$2:$A$1000=$A154)*(('Agences &amp; Après-vente'!$D$2:$D$1000="Après-vente")+('Agences &amp; Après-vente'!$D$2:$D$1000="Agences et Après-vente"))*('Agences &amp; Après-vente'!$I$2:$I$1000="DONE"))&gt;0,"✓",IF(SUMPRODUCT(MAX(('Agences &amp; Après-vente'!$A$2:$A$1000=$A154)*(('Agences &amp; Après-vente'!$D$2:$D$1000="Après-vente")+('Agences &amp; Après-vente'!$D$2:$D$1000="Agences et Après-vente"))*'Agences &amp; Après-vente'!$E$2:$E$1000))&gt;0,TEXT(SUMPRODUCT(MAX(('Agences &amp; Après-vente'!$A$2:$A$1000=$A154)*(('Agences &amp; Après-vente'!$D$2:$D$1000="Après-vente")+('Agences &amp; Après-vente'!$D$2:$D$1000="Agences et Après-vente"))*'Agences &amp; Après-vente'!$E$2:$E$1000)),"yyyy-mm-dd"),""))))))</f>
        <v/>
      </c>
      <c r="K154" s="131" t="str">
        <f aca="false">IF($U154="✓","✓",IF(ISNUMBER($U154),TEXT($U154,"yyyy-mm-dd"),IF($D154="Lisbonne","",IF($A154="","",IF(SUMPRODUCT((Evermont!$A$2:$A$1000=$A154)*(Evermont!$Q$2:$Q$1000="Terminé"))&gt;0,"✓",IF(SUMPRODUCT(MAX((Evermont!$A$2:$A$1000=$A154)*Evermont!$F$2:$F$1000))&gt;0,TEXT(SUMPRODUCT(MAX((Evermont!$A$2:$A$1000=$A154)*Evermont!$F$2:$F$1000)),"yyyy-mm-dd"),""))))))</f>
        <v/>
      </c>
      <c r="L154" s="132" t="n">
        <f aca="false">IF($A154="","",COUNTIF(E154:K154,"✓"))</f>
        <v>1</v>
      </c>
      <c r="M154" s="133" t="s">
        <v>172</v>
      </c>
      <c r="O154" s="134"/>
      <c r="P154" s="134"/>
      <c r="Q154" s="134"/>
      <c r="R154" s="134"/>
      <c r="S154" s="134"/>
      <c r="T154" s="134"/>
      <c r="U154" s="134"/>
      <c r="W154" s="135" t="str">
        <f aca="false">IF($A154="","",IF($X154&lt;&gt;"",$X154,IFERROR(INDEX('Formation Initiale'!$B$2:$B$999,MATCH($A154,'Formation Initiale'!$A$2:$A$999,0)),"Général")))</f>
        <v>OS8</v>
      </c>
      <c r="X154" s="136"/>
    </row>
    <row r="155" customFormat="false" ht="15" hidden="true" customHeight="true" outlineLevel="0" collapsed="false">
      <c r="A155" s="127" t="s">
        <v>617</v>
      </c>
      <c r="B155" s="128" t="s">
        <v>618</v>
      </c>
      <c r="C155" s="128" t="s">
        <v>619</v>
      </c>
      <c r="D155" s="129" t="s">
        <v>171</v>
      </c>
      <c r="E155" s="130" t="str">
        <f aca="false">IF($O155="✓","✓",IF(ISNUMBER($O155),TEXT($O155,"yyyy-mm-dd"),IF($A155="","",IF(SUMPRODUCT(('Formation Initiale'!$A$2:$A$999=$A155)*('Formation Initiale'!$R$2:$R$999="Terminé"))&gt;0,"✓",IF(SUMPRODUCT(MAX(('Formation Initiale'!$A$2:$A$999=$A155)*'Formation Initiale'!$G$2:$G$999))&gt;0,TEXT(SUMPRODUCT(MAX(('Formation Initiale'!$A$2:$A$999=$A155)*'Formation Initiale'!$G$2:$G$999)),"yyyy-mm-dd"),"")))))</f>
        <v>✓</v>
      </c>
      <c r="F155" s="131" t="str">
        <f aca="false">IF($P155="✓","✓",IF(ISNUMBER($P155),TEXT($P155,"yyyy-mm-dd"),IF($A155="","",IF($D155="Lisbonne","",IF(SUMPRODUCT(('Formation Initiale'!$A$2:$A$999=$A155)*('Formation Initiale'!$R$2:$R$999="Terminé"))&gt;0,"✓",IF(SUMPRODUCT(MAX(('Formation Initiale'!$A$2:$A$999=$A155)*'Formation Initiale'!$G$2:$G$999))&gt;0,TEXT(SUMPRODUCT(MAX(('Formation Initiale'!$A$2:$A$999=$A155)*'Formation Initiale'!$G$2:$G$999)),"yyyy-mm-dd"),""))))))</f>
        <v>✓</v>
      </c>
      <c r="G155" s="131" t="str">
        <f aca="false">IF($Q155="✓","✓",IF(ISNUMBER($Q155),TEXT($Q155,"yyyy-mm-dd"),IF($A155="","",IF(SUMPRODUCT(('Agences &amp; Après-vente'!$A$2:$A$1000=$A155)*(('Agences &amp; Après-vente'!$D$2:$D$1000="Agences")+('Agences &amp; Après-vente'!$D$2:$D$1000="Agences et Après-vente"))*('Agences &amp; Après-vente'!$I$2:$I$1000="DONE"))&gt;0,"✓",IF(SUMPRODUCT(MAX(('Agences &amp; Après-vente'!$A$2:$A$1000=$A155)*(('Agences &amp; Après-vente'!$D$2:$D$1000="Agences")+('Agences &amp; Après-vente'!$D$2:$D$1000="Agences et Après-vente"))*'Agences &amp; Après-vente'!$E$2:$E$1000))&gt;0,TEXT(SUMPRODUCT(MAX(('Agences &amp; Après-vente'!$A$2:$A$1000=$A155)*(('Agences &amp; Après-vente'!$D$2:$D$1000="Agences")+('Agences &amp; Après-vente'!$D$2:$D$1000="Agences et Après-vente"))*'Agences &amp; Après-vente'!$E$2:$E$1000)),"yyyy-mm-dd"),"")))))</f>
        <v/>
      </c>
      <c r="H155" s="131" t="str">
        <f aca="false">IF($R155="✓","✓",IF(ISNUMBER($R155),TEXT($R155,"yyyy-mm-dd"),IF($A155="","",IF($D155="Lisbonne","",IF(SUMPRODUCT(('Agences &amp; Après-vente'!$A$2:$A$1000=$A155)*(('Agences &amp; Après-vente'!$D$2:$D$1000="Agences")+('Agences &amp; Après-vente'!$D$2:$D$1000="Agences et Après-vente"))*('Agences &amp; Après-vente'!$I$2:$I$1000="DONE"))&gt;0,"✓",IF(SUMPRODUCT(MAX(('Agences &amp; Après-vente'!$A$2:$A$1000=$A155)*(('Agences &amp; Après-vente'!$D$2:$D$1000="Agences")+('Agences &amp; Après-vente'!$D$2:$D$1000="Agences et Après-vente"))*'Agences &amp; Après-vente'!$E$2:$E$1000))&gt;0,TEXT(SUMPRODUCT(MAX(('Agences &amp; Après-vente'!$A$2:$A$1000=$A155)*(('Agences &amp; Après-vente'!$D$2:$D$1000="Agences")+('Agences &amp; Après-vente'!$D$2:$D$1000="Agences et Après-vente"))*'Agences &amp; Après-vente'!$E$2:$E$1000)),"yyyy-mm-dd"),""))))))</f>
        <v/>
      </c>
      <c r="I155" s="131" t="str">
        <f aca="false">IF($S155="✓","✓",IF(ISNUMBER($S155),TEXT($S155,"yyyy-mm-dd"),IF($A155="","",IF(SUMPRODUCT(('Agences &amp; Après-vente'!$A$2:$A$1000=$A155)*(('Agences &amp; Après-vente'!$D$2:$D$1000="Après-vente")+('Agences &amp; Après-vente'!$D$2:$D$1000="Agences et Après-vente"))*('Agences &amp; Après-vente'!$I$2:$I$1000="DONE"))&gt;0,"✓",IF(SUMPRODUCT(MAX(('Agences &amp; Après-vente'!$A$2:$A$1000=$A155)*(('Agences &amp; Après-vente'!$D$2:$D$1000="Après-vente")+('Agences &amp; Après-vente'!$D$2:$D$1000="Agences et Après-vente"))*'Agences &amp; Après-vente'!$E$2:$E$1000))&gt;0,TEXT(SUMPRODUCT(MAX(('Agences &amp; Après-vente'!$A$2:$A$1000=$A155)*(('Agences &amp; Après-vente'!$D$2:$D$1000="Après-vente")+('Agences &amp; Après-vente'!$D$2:$D$1000="Agences et Après-vente"))*'Agences &amp; Après-vente'!$E$2:$E$1000)),"yyyy-mm-dd"),"")))))</f>
        <v/>
      </c>
      <c r="J155" s="131" t="str">
        <f aca="false">IF($T155="✓","✓",IF(ISNUMBER($T155),TEXT($T155,"yyyy-mm-dd"),IF($A155="","",IF($D155="Lisbonne","",IF(SUMPRODUCT(('Agences &amp; Après-vente'!$A$2:$A$1000=$A155)*(('Agences &amp; Après-vente'!$D$2:$D$1000="Après-vente")+('Agences &amp; Après-vente'!$D$2:$D$1000="Agences et Après-vente"))*('Agences &amp; Après-vente'!$I$2:$I$1000="DONE"))&gt;0,"✓",IF(SUMPRODUCT(MAX(('Agences &amp; Après-vente'!$A$2:$A$1000=$A155)*(('Agences &amp; Après-vente'!$D$2:$D$1000="Après-vente")+('Agences &amp; Après-vente'!$D$2:$D$1000="Agences et Après-vente"))*'Agences &amp; Après-vente'!$E$2:$E$1000))&gt;0,TEXT(SUMPRODUCT(MAX(('Agences &amp; Après-vente'!$A$2:$A$1000=$A155)*(('Agences &amp; Après-vente'!$D$2:$D$1000="Après-vente")+('Agences &amp; Après-vente'!$D$2:$D$1000="Agences et Après-vente"))*'Agences &amp; Après-vente'!$E$2:$E$1000)),"yyyy-mm-dd"),""))))))</f>
        <v/>
      </c>
      <c r="K155" s="131" t="str">
        <f aca="false">IF($U155="✓","✓",IF(ISNUMBER($U155),TEXT($U155,"yyyy-mm-dd"),IF($D155="Lisbonne","",IF($A155="","",IF(SUMPRODUCT((Evermont!$A$2:$A$1000=$A155)*(Evermont!$Q$2:$Q$1000="Terminé"))&gt;0,"✓",IF(SUMPRODUCT(MAX((Evermont!$A$2:$A$1000=$A155)*Evermont!$F$2:$F$1000))&gt;0,TEXT(SUMPRODUCT(MAX((Evermont!$A$2:$A$1000=$A155)*Evermont!$F$2:$F$1000)),"yyyy-mm-dd"),""))))))</f>
        <v/>
      </c>
      <c r="L155" s="132" t="n">
        <f aca="false">IF($A155="","",COUNTIF(E155:K155,"✓"))</f>
        <v>2</v>
      </c>
      <c r="M155" s="133" t="s">
        <v>172</v>
      </c>
      <c r="O155" s="134"/>
      <c r="P155" s="134"/>
      <c r="Q155" s="134"/>
      <c r="R155" s="134"/>
      <c r="S155" s="134"/>
      <c r="T155" s="134"/>
      <c r="U155" s="134"/>
      <c r="W155" s="135" t="n">
        <f aca="false">IF($A155="","",IF($X155&lt;&gt;"",$X155,IFERROR(INDEX('Formation Initiale'!$B$2:$B$999,MATCH($A155,'Formation Initiale'!$A$2:$A$999,0)),"Général")))</f>
        <v>177</v>
      </c>
      <c r="X155" s="136"/>
    </row>
    <row r="156" customFormat="false" ht="15" hidden="true" customHeight="true" outlineLevel="0" collapsed="false">
      <c r="A156" s="127" t="s">
        <v>620</v>
      </c>
      <c r="B156" s="128" t="s">
        <v>621</v>
      </c>
      <c r="C156" s="128" t="s">
        <v>622</v>
      </c>
      <c r="D156" s="129" t="s">
        <v>171</v>
      </c>
      <c r="E156" s="130" t="str">
        <f aca="false">IF($O156="✓","✓",IF(ISNUMBER($O156),TEXT($O156,"yyyy-mm-dd"),IF($A156="","",IF(SUMPRODUCT(('Formation Initiale'!$A$2:$A$999=$A156)*('Formation Initiale'!$R$2:$R$999="Terminé"))&gt;0,"✓",IF(SUMPRODUCT(MAX(('Formation Initiale'!$A$2:$A$999=$A156)*'Formation Initiale'!$G$2:$G$999))&gt;0,TEXT(SUMPRODUCT(MAX(('Formation Initiale'!$A$2:$A$999=$A156)*'Formation Initiale'!$G$2:$G$999)),"yyyy-mm-dd"),"")))))</f>
        <v>✓</v>
      </c>
      <c r="F156" s="131" t="str">
        <f aca="false">IF($P156="✓","✓",IF(ISNUMBER($P156),TEXT($P156,"yyyy-mm-dd"),IF($A156="","",IF($D156="Lisbonne","",IF(SUMPRODUCT(('Formation Initiale'!$A$2:$A$999=$A156)*('Formation Initiale'!$R$2:$R$999="Terminé"))&gt;0,"✓",IF(SUMPRODUCT(MAX(('Formation Initiale'!$A$2:$A$999=$A156)*'Formation Initiale'!$G$2:$G$999))&gt;0,TEXT(SUMPRODUCT(MAX(('Formation Initiale'!$A$2:$A$999=$A156)*'Formation Initiale'!$G$2:$G$999)),"yyyy-mm-dd"),""))))))</f>
        <v>✓</v>
      </c>
      <c r="G156" s="131" t="str">
        <f aca="false">IF($Q156="✓","✓",IF(ISNUMBER($Q156),TEXT($Q156,"yyyy-mm-dd"),IF($A156="","",IF(SUMPRODUCT(('Agences &amp; Après-vente'!$A$2:$A$1000=$A156)*(('Agences &amp; Après-vente'!$D$2:$D$1000="Agences")+('Agences &amp; Après-vente'!$D$2:$D$1000="Agences et Après-vente"))*('Agences &amp; Après-vente'!$I$2:$I$1000="DONE"))&gt;0,"✓",IF(SUMPRODUCT(MAX(('Agences &amp; Après-vente'!$A$2:$A$1000=$A156)*(('Agences &amp; Après-vente'!$D$2:$D$1000="Agences")+('Agences &amp; Après-vente'!$D$2:$D$1000="Agences et Après-vente"))*'Agences &amp; Après-vente'!$E$2:$E$1000))&gt;0,TEXT(SUMPRODUCT(MAX(('Agences &amp; Après-vente'!$A$2:$A$1000=$A156)*(('Agences &amp; Après-vente'!$D$2:$D$1000="Agences")+('Agences &amp; Après-vente'!$D$2:$D$1000="Agences et Après-vente"))*'Agences &amp; Après-vente'!$E$2:$E$1000)),"yyyy-mm-dd"),"")))))</f>
        <v/>
      </c>
      <c r="H156" s="131" t="str">
        <f aca="false">IF($R156="✓","✓",IF(ISNUMBER($R156),TEXT($R156,"yyyy-mm-dd"),IF($A156="","",IF($D156="Lisbonne","",IF(SUMPRODUCT(('Agences &amp; Après-vente'!$A$2:$A$1000=$A156)*(('Agences &amp; Après-vente'!$D$2:$D$1000="Agences")+('Agences &amp; Après-vente'!$D$2:$D$1000="Agences et Après-vente"))*('Agences &amp; Après-vente'!$I$2:$I$1000="DONE"))&gt;0,"✓",IF(SUMPRODUCT(MAX(('Agences &amp; Après-vente'!$A$2:$A$1000=$A156)*(('Agences &amp; Après-vente'!$D$2:$D$1000="Agences")+('Agences &amp; Après-vente'!$D$2:$D$1000="Agences et Après-vente"))*'Agences &amp; Après-vente'!$E$2:$E$1000))&gt;0,TEXT(SUMPRODUCT(MAX(('Agences &amp; Après-vente'!$A$2:$A$1000=$A156)*(('Agences &amp; Après-vente'!$D$2:$D$1000="Agences")+('Agences &amp; Après-vente'!$D$2:$D$1000="Agences et Après-vente"))*'Agences &amp; Après-vente'!$E$2:$E$1000)),"yyyy-mm-dd"),""))))))</f>
        <v/>
      </c>
      <c r="I156" s="131" t="str">
        <f aca="false">IF($S156="✓","✓",IF(ISNUMBER($S156),TEXT($S156,"yyyy-mm-dd"),IF($A156="","",IF(SUMPRODUCT(('Agences &amp; Après-vente'!$A$2:$A$1000=$A156)*(('Agences &amp; Après-vente'!$D$2:$D$1000="Après-vente")+('Agences &amp; Après-vente'!$D$2:$D$1000="Agences et Après-vente"))*('Agences &amp; Après-vente'!$I$2:$I$1000="DONE"))&gt;0,"✓",IF(SUMPRODUCT(MAX(('Agences &amp; Après-vente'!$A$2:$A$1000=$A156)*(('Agences &amp; Après-vente'!$D$2:$D$1000="Après-vente")+('Agences &amp; Après-vente'!$D$2:$D$1000="Agences et Après-vente"))*'Agences &amp; Après-vente'!$E$2:$E$1000))&gt;0,TEXT(SUMPRODUCT(MAX(('Agences &amp; Après-vente'!$A$2:$A$1000=$A156)*(('Agences &amp; Après-vente'!$D$2:$D$1000="Après-vente")+('Agences &amp; Après-vente'!$D$2:$D$1000="Agences et Après-vente"))*'Agences &amp; Après-vente'!$E$2:$E$1000)),"yyyy-mm-dd"),"")))))</f>
        <v/>
      </c>
      <c r="J156" s="131" t="str">
        <f aca="false">IF($T156="✓","✓",IF(ISNUMBER($T156),TEXT($T156,"yyyy-mm-dd"),IF($A156="","",IF($D156="Lisbonne","",IF(SUMPRODUCT(('Agences &amp; Après-vente'!$A$2:$A$1000=$A156)*(('Agences &amp; Après-vente'!$D$2:$D$1000="Après-vente")+('Agences &amp; Après-vente'!$D$2:$D$1000="Agences et Après-vente"))*('Agences &amp; Après-vente'!$I$2:$I$1000="DONE"))&gt;0,"✓",IF(SUMPRODUCT(MAX(('Agences &amp; Après-vente'!$A$2:$A$1000=$A156)*(('Agences &amp; Après-vente'!$D$2:$D$1000="Après-vente")+('Agences &amp; Après-vente'!$D$2:$D$1000="Agences et Après-vente"))*'Agences &amp; Après-vente'!$E$2:$E$1000))&gt;0,TEXT(SUMPRODUCT(MAX(('Agences &amp; Après-vente'!$A$2:$A$1000=$A156)*(('Agences &amp; Après-vente'!$D$2:$D$1000="Après-vente")+('Agences &amp; Après-vente'!$D$2:$D$1000="Agences et Après-vente"))*'Agences &amp; Après-vente'!$E$2:$E$1000)),"yyyy-mm-dd"),""))))))</f>
        <v/>
      </c>
      <c r="K156" s="131" t="str">
        <f aca="false">IF($U156="✓","✓",IF(ISNUMBER($U156),TEXT($U156,"yyyy-mm-dd"),IF($D156="Lisbonne","",IF($A156="","",IF(SUMPRODUCT((Evermont!$A$2:$A$1000=$A156)*(Evermont!$Q$2:$Q$1000="Terminé"))&gt;0,"✓",IF(SUMPRODUCT(MAX((Evermont!$A$2:$A$1000=$A156)*Evermont!$F$2:$F$1000))&gt;0,TEXT(SUMPRODUCT(MAX((Evermont!$A$2:$A$1000=$A156)*Evermont!$F$2:$F$1000)),"yyyy-mm-dd"),""))))))</f>
        <v/>
      </c>
      <c r="L156" s="132" t="n">
        <f aca="false">IF($A156="","",COUNTIF(E156:K156,"✓"))</f>
        <v>2</v>
      </c>
      <c r="M156" s="133" t="s">
        <v>172</v>
      </c>
      <c r="O156" s="134"/>
      <c r="P156" s="134"/>
      <c r="Q156" s="134"/>
      <c r="R156" s="134"/>
      <c r="S156" s="134"/>
      <c r="T156" s="134"/>
      <c r="U156" s="134"/>
      <c r="W156" s="135" t="n">
        <f aca="false">IF($A156="","",IF($X156&lt;&gt;"",$X156,IFERROR(INDEX('Formation Initiale'!$B$2:$B$999,MATCH($A156,'Formation Initiale'!$A$2:$A$999,0)),"Général")))</f>
        <v>177</v>
      </c>
      <c r="X156" s="136"/>
    </row>
    <row r="157" customFormat="false" ht="15" hidden="true" customHeight="true" outlineLevel="0" collapsed="false">
      <c r="A157" s="127" t="s">
        <v>623</v>
      </c>
      <c r="B157" s="128" t="s">
        <v>204</v>
      </c>
      <c r="C157" s="128" t="s">
        <v>624</v>
      </c>
      <c r="D157" s="129" t="s">
        <v>171</v>
      </c>
      <c r="E157" s="130" t="str">
        <f aca="false">IF($O157="✓","✓",IF(ISNUMBER($O157),TEXT($O157,"yyyy-mm-dd"),IF($A157="","",IF(SUMPRODUCT(('Formation Initiale'!$A$2:$A$999=$A157)*('Formation Initiale'!$R$2:$R$999="Terminé"))&gt;0,"✓",IF(SUMPRODUCT(MAX(('Formation Initiale'!$A$2:$A$999=$A157)*'Formation Initiale'!$G$2:$G$999))&gt;0,TEXT(SUMPRODUCT(MAX(('Formation Initiale'!$A$2:$A$999=$A157)*'Formation Initiale'!$G$2:$G$999)),"yyyy-mm-dd"),"")))))</f>
        <v>✓</v>
      </c>
      <c r="F157" s="131" t="str">
        <f aca="false">IF($P157="✓","✓",IF(ISNUMBER($P157),TEXT($P157,"yyyy-mm-dd"),IF($A157="","",IF($D157="Lisbonne","",IF(SUMPRODUCT(('Formation Initiale'!$A$2:$A$999=$A157)*('Formation Initiale'!$R$2:$R$999="Terminé"))&gt;0,"✓",IF(SUMPRODUCT(MAX(('Formation Initiale'!$A$2:$A$999=$A157)*'Formation Initiale'!$G$2:$G$999))&gt;0,TEXT(SUMPRODUCT(MAX(('Formation Initiale'!$A$2:$A$999=$A157)*'Formation Initiale'!$G$2:$G$999)),"yyyy-mm-dd"),""))))))</f>
        <v>✓</v>
      </c>
      <c r="G157" s="131" t="str">
        <f aca="false">IF($Q157="✓","✓",IF(ISNUMBER($Q157),TEXT($Q157,"yyyy-mm-dd"),IF($A157="","",IF(SUMPRODUCT(('Agences &amp; Après-vente'!$A$2:$A$1000=$A157)*(('Agences &amp; Après-vente'!$D$2:$D$1000="Agences")+('Agences &amp; Après-vente'!$D$2:$D$1000="Agences et Après-vente"))*('Agences &amp; Après-vente'!$I$2:$I$1000="DONE"))&gt;0,"✓",IF(SUMPRODUCT(MAX(('Agences &amp; Après-vente'!$A$2:$A$1000=$A157)*(('Agences &amp; Après-vente'!$D$2:$D$1000="Agences")+('Agences &amp; Après-vente'!$D$2:$D$1000="Agences et Après-vente"))*'Agences &amp; Après-vente'!$E$2:$E$1000))&gt;0,TEXT(SUMPRODUCT(MAX(('Agences &amp; Après-vente'!$A$2:$A$1000=$A157)*(('Agences &amp; Après-vente'!$D$2:$D$1000="Agences")+('Agences &amp; Après-vente'!$D$2:$D$1000="Agences et Après-vente"))*'Agences &amp; Après-vente'!$E$2:$E$1000)),"yyyy-mm-dd"),"")))))</f>
        <v/>
      </c>
      <c r="H157" s="131" t="str">
        <f aca="false">IF($R157="✓","✓",IF(ISNUMBER($R157),TEXT($R157,"yyyy-mm-dd"),IF($A157="","",IF($D157="Lisbonne","",IF(SUMPRODUCT(('Agences &amp; Après-vente'!$A$2:$A$1000=$A157)*(('Agences &amp; Après-vente'!$D$2:$D$1000="Agences")+('Agences &amp; Après-vente'!$D$2:$D$1000="Agences et Après-vente"))*('Agences &amp; Après-vente'!$I$2:$I$1000="DONE"))&gt;0,"✓",IF(SUMPRODUCT(MAX(('Agences &amp; Après-vente'!$A$2:$A$1000=$A157)*(('Agences &amp; Après-vente'!$D$2:$D$1000="Agences")+('Agences &amp; Après-vente'!$D$2:$D$1000="Agences et Après-vente"))*'Agences &amp; Après-vente'!$E$2:$E$1000))&gt;0,TEXT(SUMPRODUCT(MAX(('Agences &amp; Après-vente'!$A$2:$A$1000=$A157)*(('Agences &amp; Après-vente'!$D$2:$D$1000="Agences")+('Agences &amp; Après-vente'!$D$2:$D$1000="Agences et Après-vente"))*'Agences &amp; Après-vente'!$E$2:$E$1000)),"yyyy-mm-dd"),""))))))</f>
        <v/>
      </c>
      <c r="I157" s="131" t="str">
        <f aca="false">IF($S157="✓","✓",IF(ISNUMBER($S157),TEXT($S157,"yyyy-mm-dd"),IF($A157="","",IF(SUMPRODUCT(('Agences &amp; Après-vente'!$A$2:$A$1000=$A157)*(('Agences &amp; Après-vente'!$D$2:$D$1000="Après-vente")+('Agences &amp; Après-vente'!$D$2:$D$1000="Agences et Après-vente"))*('Agences &amp; Après-vente'!$I$2:$I$1000="DONE"))&gt;0,"✓",IF(SUMPRODUCT(MAX(('Agences &amp; Après-vente'!$A$2:$A$1000=$A157)*(('Agences &amp; Après-vente'!$D$2:$D$1000="Après-vente")+('Agences &amp; Après-vente'!$D$2:$D$1000="Agences et Après-vente"))*'Agences &amp; Après-vente'!$E$2:$E$1000))&gt;0,TEXT(SUMPRODUCT(MAX(('Agences &amp; Après-vente'!$A$2:$A$1000=$A157)*(('Agences &amp; Après-vente'!$D$2:$D$1000="Après-vente")+('Agences &amp; Après-vente'!$D$2:$D$1000="Agences et Après-vente"))*'Agences &amp; Après-vente'!$E$2:$E$1000)),"yyyy-mm-dd"),"")))))</f>
        <v/>
      </c>
      <c r="J157" s="131" t="str">
        <f aca="false">IF($T157="✓","✓",IF(ISNUMBER($T157),TEXT($T157,"yyyy-mm-dd"),IF($A157="","",IF($D157="Lisbonne","",IF(SUMPRODUCT(('Agences &amp; Après-vente'!$A$2:$A$1000=$A157)*(('Agences &amp; Après-vente'!$D$2:$D$1000="Après-vente")+('Agences &amp; Après-vente'!$D$2:$D$1000="Agences et Après-vente"))*('Agences &amp; Après-vente'!$I$2:$I$1000="DONE"))&gt;0,"✓",IF(SUMPRODUCT(MAX(('Agences &amp; Après-vente'!$A$2:$A$1000=$A157)*(('Agences &amp; Après-vente'!$D$2:$D$1000="Après-vente")+('Agences &amp; Après-vente'!$D$2:$D$1000="Agences et Après-vente"))*'Agences &amp; Après-vente'!$E$2:$E$1000))&gt;0,TEXT(SUMPRODUCT(MAX(('Agences &amp; Après-vente'!$A$2:$A$1000=$A157)*(('Agences &amp; Après-vente'!$D$2:$D$1000="Après-vente")+('Agences &amp; Après-vente'!$D$2:$D$1000="Agences et Après-vente"))*'Agences &amp; Après-vente'!$E$2:$E$1000)),"yyyy-mm-dd"),""))))))</f>
        <v/>
      </c>
      <c r="K157" s="131" t="str">
        <f aca="false">IF($U157="✓","✓",IF(ISNUMBER($U157),TEXT($U157,"yyyy-mm-dd"),IF($D157="Lisbonne","",IF($A157="","",IF(SUMPRODUCT((Evermont!$A$2:$A$1000=$A157)*(Evermont!$Q$2:$Q$1000="Terminé"))&gt;0,"✓",IF(SUMPRODUCT(MAX((Evermont!$A$2:$A$1000=$A157)*Evermont!$F$2:$F$1000))&gt;0,TEXT(SUMPRODUCT(MAX((Evermont!$A$2:$A$1000=$A157)*Evermont!$F$2:$F$1000)),"yyyy-mm-dd"),""))))))</f>
        <v/>
      </c>
      <c r="L157" s="132" t="n">
        <f aca="false">IF($A157="","",COUNTIF(E157:K157,"✓"))</f>
        <v>2</v>
      </c>
      <c r="M157" s="133" t="s">
        <v>172</v>
      </c>
      <c r="O157" s="134"/>
      <c r="P157" s="134"/>
      <c r="Q157" s="134"/>
      <c r="R157" s="134"/>
      <c r="S157" s="134"/>
      <c r="T157" s="134"/>
      <c r="U157" s="134"/>
      <c r="W157" s="135" t="n">
        <f aca="false">IF($A157="","",IF($X157&lt;&gt;"",$X157,IFERROR(INDEX('Formation Initiale'!$B$2:$B$999,MATCH($A157,'Formation Initiale'!$A$2:$A$999,0)),"Général")))</f>
        <v>177</v>
      </c>
      <c r="X157" s="136"/>
    </row>
    <row r="158" customFormat="false" ht="15" hidden="true" customHeight="true" outlineLevel="0" collapsed="false">
      <c r="A158" s="127" t="s">
        <v>625</v>
      </c>
      <c r="B158" s="128" t="s">
        <v>626</v>
      </c>
      <c r="C158" s="128" t="s">
        <v>627</v>
      </c>
      <c r="D158" s="129" t="s">
        <v>171</v>
      </c>
      <c r="E158" s="130" t="str">
        <f aca="false">IF($O158="✓","✓",IF(ISNUMBER($O158),TEXT($O158,"yyyy-mm-dd"),IF($A158="","",IF(SUMPRODUCT(('Formation Initiale'!$A$2:$A$999=$A158)*('Formation Initiale'!$R$2:$R$999="Terminé"))&gt;0,"✓",IF(SUMPRODUCT(MAX(('Formation Initiale'!$A$2:$A$999=$A158)*'Formation Initiale'!$G$2:$G$999))&gt;0,TEXT(SUMPRODUCT(MAX(('Formation Initiale'!$A$2:$A$999=$A158)*'Formation Initiale'!$G$2:$G$999)),"yyyy-mm-dd"),"")))))</f>
        <v>✓</v>
      </c>
      <c r="F158" s="131" t="str">
        <f aca="false">IF($P158="✓","✓",IF(ISNUMBER($P158),TEXT($P158,"yyyy-mm-dd"),IF($A158="","",IF($D158="Lisbonne","",IF(SUMPRODUCT(('Formation Initiale'!$A$2:$A$999=$A158)*('Formation Initiale'!$R$2:$R$999="Terminé"))&gt;0,"✓",IF(SUMPRODUCT(MAX(('Formation Initiale'!$A$2:$A$999=$A158)*'Formation Initiale'!$G$2:$G$999))&gt;0,TEXT(SUMPRODUCT(MAX(('Formation Initiale'!$A$2:$A$999=$A158)*'Formation Initiale'!$G$2:$G$999)),"yyyy-mm-dd"),""))))))</f>
        <v>✓</v>
      </c>
      <c r="G158" s="131" t="str">
        <f aca="false">IF($Q158="✓","✓",IF(ISNUMBER($Q158),TEXT($Q158,"yyyy-mm-dd"),IF($A158="","",IF(SUMPRODUCT(('Agences &amp; Après-vente'!$A$2:$A$1000=$A158)*(('Agences &amp; Après-vente'!$D$2:$D$1000="Agences")+('Agences &amp; Après-vente'!$D$2:$D$1000="Agences et Après-vente"))*('Agences &amp; Après-vente'!$I$2:$I$1000="DONE"))&gt;0,"✓",IF(SUMPRODUCT(MAX(('Agences &amp; Après-vente'!$A$2:$A$1000=$A158)*(('Agences &amp; Après-vente'!$D$2:$D$1000="Agences")+('Agences &amp; Après-vente'!$D$2:$D$1000="Agences et Après-vente"))*'Agences &amp; Après-vente'!$E$2:$E$1000))&gt;0,TEXT(SUMPRODUCT(MAX(('Agences &amp; Après-vente'!$A$2:$A$1000=$A158)*(('Agences &amp; Après-vente'!$D$2:$D$1000="Agences")+('Agences &amp; Après-vente'!$D$2:$D$1000="Agences et Après-vente"))*'Agences &amp; Après-vente'!$E$2:$E$1000)),"yyyy-mm-dd"),"")))))</f>
        <v/>
      </c>
      <c r="H158" s="131" t="str">
        <f aca="false">IF($R158="✓","✓",IF(ISNUMBER($R158),TEXT($R158,"yyyy-mm-dd"),IF($A158="","",IF($D158="Lisbonne","",IF(SUMPRODUCT(('Agences &amp; Après-vente'!$A$2:$A$1000=$A158)*(('Agences &amp; Après-vente'!$D$2:$D$1000="Agences")+('Agences &amp; Après-vente'!$D$2:$D$1000="Agences et Après-vente"))*('Agences &amp; Après-vente'!$I$2:$I$1000="DONE"))&gt;0,"✓",IF(SUMPRODUCT(MAX(('Agences &amp; Après-vente'!$A$2:$A$1000=$A158)*(('Agences &amp; Après-vente'!$D$2:$D$1000="Agences")+('Agences &amp; Après-vente'!$D$2:$D$1000="Agences et Après-vente"))*'Agences &amp; Après-vente'!$E$2:$E$1000))&gt;0,TEXT(SUMPRODUCT(MAX(('Agences &amp; Après-vente'!$A$2:$A$1000=$A158)*(('Agences &amp; Après-vente'!$D$2:$D$1000="Agences")+('Agences &amp; Après-vente'!$D$2:$D$1000="Agences et Après-vente"))*'Agences &amp; Après-vente'!$E$2:$E$1000)),"yyyy-mm-dd"),""))))))</f>
        <v/>
      </c>
      <c r="I158" s="131" t="str">
        <f aca="false">IF($S158="✓","✓",IF(ISNUMBER($S158),TEXT($S158,"yyyy-mm-dd"),IF($A158="","",IF(SUMPRODUCT(('Agences &amp; Après-vente'!$A$2:$A$1000=$A158)*(('Agences &amp; Après-vente'!$D$2:$D$1000="Après-vente")+('Agences &amp; Après-vente'!$D$2:$D$1000="Agences et Après-vente"))*('Agences &amp; Après-vente'!$I$2:$I$1000="DONE"))&gt;0,"✓",IF(SUMPRODUCT(MAX(('Agences &amp; Après-vente'!$A$2:$A$1000=$A158)*(('Agences &amp; Après-vente'!$D$2:$D$1000="Après-vente")+('Agences &amp; Après-vente'!$D$2:$D$1000="Agences et Après-vente"))*'Agences &amp; Après-vente'!$E$2:$E$1000))&gt;0,TEXT(SUMPRODUCT(MAX(('Agences &amp; Après-vente'!$A$2:$A$1000=$A158)*(('Agences &amp; Après-vente'!$D$2:$D$1000="Après-vente")+('Agences &amp; Après-vente'!$D$2:$D$1000="Agences et Après-vente"))*'Agences &amp; Après-vente'!$E$2:$E$1000)),"yyyy-mm-dd"),"")))))</f>
        <v/>
      </c>
      <c r="J158" s="131" t="str">
        <f aca="false">IF($T158="✓","✓",IF(ISNUMBER($T158),TEXT($T158,"yyyy-mm-dd"),IF($A158="","",IF($D158="Lisbonne","",IF(SUMPRODUCT(('Agences &amp; Après-vente'!$A$2:$A$1000=$A158)*(('Agences &amp; Après-vente'!$D$2:$D$1000="Après-vente")+('Agences &amp; Après-vente'!$D$2:$D$1000="Agences et Après-vente"))*('Agences &amp; Après-vente'!$I$2:$I$1000="DONE"))&gt;0,"✓",IF(SUMPRODUCT(MAX(('Agences &amp; Après-vente'!$A$2:$A$1000=$A158)*(('Agences &amp; Après-vente'!$D$2:$D$1000="Après-vente")+('Agences &amp; Après-vente'!$D$2:$D$1000="Agences et Après-vente"))*'Agences &amp; Après-vente'!$E$2:$E$1000))&gt;0,TEXT(SUMPRODUCT(MAX(('Agences &amp; Après-vente'!$A$2:$A$1000=$A158)*(('Agences &amp; Après-vente'!$D$2:$D$1000="Après-vente")+('Agences &amp; Après-vente'!$D$2:$D$1000="Agences et Après-vente"))*'Agences &amp; Après-vente'!$E$2:$E$1000)),"yyyy-mm-dd"),""))))))</f>
        <v/>
      </c>
      <c r="K158" s="131" t="str">
        <f aca="false">IF($U158="✓","✓",IF(ISNUMBER($U158),TEXT($U158,"yyyy-mm-dd"),IF($D158="Lisbonne","",IF($A158="","",IF(SUMPRODUCT((Evermont!$A$2:$A$1000=$A158)*(Evermont!$Q$2:$Q$1000="Terminé"))&gt;0,"✓",IF(SUMPRODUCT(MAX((Evermont!$A$2:$A$1000=$A158)*Evermont!$F$2:$F$1000))&gt;0,TEXT(SUMPRODUCT(MAX((Evermont!$A$2:$A$1000=$A158)*Evermont!$F$2:$F$1000)),"yyyy-mm-dd"),""))))))</f>
        <v/>
      </c>
      <c r="L158" s="132" t="n">
        <f aca="false">IF($A158="","",COUNTIF(E158:K158,"✓"))</f>
        <v>2</v>
      </c>
      <c r="M158" s="133" t="s">
        <v>172</v>
      </c>
      <c r="O158" s="134"/>
      <c r="P158" s="134"/>
      <c r="Q158" s="134"/>
      <c r="R158" s="134"/>
      <c r="S158" s="134"/>
      <c r="T158" s="134"/>
      <c r="U158" s="134"/>
      <c r="W158" s="135" t="n">
        <f aca="false">IF($A158="","",IF($X158&lt;&gt;"",$X158,IFERROR(INDEX('Formation Initiale'!$B$2:$B$999,MATCH($A158,'Formation Initiale'!$A$2:$A$999,0)),"Général")))</f>
        <v>177</v>
      </c>
      <c r="X158" s="136"/>
    </row>
    <row r="159" customFormat="false" ht="15" hidden="true" customHeight="true" outlineLevel="0" collapsed="false">
      <c r="A159" s="137" t="s">
        <v>628</v>
      </c>
      <c r="B159" s="128" t="s">
        <v>629</v>
      </c>
      <c r="C159" s="128" t="s">
        <v>630</v>
      </c>
      <c r="D159" s="129" t="s">
        <v>171</v>
      </c>
      <c r="E159" s="130" t="str">
        <f aca="false">IF($O159="✓","✓",IF(ISNUMBER($O159),TEXT($O159,"yyyy-mm-dd"),IF($A159="","",IF(SUMPRODUCT(('Formation Initiale'!$A$2:$A$999=$A159)*('Formation Initiale'!$R$2:$R$999="Terminé"))&gt;0,"✓",IF(SUMPRODUCT(MAX(('Formation Initiale'!$A$2:$A$999=$A159)*'Formation Initiale'!$G$2:$G$999))&gt;0,TEXT(SUMPRODUCT(MAX(('Formation Initiale'!$A$2:$A$999=$A159)*'Formation Initiale'!$G$2:$G$999)),"yyyy-mm-dd"),"")))))</f>
        <v>✓</v>
      </c>
      <c r="F159" s="131" t="str">
        <f aca="false">IF($P159="✓","✓",IF(ISNUMBER($P159),TEXT($P159,"yyyy-mm-dd"),IF($A159="","",IF($D159="Lisbonne","",IF(SUMPRODUCT(('Formation Initiale'!$A$2:$A$999=$A159)*('Formation Initiale'!$R$2:$R$999="Terminé"))&gt;0,"✓",IF(SUMPRODUCT(MAX(('Formation Initiale'!$A$2:$A$999=$A159)*'Formation Initiale'!$G$2:$G$999))&gt;0,TEXT(SUMPRODUCT(MAX(('Formation Initiale'!$A$2:$A$999=$A159)*'Formation Initiale'!$G$2:$G$999)),"yyyy-mm-dd"),""))))))</f>
        <v>✓</v>
      </c>
      <c r="G159" s="131" t="str">
        <f aca="false">IF($Q159="✓","✓",IF(ISNUMBER($Q159),TEXT($Q159,"yyyy-mm-dd"),IF($A159="","",IF(SUMPRODUCT(('Agences &amp; Après-vente'!$A$2:$A$1000=$A159)*(('Agences &amp; Après-vente'!$D$2:$D$1000="Agences")+('Agences &amp; Après-vente'!$D$2:$D$1000="Agences et Après-vente"))*('Agences &amp; Après-vente'!$I$2:$I$1000="DONE"))&gt;0,"✓",IF(SUMPRODUCT(MAX(('Agences &amp; Après-vente'!$A$2:$A$1000=$A159)*(('Agences &amp; Après-vente'!$D$2:$D$1000="Agences")+('Agences &amp; Après-vente'!$D$2:$D$1000="Agences et Après-vente"))*'Agences &amp; Après-vente'!$E$2:$E$1000))&gt;0,TEXT(SUMPRODUCT(MAX(('Agences &amp; Après-vente'!$A$2:$A$1000=$A159)*(('Agences &amp; Après-vente'!$D$2:$D$1000="Agences")+('Agences &amp; Après-vente'!$D$2:$D$1000="Agences et Après-vente"))*'Agences &amp; Après-vente'!$E$2:$E$1000)),"yyyy-mm-dd"),"")))))</f>
        <v/>
      </c>
      <c r="H159" s="131" t="str">
        <f aca="false">IF($R159="✓","✓",IF(ISNUMBER($R159),TEXT($R159,"yyyy-mm-dd"),IF($A159="","",IF($D159="Lisbonne","",IF(SUMPRODUCT(('Agences &amp; Après-vente'!$A$2:$A$1000=$A159)*(('Agences &amp; Après-vente'!$D$2:$D$1000="Agences")+('Agences &amp; Après-vente'!$D$2:$D$1000="Agences et Après-vente"))*('Agences &amp; Après-vente'!$I$2:$I$1000="DONE"))&gt;0,"✓",IF(SUMPRODUCT(MAX(('Agences &amp; Après-vente'!$A$2:$A$1000=$A159)*(('Agences &amp; Après-vente'!$D$2:$D$1000="Agences")+('Agences &amp; Après-vente'!$D$2:$D$1000="Agences et Après-vente"))*'Agences &amp; Après-vente'!$E$2:$E$1000))&gt;0,TEXT(SUMPRODUCT(MAX(('Agences &amp; Après-vente'!$A$2:$A$1000=$A159)*(('Agences &amp; Après-vente'!$D$2:$D$1000="Agences")+('Agences &amp; Après-vente'!$D$2:$D$1000="Agences et Après-vente"))*'Agences &amp; Après-vente'!$E$2:$E$1000)),"yyyy-mm-dd"),""))))))</f>
        <v/>
      </c>
      <c r="I159" s="131" t="str">
        <f aca="false">IF($S159="✓","✓",IF(ISNUMBER($S159),TEXT($S159,"yyyy-mm-dd"),IF($A159="","",IF(SUMPRODUCT(('Agences &amp; Après-vente'!$A$2:$A$1000=$A159)*(('Agences &amp; Après-vente'!$D$2:$D$1000="Après-vente")+('Agences &amp; Après-vente'!$D$2:$D$1000="Agences et Après-vente"))*('Agences &amp; Après-vente'!$I$2:$I$1000="DONE"))&gt;0,"✓",IF(SUMPRODUCT(MAX(('Agences &amp; Après-vente'!$A$2:$A$1000=$A159)*(('Agences &amp; Après-vente'!$D$2:$D$1000="Après-vente")+('Agences &amp; Après-vente'!$D$2:$D$1000="Agences et Après-vente"))*'Agences &amp; Après-vente'!$E$2:$E$1000))&gt;0,TEXT(SUMPRODUCT(MAX(('Agences &amp; Après-vente'!$A$2:$A$1000=$A159)*(('Agences &amp; Après-vente'!$D$2:$D$1000="Après-vente")+('Agences &amp; Après-vente'!$D$2:$D$1000="Agences et Après-vente"))*'Agences &amp; Après-vente'!$E$2:$E$1000)),"yyyy-mm-dd"),"")))))</f>
        <v/>
      </c>
      <c r="J159" s="131" t="str">
        <f aca="false">IF($T159="✓","✓",IF(ISNUMBER($T159),TEXT($T159,"yyyy-mm-dd"),IF($A159="","",IF($D159="Lisbonne","",IF(SUMPRODUCT(('Agences &amp; Après-vente'!$A$2:$A$1000=$A159)*(('Agences &amp; Après-vente'!$D$2:$D$1000="Après-vente")+('Agences &amp; Après-vente'!$D$2:$D$1000="Agences et Après-vente"))*('Agences &amp; Après-vente'!$I$2:$I$1000="DONE"))&gt;0,"✓",IF(SUMPRODUCT(MAX(('Agences &amp; Après-vente'!$A$2:$A$1000=$A159)*(('Agences &amp; Après-vente'!$D$2:$D$1000="Après-vente")+('Agences &amp; Après-vente'!$D$2:$D$1000="Agences et Après-vente"))*'Agences &amp; Après-vente'!$E$2:$E$1000))&gt;0,TEXT(SUMPRODUCT(MAX(('Agences &amp; Après-vente'!$A$2:$A$1000=$A159)*(('Agences &amp; Après-vente'!$D$2:$D$1000="Après-vente")+('Agences &amp; Après-vente'!$D$2:$D$1000="Agences et Après-vente"))*'Agences &amp; Après-vente'!$E$2:$E$1000)),"yyyy-mm-dd"),""))))))</f>
        <v/>
      </c>
      <c r="K159" s="131" t="str">
        <f aca="false">IF($U159="✓","✓",IF(ISNUMBER($U159),TEXT($U159,"yyyy-mm-dd"),IF($D159="Lisbonne","",IF($A159="","",IF(SUMPRODUCT((Evermont!$A$2:$A$1000=$A159)*(Evermont!$Q$2:$Q$1000="Terminé"))&gt;0,"✓",IF(SUMPRODUCT(MAX((Evermont!$A$2:$A$1000=$A159)*Evermont!$F$2:$F$1000))&gt;0,TEXT(SUMPRODUCT(MAX((Evermont!$A$2:$A$1000=$A159)*Evermont!$F$2:$F$1000)),"yyyy-mm-dd"),""))))))</f>
        <v/>
      </c>
      <c r="L159" s="132" t="n">
        <f aca="false">IF($A159="","",COUNTIF(E159:K159,"✓"))</f>
        <v>2</v>
      </c>
      <c r="M159" s="133" t="s">
        <v>196</v>
      </c>
      <c r="O159" s="134"/>
      <c r="P159" s="134"/>
      <c r="Q159" s="134"/>
      <c r="R159" s="134"/>
      <c r="S159" s="134"/>
      <c r="T159" s="134"/>
      <c r="U159" s="134"/>
      <c r="W159" s="135" t="n">
        <f aca="false">IF($A159="","",IF($X159&lt;&gt;"",$X159,IFERROR(INDEX('Formation Initiale'!$B$2:$B$999,MATCH($A159,'Formation Initiale'!$A$2:$A$999,0)),"Général")))</f>
        <v>177</v>
      </c>
      <c r="X159" s="136"/>
    </row>
    <row r="160" customFormat="false" ht="15" hidden="true" customHeight="true" outlineLevel="0" collapsed="false">
      <c r="A160" s="127" t="s">
        <v>631</v>
      </c>
      <c r="B160" s="128" t="s">
        <v>632</v>
      </c>
      <c r="C160" s="128" t="s">
        <v>633</v>
      </c>
      <c r="D160" s="129" t="s">
        <v>171</v>
      </c>
      <c r="E160" s="130" t="str">
        <f aca="false">IF($O160="✓","✓",IF(ISNUMBER($O160),TEXT($O160,"yyyy-mm-dd"),IF($A160="","",IF(SUMPRODUCT(('Formation Initiale'!$A$2:$A$999=$A160)*('Formation Initiale'!$R$2:$R$999="Terminé"))&gt;0,"✓",IF(SUMPRODUCT(MAX(('Formation Initiale'!$A$2:$A$999=$A160)*'Formation Initiale'!$G$2:$G$999))&gt;0,TEXT(SUMPRODUCT(MAX(('Formation Initiale'!$A$2:$A$999=$A160)*'Formation Initiale'!$G$2:$G$999)),"yyyy-mm-dd"),"")))))</f>
        <v>✓</v>
      </c>
      <c r="F160" s="131" t="str">
        <f aca="false">IF($P160="✓","✓",IF(ISNUMBER($P160),TEXT($P160,"yyyy-mm-dd"),IF($A160="","",IF($D160="Lisbonne","",IF(SUMPRODUCT(('Formation Initiale'!$A$2:$A$999=$A160)*('Formation Initiale'!$R$2:$R$999="Terminé"))&gt;0,"✓",IF(SUMPRODUCT(MAX(('Formation Initiale'!$A$2:$A$999=$A160)*'Formation Initiale'!$G$2:$G$999))&gt;0,TEXT(SUMPRODUCT(MAX(('Formation Initiale'!$A$2:$A$999=$A160)*'Formation Initiale'!$G$2:$G$999)),"yyyy-mm-dd"),""))))))</f>
        <v>✓</v>
      </c>
      <c r="G160" s="131" t="str">
        <f aca="false">IF($Q160="✓","✓",IF(ISNUMBER($Q160),TEXT($Q160,"yyyy-mm-dd"),IF($A160="","",IF(SUMPRODUCT(('Agences &amp; Après-vente'!$A$2:$A$1000=$A160)*(('Agences &amp; Après-vente'!$D$2:$D$1000="Agences")+('Agences &amp; Après-vente'!$D$2:$D$1000="Agences et Après-vente"))*('Agences &amp; Après-vente'!$I$2:$I$1000="DONE"))&gt;0,"✓",IF(SUMPRODUCT(MAX(('Agences &amp; Après-vente'!$A$2:$A$1000=$A160)*(('Agences &amp; Après-vente'!$D$2:$D$1000="Agences")+('Agences &amp; Après-vente'!$D$2:$D$1000="Agences et Après-vente"))*'Agences &amp; Après-vente'!$E$2:$E$1000))&gt;0,TEXT(SUMPRODUCT(MAX(('Agences &amp; Après-vente'!$A$2:$A$1000=$A160)*(('Agences &amp; Après-vente'!$D$2:$D$1000="Agences")+('Agences &amp; Après-vente'!$D$2:$D$1000="Agences et Après-vente"))*'Agences &amp; Après-vente'!$E$2:$E$1000)),"yyyy-mm-dd"),"")))))</f>
        <v/>
      </c>
      <c r="H160" s="131" t="str">
        <f aca="false">IF($R160="✓","✓",IF(ISNUMBER($R160),TEXT($R160,"yyyy-mm-dd"),IF($A160="","",IF($D160="Lisbonne","",IF(SUMPRODUCT(('Agences &amp; Après-vente'!$A$2:$A$1000=$A160)*(('Agences &amp; Après-vente'!$D$2:$D$1000="Agences")+('Agences &amp; Après-vente'!$D$2:$D$1000="Agences et Après-vente"))*('Agences &amp; Après-vente'!$I$2:$I$1000="DONE"))&gt;0,"✓",IF(SUMPRODUCT(MAX(('Agences &amp; Après-vente'!$A$2:$A$1000=$A160)*(('Agences &amp; Après-vente'!$D$2:$D$1000="Agences")+('Agences &amp; Après-vente'!$D$2:$D$1000="Agences et Après-vente"))*'Agences &amp; Après-vente'!$E$2:$E$1000))&gt;0,TEXT(SUMPRODUCT(MAX(('Agences &amp; Après-vente'!$A$2:$A$1000=$A160)*(('Agences &amp; Après-vente'!$D$2:$D$1000="Agences")+('Agences &amp; Après-vente'!$D$2:$D$1000="Agences et Après-vente"))*'Agences &amp; Après-vente'!$E$2:$E$1000)),"yyyy-mm-dd"),""))))))</f>
        <v/>
      </c>
      <c r="I160" s="131" t="str">
        <f aca="false">IF($S160="✓","✓",IF(ISNUMBER($S160),TEXT($S160,"yyyy-mm-dd"),IF($A160="","",IF(SUMPRODUCT(('Agences &amp; Après-vente'!$A$2:$A$1000=$A160)*(('Agences &amp; Après-vente'!$D$2:$D$1000="Après-vente")+('Agences &amp; Après-vente'!$D$2:$D$1000="Agences et Après-vente"))*('Agences &amp; Après-vente'!$I$2:$I$1000="DONE"))&gt;0,"✓",IF(SUMPRODUCT(MAX(('Agences &amp; Après-vente'!$A$2:$A$1000=$A160)*(('Agences &amp; Après-vente'!$D$2:$D$1000="Après-vente")+('Agences &amp; Après-vente'!$D$2:$D$1000="Agences et Après-vente"))*'Agences &amp; Après-vente'!$E$2:$E$1000))&gt;0,TEXT(SUMPRODUCT(MAX(('Agences &amp; Après-vente'!$A$2:$A$1000=$A160)*(('Agences &amp; Après-vente'!$D$2:$D$1000="Après-vente")+('Agences &amp; Après-vente'!$D$2:$D$1000="Agences et Après-vente"))*'Agences &amp; Après-vente'!$E$2:$E$1000)),"yyyy-mm-dd"),"")))))</f>
        <v/>
      </c>
      <c r="J160" s="131" t="str">
        <f aca="false">IF($T160="✓","✓",IF(ISNUMBER($T160),TEXT($T160,"yyyy-mm-dd"),IF($A160="","",IF($D160="Lisbonne","",IF(SUMPRODUCT(('Agences &amp; Après-vente'!$A$2:$A$1000=$A160)*(('Agences &amp; Après-vente'!$D$2:$D$1000="Après-vente")+('Agences &amp; Après-vente'!$D$2:$D$1000="Agences et Après-vente"))*('Agences &amp; Après-vente'!$I$2:$I$1000="DONE"))&gt;0,"✓",IF(SUMPRODUCT(MAX(('Agences &amp; Après-vente'!$A$2:$A$1000=$A160)*(('Agences &amp; Après-vente'!$D$2:$D$1000="Après-vente")+('Agences &amp; Après-vente'!$D$2:$D$1000="Agences et Après-vente"))*'Agences &amp; Après-vente'!$E$2:$E$1000))&gt;0,TEXT(SUMPRODUCT(MAX(('Agences &amp; Après-vente'!$A$2:$A$1000=$A160)*(('Agences &amp; Après-vente'!$D$2:$D$1000="Après-vente")+('Agences &amp; Après-vente'!$D$2:$D$1000="Agences et Après-vente"))*'Agences &amp; Après-vente'!$E$2:$E$1000)),"yyyy-mm-dd"),""))))))</f>
        <v/>
      </c>
      <c r="K160" s="131" t="str">
        <f aca="false">IF($U160="✓","✓",IF(ISNUMBER($U160),TEXT($U160,"yyyy-mm-dd"),IF($D160="Lisbonne","",IF($A160="","",IF(SUMPRODUCT((Evermont!$A$2:$A$1000=$A160)*(Evermont!$Q$2:$Q$1000="Terminé"))&gt;0,"✓",IF(SUMPRODUCT(MAX((Evermont!$A$2:$A$1000=$A160)*Evermont!$F$2:$F$1000))&gt;0,TEXT(SUMPRODUCT(MAX((Evermont!$A$2:$A$1000=$A160)*Evermont!$F$2:$F$1000)),"yyyy-mm-dd"),""))))))</f>
        <v/>
      </c>
      <c r="L160" s="132" t="n">
        <f aca="false">IF($A160="","",COUNTIF(E160:K160,"✓"))</f>
        <v>2</v>
      </c>
      <c r="M160" s="133" t="s">
        <v>172</v>
      </c>
      <c r="O160" s="134"/>
      <c r="P160" s="134"/>
      <c r="Q160" s="134"/>
      <c r="R160" s="134"/>
      <c r="S160" s="134"/>
      <c r="T160" s="134"/>
      <c r="U160" s="134"/>
      <c r="W160" s="135" t="n">
        <f aca="false">IF($A160="","",IF($X160&lt;&gt;"",$X160,IFERROR(INDEX('Formation Initiale'!$B$2:$B$999,MATCH($A160,'Formation Initiale'!$A$2:$A$999,0)),"Général")))</f>
        <v>177</v>
      </c>
      <c r="X160" s="136"/>
    </row>
    <row r="161" customFormat="false" ht="15" hidden="true" customHeight="true" outlineLevel="0" collapsed="false">
      <c r="A161" s="127" t="s">
        <v>634</v>
      </c>
      <c r="B161" s="128" t="s">
        <v>635</v>
      </c>
      <c r="C161" s="128" t="s">
        <v>636</v>
      </c>
      <c r="D161" s="129" t="s">
        <v>171</v>
      </c>
      <c r="E161" s="130" t="str">
        <f aca="false">IF($O161="✓","✓",IF(ISNUMBER($O161),TEXT($O161,"yyyy-mm-dd"),IF($A161="","",IF(SUMPRODUCT(('Formation Initiale'!$A$2:$A$999=$A161)*('Formation Initiale'!$R$2:$R$999="Terminé"))&gt;0,"✓",IF(SUMPRODUCT(MAX(('Formation Initiale'!$A$2:$A$999=$A161)*'Formation Initiale'!$G$2:$G$999))&gt;0,TEXT(SUMPRODUCT(MAX(('Formation Initiale'!$A$2:$A$999=$A161)*'Formation Initiale'!$G$2:$G$999)),"yyyy-mm-dd"),"")))))</f>
        <v>✓</v>
      </c>
      <c r="F161" s="131" t="str">
        <f aca="false">IF($P161="✓","✓",IF(ISNUMBER($P161),TEXT($P161,"yyyy-mm-dd"),IF($A161="","",IF($D161="Lisbonne","",IF(SUMPRODUCT(('Formation Initiale'!$A$2:$A$999=$A161)*('Formation Initiale'!$R$2:$R$999="Terminé"))&gt;0,"✓",IF(SUMPRODUCT(MAX(('Formation Initiale'!$A$2:$A$999=$A161)*'Formation Initiale'!$G$2:$G$999))&gt;0,TEXT(SUMPRODUCT(MAX(('Formation Initiale'!$A$2:$A$999=$A161)*'Formation Initiale'!$G$2:$G$999)),"yyyy-mm-dd"),""))))))</f>
        <v>✓</v>
      </c>
      <c r="G161" s="131" t="str">
        <f aca="false">IF($Q161="✓","✓",IF(ISNUMBER($Q161),TEXT($Q161,"yyyy-mm-dd"),IF($A161="","",IF(SUMPRODUCT(('Agences &amp; Après-vente'!$A$2:$A$1000=$A161)*(('Agences &amp; Après-vente'!$D$2:$D$1000="Agences")+('Agences &amp; Après-vente'!$D$2:$D$1000="Agences et Après-vente"))*('Agences &amp; Après-vente'!$I$2:$I$1000="DONE"))&gt;0,"✓",IF(SUMPRODUCT(MAX(('Agences &amp; Après-vente'!$A$2:$A$1000=$A161)*(('Agences &amp; Après-vente'!$D$2:$D$1000="Agences")+('Agences &amp; Après-vente'!$D$2:$D$1000="Agences et Après-vente"))*'Agences &amp; Après-vente'!$E$2:$E$1000))&gt;0,TEXT(SUMPRODUCT(MAX(('Agences &amp; Après-vente'!$A$2:$A$1000=$A161)*(('Agences &amp; Après-vente'!$D$2:$D$1000="Agences")+('Agences &amp; Après-vente'!$D$2:$D$1000="Agences et Après-vente"))*'Agences &amp; Après-vente'!$E$2:$E$1000)),"yyyy-mm-dd"),"")))))</f>
        <v/>
      </c>
      <c r="H161" s="131" t="str">
        <f aca="false">IF($R161="✓","✓",IF(ISNUMBER($R161),TEXT($R161,"yyyy-mm-dd"),IF($A161="","",IF($D161="Lisbonne","",IF(SUMPRODUCT(('Agences &amp; Après-vente'!$A$2:$A$1000=$A161)*(('Agences &amp; Après-vente'!$D$2:$D$1000="Agences")+('Agences &amp; Après-vente'!$D$2:$D$1000="Agences et Après-vente"))*('Agences &amp; Après-vente'!$I$2:$I$1000="DONE"))&gt;0,"✓",IF(SUMPRODUCT(MAX(('Agences &amp; Après-vente'!$A$2:$A$1000=$A161)*(('Agences &amp; Après-vente'!$D$2:$D$1000="Agences")+('Agences &amp; Après-vente'!$D$2:$D$1000="Agences et Après-vente"))*'Agences &amp; Après-vente'!$E$2:$E$1000))&gt;0,TEXT(SUMPRODUCT(MAX(('Agences &amp; Après-vente'!$A$2:$A$1000=$A161)*(('Agences &amp; Après-vente'!$D$2:$D$1000="Agences")+('Agences &amp; Après-vente'!$D$2:$D$1000="Agences et Après-vente"))*'Agences &amp; Après-vente'!$E$2:$E$1000)),"yyyy-mm-dd"),""))))))</f>
        <v/>
      </c>
      <c r="I161" s="131" t="str">
        <f aca="false">IF($S161="✓","✓",IF(ISNUMBER($S161),TEXT($S161,"yyyy-mm-dd"),IF($A161="","",IF(SUMPRODUCT(('Agences &amp; Après-vente'!$A$2:$A$1000=$A161)*(('Agences &amp; Après-vente'!$D$2:$D$1000="Après-vente")+('Agences &amp; Après-vente'!$D$2:$D$1000="Agences et Après-vente"))*('Agences &amp; Après-vente'!$I$2:$I$1000="DONE"))&gt;0,"✓",IF(SUMPRODUCT(MAX(('Agences &amp; Après-vente'!$A$2:$A$1000=$A161)*(('Agences &amp; Après-vente'!$D$2:$D$1000="Après-vente")+('Agences &amp; Après-vente'!$D$2:$D$1000="Agences et Après-vente"))*'Agences &amp; Après-vente'!$E$2:$E$1000))&gt;0,TEXT(SUMPRODUCT(MAX(('Agences &amp; Après-vente'!$A$2:$A$1000=$A161)*(('Agences &amp; Après-vente'!$D$2:$D$1000="Après-vente")+('Agences &amp; Après-vente'!$D$2:$D$1000="Agences et Après-vente"))*'Agences &amp; Après-vente'!$E$2:$E$1000)),"yyyy-mm-dd"),"")))))</f>
        <v/>
      </c>
      <c r="J161" s="131" t="str">
        <f aca="false">IF($T161="✓","✓",IF(ISNUMBER($T161),TEXT($T161,"yyyy-mm-dd"),IF($A161="","",IF($D161="Lisbonne","",IF(SUMPRODUCT(('Agences &amp; Après-vente'!$A$2:$A$1000=$A161)*(('Agences &amp; Après-vente'!$D$2:$D$1000="Après-vente")+('Agences &amp; Après-vente'!$D$2:$D$1000="Agences et Après-vente"))*('Agences &amp; Après-vente'!$I$2:$I$1000="DONE"))&gt;0,"✓",IF(SUMPRODUCT(MAX(('Agences &amp; Après-vente'!$A$2:$A$1000=$A161)*(('Agences &amp; Après-vente'!$D$2:$D$1000="Après-vente")+('Agences &amp; Après-vente'!$D$2:$D$1000="Agences et Après-vente"))*'Agences &amp; Après-vente'!$E$2:$E$1000))&gt;0,TEXT(SUMPRODUCT(MAX(('Agences &amp; Après-vente'!$A$2:$A$1000=$A161)*(('Agences &amp; Après-vente'!$D$2:$D$1000="Après-vente")+('Agences &amp; Après-vente'!$D$2:$D$1000="Agences et Après-vente"))*'Agences &amp; Après-vente'!$E$2:$E$1000)),"yyyy-mm-dd"),""))))))</f>
        <v/>
      </c>
      <c r="K161" s="131" t="str">
        <f aca="false">IF($U161="✓","✓",IF(ISNUMBER($U161),TEXT($U161,"yyyy-mm-dd"),IF($D161="Lisbonne","",IF($A161="","",IF(SUMPRODUCT((Evermont!$A$2:$A$1000=$A161)*(Evermont!$Q$2:$Q$1000="Terminé"))&gt;0,"✓",IF(SUMPRODUCT(MAX((Evermont!$A$2:$A$1000=$A161)*Evermont!$F$2:$F$1000))&gt;0,TEXT(SUMPRODUCT(MAX((Evermont!$A$2:$A$1000=$A161)*Evermont!$F$2:$F$1000)),"yyyy-mm-dd"),""))))))</f>
        <v/>
      </c>
      <c r="L161" s="132" t="n">
        <f aca="false">IF($A161="","",COUNTIF(E161:K161,"✓"))</f>
        <v>2</v>
      </c>
      <c r="M161" s="133" t="s">
        <v>172</v>
      </c>
      <c r="O161" s="134"/>
      <c r="P161" s="134"/>
      <c r="Q161" s="134"/>
      <c r="R161" s="134"/>
      <c r="S161" s="134"/>
      <c r="T161" s="134"/>
      <c r="U161" s="134"/>
      <c r="W161" s="135" t="n">
        <f aca="false">IF($A161="","",IF($X161&lt;&gt;"",$X161,IFERROR(INDEX('Formation Initiale'!$B$2:$B$999,MATCH($A161,'Formation Initiale'!$A$2:$A$999,0)),"Général")))</f>
        <v>177</v>
      </c>
      <c r="X161" s="136"/>
    </row>
    <row r="162" customFormat="false" ht="15" hidden="true" customHeight="true" outlineLevel="0" collapsed="false">
      <c r="A162" s="127" t="s">
        <v>637</v>
      </c>
      <c r="B162" s="128" t="s">
        <v>638</v>
      </c>
      <c r="C162" s="128" t="s">
        <v>639</v>
      </c>
      <c r="D162" s="129" t="s">
        <v>171</v>
      </c>
      <c r="E162" s="130" t="str">
        <f aca="false">IF($O162="✓","✓",IF(ISNUMBER($O162),TEXT($O162,"yyyy-mm-dd"),IF($A162="","",IF(SUMPRODUCT(('Formation Initiale'!$A$2:$A$999=$A162)*('Formation Initiale'!$R$2:$R$999="Terminé"))&gt;0,"✓",IF(SUMPRODUCT(MAX(('Formation Initiale'!$A$2:$A$999=$A162)*'Formation Initiale'!$G$2:$G$999))&gt;0,TEXT(SUMPRODUCT(MAX(('Formation Initiale'!$A$2:$A$999=$A162)*'Formation Initiale'!$G$2:$G$999)),"yyyy-mm-dd"),"")))))</f>
        <v>✓</v>
      </c>
      <c r="F162" s="131" t="str">
        <f aca="false">IF($P162="✓","✓",IF(ISNUMBER($P162),TEXT($P162,"yyyy-mm-dd"),IF($A162="","",IF($D162="Lisbonne","",IF(SUMPRODUCT(('Formation Initiale'!$A$2:$A$999=$A162)*('Formation Initiale'!$R$2:$R$999="Terminé"))&gt;0,"✓",IF(SUMPRODUCT(MAX(('Formation Initiale'!$A$2:$A$999=$A162)*'Formation Initiale'!$G$2:$G$999))&gt;0,TEXT(SUMPRODUCT(MAX(('Formation Initiale'!$A$2:$A$999=$A162)*'Formation Initiale'!$G$2:$G$999)),"yyyy-mm-dd"),""))))))</f>
        <v>✓</v>
      </c>
      <c r="G162" s="131" t="str">
        <f aca="false">IF($Q162="✓","✓",IF(ISNUMBER($Q162),TEXT($Q162,"yyyy-mm-dd"),IF($A162="","",IF(SUMPRODUCT(('Agences &amp; Après-vente'!$A$2:$A$1000=$A162)*(('Agences &amp; Après-vente'!$D$2:$D$1000="Agences")+('Agences &amp; Après-vente'!$D$2:$D$1000="Agences et Après-vente"))*('Agences &amp; Après-vente'!$I$2:$I$1000="DONE"))&gt;0,"✓",IF(SUMPRODUCT(MAX(('Agences &amp; Après-vente'!$A$2:$A$1000=$A162)*(('Agences &amp; Après-vente'!$D$2:$D$1000="Agences")+('Agences &amp; Après-vente'!$D$2:$D$1000="Agences et Après-vente"))*'Agences &amp; Après-vente'!$E$2:$E$1000))&gt;0,TEXT(SUMPRODUCT(MAX(('Agences &amp; Après-vente'!$A$2:$A$1000=$A162)*(('Agences &amp; Après-vente'!$D$2:$D$1000="Agences")+('Agences &amp; Après-vente'!$D$2:$D$1000="Agences et Après-vente"))*'Agences &amp; Après-vente'!$E$2:$E$1000)),"yyyy-mm-dd"),"")))))</f>
        <v/>
      </c>
      <c r="H162" s="131" t="str">
        <f aca="false">IF($R162="✓","✓",IF(ISNUMBER($R162),TEXT($R162,"yyyy-mm-dd"),IF($A162="","",IF($D162="Lisbonne","",IF(SUMPRODUCT(('Agences &amp; Après-vente'!$A$2:$A$1000=$A162)*(('Agences &amp; Après-vente'!$D$2:$D$1000="Agences")+('Agences &amp; Après-vente'!$D$2:$D$1000="Agences et Après-vente"))*('Agences &amp; Après-vente'!$I$2:$I$1000="DONE"))&gt;0,"✓",IF(SUMPRODUCT(MAX(('Agences &amp; Après-vente'!$A$2:$A$1000=$A162)*(('Agences &amp; Après-vente'!$D$2:$D$1000="Agences")+('Agences &amp; Après-vente'!$D$2:$D$1000="Agences et Après-vente"))*'Agences &amp; Après-vente'!$E$2:$E$1000))&gt;0,TEXT(SUMPRODUCT(MAX(('Agences &amp; Après-vente'!$A$2:$A$1000=$A162)*(('Agences &amp; Après-vente'!$D$2:$D$1000="Agences")+('Agences &amp; Après-vente'!$D$2:$D$1000="Agences et Après-vente"))*'Agences &amp; Après-vente'!$E$2:$E$1000)),"yyyy-mm-dd"),""))))))</f>
        <v/>
      </c>
      <c r="I162" s="131" t="str">
        <f aca="false">IF($S162="✓","✓",IF(ISNUMBER($S162),TEXT($S162,"yyyy-mm-dd"),IF($A162="","",IF(SUMPRODUCT(('Agences &amp; Après-vente'!$A$2:$A$1000=$A162)*(('Agences &amp; Après-vente'!$D$2:$D$1000="Après-vente")+('Agences &amp; Après-vente'!$D$2:$D$1000="Agences et Après-vente"))*('Agences &amp; Après-vente'!$I$2:$I$1000="DONE"))&gt;0,"✓",IF(SUMPRODUCT(MAX(('Agences &amp; Après-vente'!$A$2:$A$1000=$A162)*(('Agences &amp; Après-vente'!$D$2:$D$1000="Après-vente")+('Agences &amp; Après-vente'!$D$2:$D$1000="Agences et Après-vente"))*'Agences &amp; Après-vente'!$E$2:$E$1000))&gt;0,TEXT(SUMPRODUCT(MAX(('Agences &amp; Après-vente'!$A$2:$A$1000=$A162)*(('Agences &amp; Après-vente'!$D$2:$D$1000="Après-vente")+('Agences &amp; Après-vente'!$D$2:$D$1000="Agences et Après-vente"))*'Agences &amp; Après-vente'!$E$2:$E$1000)),"yyyy-mm-dd"),"")))))</f>
        <v/>
      </c>
      <c r="J162" s="131" t="str">
        <f aca="false">IF($T162="✓","✓",IF(ISNUMBER($T162),TEXT($T162,"yyyy-mm-dd"),IF($A162="","",IF($D162="Lisbonne","",IF(SUMPRODUCT(('Agences &amp; Après-vente'!$A$2:$A$1000=$A162)*(('Agences &amp; Après-vente'!$D$2:$D$1000="Après-vente")+('Agences &amp; Après-vente'!$D$2:$D$1000="Agences et Après-vente"))*('Agences &amp; Après-vente'!$I$2:$I$1000="DONE"))&gt;0,"✓",IF(SUMPRODUCT(MAX(('Agences &amp; Après-vente'!$A$2:$A$1000=$A162)*(('Agences &amp; Après-vente'!$D$2:$D$1000="Après-vente")+('Agences &amp; Après-vente'!$D$2:$D$1000="Agences et Après-vente"))*'Agences &amp; Après-vente'!$E$2:$E$1000))&gt;0,TEXT(SUMPRODUCT(MAX(('Agences &amp; Après-vente'!$A$2:$A$1000=$A162)*(('Agences &amp; Après-vente'!$D$2:$D$1000="Après-vente")+('Agences &amp; Après-vente'!$D$2:$D$1000="Agences et Après-vente"))*'Agences &amp; Après-vente'!$E$2:$E$1000)),"yyyy-mm-dd"),""))))))</f>
        <v/>
      </c>
      <c r="K162" s="131" t="str">
        <f aca="false">IF($U162="✓","✓",IF(ISNUMBER($U162),TEXT($U162,"yyyy-mm-dd"),IF($D162="Lisbonne","",IF($A162="","",IF(SUMPRODUCT((Evermont!$A$2:$A$1000=$A162)*(Evermont!$Q$2:$Q$1000="Terminé"))&gt;0,"✓",IF(SUMPRODUCT(MAX((Evermont!$A$2:$A$1000=$A162)*Evermont!$F$2:$F$1000))&gt;0,TEXT(SUMPRODUCT(MAX((Evermont!$A$2:$A$1000=$A162)*Evermont!$F$2:$F$1000)),"yyyy-mm-dd"),""))))))</f>
        <v/>
      </c>
      <c r="L162" s="132" t="n">
        <f aca="false">IF($A162="","",COUNTIF(E162:K162,"✓"))</f>
        <v>2</v>
      </c>
      <c r="M162" s="133" t="s">
        <v>172</v>
      </c>
      <c r="O162" s="134"/>
      <c r="P162" s="134"/>
      <c r="Q162" s="134"/>
      <c r="R162" s="134"/>
      <c r="S162" s="134"/>
      <c r="T162" s="134"/>
      <c r="U162" s="134"/>
      <c r="W162" s="135" t="n">
        <f aca="false">IF($A162="","",IF($X162&lt;&gt;"",$X162,IFERROR(INDEX('Formation Initiale'!$B$2:$B$999,MATCH($A162,'Formation Initiale'!$A$2:$A$999,0)),"Général")))</f>
        <v>177</v>
      </c>
      <c r="X162" s="136"/>
    </row>
    <row r="163" customFormat="false" ht="15" hidden="true" customHeight="true" outlineLevel="0" collapsed="false">
      <c r="A163" s="127" t="s">
        <v>640</v>
      </c>
      <c r="B163" s="128" t="s">
        <v>641</v>
      </c>
      <c r="C163" s="128" t="s">
        <v>642</v>
      </c>
      <c r="D163" s="129" t="s">
        <v>171</v>
      </c>
      <c r="E163" s="130" t="str">
        <f aca="false">IF($O163="✓","✓",IF(ISNUMBER($O163),TEXT($O163,"yyyy-mm-dd"),IF($A163="","",IF(SUMPRODUCT(('Formation Initiale'!$A$2:$A$999=$A163)*('Formation Initiale'!$R$2:$R$999="Terminé"))&gt;0,"✓",IF(SUMPRODUCT(MAX(('Formation Initiale'!$A$2:$A$999=$A163)*'Formation Initiale'!$G$2:$G$999))&gt;0,TEXT(SUMPRODUCT(MAX(('Formation Initiale'!$A$2:$A$999=$A163)*'Formation Initiale'!$G$2:$G$999)),"yyyy-mm-dd"),"")))))</f>
        <v>✓</v>
      </c>
      <c r="F163" s="131" t="str">
        <f aca="false">IF($P163="✓","✓",IF(ISNUMBER($P163),TEXT($P163,"yyyy-mm-dd"),IF($A163="","",IF($D163="Lisbonne","",IF(SUMPRODUCT(('Formation Initiale'!$A$2:$A$999=$A163)*('Formation Initiale'!$R$2:$R$999="Terminé"))&gt;0,"✓",IF(SUMPRODUCT(MAX(('Formation Initiale'!$A$2:$A$999=$A163)*'Formation Initiale'!$G$2:$G$999))&gt;0,TEXT(SUMPRODUCT(MAX(('Formation Initiale'!$A$2:$A$999=$A163)*'Formation Initiale'!$G$2:$G$999)),"yyyy-mm-dd"),""))))))</f>
        <v>✓</v>
      </c>
      <c r="G163" s="131" t="str">
        <f aca="false">IF($Q163="✓","✓",IF(ISNUMBER($Q163),TEXT($Q163,"yyyy-mm-dd"),IF($A163="","",IF(SUMPRODUCT(('Agences &amp; Après-vente'!$A$2:$A$1000=$A163)*(('Agences &amp; Après-vente'!$D$2:$D$1000="Agences")+('Agences &amp; Après-vente'!$D$2:$D$1000="Agences et Après-vente"))*('Agences &amp; Après-vente'!$I$2:$I$1000="DONE"))&gt;0,"✓",IF(SUMPRODUCT(MAX(('Agences &amp; Après-vente'!$A$2:$A$1000=$A163)*(('Agences &amp; Après-vente'!$D$2:$D$1000="Agences")+('Agences &amp; Après-vente'!$D$2:$D$1000="Agences et Après-vente"))*'Agences &amp; Après-vente'!$E$2:$E$1000))&gt;0,TEXT(SUMPRODUCT(MAX(('Agences &amp; Après-vente'!$A$2:$A$1000=$A163)*(('Agences &amp; Après-vente'!$D$2:$D$1000="Agences")+('Agences &amp; Après-vente'!$D$2:$D$1000="Agences et Après-vente"))*'Agences &amp; Après-vente'!$E$2:$E$1000)),"yyyy-mm-dd"),"")))))</f>
        <v/>
      </c>
      <c r="H163" s="131" t="str">
        <f aca="false">IF($R163="✓","✓",IF(ISNUMBER($R163),TEXT($R163,"yyyy-mm-dd"),IF($A163="","",IF($D163="Lisbonne","",IF(SUMPRODUCT(('Agences &amp; Après-vente'!$A$2:$A$1000=$A163)*(('Agences &amp; Après-vente'!$D$2:$D$1000="Agences")+('Agences &amp; Après-vente'!$D$2:$D$1000="Agences et Après-vente"))*('Agences &amp; Après-vente'!$I$2:$I$1000="DONE"))&gt;0,"✓",IF(SUMPRODUCT(MAX(('Agences &amp; Après-vente'!$A$2:$A$1000=$A163)*(('Agences &amp; Après-vente'!$D$2:$D$1000="Agences")+('Agences &amp; Après-vente'!$D$2:$D$1000="Agences et Après-vente"))*'Agences &amp; Après-vente'!$E$2:$E$1000))&gt;0,TEXT(SUMPRODUCT(MAX(('Agences &amp; Après-vente'!$A$2:$A$1000=$A163)*(('Agences &amp; Après-vente'!$D$2:$D$1000="Agences")+('Agences &amp; Après-vente'!$D$2:$D$1000="Agences et Après-vente"))*'Agences &amp; Après-vente'!$E$2:$E$1000)),"yyyy-mm-dd"),""))))))</f>
        <v/>
      </c>
      <c r="I163" s="131" t="str">
        <f aca="false">IF($S163="✓","✓",IF(ISNUMBER($S163),TEXT($S163,"yyyy-mm-dd"),IF($A163="","",IF(SUMPRODUCT(('Agences &amp; Après-vente'!$A$2:$A$1000=$A163)*(('Agences &amp; Après-vente'!$D$2:$D$1000="Après-vente")+('Agences &amp; Après-vente'!$D$2:$D$1000="Agences et Après-vente"))*('Agences &amp; Après-vente'!$I$2:$I$1000="DONE"))&gt;0,"✓",IF(SUMPRODUCT(MAX(('Agences &amp; Après-vente'!$A$2:$A$1000=$A163)*(('Agences &amp; Après-vente'!$D$2:$D$1000="Après-vente")+('Agences &amp; Après-vente'!$D$2:$D$1000="Agences et Après-vente"))*'Agences &amp; Après-vente'!$E$2:$E$1000))&gt;0,TEXT(SUMPRODUCT(MAX(('Agences &amp; Après-vente'!$A$2:$A$1000=$A163)*(('Agences &amp; Après-vente'!$D$2:$D$1000="Après-vente")+('Agences &amp; Après-vente'!$D$2:$D$1000="Agences et Après-vente"))*'Agences &amp; Après-vente'!$E$2:$E$1000)),"yyyy-mm-dd"),"")))))</f>
        <v/>
      </c>
      <c r="J163" s="131" t="str">
        <f aca="false">IF($T163="✓","✓",IF(ISNUMBER($T163),TEXT($T163,"yyyy-mm-dd"),IF($A163="","",IF($D163="Lisbonne","",IF(SUMPRODUCT(('Agences &amp; Après-vente'!$A$2:$A$1000=$A163)*(('Agences &amp; Après-vente'!$D$2:$D$1000="Après-vente")+('Agences &amp; Après-vente'!$D$2:$D$1000="Agences et Après-vente"))*('Agences &amp; Après-vente'!$I$2:$I$1000="DONE"))&gt;0,"✓",IF(SUMPRODUCT(MAX(('Agences &amp; Après-vente'!$A$2:$A$1000=$A163)*(('Agences &amp; Après-vente'!$D$2:$D$1000="Après-vente")+('Agences &amp; Après-vente'!$D$2:$D$1000="Agences et Après-vente"))*'Agences &amp; Après-vente'!$E$2:$E$1000))&gt;0,TEXT(SUMPRODUCT(MAX(('Agences &amp; Après-vente'!$A$2:$A$1000=$A163)*(('Agences &amp; Après-vente'!$D$2:$D$1000="Après-vente")+('Agences &amp; Après-vente'!$D$2:$D$1000="Agences et Après-vente"))*'Agences &amp; Après-vente'!$E$2:$E$1000)),"yyyy-mm-dd"),""))))))</f>
        <v/>
      </c>
      <c r="K163" s="131" t="str">
        <f aca="false">IF($U163="✓","✓",IF(ISNUMBER($U163),TEXT($U163,"yyyy-mm-dd"),IF($D163="Lisbonne","",IF($A163="","",IF(SUMPRODUCT((Evermont!$A$2:$A$1000=$A163)*(Evermont!$Q$2:$Q$1000="Terminé"))&gt;0,"✓",IF(SUMPRODUCT(MAX((Evermont!$A$2:$A$1000=$A163)*Evermont!$F$2:$F$1000))&gt;0,TEXT(SUMPRODUCT(MAX((Evermont!$A$2:$A$1000=$A163)*Evermont!$F$2:$F$1000)),"yyyy-mm-dd"),""))))))</f>
        <v/>
      </c>
      <c r="L163" s="132" t="n">
        <f aca="false">IF($A163="","",COUNTIF(E163:K163,"✓"))</f>
        <v>2</v>
      </c>
      <c r="M163" s="133" t="s">
        <v>172</v>
      </c>
      <c r="O163" s="134"/>
      <c r="P163" s="134"/>
      <c r="Q163" s="134"/>
      <c r="R163" s="134"/>
      <c r="S163" s="134"/>
      <c r="T163" s="134"/>
      <c r="U163" s="134"/>
      <c r="W163" s="135" t="n">
        <f aca="false">IF($A163="","",IF($X163&lt;&gt;"",$X163,IFERROR(INDEX('Formation Initiale'!$B$2:$B$999,MATCH($A163,'Formation Initiale'!$A$2:$A$999,0)),"Général")))</f>
        <v>177</v>
      </c>
      <c r="X163" s="136"/>
    </row>
    <row r="164" customFormat="false" ht="15" hidden="false" customHeight="true" outlineLevel="0" collapsed="false">
      <c r="A164" s="127" t="str">
        <f aca="false">IF(B164="","","TR"&amp;TEXT(ROW()-1,"000"))</f>
        <v>TR163</v>
      </c>
      <c r="B164" s="128" t="s">
        <v>643</v>
      </c>
      <c r="C164" s="128" t="s">
        <v>644</v>
      </c>
      <c r="D164" s="129" t="s">
        <v>171</v>
      </c>
      <c r="E164" s="130" t="str">
        <f aca="false">IF($O164="✓","✓",IF(ISNUMBER($O164),TEXT($O164,"yyyy-mm-dd"),IF($A164="","",IF(SUMPRODUCT(('Formation Initiale'!$A$2:$A$999=$A164)*('Formation Initiale'!$R$2:$R$999="Terminé"))&gt;0,"✓",IF(SUMPRODUCT(MAX(('Formation Initiale'!$A$2:$A$999=$A164)*'Formation Initiale'!$G$2:$G$999))&gt;0,TEXT(SUMPRODUCT(MAX(('Formation Initiale'!$A$2:$A$999=$A164)*'Formation Initiale'!$G$2:$G$999)),"yyyy-mm-dd"),"")))))</f>
        <v>2026-06-04</v>
      </c>
      <c r="F164" s="131" t="str">
        <f aca="false">IF($P164="✓","✓",IF(ISNUMBER($P164),TEXT($P164,"yyyy-mm-dd"),IF($A164="","",IF($D164="Lisbonne","",IF(SUMPRODUCT(('Formation Initiale'!$A$2:$A$999=$A164)*('Formation Initiale'!$R$2:$R$999="Terminé"))&gt;0,"✓",IF(SUMPRODUCT(MAX(('Formation Initiale'!$A$2:$A$999=$A164)*'Formation Initiale'!$G$2:$G$999))&gt;0,TEXT(SUMPRODUCT(MAX(('Formation Initiale'!$A$2:$A$999=$A164)*'Formation Initiale'!$G$2:$G$999)),"yyyy-mm-dd"),""))))))</f>
        <v>2026-06-04</v>
      </c>
      <c r="G164" s="131" t="str">
        <f aca="false">IF($Q164="✓","✓",IF(ISNUMBER($Q164),TEXT($Q164,"yyyy-mm-dd"),IF($A164="","",IF(SUMPRODUCT(('Agences &amp; Après-vente'!$A$2:$A$1000=$A164)*(('Agences &amp; Après-vente'!$D$2:$D$1000="Agences")+('Agences &amp; Après-vente'!$D$2:$D$1000="Agences et Après-vente"))*('Agences &amp; Après-vente'!$I$2:$I$1000="DONE"))&gt;0,"✓",IF(SUMPRODUCT(MAX(('Agences &amp; Après-vente'!$A$2:$A$1000=$A164)*(('Agences &amp; Après-vente'!$D$2:$D$1000="Agences")+('Agences &amp; Après-vente'!$D$2:$D$1000="Agences et Après-vente"))*'Agences &amp; Après-vente'!$E$2:$E$1000))&gt;0,TEXT(SUMPRODUCT(MAX(('Agences &amp; Après-vente'!$A$2:$A$1000=$A164)*(('Agences &amp; Après-vente'!$D$2:$D$1000="Agences")+('Agences &amp; Après-vente'!$D$2:$D$1000="Agences et Après-vente"))*'Agences &amp; Après-vente'!$E$2:$E$1000)),"yyyy-mm-dd"),"")))))</f>
        <v>2026-06-04</v>
      </c>
      <c r="H164" s="131" t="str">
        <f aca="false">IF($R164="✓","✓",IF(ISNUMBER($R164),TEXT($R164,"yyyy-mm-dd"),IF($A164="","",IF($D164="Lisbonne","",IF(SUMPRODUCT(('Agences &amp; Après-vente'!$A$2:$A$1000=$A164)*(('Agences &amp; Après-vente'!$D$2:$D$1000="Agences")+('Agences &amp; Après-vente'!$D$2:$D$1000="Agences et Après-vente"))*('Agences &amp; Après-vente'!$I$2:$I$1000="DONE"))&gt;0,"✓",IF(SUMPRODUCT(MAX(('Agences &amp; Après-vente'!$A$2:$A$1000=$A164)*(('Agences &amp; Après-vente'!$D$2:$D$1000="Agences")+('Agences &amp; Après-vente'!$D$2:$D$1000="Agences et Après-vente"))*'Agences &amp; Après-vente'!$E$2:$E$1000))&gt;0,TEXT(SUMPRODUCT(MAX(('Agences &amp; Après-vente'!$A$2:$A$1000=$A164)*(('Agences &amp; Après-vente'!$D$2:$D$1000="Agences")+('Agences &amp; Après-vente'!$D$2:$D$1000="Agences et Après-vente"))*'Agences &amp; Après-vente'!$E$2:$E$1000)),"yyyy-mm-dd"),""))))))</f>
        <v>2026-06-04</v>
      </c>
      <c r="I164" s="131" t="str">
        <f aca="false">IF($S164="✓","✓",IF(ISNUMBER($S164),TEXT($S164,"yyyy-mm-dd"),IF($A164="","",IF(SUMPRODUCT(('Agences &amp; Après-vente'!$A$2:$A$1000=$A164)*(('Agences &amp; Après-vente'!$D$2:$D$1000="Après-vente")+('Agences &amp; Après-vente'!$D$2:$D$1000="Agences et Après-vente"))*('Agences &amp; Après-vente'!$I$2:$I$1000="DONE"))&gt;0,"✓",IF(SUMPRODUCT(MAX(('Agences &amp; Après-vente'!$A$2:$A$1000=$A164)*(('Agences &amp; Après-vente'!$D$2:$D$1000="Après-vente")+('Agences &amp; Après-vente'!$D$2:$D$1000="Agences et Après-vente"))*'Agences &amp; Après-vente'!$E$2:$E$1000))&gt;0,TEXT(SUMPRODUCT(MAX(('Agences &amp; Après-vente'!$A$2:$A$1000=$A164)*(('Agences &amp; Après-vente'!$D$2:$D$1000="Après-vente")+('Agences &amp; Après-vente'!$D$2:$D$1000="Agences et Après-vente"))*'Agences &amp; Après-vente'!$E$2:$E$1000)),"yyyy-mm-dd"),"")))))</f>
        <v>2026-06-04</v>
      </c>
      <c r="J164" s="131" t="str">
        <f aca="false">IF($T164="✓","✓",IF(ISNUMBER($T164),TEXT($T164,"yyyy-mm-dd"),IF($A164="","",IF($D164="Lisbonne","",IF(SUMPRODUCT(('Agences &amp; Après-vente'!$A$2:$A$1000=$A164)*(('Agences &amp; Après-vente'!$D$2:$D$1000="Après-vente")+('Agences &amp; Après-vente'!$D$2:$D$1000="Agences et Après-vente"))*('Agences &amp; Après-vente'!$I$2:$I$1000="DONE"))&gt;0,"✓",IF(SUMPRODUCT(MAX(('Agences &amp; Après-vente'!$A$2:$A$1000=$A164)*(('Agences &amp; Après-vente'!$D$2:$D$1000="Après-vente")+('Agences &amp; Après-vente'!$D$2:$D$1000="Agences et Après-vente"))*'Agences &amp; Après-vente'!$E$2:$E$1000))&gt;0,TEXT(SUMPRODUCT(MAX(('Agences &amp; Après-vente'!$A$2:$A$1000=$A164)*(('Agences &amp; Après-vente'!$D$2:$D$1000="Après-vente")+('Agences &amp; Après-vente'!$D$2:$D$1000="Agences et Après-vente"))*'Agences &amp; Après-vente'!$E$2:$E$1000)),"yyyy-mm-dd"),""))))))</f>
        <v>2026-06-04</v>
      </c>
      <c r="K164" s="131" t="str">
        <f aca="false">IF($U164="✓","✓",IF(ISNUMBER($U164),TEXT($U164,"yyyy-mm-dd"),IF($D164="Lisbonne","",IF($A164="","",IF(SUMPRODUCT((Evermont!$A$2:$A$1000=$A164)*(Evermont!$Q$2:$Q$1000="Terminé"))&gt;0,"✓",IF(SUMPRODUCT(MAX((Evermont!$A$2:$A$1000=$A164)*Evermont!$F$2:$F$1000))&gt;0,TEXT(SUMPRODUCT(MAX((Evermont!$A$2:$A$1000=$A164)*Evermont!$F$2:$F$1000)),"yyyy-mm-dd"),""))))))</f>
        <v/>
      </c>
      <c r="L164" s="132" t="n">
        <f aca="false">IF($A164="","",COUNTIF(E164:K164,"✓"))</f>
        <v>0</v>
      </c>
      <c r="M164" s="133" t="str">
        <f aca="false">IF(B164="","","Active")</f>
        <v>Active</v>
      </c>
      <c r="O164" s="134"/>
      <c r="P164" s="134"/>
      <c r="Q164" s="134"/>
      <c r="R164" s="134"/>
      <c r="S164" s="134"/>
      <c r="T164" s="134"/>
      <c r="U164" s="134"/>
      <c r="W164" s="135" t="str">
        <f aca="false">IF($A164="","",IF($X164&lt;&gt;"",$X164,IFERROR(INDEX('Formation Initiale'!$B$2:$B$999,MATCH($A164,'Formation Initiale'!$A$2:$A$999,0)),"Général")))</f>
        <v>RET</v>
      </c>
      <c r="X164" s="136"/>
    </row>
    <row r="165" customFormat="false" ht="15" hidden="true" customHeight="true" outlineLevel="0" collapsed="false">
      <c r="A165" s="127" t="str">
        <f aca="false">IF(B165="","","TR"&amp;TEXT(ROW()-1,"000"))</f>
        <v>TR164</v>
      </c>
      <c r="B165" s="128" t="s">
        <v>645</v>
      </c>
      <c r="C165" s="128" t="s">
        <v>646</v>
      </c>
      <c r="D165" s="129" t="s">
        <v>171</v>
      </c>
      <c r="E165" s="130" t="str">
        <f aca="false">IF($O165="✓","✓",IF(ISNUMBER($O165),TEXT($O165,"yyyy-mm-dd"),IF($A165="","",IF(SUMPRODUCT(('Formation Initiale'!$A$2:$A$999=$A165)*('Formation Initiale'!$R$2:$R$999="Terminé"))&gt;0,"✓",IF(SUMPRODUCT(MAX(('Formation Initiale'!$A$2:$A$999=$A165)*'Formation Initiale'!$G$2:$G$999))&gt;0,TEXT(SUMPRODUCT(MAX(('Formation Initiale'!$A$2:$A$999=$A165)*'Formation Initiale'!$G$2:$G$999)),"yyyy-mm-dd"),"")))))</f>
        <v>2026-06-15</v>
      </c>
      <c r="F165" s="131" t="str">
        <f aca="false">IF($P165="✓","✓",IF(ISNUMBER($P165),TEXT($P165,"yyyy-mm-dd"),IF($A165="","",IF($D165="Lisbonne","",IF(SUMPRODUCT(('Formation Initiale'!$A$2:$A$999=$A165)*('Formation Initiale'!$R$2:$R$999="Terminé"))&gt;0,"✓",IF(SUMPRODUCT(MAX(('Formation Initiale'!$A$2:$A$999=$A165)*'Formation Initiale'!$G$2:$G$999))&gt;0,TEXT(SUMPRODUCT(MAX(('Formation Initiale'!$A$2:$A$999=$A165)*'Formation Initiale'!$G$2:$G$999)),"yyyy-mm-dd"),""))))))</f>
        <v>2026-06-15</v>
      </c>
      <c r="G165" s="131" t="str">
        <f aca="false">IF($Q165="✓","✓",IF(ISNUMBER($Q165),TEXT($Q165,"yyyy-mm-dd"),IF($A165="","",IF(SUMPRODUCT(('Agences &amp; Après-vente'!$A$2:$A$1000=$A165)*(('Agences &amp; Après-vente'!$D$2:$D$1000="Agences")+('Agences &amp; Après-vente'!$D$2:$D$1000="Agences et Après-vente"))*('Agences &amp; Après-vente'!$I$2:$I$1000="DONE"))&gt;0,"✓",IF(SUMPRODUCT(MAX(('Agences &amp; Après-vente'!$A$2:$A$1000=$A165)*(('Agences &amp; Après-vente'!$D$2:$D$1000="Agences")+('Agences &amp; Après-vente'!$D$2:$D$1000="Agences et Après-vente"))*'Agences &amp; Après-vente'!$E$2:$E$1000))&gt;0,TEXT(SUMPRODUCT(MAX(('Agences &amp; Après-vente'!$A$2:$A$1000=$A165)*(('Agences &amp; Après-vente'!$D$2:$D$1000="Agences")+('Agences &amp; Après-vente'!$D$2:$D$1000="Agences et Après-vente"))*'Agences &amp; Après-vente'!$E$2:$E$1000)),"yyyy-mm-dd"),"")))))</f>
        <v>2026-06-15</v>
      </c>
      <c r="H165" s="131" t="str">
        <f aca="false">IF($R165="✓","✓",IF(ISNUMBER($R165),TEXT($R165,"yyyy-mm-dd"),IF($A165="","",IF($D165="Lisbonne","",IF(SUMPRODUCT(('Agences &amp; Après-vente'!$A$2:$A$1000=$A165)*(('Agences &amp; Après-vente'!$D$2:$D$1000="Agences")+('Agences &amp; Après-vente'!$D$2:$D$1000="Agences et Après-vente"))*('Agences &amp; Après-vente'!$I$2:$I$1000="DONE"))&gt;0,"✓",IF(SUMPRODUCT(MAX(('Agences &amp; Après-vente'!$A$2:$A$1000=$A165)*(('Agences &amp; Après-vente'!$D$2:$D$1000="Agences")+('Agences &amp; Après-vente'!$D$2:$D$1000="Agences et Après-vente"))*'Agences &amp; Après-vente'!$E$2:$E$1000))&gt;0,TEXT(SUMPRODUCT(MAX(('Agences &amp; Après-vente'!$A$2:$A$1000=$A165)*(('Agences &amp; Après-vente'!$D$2:$D$1000="Agences")+('Agences &amp; Après-vente'!$D$2:$D$1000="Agences et Après-vente"))*'Agences &amp; Après-vente'!$E$2:$E$1000)),"yyyy-mm-dd"),""))))))</f>
        <v>2026-06-15</v>
      </c>
      <c r="I165" s="131" t="str">
        <f aca="false">IF($S165="✓","✓",IF(ISNUMBER($S165),TEXT($S165,"yyyy-mm-dd"),IF($A165="","",IF(SUMPRODUCT(('Agences &amp; Après-vente'!$A$2:$A$1000=$A165)*(('Agences &amp; Après-vente'!$D$2:$D$1000="Après-vente")+('Agences &amp; Après-vente'!$D$2:$D$1000="Agences et Après-vente"))*('Agences &amp; Après-vente'!$I$2:$I$1000="DONE"))&gt;0,"✓",IF(SUMPRODUCT(MAX(('Agences &amp; Après-vente'!$A$2:$A$1000=$A165)*(('Agences &amp; Après-vente'!$D$2:$D$1000="Après-vente")+('Agences &amp; Après-vente'!$D$2:$D$1000="Agences et Après-vente"))*'Agences &amp; Après-vente'!$E$2:$E$1000))&gt;0,TEXT(SUMPRODUCT(MAX(('Agences &amp; Après-vente'!$A$2:$A$1000=$A165)*(('Agences &amp; Après-vente'!$D$2:$D$1000="Après-vente")+('Agences &amp; Après-vente'!$D$2:$D$1000="Agences et Après-vente"))*'Agences &amp; Après-vente'!$E$2:$E$1000)),"yyyy-mm-dd"),"")))))</f>
        <v>2026-06-15</v>
      </c>
      <c r="J165" s="131" t="str">
        <f aca="false">IF($T165="✓","✓",IF(ISNUMBER($T165),TEXT($T165,"yyyy-mm-dd"),IF($A165="","",IF($D165="Lisbonne","",IF(SUMPRODUCT(('Agences &amp; Après-vente'!$A$2:$A$1000=$A165)*(('Agences &amp; Après-vente'!$D$2:$D$1000="Après-vente")+('Agences &amp; Après-vente'!$D$2:$D$1000="Agences et Après-vente"))*('Agences &amp; Après-vente'!$I$2:$I$1000="DONE"))&gt;0,"✓",IF(SUMPRODUCT(MAX(('Agences &amp; Après-vente'!$A$2:$A$1000=$A165)*(('Agences &amp; Après-vente'!$D$2:$D$1000="Après-vente")+('Agences &amp; Après-vente'!$D$2:$D$1000="Agences et Après-vente"))*'Agences &amp; Après-vente'!$E$2:$E$1000))&gt;0,TEXT(SUMPRODUCT(MAX(('Agences &amp; Après-vente'!$A$2:$A$1000=$A165)*(('Agences &amp; Après-vente'!$D$2:$D$1000="Après-vente")+('Agences &amp; Après-vente'!$D$2:$D$1000="Agences et Après-vente"))*'Agences &amp; Après-vente'!$E$2:$E$1000)),"yyyy-mm-dd"),""))))))</f>
        <v>2026-06-15</v>
      </c>
      <c r="K165" s="131" t="str">
        <f aca="false">IF($U165="✓","✓",IF(ISNUMBER($U165),TEXT($U165,"yyyy-mm-dd"),IF($D165="Lisbonne","",IF($A165="","",IF(SUMPRODUCT((Evermont!$A$2:$A$1000=$A165)*(Evermont!$Q$2:$Q$1000="Terminé"))&gt;0,"✓",IF(SUMPRODUCT(MAX((Evermont!$A$2:$A$1000=$A165)*Evermont!$F$2:$F$1000))&gt;0,TEXT(SUMPRODUCT(MAX((Evermont!$A$2:$A$1000=$A165)*Evermont!$F$2:$F$1000)),"yyyy-mm-dd"),""))))))</f>
        <v/>
      </c>
      <c r="L165" s="132" t="n">
        <f aca="false">IF($A165="","",COUNTIF(E165:K165,"✓"))</f>
        <v>0</v>
      </c>
      <c r="M165" s="133" t="str">
        <f aca="false">IF(B165="","","Active")</f>
        <v>Active</v>
      </c>
      <c r="O165" s="134"/>
      <c r="P165" s="134"/>
      <c r="Q165" s="134"/>
      <c r="R165" s="134"/>
      <c r="S165" s="134"/>
      <c r="T165" s="134"/>
      <c r="U165" s="134"/>
      <c r="W165" s="135" t="str">
        <f aca="false">IF($A165="","",IF($X165&lt;&gt;"",$X165,IFERROR(INDEX('Formation Initiale'!$B$2:$B$999,MATCH($A165,'Formation Initiale'!$A$2:$A$999,0)),"Général")))</f>
        <v>RET</v>
      </c>
      <c r="X165" s="136"/>
    </row>
    <row r="166" customFormat="false" ht="15" hidden="true" customHeight="true" outlineLevel="0" collapsed="false">
      <c r="A166" s="138" t="str">
        <f aca="false">IF(B166="","","TR"&amp;TEXT(ROW()-1,"000"))</f>
        <v>TR165</v>
      </c>
      <c r="B166" s="128" t="s">
        <v>647</v>
      </c>
      <c r="C166" s="128" t="s">
        <v>648</v>
      </c>
      <c r="D166" s="129" t="s">
        <v>171</v>
      </c>
      <c r="E166" s="130" t="str">
        <f aca="false">IF($O166="✓","✓",IF(ISNUMBER($O166),TEXT($O166,"yyyy-mm-dd"),IF($A166="","",IF(SUMPRODUCT(('Formation Initiale'!$A$2:$A$999=$A166)*('Formation Initiale'!$R$2:$R$999="Terminé"))&gt;0,"✓",IF(SUMPRODUCT(MAX(('Formation Initiale'!$A$2:$A$999=$A166)*'Formation Initiale'!$G$2:$G$999))&gt;0,TEXT(SUMPRODUCT(MAX(('Formation Initiale'!$A$2:$A$999=$A166)*'Formation Initiale'!$G$2:$G$999)),"yyyy-mm-dd"),"")))))</f>
        <v>2026-06-16</v>
      </c>
      <c r="F166" s="131" t="str">
        <f aca="false">IF($P166="✓","✓",IF(ISNUMBER($P166),TEXT($P166,"yyyy-mm-dd"),IF($A166="","",IF($D166="Lisbonne","",IF(SUMPRODUCT(('Formation Initiale'!$A$2:$A$999=$A166)*('Formation Initiale'!$R$2:$R$999="Terminé"))&gt;0,"✓",IF(SUMPRODUCT(MAX(('Formation Initiale'!$A$2:$A$999=$A166)*'Formation Initiale'!$G$2:$G$999))&gt;0,TEXT(SUMPRODUCT(MAX(('Formation Initiale'!$A$2:$A$999=$A166)*'Formation Initiale'!$G$2:$G$999)),"yyyy-mm-dd"),""))))))</f>
        <v>2026-06-16</v>
      </c>
      <c r="G166" s="131" t="str">
        <f aca="false">IF($Q166="✓","✓",IF(ISNUMBER($Q166),TEXT($Q166,"yyyy-mm-dd"),IF($A166="","",IF(SUMPRODUCT(('Agences &amp; Après-vente'!$A$2:$A$1000=$A166)*(('Agences &amp; Après-vente'!$D$2:$D$1000="Agences")+('Agences &amp; Après-vente'!$D$2:$D$1000="Agences et Après-vente"))*('Agences &amp; Après-vente'!$I$2:$I$1000="DONE"))&gt;0,"✓",IF(SUMPRODUCT(MAX(('Agences &amp; Après-vente'!$A$2:$A$1000=$A166)*(('Agences &amp; Après-vente'!$D$2:$D$1000="Agences")+('Agences &amp; Après-vente'!$D$2:$D$1000="Agences et Après-vente"))*'Agences &amp; Après-vente'!$E$2:$E$1000))&gt;0,TEXT(SUMPRODUCT(MAX(('Agences &amp; Après-vente'!$A$2:$A$1000=$A166)*(('Agences &amp; Après-vente'!$D$2:$D$1000="Agences")+('Agences &amp; Après-vente'!$D$2:$D$1000="Agences et Après-vente"))*'Agences &amp; Après-vente'!$E$2:$E$1000)),"yyyy-mm-dd"),"")))))</f>
        <v/>
      </c>
      <c r="H166" s="131" t="str">
        <f aca="false">IF($R166="✓","✓",IF(ISNUMBER($R166),TEXT($R166,"yyyy-mm-dd"),IF($A166="","",IF($D166="Lisbonne","",IF(SUMPRODUCT(('Agences &amp; Après-vente'!$A$2:$A$1000=$A166)*(('Agences &amp; Après-vente'!$D$2:$D$1000="Agences")+('Agences &amp; Après-vente'!$D$2:$D$1000="Agences et Après-vente"))*('Agences &amp; Après-vente'!$I$2:$I$1000="DONE"))&gt;0,"✓",IF(SUMPRODUCT(MAX(('Agences &amp; Après-vente'!$A$2:$A$1000=$A166)*(('Agences &amp; Après-vente'!$D$2:$D$1000="Agences")+('Agences &amp; Après-vente'!$D$2:$D$1000="Agences et Après-vente"))*'Agences &amp; Après-vente'!$E$2:$E$1000))&gt;0,TEXT(SUMPRODUCT(MAX(('Agences &amp; Après-vente'!$A$2:$A$1000=$A166)*(('Agences &amp; Après-vente'!$D$2:$D$1000="Agences")+('Agences &amp; Après-vente'!$D$2:$D$1000="Agences et Après-vente"))*'Agences &amp; Après-vente'!$E$2:$E$1000)),"yyyy-mm-dd"),""))))))</f>
        <v/>
      </c>
      <c r="I166" s="131" t="str">
        <f aca="false">IF($S166="✓","✓",IF(ISNUMBER($S166),TEXT($S166,"yyyy-mm-dd"),IF($A166="","",IF(SUMPRODUCT(('Agences &amp; Après-vente'!$A$2:$A$1000=$A166)*(('Agences &amp; Après-vente'!$D$2:$D$1000="Après-vente")+('Agences &amp; Après-vente'!$D$2:$D$1000="Agences et Après-vente"))*('Agences &amp; Après-vente'!$I$2:$I$1000="DONE"))&gt;0,"✓",IF(SUMPRODUCT(MAX(('Agences &amp; Après-vente'!$A$2:$A$1000=$A166)*(('Agences &amp; Après-vente'!$D$2:$D$1000="Après-vente")+('Agences &amp; Après-vente'!$D$2:$D$1000="Agences et Après-vente"))*'Agences &amp; Après-vente'!$E$2:$E$1000))&gt;0,TEXT(SUMPRODUCT(MAX(('Agences &amp; Après-vente'!$A$2:$A$1000=$A166)*(('Agences &amp; Après-vente'!$D$2:$D$1000="Après-vente")+('Agences &amp; Après-vente'!$D$2:$D$1000="Agences et Après-vente"))*'Agences &amp; Après-vente'!$E$2:$E$1000)),"yyyy-mm-dd"),"")))))</f>
        <v/>
      </c>
      <c r="J166" s="131" t="str">
        <f aca="false">IF($T166="✓","✓",IF(ISNUMBER($T166),TEXT($T166,"yyyy-mm-dd"),IF($A166="","",IF($D166="Lisbonne","",IF(SUMPRODUCT(('Agences &amp; Après-vente'!$A$2:$A$1000=$A166)*(('Agences &amp; Après-vente'!$D$2:$D$1000="Après-vente")+('Agences &amp; Après-vente'!$D$2:$D$1000="Agences et Après-vente"))*('Agences &amp; Après-vente'!$I$2:$I$1000="DONE"))&gt;0,"✓",IF(SUMPRODUCT(MAX(('Agences &amp; Après-vente'!$A$2:$A$1000=$A166)*(('Agences &amp; Après-vente'!$D$2:$D$1000="Après-vente")+('Agences &amp; Après-vente'!$D$2:$D$1000="Agences et Après-vente"))*'Agences &amp; Après-vente'!$E$2:$E$1000))&gt;0,TEXT(SUMPRODUCT(MAX(('Agences &amp; Après-vente'!$A$2:$A$1000=$A166)*(('Agences &amp; Après-vente'!$D$2:$D$1000="Après-vente")+('Agences &amp; Après-vente'!$D$2:$D$1000="Agences et Après-vente"))*'Agences &amp; Après-vente'!$E$2:$E$1000)),"yyyy-mm-dd"),""))))))</f>
        <v/>
      </c>
      <c r="K166" s="131" t="str">
        <f aca="false">IF($U166="✓","✓",IF(ISNUMBER($U166),TEXT($U166,"yyyy-mm-dd"),IF($D166="Lisbonne","",IF($A166="","",IF(SUMPRODUCT((Evermont!$A$2:$A$1000=$A166)*(Evermont!$Q$2:$Q$1000="Terminé"))&gt;0,"✓",IF(SUMPRODUCT(MAX((Evermont!$A$2:$A$1000=$A166)*Evermont!$F$2:$F$1000))&gt;0,TEXT(SUMPRODUCT(MAX((Evermont!$A$2:$A$1000=$A166)*Evermont!$F$2:$F$1000)),"yyyy-mm-dd"),""))))))</f>
        <v/>
      </c>
      <c r="L166" s="132" t="n">
        <f aca="false">IF($A166="","",COUNTIF(E166:K166,"✓"))</f>
        <v>0</v>
      </c>
      <c r="M166" s="133" t="str">
        <f aca="false">IF(B166="","","Active")</f>
        <v>Active</v>
      </c>
      <c r="O166" s="134"/>
      <c r="P166" s="134"/>
      <c r="Q166" s="134"/>
      <c r="R166" s="134"/>
      <c r="S166" s="134"/>
      <c r="T166" s="134"/>
      <c r="U166" s="134"/>
      <c r="W166" s="135" t="n">
        <f aca="false">IF($A166="","",IF($X166&lt;&gt;"",$X166,IFERROR(INDEX('Formation Initiale'!$B$2:$B$999,MATCH($A166,'Formation Initiale'!$A$2:$A$999,0)),"Général")))</f>
        <v>178</v>
      </c>
      <c r="X166" s="136"/>
    </row>
    <row r="167" customFormat="false" ht="15" hidden="true" customHeight="true" outlineLevel="0" collapsed="false">
      <c r="A167" s="139" t="str">
        <f aca="false">IF(B167="","","TR"&amp;TEXT(ROW()-1,"000"))</f>
        <v>TR166</v>
      </c>
      <c r="B167" s="128" t="s">
        <v>649</v>
      </c>
      <c r="C167" s="128" t="s">
        <v>650</v>
      </c>
      <c r="D167" s="129" t="s">
        <v>171</v>
      </c>
      <c r="E167" s="130" t="str">
        <f aca="false">IF($O167="✓","✓",IF(ISNUMBER($O167),TEXT($O167,"yyyy-mm-dd"),IF($A167="","",IF(SUMPRODUCT(('Formation Initiale'!$A$2:$A$999=$A167)*('Formation Initiale'!$R$2:$R$999="Terminé"))&gt;0,"✓",IF(SUMPRODUCT(MAX(('Formation Initiale'!$A$2:$A$999=$A167)*'Formation Initiale'!$G$2:$G$999))&gt;0,TEXT(SUMPRODUCT(MAX(('Formation Initiale'!$A$2:$A$999=$A167)*'Formation Initiale'!$G$2:$G$999)),"yyyy-mm-dd"),"")))))</f>
        <v>2026-06-16</v>
      </c>
      <c r="F167" s="131" t="str">
        <f aca="false">IF($P167="✓","✓",IF(ISNUMBER($P167),TEXT($P167,"yyyy-mm-dd"),IF($A167="","",IF($D167="Lisbonne","",IF(SUMPRODUCT(('Formation Initiale'!$A$2:$A$999=$A167)*('Formation Initiale'!$R$2:$R$999="Terminé"))&gt;0,"✓",IF(SUMPRODUCT(MAX(('Formation Initiale'!$A$2:$A$999=$A167)*'Formation Initiale'!$G$2:$G$999))&gt;0,TEXT(SUMPRODUCT(MAX(('Formation Initiale'!$A$2:$A$999=$A167)*'Formation Initiale'!$G$2:$G$999)),"yyyy-mm-dd"),""))))))</f>
        <v>2026-06-16</v>
      </c>
      <c r="G167" s="131" t="str">
        <f aca="false">IF($Q167="✓","✓",IF(ISNUMBER($Q167),TEXT($Q167,"yyyy-mm-dd"),IF($A167="","",IF(SUMPRODUCT(('Agences &amp; Après-vente'!$A$2:$A$1000=$A167)*(('Agences &amp; Après-vente'!$D$2:$D$1000="Agences")+('Agences &amp; Après-vente'!$D$2:$D$1000="Agences et Après-vente"))*('Agences &amp; Après-vente'!$I$2:$I$1000="DONE"))&gt;0,"✓",IF(SUMPRODUCT(MAX(('Agences &amp; Après-vente'!$A$2:$A$1000=$A167)*(('Agences &amp; Après-vente'!$D$2:$D$1000="Agences")+('Agences &amp; Après-vente'!$D$2:$D$1000="Agences et Après-vente"))*'Agences &amp; Après-vente'!$E$2:$E$1000))&gt;0,TEXT(SUMPRODUCT(MAX(('Agences &amp; Après-vente'!$A$2:$A$1000=$A167)*(('Agences &amp; Après-vente'!$D$2:$D$1000="Agences")+('Agences &amp; Après-vente'!$D$2:$D$1000="Agences et Après-vente"))*'Agences &amp; Après-vente'!$E$2:$E$1000)),"yyyy-mm-dd"),"")))))</f>
        <v/>
      </c>
      <c r="H167" s="131" t="str">
        <f aca="false">IF($R167="✓","✓",IF(ISNUMBER($R167),TEXT($R167,"yyyy-mm-dd"),IF($A167="","",IF($D167="Lisbonne","",IF(SUMPRODUCT(('Agences &amp; Après-vente'!$A$2:$A$1000=$A167)*(('Agences &amp; Après-vente'!$D$2:$D$1000="Agences")+('Agences &amp; Après-vente'!$D$2:$D$1000="Agences et Après-vente"))*('Agences &amp; Après-vente'!$I$2:$I$1000="DONE"))&gt;0,"✓",IF(SUMPRODUCT(MAX(('Agences &amp; Après-vente'!$A$2:$A$1000=$A167)*(('Agences &amp; Après-vente'!$D$2:$D$1000="Agences")+('Agences &amp; Après-vente'!$D$2:$D$1000="Agences et Après-vente"))*'Agences &amp; Après-vente'!$E$2:$E$1000))&gt;0,TEXT(SUMPRODUCT(MAX(('Agences &amp; Après-vente'!$A$2:$A$1000=$A167)*(('Agences &amp; Après-vente'!$D$2:$D$1000="Agences")+('Agences &amp; Après-vente'!$D$2:$D$1000="Agences et Après-vente"))*'Agences &amp; Après-vente'!$E$2:$E$1000)),"yyyy-mm-dd"),""))))))</f>
        <v/>
      </c>
      <c r="I167" s="131" t="str">
        <f aca="false">IF($S167="✓","✓",IF(ISNUMBER($S167),TEXT($S167,"yyyy-mm-dd"),IF($A167="","",IF(SUMPRODUCT(('Agences &amp; Après-vente'!$A$2:$A$1000=$A167)*(('Agences &amp; Après-vente'!$D$2:$D$1000="Après-vente")+('Agences &amp; Après-vente'!$D$2:$D$1000="Agences et Après-vente"))*('Agences &amp; Après-vente'!$I$2:$I$1000="DONE"))&gt;0,"✓",IF(SUMPRODUCT(MAX(('Agences &amp; Après-vente'!$A$2:$A$1000=$A167)*(('Agences &amp; Après-vente'!$D$2:$D$1000="Après-vente")+('Agences &amp; Après-vente'!$D$2:$D$1000="Agences et Après-vente"))*'Agences &amp; Après-vente'!$E$2:$E$1000))&gt;0,TEXT(SUMPRODUCT(MAX(('Agences &amp; Après-vente'!$A$2:$A$1000=$A167)*(('Agences &amp; Après-vente'!$D$2:$D$1000="Après-vente")+('Agences &amp; Après-vente'!$D$2:$D$1000="Agences et Après-vente"))*'Agences &amp; Après-vente'!$E$2:$E$1000)),"yyyy-mm-dd"),"")))))</f>
        <v/>
      </c>
      <c r="J167" s="131" t="str">
        <f aca="false">IF($T167="✓","✓",IF(ISNUMBER($T167),TEXT($T167,"yyyy-mm-dd"),IF($A167="","",IF($D167="Lisbonne","",IF(SUMPRODUCT(('Agences &amp; Après-vente'!$A$2:$A$1000=$A167)*(('Agences &amp; Après-vente'!$D$2:$D$1000="Après-vente")+('Agences &amp; Après-vente'!$D$2:$D$1000="Agences et Après-vente"))*('Agences &amp; Après-vente'!$I$2:$I$1000="DONE"))&gt;0,"✓",IF(SUMPRODUCT(MAX(('Agences &amp; Après-vente'!$A$2:$A$1000=$A167)*(('Agences &amp; Après-vente'!$D$2:$D$1000="Après-vente")+('Agences &amp; Après-vente'!$D$2:$D$1000="Agences et Après-vente"))*'Agences &amp; Après-vente'!$E$2:$E$1000))&gt;0,TEXT(SUMPRODUCT(MAX(('Agences &amp; Après-vente'!$A$2:$A$1000=$A167)*(('Agences &amp; Après-vente'!$D$2:$D$1000="Après-vente")+('Agences &amp; Après-vente'!$D$2:$D$1000="Agences et Après-vente"))*'Agences &amp; Après-vente'!$E$2:$E$1000)),"yyyy-mm-dd"),""))))))</f>
        <v/>
      </c>
      <c r="K167" s="131" t="str">
        <f aca="false">IF($U167="✓","✓",IF(ISNUMBER($U167),TEXT($U167,"yyyy-mm-dd"),IF($D167="Lisbonne","",IF($A167="","",IF(SUMPRODUCT((Evermont!$A$2:$A$1000=$A167)*(Evermont!$Q$2:$Q$1000="Terminé"))&gt;0,"✓",IF(SUMPRODUCT(MAX((Evermont!$A$2:$A$1000=$A167)*Evermont!$F$2:$F$1000))&gt;0,TEXT(SUMPRODUCT(MAX((Evermont!$A$2:$A$1000=$A167)*Evermont!$F$2:$F$1000)),"yyyy-mm-dd"),""))))))</f>
        <v/>
      </c>
      <c r="L167" s="132" t="n">
        <f aca="false">IF($A167="","",COUNTIF(E167:K167,"✓"))</f>
        <v>0</v>
      </c>
      <c r="M167" s="133" t="str">
        <f aca="false">IF(B167="","","Active")</f>
        <v>Active</v>
      </c>
      <c r="O167" s="134"/>
      <c r="P167" s="134"/>
      <c r="Q167" s="134"/>
      <c r="R167" s="134"/>
      <c r="S167" s="134"/>
      <c r="T167" s="134"/>
      <c r="U167" s="134"/>
      <c r="W167" s="135" t="n">
        <f aca="false">IF($A167="","",IF($X167&lt;&gt;"",$X167,IFERROR(INDEX('Formation Initiale'!$B$2:$B$999,MATCH($A167,'Formation Initiale'!$A$2:$A$999,0)),"Général")))</f>
        <v>178</v>
      </c>
      <c r="X167" s="136"/>
    </row>
    <row r="168" customFormat="false" ht="15" hidden="true" customHeight="true" outlineLevel="0" collapsed="false">
      <c r="A168" s="139" t="str">
        <f aca="false">IF(B168="","","TR"&amp;TEXT(ROW()-1,"000"))</f>
        <v>TR167</v>
      </c>
      <c r="B168" s="128" t="s">
        <v>651</v>
      </c>
      <c r="C168" s="128" t="s">
        <v>652</v>
      </c>
      <c r="D168" s="129" t="s">
        <v>171</v>
      </c>
      <c r="E168" s="130" t="str">
        <f aca="false">IF($O168="✓","✓",IF(ISNUMBER($O168),TEXT($O168,"yyyy-mm-dd"),IF($A168="","",IF(SUMPRODUCT(('Formation Initiale'!$A$2:$A$999=$A168)*('Formation Initiale'!$R$2:$R$999="Terminé"))&gt;0,"✓",IF(SUMPRODUCT(MAX(('Formation Initiale'!$A$2:$A$999=$A168)*'Formation Initiale'!$G$2:$G$999))&gt;0,TEXT(SUMPRODUCT(MAX(('Formation Initiale'!$A$2:$A$999=$A168)*'Formation Initiale'!$G$2:$G$999)),"yyyy-mm-dd"),"")))))</f>
        <v>2026-06-16</v>
      </c>
      <c r="F168" s="131" t="str">
        <f aca="false">IF($P168="✓","✓",IF(ISNUMBER($P168),TEXT($P168,"yyyy-mm-dd"),IF($A168="","",IF($D168="Lisbonne","",IF(SUMPRODUCT(('Formation Initiale'!$A$2:$A$999=$A168)*('Formation Initiale'!$R$2:$R$999="Terminé"))&gt;0,"✓",IF(SUMPRODUCT(MAX(('Formation Initiale'!$A$2:$A$999=$A168)*'Formation Initiale'!$G$2:$G$999))&gt;0,TEXT(SUMPRODUCT(MAX(('Formation Initiale'!$A$2:$A$999=$A168)*'Formation Initiale'!$G$2:$G$999)),"yyyy-mm-dd"),""))))))</f>
        <v>2026-06-16</v>
      </c>
      <c r="G168" s="131" t="str">
        <f aca="false">IF($Q168="✓","✓",IF(ISNUMBER($Q168),TEXT($Q168,"yyyy-mm-dd"),IF($A168="","",IF(SUMPRODUCT(('Agences &amp; Après-vente'!$A$2:$A$1000=$A168)*(('Agences &amp; Après-vente'!$D$2:$D$1000="Agences")+('Agences &amp; Après-vente'!$D$2:$D$1000="Agences et Après-vente"))*('Agences &amp; Après-vente'!$I$2:$I$1000="DONE"))&gt;0,"✓",IF(SUMPRODUCT(MAX(('Agences &amp; Après-vente'!$A$2:$A$1000=$A168)*(('Agences &amp; Après-vente'!$D$2:$D$1000="Agences")+('Agences &amp; Après-vente'!$D$2:$D$1000="Agences et Après-vente"))*'Agences &amp; Après-vente'!$E$2:$E$1000))&gt;0,TEXT(SUMPRODUCT(MAX(('Agences &amp; Après-vente'!$A$2:$A$1000=$A168)*(('Agences &amp; Après-vente'!$D$2:$D$1000="Agences")+('Agences &amp; Après-vente'!$D$2:$D$1000="Agences et Après-vente"))*'Agences &amp; Après-vente'!$E$2:$E$1000)),"yyyy-mm-dd"),"")))))</f>
        <v/>
      </c>
      <c r="H168" s="131" t="str">
        <f aca="false">IF($R168="✓","✓",IF(ISNUMBER($R168),TEXT($R168,"yyyy-mm-dd"),IF($A168="","",IF($D168="Lisbonne","",IF(SUMPRODUCT(('Agences &amp; Après-vente'!$A$2:$A$1000=$A168)*(('Agences &amp; Après-vente'!$D$2:$D$1000="Agences")+('Agences &amp; Après-vente'!$D$2:$D$1000="Agences et Après-vente"))*('Agences &amp; Après-vente'!$I$2:$I$1000="DONE"))&gt;0,"✓",IF(SUMPRODUCT(MAX(('Agences &amp; Après-vente'!$A$2:$A$1000=$A168)*(('Agences &amp; Après-vente'!$D$2:$D$1000="Agences")+('Agences &amp; Après-vente'!$D$2:$D$1000="Agences et Après-vente"))*'Agences &amp; Après-vente'!$E$2:$E$1000))&gt;0,TEXT(SUMPRODUCT(MAX(('Agences &amp; Après-vente'!$A$2:$A$1000=$A168)*(('Agences &amp; Après-vente'!$D$2:$D$1000="Agences")+('Agences &amp; Après-vente'!$D$2:$D$1000="Agences et Après-vente"))*'Agences &amp; Après-vente'!$E$2:$E$1000)),"yyyy-mm-dd"),""))))))</f>
        <v/>
      </c>
      <c r="I168" s="131" t="str">
        <f aca="false">IF($S168="✓","✓",IF(ISNUMBER($S168),TEXT($S168,"yyyy-mm-dd"),IF($A168="","",IF(SUMPRODUCT(('Agences &amp; Après-vente'!$A$2:$A$1000=$A168)*(('Agences &amp; Après-vente'!$D$2:$D$1000="Après-vente")+('Agences &amp; Après-vente'!$D$2:$D$1000="Agences et Après-vente"))*('Agences &amp; Après-vente'!$I$2:$I$1000="DONE"))&gt;0,"✓",IF(SUMPRODUCT(MAX(('Agences &amp; Après-vente'!$A$2:$A$1000=$A168)*(('Agences &amp; Après-vente'!$D$2:$D$1000="Après-vente")+('Agences &amp; Après-vente'!$D$2:$D$1000="Agences et Après-vente"))*'Agences &amp; Après-vente'!$E$2:$E$1000))&gt;0,TEXT(SUMPRODUCT(MAX(('Agences &amp; Après-vente'!$A$2:$A$1000=$A168)*(('Agences &amp; Après-vente'!$D$2:$D$1000="Après-vente")+('Agences &amp; Après-vente'!$D$2:$D$1000="Agences et Après-vente"))*'Agences &amp; Après-vente'!$E$2:$E$1000)),"yyyy-mm-dd"),"")))))</f>
        <v/>
      </c>
      <c r="J168" s="131" t="str">
        <f aca="false">IF($T168="✓","✓",IF(ISNUMBER($T168),TEXT($T168,"yyyy-mm-dd"),IF($A168="","",IF($D168="Lisbonne","",IF(SUMPRODUCT(('Agences &amp; Après-vente'!$A$2:$A$1000=$A168)*(('Agences &amp; Après-vente'!$D$2:$D$1000="Après-vente")+('Agences &amp; Après-vente'!$D$2:$D$1000="Agences et Après-vente"))*('Agences &amp; Après-vente'!$I$2:$I$1000="DONE"))&gt;0,"✓",IF(SUMPRODUCT(MAX(('Agences &amp; Après-vente'!$A$2:$A$1000=$A168)*(('Agences &amp; Après-vente'!$D$2:$D$1000="Après-vente")+('Agences &amp; Après-vente'!$D$2:$D$1000="Agences et Après-vente"))*'Agences &amp; Après-vente'!$E$2:$E$1000))&gt;0,TEXT(SUMPRODUCT(MAX(('Agences &amp; Après-vente'!$A$2:$A$1000=$A168)*(('Agences &amp; Après-vente'!$D$2:$D$1000="Après-vente")+('Agences &amp; Après-vente'!$D$2:$D$1000="Agences et Après-vente"))*'Agences &amp; Après-vente'!$E$2:$E$1000)),"yyyy-mm-dd"),""))))))</f>
        <v/>
      </c>
      <c r="K168" s="131" t="str">
        <f aca="false">IF($U168="✓","✓",IF(ISNUMBER($U168),TEXT($U168,"yyyy-mm-dd"),IF($D168="Lisbonne","",IF($A168="","",IF(SUMPRODUCT((Evermont!$A$2:$A$1000=$A168)*(Evermont!$Q$2:$Q$1000="Terminé"))&gt;0,"✓",IF(SUMPRODUCT(MAX((Evermont!$A$2:$A$1000=$A168)*Evermont!$F$2:$F$1000))&gt;0,TEXT(SUMPRODUCT(MAX((Evermont!$A$2:$A$1000=$A168)*Evermont!$F$2:$F$1000)),"yyyy-mm-dd"),""))))))</f>
        <v/>
      </c>
      <c r="L168" s="132" t="n">
        <f aca="false">IF($A168="","",COUNTIF(E168:K168,"✓"))</f>
        <v>0</v>
      </c>
      <c r="M168" s="133" t="str">
        <f aca="false">IF(B168="","","Active")</f>
        <v>Active</v>
      </c>
      <c r="O168" s="134"/>
      <c r="P168" s="134"/>
      <c r="Q168" s="134"/>
      <c r="R168" s="134"/>
      <c r="S168" s="134"/>
      <c r="T168" s="134"/>
      <c r="U168" s="134"/>
      <c r="W168" s="135" t="n">
        <f aca="false">IF($A168="","",IF($X168&lt;&gt;"",$X168,IFERROR(INDEX('Formation Initiale'!$B$2:$B$999,MATCH($A168,'Formation Initiale'!$A$2:$A$999,0)),"Général")))</f>
        <v>178</v>
      </c>
      <c r="X168" s="136"/>
    </row>
    <row r="169" customFormat="false" ht="15" hidden="true" customHeight="true" outlineLevel="0" collapsed="false">
      <c r="A169" s="139" t="str">
        <f aca="false">IF(B169="","","TR"&amp;TEXT(ROW()-1,"000"))</f>
        <v>TR168</v>
      </c>
      <c r="B169" s="128" t="s">
        <v>653</v>
      </c>
      <c r="C169" s="128" t="s">
        <v>654</v>
      </c>
      <c r="D169" s="129" t="s">
        <v>171</v>
      </c>
      <c r="E169" s="130" t="str">
        <f aca="false">IF($O169="✓","✓",IF(ISNUMBER($O169),TEXT($O169,"yyyy-mm-dd"),IF($A169="","",IF(SUMPRODUCT(('Formation Initiale'!$A$2:$A$999=$A169)*('Formation Initiale'!$R$2:$R$999="Terminé"))&gt;0,"✓",IF(SUMPRODUCT(MAX(('Formation Initiale'!$A$2:$A$999=$A169)*'Formation Initiale'!$G$2:$G$999))&gt;0,TEXT(SUMPRODUCT(MAX(('Formation Initiale'!$A$2:$A$999=$A169)*'Formation Initiale'!$G$2:$G$999)),"yyyy-mm-dd"),"")))))</f>
        <v>2026-06-16</v>
      </c>
      <c r="F169" s="131" t="str">
        <f aca="false">IF($P169="✓","✓",IF(ISNUMBER($P169),TEXT($P169,"yyyy-mm-dd"),IF($A169="","",IF($D169="Lisbonne","",IF(SUMPRODUCT(('Formation Initiale'!$A$2:$A$999=$A169)*('Formation Initiale'!$R$2:$R$999="Terminé"))&gt;0,"✓",IF(SUMPRODUCT(MAX(('Formation Initiale'!$A$2:$A$999=$A169)*'Formation Initiale'!$G$2:$G$999))&gt;0,TEXT(SUMPRODUCT(MAX(('Formation Initiale'!$A$2:$A$999=$A169)*'Formation Initiale'!$G$2:$G$999)),"yyyy-mm-dd"),""))))))</f>
        <v>2026-06-16</v>
      </c>
      <c r="G169" s="131" t="str">
        <f aca="false">IF($Q169="✓","✓",IF(ISNUMBER($Q169),TEXT($Q169,"yyyy-mm-dd"),IF($A169="","",IF(SUMPRODUCT(('Agences &amp; Après-vente'!$A$2:$A$1000=$A169)*(('Agences &amp; Après-vente'!$D$2:$D$1000="Agences")+('Agences &amp; Après-vente'!$D$2:$D$1000="Agences et Après-vente"))*('Agences &amp; Après-vente'!$I$2:$I$1000="DONE"))&gt;0,"✓",IF(SUMPRODUCT(MAX(('Agences &amp; Après-vente'!$A$2:$A$1000=$A169)*(('Agences &amp; Après-vente'!$D$2:$D$1000="Agences")+('Agences &amp; Après-vente'!$D$2:$D$1000="Agences et Après-vente"))*'Agences &amp; Après-vente'!$E$2:$E$1000))&gt;0,TEXT(SUMPRODUCT(MAX(('Agences &amp; Après-vente'!$A$2:$A$1000=$A169)*(('Agences &amp; Après-vente'!$D$2:$D$1000="Agences")+('Agences &amp; Après-vente'!$D$2:$D$1000="Agences et Après-vente"))*'Agences &amp; Après-vente'!$E$2:$E$1000)),"yyyy-mm-dd"),"")))))</f>
        <v/>
      </c>
      <c r="H169" s="131" t="str">
        <f aca="false">IF($R169="✓","✓",IF(ISNUMBER($R169),TEXT($R169,"yyyy-mm-dd"),IF($A169="","",IF($D169="Lisbonne","",IF(SUMPRODUCT(('Agences &amp; Après-vente'!$A$2:$A$1000=$A169)*(('Agences &amp; Après-vente'!$D$2:$D$1000="Agences")+('Agences &amp; Après-vente'!$D$2:$D$1000="Agences et Après-vente"))*('Agences &amp; Après-vente'!$I$2:$I$1000="DONE"))&gt;0,"✓",IF(SUMPRODUCT(MAX(('Agences &amp; Après-vente'!$A$2:$A$1000=$A169)*(('Agences &amp; Après-vente'!$D$2:$D$1000="Agences")+('Agences &amp; Après-vente'!$D$2:$D$1000="Agences et Après-vente"))*'Agences &amp; Après-vente'!$E$2:$E$1000))&gt;0,TEXT(SUMPRODUCT(MAX(('Agences &amp; Après-vente'!$A$2:$A$1000=$A169)*(('Agences &amp; Après-vente'!$D$2:$D$1000="Agences")+('Agences &amp; Après-vente'!$D$2:$D$1000="Agences et Après-vente"))*'Agences &amp; Après-vente'!$E$2:$E$1000)),"yyyy-mm-dd"),""))))))</f>
        <v/>
      </c>
      <c r="I169" s="131" t="str">
        <f aca="false">IF($S169="✓","✓",IF(ISNUMBER($S169),TEXT($S169,"yyyy-mm-dd"),IF($A169="","",IF(SUMPRODUCT(('Agences &amp; Après-vente'!$A$2:$A$1000=$A169)*(('Agences &amp; Après-vente'!$D$2:$D$1000="Après-vente")+('Agences &amp; Après-vente'!$D$2:$D$1000="Agences et Après-vente"))*('Agences &amp; Après-vente'!$I$2:$I$1000="DONE"))&gt;0,"✓",IF(SUMPRODUCT(MAX(('Agences &amp; Après-vente'!$A$2:$A$1000=$A169)*(('Agences &amp; Après-vente'!$D$2:$D$1000="Après-vente")+('Agences &amp; Après-vente'!$D$2:$D$1000="Agences et Après-vente"))*'Agences &amp; Après-vente'!$E$2:$E$1000))&gt;0,TEXT(SUMPRODUCT(MAX(('Agences &amp; Après-vente'!$A$2:$A$1000=$A169)*(('Agences &amp; Après-vente'!$D$2:$D$1000="Après-vente")+('Agences &amp; Après-vente'!$D$2:$D$1000="Agences et Après-vente"))*'Agences &amp; Après-vente'!$E$2:$E$1000)),"yyyy-mm-dd"),"")))))</f>
        <v/>
      </c>
      <c r="J169" s="131" t="str">
        <f aca="false">IF($T169="✓","✓",IF(ISNUMBER($T169),TEXT($T169,"yyyy-mm-dd"),IF($A169="","",IF($D169="Lisbonne","",IF(SUMPRODUCT(('Agences &amp; Après-vente'!$A$2:$A$1000=$A169)*(('Agences &amp; Après-vente'!$D$2:$D$1000="Après-vente")+('Agences &amp; Après-vente'!$D$2:$D$1000="Agences et Après-vente"))*('Agences &amp; Après-vente'!$I$2:$I$1000="DONE"))&gt;0,"✓",IF(SUMPRODUCT(MAX(('Agences &amp; Après-vente'!$A$2:$A$1000=$A169)*(('Agences &amp; Après-vente'!$D$2:$D$1000="Après-vente")+('Agences &amp; Après-vente'!$D$2:$D$1000="Agences et Après-vente"))*'Agences &amp; Après-vente'!$E$2:$E$1000))&gt;0,TEXT(SUMPRODUCT(MAX(('Agences &amp; Après-vente'!$A$2:$A$1000=$A169)*(('Agences &amp; Après-vente'!$D$2:$D$1000="Après-vente")+('Agences &amp; Après-vente'!$D$2:$D$1000="Agences et Après-vente"))*'Agences &amp; Après-vente'!$E$2:$E$1000)),"yyyy-mm-dd"),""))))))</f>
        <v/>
      </c>
      <c r="K169" s="131" t="str">
        <f aca="false">IF($U169="✓","✓",IF(ISNUMBER($U169),TEXT($U169,"yyyy-mm-dd"),IF($D169="Lisbonne","",IF($A169="","",IF(SUMPRODUCT((Evermont!$A$2:$A$1000=$A169)*(Evermont!$Q$2:$Q$1000="Terminé"))&gt;0,"✓",IF(SUMPRODUCT(MAX((Evermont!$A$2:$A$1000=$A169)*Evermont!$F$2:$F$1000))&gt;0,TEXT(SUMPRODUCT(MAX((Evermont!$A$2:$A$1000=$A169)*Evermont!$F$2:$F$1000)),"yyyy-mm-dd"),""))))))</f>
        <v/>
      </c>
      <c r="L169" s="132" t="n">
        <f aca="false">IF($A169="","",COUNTIF(E169:K169,"✓"))</f>
        <v>0</v>
      </c>
      <c r="M169" s="133" t="str">
        <f aca="false">IF(B169="","","Active")</f>
        <v>Active</v>
      </c>
      <c r="O169" s="134"/>
      <c r="P169" s="134"/>
      <c r="Q169" s="134"/>
      <c r="R169" s="134"/>
      <c r="S169" s="134"/>
      <c r="T169" s="134"/>
      <c r="U169" s="134"/>
      <c r="W169" s="135" t="n">
        <f aca="false">IF($A169="","",IF($X169&lt;&gt;"",$X169,IFERROR(INDEX('Formation Initiale'!$B$2:$B$999,MATCH($A169,'Formation Initiale'!$A$2:$A$999,0)),"Général")))</f>
        <v>178</v>
      </c>
      <c r="X169" s="136"/>
    </row>
    <row r="170" customFormat="false" ht="15" hidden="true" customHeight="true" outlineLevel="0" collapsed="false">
      <c r="A170" s="139" t="str">
        <f aca="false">IF(B170="","","TR"&amp;TEXT(ROW()-1,"000"))</f>
        <v>TR169</v>
      </c>
      <c r="B170" s="128" t="s">
        <v>655</v>
      </c>
      <c r="C170" s="128" t="s">
        <v>656</v>
      </c>
      <c r="D170" s="129" t="s">
        <v>171</v>
      </c>
      <c r="E170" s="130" t="str">
        <f aca="false">IF($O170="✓","✓",IF(ISNUMBER($O170),TEXT($O170,"yyyy-mm-dd"),IF($A170="","",IF(SUMPRODUCT(('Formation Initiale'!$A$2:$A$999=$A170)*('Formation Initiale'!$R$2:$R$999="Terminé"))&gt;0,"✓",IF(SUMPRODUCT(MAX(('Formation Initiale'!$A$2:$A$999=$A170)*'Formation Initiale'!$G$2:$G$999))&gt;0,TEXT(SUMPRODUCT(MAX(('Formation Initiale'!$A$2:$A$999=$A170)*'Formation Initiale'!$G$2:$G$999)),"yyyy-mm-dd"),"")))))</f>
        <v>2026-06-16</v>
      </c>
      <c r="F170" s="131" t="str">
        <f aca="false">IF($P170="✓","✓",IF(ISNUMBER($P170),TEXT($P170,"yyyy-mm-dd"),IF($A170="","",IF($D170="Lisbonne","",IF(SUMPRODUCT(('Formation Initiale'!$A$2:$A$999=$A170)*('Formation Initiale'!$R$2:$R$999="Terminé"))&gt;0,"✓",IF(SUMPRODUCT(MAX(('Formation Initiale'!$A$2:$A$999=$A170)*'Formation Initiale'!$G$2:$G$999))&gt;0,TEXT(SUMPRODUCT(MAX(('Formation Initiale'!$A$2:$A$999=$A170)*'Formation Initiale'!$G$2:$G$999)),"yyyy-mm-dd"),""))))))</f>
        <v>2026-06-16</v>
      </c>
      <c r="G170" s="131" t="str">
        <f aca="false">IF($Q170="✓","✓",IF(ISNUMBER($Q170),TEXT($Q170,"yyyy-mm-dd"),IF($A170="","",IF(SUMPRODUCT(('Agences &amp; Après-vente'!$A$2:$A$1000=$A170)*(('Agences &amp; Après-vente'!$D$2:$D$1000="Agences")+('Agences &amp; Après-vente'!$D$2:$D$1000="Agences et Après-vente"))*('Agences &amp; Après-vente'!$I$2:$I$1000="DONE"))&gt;0,"✓",IF(SUMPRODUCT(MAX(('Agences &amp; Après-vente'!$A$2:$A$1000=$A170)*(('Agences &amp; Après-vente'!$D$2:$D$1000="Agences")+('Agences &amp; Après-vente'!$D$2:$D$1000="Agences et Après-vente"))*'Agences &amp; Après-vente'!$E$2:$E$1000))&gt;0,TEXT(SUMPRODUCT(MAX(('Agences &amp; Après-vente'!$A$2:$A$1000=$A170)*(('Agences &amp; Après-vente'!$D$2:$D$1000="Agences")+('Agences &amp; Après-vente'!$D$2:$D$1000="Agences et Après-vente"))*'Agences &amp; Après-vente'!$E$2:$E$1000)),"yyyy-mm-dd"),"")))))</f>
        <v/>
      </c>
      <c r="H170" s="131" t="str">
        <f aca="false">IF($R170="✓","✓",IF(ISNUMBER($R170),TEXT($R170,"yyyy-mm-dd"),IF($A170="","",IF($D170="Lisbonne","",IF(SUMPRODUCT(('Agences &amp; Après-vente'!$A$2:$A$1000=$A170)*(('Agences &amp; Après-vente'!$D$2:$D$1000="Agences")+('Agences &amp; Après-vente'!$D$2:$D$1000="Agences et Après-vente"))*('Agences &amp; Après-vente'!$I$2:$I$1000="DONE"))&gt;0,"✓",IF(SUMPRODUCT(MAX(('Agences &amp; Après-vente'!$A$2:$A$1000=$A170)*(('Agences &amp; Après-vente'!$D$2:$D$1000="Agences")+('Agences &amp; Après-vente'!$D$2:$D$1000="Agences et Après-vente"))*'Agences &amp; Après-vente'!$E$2:$E$1000))&gt;0,TEXT(SUMPRODUCT(MAX(('Agences &amp; Après-vente'!$A$2:$A$1000=$A170)*(('Agences &amp; Après-vente'!$D$2:$D$1000="Agences")+('Agences &amp; Après-vente'!$D$2:$D$1000="Agences et Après-vente"))*'Agences &amp; Après-vente'!$E$2:$E$1000)),"yyyy-mm-dd"),""))))))</f>
        <v/>
      </c>
      <c r="I170" s="131" t="str">
        <f aca="false">IF($S170="✓","✓",IF(ISNUMBER($S170),TEXT($S170,"yyyy-mm-dd"),IF($A170="","",IF(SUMPRODUCT(('Agences &amp; Après-vente'!$A$2:$A$1000=$A170)*(('Agences &amp; Après-vente'!$D$2:$D$1000="Après-vente")+('Agences &amp; Après-vente'!$D$2:$D$1000="Agences et Après-vente"))*('Agences &amp; Après-vente'!$I$2:$I$1000="DONE"))&gt;0,"✓",IF(SUMPRODUCT(MAX(('Agences &amp; Après-vente'!$A$2:$A$1000=$A170)*(('Agences &amp; Après-vente'!$D$2:$D$1000="Après-vente")+('Agences &amp; Après-vente'!$D$2:$D$1000="Agences et Après-vente"))*'Agences &amp; Après-vente'!$E$2:$E$1000))&gt;0,TEXT(SUMPRODUCT(MAX(('Agences &amp; Après-vente'!$A$2:$A$1000=$A170)*(('Agences &amp; Après-vente'!$D$2:$D$1000="Après-vente")+('Agences &amp; Après-vente'!$D$2:$D$1000="Agences et Après-vente"))*'Agences &amp; Après-vente'!$E$2:$E$1000)),"yyyy-mm-dd"),"")))))</f>
        <v/>
      </c>
      <c r="J170" s="131" t="str">
        <f aca="false">IF($T170="✓","✓",IF(ISNUMBER($T170),TEXT($T170,"yyyy-mm-dd"),IF($A170="","",IF($D170="Lisbonne","",IF(SUMPRODUCT(('Agences &amp; Après-vente'!$A$2:$A$1000=$A170)*(('Agences &amp; Après-vente'!$D$2:$D$1000="Après-vente")+('Agences &amp; Après-vente'!$D$2:$D$1000="Agences et Après-vente"))*('Agences &amp; Après-vente'!$I$2:$I$1000="DONE"))&gt;0,"✓",IF(SUMPRODUCT(MAX(('Agences &amp; Après-vente'!$A$2:$A$1000=$A170)*(('Agences &amp; Après-vente'!$D$2:$D$1000="Après-vente")+('Agences &amp; Après-vente'!$D$2:$D$1000="Agences et Après-vente"))*'Agences &amp; Après-vente'!$E$2:$E$1000))&gt;0,TEXT(SUMPRODUCT(MAX(('Agences &amp; Après-vente'!$A$2:$A$1000=$A170)*(('Agences &amp; Après-vente'!$D$2:$D$1000="Après-vente")+('Agences &amp; Après-vente'!$D$2:$D$1000="Agences et Après-vente"))*'Agences &amp; Après-vente'!$E$2:$E$1000)),"yyyy-mm-dd"),""))))))</f>
        <v/>
      </c>
      <c r="K170" s="131" t="str">
        <f aca="false">IF($U170="✓","✓",IF(ISNUMBER($U170),TEXT($U170,"yyyy-mm-dd"),IF($D170="Lisbonne","",IF($A170="","",IF(SUMPRODUCT((Evermont!$A$2:$A$1000=$A170)*(Evermont!$Q$2:$Q$1000="Terminé"))&gt;0,"✓",IF(SUMPRODUCT(MAX((Evermont!$A$2:$A$1000=$A170)*Evermont!$F$2:$F$1000))&gt;0,TEXT(SUMPRODUCT(MAX((Evermont!$A$2:$A$1000=$A170)*Evermont!$F$2:$F$1000)),"yyyy-mm-dd"),""))))))</f>
        <v/>
      </c>
      <c r="L170" s="132" t="n">
        <f aca="false">IF($A170="","",COUNTIF(E170:K170,"✓"))</f>
        <v>0</v>
      </c>
      <c r="M170" s="133" t="str">
        <f aca="false">IF(B170="","","Active")</f>
        <v>Active</v>
      </c>
      <c r="O170" s="134"/>
      <c r="P170" s="134"/>
      <c r="Q170" s="134"/>
      <c r="R170" s="134"/>
      <c r="S170" s="134"/>
      <c r="T170" s="134"/>
      <c r="U170" s="134"/>
      <c r="W170" s="135" t="n">
        <f aca="false">IF($A170="","",IF($X170&lt;&gt;"",$X170,IFERROR(INDEX('Formation Initiale'!$B$2:$B$999,MATCH($A170,'Formation Initiale'!$A$2:$A$999,0)),"Général")))</f>
        <v>178</v>
      </c>
      <c r="X170" s="136"/>
    </row>
    <row r="171" customFormat="false" ht="15" hidden="true" customHeight="true" outlineLevel="0" collapsed="false">
      <c r="A171" s="139" t="str">
        <f aca="false">IF(B171="","","TR"&amp;TEXT(ROW()-1,"000"))</f>
        <v>TR170</v>
      </c>
      <c r="B171" s="128" t="s">
        <v>657</v>
      </c>
      <c r="C171" s="128" t="s">
        <v>658</v>
      </c>
      <c r="D171" s="129" t="s">
        <v>171</v>
      </c>
      <c r="E171" s="130" t="str">
        <f aca="false">IF($O171="✓","✓",IF(ISNUMBER($O171),TEXT($O171,"yyyy-mm-dd"),IF($A171="","",IF(SUMPRODUCT(('Formation Initiale'!$A$2:$A$999=$A171)*('Formation Initiale'!$R$2:$R$999="Terminé"))&gt;0,"✓",IF(SUMPRODUCT(MAX(('Formation Initiale'!$A$2:$A$999=$A171)*'Formation Initiale'!$G$2:$G$999))&gt;0,TEXT(SUMPRODUCT(MAX(('Formation Initiale'!$A$2:$A$999=$A171)*'Formation Initiale'!$G$2:$G$999)),"yyyy-mm-dd"),"")))))</f>
        <v>2026-06-16</v>
      </c>
      <c r="F171" s="131" t="str">
        <f aca="false">IF($P171="✓","✓",IF(ISNUMBER($P171),TEXT($P171,"yyyy-mm-dd"),IF($A171="","",IF($D171="Lisbonne","",IF(SUMPRODUCT(('Formation Initiale'!$A$2:$A$999=$A171)*('Formation Initiale'!$R$2:$R$999="Terminé"))&gt;0,"✓",IF(SUMPRODUCT(MAX(('Formation Initiale'!$A$2:$A$999=$A171)*'Formation Initiale'!$G$2:$G$999))&gt;0,TEXT(SUMPRODUCT(MAX(('Formation Initiale'!$A$2:$A$999=$A171)*'Formation Initiale'!$G$2:$G$999)),"yyyy-mm-dd"),""))))))</f>
        <v>2026-06-16</v>
      </c>
      <c r="G171" s="131" t="str">
        <f aca="false">IF($Q171="✓","✓",IF(ISNUMBER($Q171),TEXT($Q171,"yyyy-mm-dd"),IF($A171="","",IF(SUMPRODUCT(('Agences &amp; Après-vente'!$A$2:$A$1000=$A171)*(('Agences &amp; Après-vente'!$D$2:$D$1000="Agences")+('Agences &amp; Après-vente'!$D$2:$D$1000="Agences et Après-vente"))*('Agences &amp; Après-vente'!$I$2:$I$1000="DONE"))&gt;0,"✓",IF(SUMPRODUCT(MAX(('Agences &amp; Après-vente'!$A$2:$A$1000=$A171)*(('Agences &amp; Après-vente'!$D$2:$D$1000="Agences")+('Agences &amp; Après-vente'!$D$2:$D$1000="Agences et Après-vente"))*'Agences &amp; Après-vente'!$E$2:$E$1000))&gt;0,TEXT(SUMPRODUCT(MAX(('Agences &amp; Après-vente'!$A$2:$A$1000=$A171)*(('Agences &amp; Après-vente'!$D$2:$D$1000="Agences")+('Agences &amp; Après-vente'!$D$2:$D$1000="Agences et Après-vente"))*'Agences &amp; Après-vente'!$E$2:$E$1000)),"yyyy-mm-dd"),"")))))</f>
        <v/>
      </c>
      <c r="H171" s="131" t="str">
        <f aca="false">IF($R171="✓","✓",IF(ISNUMBER($R171),TEXT($R171,"yyyy-mm-dd"),IF($A171="","",IF($D171="Lisbonne","",IF(SUMPRODUCT(('Agences &amp; Après-vente'!$A$2:$A$1000=$A171)*(('Agences &amp; Après-vente'!$D$2:$D$1000="Agences")+('Agences &amp; Après-vente'!$D$2:$D$1000="Agences et Après-vente"))*('Agences &amp; Après-vente'!$I$2:$I$1000="DONE"))&gt;0,"✓",IF(SUMPRODUCT(MAX(('Agences &amp; Après-vente'!$A$2:$A$1000=$A171)*(('Agences &amp; Après-vente'!$D$2:$D$1000="Agences")+('Agences &amp; Après-vente'!$D$2:$D$1000="Agences et Après-vente"))*'Agences &amp; Après-vente'!$E$2:$E$1000))&gt;0,TEXT(SUMPRODUCT(MAX(('Agences &amp; Après-vente'!$A$2:$A$1000=$A171)*(('Agences &amp; Après-vente'!$D$2:$D$1000="Agences")+('Agences &amp; Après-vente'!$D$2:$D$1000="Agences et Après-vente"))*'Agences &amp; Après-vente'!$E$2:$E$1000)),"yyyy-mm-dd"),""))))))</f>
        <v/>
      </c>
      <c r="I171" s="131" t="str">
        <f aca="false">IF($S171="✓","✓",IF(ISNUMBER($S171),TEXT($S171,"yyyy-mm-dd"),IF($A171="","",IF(SUMPRODUCT(('Agences &amp; Après-vente'!$A$2:$A$1000=$A171)*(('Agences &amp; Après-vente'!$D$2:$D$1000="Après-vente")+('Agences &amp; Après-vente'!$D$2:$D$1000="Agences et Après-vente"))*('Agences &amp; Après-vente'!$I$2:$I$1000="DONE"))&gt;0,"✓",IF(SUMPRODUCT(MAX(('Agences &amp; Après-vente'!$A$2:$A$1000=$A171)*(('Agences &amp; Après-vente'!$D$2:$D$1000="Après-vente")+('Agences &amp; Après-vente'!$D$2:$D$1000="Agences et Après-vente"))*'Agences &amp; Après-vente'!$E$2:$E$1000))&gt;0,TEXT(SUMPRODUCT(MAX(('Agences &amp; Après-vente'!$A$2:$A$1000=$A171)*(('Agences &amp; Après-vente'!$D$2:$D$1000="Après-vente")+('Agences &amp; Après-vente'!$D$2:$D$1000="Agences et Après-vente"))*'Agences &amp; Après-vente'!$E$2:$E$1000)),"yyyy-mm-dd"),"")))))</f>
        <v/>
      </c>
      <c r="J171" s="131" t="str">
        <f aca="false">IF($T171="✓","✓",IF(ISNUMBER($T171),TEXT($T171,"yyyy-mm-dd"),IF($A171="","",IF($D171="Lisbonne","",IF(SUMPRODUCT(('Agences &amp; Après-vente'!$A$2:$A$1000=$A171)*(('Agences &amp; Après-vente'!$D$2:$D$1000="Après-vente")+('Agences &amp; Après-vente'!$D$2:$D$1000="Agences et Après-vente"))*('Agences &amp; Après-vente'!$I$2:$I$1000="DONE"))&gt;0,"✓",IF(SUMPRODUCT(MAX(('Agences &amp; Après-vente'!$A$2:$A$1000=$A171)*(('Agences &amp; Après-vente'!$D$2:$D$1000="Après-vente")+('Agences &amp; Après-vente'!$D$2:$D$1000="Agences et Après-vente"))*'Agences &amp; Après-vente'!$E$2:$E$1000))&gt;0,TEXT(SUMPRODUCT(MAX(('Agences &amp; Après-vente'!$A$2:$A$1000=$A171)*(('Agences &amp; Après-vente'!$D$2:$D$1000="Après-vente")+('Agences &amp; Après-vente'!$D$2:$D$1000="Agences et Après-vente"))*'Agences &amp; Après-vente'!$E$2:$E$1000)),"yyyy-mm-dd"),""))))))</f>
        <v/>
      </c>
      <c r="K171" s="131" t="str">
        <f aca="false">IF($U171="✓","✓",IF(ISNUMBER($U171),TEXT($U171,"yyyy-mm-dd"),IF($D171="Lisbonne","",IF($A171="","",IF(SUMPRODUCT((Evermont!$A$2:$A$1000=$A171)*(Evermont!$Q$2:$Q$1000="Terminé"))&gt;0,"✓",IF(SUMPRODUCT(MAX((Evermont!$A$2:$A$1000=$A171)*Evermont!$F$2:$F$1000))&gt;0,TEXT(SUMPRODUCT(MAX((Evermont!$A$2:$A$1000=$A171)*Evermont!$F$2:$F$1000)),"yyyy-mm-dd"),""))))))</f>
        <v/>
      </c>
      <c r="L171" s="132" t="n">
        <f aca="false">IF($A171="","",COUNTIF(E171:K171,"✓"))</f>
        <v>0</v>
      </c>
      <c r="M171" s="133" t="str">
        <f aca="false">IF(B171="","","Active")</f>
        <v>Active</v>
      </c>
      <c r="W171" s="120" t="n">
        <f aca="false">IF($A171="","",IF($X171&lt;&gt;"",$X171,IFERROR(INDEX('Formation Initiale'!$B$2:$B$999,MATCH($A171,'Formation Initiale'!$A$2:$A$999,0)),"Général")))</f>
        <v>178</v>
      </c>
    </row>
    <row r="172" customFormat="false" ht="15" hidden="true" customHeight="true" outlineLevel="0" collapsed="false">
      <c r="A172" s="139" t="str">
        <f aca="false">IF(B172="","","TR"&amp;TEXT(ROW()-1,"000"))</f>
        <v>TR171</v>
      </c>
      <c r="B172" s="128" t="s">
        <v>659</v>
      </c>
      <c r="C172" s="128" t="s">
        <v>387</v>
      </c>
      <c r="D172" s="129" t="s">
        <v>171</v>
      </c>
      <c r="E172" s="130" t="str">
        <f aca="false">IF($O172="✓","✓",IF(ISNUMBER($O172),TEXT($O172,"yyyy-mm-dd"),IF($A172="","",IF(SUMPRODUCT(('Formation Initiale'!$A$2:$A$999=$A172)*('Formation Initiale'!$R$2:$R$999="Terminé"))&gt;0,"✓",IF(SUMPRODUCT(MAX(('Formation Initiale'!$A$2:$A$999=$A172)*'Formation Initiale'!$G$2:$G$999))&gt;0,TEXT(SUMPRODUCT(MAX(('Formation Initiale'!$A$2:$A$999=$A172)*'Formation Initiale'!$G$2:$G$999)),"yyyy-mm-dd"),"")))))</f>
        <v>2026-06-16</v>
      </c>
      <c r="F172" s="131" t="str">
        <f aca="false">IF($P172="✓","✓",IF(ISNUMBER($P172),TEXT($P172,"yyyy-mm-dd"),IF($A172="","",IF($D172="Lisbonne","",IF(SUMPRODUCT(('Formation Initiale'!$A$2:$A$999=$A172)*('Formation Initiale'!$R$2:$R$999="Terminé"))&gt;0,"✓",IF(SUMPRODUCT(MAX(('Formation Initiale'!$A$2:$A$999=$A172)*'Formation Initiale'!$G$2:$G$999))&gt;0,TEXT(SUMPRODUCT(MAX(('Formation Initiale'!$A$2:$A$999=$A172)*'Formation Initiale'!$G$2:$G$999)),"yyyy-mm-dd"),""))))))</f>
        <v>2026-06-16</v>
      </c>
      <c r="G172" s="131" t="str">
        <f aca="false">IF($Q172="✓","✓",IF(ISNUMBER($Q172),TEXT($Q172,"yyyy-mm-dd"),IF($A172="","",IF(SUMPRODUCT(('Agences &amp; Après-vente'!$A$2:$A$1000=$A172)*(('Agences &amp; Après-vente'!$D$2:$D$1000="Agences")+('Agences &amp; Après-vente'!$D$2:$D$1000="Agences et Après-vente"))*('Agences &amp; Après-vente'!$I$2:$I$1000="DONE"))&gt;0,"✓",IF(SUMPRODUCT(MAX(('Agences &amp; Après-vente'!$A$2:$A$1000=$A172)*(('Agences &amp; Après-vente'!$D$2:$D$1000="Agences")+('Agences &amp; Après-vente'!$D$2:$D$1000="Agences et Après-vente"))*'Agences &amp; Après-vente'!$E$2:$E$1000))&gt;0,TEXT(SUMPRODUCT(MAX(('Agences &amp; Après-vente'!$A$2:$A$1000=$A172)*(('Agences &amp; Après-vente'!$D$2:$D$1000="Agences")+('Agences &amp; Après-vente'!$D$2:$D$1000="Agences et Après-vente"))*'Agences &amp; Après-vente'!$E$2:$E$1000)),"yyyy-mm-dd"),"")))))</f>
        <v/>
      </c>
      <c r="H172" s="131" t="str">
        <f aca="false">IF($R172="✓","✓",IF(ISNUMBER($R172),TEXT($R172,"yyyy-mm-dd"),IF($A172="","",IF($D172="Lisbonne","",IF(SUMPRODUCT(('Agences &amp; Après-vente'!$A$2:$A$1000=$A172)*(('Agences &amp; Après-vente'!$D$2:$D$1000="Agences")+('Agences &amp; Après-vente'!$D$2:$D$1000="Agences et Après-vente"))*('Agences &amp; Après-vente'!$I$2:$I$1000="DONE"))&gt;0,"✓",IF(SUMPRODUCT(MAX(('Agences &amp; Après-vente'!$A$2:$A$1000=$A172)*(('Agences &amp; Après-vente'!$D$2:$D$1000="Agences")+('Agences &amp; Après-vente'!$D$2:$D$1000="Agences et Après-vente"))*'Agences &amp; Après-vente'!$E$2:$E$1000))&gt;0,TEXT(SUMPRODUCT(MAX(('Agences &amp; Après-vente'!$A$2:$A$1000=$A172)*(('Agences &amp; Après-vente'!$D$2:$D$1000="Agences")+('Agences &amp; Après-vente'!$D$2:$D$1000="Agences et Après-vente"))*'Agences &amp; Après-vente'!$E$2:$E$1000)),"yyyy-mm-dd"),""))))))</f>
        <v/>
      </c>
      <c r="I172" s="131" t="str">
        <f aca="false">IF($S172="✓","✓",IF(ISNUMBER($S172),TEXT($S172,"yyyy-mm-dd"),IF($A172="","",IF(SUMPRODUCT(('Agences &amp; Après-vente'!$A$2:$A$1000=$A172)*(('Agences &amp; Après-vente'!$D$2:$D$1000="Après-vente")+('Agences &amp; Après-vente'!$D$2:$D$1000="Agences et Après-vente"))*('Agences &amp; Après-vente'!$I$2:$I$1000="DONE"))&gt;0,"✓",IF(SUMPRODUCT(MAX(('Agences &amp; Après-vente'!$A$2:$A$1000=$A172)*(('Agences &amp; Après-vente'!$D$2:$D$1000="Après-vente")+('Agences &amp; Après-vente'!$D$2:$D$1000="Agences et Après-vente"))*'Agences &amp; Après-vente'!$E$2:$E$1000))&gt;0,TEXT(SUMPRODUCT(MAX(('Agences &amp; Après-vente'!$A$2:$A$1000=$A172)*(('Agences &amp; Après-vente'!$D$2:$D$1000="Après-vente")+('Agences &amp; Après-vente'!$D$2:$D$1000="Agences et Après-vente"))*'Agences &amp; Après-vente'!$E$2:$E$1000)),"yyyy-mm-dd"),"")))))</f>
        <v/>
      </c>
      <c r="J172" s="131" t="str">
        <f aca="false">IF($T172="✓","✓",IF(ISNUMBER($T172),TEXT($T172,"yyyy-mm-dd"),IF($A172="","",IF($D172="Lisbonne","",IF(SUMPRODUCT(('Agences &amp; Après-vente'!$A$2:$A$1000=$A172)*(('Agences &amp; Après-vente'!$D$2:$D$1000="Après-vente")+('Agences &amp; Après-vente'!$D$2:$D$1000="Agences et Après-vente"))*('Agences &amp; Après-vente'!$I$2:$I$1000="DONE"))&gt;0,"✓",IF(SUMPRODUCT(MAX(('Agences &amp; Après-vente'!$A$2:$A$1000=$A172)*(('Agences &amp; Après-vente'!$D$2:$D$1000="Après-vente")+('Agences &amp; Après-vente'!$D$2:$D$1000="Agences et Après-vente"))*'Agences &amp; Après-vente'!$E$2:$E$1000))&gt;0,TEXT(SUMPRODUCT(MAX(('Agences &amp; Après-vente'!$A$2:$A$1000=$A172)*(('Agences &amp; Après-vente'!$D$2:$D$1000="Après-vente")+('Agences &amp; Après-vente'!$D$2:$D$1000="Agences et Après-vente"))*'Agences &amp; Après-vente'!$E$2:$E$1000)),"yyyy-mm-dd"),""))))))</f>
        <v/>
      </c>
      <c r="K172" s="131" t="str">
        <f aca="false">IF($U172="✓","✓",IF(ISNUMBER($U172),TEXT($U172,"yyyy-mm-dd"),IF($D172="Lisbonne","",IF($A172="","",IF(SUMPRODUCT((Evermont!$A$2:$A$1000=$A172)*(Evermont!$Q$2:$Q$1000="Terminé"))&gt;0,"✓",IF(SUMPRODUCT(MAX((Evermont!$A$2:$A$1000=$A172)*Evermont!$F$2:$F$1000))&gt;0,TEXT(SUMPRODUCT(MAX((Evermont!$A$2:$A$1000=$A172)*Evermont!$F$2:$F$1000)),"yyyy-mm-dd"),""))))))</f>
        <v/>
      </c>
      <c r="L172" s="132" t="n">
        <f aca="false">IF($A172="","",COUNTIF(E172:K172,"✓"))</f>
        <v>0</v>
      </c>
      <c r="M172" s="133" t="str">
        <f aca="false">IF(B172="","","Active")</f>
        <v>Active</v>
      </c>
      <c r="W172" s="120" t="n">
        <f aca="false">IF($A172="","",IF($X172&lt;&gt;"",$X172,IFERROR(INDEX('Formation Initiale'!$B$2:$B$999,MATCH($A172,'Formation Initiale'!$A$2:$A$999,0)),"Général")))</f>
        <v>178</v>
      </c>
    </row>
    <row r="173" customFormat="false" ht="15" hidden="true" customHeight="true" outlineLevel="0" collapsed="false">
      <c r="A173" s="139" t="str">
        <f aca="false">IF(B173="","","TR"&amp;TEXT(ROW()-1,"000"))</f>
        <v>TR172</v>
      </c>
      <c r="B173" s="128" t="s">
        <v>660</v>
      </c>
      <c r="C173" s="128" t="s">
        <v>661</v>
      </c>
      <c r="D173" s="141" t="s">
        <v>171</v>
      </c>
      <c r="E173" s="130" t="str">
        <f aca="false">IF($O173="✓","✓",IF(ISNUMBER($O173),TEXT($O173,"yyyy-mm-dd"),IF($A173="","",IF(SUMPRODUCT(('Formation Initiale'!$A$2:$A$999=$A173)*('Formation Initiale'!$R$2:$R$999="Terminé"))&gt;0,"✓",IF(SUMPRODUCT(MAX(('Formation Initiale'!$A$2:$A$999=$A173)*'Formation Initiale'!$G$2:$G$999))&gt;0,TEXT(SUMPRODUCT(MAX(('Formation Initiale'!$A$2:$A$999=$A173)*'Formation Initiale'!$G$2:$G$999)),"yyyy-mm-dd"),"")))))</f>
        <v>2026-06-16</v>
      </c>
      <c r="F173" s="131" t="str">
        <f aca="false">IF($P173="✓","✓",IF(ISNUMBER($P173),TEXT($P173,"yyyy-mm-dd"),IF($A173="","",IF($D173="Lisbonne","",IF(SUMPRODUCT(('Formation Initiale'!$A$2:$A$999=$A173)*('Formation Initiale'!$R$2:$R$999="Terminé"))&gt;0,"✓",IF(SUMPRODUCT(MAX(('Formation Initiale'!$A$2:$A$999=$A173)*'Formation Initiale'!$G$2:$G$999))&gt;0,TEXT(SUMPRODUCT(MAX(('Formation Initiale'!$A$2:$A$999=$A173)*'Formation Initiale'!$G$2:$G$999)),"yyyy-mm-dd"),""))))))</f>
        <v>2026-06-16</v>
      </c>
      <c r="G173" s="131" t="str">
        <f aca="false">IF($Q173="✓","✓",IF(ISNUMBER($Q173),TEXT($Q173,"yyyy-mm-dd"),IF($A173="","",IF(SUMPRODUCT(('Agences &amp; Après-vente'!$A$2:$A$1000=$A173)*(('Agences &amp; Après-vente'!$D$2:$D$1000="Agences")+('Agences &amp; Après-vente'!$D$2:$D$1000="Agences et Après-vente"))*('Agences &amp; Après-vente'!$I$2:$I$1000="DONE"))&gt;0,"✓",IF(SUMPRODUCT(MAX(('Agences &amp; Après-vente'!$A$2:$A$1000=$A173)*(('Agences &amp; Après-vente'!$D$2:$D$1000="Agences")+('Agences &amp; Après-vente'!$D$2:$D$1000="Agences et Après-vente"))*'Agences &amp; Après-vente'!$E$2:$E$1000))&gt;0,TEXT(SUMPRODUCT(MAX(('Agences &amp; Après-vente'!$A$2:$A$1000=$A173)*(('Agences &amp; Après-vente'!$D$2:$D$1000="Agences")+('Agences &amp; Après-vente'!$D$2:$D$1000="Agences et Après-vente"))*'Agences &amp; Après-vente'!$E$2:$E$1000)),"yyyy-mm-dd"),"")))))</f>
        <v/>
      </c>
      <c r="H173" s="131" t="str">
        <f aca="false">IF($R173="✓","✓",IF(ISNUMBER($R173),TEXT($R173,"yyyy-mm-dd"),IF($A173="","",IF($D173="Lisbonne","",IF(SUMPRODUCT(('Agences &amp; Après-vente'!$A$2:$A$1000=$A173)*(('Agences &amp; Après-vente'!$D$2:$D$1000="Agences")+('Agences &amp; Après-vente'!$D$2:$D$1000="Agences et Après-vente"))*('Agences &amp; Après-vente'!$I$2:$I$1000="DONE"))&gt;0,"✓",IF(SUMPRODUCT(MAX(('Agences &amp; Après-vente'!$A$2:$A$1000=$A173)*(('Agences &amp; Après-vente'!$D$2:$D$1000="Agences")+('Agences &amp; Après-vente'!$D$2:$D$1000="Agences et Après-vente"))*'Agences &amp; Après-vente'!$E$2:$E$1000))&gt;0,TEXT(SUMPRODUCT(MAX(('Agences &amp; Après-vente'!$A$2:$A$1000=$A173)*(('Agences &amp; Après-vente'!$D$2:$D$1000="Agences")+('Agences &amp; Après-vente'!$D$2:$D$1000="Agences et Après-vente"))*'Agences &amp; Après-vente'!$E$2:$E$1000)),"yyyy-mm-dd"),""))))))</f>
        <v/>
      </c>
      <c r="I173" s="131" t="str">
        <f aca="false">IF($S173="✓","✓",IF(ISNUMBER($S173),TEXT($S173,"yyyy-mm-dd"),IF($A173="","",IF(SUMPRODUCT(('Agences &amp; Après-vente'!$A$2:$A$1000=$A173)*(('Agences &amp; Après-vente'!$D$2:$D$1000="Après-vente")+('Agences &amp; Après-vente'!$D$2:$D$1000="Agences et Après-vente"))*('Agences &amp; Après-vente'!$I$2:$I$1000="DONE"))&gt;0,"✓",IF(SUMPRODUCT(MAX(('Agences &amp; Après-vente'!$A$2:$A$1000=$A173)*(('Agences &amp; Après-vente'!$D$2:$D$1000="Après-vente")+('Agences &amp; Après-vente'!$D$2:$D$1000="Agences et Après-vente"))*'Agences &amp; Après-vente'!$E$2:$E$1000))&gt;0,TEXT(SUMPRODUCT(MAX(('Agences &amp; Après-vente'!$A$2:$A$1000=$A173)*(('Agences &amp; Après-vente'!$D$2:$D$1000="Après-vente")+('Agences &amp; Après-vente'!$D$2:$D$1000="Agences et Après-vente"))*'Agences &amp; Après-vente'!$E$2:$E$1000)),"yyyy-mm-dd"),"")))))</f>
        <v/>
      </c>
      <c r="J173" s="131" t="str">
        <f aca="false">IF($T173="✓","✓",IF(ISNUMBER($T173),TEXT($T173,"yyyy-mm-dd"),IF($A173="","",IF($D173="Lisbonne","",IF(SUMPRODUCT(('Agences &amp; Après-vente'!$A$2:$A$1000=$A173)*(('Agences &amp; Après-vente'!$D$2:$D$1000="Après-vente")+('Agences &amp; Après-vente'!$D$2:$D$1000="Agences et Après-vente"))*('Agences &amp; Après-vente'!$I$2:$I$1000="DONE"))&gt;0,"✓",IF(SUMPRODUCT(MAX(('Agences &amp; Après-vente'!$A$2:$A$1000=$A173)*(('Agences &amp; Après-vente'!$D$2:$D$1000="Après-vente")+('Agences &amp; Après-vente'!$D$2:$D$1000="Agences et Après-vente"))*'Agences &amp; Après-vente'!$E$2:$E$1000))&gt;0,TEXT(SUMPRODUCT(MAX(('Agences &amp; Après-vente'!$A$2:$A$1000=$A173)*(('Agences &amp; Après-vente'!$D$2:$D$1000="Après-vente")+('Agences &amp; Après-vente'!$D$2:$D$1000="Agences et Après-vente"))*'Agences &amp; Après-vente'!$E$2:$E$1000)),"yyyy-mm-dd"),""))))))</f>
        <v/>
      </c>
      <c r="K173" s="131" t="str">
        <f aca="false">IF($U173="✓","✓",IF(ISNUMBER($U173),TEXT($U173,"yyyy-mm-dd"),IF($D173="Lisbonne","",IF($A173="","",IF(SUMPRODUCT((Evermont!$A$2:$A$1000=$A173)*(Evermont!$Q$2:$Q$1000="Terminé"))&gt;0,"✓",IF(SUMPRODUCT(MAX((Evermont!$A$2:$A$1000=$A173)*Evermont!$F$2:$F$1000))&gt;0,TEXT(SUMPRODUCT(MAX((Evermont!$A$2:$A$1000=$A173)*Evermont!$F$2:$F$1000)),"yyyy-mm-dd"),""))))))</f>
        <v/>
      </c>
      <c r="L173" s="132" t="n">
        <f aca="false">IF($A173="","",COUNTIF(E173:K173,"✓"))</f>
        <v>0</v>
      </c>
      <c r="M173" s="133" t="str">
        <f aca="false">IF(B173="","","Active")</f>
        <v>Active</v>
      </c>
      <c r="W173" s="120" t="n">
        <f aca="false">IF($A173="","",IF($X173&lt;&gt;"",$X173,IFERROR(INDEX('Formation Initiale'!$B$2:$B$999,MATCH($A173,'Formation Initiale'!$A$2:$A$999,0)),"Général")))</f>
        <v>178</v>
      </c>
    </row>
    <row r="174" customFormat="false" ht="15" hidden="true" customHeight="true" outlineLevel="0" collapsed="false">
      <c r="A174" s="139" t="str">
        <f aca="false">IF(B174="","","TR"&amp;TEXT(ROW()-1,"000"))</f>
        <v>TR173</v>
      </c>
      <c r="B174" s="128" t="s">
        <v>662</v>
      </c>
      <c r="C174" s="128" t="s">
        <v>663</v>
      </c>
      <c r="D174" s="129" t="s">
        <v>171</v>
      </c>
      <c r="E174" s="130" t="str">
        <f aca="false">IF($O174="✓","✓",IF(ISNUMBER($O174),TEXT($O174,"yyyy-mm-dd"),IF($A174="","",IF(SUMPRODUCT(('Formation Initiale'!$A$2:$A$999=$A174)*('Formation Initiale'!$R$2:$R$999="Terminé"))&gt;0,"✓",IF(SUMPRODUCT(MAX(('Formation Initiale'!$A$2:$A$999=$A174)*'Formation Initiale'!$G$2:$G$999))&gt;0,TEXT(SUMPRODUCT(MAX(('Formation Initiale'!$A$2:$A$999=$A174)*'Formation Initiale'!$G$2:$G$999)),"yyyy-mm-dd"),"")))))</f>
        <v>2026-06-16</v>
      </c>
      <c r="F174" s="131" t="str">
        <f aca="false">IF($P174="✓","✓",IF(ISNUMBER($P174),TEXT($P174,"yyyy-mm-dd"),IF($A174="","",IF($D174="Lisbonne","",IF(SUMPRODUCT(('Formation Initiale'!$A$2:$A$999=$A174)*('Formation Initiale'!$R$2:$R$999="Terminé"))&gt;0,"✓",IF(SUMPRODUCT(MAX(('Formation Initiale'!$A$2:$A$999=$A174)*'Formation Initiale'!$G$2:$G$999))&gt;0,TEXT(SUMPRODUCT(MAX(('Formation Initiale'!$A$2:$A$999=$A174)*'Formation Initiale'!$G$2:$G$999)),"yyyy-mm-dd"),""))))))</f>
        <v>2026-06-16</v>
      </c>
      <c r="G174" s="131" t="str">
        <f aca="false">IF($Q174="✓","✓",IF(ISNUMBER($Q174),TEXT($Q174,"yyyy-mm-dd"),IF($A174="","",IF(SUMPRODUCT(('Agences &amp; Après-vente'!$A$2:$A$1000=$A174)*(('Agences &amp; Après-vente'!$D$2:$D$1000="Agences")+('Agences &amp; Après-vente'!$D$2:$D$1000="Agences et Après-vente"))*('Agences &amp; Après-vente'!$I$2:$I$1000="DONE"))&gt;0,"✓",IF(SUMPRODUCT(MAX(('Agences &amp; Après-vente'!$A$2:$A$1000=$A174)*(('Agences &amp; Après-vente'!$D$2:$D$1000="Agences")+('Agences &amp; Après-vente'!$D$2:$D$1000="Agences et Après-vente"))*'Agences &amp; Après-vente'!$E$2:$E$1000))&gt;0,TEXT(SUMPRODUCT(MAX(('Agences &amp; Après-vente'!$A$2:$A$1000=$A174)*(('Agences &amp; Après-vente'!$D$2:$D$1000="Agences")+('Agences &amp; Après-vente'!$D$2:$D$1000="Agences et Après-vente"))*'Agences &amp; Après-vente'!$E$2:$E$1000)),"yyyy-mm-dd"),"")))))</f>
        <v/>
      </c>
      <c r="H174" s="131" t="str">
        <f aca="false">IF($R174="✓","✓",IF(ISNUMBER($R174),TEXT($R174,"yyyy-mm-dd"),IF($A174="","",IF($D174="Lisbonne","",IF(SUMPRODUCT(('Agences &amp; Après-vente'!$A$2:$A$1000=$A174)*(('Agences &amp; Après-vente'!$D$2:$D$1000="Agences")+('Agences &amp; Après-vente'!$D$2:$D$1000="Agences et Après-vente"))*('Agences &amp; Après-vente'!$I$2:$I$1000="DONE"))&gt;0,"✓",IF(SUMPRODUCT(MAX(('Agences &amp; Après-vente'!$A$2:$A$1000=$A174)*(('Agences &amp; Après-vente'!$D$2:$D$1000="Agences")+('Agences &amp; Après-vente'!$D$2:$D$1000="Agences et Après-vente"))*'Agences &amp; Après-vente'!$E$2:$E$1000))&gt;0,TEXT(SUMPRODUCT(MAX(('Agences &amp; Après-vente'!$A$2:$A$1000=$A174)*(('Agences &amp; Après-vente'!$D$2:$D$1000="Agences")+('Agences &amp; Après-vente'!$D$2:$D$1000="Agences et Après-vente"))*'Agences &amp; Après-vente'!$E$2:$E$1000)),"yyyy-mm-dd"),""))))))</f>
        <v/>
      </c>
      <c r="I174" s="131" t="str">
        <f aca="false">IF($S174="✓","✓",IF(ISNUMBER($S174),TEXT($S174,"yyyy-mm-dd"),IF($A174="","",IF(SUMPRODUCT(('Agences &amp; Après-vente'!$A$2:$A$1000=$A174)*(('Agences &amp; Après-vente'!$D$2:$D$1000="Après-vente")+('Agences &amp; Après-vente'!$D$2:$D$1000="Agences et Après-vente"))*('Agences &amp; Après-vente'!$I$2:$I$1000="DONE"))&gt;0,"✓",IF(SUMPRODUCT(MAX(('Agences &amp; Après-vente'!$A$2:$A$1000=$A174)*(('Agences &amp; Après-vente'!$D$2:$D$1000="Après-vente")+('Agences &amp; Après-vente'!$D$2:$D$1000="Agences et Après-vente"))*'Agences &amp; Après-vente'!$E$2:$E$1000))&gt;0,TEXT(SUMPRODUCT(MAX(('Agences &amp; Après-vente'!$A$2:$A$1000=$A174)*(('Agences &amp; Après-vente'!$D$2:$D$1000="Après-vente")+('Agences &amp; Après-vente'!$D$2:$D$1000="Agences et Après-vente"))*'Agences &amp; Après-vente'!$E$2:$E$1000)),"yyyy-mm-dd"),"")))))</f>
        <v/>
      </c>
      <c r="J174" s="131" t="str">
        <f aca="false">IF($T174="✓","✓",IF(ISNUMBER($T174),TEXT($T174,"yyyy-mm-dd"),IF($A174="","",IF($D174="Lisbonne","",IF(SUMPRODUCT(('Agences &amp; Après-vente'!$A$2:$A$1000=$A174)*(('Agences &amp; Après-vente'!$D$2:$D$1000="Après-vente")+('Agences &amp; Après-vente'!$D$2:$D$1000="Agences et Après-vente"))*('Agences &amp; Après-vente'!$I$2:$I$1000="DONE"))&gt;0,"✓",IF(SUMPRODUCT(MAX(('Agences &amp; Après-vente'!$A$2:$A$1000=$A174)*(('Agences &amp; Après-vente'!$D$2:$D$1000="Après-vente")+('Agences &amp; Après-vente'!$D$2:$D$1000="Agences et Après-vente"))*'Agences &amp; Après-vente'!$E$2:$E$1000))&gt;0,TEXT(SUMPRODUCT(MAX(('Agences &amp; Après-vente'!$A$2:$A$1000=$A174)*(('Agences &amp; Après-vente'!$D$2:$D$1000="Après-vente")+('Agences &amp; Après-vente'!$D$2:$D$1000="Agences et Après-vente"))*'Agences &amp; Après-vente'!$E$2:$E$1000)),"yyyy-mm-dd"),""))))))</f>
        <v/>
      </c>
      <c r="K174" s="131" t="str">
        <f aca="false">IF($U174="✓","✓",IF(ISNUMBER($U174),TEXT($U174,"yyyy-mm-dd"),IF($D174="Lisbonne","",IF($A174="","",IF(SUMPRODUCT((Evermont!$A$2:$A$1000=$A174)*(Evermont!$Q$2:$Q$1000="Terminé"))&gt;0,"✓",IF(SUMPRODUCT(MAX((Evermont!$A$2:$A$1000=$A174)*Evermont!$F$2:$F$1000))&gt;0,TEXT(SUMPRODUCT(MAX((Evermont!$A$2:$A$1000=$A174)*Evermont!$F$2:$F$1000)),"yyyy-mm-dd"),""))))))</f>
        <v/>
      </c>
      <c r="L174" s="132" t="n">
        <f aca="false">IF($A174="","",COUNTIF(E174:K174,"✓"))</f>
        <v>0</v>
      </c>
      <c r="M174" s="133" t="str">
        <f aca="false">IF(B174="","","Active")</f>
        <v>Active</v>
      </c>
      <c r="W174" s="120" t="n">
        <f aca="false">IF($A174="","",IF($X174&lt;&gt;"",$X174,IFERROR(INDEX('Formation Initiale'!$B$2:$B$999,MATCH($A174,'Formation Initiale'!$A$2:$A$999,0)),"Général")))</f>
        <v>178</v>
      </c>
    </row>
    <row r="175" customFormat="false" ht="15" hidden="true" customHeight="true" outlineLevel="0" collapsed="false">
      <c r="A175" s="139" t="str">
        <f aca="false">IF(B175="","","TR"&amp;TEXT(ROW()-1,"000"))</f>
        <v>TR174</v>
      </c>
      <c r="B175" s="128" t="s">
        <v>664</v>
      </c>
      <c r="C175" s="128" t="s">
        <v>665</v>
      </c>
      <c r="D175" s="129" t="s">
        <v>171</v>
      </c>
      <c r="E175" s="130" t="str">
        <f aca="false">IF($O175="✓","✓",IF(ISNUMBER($O175),TEXT($O175,"yyyy-mm-dd"),IF($A175="","",IF(SUMPRODUCT(('Formation Initiale'!$A$2:$A$999=$A175)*('Formation Initiale'!$R$2:$R$999="Terminé"))&gt;0,"✓",IF(SUMPRODUCT(MAX(('Formation Initiale'!$A$2:$A$999=$A175)*'Formation Initiale'!$G$2:$G$999))&gt;0,TEXT(SUMPRODUCT(MAX(('Formation Initiale'!$A$2:$A$999=$A175)*'Formation Initiale'!$G$2:$G$999)),"yyyy-mm-dd"),"")))))</f>
        <v>2026-06-16</v>
      </c>
      <c r="F175" s="131" t="str">
        <f aca="false">IF($P175="✓","✓",IF(ISNUMBER($P175),TEXT($P175,"yyyy-mm-dd"),IF($A175="","",IF($D175="Lisbonne","",IF(SUMPRODUCT(('Formation Initiale'!$A$2:$A$999=$A175)*('Formation Initiale'!$R$2:$R$999="Terminé"))&gt;0,"✓",IF(SUMPRODUCT(MAX(('Formation Initiale'!$A$2:$A$999=$A175)*'Formation Initiale'!$G$2:$G$999))&gt;0,TEXT(SUMPRODUCT(MAX(('Formation Initiale'!$A$2:$A$999=$A175)*'Formation Initiale'!$G$2:$G$999)),"yyyy-mm-dd"),""))))))</f>
        <v>2026-06-16</v>
      </c>
      <c r="G175" s="131" t="str">
        <f aca="false">IF($Q175="✓","✓",IF(ISNUMBER($Q175),TEXT($Q175,"yyyy-mm-dd"),IF($A175="","",IF(SUMPRODUCT(('Agences &amp; Après-vente'!$A$2:$A$1000=$A175)*(('Agences &amp; Après-vente'!$D$2:$D$1000="Agences")+('Agences &amp; Après-vente'!$D$2:$D$1000="Agences et Après-vente"))*('Agences &amp; Après-vente'!$I$2:$I$1000="DONE"))&gt;0,"✓",IF(SUMPRODUCT(MAX(('Agences &amp; Après-vente'!$A$2:$A$1000=$A175)*(('Agences &amp; Après-vente'!$D$2:$D$1000="Agences")+('Agences &amp; Après-vente'!$D$2:$D$1000="Agences et Après-vente"))*'Agences &amp; Après-vente'!$E$2:$E$1000))&gt;0,TEXT(SUMPRODUCT(MAX(('Agences &amp; Après-vente'!$A$2:$A$1000=$A175)*(('Agences &amp; Après-vente'!$D$2:$D$1000="Agences")+('Agences &amp; Après-vente'!$D$2:$D$1000="Agences et Après-vente"))*'Agences &amp; Après-vente'!$E$2:$E$1000)),"yyyy-mm-dd"),"")))))</f>
        <v/>
      </c>
      <c r="H175" s="131" t="str">
        <f aca="false">IF($R175="✓","✓",IF(ISNUMBER($R175),TEXT($R175,"yyyy-mm-dd"),IF($A175="","",IF($D175="Lisbonne","",IF(SUMPRODUCT(('Agences &amp; Après-vente'!$A$2:$A$1000=$A175)*(('Agences &amp; Après-vente'!$D$2:$D$1000="Agences")+('Agences &amp; Après-vente'!$D$2:$D$1000="Agences et Après-vente"))*('Agences &amp; Après-vente'!$I$2:$I$1000="DONE"))&gt;0,"✓",IF(SUMPRODUCT(MAX(('Agences &amp; Après-vente'!$A$2:$A$1000=$A175)*(('Agences &amp; Après-vente'!$D$2:$D$1000="Agences")+('Agences &amp; Après-vente'!$D$2:$D$1000="Agences et Après-vente"))*'Agences &amp; Après-vente'!$E$2:$E$1000))&gt;0,TEXT(SUMPRODUCT(MAX(('Agences &amp; Après-vente'!$A$2:$A$1000=$A175)*(('Agences &amp; Après-vente'!$D$2:$D$1000="Agences")+('Agences &amp; Après-vente'!$D$2:$D$1000="Agences et Après-vente"))*'Agences &amp; Après-vente'!$E$2:$E$1000)),"yyyy-mm-dd"),""))))))</f>
        <v/>
      </c>
      <c r="I175" s="131" t="str">
        <f aca="false">IF($S175="✓","✓",IF(ISNUMBER($S175),TEXT($S175,"yyyy-mm-dd"),IF($A175="","",IF(SUMPRODUCT(('Agences &amp; Après-vente'!$A$2:$A$1000=$A175)*(('Agences &amp; Après-vente'!$D$2:$D$1000="Après-vente")+('Agences &amp; Après-vente'!$D$2:$D$1000="Agences et Après-vente"))*('Agences &amp; Après-vente'!$I$2:$I$1000="DONE"))&gt;0,"✓",IF(SUMPRODUCT(MAX(('Agences &amp; Après-vente'!$A$2:$A$1000=$A175)*(('Agences &amp; Après-vente'!$D$2:$D$1000="Après-vente")+('Agences &amp; Après-vente'!$D$2:$D$1000="Agences et Après-vente"))*'Agences &amp; Après-vente'!$E$2:$E$1000))&gt;0,TEXT(SUMPRODUCT(MAX(('Agences &amp; Après-vente'!$A$2:$A$1000=$A175)*(('Agences &amp; Après-vente'!$D$2:$D$1000="Après-vente")+('Agences &amp; Après-vente'!$D$2:$D$1000="Agences et Après-vente"))*'Agences &amp; Après-vente'!$E$2:$E$1000)),"yyyy-mm-dd"),"")))))</f>
        <v/>
      </c>
      <c r="J175" s="131" t="str">
        <f aca="false">IF($T175="✓","✓",IF(ISNUMBER($T175),TEXT($T175,"yyyy-mm-dd"),IF($A175="","",IF($D175="Lisbonne","",IF(SUMPRODUCT(('Agences &amp; Après-vente'!$A$2:$A$1000=$A175)*(('Agences &amp; Après-vente'!$D$2:$D$1000="Après-vente")+('Agences &amp; Après-vente'!$D$2:$D$1000="Agences et Après-vente"))*('Agences &amp; Après-vente'!$I$2:$I$1000="DONE"))&gt;0,"✓",IF(SUMPRODUCT(MAX(('Agences &amp; Après-vente'!$A$2:$A$1000=$A175)*(('Agences &amp; Après-vente'!$D$2:$D$1000="Après-vente")+('Agences &amp; Après-vente'!$D$2:$D$1000="Agences et Après-vente"))*'Agences &amp; Après-vente'!$E$2:$E$1000))&gt;0,TEXT(SUMPRODUCT(MAX(('Agences &amp; Après-vente'!$A$2:$A$1000=$A175)*(('Agences &amp; Après-vente'!$D$2:$D$1000="Après-vente")+('Agences &amp; Après-vente'!$D$2:$D$1000="Agences et Après-vente"))*'Agences &amp; Après-vente'!$E$2:$E$1000)),"yyyy-mm-dd"),""))))))</f>
        <v/>
      </c>
      <c r="K175" s="131" t="str">
        <f aca="false">IF($U175="✓","✓",IF(ISNUMBER($U175),TEXT($U175,"yyyy-mm-dd"),IF($D175="Lisbonne","",IF($A175="","",IF(SUMPRODUCT((Evermont!$A$2:$A$1000=$A175)*(Evermont!$Q$2:$Q$1000="Terminé"))&gt;0,"✓",IF(SUMPRODUCT(MAX((Evermont!$A$2:$A$1000=$A175)*Evermont!$F$2:$F$1000))&gt;0,TEXT(SUMPRODUCT(MAX((Evermont!$A$2:$A$1000=$A175)*Evermont!$F$2:$F$1000)),"yyyy-mm-dd"),""))))))</f>
        <v/>
      </c>
      <c r="L175" s="132" t="n">
        <f aca="false">IF($A175="","",COUNTIF(E175:K175,"✓"))</f>
        <v>0</v>
      </c>
      <c r="M175" s="133" t="str">
        <f aca="false">IF(B175="","","Active")</f>
        <v>Active</v>
      </c>
      <c r="W175" s="120" t="n">
        <f aca="false">IF($A175="","",IF($X175&lt;&gt;"",$X175,IFERROR(INDEX('Formation Initiale'!$B$2:$B$999,MATCH($A175,'Formation Initiale'!$A$2:$A$999,0)),"Général")))</f>
        <v>178</v>
      </c>
    </row>
    <row r="176" customFormat="false" ht="15" hidden="true" customHeight="true" outlineLevel="0" collapsed="false">
      <c r="A176" s="139" t="str">
        <f aca="false">IF(B176="","","TR"&amp;TEXT(ROW()-1,"000"))</f>
        <v>TR175</v>
      </c>
      <c r="B176" s="128" t="s">
        <v>666</v>
      </c>
      <c r="C176" s="128" t="s">
        <v>667</v>
      </c>
      <c r="D176" s="129" t="s">
        <v>171</v>
      </c>
      <c r="E176" s="130" t="str">
        <f aca="false">IF($O176="✓","✓",IF(ISNUMBER($O176),TEXT($O176,"yyyy-mm-dd"),IF($A176="","",IF(SUMPRODUCT(('Formation Initiale'!$A$2:$A$999=$A176)*('Formation Initiale'!$R$2:$R$999="Terminé"))&gt;0,"✓",IF(SUMPRODUCT(MAX(('Formation Initiale'!$A$2:$A$999=$A176)*'Formation Initiale'!$G$2:$G$999))&gt;0,TEXT(SUMPRODUCT(MAX(('Formation Initiale'!$A$2:$A$999=$A176)*'Formation Initiale'!$G$2:$G$999)),"yyyy-mm-dd"),"")))))</f>
        <v>2026-06-16</v>
      </c>
      <c r="F176" s="131" t="str">
        <f aca="false">IF($P176="✓","✓",IF(ISNUMBER($P176),TEXT($P176,"yyyy-mm-dd"),IF($A176="","",IF($D176="Lisbonne","",IF(SUMPRODUCT(('Formation Initiale'!$A$2:$A$999=$A176)*('Formation Initiale'!$R$2:$R$999="Terminé"))&gt;0,"✓",IF(SUMPRODUCT(MAX(('Formation Initiale'!$A$2:$A$999=$A176)*'Formation Initiale'!$G$2:$G$999))&gt;0,TEXT(SUMPRODUCT(MAX(('Formation Initiale'!$A$2:$A$999=$A176)*'Formation Initiale'!$G$2:$G$999)),"yyyy-mm-dd"),""))))))</f>
        <v>2026-06-16</v>
      </c>
      <c r="G176" s="131" t="str">
        <f aca="false">IF($Q176="✓","✓",IF(ISNUMBER($Q176),TEXT($Q176,"yyyy-mm-dd"),IF($A176="","",IF(SUMPRODUCT(('Agences &amp; Après-vente'!$A$2:$A$1000=$A176)*(('Agences &amp; Après-vente'!$D$2:$D$1000="Agences")+('Agences &amp; Après-vente'!$D$2:$D$1000="Agences et Après-vente"))*('Agences &amp; Après-vente'!$I$2:$I$1000="DONE"))&gt;0,"✓",IF(SUMPRODUCT(MAX(('Agences &amp; Après-vente'!$A$2:$A$1000=$A176)*(('Agences &amp; Après-vente'!$D$2:$D$1000="Agences")+('Agences &amp; Après-vente'!$D$2:$D$1000="Agences et Après-vente"))*'Agences &amp; Après-vente'!$E$2:$E$1000))&gt;0,TEXT(SUMPRODUCT(MAX(('Agences &amp; Après-vente'!$A$2:$A$1000=$A176)*(('Agences &amp; Après-vente'!$D$2:$D$1000="Agences")+('Agences &amp; Après-vente'!$D$2:$D$1000="Agences et Après-vente"))*'Agences &amp; Après-vente'!$E$2:$E$1000)),"yyyy-mm-dd"),"")))))</f>
        <v/>
      </c>
      <c r="H176" s="131" t="str">
        <f aca="false">IF($R176="✓","✓",IF(ISNUMBER($R176),TEXT($R176,"yyyy-mm-dd"),IF($A176="","",IF($D176="Lisbonne","",IF(SUMPRODUCT(('Agences &amp; Après-vente'!$A$2:$A$1000=$A176)*(('Agences &amp; Après-vente'!$D$2:$D$1000="Agences")+('Agences &amp; Après-vente'!$D$2:$D$1000="Agences et Après-vente"))*('Agences &amp; Après-vente'!$I$2:$I$1000="DONE"))&gt;0,"✓",IF(SUMPRODUCT(MAX(('Agences &amp; Après-vente'!$A$2:$A$1000=$A176)*(('Agences &amp; Après-vente'!$D$2:$D$1000="Agences")+('Agences &amp; Après-vente'!$D$2:$D$1000="Agences et Après-vente"))*'Agences &amp; Après-vente'!$E$2:$E$1000))&gt;0,TEXT(SUMPRODUCT(MAX(('Agences &amp; Après-vente'!$A$2:$A$1000=$A176)*(('Agences &amp; Après-vente'!$D$2:$D$1000="Agences")+('Agences &amp; Après-vente'!$D$2:$D$1000="Agences et Après-vente"))*'Agences &amp; Après-vente'!$E$2:$E$1000)),"yyyy-mm-dd"),""))))))</f>
        <v/>
      </c>
      <c r="I176" s="131" t="str">
        <f aca="false">IF($S176="✓","✓",IF(ISNUMBER($S176),TEXT($S176,"yyyy-mm-dd"),IF($A176="","",IF(SUMPRODUCT(('Agences &amp; Après-vente'!$A$2:$A$1000=$A176)*(('Agences &amp; Après-vente'!$D$2:$D$1000="Après-vente")+('Agences &amp; Après-vente'!$D$2:$D$1000="Agences et Après-vente"))*('Agences &amp; Après-vente'!$I$2:$I$1000="DONE"))&gt;0,"✓",IF(SUMPRODUCT(MAX(('Agences &amp; Après-vente'!$A$2:$A$1000=$A176)*(('Agences &amp; Après-vente'!$D$2:$D$1000="Après-vente")+('Agences &amp; Après-vente'!$D$2:$D$1000="Agences et Après-vente"))*'Agences &amp; Après-vente'!$E$2:$E$1000))&gt;0,TEXT(SUMPRODUCT(MAX(('Agences &amp; Après-vente'!$A$2:$A$1000=$A176)*(('Agences &amp; Après-vente'!$D$2:$D$1000="Après-vente")+('Agences &amp; Après-vente'!$D$2:$D$1000="Agences et Après-vente"))*'Agences &amp; Après-vente'!$E$2:$E$1000)),"yyyy-mm-dd"),"")))))</f>
        <v/>
      </c>
      <c r="J176" s="131" t="str">
        <f aca="false">IF($T176="✓","✓",IF(ISNUMBER($T176),TEXT($T176,"yyyy-mm-dd"),IF($A176="","",IF($D176="Lisbonne","",IF(SUMPRODUCT(('Agences &amp; Après-vente'!$A$2:$A$1000=$A176)*(('Agences &amp; Après-vente'!$D$2:$D$1000="Après-vente")+('Agences &amp; Après-vente'!$D$2:$D$1000="Agences et Après-vente"))*('Agences &amp; Après-vente'!$I$2:$I$1000="DONE"))&gt;0,"✓",IF(SUMPRODUCT(MAX(('Agences &amp; Après-vente'!$A$2:$A$1000=$A176)*(('Agences &amp; Après-vente'!$D$2:$D$1000="Après-vente")+('Agences &amp; Après-vente'!$D$2:$D$1000="Agences et Après-vente"))*'Agences &amp; Après-vente'!$E$2:$E$1000))&gt;0,TEXT(SUMPRODUCT(MAX(('Agences &amp; Après-vente'!$A$2:$A$1000=$A176)*(('Agences &amp; Après-vente'!$D$2:$D$1000="Après-vente")+('Agences &amp; Après-vente'!$D$2:$D$1000="Agences et Après-vente"))*'Agences &amp; Après-vente'!$E$2:$E$1000)),"yyyy-mm-dd"),""))))))</f>
        <v/>
      </c>
      <c r="K176" s="131" t="str">
        <f aca="false">IF($U176="✓","✓",IF(ISNUMBER($U176),TEXT($U176,"yyyy-mm-dd"),IF($D176="Lisbonne","",IF($A176="","",IF(SUMPRODUCT((Evermont!$A$2:$A$1000=$A176)*(Evermont!$Q$2:$Q$1000="Terminé"))&gt;0,"✓",IF(SUMPRODUCT(MAX((Evermont!$A$2:$A$1000=$A176)*Evermont!$F$2:$F$1000))&gt;0,TEXT(SUMPRODUCT(MAX((Evermont!$A$2:$A$1000=$A176)*Evermont!$F$2:$F$1000)),"yyyy-mm-dd"),""))))))</f>
        <v/>
      </c>
      <c r="L176" s="132" t="n">
        <f aca="false">IF($A176="","",COUNTIF(E176:K176,"✓"))</f>
        <v>0</v>
      </c>
      <c r="M176" s="133" t="str">
        <f aca="false">IF(B176="","","Active")</f>
        <v>Active</v>
      </c>
      <c r="W176" s="120" t="n">
        <f aca="false">IF($A176="","",IF($X176&lt;&gt;"",$X176,IFERROR(INDEX('Formation Initiale'!$B$2:$B$999,MATCH($A176,'Formation Initiale'!$A$2:$A$999,0)),"Général")))</f>
        <v>178</v>
      </c>
    </row>
    <row r="177" customFormat="false" ht="15" hidden="true" customHeight="true" outlineLevel="0" collapsed="false">
      <c r="A177" s="139" t="str">
        <f aca="false">IF(B177="","","TR"&amp;TEXT(ROW()-1,"000"))</f>
        <v>TR176</v>
      </c>
      <c r="B177" s="128" t="s">
        <v>668</v>
      </c>
      <c r="C177" s="128" t="s">
        <v>669</v>
      </c>
      <c r="D177" s="129" t="s">
        <v>171</v>
      </c>
      <c r="E177" s="130" t="str">
        <f aca="false">IF($O177="✓","✓",IF(ISNUMBER($O177),TEXT($O177,"yyyy-mm-dd"),IF($A177="","",IF(SUMPRODUCT(('Formation Initiale'!$A$2:$A$999=$A177)*('Formation Initiale'!$R$2:$R$999="Terminé"))&gt;0,"✓",IF(SUMPRODUCT(MAX(('Formation Initiale'!$A$2:$A$999=$A177)*'Formation Initiale'!$G$2:$G$999))&gt;0,TEXT(SUMPRODUCT(MAX(('Formation Initiale'!$A$2:$A$999=$A177)*'Formation Initiale'!$G$2:$G$999)),"yyyy-mm-dd"),"")))))</f>
        <v>2026-06-16</v>
      </c>
      <c r="F177" s="131" t="str">
        <f aca="false">IF($P177="✓","✓",IF(ISNUMBER($P177),TEXT($P177,"yyyy-mm-dd"),IF($A177="","",IF($D177="Lisbonne","",IF(SUMPRODUCT(('Formation Initiale'!$A$2:$A$999=$A177)*('Formation Initiale'!$R$2:$R$999="Terminé"))&gt;0,"✓",IF(SUMPRODUCT(MAX(('Formation Initiale'!$A$2:$A$999=$A177)*'Formation Initiale'!$G$2:$G$999))&gt;0,TEXT(SUMPRODUCT(MAX(('Formation Initiale'!$A$2:$A$999=$A177)*'Formation Initiale'!$G$2:$G$999)),"yyyy-mm-dd"),""))))))</f>
        <v>2026-06-16</v>
      </c>
      <c r="G177" s="131" t="str">
        <f aca="false">IF($Q177="✓","✓",IF(ISNUMBER($Q177),TEXT($Q177,"yyyy-mm-dd"),IF($A177="","",IF(SUMPRODUCT(('Agences &amp; Après-vente'!$A$2:$A$1000=$A177)*(('Agences &amp; Après-vente'!$D$2:$D$1000="Agences")+('Agences &amp; Après-vente'!$D$2:$D$1000="Agences et Après-vente"))*('Agences &amp; Après-vente'!$I$2:$I$1000="DONE"))&gt;0,"✓",IF(SUMPRODUCT(MAX(('Agences &amp; Après-vente'!$A$2:$A$1000=$A177)*(('Agences &amp; Après-vente'!$D$2:$D$1000="Agences")+('Agences &amp; Après-vente'!$D$2:$D$1000="Agences et Après-vente"))*'Agences &amp; Après-vente'!$E$2:$E$1000))&gt;0,TEXT(SUMPRODUCT(MAX(('Agences &amp; Après-vente'!$A$2:$A$1000=$A177)*(('Agences &amp; Après-vente'!$D$2:$D$1000="Agences")+('Agences &amp; Après-vente'!$D$2:$D$1000="Agences et Après-vente"))*'Agences &amp; Après-vente'!$E$2:$E$1000)),"yyyy-mm-dd"),"")))))</f>
        <v/>
      </c>
      <c r="H177" s="131" t="str">
        <f aca="false">IF($R177="✓","✓",IF(ISNUMBER($R177),TEXT($R177,"yyyy-mm-dd"),IF($A177="","",IF($D177="Lisbonne","",IF(SUMPRODUCT(('Agences &amp; Après-vente'!$A$2:$A$1000=$A177)*(('Agences &amp; Après-vente'!$D$2:$D$1000="Agences")+('Agences &amp; Après-vente'!$D$2:$D$1000="Agences et Après-vente"))*('Agences &amp; Après-vente'!$I$2:$I$1000="DONE"))&gt;0,"✓",IF(SUMPRODUCT(MAX(('Agences &amp; Après-vente'!$A$2:$A$1000=$A177)*(('Agences &amp; Après-vente'!$D$2:$D$1000="Agences")+('Agences &amp; Après-vente'!$D$2:$D$1000="Agences et Après-vente"))*'Agences &amp; Après-vente'!$E$2:$E$1000))&gt;0,TEXT(SUMPRODUCT(MAX(('Agences &amp; Après-vente'!$A$2:$A$1000=$A177)*(('Agences &amp; Après-vente'!$D$2:$D$1000="Agences")+('Agences &amp; Après-vente'!$D$2:$D$1000="Agences et Après-vente"))*'Agences &amp; Après-vente'!$E$2:$E$1000)),"yyyy-mm-dd"),""))))))</f>
        <v/>
      </c>
      <c r="I177" s="131" t="str">
        <f aca="false">IF($S177="✓","✓",IF(ISNUMBER($S177),TEXT($S177,"yyyy-mm-dd"),IF($A177="","",IF(SUMPRODUCT(('Agences &amp; Après-vente'!$A$2:$A$1000=$A177)*(('Agences &amp; Après-vente'!$D$2:$D$1000="Après-vente")+('Agences &amp; Après-vente'!$D$2:$D$1000="Agences et Après-vente"))*('Agences &amp; Après-vente'!$I$2:$I$1000="DONE"))&gt;0,"✓",IF(SUMPRODUCT(MAX(('Agences &amp; Après-vente'!$A$2:$A$1000=$A177)*(('Agences &amp; Après-vente'!$D$2:$D$1000="Après-vente")+('Agences &amp; Après-vente'!$D$2:$D$1000="Agences et Après-vente"))*'Agences &amp; Après-vente'!$E$2:$E$1000))&gt;0,TEXT(SUMPRODUCT(MAX(('Agences &amp; Après-vente'!$A$2:$A$1000=$A177)*(('Agences &amp; Après-vente'!$D$2:$D$1000="Après-vente")+('Agences &amp; Après-vente'!$D$2:$D$1000="Agences et Après-vente"))*'Agences &amp; Après-vente'!$E$2:$E$1000)),"yyyy-mm-dd"),"")))))</f>
        <v/>
      </c>
      <c r="J177" s="131" t="str">
        <f aca="false">IF($T177="✓","✓",IF(ISNUMBER($T177),TEXT($T177,"yyyy-mm-dd"),IF($A177="","",IF($D177="Lisbonne","",IF(SUMPRODUCT(('Agences &amp; Après-vente'!$A$2:$A$1000=$A177)*(('Agences &amp; Après-vente'!$D$2:$D$1000="Après-vente")+('Agences &amp; Après-vente'!$D$2:$D$1000="Agences et Après-vente"))*('Agences &amp; Après-vente'!$I$2:$I$1000="DONE"))&gt;0,"✓",IF(SUMPRODUCT(MAX(('Agences &amp; Après-vente'!$A$2:$A$1000=$A177)*(('Agences &amp; Après-vente'!$D$2:$D$1000="Après-vente")+('Agences &amp; Après-vente'!$D$2:$D$1000="Agences et Après-vente"))*'Agences &amp; Après-vente'!$E$2:$E$1000))&gt;0,TEXT(SUMPRODUCT(MAX(('Agences &amp; Après-vente'!$A$2:$A$1000=$A177)*(('Agences &amp; Après-vente'!$D$2:$D$1000="Après-vente")+('Agences &amp; Après-vente'!$D$2:$D$1000="Agences et Après-vente"))*'Agences &amp; Après-vente'!$E$2:$E$1000)),"yyyy-mm-dd"),""))))))</f>
        <v/>
      </c>
      <c r="K177" s="131" t="str">
        <f aca="false">IF($U177="✓","✓",IF(ISNUMBER($U177),TEXT($U177,"yyyy-mm-dd"),IF($D177="Lisbonne","",IF($A177="","",IF(SUMPRODUCT((Evermont!$A$2:$A$1000=$A177)*(Evermont!$Q$2:$Q$1000="Terminé"))&gt;0,"✓",IF(SUMPRODUCT(MAX((Evermont!$A$2:$A$1000=$A177)*Evermont!$F$2:$F$1000))&gt;0,TEXT(SUMPRODUCT(MAX((Evermont!$A$2:$A$1000=$A177)*Evermont!$F$2:$F$1000)),"yyyy-mm-dd"),""))))))</f>
        <v/>
      </c>
      <c r="L177" s="132" t="n">
        <f aca="false">IF($A177="","",COUNTIF(E177:K177,"✓"))</f>
        <v>0</v>
      </c>
      <c r="M177" s="133" t="str">
        <f aca="false">IF(B177="","","Active")</f>
        <v>Active</v>
      </c>
      <c r="W177" s="120" t="n">
        <f aca="false">IF($A177="","",IF($X177&lt;&gt;"",$X177,IFERROR(INDEX('Formation Initiale'!$B$2:$B$999,MATCH($A177,'Formation Initiale'!$A$2:$A$999,0)),"Général")))</f>
        <v>178</v>
      </c>
    </row>
    <row r="178" customFormat="false" ht="15" hidden="true" customHeight="true" outlineLevel="0" collapsed="false">
      <c r="A178" s="139" t="str">
        <f aca="false">IF(B178="","","TR"&amp;TEXT(ROW()-1,"000"))</f>
        <v>TR177</v>
      </c>
      <c r="B178" s="128" t="s">
        <v>670</v>
      </c>
      <c r="C178" s="128" t="s">
        <v>671</v>
      </c>
      <c r="D178" s="129" t="s">
        <v>171</v>
      </c>
      <c r="E178" s="130" t="str">
        <f aca="false">IF($O178="✓","✓",IF(ISNUMBER($O178),TEXT($O178,"yyyy-mm-dd"),IF($A178="","",IF(SUMPRODUCT(('Formation Initiale'!$A$2:$A$999=$A178)*('Formation Initiale'!$R$2:$R$999="Terminé"))&gt;0,"✓",IF(SUMPRODUCT(MAX(('Formation Initiale'!$A$2:$A$999=$A178)*'Formation Initiale'!$G$2:$G$999))&gt;0,TEXT(SUMPRODUCT(MAX(('Formation Initiale'!$A$2:$A$999=$A178)*'Formation Initiale'!$G$2:$G$999)),"yyyy-mm-dd"),"")))))</f>
        <v>2026-06-16</v>
      </c>
      <c r="F178" s="131" t="str">
        <f aca="false">IF($P178="✓","✓",IF(ISNUMBER($P178),TEXT($P178,"yyyy-mm-dd"),IF($A178="","",IF($D178="Lisbonne","",IF(SUMPRODUCT(('Formation Initiale'!$A$2:$A$999=$A178)*('Formation Initiale'!$R$2:$R$999="Terminé"))&gt;0,"✓",IF(SUMPRODUCT(MAX(('Formation Initiale'!$A$2:$A$999=$A178)*'Formation Initiale'!$G$2:$G$999))&gt;0,TEXT(SUMPRODUCT(MAX(('Formation Initiale'!$A$2:$A$999=$A178)*'Formation Initiale'!$G$2:$G$999)),"yyyy-mm-dd"),""))))))</f>
        <v>2026-06-16</v>
      </c>
      <c r="G178" s="131" t="str">
        <f aca="false">IF($Q178="✓","✓",IF(ISNUMBER($Q178),TEXT($Q178,"yyyy-mm-dd"),IF($A178="","",IF(SUMPRODUCT(('Agences &amp; Après-vente'!$A$2:$A$1000=$A178)*(('Agences &amp; Après-vente'!$D$2:$D$1000="Agences")+('Agences &amp; Après-vente'!$D$2:$D$1000="Agences et Après-vente"))*('Agences &amp; Après-vente'!$I$2:$I$1000="DONE"))&gt;0,"✓",IF(SUMPRODUCT(MAX(('Agences &amp; Après-vente'!$A$2:$A$1000=$A178)*(('Agences &amp; Après-vente'!$D$2:$D$1000="Agences")+('Agences &amp; Après-vente'!$D$2:$D$1000="Agences et Après-vente"))*'Agences &amp; Après-vente'!$E$2:$E$1000))&gt;0,TEXT(SUMPRODUCT(MAX(('Agences &amp; Après-vente'!$A$2:$A$1000=$A178)*(('Agences &amp; Après-vente'!$D$2:$D$1000="Agences")+('Agences &amp; Après-vente'!$D$2:$D$1000="Agences et Après-vente"))*'Agences &amp; Après-vente'!$E$2:$E$1000)),"yyyy-mm-dd"),"")))))</f>
        <v/>
      </c>
      <c r="H178" s="131" t="str">
        <f aca="false">IF($R178="✓","✓",IF(ISNUMBER($R178),TEXT($R178,"yyyy-mm-dd"),IF($A178="","",IF($D178="Lisbonne","",IF(SUMPRODUCT(('Agences &amp; Après-vente'!$A$2:$A$1000=$A178)*(('Agences &amp; Après-vente'!$D$2:$D$1000="Agences")+('Agences &amp; Après-vente'!$D$2:$D$1000="Agences et Après-vente"))*('Agences &amp; Après-vente'!$I$2:$I$1000="DONE"))&gt;0,"✓",IF(SUMPRODUCT(MAX(('Agences &amp; Après-vente'!$A$2:$A$1000=$A178)*(('Agences &amp; Après-vente'!$D$2:$D$1000="Agences")+('Agences &amp; Après-vente'!$D$2:$D$1000="Agences et Après-vente"))*'Agences &amp; Après-vente'!$E$2:$E$1000))&gt;0,TEXT(SUMPRODUCT(MAX(('Agences &amp; Après-vente'!$A$2:$A$1000=$A178)*(('Agences &amp; Après-vente'!$D$2:$D$1000="Agences")+('Agences &amp; Après-vente'!$D$2:$D$1000="Agences et Après-vente"))*'Agences &amp; Après-vente'!$E$2:$E$1000)),"yyyy-mm-dd"),""))))))</f>
        <v/>
      </c>
      <c r="I178" s="131" t="str">
        <f aca="false">IF($S178="✓","✓",IF(ISNUMBER($S178),TEXT($S178,"yyyy-mm-dd"),IF($A178="","",IF(SUMPRODUCT(('Agences &amp; Après-vente'!$A$2:$A$1000=$A178)*(('Agences &amp; Après-vente'!$D$2:$D$1000="Après-vente")+('Agences &amp; Après-vente'!$D$2:$D$1000="Agences et Après-vente"))*('Agences &amp; Après-vente'!$I$2:$I$1000="DONE"))&gt;0,"✓",IF(SUMPRODUCT(MAX(('Agences &amp; Après-vente'!$A$2:$A$1000=$A178)*(('Agences &amp; Après-vente'!$D$2:$D$1000="Après-vente")+('Agences &amp; Après-vente'!$D$2:$D$1000="Agences et Après-vente"))*'Agences &amp; Après-vente'!$E$2:$E$1000))&gt;0,TEXT(SUMPRODUCT(MAX(('Agences &amp; Après-vente'!$A$2:$A$1000=$A178)*(('Agences &amp; Après-vente'!$D$2:$D$1000="Après-vente")+('Agences &amp; Après-vente'!$D$2:$D$1000="Agences et Après-vente"))*'Agences &amp; Après-vente'!$E$2:$E$1000)),"yyyy-mm-dd"),"")))))</f>
        <v/>
      </c>
      <c r="J178" s="131" t="str">
        <f aca="false">IF($T178="✓","✓",IF(ISNUMBER($T178),TEXT($T178,"yyyy-mm-dd"),IF($A178="","",IF($D178="Lisbonne","",IF(SUMPRODUCT(('Agences &amp; Après-vente'!$A$2:$A$1000=$A178)*(('Agences &amp; Après-vente'!$D$2:$D$1000="Après-vente")+('Agences &amp; Après-vente'!$D$2:$D$1000="Agences et Après-vente"))*('Agences &amp; Après-vente'!$I$2:$I$1000="DONE"))&gt;0,"✓",IF(SUMPRODUCT(MAX(('Agences &amp; Après-vente'!$A$2:$A$1000=$A178)*(('Agences &amp; Après-vente'!$D$2:$D$1000="Après-vente")+('Agences &amp; Après-vente'!$D$2:$D$1000="Agences et Après-vente"))*'Agences &amp; Après-vente'!$E$2:$E$1000))&gt;0,TEXT(SUMPRODUCT(MAX(('Agences &amp; Après-vente'!$A$2:$A$1000=$A178)*(('Agences &amp; Après-vente'!$D$2:$D$1000="Après-vente")+('Agences &amp; Après-vente'!$D$2:$D$1000="Agences et Après-vente"))*'Agences &amp; Après-vente'!$E$2:$E$1000)),"yyyy-mm-dd"),""))))))</f>
        <v/>
      </c>
      <c r="K178" s="131" t="str">
        <f aca="false">IF($U178="✓","✓",IF(ISNUMBER($U178),TEXT($U178,"yyyy-mm-dd"),IF($D178="Lisbonne","",IF($A178="","",IF(SUMPRODUCT((Evermont!$A$2:$A$1000=$A178)*(Evermont!$Q$2:$Q$1000="Terminé"))&gt;0,"✓",IF(SUMPRODUCT(MAX((Evermont!$A$2:$A$1000=$A178)*Evermont!$F$2:$F$1000))&gt;0,TEXT(SUMPRODUCT(MAX((Evermont!$A$2:$A$1000=$A178)*Evermont!$F$2:$F$1000)),"yyyy-mm-dd"),""))))))</f>
        <v/>
      </c>
      <c r="L178" s="132" t="n">
        <f aca="false">IF($A178="","",COUNTIF(E178:K178,"✓"))</f>
        <v>0</v>
      </c>
      <c r="M178" s="133" t="str">
        <f aca="false">IF(B178="","","Active")</f>
        <v>Active</v>
      </c>
      <c r="W178" s="120" t="n">
        <f aca="false">IF($A178="","",IF($X178&lt;&gt;"",$X178,IFERROR(INDEX('Formation Initiale'!$B$2:$B$999,MATCH($A178,'Formation Initiale'!$A$2:$A$999,0)),"Général")))</f>
        <v>178</v>
      </c>
    </row>
    <row r="179" customFormat="false" ht="15" hidden="true" customHeight="true" outlineLevel="0" collapsed="false">
      <c r="A179" s="142" t="str">
        <f aca="false">IF(B179="","","TR"&amp;TEXT(ROW()-1,"000"))</f>
        <v/>
      </c>
      <c r="B179" s="143"/>
      <c r="C179" s="143"/>
      <c r="D179" s="144"/>
      <c r="E179" s="130" t="str">
        <f aca="false">IF($O179="✓","✓",IF(ISNUMBER($O179),TEXT($O179,"yyyy-mm-dd"),IF($A179="","",IF(SUMPRODUCT(('Formation Initiale'!$A$2:$A$999=$A179)*('Formation Initiale'!$R$2:$R$999="Terminé"))&gt;0,"✓",IF(SUMPRODUCT(MAX(('Formation Initiale'!$A$2:$A$999=$A179)*'Formation Initiale'!$G$2:$G$999))&gt;0,TEXT(SUMPRODUCT(MAX(('Formation Initiale'!$A$2:$A$999=$A179)*'Formation Initiale'!$G$2:$G$999)),"yyyy-mm-dd"),"")))))</f>
        <v/>
      </c>
      <c r="F179" s="131" t="str">
        <f aca="false">IF($P179="✓","✓",IF(ISNUMBER($P179),TEXT($P179,"yyyy-mm-dd"),IF($A179="","",IF($D179="Lisbonne","",IF(SUMPRODUCT(('Formation Initiale'!$A$2:$A$999=$A179)*('Formation Initiale'!$R$2:$R$999="Terminé"))&gt;0,"✓",IF(SUMPRODUCT(MAX(('Formation Initiale'!$A$2:$A$999=$A179)*'Formation Initiale'!$G$2:$G$999))&gt;0,TEXT(SUMPRODUCT(MAX(('Formation Initiale'!$A$2:$A$999=$A179)*'Formation Initiale'!$G$2:$G$999)),"yyyy-mm-dd"),""))))))</f>
        <v/>
      </c>
      <c r="G179" s="131" t="str">
        <f aca="false">IF($Q179="✓","✓",IF(ISNUMBER($Q179),TEXT($Q179,"yyyy-mm-dd"),IF($A179="","",IF(SUMPRODUCT(('Agences &amp; Après-vente'!$A$2:$A$1000=$A179)*(('Agences &amp; Après-vente'!$D$2:$D$1000="Agences")+('Agences &amp; Après-vente'!$D$2:$D$1000="Agences et Après-vente"))*('Agences &amp; Après-vente'!$I$2:$I$1000="DONE"))&gt;0,"✓",IF(SUMPRODUCT(MAX(('Agences &amp; Après-vente'!$A$2:$A$1000=$A179)*(('Agences &amp; Après-vente'!$D$2:$D$1000="Agences")+('Agences &amp; Après-vente'!$D$2:$D$1000="Agences et Après-vente"))*'Agences &amp; Après-vente'!$E$2:$E$1000))&gt;0,TEXT(SUMPRODUCT(MAX(('Agences &amp; Après-vente'!$A$2:$A$1000=$A179)*(('Agences &amp; Après-vente'!$D$2:$D$1000="Agences")+('Agences &amp; Après-vente'!$D$2:$D$1000="Agences et Après-vente"))*'Agences &amp; Après-vente'!$E$2:$E$1000)),"yyyy-mm-dd"),"")))))</f>
        <v/>
      </c>
      <c r="H179" s="131" t="str">
        <f aca="false">IF($R179="✓","✓",IF(ISNUMBER($R179),TEXT($R179,"yyyy-mm-dd"),IF($A179="","",IF($D179="Lisbonne","",IF(SUMPRODUCT(('Agences &amp; Après-vente'!$A$2:$A$1000=$A179)*(('Agences &amp; Après-vente'!$D$2:$D$1000="Agences")+('Agences &amp; Après-vente'!$D$2:$D$1000="Agences et Après-vente"))*('Agences &amp; Après-vente'!$I$2:$I$1000="DONE"))&gt;0,"✓",IF(SUMPRODUCT(MAX(('Agences &amp; Après-vente'!$A$2:$A$1000=$A179)*(('Agences &amp; Après-vente'!$D$2:$D$1000="Agences")+('Agences &amp; Après-vente'!$D$2:$D$1000="Agences et Après-vente"))*'Agences &amp; Après-vente'!$E$2:$E$1000))&gt;0,TEXT(SUMPRODUCT(MAX(('Agences &amp; Après-vente'!$A$2:$A$1000=$A179)*(('Agences &amp; Après-vente'!$D$2:$D$1000="Agences")+('Agences &amp; Après-vente'!$D$2:$D$1000="Agences et Après-vente"))*'Agences &amp; Après-vente'!$E$2:$E$1000)),"yyyy-mm-dd"),""))))))</f>
        <v/>
      </c>
      <c r="I179" s="131" t="str">
        <f aca="false">IF($S179="✓","✓",IF(ISNUMBER($S179),TEXT($S179,"yyyy-mm-dd"),IF($A179="","",IF(SUMPRODUCT(('Agences &amp; Après-vente'!$A$2:$A$1000=$A179)*(('Agences &amp; Après-vente'!$D$2:$D$1000="Après-vente")+('Agences &amp; Après-vente'!$D$2:$D$1000="Agences et Après-vente"))*('Agences &amp; Après-vente'!$I$2:$I$1000="DONE"))&gt;0,"✓",IF(SUMPRODUCT(MAX(('Agences &amp; Après-vente'!$A$2:$A$1000=$A179)*(('Agences &amp; Après-vente'!$D$2:$D$1000="Après-vente")+('Agences &amp; Après-vente'!$D$2:$D$1000="Agences et Après-vente"))*'Agences &amp; Après-vente'!$E$2:$E$1000))&gt;0,TEXT(SUMPRODUCT(MAX(('Agences &amp; Après-vente'!$A$2:$A$1000=$A179)*(('Agences &amp; Après-vente'!$D$2:$D$1000="Après-vente")+('Agences &amp; Après-vente'!$D$2:$D$1000="Agences et Après-vente"))*'Agences &amp; Après-vente'!$E$2:$E$1000)),"yyyy-mm-dd"),"")))))</f>
        <v/>
      </c>
      <c r="J179" s="131" t="str">
        <f aca="false">IF($T179="✓","✓",IF(ISNUMBER($T179),TEXT($T179,"yyyy-mm-dd"),IF($A179="","",IF($D179="Lisbonne","",IF(SUMPRODUCT(('Agences &amp; Après-vente'!$A$2:$A$1000=$A179)*(('Agences &amp; Après-vente'!$D$2:$D$1000="Après-vente")+('Agences &amp; Après-vente'!$D$2:$D$1000="Agences et Après-vente"))*('Agences &amp; Après-vente'!$I$2:$I$1000="DONE"))&gt;0,"✓",IF(SUMPRODUCT(MAX(('Agences &amp; Après-vente'!$A$2:$A$1000=$A179)*(('Agences &amp; Après-vente'!$D$2:$D$1000="Après-vente")+('Agences &amp; Après-vente'!$D$2:$D$1000="Agences et Après-vente"))*'Agences &amp; Après-vente'!$E$2:$E$1000))&gt;0,TEXT(SUMPRODUCT(MAX(('Agences &amp; Après-vente'!$A$2:$A$1000=$A179)*(('Agences &amp; Après-vente'!$D$2:$D$1000="Après-vente")+('Agences &amp; Après-vente'!$D$2:$D$1000="Agences et Après-vente"))*'Agences &amp; Après-vente'!$E$2:$E$1000)),"yyyy-mm-dd"),""))))))</f>
        <v/>
      </c>
      <c r="K179" s="131" t="str">
        <f aca="false">IF($U179="✓","✓",IF(ISNUMBER($U179),TEXT($U179,"yyyy-mm-dd"),IF($D179="Lisbonne","",IF($A179="","",IF(SUMPRODUCT((Evermont!$A$2:$A$1000=$A179)*(Evermont!$Q$2:$Q$1000="Terminé"))&gt;0,"✓",IF(SUMPRODUCT(MAX((Evermont!$A$2:$A$1000=$A179)*Evermont!$F$2:$F$1000))&gt;0,TEXT(SUMPRODUCT(MAX((Evermont!$A$2:$A$1000=$A179)*Evermont!$F$2:$F$1000)),"yyyy-mm-dd"),""))))))</f>
        <v/>
      </c>
      <c r="L179" s="132" t="str">
        <f aca="false">IF($A179="","",COUNTIF(E179:K179,"✓"))</f>
        <v/>
      </c>
      <c r="M179" s="131" t="str">
        <f aca="false">IF(B179="","","Active")</f>
        <v/>
      </c>
      <c r="W179" s="120" t="str">
        <f aca="false">IF($A179="","",IF($X179&lt;&gt;"",$X179,IFERROR(INDEX('Formation Initiale'!$B$2:$B$999,MATCH($A179,'Formation Initiale'!$A$2:$A$999,0)),"Général")))</f>
        <v/>
      </c>
    </row>
    <row r="180" customFormat="false" ht="15" hidden="true" customHeight="true" outlineLevel="0" collapsed="false">
      <c r="A180" s="142" t="str">
        <f aca="false">IF(B180="","","TR"&amp;TEXT(ROW()-1,"000"))</f>
        <v/>
      </c>
      <c r="B180" s="143"/>
      <c r="C180" s="143"/>
      <c r="D180" s="144"/>
      <c r="E180" s="130" t="str">
        <f aca="false">IF($O180="✓","✓",IF(ISNUMBER($O180),TEXT($O180,"yyyy-mm-dd"),IF($A180="","",IF(SUMPRODUCT(('Formation Initiale'!$A$2:$A$999=$A180)*('Formation Initiale'!$R$2:$R$999="Terminé"))&gt;0,"✓",IF(SUMPRODUCT(MAX(('Formation Initiale'!$A$2:$A$999=$A180)*'Formation Initiale'!$G$2:$G$999))&gt;0,TEXT(SUMPRODUCT(MAX(('Formation Initiale'!$A$2:$A$999=$A180)*'Formation Initiale'!$G$2:$G$999)),"yyyy-mm-dd"),"")))))</f>
        <v/>
      </c>
      <c r="F180" s="131" t="str">
        <f aca="false">IF($P180="✓","✓",IF(ISNUMBER($P180),TEXT($P180,"yyyy-mm-dd"),IF($A180="","",IF($D180="Lisbonne","",IF(SUMPRODUCT(('Formation Initiale'!$A$2:$A$999=$A180)*('Formation Initiale'!$R$2:$R$999="Terminé"))&gt;0,"✓",IF(SUMPRODUCT(MAX(('Formation Initiale'!$A$2:$A$999=$A180)*'Formation Initiale'!$G$2:$G$999))&gt;0,TEXT(SUMPRODUCT(MAX(('Formation Initiale'!$A$2:$A$999=$A180)*'Formation Initiale'!$G$2:$G$999)),"yyyy-mm-dd"),""))))))</f>
        <v/>
      </c>
      <c r="G180" s="131" t="str">
        <f aca="false">IF($Q180="✓","✓",IF(ISNUMBER($Q180),TEXT($Q180,"yyyy-mm-dd"),IF($A180="","",IF(SUMPRODUCT(('Agences &amp; Après-vente'!$A$2:$A$1000=$A180)*(('Agences &amp; Après-vente'!$D$2:$D$1000="Agences")+('Agences &amp; Après-vente'!$D$2:$D$1000="Agences et Après-vente"))*('Agences &amp; Après-vente'!$I$2:$I$1000="DONE"))&gt;0,"✓",IF(SUMPRODUCT(MAX(('Agences &amp; Après-vente'!$A$2:$A$1000=$A180)*(('Agences &amp; Après-vente'!$D$2:$D$1000="Agences")+('Agences &amp; Après-vente'!$D$2:$D$1000="Agences et Après-vente"))*'Agences &amp; Après-vente'!$E$2:$E$1000))&gt;0,TEXT(SUMPRODUCT(MAX(('Agences &amp; Après-vente'!$A$2:$A$1000=$A180)*(('Agences &amp; Après-vente'!$D$2:$D$1000="Agences")+('Agences &amp; Après-vente'!$D$2:$D$1000="Agences et Après-vente"))*'Agences &amp; Après-vente'!$E$2:$E$1000)),"yyyy-mm-dd"),"")))))</f>
        <v/>
      </c>
      <c r="H180" s="131" t="str">
        <f aca="false">IF($R180="✓","✓",IF(ISNUMBER($R180),TEXT($R180,"yyyy-mm-dd"),IF($A180="","",IF($D180="Lisbonne","",IF(SUMPRODUCT(('Agences &amp; Après-vente'!$A$2:$A$1000=$A180)*(('Agences &amp; Après-vente'!$D$2:$D$1000="Agences")+('Agences &amp; Après-vente'!$D$2:$D$1000="Agences et Après-vente"))*('Agences &amp; Après-vente'!$I$2:$I$1000="DONE"))&gt;0,"✓",IF(SUMPRODUCT(MAX(('Agences &amp; Après-vente'!$A$2:$A$1000=$A180)*(('Agences &amp; Après-vente'!$D$2:$D$1000="Agences")+('Agences &amp; Après-vente'!$D$2:$D$1000="Agences et Après-vente"))*'Agences &amp; Après-vente'!$E$2:$E$1000))&gt;0,TEXT(SUMPRODUCT(MAX(('Agences &amp; Après-vente'!$A$2:$A$1000=$A180)*(('Agences &amp; Après-vente'!$D$2:$D$1000="Agences")+('Agences &amp; Après-vente'!$D$2:$D$1000="Agences et Après-vente"))*'Agences &amp; Après-vente'!$E$2:$E$1000)),"yyyy-mm-dd"),""))))))</f>
        <v/>
      </c>
      <c r="I180" s="131" t="str">
        <f aca="false">IF($S180="✓","✓",IF(ISNUMBER($S180),TEXT($S180,"yyyy-mm-dd"),IF($A180="","",IF(SUMPRODUCT(('Agences &amp; Après-vente'!$A$2:$A$1000=$A180)*(('Agences &amp; Après-vente'!$D$2:$D$1000="Après-vente")+('Agences &amp; Après-vente'!$D$2:$D$1000="Agences et Après-vente"))*('Agences &amp; Après-vente'!$I$2:$I$1000="DONE"))&gt;0,"✓",IF(SUMPRODUCT(MAX(('Agences &amp; Après-vente'!$A$2:$A$1000=$A180)*(('Agences &amp; Après-vente'!$D$2:$D$1000="Après-vente")+('Agences &amp; Après-vente'!$D$2:$D$1000="Agences et Après-vente"))*'Agences &amp; Après-vente'!$E$2:$E$1000))&gt;0,TEXT(SUMPRODUCT(MAX(('Agences &amp; Après-vente'!$A$2:$A$1000=$A180)*(('Agences &amp; Après-vente'!$D$2:$D$1000="Après-vente")+('Agences &amp; Après-vente'!$D$2:$D$1000="Agences et Après-vente"))*'Agences &amp; Après-vente'!$E$2:$E$1000)),"yyyy-mm-dd"),"")))))</f>
        <v/>
      </c>
      <c r="J180" s="131" t="str">
        <f aca="false">IF($T180="✓","✓",IF(ISNUMBER($T180),TEXT($T180,"yyyy-mm-dd"),IF($A180="","",IF($D180="Lisbonne","",IF(SUMPRODUCT(('Agences &amp; Après-vente'!$A$2:$A$1000=$A180)*(('Agences &amp; Après-vente'!$D$2:$D$1000="Après-vente")+('Agences &amp; Après-vente'!$D$2:$D$1000="Agences et Après-vente"))*('Agences &amp; Après-vente'!$I$2:$I$1000="DONE"))&gt;0,"✓",IF(SUMPRODUCT(MAX(('Agences &amp; Après-vente'!$A$2:$A$1000=$A180)*(('Agences &amp; Après-vente'!$D$2:$D$1000="Après-vente")+('Agences &amp; Après-vente'!$D$2:$D$1000="Agences et Après-vente"))*'Agences &amp; Après-vente'!$E$2:$E$1000))&gt;0,TEXT(SUMPRODUCT(MAX(('Agences &amp; Après-vente'!$A$2:$A$1000=$A180)*(('Agences &amp; Après-vente'!$D$2:$D$1000="Après-vente")+('Agences &amp; Après-vente'!$D$2:$D$1000="Agences et Après-vente"))*'Agences &amp; Après-vente'!$E$2:$E$1000)),"yyyy-mm-dd"),""))))))</f>
        <v/>
      </c>
      <c r="K180" s="131" t="str">
        <f aca="false">IF($U180="✓","✓",IF(ISNUMBER($U180),TEXT($U180,"yyyy-mm-dd"),IF($D180="Lisbonne","",IF($A180="","",IF(SUMPRODUCT((Evermont!$A$2:$A$1000=$A180)*(Evermont!$Q$2:$Q$1000="Terminé"))&gt;0,"✓",IF(SUMPRODUCT(MAX((Evermont!$A$2:$A$1000=$A180)*Evermont!$F$2:$F$1000))&gt;0,TEXT(SUMPRODUCT(MAX((Evermont!$A$2:$A$1000=$A180)*Evermont!$F$2:$F$1000)),"yyyy-mm-dd"),""))))))</f>
        <v/>
      </c>
      <c r="L180" s="132" t="str">
        <f aca="false">IF($A180="","",COUNTIF(E180:K180,"✓"))</f>
        <v/>
      </c>
      <c r="M180" s="131" t="str">
        <f aca="false">IF(B180="","","Active")</f>
        <v/>
      </c>
      <c r="W180" s="120" t="str">
        <f aca="false">IF($A180="","",IF($X180&lt;&gt;"",$X180,IFERROR(INDEX('Formation Initiale'!$B$2:$B$999,MATCH($A180,'Formation Initiale'!$A$2:$A$999,0)),"Général")))</f>
        <v/>
      </c>
    </row>
    <row r="181" customFormat="false" ht="15" hidden="true" customHeight="true" outlineLevel="0" collapsed="false">
      <c r="A181" s="142" t="str">
        <f aca="false">IF(B181="","","TR"&amp;TEXT(ROW()-1,"000"))</f>
        <v/>
      </c>
      <c r="B181" s="143"/>
      <c r="C181" s="143"/>
      <c r="D181" s="144"/>
      <c r="E181" s="130" t="str">
        <f aca="false">IF($O181="✓","✓",IF(ISNUMBER($O181),TEXT($O181,"yyyy-mm-dd"),IF($A181="","",IF(SUMPRODUCT(('Formation Initiale'!$A$2:$A$999=$A181)*('Formation Initiale'!$R$2:$R$999="Terminé"))&gt;0,"✓",IF(SUMPRODUCT(MAX(('Formation Initiale'!$A$2:$A$999=$A181)*'Formation Initiale'!$G$2:$G$999))&gt;0,TEXT(SUMPRODUCT(MAX(('Formation Initiale'!$A$2:$A$999=$A181)*'Formation Initiale'!$G$2:$G$999)),"yyyy-mm-dd"),"")))))</f>
        <v/>
      </c>
      <c r="F181" s="131" t="str">
        <f aca="false">IF($P181="✓","✓",IF(ISNUMBER($P181),TEXT($P181,"yyyy-mm-dd"),IF($A181="","",IF($D181="Lisbonne","",IF(SUMPRODUCT(('Formation Initiale'!$A$2:$A$999=$A181)*('Formation Initiale'!$R$2:$R$999="Terminé"))&gt;0,"✓",IF(SUMPRODUCT(MAX(('Formation Initiale'!$A$2:$A$999=$A181)*'Formation Initiale'!$G$2:$G$999))&gt;0,TEXT(SUMPRODUCT(MAX(('Formation Initiale'!$A$2:$A$999=$A181)*'Formation Initiale'!$G$2:$G$999)),"yyyy-mm-dd"),""))))))</f>
        <v/>
      </c>
      <c r="G181" s="131" t="str">
        <f aca="false">IF($Q181="✓","✓",IF(ISNUMBER($Q181),TEXT($Q181,"yyyy-mm-dd"),IF($A181="","",IF(SUMPRODUCT(('Agences &amp; Après-vente'!$A$2:$A$1000=$A181)*(('Agences &amp; Après-vente'!$D$2:$D$1000="Agences")+('Agences &amp; Après-vente'!$D$2:$D$1000="Agences et Après-vente"))*('Agences &amp; Après-vente'!$I$2:$I$1000="DONE"))&gt;0,"✓",IF(SUMPRODUCT(MAX(('Agences &amp; Après-vente'!$A$2:$A$1000=$A181)*(('Agences &amp; Après-vente'!$D$2:$D$1000="Agences")+('Agences &amp; Après-vente'!$D$2:$D$1000="Agences et Après-vente"))*'Agences &amp; Après-vente'!$E$2:$E$1000))&gt;0,TEXT(SUMPRODUCT(MAX(('Agences &amp; Après-vente'!$A$2:$A$1000=$A181)*(('Agences &amp; Après-vente'!$D$2:$D$1000="Agences")+('Agences &amp; Après-vente'!$D$2:$D$1000="Agences et Après-vente"))*'Agences &amp; Après-vente'!$E$2:$E$1000)),"yyyy-mm-dd"),"")))))</f>
        <v/>
      </c>
      <c r="H181" s="131" t="str">
        <f aca="false">IF($R181="✓","✓",IF(ISNUMBER($R181),TEXT($R181,"yyyy-mm-dd"),IF($A181="","",IF($D181="Lisbonne","",IF(SUMPRODUCT(('Agences &amp; Après-vente'!$A$2:$A$1000=$A181)*(('Agences &amp; Après-vente'!$D$2:$D$1000="Agences")+('Agences &amp; Après-vente'!$D$2:$D$1000="Agences et Après-vente"))*('Agences &amp; Après-vente'!$I$2:$I$1000="DONE"))&gt;0,"✓",IF(SUMPRODUCT(MAX(('Agences &amp; Après-vente'!$A$2:$A$1000=$A181)*(('Agences &amp; Après-vente'!$D$2:$D$1000="Agences")+('Agences &amp; Après-vente'!$D$2:$D$1000="Agences et Après-vente"))*'Agences &amp; Après-vente'!$E$2:$E$1000))&gt;0,TEXT(SUMPRODUCT(MAX(('Agences &amp; Après-vente'!$A$2:$A$1000=$A181)*(('Agences &amp; Après-vente'!$D$2:$D$1000="Agences")+('Agences &amp; Après-vente'!$D$2:$D$1000="Agences et Après-vente"))*'Agences &amp; Après-vente'!$E$2:$E$1000)),"yyyy-mm-dd"),""))))))</f>
        <v/>
      </c>
      <c r="I181" s="131" t="str">
        <f aca="false">IF($S181="✓","✓",IF(ISNUMBER($S181),TEXT($S181,"yyyy-mm-dd"),IF($A181="","",IF(SUMPRODUCT(('Agences &amp; Après-vente'!$A$2:$A$1000=$A181)*(('Agences &amp; Après-vente'!$D$2:$D$1000="Après-vente")+('Agences &amp; Après-vente'!$D$2:$D$1000="Agences et Après-vente"))*('Agences &amp; Après-vente'!$I$2:$I$1000="DONE"))&gt;0,"✓",IF(SUMPRODUCT(MAX(('Agences &amp; Après-vente'!$A$2:$A$1000=$A181)*(('Agences &amp; Après-vente'!$D$2:$D$1000="Après-vente")+('Agences &amp; Après-vente'!$D$2:$D$1000="Agences et Après-vente"))*'Agences &amp; Après-vente'!$E$2:$E$1000))&gt;0,TEXT(SUMPRODUCT(MAX(('Agences &amp; Après-vente'!$A$2:$A$1000=$A181)*(('Agences &amp; Après-vente'!$D$2:$D$1000="Après-vente")+('Agences &amp; Après-vente'!$D$2:$D$1000="Agences et Après-vente"))*'Agences &amp; Après-vente'!$E$2:$E$1000)),"yyyy-mm-dd"),"")))))</f>
        <v/>
      </c>
      <c r="J181" s="131" t="str">
        <f aca="false">IF($T181="✓","✓",IF(ISNUMBER($T181),TEXT($T181,"yyyy-mm-dd"),IF($A181="","",IF($D181="Lisbonne","",IF(SUMPRODUCT(('Agences &amp; Après-vente'!$A$2:$A$1000=$A181)*(('Agences &amp; Après-vente'!$D$2:$D$1000="Après-vente")+('Agences &amp; Après-vente'!$D$2:$D$1000="Agences et Après-vente"))*('Agences &amp; Après-vente'!$I$2:$I$1000="DONE"))&gt;0,"✓",IF(SUMPRODUCT(MAX(('Agences &amp; Après-vente'!$A$2:$A$1000=$A181)*(('Agences &amp; Après-vente'!$D$2:$D$1000="Après-vente")+('Agences &amp; Après-vente'!$D$2:$D$1000="Agences et Après-vente"))*'Agences &amp; Après-vente'!$E$2:$E$1000))&gt;0,TEXT(SUMPRODUCT(MAX(('Agences &amp; Après-vente'!$A$2:$A$1000=$A181)*(('Agences &amp; Après-vente'!$D$2:$D$1000="Après-vente")+('Agences &amp; Après-vente'!$D$2:$D$1000="Agences et Après-vente"))*'Agences &amp; Après-vente'!$E$2:$E$1000)),"yyyy-mm-dd"),""))))))</f>
        <v/>
      </c>
      <c r="K181" s="131" t="str">
        <f aca="false">IF($U181="✓","✓",IF(ISNUMBER($U181),TEXT($U181,"yyyy-mm-dd"),IF($D181="Lisbonne","",IF($A181="","",IF(SUMPRODUCT((Evermont!$A$2:$A$1000=$A181)*(Evermont!$Q$2:$Q$1000="Terminé"))&gt;0,"✓",IF(SUMPRODUCT(MAX((Evermont!$A$2:$A$1000=$A181)*Evermont!$F$2:$F$1000))&gt;0,TEXT(SUMPRODUCT(MAX((Evermont!$A$2:$A$1000=$A181)*Evermont!$F$2:$F$1000)),"yyyy-mm-dd"),""))))))</f>
        <v/>
      </c>
      <c r="L181" s="132" t="str">
        <f aca="false">IF($A181="","",COUNTIF(E181:K181,"✓"))</f>
        <v/>
      </c>
      <c r="M181" s="131" t="str">
        <f aca="false">IF(B181="","","Active")</f>
        <v/>
      </c>
      <c r="W181" s="120" t="str">
        <f aca="false">IF($A181="","",IF($X181&lt;&gt;"",$X181,IFERROR(INDEX('Formation Initiale'!$B$2:$B$999,MATCH($A181,'Formation Initiale'!$A$2:$A$999,0)),"Général")))</f>
        <v/>
      </c>
    </row>
    <row r="182" customFormat="false" ht="15" hidden="true" customHeight="true" outlineLevel="0" collapsed="false">
      <c r="A182" s="142" t="str">
        <f aca="false">IF(B182="","","TR"&amp;TEXT(ROW()-1,"000"))</f>
        <v/>
      </c>
      <c r="B182" s="143"/>
      <c r="C182" s="143"/>
      <c r="D182" s="144"/>
      <c r="E182" s="130" t="str">
        <f aca="false">IF($O182="✓","✓",IF(ISNUMBER($O182),TEXT($O182,"yyyy-mm-dd"),IF($A182="","",IF(SUMPRODUCT(('Formation Initiale'!$A$2:$A$999=$A182)*('Formation Initiale'!$R$2:$R$999="Terminé"))&gt;0,"✓",IF(SUMPRODUCT(MAX(('Formation Initiale'!$A$2:$A$999=$A182)*'Formation Initiale'!$G$2:$G$999))&gt;0,TEXT(SUMPRODUCT(MAX(('Formation Initiale'!$A$2:$A$999=$A182)*'Formation Initiale'!$G$2:$G$999)),"yyyy-mm-dd"),"")))))</f>
        <v/>
      </c>
      <c r="F182" s="131" t="str">
        <f aca="false">IF($P182="✓","✓",IF(ISNUMBER($P182),TEXT($P182,"yyyy-mm-dd"),IF($A182="","",IF($D182="Lisbonne","",IF(SUMPRODUCT(('Formation Initiale'!$A$2:$A$999=$A182)*('Formation Initiale'!$R$2:$R$999="Terminé"))&gt;0,"✓",IF(SUMPRODUCT(MAX(('Formation Initiale'!$A$2:$A$999=$A182)*'Formation Initiale'!$G$2:$G$999))&gt;0,TEXT(SUMPRODUCT(MAX(('Formation Initiale'!$A$2:$A$999=$A182)*'Formation Initiale'!$G$2:$G$999)),"yyyy-mm-dd"),""))))))</f>
        <v/>
      </c>
      <c r="G182" s="131" t="str">
        <f aca="false">IF($Q182="✓","✓",IF(ISNUMBER($Q182),TEXT($Q182,"yyyy-mm-dd"),IF($A182="","",IF(SUMPRODUCT(('Agences &amp; Après-vente'!$A$2:$A$1000=$A182)*(('Agences &amp; Après-vente'!$D$2:$D$1000="Agences")+('Agences &amp; Après-vente'!$D$2:$D$1000="Agences et Après-vente"))*('Agences &amp; Après-vente'!$I$2:$I$1000="DONE"))&gt;0,"✓",IF(SUMPRODUCT(MAX(('Agences &amp; Après-vente'!$A$2:$A$1000=$A182)*(('Agences &amp; Après-vente'!$D$2:$D$1000="Agences")+('Agences &amp; Après-vente'!$D$2:$D$1000="Agences et Après-vente"))*'Agences &amp; Après-vente'!$E$2:$E$1000))&gt;0,TEXT(SUMPRODUCT(MAX(('Agences &amp; Après-vente'!$A$2:$A$1000=$A182)*(('Agences &amp; Après-vente'!$D$2:$D$1000="Agences")+('Agences &amp; Après-vente'!$D$2:$D$1000="Agences et Après-vente"))*'Agences &amp; Après-vente'!$E$2:$E$1000)),"yyyy-mm-dd"),"")))))</f>
        <v/>
      </c>
      <c r="H182" s="131" t="str">
        <f aca="false">IF($R182="✓","✓",IF(ISNUMBER($R182),TEXT($R182,"yyyy-mm-dd"),IF($A182="","",IF($D182="Lisbonne","",IF(SUMPRODUCT(('Agences &amp; Après-vente'!$A$2:$A$1000=$A182)*(('Agences &amp; Après-vente'!$D$2:$D$1000="Agences")+('Agences &amp; Après-vente'!$D$2:$D$1000="Agences et Après-vente"))*('Agences &amp; Après-vente'!$I$2:$I$1000="DONE"))&gt;0,"✓",IF(SUMPRODUCT(MAX(('Agences &amp; Après-vente'!$A$2:$A$1000=$A182)*(('Agences &amp; Après-vente'!$D$2:$D$1000="Agences")+('Agences &amp; Après-vente'!$D$2:$D$1000="Agences et Après-vente"))*'Agences &amp; Après-vente'!$E$2:$E$1000))&gt;0,TEXT(SUMPRODUCT(MAX(('Agences &amp; Après-vente'!$A$2:$A$1000=$A182)*(('Agences &amp; Après-vente'!$D$2:$D$1000="Agences")+('Agences &amp; Après-vente'!$D$2:$D$1000="Agences et Après-vente"))*'Agences &amp; Après-vente'!$E$2:$E$1000)),"yyyy-mm-dd"),""))))))</f>
        <v/>
      </c>
      <c r="I182" s="131" t="str">
        <f aca="false">IF($S182="✓","✓",IF(ISNUMBER($S182),TEXT($S182,"yyyy-mm-dd"),IF($A182="","",IF(SUMPRODUCT(('Agences &amp; Après-vente'!$A$2:$A$1000=$A182)*(('Agences &amp; Après-vente'!$D$2:$D$1000="Après-vente")+('Agences &amp; Après-vente'!$D$2:$D$1000="Agences et Après-vente"))*('Agences &amp; Après-vente'!$I$2:$I$1000="DONE"))&gt;0,"✓",IF(SUMPRODUCT(MAX(('Agences &amp; Après-vente'!$A$2:$A$1000=$A182)*(('Agences &amp; Après-vente'!$D$2:$D$1000="Après-vente")+('Agences &amp; Après-vente'!$D$2:$D$1000="Agences et Après-vente"))*'Agences &amp; Après-vente'!$E$2:$E$1000))&gt;0,TEXT(SUMPRODUCT(MAX(('Agences &amp; Après-vente'!$A$2:$A$1000=$A182)*(('Agences &amp; Après-vente'!$D$2:$D$1000="Après-vente")+('Agences &amp; Après-vente'!$D$2:$D$1000="Agences et Après-vente"))*'Agences &amp; Après-vente'!$E$2:$E$1000)),"yyyy-mm-dd"),"")))))</f>
        <v/>
      </c>
      <c r="J182" s="131" t="str">
        <f aca="false">IF($T182="✓","✓",IF(ISNUMBER($T182),TEXT($T182,"yyyy-mm-dd"),IF($A182="","",IF($D182="Lisbonne","",IF(SUMPRODUCT(('Agences &amp; Après-vente'!$A$2:$A$1000=$A182)*(('Agences &amp; Après-vente'!$D$2:$D$1000="Après-vente")+('Agences &amp; Après-vente'!$D$2:$D$1000="Agences et Après-vente"))*('Agences &amp; Après-vente'!$I$2:$I$1000="DONE"))&gt;0,"✓",IF(SUMPRODUCT(MAX(('Agences &amp; Après-vente'!$A$2:$A$1000=$A182)*(('Agences &amp; Après-vente'!$D$2:$D$1000="Après-vente")+('Agences &amp; Après-vente'!$D$2:$D$1000="Agences et Après-vente"))*'Agences &amp; Après-vente'!$E$2:$E$1000))&gt;0,TEXT(SUMPRODUCT(MAX(('Agences &amp; Après-vente'!$A$2:$A$1000=$A182)*(('Agences &amp; Après-vente'!$D$2:$D$1000="Après-vente")+('Agences &amp; Après-vente'!$D$2:$D$1000="Agences et Après-vente"))*'Agences &amp; Après-vente'!$E$2:$E$1000)),"yyyy-mm-dd"),""))))))</f>
        <v/>
      </c>
      <c r="K182" s="131" t="str">
        <f aca="false">IF($U182="✓","✓",IF(ISNUMBER($U182),TEXT($U182,"yyyy-mm-dd"),IF($D182="Lisbonne","",IF($A182="","",IF(SUMPRODUCT((Evermont!$A$2:$A$1000=$A182)*(Evermont!$Q$2:$Q$1000="Terminé"))&gt;0,"✓",IF(SUMPRODUCT(MAX((Evermont!$A$2:$A$1000=$A182)*Evermont!$F$2:$F$1000))&gt;0,TEXT(SUMPRODUCT(MAX((Evermont!$A$2:$A$1000=$A182)*Evermont!$F$2:$F$1000)),"yyyy-mm-dd"),""))))))</f>
        <v/>
      </c>
      <c r="L182" s="132" t="str">
        <f aca="false">IF($A182="","",COUNTIF(E182:K182,"✓"))</f>
        <v/>
      </c>
      <c r="M182" s="131" t="str">
        <f aca="false">IF(B182="","","Active")</f>
        <v/>
      </c>
      <c r="W182" s="120" t="str">
        <f aca="false">IF($A182="","",IF($X182&lt;&gt;"",$X182,IFERROR(INDEX('Formation Initiale'!$B$2:$B$999,MATCH($A182,'Formation Initiale'!$A$2:$A$999,0)),"Général")))</f>
        <v/>
      </c>
    </row>
    <row r="183" customFormat="false" ht="15" hidden="true" customHeight="true" outlineLevel="0" collapsed="false">
      <c r="A183" s="142" t="str">
        <f aca="false">IF(B183="","","TR"&amp;TEXT(ROW()-1,"000"))</f>
        <v/>
      </c>
      <c r="E183" s="130" t="str">
        <f aca="false">IF($O183="✓","✓",IF(ISNUMBER($O183),TEXT($O183,"yyyy-mm-dd"),IF($A183="","",IF(SUMPRODUCT(('Formation Initiale'!$A$2:$A$999=$A183)*('Formation Initiale'!$R$2:$R$999="Terminé"))&gt;0,"✓",IF(SUMPRODUCT(MAX(('Formation Initiale'!$A$2:$A$999=$A183)*'Formation Initiale'!$G$2:$G$999))&gt;0,TEXT(SUMPRODUCT(MAX(('Formation Initiale'!$A$2:$A$999=$A183)*'Formation Initiale'!$G$2:$G$999)),"yyyy-mm-dd"),"")))))</f>
        <v/>
      </c>
      <c r="F183" s="131" t="str">
        <f aca="false">IF($P183="✓","✓",IF(ISNUMBER($P183),TEXT($P183,"yyyy-mm-dd"),IF($A183="","",IF($D183="Lisbonne","",IF(SUMPRODUCT(('Formation Initiale'!$A$2:$A$999=$A183)*('Formation Initiale'!$R$2:$R$999="Terminé"))&gt;0,"✓",IF(SUMPRODUCT(MAX(('Formation Initiale'!$A$2:$A$999=$A183)*'Formation Initiale'!$G$2:$G$999))&gt;0,TEXT(SUMPRODUCT(MAX(('Formation Initiale'!$A$2:$A$999=$A183)*'Formation Initiale'!$G$2:$G$999)),"yyyy-mm-dd"),""))))))</f>
        <v/>
      </c>
      <c r="G183" s="131" t="str">
        <f aca="false">IF($Q183="✓","✓",IF(ISNUMBER($Q183),TEXT($Q183,"yyyy-mm-dd"),IF($A183="","",IF(SUMPRODUCT(('Agences &amp; Après-vente'!$A$2:$A$1000=$A183)*(('Agences &amp; Après-vente'!$D$2:$D$1000="Agences")+('Agences &amp; Après-vente'!$D$2:$D$1000="Agences et Après-vente"))*('Agences &amp; Après-vente'!$I$2:$I$1000="DONE"))&gt;0,"✓",IF(SUMPRODUCT(MAX(('Agences &amp; Après-vente'!$A$2:$A$1000=$A183)*(('Agences &amp; Après-vente'!$D$2:$D$1000="Agences")+('Agences &amp; Après-vente'!$D$2:$D$1000="Agences et Après-vente"))*'Agences &amp; Après-vente'!$E$2:$E$1000))&gt;0,TEXT(SUMPRODUCT(MAX(('Agences &amp; Après-vente'!$A$2:$A$1000=$A183)*(('Agences &amp; Après-vente'!$D$2:$D$1000="Agences")+('Agences &amp; Après-vente'!$D$2:$D$1000="Agences et Après-vente"))*'Agences &amp; Après-vente'!$E$2:$E$1000)),"yyyy-mm-dd"),"")))))</f>
        <v/>
      </c>
      <c r="H183" s="131" t="str">
        <f aca="false">IF($R183="✓","✓",IF(ISNUMBER($R183),TEXT($R183,"yyyy-mm-dd"),IF($A183="","",IF($D183="Lisbonne","",IF(SUMPRODUCT(('Agences &amp; Après-vente'!$A$2:$A$1000=$A183)*(('Agences &amp; Après-vente'!$D$2:$D$1000="Agences")+('Agences &amp; Après-vente'!$D$2:$D$1000="Agences et Après-vente"))*('Agences &amp; Après-vente'!$I$2:$I$1000="DONE"))&gt;0,"✓",IF(SUMPRODUCT(MAX(('Agences &amp; Après-vente'!$A$2:$A$1000=$A183)*(('Agences &amp; Après-vente'!$D$2:$D$1000="Agences")+('Agences &amp; Après-vente'!$D$2:$D$1000="Agences et Après-vente"))*'Agences &amp; Après-vente'!$E$2:$E$1000))&gt;0,TEXT(SUMPRODUCT(MAX(('Agences &amp; Après-vente'!$A$2:$A$1000=$A183)*(('Agences &amp; Après-vente'!$D$2:$D$1000="Agences")+('Agences &amp; Après-vente'!$D$2:$D$1000="Agences et Après-vente"))*'Agences &amp; Après-vente'!$E$2:$E$1000)),"yyyy-mm-dd"),""))))))</f>
        <v/>
      </c>
      <c r="I183" s="131" t="str">
        <f aca="false">IF($S183="✓","✓",IF(ISNUMBER($S183),TEXT($S183,"yyyy-mm-dd"),IF($A183="","",IF(SUMPRODUCT(('Agences &amp; Après-vente'!$A$2:$A$1000=$A183)*(('Agences &amp; Après-vente'!$D$2:$D$1000="Après-vente")+('Agences &amp; Après-vente'!$D$2:$D$1000="Agences et Après-vente"))*('Agences &amp; Après-vente'!$I$2:$I$1000="DONE"))&gt;0,"✓",IF(SUMPRODUCT(MAX(('Agences &amp; Après-vente'!$A$2:$A$1000=$A183)*(('Agences &amp; Après-vente'!$D$2:$D$1000="Après-vente")+('Agences &amp; Après-vente'!$D$2:$D$1000="Agences et Après-vente"))*'Agences &amp; Après-vente'!$E$2:$E$1000))&gt;0,TEXT(SUMPRODUCT(MAX(('Agences &amp; Après-vente'!$A$2:$A$1000=$A183)*(('Agences &amp; Après-vente'!$D$2:$D$1000="Après-vente")+('Agences &amp; Après-vente'!$D$2:$D$1000="Agences et Après-vente"))*'Agences &amp; Après-vente'!$E$2:$E$1000)),"yyyy-mm-dd"),"")))))</f>
        <v/>
      </c>
      <c r="J183" s="131" t="str">
        <f aca="false">IF($T183="✓","✓",IF(ISNUMBER($T183),TEXT($T183,"yyyy-mm-dd"),IF($A183="","",IF($D183="Lisbonne","",IF(SUMPRODUCT(('Agences &amp; Après-vente'!$A$2:$A$1000=$A183)*(('Agences &amp; Après-vente'!$D$2:$D$1000="Après-vente")+('Agences &amp; Après-vente'!$D$2:$D$1000="Agences et Après-vente"))*('Agences &amp; Après-vente'!$I$2:$I$1000="DONE"))&gt;0,"✓",IF(SUMPRODUCT(MAX(('Agences &amp; Après-vente'!$A$2:$A$1000=$A183)*(('Agences &amp; Après-vente'!$D$2:$D$1000="Après-vente")+('Agences &amp; Après-vente'!$D$2:$D$1000="Agences et Après-vente"))*'Agences &amp; Après-vente'!$E$2:$E$1000))&gt;0,TEXT(SUMPRODUCT(MAX(('Agences &amp; Après-vente'!$A$2:$A$1000=$A183)*(('Agences &amp; Après-vente'!$D$2:$D$1000="Après-vente")+('Agences &amp; Après-vente'!$D$2:$D$1000="Agences et Après-vente"))*'Agences &amp; Après-vente'!$E$2:$E$1000)),"yyyy-mm-dd"),""))))))</f>
        <v/>
      </c>
      <c r="K183" s="131" t="str">
        <f aca="false">IF($U183="✓","✓",IF(ISNUMBER($U183),TEXT($U183,"yyyy-mm-dd"),IF($D183="Lisbonne","",IF($A183="","",IF(SUMPRODUCT((Evermont!$A$2:$A$1000=$A183)*(Evermont!$Q$2:$Q$1000="Terminé"))&gt;0,"✓",IF(SUMPRODUCT(MAX((Evermont!$A$2:$A$1000=$A183)*Evermont!$F$2:$F$1000))&gt;0,TEXT(SUMPRODUCT(MAX((Evermont!$A$2:$A$1000=$A183)*Evermont!$F$2:$F$1000)),"yyyy-mm-dd"),""))))))</f>
        <v/>
      </c>
      <c r="L183" s="131" t="str">
        <f aca="false">IF($A183="","",COUNTIF(E183:K183,"✓"))</f>
        <v/>
      </c>
      <c r="M183" s="131" t="str">
        <f aca="false">IF(B183="","","Active")</f>
        <v/>
      </c>
      <c r="W183" s="120" t="str">
        <f aca="false">IF($A183="","",IF($X183&lt;&gt;"",$X183,IFERROR(INDEX('Formation Initiale'!$B$2:$B$999,MATCH($A183,'Formation Initiale'!$A$2:$A$999,0)),"Général")))</f>
        <v/>
      </c>
    </row>
    <row r="184" customFormat="false" ht="15" hidden="true" customHeight="true" outlineLevel="0" collapsed="false">
      <c r="A184" s="142" t="str">
        <f aca="false">IF(B184="","","TR"&amp;TEXT(ROW()-1,"000"))</f>
        <v/>
      </c>
      <c r="E184" s="130" t="str">
        <f aca="false">IF($O184="✓","✓",IF(ISNUMBER($O184),TEXT($O184,"yyyy-mm-dd"),IF($A184="","",IF(SUMPRODUCT(('Formation Initiale'!$A$2:$A$999=$A184)*('Formation Initiale'!$R$2:$R$999="Terminé"))&gt;0,"✓",IF(SUMPRODUCT(MAX(('Formation Initiale'!$A$2:$A$999=$A184)*'Formation Initiale'!$G$2:$G$999))&gt;0,TEXT(SUMPRODUCT(MAX(('Formation Initiale'!$A$2:$A$999=$A184)*'Formation Initiale'!$G$2:$G$999)),"yyyy-mm-dd"),"")))))</f>
        <v/>
      </c>
      <c r="F184" s="131" t="str">
        <f aca="false">IF($P184="✓","✓",IF(ISNUMBER($P184),TEXT($P184,"yyyy-mm-dd"),IF($A184="","",IF($D184="Lisbonne","",IF(SUMPRODUCT(('Formation Initiale'!$A$2:$A$999=$A184)*('Formation Initiale'!$R$2:$R$999="Terminé"))&gt;0,"✓",IF(SUMPRODUCT(MAX(('Formation Initiale'!$A$2:$A$999=$A184)*'Formation Initiale'!$G$2:$G$999))&gt;0,TEXT(SUMPRODUCT(MAX(('Formation Initiale'!$A$2:$A$999=$A184)*'Formation Initiale'!$G$2:$G$999)),"yyyy-mm-dd"),""))))))</f>
        <v/>
      </c>
      <c r="G184" s="131" t="str">
        <f aca="false">IF($Q184="✓","✓",IF(ISNUMBER($Q184),TEXT($Q184,"yyyy-mm-dd"),IF($A184="","",IF(SUMPRODUCT(('Agences &amp; Après-vente'!$A$2:$A$1000=$A184)*(('Agences &amp; Après-vente'!$D$2:$D$1000="Agences")+('Agences &amp; Après-vente'!$D$2:$D$1000="Agences et Après-vente"))*('Agences &amp; Après-vente'!$I$2:$I$1000="DONE"))&gt;0,"✓",IF(SUMPRODUCT(MAX(('Agences &amp; Après-vente'!$A$2:$A$1000=$A184)*(('Agences &amp; Après-vente'!$D$2:$D$1000="Agences")+('Agences &amp; Après-vente'!$D$2:$D$1000="Agences et Après-vente"))*'Agences &amp; Après-vente'!$E$2:$E$1000))&gt;0,TEXT(SUMPRODUCT(MAX(('Agences &amp; Après-vente'!$A$2:$A$1000=$A184)*(('Agences &amp; Après-vente'!$D$2:$D$1000="Agences")+('Agences &amp; Après-vente'!$D$2:$D$1000="Agences et Après-vente"))*'Agences &amp; Après-vente'!$E$2:$E$1000)),"yyyy-mm-dd"),"")))))</f>
        <v/>
      </c>
      <c r="H184" s="131" t="str">
        <f aca="false">IF($R184="✓","✓",IF(ISNUMBER($R184),TEXT($R184,"yyyy-mm-dd"),IF($A184="","",IF($D184="Lisbonne","",IF(SUMPRODUCT(('Agences &amp; Après-vente'!$A$2:$A$1000=$A184)*(('Agences &amp; Après-vente'!$D$2:$D$1000="Agences")+('Agences &amp; Après-vente'!$D$2:$D$1000="Agences et Après-vente"))*('Agences &amp; Après-vente'!$I$2:$I$1000="DONE"))&gt;0,"✓",IF(SUMPRODUCT(MAX(('Agences &amp; Après-vente'!$A$2:$A$1000=$A184)*(('Agences &amp; Après-vente'!$D$2:$D$1000="Agences")+('Agences &amp; Après-vente'!$D$2:$D$1000="Agences et Après-vente"))*'Agences &amp; Après-vente'!$E$2:$E$1000))&gt;0,TEXT(SUMPRODUCT(MAX(('Agences &amp; Après-vente'!$A$2:$A$1000=$A184)*(('Agences &amp; Après-vente'!$D$2:$D$1000="Agences")+('Agences &amp; Après-vente'!$D$2:$D$1000="Agences et Après-vente"))*'Agences &amp; Après-vente'!$E$2:$E$1000)),"yyyy-mm-dd"),""))))))</f>
        <v/>
      </c>
      <c r="I184" s="131" t="str">
        <f aca="false">IF($S184="✓","✓",IF(ISNUMBER($S184),TEXT($S184,"yyyy-mm-dd"),IF($A184="","",IF(SUMPRODUCT(('Agences &amp; Après-vente'!$A$2:$A$1000=$A184)*(('Agences &amp; Après-vente'!$D$2:$D$1000="Après-vente")+('Agences &amp; Après-vente'!$D$2:$D$1000="Agences et Après-vente"))*('Agences &amp; Après-vente'!$I$2:$I$1000="DONE"))&gt;0,"✓",IF(SUMPRODUCT(MAX(('Agences &amp; Après-vente'!$A$2:$A$1000=$A184)*(('Agences &amp; Après-vente'!$D$2:$D$1000="Après-vente")+('Agences &amp; Après-vente'!$D$2:$D$1000="Agences et Après-vente"))*'Agences &amp; Après-vente'!$E$2:$E$1000))&gt;0,TEXT(SUMPRODUCT(MAX(('Agences &amp; Après-vente'!$A$2:$A$1000=$A184)*(('Agences &amp; Après-vente'!$D$2:$D$1000="Après-vente")+('Agences &amp; Après-vente'!$D$2:$D$1000="Agences et Après-vente"))*'Agences &amp; Après-vente'!$E$2:$E$1000)),"yyyy-mm-dd"),"")))))</f>
        <v/>
      </c>
      <c r="J184" s="131" t="str">
        <f aca="false">IF($T184="✓","✓",IF(ISNUMBER($T184),TEXT($T184,"yyyy-mm-dd"),IF($A184="","",IF($D184="Lisbonne","",IF(SUMPRODUCT(('Agences &amp; Après-vente'!$A$2:$A$1000=$A184)*(('Agences &amp; Après-vente'!$D$2:$D$1000="Après-vente")+('Agences &amp; Après-vente'!$D$2:$D$1000="Agences et Après-vente"))*('Agences &amp; Après-vente'!$I$2:$I$1000="DONE"))&gt;0,"✓",IF(SUMPRODUCT(MAX(('Agences &amp; Après-vente'!$A$2:$A$1000=$A184)*(('Agences &amp; Après-vente'!$D$2:$D$1000="Après-vente")+('Agences &amp; Après-vente'!$D$2:$D$1000="Agences et Après-vente"))*'Agences &amp; Après-vente'!$E$2:$E$1000))&gt;0,TEXT(SUMPRODUCT(MAX(('Agences &amp; Après-vente'!$A$2:$A$1000=$A184)*(('Agences &amp; Après-vente'!$D$2:$D$1000="Après-vente")+('Agences &amp; Après-vente'!$D$2:$D$1000="Agences et Après-vente"))*'Agences &amp; Après-vente'!$E$2:$E$1000)),"yyyy-mm-dd"),""))))))</f>
        <v/>
      </c>
      <c r="K184" s="131" t="str">
        <f aca="false">IF($U184="✓","✓",IF(ISNUMBER($U184),TEXT($U184,"yyyy-mm-dd"),IF($D184="Lisbonne","",IF($A184="","",IF(SUMPRODUCT((Evermont!$A$2:$A$1000=$A184)*(Evermont!$Q$2:$Q$1000="Terminé"))&gt;0,"✓",IF(SUMPRODUCT(MAX((Evermont!$A$2:$A$1000=$A184)*Evermont!$F$2:$F$1000))&gt;0,TEXT(SUMPRODUCT(MAX((Evermont!$A$2:$A$1000=$A184)*Evermont!$F$2:$F$1000)),"yyyy-mm-dd"),""))))))</f>
        <v/>
      </c>
      <c r="L184" s="131" t="str">
        <f aca="false">IF($A184="","",COUNTIF(E184:K184,"✓"))</f>
        <v/>
      </c>
      <c r="M184" s="131" t="str">
        <f aca="false">IF(B184="","","Active")</f>
        <v/>
      </c>
      <c r="W184" s="120" t="str">
        <f aca="false">IF($A184="","",IF($X184&lt;&gt;"",$X184,IFERROR(INDEX('Formation Initiale'!$B$2:$B$999,MATCH($A184,'Formation Initiale'!$A$2:$A$999,0)),"Général")))</f>
        <v/>
      </c>
    </row>
    <row r="185" customFormat="false" ht="15" hidden="true" customHeight="true" outlineLevel="0" collapsed="false">
      <c r="A185" s="142" t="str">
        <f aca="false">IF(B185="","","TR"&amp;TEXT(ROW()-1,"000"))</f>
        <v/>
      </c>
      <c r="E185" s="130" t="str">
        <f aca="false">IF($O185="✓","✓",IF(ISNUMBER($O185),TEXT($O185,"yyyy-mm-dd"),IF($A185="","",IF(SUMPRODUCT(('Formation Initiale'!$A$2:$A$999=$A185)*('Formation Initiale'!$R$2:$R$999="Terminé"))&gt;0,"✓",IF(SUMPRODUCT(MAX(('Formation Initiale'!$A$2:$A$999=$A185)*'Formation Initiale'!$G$2:$G$999))&gt;0,TEXT(SUMPRODUCT(MAX(('Formation Initiale'!$A$2:$A$999=$A185)*'Formation Initiale'!$G$2:$G$999)),"yyyy-mm-dd"),"")))))</f>
        <v/>
      </c>
      <c r="F185" s="131" t="str">
        <f aca="false">IF($P185="✓","✓",IF(ISNUMBER($P185),TEXT($P185,"yyyy-mm-dd"),IF($A185="","",IF($D185="Lisbonne","",IF(SUMPRODUCT(('Formation Initiale'!$A$2:$A$999=$A185)*('Formation Initiale'!$R$2:$R$999="Terminé"))&gt;0,"✓",IF(SUMPRODUCT(MAX(('Formation Initiale'!$A$2:$A$999=$A185)*'Formation Initiale'!$G$2:$G$999))&gt;0,TEXT(SUMPRODUCT(MAX(('Formation Initiale'!$A$2:$A$999=$A185)*'Formation Initiale'!$G$2:$G$999)),"yyyy-mm-dd"),""))))))</f>
        <v/>
      </c>
      <c r="G185" s="131" t="str">
        <f aca="false">IF($Q185="✓","✓",IF(ISNUMBER($Q185),TEXT($Q185,"yyyy-mm-dd"),IF($A185="","",IF(SUMPRODUCT(('Agences &amp; Après-vente'!$A$2:$A$1000=$A185)*(('Agences &amp; Après-vente'!$D$2:$D$1000="Agences")+('Agences &amp; Après-vente'!$D$2:$D$1000="Agences et Après-vente"))*('Agences &amp; Après-vente'!$I$2:$I$1000="DONE"))&gt;0,"✓",IF(SUMPRODUCT(MAX(('Agences &amp; Après-vente'!$A$2:$A$1000=$A185)*(('Agences &amp; Après-vente'!$D$2:$D$1000="Agences")+('Agences &amp; Après-vente'!$D$2:$D$1000="Agences et Après-vente"))*'Agences &amp; Après-vente'!$E$2:$E$1000))&gt;0,TEXT(SUMPRODUCT(MAX(('Agences &amp; Après-vente'!$A$2:$A$1000=$A185)*(('Agences &amp; Après-vente'!$D$2:$D$1000="Agences")+('Agences &amp; Après-vente'!$D$2:$D$1000="Agences et Après-vente"))*'Agences &amp; Après-vente'!$E$2:$E$1000)),"yyyy-mm-dd"),"")))))</f>
        <v/>
      </c>
      <c r="H185" s="131" t="str">
        <f aca="false">IF($R185="✓","✓",IF(ISNUMBER($R185),TEXT($R185,"yyyy-mm-dd"),IF($A185="","",IF($D185="Lisbonne","",IF(SUMPRODUCT(('Agences &amp; Après-vente'!$A$2:$A$1000=$A185)*(('Agences &amp; Après-vente'!$D$2:$D$1000="Agences")+('Agences &amp; Après-vente'!$D$2:$D$1000="Agences et Après-vente"))*('Agences &amp; Après-vente'!$I$2:$I$1000="DONE"))&gt;0,"✓",IF(SUMPRODUCT(MAX(('Agences &amp; Après-vente'!$A$2:$A$1000=$A185)*(('Agences &amp; Après-vente'!$D$2:$D$1000="Agences")+('Agences &amp; Après-vente'!$D$2:$D$1000="Agences et Après-vente"))*'Agences &amp; Après-vente'!$E$2:$E$1000))&gt;0,TEXT(SUMPRODUCT(MAX(('Agences &amp; Après-vente'!$A$2:$A$1000=$A185)*(('Agences &amp; Après-vente'!$D$2:$D$1000="Agences")+('Agences &amp; Après-vente'!$D$2:$D$1000="Agences et Après-vente"))*'Agences &amp; Après-vente'!$E$2:$E$1000)),"yyyy-mm-dd"),""))))))</f>
        <v/>
      </c>
      <c r="I185" s="131" t="str">
        <f aca="false">IF($S185="✓","✓",IF(ISNUMBER($S185),TEXT($S185,"yyyy-mm-dd"),IF($A185="","",IF(SUMPRODUCT(('Agences &amp; Après-vente'!$A$2:$A$1000=$A185)*(('Agences &amp; Après-vente'!$D$2:$D$1000="Après-vente")+('Agences &amp; Après-vente'!$D$2:$D$1000="Agences et Après-vente"))*('Agences &amp; Après-vente'!$I$2:$I$1000="DONE"))&gt;0,"✓",IF(SUMPRODUCT(MAX(('Agences &amp; Après-vente'!$A$2:$A$1000=$A185)*(('Agences &amp; Après-vente'!$D$2:$D$1000="Après-vente")+('Agences &amp; Après-vente'!$D$2:$D$1000="Agences et Après-vente"))*'Agences &amp; Après-vente'!$E$2:$E$1000))&gt;0,TEXT(SUMPRODUCT(MAX(('Agences &amp; Après-vente'!$A$2:$A$1000=$A185)*(('Agences &amp; Après-vente'!$D$2:$D$1000="Après-vente")+('Agences &amp; Après-vente'!$D$2:$D$1000="Agences et Après-vente"))*'Agences &amp; Après-vente'!$E$2:$E$1000)),"yyyy-mm-dd"),"")))))</f>
        <v/>
      </c>
      <c r="J185" s="131" t="str">
        <f aca="false">IF($T185="✓","✓",IF(ISNUMBER($T185),TEXT($T185,"yyyy-mm-dd"),IF($A185="","",IF($D185="Lisbonne","",IF(SUMPRODUCT(('Agences &amp; Après-vente'!$A$2:$A$1000=$A185)*(('Agences &amp; Après-vente'!$D$2:$D$1000="Après-vente")+('Agences &amp; Après-vente'!$D$2:$D$1000="Agences et Après-vente"))*('Agences &amp; Après-vente'!$I$2:$I$1000="DONE"))&gt;0,"✓",IF(SUMPRODUCT(MAX(('Agences &amp; Après-vente'!$A$2:$A$1000=$A185)*(('Agences &amp; Après-vente'!$D$2:$D$1000="Après-vente")+('Agences &amp; Après-vente'!$D$2:$D$1000="Agences et Après-vente"))*'Agences &amp; Après-vente'!$E$2:$E$1000))&gt;0,TEXT(SUMPRODUCT(MAX(('Agences &amp; Après-vente'!$A$2:$A$1000=$A185)*(('Agences &amp; Après-vente'!$D$2:$D$1000="Après-vente")+('Agences &amp; Après-vente'!$D$2:$D$1000="Agences et Après-vente"))*'Agences &amp; Après-vente'!$E$2:$E$1000)),"yyyy-mm-dd"),""))))))</f>
        <v/>
      </c>
      <c r="K185" s="131" t="str">
        <f aca="false">IF($U185="✓","✓",IF(ISNUMBER($U185),TEXT($U185,"yyyy-mm-dd"),IF($D185="Lisbonne","",IF($A185="","",IF(SUMPRODUCT((Evermont!$A$2:$A$1000=$A185)*(Evermont!$Q$2:$Q$1000="Terminé"))&gt;0,"✓",IF(SUMPRODUCT(MAX((Evermont!$A$2:$A$1000=$A185)*Evermont!$F$2:$F$1000))&gt;0,TEXT(SUMPRODUCT(MAX((Evermont!$A$2:$A$1000=$A185)*Evermont!$F$2:$F$1000)),"yyyy-mm-dd"),""))))))</f>
        <v/>
      </c>
      <c r="L185" s="131" t="str">
        <f aca="false">IF($A185="","",COUNTIF(E185:K185,"✓"))</f>
        <v/>
      </c>
      <c r="M185" s="131" t="str">
        <f aca="false">IF(B185="","","Active")</f>
        <v/>
      </c>
      <c r="W185" s="120" t="str">
        <f aca="false">IF($A185="","",IF($X185&lt;&gt;"",$X185,IFERROR(INDEX('Formation Initiale'!$B$2:$B$999,MATCH($A185,'Formation Initiale'!$A$2:$A$999,0)),"Général")))</f>
        <v/>
      </c>
    </row>
    <row r="186" customFormat="false" ht="15" hidden="true" customHeight="true" outlineLevel="0" collapsed="false">
      <c r="A186" s="142" t="str">
        <f aca="false">IF(B186="","","TR"&amp;TEXT(ROW()-1,"000"))</f>
        <v/>
      </c>
      <c r="E186" s="130" t="str">
        <f aca="false">IF($O186="✓","✓",IF(ISNUMBER($O186),TEXT($O186,"yyyy-mm-dd"),IF($A186="","",IF(SUMPRODUCT(('Formation Initiale'!$A$2:$A$999=$A186)*('Formation Initiale'!$R$2:$R$999="Terminé"))&gt;0,"✓",IF(SUMPRODUCT(MAX(('Formation Initiale'!$A$2:$A$999=$A186)*'Formation Initiale'!$G$2:$G$999))&gt;0,TEXT(SUMPRODUCT(MAX(('Formation Initiale'!$A$2:$A$999=$A186)*'Formation Initiale'!$G$2:$G$999)),"yyyy-mm-dd"),"")))))</f>
        <v/>
      </c>
      <c r="F186" s="131" t="str">
        <f aca="false">IF($P186="✓","✓",IF(ISNUMBER($P186),TEXT($P186,"yyyy-mm-dd"),IF($A186="","",IF($D186="Lisbonne","",IF(SUMPRODUCT(('Formation Initiale'!$A$2:$A$999=$A186)*('Formation Initiale'!$R$2:$R$999="Terminé"))&gt;0,"✓",IF(SUMPRODUCT(MAX(('Formation Initiale'!$A$2:$A$999=$A186)*'Formation Initiale'!$G$2:$G$999))&gt;0,TEXT(SUMPRODUCT(MAX(('Formation Initiale'!$A$2:$A$999=$A186)*'Formation Initiale'!$G$2:$G$999)),"yyyy-mm-dd"),""))))))</f>
        <v/>
      </c>
      <c r="G186" s="131" t="str">
        <f aca="false">IF($Q186="✓","✓",IF(ISNUMBER($Q186),TEXT($Q186,"yyyy-mm-dd"),IF($A186="","",IF(SUMPRODUCT(('Agences &amp; Après-vente'!$A$2:$A$1000=$A186)*(('Agences &amp; Après-vente'!$D$2:$D$1000="Agences")+('Agences &amp; Après-vente'!$D$2:$D$1000="Agences et Après-vente"))*('Agences &amp; Après-vente'!$I$2:$I$1000="DONE"))&gt;0,"✓",IF(SUMPRODUCT(MAX(('Agences &amp; Après-vente'!$A$2:$A$1000=$A186)*(('Agences &amp; Après-vente'!$D$2:$D$1000="Agences")+('Agences &amp; Après-vente'!$D$2:$D$1000="Agences et Après-vente"))*'Agences &amp; Après-vente'!$E$2:$E$1000))&gt;0,TEXT(SUMPRODUCT(MAX(('Agences &amp; Après-vente'!$A$2:$A$1000=$A186)*(('Agences &amp; Après-vente'!$D$2:$D$1000="Agences")+('Agences &amp; Après-vente'!$D$2:$D$1000="Agences et Après-vente"))*'Agences &amp; Après-vente'!$E$2:$E$1000)),"yyyy-mm-dd"),"")))))</f>
        <v/>
      </c>
      <c r="H186" s="131" t="str">
        <f aca="false">IF($R186="✓","✓",IF(ISNUMBER($R186),TEXT($R186,"yyyy-mm-dd"),IF($A186="","",IF($D186="Lisbonne","",IF(SUMPRODUCT(('Agences &amp; Après-vente'!$A$2:$A$1000=$A186)*(('Agences &amp; Après-vente'!$D$2:$D$1000="Agences")+('Agences &amp; Après-vente'!$D$2:$D$1000="Agences et Après-vente"))*('Agences &amp; Après-vente'!$I$2:$I$1000="DONE"))&gt;0,"✓",IF(SUMPRODUCT(MAX(('Agences &amp; Après-vente'!$A$2:$A$1000=$A186)*(('Agences &amp; Après-vente'!$D$2:$D$1000="Agences")+('Agences &amp; Après-vente'!$D$2:$D$1000="Agences et Après-vente"))*'Agences &amp; Après-vente'!$E$2:$E$1000))&gt;0,TEXT(SUMPRODUCT(MAX(('Agences &amp; Après-vente'!$A$2:$A$1000=$A186)*(('Agences &amp; Après-vente'!$D$2:$D$1000="Agences")+('Agences &amp; Après-vente'!$D$2:$D$1000="Agences et Après-vente"))*'Agences &amp; Après-vente'!$E$2:$E$1000)),"yyyy-mm-dd"),""))))))</f>
        <v/>
      </c>
      <c r="I186" s="131" t="str">
        <f aca="false">IF($S186="✓","✓",IF(ISNUMBER($S186),TEXT($S186,"yyyy-mm-dd"),IF($A186="","",IF(SUMPRODUCT(('Agences &amp; Après-vente'!$A$2:$A$1000=$A186)*(('Agences &amp; Après-vente'!$D$2:$D$1000="Après-vente")+('Agences &amp; Après-vente'!$D$2:$D$1000="Agences et Après-vente"))*('Agences &amp; Après-vente'!$I$2:$I$1000="DONE"))&gt;0,"✓",IF(SUMPRODUCT(MAX(('Agences &amp; Après-vente'!$A$2:$A$1000=$A186)*(('Agences &amp; Après-vente'!$D$2:$D$1000="Après-vente")+('Agences &amp; Après-vente'!$D$2:$D$1000="Agences et Après-vente"))*'Agences &amp; Après-vente'!$E$2:$E$1000))&gt;0,TEXT(SUMPRODUCT(MAX(('Agences &amp; Après-vente'!$A$2:$A$1000=$A186)*(('Agences &amp; Après-vente'!$D$2:$D$1000="Après-vente")+('Agences &amp; Après-vente'!$D$2:$D$1000="Agences et Après-vente"))*'Agences &amp; Après-vente'!$E$2:$E$1000)),"yyyy-mm-dd"),"")))))</f>
        <v/>
      </c>
      <c r="J186" s="131" t="str">
        <f aca="false">IF($T186="✓","✓",IF(ISNUMBER($T186),TEXT($T186,"yyyy-mm-dd"),IF($A186="","",IF($D186="Lisbonne","",IF(SUMPRODUCT(('Agences &amp; Après-vente'!$A$2:$A$1000=$A186)*(('Agences &amp; Après-vente'!$D$2:$D$1000="Après-vente")+('Agences &amp; Après-vente'!$D$2:$D$1000="Agences et Après-vente"))*('Agences &amp; Après-vente'!$I$2:$I$1000="DONE"))&gt;0,"✓",IF(SUMPRODUCT(MAX(('Agences &amp; Après-vente'!$A$2:$A$1000=$A186)*(('Agences &amp; Après-vente'!$D$2:$D$1000="Après-vente")+('Agences &amp; Après-vente'!$D$2:$D$1000="Agences et Après-vente"))*'Agences &amp; Après-vente'!$E$2:$E$1000))&gt;0,TEXT(SUMPRODUCT(MAX(('Agences &amp; Après-vente'!$A$2:$A$1000=$A186)*(('Agences &amp; Après-vente'!$D$2:$D$1000="Après-vente")+('Agences &amp; Après-vente'!$D$2:$D$1000="Agences et Après-vente"))*'Agences &amp; Après-vente'!$E$2:$E$1000)),"yyyy-mm-dd"),""))))))</f>
        <v/>
      </c>
      <c r="K186" s="131" t="str">
        <f aca="false">IF($U186="✓","✓",IF(ISNUMBER($U186),TEXT($U186,"yyyy-mm-dd"),IF($D186="Lisbonne","",IF($A186="","",IF(SUMPRODUCT((Evermont!$A$2:$A$1000=$A186)*(Evermont!$Q$2:$Q$1000="Terminé"))&gt;0,"✓",IF(SUMPRODUCT(MAX((Evermont!$A$2:$A$1000=$A186)*Evermont!$F$2:$F$1000))&gt;0,TEXT(SUMPRODUCT(MAX((Evermont!$A$2:$A$1000=$A186)*Evermont!$F$2:$F$1000)),"yyyy-mm-dd"),""))))))</f>
        <v/>
      </c>
      <c r="L186" s="131" t="str">
        <f aca="false">IF($A186="","",COUNTIF(E186:K186,"✓"))</f>
        <v/>
      </c>
      <c r="M186" s="131" t="str">
        <f aca="false">IF(B186="","","Active")</f>
        <v/>
      </c>
      <c r="W186" s="120" t="str">
        <f aca="false">IF($A186="","",IF($X186&lt;&gt;"",$X186,IFERROR(INDEX('Formation Initiale'!$B$2:$B$999,MATCH($A186,'Formation Initiale'!$A$2:$A$999,0)),"Général")))</f>
        <v/>
      </c>
    </row>
    <row r="187" customFormat="false" ht="15" hidden="true" customHeight="true" outlineLevel="0" collapsed="false">
      <c r="A187" s="142" t="str">
        <f aca="false">IF(B187="","","TR"&amp;TEXT(ROW()-1,"000"))</f>
        <v/>
      </c>
      <c r="E187" s="130" t="str">
        <f aca="false">IF($O187="✓","✓",IF(ISNUMBER($O187),TEXT($O187,"yyyy-mm-dd"),IF($A187="","",IF(SUMPRODUCT(('Formation Initiale'!$A$2:$A$999=$A187)*('Formation Initiale'!$R$2:$R$999="Terminé"))&gt;0,"✓",IF(SUMPRODUCT(MAX(('Formation Initiale'!$A$2:$A$999=$A187)*'Formation Initiale'!$G$2:$G$999))&gt;0,TEXT(SUMPRODUCT(MAX(('Formation Initiale'!$A$2:$A$999=$A187)*'Formation Initiale'!$G$2:$G$999)),"yyyy-mm-dd"),"")))))</f>
        <v/>
      </c>
      <c r="F187" s="131" t="str">
        <f aca="false">IF($P187="✓","✓",IF(ISNUMBER($P187),TEXT($P187,"yyyy-mm-dd"),IF($A187="","",IF($D187="Lisbonne","",IF(SUMPRODUCT(('Formation Initiale'!$A$2:$A$999=$A187)*('Formation Initiale'!$R$2:$R$999="Terminé"))&gt;0,"✓",IF(SUMPRODUCT(MAX(('Formation Initiale'!$A$2:$A$999=$A187)*'Formation Initiale'!$G$2:$G$999))&gt;0,TEXT(SUMPRODUCT(MAX(('Formation Initiale'!$A$2:$A$999=$A187)*'Formation Initiale'!$G$2:$G$999)),"yyyy-mm-dd"),""))))))</f>
        <v/>
      </c>
      <c r="G187" s="131" t="str">
        <f aca="false">IF($Q187="✓","✓",IF(ISNUMBER($Q187),TEXT($Q187,"yyyy-mm-dd"),IF($A187="","",IF(SUMPRODUCT(('Agences &amp; Après-vente'!$A$2:$A$1000=$A187)*(('Agences &amp; Après-vente'!$D$2:$D$1000="Agences")+('Agences &amp; Après-vente'!$D$2:$D$1000="Agences et Après-vente"))*('Agences &amp; Après-vente'!$I$2:$I$1000="DONE"))&gt;0,"✓",IF(SUMPRODUCT(MAX(('Agences &amp; Après-vente'!$A$2:$A$1000=$A187)*(('Agences &amp; Après-vente'!$D$2:$D$1000="Agences")+('Agences &amp; Après-vente'!$D$2:$D$1000="Agences et Après-vente"))*'Agences &amp; Après-vente'!$E$2:$E$1000))&gt;0,TEXT(SUMPRODUCT(MAX(('Agences &amp; Après-vente'!$A$2:$A$1000=$A187)*(('Agences &amp; Après-vente'!$D$2:$D$1000="Agences")+('Agences &amp; Après-vente'!$D$2:$D$1000="Agences et Après-vente"))*'Agences &amp; Après-vente'!$E$2:$E$1000)),"yyyy-mm-dd"),"")))))</f>
        <v/>
      </c>
      <c r="H187" s="131" t="str">
        <f aca="false">IF($R187="✓","✓",IF(ISNUMBER($R187),TEXT($R187,"yyyy-mm-dd"),IF($A187="","",IF($D187="Lisbonne","",IF(SUMPRODUCT(('Agences &amp; Après-vente'!$A$2:$A$1000=$A187)*(('Agences &amp; Après-vente'!$D$2:$D$1000="Agences")+('Agences &amp; Après-vente'!$D$2:$D$1000="Agences et Après-vente"))*('Agences &amp; Après-vente'!$I$2:$I$1000="DONE"))&gt;0,"✓",IF(SUMPRODUCT(MAX(('Agences &amp; Après-vente'!$A$2:$A$1000=$A187)*(('Agences &amp; Après-vente'!$D$2:$D$1000="Agences")+('Agences &amp; Après-vente'!$D$2:$D$1000="Agences et Après-vente"))*'Agences &amp; Après-vente'!$E$2:$E$1000))&gt;0,TEXT(SUMPRODUCT(MAX(('Agences &amp; Après-vente'!$A$2:$A$1000=$A187)*(('Agences &amp; Après-vente'!$D$2:$D$1000="Agences")+('Agences &amp; Après-vente'!$D$2:$D$1000="Agences et Après-vente"))*'Agences &amp; Après-vente'!$E$2:$E$1000)),"yyyy-mm-dd"),""))))))</f>
        <v/>
      </c>
      <c r="I187" s="131" t="str">
        <f aca="false">IF($S187="✓","✓",IF(ISNUMBER($S187),TEXT($S187,"yyyy-mm-dd"),IF($A187="","",IF(SUMPRODUCT(('Agences &amp; Après-vente'!$A$2:$A$1000=$A187)*(('Agences &amp; Après-vente'!$D$2:$D$1000="Après-vente")+('Agences &amp; Après-vente'!$D$2:$D$1000="Agences et Après-vente"))*('Agences &amp; Après-vente'!$I$2:$I$1000="DONE"))&gt;0,"✓",IF(SUMPRODUCT(MAX(('Agences &amp; Après-vente'!$A$2:$A$1000=$A187)*(('Agences &amp; Après-vente'!$D$2:$D$1000="Après-vente")+('Agences &amp; Après-vente'!$D$2:$D$1000="Agences et Après-vente"))*'Agences &amp; Après-vente'!$E$2:$E$1000))&gt;0,TEXT(SUMPRODUCT(MAX(('Agences &amp; Après-vente'!$A$2:$A$1000=$A187)*(('Agences &amp; Après-vente'!$D$2:$D$1000="Après-vente")+('Agences &amp; Après-vente'!$D$2:$D$1000="Agences et Après-vente"))*'Agences &amp; Après-vente'!$E$2:$E$1000)),"yyyy-mm-dd"),"")))))</f>
        <v/>
      </c>
      <c r="J187" s="131" t="str">
        <f aca="false">IF($T187="✓","✓",IF(ISNUMBER($T187),TEXT($T187,"yyyy-mm-dd"),IF($A187="","",IF($D187="Lisbonne","",IF(SUMPRODUCT(('Agences &amp; Après-vente'!$A$2:$A$1000=$A187)*(('Agences &amp; Après-vente'!$D$2:$D$1000="Après-vente")+('Agences &amp; Après-vente'!$D$2:$D$1000="Agences et Après-vente"))*('Agences &amp; Après-vente'!$I$2:$I$1000="DONE"))&gt;0,"✓",IF(SUMPRODUCT(MAX(('Agences &amp; Après-vente'!$A$2:$A$1000=$A187)*(('Agences &amp; Après-vente'!$D$2:$D$1000="Après-vente")+('Agences &amp; Après-vente'!$D$2:$D$1000="Agences et Après-vente"))*'Agences &amp; Après-vente'!$E$2:$E$1000))&gt;0,TEXT(SUMPRODUCT(MAX(('Agences &amp; Après-vente'!$A$2:$A$1000=$A187)*(('Agences &amp; Après-vente'!$D$2:$D$1000="Après-vente")+('Agences &amp; Après-vente'!$D$2:$D$1000="Agences et Après-vente"))*'Agences &amp; Après-vente'!$E$2:$E$1000)),"yyyy-mm-dd"),""))))))</f>
        <v/>
      </c>
      <c r="K187" s="131" t="str">
        <f aca="false">IF($U187="✓","✓",IF(ISNUMBER($U187),TEXT($U187,"yyyy-mm-dd"),IF($D187="Lisbonne","",IF($A187="","",IF(SUMPRODUCT((Evermont!$A$2:$A$1000=$A187)*(Evermont!$Q$2:$Q$1000="Terminé"))&gt;0,"✓",IF(SUMPRODUCT(MAX((Evermont!$A$2:$A$1000=$A187)*Evermont!$F$2:$F$1000))&gt;0,TEXT(SUMPRODUCT(MAX((Evermont!$A$2:$A$1000=$A187)*Evermont!$F$2:$F$1000)),"yyyy-mm-dd"),""))))))</f>
        <v/>
      </c>
      <c r="L187" s="131" t="str">
        <f aca="false">IF($A187="","",COUNTIF(E187:K187,"✓"))</f>
        <v/>
      </c>
      <c r="M187" s="131" t="str">
        <f aca="false">IF(B187="","","Active")</f>
        <v/>
      </c>
      <c r="W187" s="120" t="str">
        <f aca="false">IF($A187="","",IF($X187&lt;&gt;"",$X187,IFERROR(INDEX('Formation Initiale'!$B$2:$B$999,MATCH($A187,'Formation Initiale'!$A$2:$A$999,0)),"Général")))</f>
        <v/>
      </c>
    </row>
    <row r="188" customFormat="false" ht="15" hidden="true" customHeight="true" outlineLevel="0" collapsed="false">
      <c r="A188" s="142" t="str">
        <f aca="false">IF(B188="","","TR"&amp;TEXT(ROW()-1,"000"))</f>
        <v/>
      </c>
      <c r="E188" s="130" t="str">
        <f aca="false">IF($O188="✓","✓",IF(ISNUMBER($O188),TEXT($O188,"yyyy-mm-dd"),IF($A188="","",IF(SUMPRODUCT(('Formation Initiale'!$A$2:$A$999=$A188)*('Formation Initiale'!$R$2:$R$999="Terminé"))&gt;0,"✓",IF(SUMPRODUCT(MAX(('Formation Initiale'!$A$2:$A$999=$A188)*'Formation Initiale'!$G$2:$G$999))&gt;0,TEXT(SUMPRODUCT(MAX(('Formation Initiale'!$A$2:$A$999=$A188)*'Formation Initiale'!$G$2:$G$999)),"yyyy-mm-dd"),"")))))</f>
        <v/>
      </c>
      <c r="F188" s="131" t="str">
        <f aca="false">IF($P188="✓","✓",IF(ISNUMBER($P188),TEXT($P188,"yyyy-mm-dd"),IF($A188="","",IF($D188="Lisbonne","",IF(SUMPRODUCT(('Formation Initiale'!$A$2:$A$999=$A188)*('Formation Initiale'!$R$2:$R$999="Terminé"))&gt;0,"✓",IF(SUMPRODUCT(MAX(('Formation Initiale'!$A$2:$A$999=$A188)*'Formation Initiale'!$G$2:$G$999))&gt;0,TEXT(SUMPRODUCT(MAX(('Formation Initiale'!$A$2:$A$999=$A188)*'Formation Initiale'!$G$2:$G$999)),"yyyy-mm-dd"),""))))))</f>
        <v/>
      </c>
      <c r="G188" s="131" t="str">
        <f aca="false">IF($Q188="✓","✓",IF(ISNUMBER($Q188),TEXT($Q188,"yyyy-mm-dd"),IF($A188="","",IF(SUMPRODUCT(('Agences &amp; Après-vente'!$A$2:$A$1000=$A188)*(('Agences &amp; Après-vente'!$D$2:$D$1000="Agences")+('Agences &amp; Après-vente'!$D$2:$D$1000="Agences et Après-vente"))*('Agences &amp; Après-vente'!$I$2:$I$1000="DONE"))&gt;0,"✓",IF(SUMPRODUCT(MAX(('Agences &amp; Après-vente'!$A$2:$A$1000=$A188)*(('Agences &amp; Après-vente'!$D$2:$D$1000="Agences")+('Agences &amp; Après-vente'!$D$2:$D$1000="Agences et Après-vente"))*'Agences &amp; Après-vente'!$E$2:$E$1000))&gt;0,TEXT(SUMPRODUCT(MAX(('Agences &amp; Après-vente'!$A$2:$A$1000=$A188)*(('Agences &amp; Après-vente'!$D$2:$D$1000="Agences")+('Agences &amp; Après-vente'!$D$2:$D$1000="Agences et Après-vente"))*'Agences &amp; Après-vente'!$E$2:$E$1000)),"yyyy-mm-dd"),"")))))</f>
        <v/>
      </c>
      <c r="H188" s="131" t="str">
        <f aca="false">IF($R188="✓","✓",IF(ISNUMBER($R188),TEXT($R188,"yyyy-mm-dd"),IF($A188="","",IF($D188="Lisbonne","",IF(SUMPRODUCT(('Agences &amp; Après-vente'!$A$2:$A$1000=$A188)*(('Agences &amp; Après-vente'!$D$2:$D$1000="Agences")+('Agences &amp; Après-vente'!$D$2:$D$1000="Agences et Après-vente"))*('Agences &amp; Après-vente'!$I$2:$I$1000="DONE"))&gt;0,"✓",IF(SUMPRODUCT(MAX(('Agences &amp; Après-vente'!$A$2:$A$1000=$A188)*(('Agences &amp; Après-vente'!$D$2:$D$1000="Agences")+('Agences &amp; Après-vente'!$D$2:$D$1000="Agences et Après-vente"))*'Agences &amp; Après-vente'!$E$2:$E$1000))&gt;0,TEXT(SUMPRODUCT(MAX(('Agences &amp; Après-vente'!$A$2:$A$1000=$A188)*(('Agences &amp; Après-vente'!$D$2:$D$1000="Agences")+('Agences &amp; Après-vente'!$D$2:$D$1000="Agences et Après-vente"))*'Agences &amp; Après-vente'!$E$2:$E$1000)),"yyyy-mm-dd"),""))))))</f>
        <v/>
      </c>
      <c r="I188" s="131" t="str">
        <f aca="false">IF($S188="✓","✓",IF(ISNUMBER($S188),TEXT($S188,"yyyy-mm-dd"),IF($A188="","",IF(SUMPRODUCT(('Agences &amp; Après-vente'!$A$2:$A$1000=$A188)*(('Agences &amp; Après-vente'!$D$2:$D$1000="Après-vente")+('Agences &amp; Après-vente'!$D$2:$D$1000="Agences et Après-vente"))*('Agences &amp; Après-vente'!$I$2:$I$1000="DONE"))&gt;0,"✓",IF(SUMPRODUCT(MAX(('Agences &amp; Après-vente'!$A$2:$A$1000=$A188)*(('Agences &amp; Après-vente'!$D$2:$D$1000="Après-vente")+('Agences &amp; Après-vente'!$D$2:$D$1000="Agences et Après-vente"))*'Agences &amp; Après-vente'!$E$2:$E$1000))&gt;0,TEXT(SUMPRODUCT(MAX(('Agences &amp; Après-vente'!$A$2:$A$1000=$A188)*(('Agences &amp; Après-vente'!$D$2:$D$1000="Après-vente")+('Agences &amp; Après-vente'!$D$2:$D$1000="Agences et Après-vente"))*'Agences &amp; Après-vente'!$E$2:$E$1000)),"yyyy-mm-dd"),"")))))</f>
        <v/>
      </c>
      <c r="J188" s="131" t="str">
        <f aca="false">IF($T188="✓","✓",IF(ISNUMBER($T188),TEXT($T188,"yyyy-mm-dd"),IF($A188="","",IF($D188="Lisbonne","",IF(SUMPRODUCT(('Agences &amp; Après-vente'!$A$2:$A$1000=$A188)*(('Agences &amp; Après-vente'!$D$2:$D$1000="Après-vente")+('Agences &amp; Après-vente'!$D$2:$D$1000="Agences et Après-vente"))*('Agences &amp; Après-vente'!$I$2:$I$1000="DONE"))&gt;0,"✓",IF(SUMPRODUCT(MAX(('Agences &amp; Après-vente'!$A$2:$A$1000=$A188)*(('Agences &amp; Après-vente'!$D$2:$D$1000="Après-vente")+('Agences &amp; Après-vente'!$D$2:$D$1000="Agences et Après-vente"))*'Agences &amp; Après-vente'!$E$2:$E$1000))&gt;0,TEXT(SUMPRODUCT(MAX(('Agences &amp; Après-vente'!$A$2:$A$1000=$A188)*(('Agences &amp; Après-vente'!$D$2:$D$1000="Après-vente")+('Agences &amp; Après-vente'!$D$2:$D$1000="Agences et Après-vente"))*'Agences &amp; Après-vente'!$E$2:$E$1000)),"yyyy-mm-dd"),""))))))</f>
        <v/>
      </c>
      <c r="K188" s="131" t="str">
        <f aca="false">IF($U188="✓","✓",IF(ISNUMBER($U188),TEXT($U188,"yyyy-mm-dd"),IF($D188="Lisbonne","",IF($A188="","",IF(SUMPRODUCT((Evermont!$A$2:$A$1000=$A188)*(Evermont!$Q$2:$Q$1000="Terminé"))&gt;0,"✓",IF(SUMPRODUCT(MAX((Evermont!$A$2:$A$1000=$A188)*Evermont!$F$2:$F$1000))&gt;0,TEXT(SUMPRODUCT(MAX((Evermont!$A$2:$A$1000=$A188)*Evermont!$F$2:$F$1000)),"yyyy-mm-dd"),""))))))</f>
        <v/>
      </c>
      <c r="L188" s="131" t="str">
        <f aca="false">IF($A188="","",COUNTIF(E188:K188,"✓"))</f>
        <v/>
      </c>
      <c r="M188" s="131" t="str">
        <f aca="false">IF(B188="","","Active")</f>
        <v/>
      </c>
      <c r="W188" s="120" t="str">
        <f aca="false">IF($A188="","",IF($X188&lt;&gt;"",$X188,IFERROR(INDEX('Formation Initiale'!$B$2:$B$999,MATCH($A188,'Formation Initiale'!$A$2:$A$999,0)),"Général")))</f>
        <v/>
      </c>
    </row>
    <row r="189" customFormat="false" ht="15" hidden="true" customHeight="true" outlineLevel="0" collapsed="false">
      <c r="A189" s="142" t="str">
        <f aca="false">IF(B189="","","TR"&amp;TEXT(ROW()-1,"000"))</f>
        <v/>
      </c>
      <c r="E189" s="130" t="str">
        <f aca="false">IF($O189="✓","✓",IF(ISNUMBER($O189),TEXT($O189,"yyyy-mm-dd"),IF($A189="","",IF(SUMPRODUCT(('Formation Initiale'!$A$2:$A$999=$A189)*('Formation Initiale'!$R$2:$R$999="Terminé"))&gt;0,"✓",IF(SUMPRODUCT(MAX(('Formation Initiale'!$A$2:$A$999=$A189)*'Formation Initiale'!$G$2:$G$999))&gt;0,TEXT(SUMPRODUCT(MAX(('Formation Initiale'!$A$2:$A$999=$A189)*'Formation Initiale'!$G$2:$G$999)),"yyyy-mm-dd"),"")))))</f>
        <v/>
      </c>
      <c r="F189" s="131" t="str">
        <f aca="false">IF($P189="✓","✓",IF(ISNUMBER($P189),TEXT($P189,"yyyy-mm-dd"),IF($A189="","",IF($D189="Lisbonne","",IF(SUMPRODUCT(('Formation Initiale'!$A$2:$A$999=$A189)*('Formation Initiale'!$R$2:$R$999="Terminé"))&gt;0,"✓",IF(SUMPRODUCT(MAX(('Formation Initiale'!$A$2:$A$999=$A189)*'Formation Initiale'!$G$2:$G$999))&gt;0,TEXT(SUMPRODUCT(MAX(('Formation Initiale'!$A$2:$A$999=$A189)*'Formation Initiale'!$G$2:$G$999)),"yyyy-mm-dd"),""))))))</f>
        <v/>
      </c>
      <c r="G189" s="131" t="str">
        <f aca="false">IF($Q189="✓","✓",IF(ISNUMBER($Q189),TEXT($Q189,"yyyy-mm-dd"),IF($A189="","",IF(SUMPRODUCT(('Agences &amp; Après-vente'!$A$2:$A$1000=$A189)*(('Agences &amp; Après-vente'!$D$2:$D$1000="Agences")+('Agences &amp; Après-vente'!$D$2:$D$1000="Agences et Après-vente"))*('Agences &amp; Après-vente'!$I$2:$I$1000="DONE"))&gt;0,"✓",IF(SUMPRODUCT(MAX(('Agences &amp; Après-vente'!$A$2:$A$1000=$A189)*(('Agences &amp; Après-vente'!$D$2:$D$1000="Agences")+('Agences &amp; Après-vente'!$D$2:$D$1000="Agences et Après-vente"))*'Agences &amp; Après-vente'!$E$2:$E$1000))&gt;0,TEXT(SUMPRODUCT(MAX(('Agences &amp; Après-vente'!$A$2:$A$1000=$A189)*(('Agences &amp; Après-vente'!$D$2:$D$1000="Agences")+('Agences &amp; Après-vente'!$D$2:$D$1000="Agences et Après-vente"))*'Agences &amp; Après-vente'!$E$2:$E$1000)),"yyyy-mm-dd"),"")))))</f>
        <v/>
      </c>
      <c r="H189" s="131" t="str">
        <f aca="false">IF($R189="✓","✓",IF(ISNUMBER($R189),TEXT($R189,"yyyy-mm-dd"),IF($A189="","",IF($D189="Lisbonne","",IF(SUMPRODUCT(('Agences &amp; Après-vente'!$A$2:$A$1000=$A189)*(('Agences &amp; Après-vente'!$D$2:$D$1000="Agences")+('Agences &amp; Après-vente'!$D$2:$D$1000="Agences et Après-vente"))*('Agences &amp; Après-vente'!$I$2:$I$1000="DONE"))&gt;0,"✓",IF(SUMPRODUCT(MAX(('Agences &amp; Après-vente'!$A$2:$A$1000=$A189)*(('Agences &amp; Après-vente'!$D$2:$D$1000="Agences")+('Agences &amp; Après-vente'!$D$2:$D$1000="Agences et Après-vente"))*'Agences &amp; Après-vente'!$E$2:$E$1000))&gt;0,TEXT(SUMPRODUCT(MAX(('Agences &amp; Après-vente'!$A$2:$A$1000=$A189)*(('Agences &amp; Après-vente'!$D$2:$D$1000="Agences")+('Agences &amp; Après-vente'!$D$2:$D$1000="Agences et Après-vente"))*'Agences &amp; Après-vente'!$E$2:$E$1000)),"yyyy-mm-dd"),""))))))</f>
        <v/>
      </c>
      <c r="I189" s="131" t="str">
        <f aca="false">IF($S189="✓","✓",IF(ISNUMBER($S189),TEXT($S189,"yyyy-mm-dd"),IF($A189="","",IF(SUMPRODUCT(('Agences &amp; Après-vente'!$A$2:$A$1000=$A189)*(('Agences &amp; Après-vente'!$D$2:$D$1000="Après-vente")+('Agences &amp; Après-vente'!$D$2:$D$1000="Agences et Après-vente"))*('Agences &amp; Après-vente'!$I$2:$I$1000="DONE"))&gt;0,"✓",IF(SUMPRODUCT(MAX(('Agences &amp; Après-vente'!$A$2:$A$1000=$A189)*(('Agences &amp; Après-vente'!$D$2:$D$1000="Après-vente")+('Agences &amp; Après-vente'!$D$2:$D$1000="Agences et Après-vente"))*'Agences &amp; Après-vente'!$E$2:$E$1000))&gt;0,TEXT(SUMPRODUCT(MAX(('Agences &amp; Après-vente'!$A$2:$A$1000=$A189)*(('Agences &amp; Après-vente'!$D$2:$D$1000="Après-vente")+('Agences &amp; Après-vente'!$D$2:$D$1000="Agences et Après-vente"))*'Agences &amp; Après-vente'!$E$2:$E$1000)),"yyyy-mm-dd"),"")))))</f>
        <v/>
      </c>
      <c r="J189" s="131" t="str">
        <f aca="false">IF($T189="✓","✓",IF(ISNUMBER($T189),TEXT($T189,"yyyy-mm-dd"),IF($A189="","",IF($D189="Lisbonne","",IF(SUMPRODUCT(('Agences &amp; Après-vente'!$A$2:$A$1000=$A189)*(('Agences &amp; Après-vente'!$D$2:$D$1000="Après-vente")+('Agences &amp; Après-vente'!$D$2:$D$1000="Agences et Après-vente"))*('Agences &amp; Après-vente'!$I$2:$I$1000="DONE"))&gt;0,"✓",IF(SUMPRODUCT(MAX(('Agences &amp; Après-vente'!$A$2:$A$1000=$A189)*(('Agences &amp; Après-vente'!$D$2:$D$1000="Après-vente")+('Agences &amp; Après-vente'!$D$2:$D$1000="Agences et Après-vente"))*'Agences &amp; Après-vente'!$E$2:$E$1000))&gt;0,TEXT(SUMPRODUCT(MAX(('Agences &amp; Après-vente'!$A$2:$A$1000=$A189)*(('Agences &amp; Après-vente'!$D$2:$D$1000="Après-vente")+('Agences &amp; Après-vente'!$D$2:$D$1000="Agences et Après-vente"))*'Agences &amp; Après-vente'!$E$2:$E$1000)),"yyyy-mm-dd"),""))))))</f>
        <v/>
      </c>
      <c r="K189" s="131" t="str">
        <f aca="false">IF($U189="✓","✓",IF(ISNUMBER($U189),TEXT($U189,"yyyy-mm-dd"),IF($D189="Lisbonne","",IF($A189="","",IF(SUMPRODUCT((Evermont!$A$2:$A$1000=$A189)*(Evermont!$Q$2:$Q$1000="Terminé"))&gt;0,"✓",IF(SUMPRODUCT(MAX((Evermont!$A$2:$A$1000=$A189)*Evermont!$F$2:$F$1000))&gt;0,TEXT(SUMPRODUCT(MAX((Evermont!$A$2:$A$1000=$A189)*Evermont!$F$2:$F$1000)),"yyyy-mm-dd"),""))))))</f>
        <v/>
      </c>
      <c r="L189" s="131" t="str">
        <f aca="false">IF($A189="","",COUNTIF(E189:K189,"✓"))</f>
        <v/>
      </c>
      <c r="M189" s="131" t="str">
        <f aca="false">IF(B189="","","Active")</f>
        <v/>
      </c>
      <c r="W189" s="120" t="str">
        <f aca="false">IF($A189="","",IF($X189&lt;&gt;"",$X189,IFERROR(INDEX('Formation Initiale'!$B$2:$B$999,MATCH($A189,'Formation Initiale'!$A$2:$A$999,0)),"Général")))</f>
        <v/>
      </c>
    </row>
    <row r="190" customFormat="false" ht="15" hidden="true" customHeight="true" outlineLevel="0" collapsed="false">
      <c r="A190" s="142" t="str">
        <f aca="false">IF(B190="","","TR"&amp;TEXT(ROW()-1,"000"))</f>
        <v/>
      </c>
      <c r="E190" s="130" t="str">
        <f aca="false">IF($O190="✓","✓",IF(ISNUMBER($O190),TEXT($O190,"yyyy-mm-dd"),IF($A190="","",IF(SUMPRODUCT(('Formation Initiale'!$A$2:$A$999=$A190)*('Formation Initiale'!$R$2:$R$999="Terminé"))&gt;0,"✓",IF(SUMPRODUCT(MAX(('Formation Initiale'!$A$2:$A$999=$A190)*'Formation Initiale'!$G$2:$G$999))&gt;0,TEXT(SUMPRODUCT(MAX(('Formation Initiale'!$A$2:$A$999=$A190)*'Formation Initiale'!$G$2:$G$999)),"yyyy-mm-dd"),"")))))</f>
        <v/>
      </c>
      <c r="F190" s="131" t="str">
        <f aca="false">IF($P190="✓","✓",IF(ISNUMBER($P190),TEXT($P190,"yyyy-mm-dd"),IF($A190="","",IF($D190="Lisbonne","",IF(SUMPRODUCT(('Formation Initiale'!$A$2:$A$999=$A190)*('Formation Initiale'!$R$2:$R$999="Terminé"))&gt;0,"✓",IF(SUMPRODUCT(MAX(('Formation Initiale'!$A$2:$A$999=$A190)*'Formation Initiale'!$G$2:$G$999))&gt;0,TEXT(SUMPRODUCT(MAX(('Formation Initiale'!$A$2:$A$999=$A190)*'Formation Initiale'!$G$2:$G$999)),"yyyy-mm-dd"),""))))))</f>
        <v/>
      </c>
      <c r="G190" s="131" t="str">
        <f aca="false">IF($Q190="✓","✓",IF(ISNUMBER($Q190),TEXT($Q190,"yyyy-mm-dd"),IF($A190="","",IF(SUMPRODUCT(('Agences &amp; Après-vente'!$A$2:$A$1000=$A190)*(('Agences &amp; Après-vente'!$D$2:$D$1000="Agences")+('Agences &amp; Après-vente'!$D$2:$D$1000="Agences et Après-vente"))*('Agences &amp; Après-vente'!$I$2:$I$1000="DONE"))&gt;0,"✓",IF(SUMPRODUCT(MAX(('Agences &amp; Après-vente'!$A$2:$A$1000=$A190)*(('Agences &amp; Après-vente'!$D$2:$D$1000="Agences")+('Agences &amp; Après-vente'!$D$2:$D$1000="Agences et Après-vente"))*'Agences &amp; Après-vente'!$E$2:$E$1000))&gt;0,TEXT(SUMPRODUCT(MAX(('Agences &amp; Après-vente'!$A$2:$A$1000=$A190)*(('Agences &amp; Après-vente'!$D$2:$D$1000="Agences")+('Agences &amp; Après-vente'!$D$2:$D$1000="Agences et Après-vente"))*'Agences &amp; Après-vente'!$E$2:$E$1000)),"yyyy-mm-dd"),"")))))</f>
        <v/>
      </c>
      <c r="H190" s="131" t="str">
        <f aca="false">IF($R190="✓","✓",IF(ISNUMBER($R190),TEXT($R190,"yyyy-mm-dd"),IF($A190="","",IF($D190="Lisbonne","",IF(SUMPRODUCT(('Agences &amp; Après-vente'!$A$2:$A$1000=$A190)*(('Agences &amp; Après-vente'!$D$2:$D$1000="Agences")+('Agences &amp; Après-vente'!$D$2:$D$1000="Agences et Après-vente"))*('Agences &amp; Après-vente'!$I$2:$I$1000="DONE"))&gt;0,"✓",IF(SUMPRODUCT(MAX(('Agences &amp; Après-vente'!$A$2:$A$1000=$A190)*(('Agences &amp; Après-vente'!$D$2:$D$1000="Agences")+('Agences &amp; Après-vente'!$D$2:$D$1000="Agences et Après-vente"))*'Agences &amp; Après-vente'!$E$2:$E$1000))&gt;0,TEXT(SUMPRODUCT(MAX(('Agences &amp; Après-vente'!$A$2:$A$1000=$A190)*(('Agences &amp; Après-vente'!$D$2:$D$1000="Agences")+('Agences &amp; Après-vente'!$D$2:$D$1000="Agences et Après-vente"))*'Agences &amp; Après-vente'!$E$2:$E$1000)),"yyyy-mm-dd"),""))))))</f>
        <v/>
      </c>
      <c r="I190" s="131" t="str">
        <f aca="false">IF($S190="✓","✓",IF(ISNUMBER($S190),TEXT($S190,"yyyy-mm-dd"),IF($A190="","",IF(SUMPRODUCT(('Agences &amp; Après-vente'!$A$2:$A$1000=$A190)*(('Agences &amp; Après-vente'!$D$2:$D$1000="Après-vente")+('Agences &amp; Après-vente'!$D$2:$D$1000="Agences et Après-vente"))*('Agences &amp; Après-vente'!$I$2:$I$1000="DONE"))&gt;0,"✓",IF(SUMPRODUCT(MAX(('Agences &amp; Après-vente'!$A$2:$A$1000=$A190)*(('Agences &amp; Après-vente'!$D$2:$D$1000="Après-vente")+('Agences &amp; Après-vente'!$D$2:$D$1000="Agences et Après-vente"))*'Agences &amp; Après-vente'!$E$2:$E$1000))&gt;0,TEXT(SUMPRODUCT(MAX(('Agences &amp; Après-vente'!$A$2:$A$1000=$A190)*(('Agences &amp; Après-vente'!$D$2:$D$1000="Après-vente")+('Agences &amp; Après-vente'!$D$2:$D$1000="Agences et Après-vente"))*'Agences &amp; Après-vente'!$E$2:$E$1000)),"yyyy-mm-dd"),"")))))</f>
        <v/>
      </c>
      <c r="J190" s="131" t="str">
        <f aca="false">IF($T190="✓","✓",IF(ISNUMBER($T190),TEXT($T190,"yyyy-mm-dd"),IF($A190="","",IF($D190="Lisbonne","",IF(SUMPRODUCT(('Agences &amp; Après-vente'!$A$2:$A$1000=$A190)*(('Agences &amp; Après-vente'!$D$2:$D$1000="Après-vente")+('Agences &amp; Après-vente'!$D$2:$D$1000="Agences et Après-vente"))*('Agences &amp; Après-vente'!$I$2:$I$1000="DONE"))&gt;0,"✓",IF(SUMPRODUCT(MAX(('Agences &amp; Après-vente'!$A$2:$A$1000=$A190)*(('Agences &amp; Après-vente'!$D$2:$D$1000="Après-vente")+('Agences &amp; Après-vente'!$D$2:$D$1000="Agences et Après-vente"))*'Agences &amp; Après-vente'!$E$2:$E$1000))&gt;0,TEXT(SUMPRODUCT(MAX(('Agences &amp; Après-vente'!$A$2:$A$1000=$A190)*(('Agences &amp; Après-vente'!$D$2:$D$1000="Après-vente")+('Agences &amp; Après-vente'!$D$2:$D$1000="Agences et Après-vente"))*'Agences &amp; Après-vente'!$E$2:$E$1000)),"yyyy-mm-dd"),""))))))</f>
        <v/>
      </c>
      <c r="K190" s="131" t="str">
        <f aca="false">IF($U190="✓","✓",IF(ISNUMBER($U190),TEXT($U190,"yyyy-mm-dd"),IF($D190="Lisbonne","",IF($A190="","",IF(SUMPRODUCT((Evermont!$A$2:$A$1000=$A190)*(Evermont!$Q$2:$Q$1000="Terminé"))&gt;0,"✓",IF(SUMPRODUCT(MAX((Evermont!$A$2:$A$1000=$A190)*Evermont!$F$2:$F$1000))&gt;0,TEXT(SUMPRODUCT(MAX((Evermont!$A$2:$A$1000=$A190)*Evermont!$F$2:$F$1000)),"yyyy-mm-dd"),""))))))</f>
        <v/>
      </c>
      <c r="L190" s="131" t="str">
        <f aca="false">IF($A190="","",COUNTIF(E190:K190,"✓"))</f>
        <v/>
      </c>
      <c r="M190" s="131" t="str">
        <f aca="false">IF(B190="","","Active")</f>
        <v/>
      </c>
      <c r="W190" s="120" t="str">
        <f aca="false">IF($A190="","",IF($X190&lt;&gt;"",$X190,IFERROR(INDEX('Formation Initiale'!$B$2:$B$999,MATCH($A190,'Formation Initiale'!$A$2:$A$999,0)),"Général")))</f>
        <v/>
      </c>
    </row>
    <row r="191" customFormat="false" ht="15" hidden="true" customHeight="true" outlineLevel="0" collapsed="false">
      <c r="A191" s="142" t="str">
        <f aca="false">IF(B191="","","TR"&amp;TEXT(ROW()-1,"000"))</f>
        <v/>
      </c>
      <c r="E191" s="130" t="str">
        <f aca="false">IF($O191="✓","✓",IF(ISNUMBER($O191),TEXT($O191,"yyyy-mm-dd"),IF($A191="","",IF(SUMPRODUCT(('Formation Initiale'!$A$2:$A$999=$A191)*('Formation Initiale'!$R$2:$R$999="Terminé"))&gt;0,"✓",IF(SUMPRODUCT(MAX(('Formation Initiale'!$A$2:$A$999=$A191)*'Formation Initiale'!$G$2:$G$999))&gt;0,TEXT(SUMPRODUCT(MAX(('Formation Initiale'!$A$2:$A$999=$A191)*'Formation Initiale'!$G$2:$G$999)),"yyyy-mm-dd"),"")))))</f>
        <v/>
      </c>
      <c r="F191" s="131" t="str">
        <f aca="false">IF($P191="✓","✓",IF(ISNUMBER($P191),TEXT($P191,"yyyy-mm-dd"),IF($A191="","",IF($D191="Lisbonne","",IF(SUMPRODUCT(('Formation Initiale'!$A$2:$A$999=$A191)*('Formation Initiale'!$R$2:$R$999="Terminé"))&gt;0,"✓",IF(SUMPRODUCT(MAX(('Formation Initiale'!$A$2:$A$999=$A191)*'Formation Initiale'!$G$2:$G$999))&gt;0,TEXT(SUMPRODUCT(MAX(('Formation Initiale'!$A$2:$A$999=$A191)*'Formation Initiale'!$G$2:$G$999)),"yyyy-mm-dd"),""))))))</f>
        <v/>
      </c>
      <c r="G191" s="131" t="str">
        <f aca="false">IF($Q191="✓","✓",IF(ISNUMBER($Q191),TEXT($Q191,"yyyy-mm-dd"),IF($A191="","",IF(SUMPRODUCT(('Agences &amp; Après-vente'!$A$2:$A$1000=$A191)*(('Agences &amp; Après-vente'!$D$2:$D$1000="Agences")+('Agences &amp; Après-vente'!$D$2:$D$1000="Agences et Après-vente"))*('Agences &amp; Après-vente'!$I$2:$I$1000="DONE"))&gt;0,"✓",IF(SUMPRODUCT(MAX(('Agences &amp; Après-vente'!$A$2:$A$1000=$A191)*(('Agences &amp; Après-vente'!$D$2:$D$1000="Agences")+('Agences &amp; Après-vente'!$D$2:$D$1000="Agences et Après-vente"))*'Agences &amp; Après-vente'!$E$2:$E$1000))&gt;0,TEXT(SUMPRODUCT(MAX(('Agences &amp; Après-vente'!$A$2:$A$1000=$A191)*(('Agences &amp; Après-vente'!$D$2:$D$1000="Agences")+('Agences &amp; Après-vente'!$D$2:$D$1000="Agences et Après-vente"))*'Agences &amp; Après-vente'!$E$2:$E$1000)),"yyyy-mm-dd"),"")))))</f>
        <v/>
      </c>
      <c r="H191" s="131" t="str">
        <f aca="false">IF($R191="✓","✓",IF(ISNUMBER($R191),TEXT($R191,"yyyy-mm-dd"),IF($A191="","",IF($D191="Lisbonne","",IF(SUMPRODUCT(('Agences &amp; Après-vente'!$A$2:$A$1000=$A191)*(('Agences &amp; Après-vente'!$D$2:$D$1000="Agences")+('Agences &amp; Après-vente'!$D$2:$D$1000="Agences et Après-vente"))*('Agences &amp; Après-vente'!$I$2:$I$1000="DONE"))&gt;0,"✓",IF(SUMPRODUCT(MAX(('Agences &amp; Après-vente'!$A$2:$A$1000=$A191)*(('Agences &amp; Après-vente'!$D$2:$D$1000="Agences")+('Agences &amp; Après-vente'!$D$2:$D$1000="Agences et Après-vente"))*'Agences &amp; Après-vente'!$E$2:$E$1000))&gt;0,TEXT(SUMPRODUCT(MAX(('Agences &amp; Après-vente'!$A$2:$A$1000=$A191)*(('Agences &amp; Après-vente'!$D$2:$D$1000="Agences")+('Agences &amp; Après-vente'!$D$2:$D$1000="Agences et Après-vente"))*'Agences &amp; Après-vente'!$E$2:$E$1000)),"yyyy-mm-dd"),""))))))</f>
        <v/>
      </c>
      <c r="I191" s="131" t="str">
        <f aca="false">IF($S191="✓","✓",IF(ISNUMBER($S191),TEXT($S191,"yyyy-mm-dd"),IF($A191="","",IF(SUMPRODUCT(('Agences &amp; Après-vente'!$A$2:$A$1000=$A191)*(('Agences &amp; Après-vente'!$D$2:$D$1000="Après-vente")+('Agences &amp; Après-vente'!$D$2:$D$1000="Agences et Après-vente"))*('Agences &amp; Après-vente'!$I$2:$I$1000="DONE"))&gt;0,"✓",IF(SUMPRODUCT(MAX(('Agences &amp; Après-vente'!$A$2:$A$1000=$A191)*(('Agences &amp; Après-vente'!$D$2:$D$1000="Après-vente")+('Agences &amp; Après-vente'!$D$2:$D$1000="Agences et Après-vente"))*'Agences &amp; Après-vente'!$E$2:$E$1000))&gt;0,TEXT(SUMPRODUCT(MAX(('Agences &amp; Après-vente'!$A$2:$A$1000=$A191)*(('Agences &amp; Après-vente'!$D$2:$D$1000="Après-vente")+('Agences &amp; Après-vente'!$D$2:$D$1000="Agences et Après-vente"))*'Agences &amp; Après-vente'!$E$2:$E$1000)),"yyyy-mm-dd"),"")))))</f>
        <v/>
      </c>
      <c r="J191" s="131" t="str">
        <f aca="false">IF($T191="✓","✓",IF(ISNUMBER($T191),TEXT($T191,"yyyy-mm-dd"),IF($A191="","",IF($D191="Lisbonne","",IF(SUMPRODUCT(('Agences &amp; Après-vente'!$A$2:$A$1000=$A191)*(('Agences &amp; Après-vente'!$D$2:$D$1000="Après-vente")+('Agences &amp; Après-vente'!$D$2:$D$1000="Agences et Après-vente"))*('Agences &amp; Après-vente'!$I$2:$I$1000="DONE"))&gt;0,"✓",IF(SUMPRODUCT(MAX(('Agences &amp; Après-vente'!$A$2:$A$1000=$A191)*(('Agences &amp; Après-vente'!$D$2:$D$1000="Après-vente")+('Agences &amp; Après-vente'!$D$2:$D$1000="Agences et Après-vente"))*'Agences &amp; Après-vente'!$E$2:$E$1000))&gt;0,TEXT(SUMPRODUCT(MAX(('Agences &amp; Après-vente'!$A$2:$A$1000=$A191)*(('Agences &amp; Après-vente'!$D$2:$D$1000="Après-vente")+('Agences &amp; Après-vente'!$D$2:$D$1000="Agences et Après-vente"))*'Agences &amp; Après-vente'!$E$2:$E$1000)),"yyyy-mm-dd"),""))))))</f>
        <v/>
      </c>
      <c r="K191" s="131" t="str">
        <f aca="false">IF($U191="✓","✓",IF(ISNUMBER($U191),TEXT($U191,"yyyy-mm-dd"),IF($D191="Lisbonne","",IF($A191="","",IF(SUMPRODUCT((Evermont!$A$2:$A$1000=$A191)*(Evermont!$Q$2:$Q$1000="Terminé"))&gt;0,"✓",IF(SUMPRODUCT(MAX((Evermont!$A$2:$A$1000=$A191)*Evermont!$F$2:$F$1000))&gt;0,TEXT(SUMPRODUCT(MAX((Evermont!$A$2:$A$1000=$A191)*Evermont!$F$2:$F$1000)),"yyyy-mm-dd"),""))))))</f>
        <v/>
      </c>
      <c r="L191" s="131" t="str">
        <f aca="false">IF($A191="","",COUNTIF(E191:K191,"✓"))</f>
        <v/>
      </c>
      <c r="M191" s="131" t="str">
        <f aca="false">IF(B191="","","Active")</f>
        <v/>
      </c>
      <c r="W191" s="120" t="str">
        <f aca="false">IF($A191="","",IF($X191&lt;&gt;"",$X191,IFERROR(INDEX('Formation Initiale'!$B$2:$B$999,MATCH($A191,'Formation Initiale'!$A$2:$A$999,0)),"Général")))</f>
        <v/>
      </c>
    </row>
    <row r="192" customFormat="false" ht="15" hidden="true" customHeight="true" outlineLevel="0" collapsed="false">
      <c r="A192" s="142" t="str">
        <f aca="false">IF(B192="","","TR"&amp;TEXT(ROW()-1,"000"))</f>
        <v/>
      </c>
      <c r="E192" s="130" t="str">
        <f aca="false">IF($O192="✓","✓",IF(ISNUMBER($O192),TEXT($O192,"yyyy-mm-dd"),IF($A192="","",IF(SUMPRODUCT(('Formation Initiale'!$A$2:$A$999=$A192)*('Formation Initiale'!$R$2:$R$999="Terminé"))&gt;0,"✓",IF(SUMPRODUCT(MAX(('Formation Initiale'!$A$2:$A$999=$A192)*'Formation Initiale'!$G$2:$G$999))&gt;0,TEXT(SUMPRODUCT(MAX(('Formation Initiale'!$A$2:$A$999=$A192)*'Formation Initiale'!$G$2:$G$999)),"yyyy-mm-dd"),"")))))</f>
        <v/>
      </c>
      <c r="F192" s="131" t="str">
        <f aca="false">IF($P192="✓","✓",IF(ISNUMBER($P192),TEXT($P192,"yyyy-mm-dd"),IF($A192="","",IF($D192="Lisbonne","",IF(SUMPRODUCT(('Formation Initiale'!$A$2:$A$999=$A192)*('Formation Initiale'!$R$2:$R$999="Terminé"))&gt;0,"✓",IF(SUMPRODUCT(MAX(('Formation Initiale'!$A$2:$A$999=$A192)*'Formation Initiale'!$G$2:$G$999))&gt;0,TEXT(SUMPRODUCT(MAX(('Formation Initiale'!$A$2:$A$999=$A192)*'Formation Initiale'!$G$2:$G$999)),"yyyy-mm-dd"),""))))))</f>
        <v/>
      </c>
      <c r="G192" s="131" t="str">
        <f aca="false">IF($Q192="✓","✓",IF(ISNUMBER($Q192),TEXT($Q192,"yyyy-mm-dd"),IF($A192="","",IF(SUMPRODUCT(('Agences &amp; Après-vente'!$A$2:$A$1000=$A192)*(('Agences &amp; Après-vente'!$D$2:$D$1000="Agences")+('Agences &amp; Après-vente'!$D$2:$D$1000="Agences et Après-vente"))*('Agences &amp; Après-vente'!$I$2:$I$1000="DONE"))&gt;0,"✓",IF(SUMPRODUCT(MAX(('Agences &amp; Après-vente'!$A$2:$A$1000=$A192)*(('Agences &amp; Après-vente'!$D$2:$D$1000="Agences")+('Agences &amp; Après-vente'!$D$2:$D$1000="Agences et Après-vente"))*'Agences &amp; Après-vente'!$E$2:$E$1000))&gt;0,TEXT(SUMPRODUCT(MAX(('Agences &amp; Après-vente'!$A$2:$A$1000=$A192)*(('Agences &amp; Après-vente'!$D$2:$D$1000="Agences")+('Agences &amp; Après-vente'!$D$2:$D$1000="Agences et Après-vente"))*'Agences &amp; Après-vente'!$E$2:$E$1000)),"yyyy-mm-dd"),"")))))</f>
        <v/>
      </c>
      <c r="H192" s="131" t="str">
        <f aca="false">IF($R192="✓","✓",IF(ISNUMBER($R192),TEXT($R192,"yyyy-mm-dd"),IF($A192="","",IF($D192="Lisbonne","",IF(SUMPRODUCT(('Agences &amp; Après-vente'!$A$2:$A$1000=$A192)*(('Agences &amp; Après-vente'!$D$2:$D$1000="Agences")+('Agences &amp; Après-vente'!$D$2:$D$1000="Agences et Après-vente"))*('Agences &amp; Après-vente'!$I$2:$I$1000="DONE"))&gt;0,"✓",IF(SUMPRODUCT(MAX(('Agences &amp; Après-vente'!$A$2:$A$1000=$A192)*(('Agences &amp; Après-vente'!$D$2:$D$1000="Agences")+('Agences &amp; Après-vente'!$D$2:$D$1000="Agences et Après-vente"))*'Agences &amp; Après-vente'!$E$2:$E$1000))&gt;0,TEXT(SUMPRODUCT(MAX(('Agences &amp; Après-vente'!$A$2:$A$1000=$A192)*(('Agences &amp; Après-vente'!$D$2:$D$1000="Agences")+('Agences &amp; Après-vente'!$D$2:$D$1000="Agences et Après-vente"))*'Agences &amp; Après-vente'!$E$2:$E$1000)),"yyyy-mm-dd"),""))))))</f>
        <v/>
      </c>
      <c r="I192" s="131" t="str">
        <f aca="false">IF($S192="✓","✓",IF(ISNUMBER($S192),TEXT($S192,"yyyy-mm-dd"),IF($A192="","",IF(SUMPRODUCT(('Agences &amp; Après-vente'!$A$2:$A$1000=$A192)*(('Agences &amp; Après-vente'!$D$2:$D$1000="Après-vente")+('Agences &amp; Après-vente'!$D$2:$D$1000="Agences et Après-vente"))*('Agences &amp; Après-vente'!$I$2:$I$1000="DONE"))&gt;0,"✓",IF(SUMPRODUCT(MAX(('Agences &amp; Après-vente'!$A$2:$A$1000=$A192)*(('Agences &amp; Après-vente'!$D$2:$D$1000="Après-vente")+('Agences &amp; Après-vente'!$D$2:$D$1000="Agences et Après-vente"))*'Agences &amp; Après-vente'!$E$2:$E$1000))&gt;0,TEXT(SUMPRODUCT(MAX(('Agences &amp; Après-vente'!$A$2:$A$1000=$A192)*(('Agences &amp; Après-vente'!$D$2:$D$1000="Après-vente")+('Agences &amp; Après-vente'!$D$2:$D$1000="Agences et Après-vente"))*'Agences &amp; Après-vente'!$E$2:$E$1000)),"yyyy-mm-dd"),"")))))</f>
        <v/>
      </c>
      <c r="J192" s="131" t="str">
        <f aca="false">IF($T192="✓","✓",IF(ISNUMBER($T192),TEXT($T192,"yyyy-mm-dd"),IF($A192="","",IF($D192="Lisbonne","",IF(SUMPRODUCT(('Agences &amp; Après-vente'!$A$2:$A$1000=$A192)*(('Agences &amp; Après-vente'!$D$2:$D$1000="Après-vente")+('Agences &amp; Après-vente'!$D$2:$D$1000="Agences et Après-vente"))*('Agences &amp; Après-vente'!$I$2:$I$1000="DONE"))&gt;0,"✓",IF(SUMPRODUCT(MAX(('Agences &amp; Après-vente'!$A$2:$A$1000=$A192)*(('Agences &amp; Après-vente'!$D$2:$D$1000="Après-vente")+('Agences &amp; Après-vente'!$D$2:$D$1000="Agences et Après-vente"))*'Agences &amp; Après-vente'!$E$2:$E$1000))&gt;0,TEXT(SUMPRODUCT(MAX(('Agences &amp; Après-vente'!$A$2:$A$1000=$A192)*(('Agences &amp; Après-vente'!$D$2:$D$1000="Après-vente")+('Agences &amp; Après-vente'!$D$2:$D$1000="Agences et Après-vente"))*'Agences &amp; Après-vente'!$E$2:$E$1000)),"yyyy-mm-dd"),""))))))</f>
        <v/>
      </c>
      <c r="K192" s="131" t="str">
        <f aca="false">IF($U192="✓","✓",IF(ISNUMBER($U192),TEXT($U192,"yyyy-mm-dd"),IF($D192="Lisbonne","",IF($A192="","",IF(SUMPRODUCT((Evermont!$A$2:$A$1000=$A192)*(Evermont!$Q$2:$Q$1000="Terminé"))&gt;0,"✓",IF(SUMPRODUCT(MAX((Evermont!$A$2:$A$1000=$A192)*Evermont!$F$2:$F$1000))&gt;0,TEXT(SUMPRODUCT(MAX((Evermont!$A$2:$A$1000=$A192)*Evermont!$F$2:$F$1000)),"yyyy-mm-dd"),""))))))</f>
        <v/>
      </c>
      <c r="L192" s="131" t="str">
        <f aca="false">IF($A192="","",COUNTIF(E192:K192,"✓"))</f>
        <v/>
      </c>
      <c r="M192" s="131" t="str">
        <f aca="false">IF(B192="","","Active")</f>
        <v/>
      </c>
      <c r="W192" s="120" t="str">
        <f aca="false">IF($A192="","",IF($X192&lt;&gt;"",$X192,IFERROR(INDEX('Formation Initiale'!$B$2:$B$999,MATCH($A192,'Formation Initiale'!$A$2:$A$999,0)),"Général")))</f>
        <v/>
      </c>
    </row>
    <row r="193" customFormat="false" ht="15" hidden="true" customHeight="true" outlineLevel="0" collapsed="false">
      <c r="A193" s="142" t="str">
        <f aca="false">IF(B193="","","TR"&amp;TEXT(ROW()-1,"000"))</f>
        <v/>
      </c>
      <c r="E193" s="130" t="str">
        <f aca="false">IF($O193="✓","✓",IF(ISNUMBER($O193),TEXT($O193,"yyyy-mm-dd"),IF($A193="","",IF(SUMPRODUCT(('Formation Initiale'!$A$2:$A$999=$A193)*('Formation Initiale'!$R$2:$R$999="Terminé"))&gt;0,"✓",IF(SUMPRODUCT(MAX(('Formation Initiale'!$A$2:$A$999=$A193)*'Formation Initiale'!$G$2:$G$999))&gt;0,TEXT(SUMPRODUCT(MAX(('Formation Initiale'!$A$2:$A$999=$A193)*'Formation Initiale'!$G$2:$G$999)),"yyyy-mm-dd"),"")))))</f>
        <v/>
      </c>
      <c r="F193" s="131" t="str">
        <f aca="false">IF($P193="✓","✓",IF(ISNUMBER($P193),TEXT($P193,"yyyy-mm-dd"),IF($A193="","",IF($D193="Lisbonne","",IF(SUMPRODUCT(('Formation Initiale'!$A$2:$A$999=$A193)*('Formation Initiale'!$R$2:$R$999="Terminé"))&gt;0,"✓",IF(SUMPRODUCT(MAX(('Formation Initiale'!$A$2:$A$999=$A193)*'Formation Initiale'!$G$2:$G$999))&gt;0,TEXT(SUMPRODUCT(MAX(('Formation Initiale'!$A$2:$A$999=$A193)*'Formation Initiale'!$G$2:$G$999)),"yyyy-mm-dd"),""))))))</f>
        <v/>
      </c>
      <c r="G193" s="131" t="str">
        <f aca="false">IF($Q193="✓","✓",IF(ISNUMBER($Q193),TEXT($Q193,"yyyy-mm-dd"),IF($A193="","",IF(SUMPRODUCT(('Agences &amp; Après-vente'!$A$2:$A$1000=$A193)*(('Agences &amp; Après-vente'!$D$2:$D$1000="Agences")+('Agences &amp; Après-vente'!$D$2:$D$1000="Agences et Après-vente"))*('Agences &amp; Après-vente'!$I$2:$I$1000="DONE"))&gt;0,"✓",IF(SUMPRODUCT(MAX(('Agences &amp; Après-vente'!$A$2:$A$1000=$A193)*(('Agences &amp; Après-vente'!$D$2:$D$1000="Agences")+('Agences &amp; Après-vente'!$D$2:$D$1000="Agences et Après-vente"))*'Agences &amp; Après-vente'!$E$2:$E$1000))&gt;0,TEXT(SUMPRODUCT(MAX(('Agences &amp; Après-vente'!$A$2:$A$1000=$A193)*(('Agences &amp; Après-vente'!$D$2:$D$1000="Agences")+('Agences &amp; Après-vente'!$D$2:$D$1000="Agences et Après-vente"))*'Agences &amp; Après-vente'!$E$2:$E$1000)),"yyyy-mm-dd"),"")))))</f>
        <v/>
      </c>
      <c r="H193" s="131" t="str">
        <f aca="false">IF($R193="✓","✓",IF(ISNUMBER($R193),TEXT($R193,"yyyy-mm-dd"),IF($A193="","",IF($D193="Lisbonne","",IF(SUMPRODUCT(('Agences &amp; Après-vente'!$A$2:$A$1000=$A193)*(('Agences &amp; Après-vente'!$D$2:$D$1000="Agences")+('Agences &amp; Après-vente'!$D$2:$D$1000="Agences et Après-vente"))*('Agences &amp; Après-vente'!$I$2:$I$1000="DONE"))&gt;0,"✓",IF(SUMPRODUCT(MAX(('Agences &amp; Après-vente'!$A$2:$A$1000=$A193)*(('Agences &amp; Après-vente'!$D$2:$D$1000="Agences")+('Agences &amp; Après-vente'!$D$2:$D$1000="Agences et Après-vente"))*'Agences &amp; Après-vente'!$E$2:$E$1000))&gt;0,TEXT(SUMPRODUCT(MAX(('Agences &amp; Après-vente'!$A$2:$A$1000=$A193)*(('Agences &amp; Après-vente'!$D$2:$D$1000="Agences")+('Agences &amp; Après-vente'!$D$2:$D$1000="Agences et Après-vente"))*'Agences &amp; Après-vente'!$E$2:$E$1000)),"yyyy-mm-dd"),""))))))</f>
        <v/>
      </c>
      <c r="I193" s="131" t="str">
        <f aca="false">IF($S193="✓","✓",IF(ISNUMBER($S193),TEXT($S193,"yyyy-mm-dd"),IF($A193="","",IF(SUMPRODUCT(('Agences &amp; Après-vente'!$A$2:$A$1000=$A193)*(('Agences &amp; Après-vente'!$D$2:$D$1000="Après-vente")+('Agences &amp; Après-vente'!$D$2:$D$1000="Agences et Après-vente"))*('Agences &amp; Après-vente'!$I$2:$I$1000="DONE"))&gt;0,"✓",IF(SUMPRODUCT(MAX(('Agences &amp; Après-vente'!$A$2:$A$1000=$A193)*(('Agences &amp; Après-vente'!$D$2:$D$1000="Après-vente")+('Agences &amp; Après-vente'!$D$2:$D$1000="Agences et Après-vente"))*'Agences &amp; Après-vente'!$E$2:$E$1000))&gt;0,TEXT(SUMPRODUCT(MAX(('Agences &amp; Après-vente'!$A$2:$A$1000=$A193)*(('Agences &amp; Après-vente'!$D$2:$D$1000="Après-vente")+('Agences &amp; Après-vente'!$D$2:$D$1000="Agences et Après-vente"))*'Agences &amp; Après-vente'!$E$2:$E$1000)),"yyyy-mm-dd"),"")))))</f>
        <v/>
      </c>
      <c r="J193" s="131" t="str">
        <f aca="false">IF($T193="✓","✓",IF(ISNUMBER($T193),TEXT($T193,"yyyy-mm-dd"),IF($A193="","",IF($D193="Lisbonne","",IF(SUMPRODUCT(('Agences &amp; Après-vente'!$A$2:$A$1000=$A193)*(('Agences &amp; Après-vente'!$D$2:$D$1000="Après-vente")+('Agences &amp; Après-vente'!$D$2:$D$1000="Agences et Après-vente"))*('Agences &amp; Après-vente'!$I$2:$I$1000="DONE"))&gt;0,"✓",IF(SUMPRODUCT(MAX(('Agences &amp; Après-vente'!$A$2:$A$1000=$A193)*(('Agences &amp; Après-vente'!$D$2:$D$1000="Après-vente")+('Agences &amp; Après-vente'!$D$2:$D$1000="Agences et Après-vente"))*'Agences &amp; Après-vente'!$E$2:$E$1000))&gt;0,TEXT(SUMPRODUCT(MAX(('Agences &amp; Après-vente'!$A$2:$A$1000=$A193)*(('Agences &amp; Après-vente'!$D$2:$D$1000="Après-vente")+('Agences &amp; Après-vente'!$D$2:$D$1000="Agences et Après-vente"))*'Agences &amp; Après-vente'!$E$2:$E$1000)),"yyyy-mm-dd"),""))))))</f>
        <v/>
      </c>
      <c r="K193" s="131" t="str">
        <f aca="false">IF($U193="✓","✓",IF(ISNUMBER($U193),TEXT($U193,"yyyy-mm-dd"),IF($D193="Lisbonne","",IF($A193="","",IF(SUMPRODUCT((Evermont!$A$2:$A$1000=$A193)*(Evermont!$Q$2:$Q$1000="Terminé"))&gt;0,"✓",IF(SUMPRODUCT(MAX((Evermont!$A$2:$A$1000=$A193)*Evermont!$F$2:$F$1000))&gt;0,TEXT(SUMPRODUCT(MAX((Evermont!$A$2:$A$1000=$A193)*Evermont!$F$2:$F$1000)),"yyyy-mm-dd"),""))))))</f>
        <v/>
      </c>
      <c r="L193" s="131" t="str">
        <f aca="false">IF($A193="","",COUNTIF(E193:K193,"✓"))</f>
        <v/>
      </c>
      <c r="M193" s="131" t="str">
        <f aca="false">IF(B193="","","Active")</f>
        <v/>
      </c>
      <c r="W193" s="120" t="str">
        <f aca="false">IF($A193="","",IF($X193&lt;&gt;"",$X193,IFERROR(INDEX('Formation Initiale'!$B$2:$B$999,MATCH($A193,'Formation Initiale'!$A$2:$A$999,0)),"Général")))</f>
        <v/>
      </c>
    </row>
    <row r="194" customFormat="false" ht="15" hidden="true" customHeight="true" outlineLevel="0" collapsed="false">
      <c r="A194" s="142" t="str">
        <f aca="false">IF(B194="","","TR"&amp;TEXT(ROW()-1,"000"))</f>
        <v/>
      </c>
      <c r="E194" s="130" t="str">
        <f aca="false">IF($O194="✓","✓",IF(ISNUMBER($O194),TEXT($O194,"yyyy-mm-dd"),IF($A194="","",IF(SUMPRODUCT(('Formation Initiale'!$A$2:$A$999=$A194)*('Formation Initiale'!$R$2:$R$999="Terminé"))&gt;0,"✓",IF(SUMPRODUCT(MAX(('Formation Initiale'!$A$2:$A$999=$A194)*'Formation Initiale'!$G$2:$G$999))&gt;0,TEXT(SUMPRODUCT(MAX(('Formation Initiale'!$A$2:$A$999=$A194)*'Formation Initiale'!$G$2:$G$999)),"yyyy-mm-dd"),"")))))</f>
        <v/>
      </c>
      <c r="F194" s="131" t="str">
        <f aca="false">IF($P194="✓","✓",IF(ISNUMBER($P194),TEXT($P194,"yyyy-mm-dd"),IF($A194="","",IF($D194="Lisbonne","",IF(SUMPRODUCT(('Formation Initiale'!$A$2:$A$999=$A194)*('Formation Initiale'!$R$2:$R$999="Terminé"))&gt;0,"✓",IF(SUMPRODUCT(MAX(('Formation Initiale'!$A$2:$A$999=$A194)*'Formation Initiale'!$G$2:$G$999))&gt;0,TEXT(SUMPRODUCT(MAX(('Formation Initiale'!$A$2:$A$999=$A194)*'Formation Initiale'!$G$2:$G$999)),"yyyy-mm-dd"),""))))))</f>
        <v/>
      </c>
      <c r="G194" s="131" t="str">
        <f aca="false">IF($Q194="✓","✓",IF(ISNUMBER($Q194),TEXT($Q194,"yyyy-mm-dd"),IF($A194="","",IF(SUMPRODUCT(('Agences &amp; Après-vente'!$A$2:$A$1000=$A194)*(('Agences &amp; Après-vente'!$D$2:$D$1000="Agences")+('Agences &amp; Après-vente'!$D$2:$D$1000="Agences et Après-vente"))*('Agences &amp; Après-vente'!$I$2:$I$1000="DONE"))&gt;0,"✓",IF(SUMPRODUCT(MAX(('Agences &amp; Après-vente'!$A$2:$A$1000=$A194)*(('Agences &amp; Après-vente'!$D$2:$D$1000="Agences")+('Agences &amp; Après-vente'!$D$2:$D$1000="Agences et Après-vente"))*'Agences &amp; Après-vente'!$E$2:$E$1000))&gt;0,TEXT(SUMPRODUCT(MAX(('Agences &amp; Après-vente'!$A$2:$A$1000=$A194)*(('Agences &amp; Après-vente'!$D$2:$D$1000="Agences")+('Agences &amp; Après-vente'!$D$2:$D$1000="Agences et Après-vente"))*'Agences &amp; Après-vente'!$E$2:$E$1000)),"yyyy-mm-dd"),"")))))</f>
        <v/>
      </c>
      <c r="H194" s="131" t="str">
        <f aca="false">IF($R194="✓","✓",IF(ISNUMBER($R194),TEXT($R194,"yyyy-mm-dd"),IF($A194="","",IF($D194="Lisbonne","",IF(SUMPRODUCT(('Agences &amp; Après-vente'!$A$2:$A$1000=$A194)*(('Agences &amp; Après-vente'!$D$2:$D$1000="Agences")+('Agences &amp; Après-vente'!$D$2:$D$1000="Agences et Après-vente"))*('Agences &amp; Après-vente'!$I$2:$I$1000="DONE"))&gt;0,"✓",IF(SUMPRODUCT(MAX(('Agences &amp; Après-vente'!$A$2:$A$1000=$A194)*(('Agences &amp; Après-vente'!$D$2:$D$1000="Agences")+('Agences &amp; Après-vente'!$D$2:$D$1000="Agences et Après-vente"))*'Agences &amp; Après-vente'!$E$2:$E$1000))&gt;0,TEXT(SUMPRODUCT(MAX(('Agences &amp; Après-vente'!$A$2:$A$1000=$A194)*(('Agences &amp; Après-vente'!$D$2:$D$1000="Agences")+('Agences &amp; Après-vente'!$D$2:$D$1000="Agences et Après-vente"))*'Agences &amp; Après-vente'!$E$2:$E$1000)),"yyyy-mm-dd"),""))))))</f>
        <v/>
      </c>
      <c r="I194" s="131" t="str">
        <f aca="false">IF($S194="✓","✓",IF(ISNUMBER($S194),TEXT($S194,"yyyy-mm-dd"),IF($A194="","",IF(SUMPRODUCT(('Agences &amp; Après-vente'!$A$2:$A$1000=$A194)*(('Agences &amp; Après-vente'!$D$2:$D$1000="Après-vente")+('Agences &amp; Après-vente'!$D$2:$D$1000="Agences et Après-vente"))*('Agences &amp; Après-vente'!$I$2:$I$1000="DONE"))&gt;0,"✓",IF(SUMPRODUCT(MAX(('Agences &amp; Après-vente'!$A$2:$A$1000=$A194)*(('Agences &amp; Après-vente'!$D$2:$D$1000="Après-vente")+('Agences &amp; Après-vente'!$D$2:$D$1000="Agences et Après-vente"))*'Agences &amp; Après-vente'!$E$2:$E$1000))&gt;0,TEXT(SUMPRODUCT(MAX(('Agences &amp; Après-vente'!$A$2:$A$1000=$A194)*(('Agences &amp; Après-vente'!$D$2:$D$1000="Après-vente")+('Agences &amp; Après-vente'!$D$2:$D$1000="Agences et Après-vente"))*'Agences &amp; Après-vente'!$E$2:$E$1000)),"yyyy-mm-dd"),"")))))</f>
        <v/>
      </c>
      <c r="J194" s="131" t="str">
        <f aca="false">IF($T194="✓","✓",IF(ISNUMBER($T194),TEXT($T194,"yyyy-mm-dd"),IF($A194="","",IF($D194="Lisbonne","",IF(SUMPRODUCT(('Agences &amp; Après-vente'!$A$2:$A$1000=$A194)*(('Agences &amp; Après-vente'!$D$2:$D$1000="Après-vente")+('Agences &amp; Après-vente'!$D$2:$D$1000="Agences et Après-vente"))*('Agences &amp; Après-vente'!$I$2:$I$1000="DONE"))&gt;0,"✓",IF(SUMPRODUCT(MAX(('Agences &amp; Après-vente'!$A$2:$A$1000=$A194)*(('Agences &amp; Après-vente'!$D$2:$D$1000="Après-vente")+('Agences &amp; Après-vente'!$D$2:$D$1000="Agences et Après-vente"))*'Agences &amp; Après-vente'!$E$2:$E$1000))&gt;0,TEXT(SUMPRODUCT(MAX(('Agences &amp; Après-vente'!$A$2:$A$1000=$A194)*(('Agences &amp; Après-vente'!$D$2:$D$1000="Après-vente")+('Agences &amp; Après-vente'!$D$2:$D$1000="Agences et Après-vente"))*'Agences &amp; Après-vente'!$E$2:$E$1000)),"yyyy-mm-dd"),""))))))</f>
        <v/>
      </c>
      <c r="K194" s="131" t="str">
        <f aca="false">IF($U194="✓","✓",IF(ISNUMBER($U194),TEXT($U194,"yyyy-mm-dd"),IF($D194="Lisbonne","",IF($A194="","",IF(SUMPRODUCT((Evermont!$A$2:$A$1000=$A194)*(Evermont!$Q$2:$Q$1000="Terminé"))&gt;0,"✓",IF(SUMPRODUCT(MAX((Evermont!$A$2:$A$1000=$A194)*Evermont!$F$2:$F$1000))&gt;0,TEXT(SUMPRODUCT(MAX((Evermont!$A$2:$A$1000=$A194)*Evermont!$F$2:$F$1000)),"yyyy-mm-dd"),""))))))</f>
        <v/>
      </c>
      <c r="L194" s="131" t="str">
        <f aca="false">IF($A194="","",COUNTIF(E194:K194,"✓"))</f>
        <v/>
      </c>
      <c r="M194" s="131" t="str">
        <f aca="false">IF(B194="","","Active")</f>
        <v/>
      </c>
      <c r="W194" s="120" t="str">
        <f aca="false">IF($A194="","",IF($X194&lt;&gt;"",$X194,IFERROR(INDEX('Formation Initiale'!$B$2:$B$999,MATCH($A194,'Formation Initiale'!$A$2:$A$999,0)),"Général")))</f>
        <v/>
      </c>
    </row>
    <row r="195" customFormat="false" ht="15" hidden="true" customHeight="true" outlineLevel="0" collapsed="false">
      <c r="A195" s="142" t="str">
        <f aca="false">IF(B195="","","TR"&amp;TEXT(ROW()-1,"000"))</f>
        <v/>
      </c>
      <c r="E195" s="130" t="str">
        <f aca="false">IF($O195="✓","✓",IF(ISNUMBER($O195),TEXT($O195,"yyyy-mm-dd"),IF($A195="","",IF(SUMPRODUCT(('Formation Initiale'!$A$2:$A$999=$A195)*('Formation Initiale'!$R$2:$R$999="Terminé"))&gt;0,"✓",IF(SUMPRODUCT(MAX(('Formation Initiale'!$A$2:$A$999=$A195)*'Formation Initiale'!$G$2:$G$999))&gt;0,TEXT(SUMPRODUCT(MAX(('Formation Initiale'!$A$2:$A$999=$A195)*'Formation Initiale'!$G$2:$G$999)),"yyyy-mm-dd"),"")))))</f>
        <v/>
      </c>
      <c r="F195" s="131" t="str">
        <f aca="false">IF($P195="✓","✓",IF(ISNUMBER($P195),TEXT($P195,"yyyy-mm-dd"),IF($A195="","",IF($D195="Lisbonne","",IF(SUMPRODUCT(('Formation Initiale'!$A$2:$A$999=$A195)*('Formation Initiale'!$R$2:$R$999="Terminé"))&gt;0,"✓",IF(SUMPRODUCT(MAX(('Formation Initiale'!$A$2:$A$999=$A195)*'Formation Initiale'!$G$2:$G$999))&gt;0,TEXT(SUMPRODUCT(MAX(('Formation Initiale'!$A$2:$A$999=$A195)*'Formation Initiale'!$G$2:$G$999)),"yyyy-mm-dd"),""))))))</f>
        <v/>
      </c>
      <c r="G195" s="131" t="str">
        <f aca="false">IF($Q195="✓","✓",IF(ISNUMBER($Q195),TEXT($Q195,"yyyy-mm-dd"),IF($A195="","",IF(SUMPRODUCT(('Agences &amp; Après-vente'!$A$2:$A$1000=$A195)*(('Agences &amp; Après-vente'!$D$2:$D$1000="Agences")+('Agences &amp; Après-vente'!$D$2:$D$1000="Agences et Après-vente"))*('Agences &amp; Après-vente'!$I$2:$I$1000="DONE"))&gt;0,"✓",IF(SUMPRODUCT(MAX(('Agences &amp; Après-vente'!$A$2:$A$1000=$A195)*(('Agences &amp; Après-vente'!$D$2:$D$1000="Agences")+('Agences &amp; Après-vente'!$D$2:$D$1000="Agences et Après-vente"))*'Agences &amp; Après-vente'!$E$2:$E$1000))&gt;0,TEXT(SUMPRODUCT(MAX(('Agences &amp; Après-vente'!$A$2:$A$1000=$A195)*(('Agences &amp; Après-vente'!$D$2:$D$1000="Agences")+('Agences &amp; Après-vente'!$D$2:$D$1000="Agences et Après-vente"))*'Agences &amp; Après-vente'!$E$2:$E$1000)),"yyyy-mm-dd"),"")))))</f>
        <v/>
      </c>
      <c r="H195" s="131" t="str">
        <f aca="false">IF($R195="✓","✓",IF(ISNUMBER($R195),TEXT($R195,"yyyy-mm-dd"),IF($A195="","",IF($D195="Lisbonne","",IF(SUMPRODUCT(('Agences &amp; Après-vente'!$A$2:$A$1000=$A195)*(('Agences &amp; Après-vente'!$D$2:$D$1000="Agences")+('Agences &amp; Après-vente'!$D$2:$D$1000="Agences et Après-vente"))*('Agences &amp; Après-vente'!$I$2:$I$1000="DONE"))&gt;0,"✓",IF(SUMPRODUCT(MAX(('Agences &amp; Après-vente'!$A$2:$A$1000=$A195)*(('Agences &amp; Après-vente'!$D$2:$D$1000="Agences")+('Agences &amp; Après-vente'!$D$2:$D$1000="Agences et Après-vente"))*'Agences &amp; Après-vente'!$E$2:$E$1000))&gt;0,TEXT(SUMPRODUCT(MAX(('Agences &amp; Après-vente'!$A$2:$A$1000=$A195)*(('Agences &amp; Après-vente'!$D$2:$D$1000="Agences")+('Agences &amp; Après-vente'!$D$2:$D$1000="Agences et Après-vente"))*'Agences &amp; Après-vente'!$E$2:$E$1000)),"yyyy-mm-dd"),""))))))</f>
        <v/>
      </c>
      <c r="I195" s="131" t="str">
        <f aca="false">IF($S195="✓","✓",IF(ISNUMBER($S195),TEXT($S195,"yyyy-mm-dd"),IF($A195="","",IF(SUMPRODUCT(('Agences &amp; Après-vente'!$A$2:$A$1000=$A195)*(('Agences &amp; Après-vente'!$D$2:$D$1000="Après-vente")+('Agences &amp; Après-vente'!$D$2:$D$1000="Agences et Après-vente"))*('Agences &amp; Après-vente'!$I$2:$I$1000="DONE"))&gt;0,"✓",IF(SUMPRODUCT(MAX(('Agences &amp; Après-vente'!$A$2:$A$1000=$A195)*(('Agences &amp; Après-vente'!$D$2:$D$1000="Après-vente")+('Agences &amp; Après-vente'!$D$2:$D$1000="Agences et Après-vente"))*'Agences &amp; Après-vente'!$E$2:$E$1000))&gt;0,TEXT(SUMPRODUCT(MAX(('Agences &amp; Après-vente'!$A$2:$A$1000=$A195)*(('Agences &amp; Après-vente'!$D$2:$D$1000="Après-vente")+('Agences &amp; Après-vente'!$D$2:$D$1000="Agences et Après-vente"))*'Agences &amp; Après-vente'!$E$2:$E$1000)),"yyyy-mm-dd"),"")))))</f>
        <v/>
      </c>
      <c r="J195" s="131" t="str">
        <f aca="false">IF($T195="✓","✓",IF(ISNUMBER($T195),TEXT($T195,"yyyy-mm-dd"),IF($A195="","",IF($D195="Lisbonne","",IF(SUMPRODUCT(('Agences &amp; Après-vente'!$A$2:$A$1000=$A195)*(('Agences &amp; Après-vente'!$D$2:$D$1000="Après-vente")+('Agences &amp; Après-vente'!$D$2:$D$1000="Agences et Après-vente"))*('Agences &amp; Après-vente'!$I$2:$I$1000="DONE"))&gt;0,"✓",IF(SUMPRODUCT(MAX(('Agences &amp; Après-vente'!$A$2:$A$1000=$A195)*(('Agences &amp; Après-vente'!$D$2:$D$1000="Après-vente")+('Agences &amp; Après-vente'!$D$2:$D$1000="Agences et Après-vente"))*'Agences &amp; Après-vente'!$E$2:$E$1000))&gt;0,TEXT(SUMPRODUCT(MAX(('Agences &amp; Après-vente'!$A$2:$A$1000=$A195)*(('Agences &amp; Après-vente'!$D$2:$D$1000="Après-vente")+('Agences &amp; Après-vente'!$D$2:$D$1000="Agences et Après-vente"))*'Agences &amp; Après-vente'!$E$2:$E$1000)),"yyyy-mm-dd"),""))))))</f>
        <v/>
      </c>
      <c r="K195" s="131" t="str">
        <f aca="false">IF($U195="✓","✓",IF(ISNUMBER($U195),TEXT($U195,"yyyy-mm-dd"),IF($D195="Lisbonne","",IF($A195="","",IF(SUMPRODUCT((Evermont!$A$2:$A$1000=$A195)*(Evermont!$Q$2:$Q$1000="Terminé"))&gt;0,"✓",IF(SUMPRODUCT(MAX((Evermont!$A$2:$A$1000=$A195)*Evermont!$F$2:$F$1000))&gt;0,TEXT(SUMPRODUCT(MAX((Evermont!$A$2:$A$1000=$A195)*Evermont!$F$2:$F$1000)),"yyyy-mm-dd"),""))))))</f>
        <v/>
      </c>
      <c r="L195" s="131" t="str">
        <f aca="false">IF($A195="","",COUNTIF(E195:K195,"✓"))</f>
        <v/>
      </c>
      <c r="M195" s="131" t="str">
        <f aca="false">IF(B195="","","Active")</f>
        <v/>
      </c>
      <c r="W195" s="120" t="str">
        <f aca="false">IF($A195="","",IF($X195&lt;&gt;"",$X195,IFERROR(INDEX('Formation Initiale'!$B$2:$B$999,MATCH($A195,'Formation Initiale'!$A$2:$A$999,0)),"Général")))</f>
        <v/>
      </c>
    </row>
    <row r="196" customFormat="false" ht="15" hidden="true" customHeight="true" outlineLevel="0" collapsed="false">
      <c r="A196" s="142" t="str">
        <f aca="false">IF(B196="","","TR"&amp;TEXT(ROW()-1,"000"))</f>
        <v/>
      </c>
      <c r="E196" s="130" t="str">
        <f aca="false">IF($O196="✓","✓",IF(ISNUMBER($O196),TEXT($O196,"yyyy-mm-dd"),IF($A196="","",IF(SUMPRODUCT(('Formation Initiale'!$A$2:$A$999=$A196)*('Formation Initiale'!$R$2:$R$999="Terminé"))&gt;0,"✓",IF(SUMPRODUCT(MAX(('Formation Initiale'!$A$2:$A$999=$A196)*'Formation Initiale'!$G$2:$G$999))&gt;0,TEXT(SUMPRODUCT(MAX(('Formation Initiale'!$A$2:$A$999=$A196)*'Formation Initiale'!$G$2:$G$999)),"yyyy-mm-dd"),"")))))</f>
        <v/>
      </c>
      <c r="F196" s="131" t="str">
        <f aca="false">IF($P196="✓","✓",IF(ISNUMBER($P196),TEXT($P196,"yyyy-mm-dd"),IF($A196="","",IF($D196="Lisbonne","",IF(SUMPRODUCT(('Formation Initiale'!$A$2:$A$999=$A196)*('Formation Initiale'!$R$2:$R$999="Terminé"))&gt;0,"✓",IF(SUMPRODUCT(MAX(('Formation Initiale'!$A$2:$A$999=$A196)*'Formation Initiale'!$G$2:$G$999))&gt;0,TEXT(SUMPRODUCT(MAX(('Formation Initiale'!$A$2:$A$999=$A196)*'Formation Initiale'!$G$2:$G$999)),"yyyy-mm-dd"),""))))))</f>
        <v/>
      </c>
      <c r="G196" s="131" t="str">
        <f aca="false">IF($Q196="✓","✓",IF(ISNUMBER($Q196),TEXT($Q196,"yyyy-mm-dd"),IF($A196="","",IF(SUMPRODUCT(('Agences &amp; Après-vente'!$A$2:$A$1000=$A196)*(('Agences &amp; Après-vente'!$D$2:$D$1000="Agences")+('Agences &amp; Après-vente'!$D$2:$D$1000="Agences et Après-vente"))*('Agences &amp; Après-vente'!$I$2:$I$1000="DONE"))&gt;0,"✓",IF(SUMPRODUCT(MAX(('Agences &amp; Après-vente'!$A$2:$A$1000=$A196)*(('Agences &amp; Après-vente'!$D$2:$D$1000="Agences")+('Agences &amp; Après-vente'!$D$2:$D$1000="Agences et Après-vente"))*'Agences &amp; Après-vente'!$E$2:$E$1000))&gt;0,TEXT(SUMPRODUCT(MAX(('Agences &amp; Après-vente'!$A$2:$A$1000=$A196)*(('Agences &amp; Après-vente'!$D$2:$D$1000="Agences")+('Agences &amp; Après-vente'!$D$2:$D$1000="Agences et Après-vente"))*'Agences &amp; Après-vente'!$E$2:$E$1000)),"yyyy-mm-dd"),"")))))</f>
        <v/>
      </c>
      <c r="H196" s="131" t="str">
        <f aca="false">IF($R196="✓","✓",IF(ISNUMBER($R196),TEXT($R196,"yyyy-mm-dd"),IF($A196="","",IF($D196="Lisbonne","",IF(SUMPRODUCT(('Agences &amp; Après-vente'!$A$2:$A$1000=$A196)*(('Agences &amp; Après-vente'!$D$2:$D$1000="Agences")+('Agences &amp; Après-vente'!$D$2:$D$1000="Agences et Après-vente"))*('Agences &amp; Après-vente'!$I$2:$I$1000="DONE"))&gt;0,"✓",IF(SUMPRODUCT(MAX(('Agences &amp; Après-vente'!$A$2:$A$1000=$A196)*(('Agences &amp; Après-vente'!$D$2:$D$1000="Agences")+('Agences &amp; Après-vente'!$D$2:$D$1000="Agences et Après-vente"))*'Agences &amp; Après-vente'!$E$2:$E$1000))&gt;0,TEXT(SUMPRODUCT(MAX(('Agences &amp; Après-vente'!$A$2:$A$1000=$A196)*(('Agences &amp; Après-vente'!$D$2:$D$1000="Agences")+('Agences &amp; Après-vente'!$D$2:$D$1000="Agences et Après-vente"))*'Agences &amp; Après-vente'!$E$2:$E$1000)),"yyyy-mm-dd"),""))))))</f>
        <v/>
      </c>
      <c r="I196" s="131" t="str">
        <f aca="false">IF($S196="✓","✓",IF(ISNUMBER($S196),TEXT($S196,"yyyy-mm-dd"),IF($A196="","",IF(SUMPRODUCT(('Agences &amp; Après-vente'!$A$2:$A$1000=$A196)*(('Agences &amp; Après-vente'!$D$2:$D$1000="Après-vente")+('Agences &amp; Après-vente'!$D$2:$D$1000="Agences et Après-vente"))*('Agences &amp; Après-vente'!$I$2:$I$1000="DONE"))&gt;0,"✓",IF(SUMPRODUCT(MAX(('Agences &amp; Après-vente'!$A$2:$A$1000=$A196)*(('Agences &amp; Après-vente'!$D$2:$D$1000="Après-vente")+('Agences &amp; Après-vente'!$D$2:$D$1000="Agences et Après-vente"))*'Agences &amp; Après-vente'!$E$2:$E$1000))&gt;0,TEXT(SUMPRODUCT(MAX(('Agences &amp; Après-vente'!$A$2:$A$1000=$A196)*(('Agences &amp; Après-vente'!$D$2:$D$1000="Après-vente")+('Agences &amp; Après-vente'!$D$2:$D$1000="Agences et Après-vente"))*'Agences &amp; Après-vente'!$E$2:$E$1000)),"yyyy-mm-dd"),"")))))</f>
        <v/>
      </c>
      <c r="J196" s="131" t="str">
        <f aca="false">IF($T196="✓","✓",IF(ISNUMBER($T196),TEXT($T196,"yyyy-mm-dd"),IF($A196="","",IF($D196="Lisbonne","",IF(SUMPRODUCT(('Agences &amp; Après-vente'!$A$2:$A$1000=$A196)*(('Agences &amp; Après-vente'!$D$2:$D$1000="Après-vente")+('Agences &amp; Après-vente'!$D$2:$D$1000="Agences et Après-vente"))*('Agences &amp; Après-vente'!$I$2:$I$1000="DONE"))&gt;0,"✓",IF(SUMPRODUCT(MAX(('Agences &amp; Après-vente'!$A$2:$A$1000=$A196)*(('Agences &amp; Après-vente'!$D$2:$D$1000="Après-vente")+('Agences &amp; Après-vente'!$D$2:$D$1000="Agences et Après-vente"))*'Agences &amp; Après-vente'!$E$2:$E$1000))&gt;0,TEXT(SUMPRODUCT(MAX(('Agences &amp; Après-vente'!$A$2:$A$1000=$A196)*(('Agences &amp; Après-vente'!$D$2:$D$1000="Après-vente")+('Agences &amp; Après-vente'!$D$2:$D$1000="Agences et Après-vente"))*'Agences &amp; Après-vente'!$E$2:$E$1000)),"yyyy-mm-dd"),""))))))</f>
        <v/>
      </c>
      <c r="K196" s="131" t="str">
        <f aca="false">IF($U196="✓","✓",IF(ISNUMBER($U196),TEXT($U196,"yyyy-mm-dd"),IF($D196="Lisbonne","",IF($A196="","",IF(SUMPRODUCT((Evermont!$A$2:$A$1000=$A196)*(Evermont!$Q$2:$Q$1000="Terminé"))&gt;0,"✓",IF(SUMPRODUCT(MAX((Evermont!$A$2:$A$1000=$A196)*Evermont!$F$2:$F$1000))&gt;0,TEXT(SUMPRODUCT(MAX((Evermont!$A$2:$A$1000=$A196)*Evermont!$F$2:$F$1000)),"yyyy-mm-dd"),""))))))</f>
        <v/>
      </c>
      <c r="L196" s="131" t="str">
        <f aca="false">IF($A196="","",COUNTIF(E196:K196,"✓"))</f>
        <v/>
      </c>
      <c r="M196" s="131" t="str">
        <f aca="false">IF(B196="","","Active")</f>
        <v/>
      </c>
      <c r="W196" s="120" t="str">
        <f aca="false">IF($A196="","",IF($X196&lt;&gt;"",$X196,IFERROR(INDEX('Formation Initiale'!$B$2:$B$999,MATCH($A196,'Formation Initiale'!$A$2:$A$999,0)),"Général")))</f>
        <v/>
      </c>
    </row>
    <row r="197" customFormat="false" ht="15" hidden="true" customHeight="true" outlineLevel="0" collapsed="false">
      <c r="A197" s="142" t="str">
        <f aca="false">IF(B197="","","TR"&amp;TEXT(ROW()-1,"000"))</f>
        <v/>
      </c>
      <c r="E197" s="130" t="str">
        <f aca="false">IF($O197="✓","✓",IF(ISNUMBER($O197),TEXT($O197,"yyyy-mm-dd"),IF($A197="","",IF(SUMPRODUCT(('Formation Initiale'!$A$2:$A$999=$A197)*('Formation Initiale'!$R$2:$R$999="Terminé"))&gt;0,"✓",IF(SUMPRODUCT(MAX(('Formation Initiale'!$A$2:$A$999=$A197)*'Formation Initiale'!$G$2:$G$999))&gt;0,TEXT(SUMPRODUCT(MAX(('Formation Initiale'!$A$2:$A$999=$A197)*'Formation Initiale'!$G$2:$G$999)),"yyyy-mm-dd"),"")))))</f>
        <v/>
      </c>
      <c r="F197" s="131" t="str">
        <f aca="false">IF($P197="✓","✓",IF(ISNUMBER($P197),TEXT($P197,"yyyy-mm-dd"),IF($A197="","",IF($D197="Lisbonne","",IF(SUMPRODUCT(('Formation Initiale'!$A$2:$A$999=$A197)*('Formation Initiale'!$R$2:$R$999="Terminé"))&gt;0,"✓",IF(SUMPRODUCT(MAX(('Formation Initiale'!$A$2:$A$999=$A197)*'Formation Initiale'!$G$2:$G$999))&gt;0,TEXT(SUMPRODUCT(MAX(('Formation Initiale'!$A$2:$A$999=$A197)*'Formation Initiale'!$G$2:$G$999)),"yyyy-mm-dd"),""))))))</f>
        <v/>
      </c>
      <c r="G197" s="131" t="str">
        <f aca="false">IF($Q197="✓","✓",IF(ISNUMBER($Q197),TEXT($Q197,"yyyy-mm-dd"),IF($A197="","",IF(SUMPRODUCT(('Agences &amp; Après-vente'!$A$2:$A$1000=$A197)*(('Agences &amp; Après-vente'!$D$2:$D$1000="Agences")+('Agences &amp; Après-vente'!$D$2:$D$1000="Agences et Après-vente"))*('Agences &amp; Après-vente'!$I$2:$I$1000="DONE"))&gt;0,"✓",IF(SUMPRODUCT(MAX(('Agences &amp; Après-vente'!$A$2:$A$1000=$A197)*(('Agences &amp; Après-vente'!$D$2:$D$1000="Agences")+('Agences &amp; Après-vente'!$D$2:$D$1000="Agences et Après-vente"))*'Agences &amp; Après-vente'!$E$2:$E$1000))&gt;0,TEXT(SUMPRODUCT(MAX(('Agences &amp; Après-vente'!$A$2:$A$1000=$A197)*(('Agences &amp; Après-vente'!$D$2:$D$1000="Agences")+('Agences &amp; Après-vente'!$D$2:$D$1000="Agences et Après-vente"))*'Agences &amp; Après-vente'!$E$2:$E$1000)),"yyyy-mm-dd"),"")))))</f>
        <v/>
      </c>
      <c r="H197" s="131" t="str">
        <f aca="false">IF($R197="✓","✓",IF(ISNUMBER($R197),TEXT($R197,"yyyy-mm-dd"),IF($A197="","",IF($D197="Lisbonne","",IF(SUMPRODUCT(('Agences &amp; Après-vente'!$A$2:$A$1000=$A197)*(('Agences &amp; Après-vente'!$D$2:$D$1000="Agences")+('Agences &amp; Après-vente'!$D$2:$D$1000="Agences et Après-vente"))*('Agences &amp; Après-vente'!$I$2:$I$1000="DONE"))&gt;0,"✓",IF(SUMPRODUCT(MAX(('Agences &amp; Après-vente'!$A$2:$A$1000=$A197)*(('Agences &amp; Après-vente'!$D$2:$D$1000="Agences")+('Agences &amp; Après-vente'!$D$2:$D$1000="Agences et Après-vente"))*'Agences &amp; Après-vente'!$E$2:$E$1000))&gt;0,TEXT(SUMPRODUCT(MAX(('Agences &amp; Après-vente'!$A$2:$A$1000=$A197)*(('Agences &amp; Après-vente'!$D$2:$D$1000="Agences")+('Agences &amp; Après-vente'!$D$2:$D$1000="Agences et Après-vente"))*'Agences &amp; Après-vente'!$E$2:$E$1000)),"yyyy-mm-dd"),""))))))</f>
        <v/>
      </c>
      <c r="I197" s="131" t="str">
        <f aca="false">IF($S197="✓","✓",IF(ISNUMBER($S197),TEXT($S197,"yyyy-mm-dd"),IF($A197="","",IF(SUMPRODUCT(('Agences &amp; Après-vente'!$A$2:$A$1000=$A197)*(('Agences &amp; Après-vente'!$D$2:$D$1000="Après-vente")+('Agences &amp; Après-vente'!$D$2:$D$1000="Agences et Après-vente"))*('Agences &amp; Après-vente'!$I$2:$I$1000="DONE"))&gt;0,"✓",IF(SUMPRODUCT(MAX(('Agences &amp; Après-vente'!$A$2:$A$1000=$A197)*(('Agences &amp; Après-vente'!$D$2:$D$1000="Après-vente")+('Agences &amp; Après-vente'!$D$2:$D$1000="Agences et Après-vente"))*'Agences &amp; Après-vente'!$E$2:$E$1000))&gt;0,TEXT(SUMPRODUCT(MAX(('Agences &amp; Après-vente'!$A$2:$A$1000=$A197)*(('Agences &amp; Après-vente'!$D$2:$D$1000="Après-vente")+('Agences &amp; Après-vente'!$D$2:$D$1000="Agences et Après-vente"))*'Agences &amp; Après-vente'!$E$2:$E$1000)),"yyyy-mm-dd"),"")))))</f>
        <v/>
      </c>
      <c r="J197" s="131" t="str">
        <f aca="false">IF($T197="✓","✓",IF(ISNUMBER($T197),TEXT($T197,"yyyy-mm-dd"),IF($A197="","",IF($D197="Lisbonne","",IF(SUMPRODUCT(('Agences &amp; Après-vente'!$A$2:$A$1000=$A197)*(('Agences &amp; Après-vente'!$D$2:$D$1000="Après-vente")+('Agences &amp; Après-vente'!$D$2:$D$1000="Agences et Après-vente"))*('Agences &amp; Après-vente'!$I$2:$I$1000="DONE"))&gt;0,"✓",IF(SUMPRODUCT(MAX(('Agences &amp; Après-vente'!$A$2:$A$1000=$A197)*(('Agences &amp; Après-vente'!$D$2:$D$1000="Après-vente")+('Agences &amp; Après-vente'!$D$2:$D$1000="Agences et Après-vente"))*'Agences &amp; Après-vente'!$E$2:$E$1000))&gt;0,TEXT(SUMPRODUCT(MAX(('Agences &amp; Après-vente'!$A$2:$A$1000=$A197)*(('Agences &amp; Après-vente'!$D$2:$D$1000="Après-vente")+('Agences &amp; Après-vente'!$D$2:$D$1000="Agences et Après-vente"))*'Agences &amp; Après-vente'!$E$2:$E$1000)),"yyyy-mm-dd"),""))))))</f>
        <v/>
      </c>
      <c r="K197" s="131" t="str">
        <f aca="false">IF($U197="✓","✓",IF(ISNUMBER($U197),TEXT($U197,"yyyy-mm-dd"),IF($D197="Lisbonne","",IF($A197="","",IF(SUMPRODUCT((Evermont!$A$2:$A$1000=$A197)*(Evermont!$Q$2:$Q$1000="Terminé"))&gt;0,"✓",IF(SUMPRODUCT(MAX((Evermont!$A$2:$A$1000=$A197)*Evermont!$F$2:$F$1000))&gt;0,TEXT(SUMPRODUCT(MAX((Evermont!$A$2:$A$1000=$A197)*Evermont!$F$2:$F$1000)),"yyyy-mm-dd"),""))))))</f>
        <v/>
      </c>
      <c r="L197" s="131" t="str">
        <f aca="false">IF($A197="","",COUNTIF(E197:K197,"✓"))</f>
        <v/>
      </c>
      <c r="M197" s="131" t="str">
        <f aca="false">IF(B197="","","Active")</f>
        <v/>
      </c>
      <c r="W197" s="120" t="str">
        <f aca="false">IF($A197="","",IF($X197&lt;&gt;"",$X197,IFERROR(INDEX('Formation Initiale'!$B$2:$B$999,MATCH($A197,'Formation Initiale'!$A$2:$A$999,0)),"Général")))</f>
        <v/>
      </c>
    </row>
    <row r="198" customFormat="false" ht="15" hidden="true" customHeight="true" outlineLevel="0" collapsed="false">
      <c r="A198" s="142" t="str">
        <f aca="false">IF(B198="","","TR"&amp;TEXT(ROW()-1,"000"))</f>
        <v/>
      </c>
      <c r="E198" s="130" t="str">
        <f aca="false">IF($O198="✓","✓",IF(ISNUMBER($O198),TEXT($O198,"yyyy-mm-dd"),IF($A198="","",IF(SUMPRODUCT(('Formation Initiale'!$A$2:$A$999=$A198)*('Formation Initiale'!$R$2:$R$999="Terminé"))&gt;0,"✓",IF(SUMPRODUCT(MAX(('Formation Initiale'!$A$2:$A$999=$A198)*'Formation Initiale'!$G$2:$G$999))&gt;0,TEXT(SUMPRODUCT(MAX(('Formation Initiale'!$A$2:$A$999=$A198)*'Formation Initiale'!$G$2:$G$999)),"yyyy-mm-dd"),"")))))</f>
        <v/>
      </c>
      <c r="F198" s="131" t="str">
        <f aca="false">IF($P198="✓","✓",IF(ISNUMBER($P198),TEXT($P198,"yyyy-mm-dd"),IF($A198="","",IF($D198="Lisbonne","",IF(SUMPRODUCT(('Formation Initiale'!$A$2:$A$999=$A198)*('Formation Initiale'!$R$2:$R$999="Terminé"))&gt;0,"✓",IF(SUMPRODUCT(MAX(('Formation Initiale'!$A$2:$A$999=$A198)*'Formation Initiale'!$G$2:$G$999))&gt;0,TEXT(SUMPRODUCT(MAX(('Formation Initiale'!$A$2:$A$999=$A198)*'Formation Initiale'!$G$2:$G$999)),"yyyy-mm-dd"),""))))))</f>
        <v/>
      </c>
      <c r="G198" s="131" t="str">
        <f aca="false">IF($Q198="✓","✓",IF(ISNUMBER($Q198),TEXT($Q198,"yyyy-mm-dd"),IF($A198="","",IF(SUMPRODUCT(('Agences &amp; Après-vente'!$A$2:$A$1000=$A198)*(('Agences &amp; Après-vente'!$D$2:$D$1000="Agences")+('Agences &amp; Après-vente'!$D$2:$D$1000="Agences et Après-vente"))*('Agences &amp; Après-vente'!$I$2:$I$1000="DONE"))&gt;0,"✓",IF(SUMPRODUCT(MAX(('Agences &amp; Après-vente'!$A$2:$A$1000=$A198)*(('Agences &amp; Après-vente'!$D$2:$D$1000="Agences")+('Agences &amp; Après-vente'!$D$2:$D$1000="Agences et Après-vente"))*'Agences &amp; Après-vente'!$E$2:$E$1000))&gt;0,TEXT(SUMPRODUCT(MAX(('Agences &amp; Après-vente'!$A$2:$A$1000=$A198)*(('Agences &amp; Après-vente'!$D$2:$D$1000="Agences")+('Agences &amp; Après-vente'!$D$2:$D$1000="Agences et Après-vente"))*'Agences &amp; Après-vente'!$E$2:$E$1000)),"yyyy-mm-dd"),"")))))</f>
        <v/>
      </c>
      <c r="H198" s="131" t="str">
        <f aca="false">IF($R198="✓","✓",IF(ISNUMBER($R198),TEXT($R198,"yyyy-mm-dd"),IF($A198="","",IF($D198="Lisbonne","",IF(SUMPRODUCT(('Agences &amp; Après-vente'!$A$2:$A$1000=$A198)*(('Agences &amp; Après-vente'!$D$2:$D$1000="Agences")+('Agences &amp; Après-vente'!$D$2:$D$1000="Agences et Après-vente"))*('Agences &amp; Après-vente'!$I$2:$I$1000="DONE"))&gt;0,"✓",IF(SUMPRODUCT(MAX(('Agences &amp; Après-vente'!$A$2:$A$1000=$A198)*(('Agences &amp; Après-vente'!$D$2:$D$1000="Agences")+('Agences &amp; Après-vente'!$D$2:$D$1000="Agences et Après-vente"))*'Agences &amp; Après-vente'!$E$2:$E$1000))&gt;0,TEXT(SUMPRODUCT(MAX(('Agences &amp; Après-vente'!$A$2:$A$1000=$A198)*(('Agences &amp; Après-vente'!$D$2:$D$1000="Agences")+('Agences &amp; Après-vente'!$D$2:$D$1000="Agences et Après-vente"))*'Agences &amp; Après-vente'!$E$2:$E$1000)),"yyyy-mm-dd"),""))))))</f>
        <v/>
      </c>
      <c r="I198" s="131" t="str">
        <f aca="false">IF($S198="✓","✓",IF(ISNUMBER($S198),TEXT($S198,"yyyy-mm-dd"),IF($A198="","",IF(SUMPRODUCT(('Agences &amp; Après-vente'!$A$2:$A$1000=$A198)*(('Agences &amp; Après-vente'!$D$2:$D$1000="Après-vente")+('Agences &amp; Après-vente'!$D$2:$D$1000="Agences et Après-vente"))*('Agences &amp; Après-vente'!$I$2:$I$1000="DONE"))&gt;0,"✓",IF(SUMPRODUCT(MAX(('Agences &amp; Après-vente'!$A$2:$A$1000=$A198)*(('Agences &amp; Après-vente'!$D$2:$D$1000="Après-vente")+('Agences &amp; Après-vente'!$D$2:$D$1000="Agences et Après-vente"))*'Agences &amp; Après-vente'!$E$2:$E$1000))&gt;0,TEXT(SUMPRODUCT(MAX(('Agences &amp; Après-vente'!$A$2:$A$1000=$A198)*(('Agences &amp; Après-vente'!$D$2:$D$1000="Après-vente")+('Agences &amp; Après-vente'!$D$2:$D$1000="Agences et Après-vente"))*'Agences &amp; Après-vente'!$E$2:$E$1000)),"yyyy-mm-dd"),"")))))</f>
        <v/>
      </c>
      <c r="J198" s="131" t="str">
        <f aca="false">IF($T198="✓","✓",IF(ISNUMBER($T198),TEXT($T198,"yyyy-mm-dd"),IF($A198="","",IF($D198="Lisbonne","",IF(SUMPRODUCT(('Agences &amp; Après-vente'!$A$2:$A$1000=$A198)*(('Agences &amp; Après-vente'!$D$2:$D$1000="Après-vente")+('Agences &amp; Après-vente'!$D$2:$D$1000="Agences et Après-vente"))*('Agences &amp; Après-vente'!$I$2:$I$1000="DONE"))&gt;0,"✓",IF(SUMPRODUCT(MAX(('Agences &amp; Après-vente'!$A$2:$A$1000=$A198)*(('Agences &amp; Après-vente'!$D$2:$D$1000="Après-vente")+('Agences &amp; Après-vente'!$D$2:$D$1000="Agences et Après-vente"))*'Agences &amp; Après-vente'!$E$2:$E$1000))&gt;0,TEXT(SUMPRODUCT(MAX(('Agences &amp; Après-vente'!$A$2:$A$1000=$A198)*(('Agences &amp; Après-vente'!$D$2:$D$1000="Après-vente")+('Agences &amp; Après-vente'!$D$2:$D$1000="Agences et Après-vente"))*'Agences &amp; Après-vente'!$E$2:$E$1000)),"yyyy-mm-dd"),""))))))</f>
        <v/>
      </c>
      <c r="K198" s="131" t="str">
        <f aca="false">IF($U198="✓","✓",IF(ISNUMBER($U198),TEXT($U198,"yyyy-mm-dd"),IF($D198="Lisbonne","",IF($A198="","",IF(SUMPRODUCT((Evermont!$A$2:$A$1000=$A198)*(Evermont!$Q$2:$Q$1000="Terminé"))&gt;0,"✓",IF(SUMPRODUCT(MAX((Evermont!$A$2:$A$1000=$A198)*Evermont!$F$2:$F$1000))&gt;0,TEXT(SUMPRODUCT(MAX((Evermont!$A$2:$A$1000=$A198)*Evermont!$F$2:$F$1000)),"yyyy-mm-dd"),""))))))</f>
        <v/>
      </c>
      <c r="L198" s="131" t="str">
        <f aca="false">IF($A198="","",COUNTIF(E198:K198,"✓"))</f>
        <v/>
      </c>
      <c r="M198" s="131" t="str">
        <f aca="false">IF(B198="","","Active")</f>
        <v/>
      </c>
      <c r="W198" s="120" t="str">
        <f aca="false">IF($A198="","",IF($X198&lt;&gt;"",$X198,IFERROR(INDEX('Formation Initiale'!$B$2:$B$999,MATCH($A198,'Formation Initiale'!$A$2:$A$999,0)),"Général")))</f>
        <v/>
      </c>
    </row>
    <row r="199" customFormat="false" ht="15" hidden="true" customHeight="true" outlineLevel="0" collapsed="false">
      <c r="A199" s="142" t="str">
        <f aca="false">IF(B199="","","TR"&amp;TEXT(ROW()-1,"000"))</f>
        <v/>
      </c>
      <c r="E199" s="130" t="str">
        <f aca="false">IF($O199="✓","✓",IF(ISNUMBER($O199),TEXT($O199,"yyyy-mm-dd"),IF($A199="","",IF(SUMPRODUCT(('Formation Initiale'!$A$2:$A$999=$A199)*('Formation Initiale'!$R$2:$R$999="Terminé"))&gt;0,"✓",IF(SUMPRODUCT(MAX(('Formation Initiale'!$A$2:$A$999=$A199)*'Formation Initiale'!$G$2:$G$999))&gt;0,TEXT(SUMPRODUCT(MAX(('Formation Initiale'!$A$2:$A$999=$A199)*'Formation Initiale'!$G$2:$G$999)),"yyyy-mm-dd"),"")))))</f>
        <v/>
      </c>
      <c r="F199" s="131" t="str">
        <f aca="false">IF($P199="✓","✓",IF(ISNUMBER($P199),TEXT($P199,"yyyy-mm-dd"),IF($A199="","",IF($D199="Lisbonne","",IF(SUMPRODUCT(('Formation Initiale'!$A$2:$A$999=$A199)*('Formation Initiale'!$R$2:$R$999="Terminé"))&gt;0,"✓",IF(SUMPRODUCT(MAX(('Formation Initiale'!$A$2:$A$999=$A199)*'Formation Initiale'!$G$2:$G$999))&gt;0,TEXT(SUMPRODUCT(MAX(('Formation Initiale'!$A$2:$A$999=$A199)*'Formation Initiale'!$G$2:$G$999)),"yyyy-mm-dd"),""))))))</f>
        <v/>
      </c>
      <c r="G199" s="131" t="str">
        <f aca="false">IF($Q199="✓","✓",IF(ISNUMBER($Q199),TEXT($Q199,"yyyy-mm-dd"),IF($A199="","",IF(SUMPRODUCT(('Agences &amp; Après-vente'!$A$2:$A$1000=$A199)*(('Agences &amp; Après-vente'!$D$2:$D$1000="Agences")+('Agences &amp; Après-vente'!$D$2:$D$1000="Agences et Après-vente"))*('Agences &amp; Après-vente'!$I$2:$I$1000="DONE"))&gt;0,"✓",IF(SUMPRODUCT(MAX(('Agences &amp; Après-vente'!$A$2:$A$1000=$A199)*(('Agences &amp; Après-vente'!$D$2:$D$1000="Agences")+('Agences &amp; Après-vente'!$D$2:$D$1000="Agences et Après-vente"))*'Agences &amp; Après-vente'!$E$2:$E$1000))&gt;0,TEXT(SUMPRODUCT(MAX(('Agences &amp; Après-vente'!$A$2:$A$1000=$A199)*(('Agences &amp; Après-vente'!$D$2:$D$1000="Agences")+('Agences &amp; Après-vente'!$D$2:$D$1000="Agences et Après-vente"))*'Agences &amp; Après-vente'!$E$2:$E$1000)),"yyyy-mm-dd"),"")))))</f>
        <v/>
      </c>
      <c r="H199" s="131" t="str">
        <f aca="false">IF($R199="✓","✓",IF(ISNUMBER($R199),TEXT($R199,"yyyy-mm-dd"),IF($A199="","",IF($D199="Lisbonne","",IF(SUMPRODUCT(('Agences &amp; Après-vente'!$A$2:$A$1000=$A199)*(('Agences &amp; Après-vente'!$D$2:$D$1000="Agences")+('Agences &amp; Après-vente'!$D$2:$D$1000="Agences et Après-vente"))*('Agences &amp; Après-vente'!$I$2:$I$1000="DONE"))&gt;0,"✓",IF(SUMPRODUCT(MAX(('Agences &amp; Après-vente'!$A$2:$A$1000=$A199)*(('Agences &amp; Après-vente'!$D$2:$D$1000="Agences")+('Agences &amp; Après-vente'!$D$2:$D$1000="Agences et Après-vente"))*'Agences &amp; Après-vente'!$E$2:$E$1000))&gt;0,TEXT(SUMPRODUCT(MAX(('Agences &amp; Après-vente'!$A$2:$A$1000=$A199)*(('Agences &amp; Après-vente'!$D$2:$D$1000="Agences")+('Agences &amp; Après-vente'!$D$2:$D$1000="Agences et Après-vente"))*'Agences &amp; Après-vente'!$E$2:$E$1000)),"yyyy-mm-dd"),""))))))</f>
        <v/>
      </c>
      <c r="I199" s="131" t="str">
        <f aca="false">IF($S199="✓","✓",IF(ISNUMBER($S199),TEXT($S199,"yyyy-mm-dd"),IF($A199="","",IF(SUMPRODUCT(('Agences &amp; Après-vente'!$A$2:$A$1000=$A199)*(('Agences &amp; Après-vente'!$D$2:$D$1000="Après-vente")+('Agences &amp; Après-vente'!$D$2:$D$1000="Agences et Après-vente"))*('Agences &amp; Après-vente'!$I$2:$I$1000="DONE"))&gt;0,"✓",IF(SUMPRODUCT(MAX(('Agences &amp; Après-vente'!$A$2:$A$1000=$A199)*(('Agences &amp; Après-vente'!$D$2:$D$1000="Après-vente")+('Agences &amp; Après-vente'!$D$2:$D$1000="Agences et Après-vente"))*'Agences &amp; Après-vente'!$E$2:$E$1000))&gt;0,TEXT(SUMPRODUCT(MAX(('Agences &amp; Après-vente'!$A$2:$A$1000=$A199)*(('Agences &amp; Après-vente'!$D$2:$D$1000="Après-vente")+('Agences &amp; Après-vente'!$D$2:$D$1000="Agences et Après-vente"))*'Agences &amp; Après-vente'!$E$2:$E$1000)),"yyyy-mm-dd"),"")))))</f>
        <v/>
      </c>
      <c r="J199" s="131" t="str">
        <f aca="false">IF($T199="✓","✓",IF(ISNUMBER($T199),TEXT($T199,"yyyy-mm-dd"),IF($A199="","",IF($D199="Lisbonne","",IF(SUMPRODUCT(('Agences &amp; Après-vente'!$A$2:$A$1000=$A199)*(('Agences &amp; Après-vente'!$D$2:$D$1000="Après-vente")+('Agences &amp; Après-vente'!$D$2:$D$1000="Agences et Après-vente"))*('Agences &amp; Après-vente'!$I$2:$I$1000="DONE"))&gt;0,"✓",IF(SUMPRODUCT(MAX(('Agences &amp; Après-vente'!$A$2:$A$1000=$A199)*(('Agences &amp; Après-vente'!$D$2:$D$1000="Après-vente")+('Agences &amp; Après-vente'!$D$2:$D$1000="Agences et Après-vente"))*'Agences &amp; Après-vente'!$E$2:$E$1000))&gt;0,TEXT(SUMPRODUCT(MAX(('Agences &amp; Après-vente'!$A$2:$A$1000=$A199)*(('Agences &amp; Après-vente'!$D$2:$D$1000="Après-vente")+('Agences &amp; Après-vente'!$D$2:$D$1000="Agences et Après-vente"))*'Agences &amp; Après-vente'!$E$2:$E$1000)),"yyyy-mm-dd"),""))))))</f>
        <v/>
      </c>
      <c r="K199" s="131" t="str">
        <f aca="false">IF($U199="✓","✓",IF(ISNUMBER($U199),TEXT($U199,"yyyy-mm-dd"),IF($D199="Lisbonne","",IF($A199="","",IF(SUMPRODUCT((Evermont!$A$2:$A$1000=$A199)*(Evermont!$Q$2:$Q$1000="Terminé"))&gt;0,"✓",IF(SUMPRODUCT(MAX((Evermont!$A$2:$A$1000=$A199)*Evermont!$F$2:$F$1000))&gt;0,TEXT(SUMPRODUCT(MAX((Evermont!$A$2:$A$1000=$A199)*Evermont!$F$2:$F$1000)),"yyyy-mm-dd"),""))))))</f>
        <v/>
      </c>
      <c r="L199" s="131" t="str">
        <f aca="false">IF($A199="","",COUNTIF(E199:K199,"✓"))</f>
        <v/>
      </c>
      <c r="M199" s="131" t="str">
        <f aca="false">IF(B199="","","Active")</f>
        <v/>
      </c>
      <c r="W199" s="120" t="str">
        <f aca="false">IF($A199="","",IF($X199&lt;&gt;"",$X199,IFERROR(INDEX('Formation Initiale'!$B$2:$B$999,MATCH($A199,'Formation Initiale'!$A$2:$A$999,0)),"Général")))</f>
        <v/>
      </c>
    </row>
    <row r="200" customFormat="false" ht="15" hidden="true" customHeight="true" outlineLevel="0" collapsed="false">
      <c r="A200" s="142" t="str">
        <f aca="false">IF(B200="","","TR"&amp;TEXT(ROW()-1,"000"))</f>
        <v/>
      </c>
      <c r="E200" s="130" t="str">
        <f aca="false">IF($O200="✓","✓",IF(ISNUMBER($O200),TEXT($O200,"yyyy-mm-dd"),IF($A200="","",IF(SUMPRODUCT(('Formation Initiale'!$A$2:$A$999=$A200)*('Formation Initiale'!$R$2:$R$999="Terminé"))&gt;0,"✓",IF(SUMPRODUCT(MAX(('Formation Initiale'!$A$2:$A$999=$A200)*'Formation Initiale'!$G$2:$G$999))&gt;0,TEXT(SUMPRODUCT(MAX(('Formation Initiale'!$A$2:$A$999=$A200)*'Formation Initiale'!$G$2:$G$999)),"yyyy-mm-dd"),"")))))</f>
        <v/>
      </c>
      <c r="F200" s="131" t="str">
        <f aca="false">IF($P200="✓","✓",IF(ISNUMBER($P200),TEXT($P200,"yyyy-mm-dd"),IF($A200="","",IF($D200="Lisbonne","",IF(SUMPRODUCT(('Formation Initiale'!$A$2:$A$999=$A200)*('Formation Initiale'!$R$2:$R$999="Terminé"))&gt;0,"✓",IF(SUMPRODUCT(MAX(('Formation Initiale'!$A$2:$A$999=$A200)*'Formation Initiale'!$G$2:$G$999))&gt;0,TEXT(SUMPRODUCT(MAX(('Formation Initiale'!$A$2:$A$999=$A200)*'Formation Initiale'!$G$2:$G$999)),"yyyy-mm-dd"),""))))))</f>
        <v/>
      </c>
      <c r="G200" s="131" t="str">
        <f aca="false">IF($Q200="✓","✓",IF(ISNUMBER($Q200),TEXT($Q200,"yyyy-mm-dd"),IF($A200="","",IF(SUMPRODUCT(('Agences &amp; Après-vente'!$A$2:$A$1000=$A200)*(('Agences &amp; Après-vente'!$D$2:$D$1000="Agences")+('Agences &amp; Après-vente'!$D$2:$D$1000="Agences et Après-vente"))*('Agences &amp; Après-vente'!$I$2:$I$1000="DONE"))&gt;0,"✓",IF(SUMPRODUCT(MAX(('Agences &amp; Après-vente'!$A$2:$A$1000=$A200)*(('Agences &amp; Après-vente'!$D$2:$D$1000="Agences")+('Agences &amp; Après-vente'!$D$2:$D$1000="Agences et Après-vente"))*'Agences &amp; Après-vente'!$E$2:$E$1000))&gt;0,TEXT(SUMPRODUCT(MAX(('Agences &amp; Après-vente'!$A$2:$A$1000=$A200)*(('Agences &amp; Après-vente'!$D$2:$D$1000="Agences")+('Agences &amp; Après-vente'!$D$2:$D$1000="Agences et Après-vente"))*'Agences &amp; Après-vente'!$E$2:$E$1000)),"yyyy-mm-dd"),"")))))</f>
        <v/>
      </c>
      <c r="H200" s="131" t="str">
        <f aca="false">IF($R200="✓","✓",IF(ISNUMBER($R200),TEXT($R200,"yyyy-mm-dd"),IF($A200="","",IF($D200="Lisbonne","",IF(SUMPRODUCT(('Agences &amp; Après-vente'!$A$2:$A$1000=$A200)*(('Agences &amp; Après-vente'!$D$2:$D$1000="Agences")+('Agences &amp; Après-vente'!$D$2:$D$1000="Agences et Après-vente"))*('Agences &amp; Après-vente'!$I$2:$I$1000="DONE"))&gt;0,"✓",IF(SUMPRODUCT(MAX(('Agences &amp; Après-vente'!$A$2:$A$1000=$A200)*(('Agences &amp; Après-vente'!$D$2:$D$1000="Agences")+('Agences &amp; Après-vente'!$D$2:$D$1000="Agences et Après-vente"))*'Agences &amp; Après-vente'!$E$2:$E$1000))&gt;0,TEXT(SUMPRODUCT(MAX(('Agences &amp; Après-vente'!$A$2:$A$1000=$A200)*(('Agences &amp; Après-vente'!$D$2:$D$1000="Agences")+('Agences &amp; Après-vente'!$D$2:$D$1000="Agences et Après-vente"))*'Agences &amp; Après-vente'!$E$2:$E$1000)),"yyyy-mm-dd"),""))))))</f>
        <v/>
      </c>
      <c r="I200" s="131" t="str">
        <f aca="false">IF($S200="✓","✓",IF(ISNUMBER($S200),TEXT($S200,"yyyy-mm-dd"),IF($A200="","",IF(SUMPRODUCT(('Agences &amp; Après-vente'!$A$2:$A$1000=$A200)*(('Agences &amp; Après-vente'!$D$2:$D$1000="Après-vente")+('Agences &amp; Après-vente'!$D$2:$D$1000="Agences et Après-vente"))*('Agences &amp; Après-vente'!$I$2:$I$1000="DONE"))&gt;0,"✓",IF(SUMPRODUCT(MAX(('Agences &amp; Après-vente'!$A$2:$A$1000=$A200)*(('Agences &amp; Après-vente'!$D$2:$D$1000="Après-vente")+('Agences &amp; Après-vente'!$D$2:$D$1000="Agences et Après-vente"))*'Agences &amp; Après-vente'!$E$2:$E$1000))&gt;0,TEXT(SUMPRODUCT(MAX(('Agences &amp; Après-vente'!$A$2:$A$1000=$A200)*(('Agences &amp; Après-vente'!$D$2:$D$1000="Après-vente")+('Agences &amp; Après-vente'!$D$2:$D$1000="Agences et Après-vente"))*'Agences &amp; Après-vente'!$E$2:$E$1000)),"yyyy-mm-dd"),"")))))</f>
        <v/>
      </c>
      <c r="J200" s="131" t="str">
        <f aca="false">IF($T200="✓","✓",IF(ISNUMBER($T200),TEXT($T200,"yyyy-mm-dd"),IF($A200="","",IF($D200="Lisbonne","",IF(SUMPRODUCT(('Agences &amp; Après-vente'!$A$2:$A$1000=$A200)*(('Agences &amp; Après-vente'!$D$2:$D$1000="Après-vente")+('Agences &amp; Après-vente'!$D$2:$D$1000="Agences et Après-vente"))*('Agences &amp; Après-vente'!$I$2:$I$1000="DONE"))&gt;0,"✓",IF(SUMPRODUCT(MAX(('Agences &amp; Après-vente'!$A$2:$A$1000=$A200)*(('Agences &amp; Après-vente'!$D$2:$D$1000="Après-vente")+('Agences &amp; Après-vente'!$D$2:$D$1000="Agences et Après-vente"))*'Agences &amp; Après-vente'!$E$2:$E$1000))&gt;0,TEXT(SUMPRODUCT(MAX(('Agences &amp; Après-vente'!$A$2:$A$1000=$A200)*(('Agences &amp; Après-vente'!$D$2:$D$1000="Après-vente")+('Agences &amp; Après-vente'!$D$2:$D$1000="Agences et Après-vente"))*'Agences &amp; Après-vente'!$E$2:$E$1000)),"yyyy-mm-dd"),""))))))</f>
        <v/>
      </c>
      <c r="K200" s="131" t="str">
        <f aca="false">IF($U200="✓","✓",IF(ISNUMBER($U200),TEXT($U200,"yyyy-mm-dd"),IF($D200="Lisbonne","",IF($A200="","",IF(SUMPRODUCT((Evermont!$A$2:$A$1000=$A200)*(Evermont!$Q$2:$Q$1000="Terminé"))&gt;0,"✓",IF(SUMPRODUCT(MAX((Evermont!$A$2:$A$1000=$A200)*Evermont!$F$2:$F$1000))&gt;0,TEXT(SUMPRODUCT(MAX((Evermont!$A$2:$A$1000=$A200)*Evermont!$F$2:$F$1000)),"yyyy-mm-dd"),""))))))</f>
        <v/>
      </c>
      <c r="L200" s="131" t="str">
        <f aca="false">IF($A200="","",COUNTIF(E200:K200,"✓"))</f>
        <v/>
      </c>
      <c r="M200" s="131" t="str">
        <f aca="false">IF(B200="","","Active")</f>
        <v/>
      </c>
      <c r="W200" s="120" t="str">
        <f aca="false">IF($A200="","",IF($X200&lt;&gt;"",$X200,IFERROR(INDEX('Formation Initiale'!$B$2:$B$999,MATCH($A200,'Formation Initiale'!$A$2:$A$999,0)),"Général")))</f>
        <v/>
      </c>
    </row>
    <row r="201" customFormat="false" ht="15" hidden="true" customHeight="true" outlineLevel="0" collapsed="false">
      <c r="A201" s="142" t="str">
        <f aca="false">IF(B201="","","TR"&amp;TEXT(ROW()-1,"000"))</f>
        <v/>
      </c>
      <c r="E201" s="130" t="str">
        <f aca="false">IF($O201="✓","✓",IF(ISNUMBER($O201),TEXT($O201,"yyyy-mm-dd"),IF($A201="","",IF(SUMPRODUCT(('Formation Initiale'!$A$2:$A$999=$A201)*('Formation Initiale'!$R$2:$R$999="Terminé"))&gt;0,"✓",IF(SUMPRODUCT(MAX(('Formation Initiale'!$A$2:$A$999=$A201)*'Formation Initiale'!$G$2:$G$999))&gt;0,TEXT(SUMPRODUCT(MAX(('Formation Initiale'!$A$2:$A$999=$A201)*'Formation Initiale'!$G$2:$G$999)),"yyyy-mm-dd"),"")))))</f>
        <v/>
      </c>
      <c r="F201" s="131" t="str">
        <f aca="false">IF($P201="✓","✓",IF(ISNUMBER($P201),TEXT($P201,"yyyy-mm-dd"),IF($A201="","",IF($D201="Lisbonne","",IF(SUMPRODUCT(('Formation Initiale'!$A$2:$A$999=$A201)*('Formation Initiale'!$R$2:$R$999="Terminé"))&gt;0,"✓",IF(SUMPRODUCT(MAX(('Formation Initiale'!$A$2:$A$999=$A201)*'Formation Initiale'!$G$2:$G$999))&gt;0,TEXT(SUMPRODUCT(MAX(('Formation Initiale'!$A$2:$A$999=$A201)*'Formation Initiale'!$G$2:$G$999)),"yyyy-mm-dd"),""))))))</f>
        <v/>
      </c>
      <c r="G201" s="131" t="str">
        <f aca="false">IF($Q201="✓","✓",IF(ISNUMBER($Q201),TEXT($Q201,"yyyy-mm-dd"),IF($A201="","",IF(SUMPRODUCT(('Agences &amp; Après-vente'!$A$2:$A$1000=$A201)*(('Agences &amp; Après-vente'!$D$2:$D$1000="Agences")+('Agences &amp; Après-vente'!$D$2:$D$1000="Agences et Après-vente"))*('Agences &amp; Après-vente'!$I$2:$I$1000="DONE"))&gt;0,"✓",IF(SUMPRODUCT(MAX(('Agences &amp; Après-vente'!$A$2:$A$1000=$A201)*(('Agences &amp; Après-vente'!$D$2:$D$1000="Agences")+('Agences &amp; Après-vente'!$D$2:$D$1000="Agences et Après-vente"))*'Agences &amp; Après-vente'!$E$2:$E$1000))&gt;0,TEXT(SUMPRODUCT(MAX(('Agences &amp; Après-vente'!$A$2:$A$1000=$A201)*(('Agences &amp; Après-vente'!$D$2:$D$1000="Agences")+('Agences &amp; Après-vente'!$D$2:$D$1000="Agences et Après-vente"))*'Agences &amp; Après-vente'!$E$2:$E$1000)),"yyyy-mm-dd"),"")))))</f>
        <v/>
      </c>
      <c r="H201" s="131" t="str">
        <f aca="false">IF($R201="✓","✓",IF(ISNUMBER($R201),TEXT($R201,"yyyy-mm-dd"),IF($A201="","",IF($D201="Lisbonne","",IF(SUMPRODUCT(('Agences &amp; Après-vente'!$A$2:$A$1000=$A201)*(('Agences &amp; Après-vente'!$D$2:$D$1000="Agences")+('Agences &amp; Après-vente'!$D$2:$D$1000="Agences et Après-vente"))*('Agences &amp; Après-vente'!$I$2:$I$1000="DONE"))&gt;0,"✓",IF(SUMPRODUCT(MAX(('Agences &amp; Après-vente'!$A$2:$A$1000=$A201)*(('Agences &amp; Après-vente'!$D$2:$D$1000="Agences")+('Agences &amp; Après-vente'!$D$2:$D$1000="Agences et Après-vente"))*'Agences &amp; Après-vente'!$E$2:$E$1000))&gt;0,TEXT(SUMPRODUCT(MAX(('Agences &amp; Après-vente'!$A$2:$A$1000=$A201)*(('Agences &amp; Après-vente'!$D$2:$D$1000="Agences")+('Agences &amp; Après-vente'!$D$2:$D$1000="Agences et Après-vente"))*'Agences &amp; Après-vente'!$E$2:$E$1000)),"yyyy-mm-dd"),""))))))</f>
        <v/>
      </c>
      <c r="I201" s="131" t="str">
        <f aca="false">IF($S201="✓","✓",IF(ISNUMBER($S201),TEXT($S201,"yyyy-mm-dd"),IF($A201="","",IF(SUMPRODUCT(('Agences &amp; Après-vente'!$A$2:$A$1000=$A201)*(('Agences &amp; Après-vente'!$D$2:$D$1000="Après-vente")+('Agences &amp; Après-vente'!$D$2:$D$1000="Agences et Après-vente"))*('Agences &amp; Après-vente'!$I$2:$I$1000="DONE"))&gt;0,"✓",IF(SUMPRODUCT(MAX(('Agences &amp; Après-vente'!$A$2:$A$1000=$A201)*(('Agences &amp; Après-vente'!$D$2:$D$1000="Après-vente")+('Agences &amp; Après-vente'!$D$2:$D$1000="Agences et Après-vente"))*'Agences &amp; Après-vente'!$E$2:$E$1000))&gt;0,TEXT(SUMPRODUCT(MAX(('Agences &amp; Après-vente'!$A$2:$A$1000=$A201)*(('Agences &amp; Après-vente'!$D$2:$D$1000="Après-vente")+('Agences &amp; Après-vente'!$D$2:$D$1000="Agences et Après-vente"))*'Agences &amp; Après-vente'!$E$2:$E$1000)),"yyyy-mm-dd"),"")))))</f>
        <v/>
      </c>
      <c r="J201" s="131" t="str">
        <f aca="false">IF($T201="✓","✓",IF(ISNUMBER($T201),TEXT($T201,"yyyy-mm-dd"),IF($A201="","",IF($D201="Lisbonne","",IF(SUMPRODUCT(('Agences &amp; Après-vente'!$A$2:$A$1000=$A201)*(('Agences &amp; Après-vente'!$D$2:$D$1000="Après-vente")+('Agences &amp; Après-vente'!$D$2:$D$1000="Agences et Après-vente"))*('Agences &amp; Après-vente'!$I$2:$I$1000="DONE"))&gt;0,"✓",IF(SUMPRODUCT(MAX(('Agences &amp; Après-vente'!$A$2:$A$1000=$A201)*(('Agences &amp; Après-vente'!$D$2:$D$1000="Après-vente")+('Agences &amp; Après-vente'!$D$2:$D$1000="Agences et Après-vente"))*'Agences &amp; Après-vente'!$E$2:$E$1000))&gt;0,TEXT(SUMPRODUCT(MAX(('Agences &amp; Après-vente'!$A$2:$A$1000=$A201)*(('Agences &amp; Après-vente'!$D$2:$D$1000="Après-vente")+('Agences &amp; Après-vente'!$D$2:$D$1000="Agences et Après-vente"))*'Agences &amp; Après-vente'!$E$2:$E$1000)),"yyyy-mm-dd"),""))))))</f>
        <v/>
      </c>
      <c r="K201" s="131" t="str">
        <f aca="false">IF($U201="✓","✓",IF(ISNUMBER($U201),TEXT($U201,"yyyy-mm-dd"),IF($D201="Lisbonne","",IF($A201="","",IF(SUMPRODUCT((Evermont!$A$2:$A$1000=$A201)*(Evermont!$Q$2:$Q$1000="Terminé"))&gt;0,"✓",IF(SUMPRODUCT(MAX((Evermont!$A$2:$A$1000=$A201)*Evermont!$F$2:$F$1000))&gt;0,TEXT(SUMPRODUCT(MAX((Evermont!$A$2:$A$1000=$A201)*Evermont!$F$2:$F$1000)),"yyyy-mm-dd"),""))))))</f>
        <v/>
      </c>
      <c r="L201" s="131" t="str">
        <f aca="false">IF($A201="","",COUNTIF(E201:K201,"✓"))</f>
        <v/>
      </c>
      <c r="M201" s="131" t="str">
        <f aca="false">IF(B201="","","Active")</f>
        <v/>
      </c>
      <c r="W201" s="120" t="str">
        <f aca="false">IF($A201="","",IF($X201&lt;&gt;"",$X201,IFERROR(INDEX('Formation Initiale'!$B$2:$B$999,MATCH($A201,'Formation Initiale'!$A$2:$A$999,0)),"Général")))</f>
        <v/>
      </c>
    </row>
    <row r="202" customFormat="false" ht="15" hidden="true" customHeight="true" outlineLevel="0" collapsed="false">
      <c r="A202" s="142" t="str">
        <f aca="false">IF(B202="","","TR"&amp;TEXT(ROW()-1,"000"))</f>
        <v/>
      </c>
      <c r="E202" s="130" t="str">
        <f aca="false">IF($O202="✓","✓",IF(ISNUMBER($O202),TEXT($O202,"yyyy-mm-dd"),IF($A202="","",IF(SUMPRODUCT(('Formation Initiale'!$A$2:$A$999=$A202)*('Formation Initiale'!$R$2:$R$999="Terminé"))&gt;0,"✓",IF(SUMPRODUCT(MAX(('Formation Initiale'!$A$2:$A$999=$A202)*'Formation Initiale'!$G$2:$G$999))&gt;0,TEXT(SUMPRODUCT(MAX(('Formation Initiale'!$A$2:$A$999=$A202)*'Formation Initiale'!$G$2:$G$999)),"yyyy-mm-dd"),"")))))</f>
        <v/>
      </c>
      <c r="F202" s="131" t="str">
        <f aca="false">IF($P202="✓","✓",IF(ISNUMBER($P202),TEXT($P202,"yyyy-mm-dd"),IF($A202="","",IF($D202="Lisbonne","",IF(SUMPRODUCT(('Formation Initiale'!$A$2:$A$999=$A202)*('Formation Initiale'!$R$2:$R$999="Terminé"))&gt;0,"✓",IF(SUMPRODUCT(MAX(('Formation Initiale'!$A$2:$A$999=$A202)*'Formation Initiale'!$G$2:$G$999))&gt;0,TEXT(SUMPRODUCT(MAX(('Formation Initiale'!$A$2:$A$999=$A202)*'Formation Initiale'!$G$2:$G$999)),"yyyy-mm-dd"),""))))))</f>
        <v/>
      </c>
      <c r="G202" s="131" t="str">
        <f aca="false">IF($Q202="✓","✓",IF(ISNUMBER($Q202),TEXT($Q202,"yyyy-mm-dd"),IF($A202="","",IF(SUMPRODUCT(('Agences &amp; Après-vente'!$A$2:$A$1000=$A202)*(('Agences &amp; Après-vente'!$D$2:$D$1000="Agences")+('Agences &amp; Après-vente'!$D$2:$D$1000="Agences et Après-vente"))*('Agences &amp; Après-vente'!$I$2:$I$1000="DONE"))&gt;0,"✓",IF(SUMPRODUCT(MAX(('Agences &amp; Après-vente'!$A$2:$A$1000=$A202)*(('Agences &amp; Après-vente'!$D$2:$D$1000="Agences")+('Agences &amp; Après-vente'!$D$2:$D$1000="Agences et Après-vente"))*'Agences &amp; Après-vente'!$E$2:$E$1000))&gt;0,TEXT(SUMPRODUCT(MAX(('Agences &amp; Après-vente'!$A$2:$A$1000=$A202)*(('Agences &amp; Après-vente'!$D$2:$D$1000="Agences")+('Agences &amp; Après-vente'!$D$2:$D$1000="Agences et Après-vente"))*'Agences &amp; Après-vente'!$E$2:$E$1000)),"yyyy-mm-dd"),"")))))</f>
        <v/>
      </c>
      <c r="H202" s="131" t="str">
        <f aca="false">IF($R202="✓","✓",IF(ISNUMBER($R202),TEXT($R202,"yyyy-mm-dd"),IF($A202="","",IF($D202="Lisbonne","",IF(SUMPRODUCT(('Agences &amp; Après-vente'!$A$2:$A$1000=$A202)*(('Agences &amp; Après-vente'!$D$2:$D$1000="Agences")+('Agences &amp; Après-vente'!$D$2:$D$1000="Agences et Après-vente"))*('Agences &amp; Après-vente'!$I$2:$I$1000="DONE"))&gt;0,"✓",IF(SUMPRODUCT(MAX(('Agences &amp; Après-vente'!$A$2:$A$1000=$A202)*(('Agences &amp; Après-vente'!$D$2:$D$1000="Agences")+('Agences &amp; Après-vente'!$D$2:$D$1000="Agences et Après-vente"))*'Agences &amp; Après-vente'!$E$2:$E$1000))&gt;0,TEXT(SUMPRODUCT(MAX(('Agences &amp; Après-vente'!$A$2:$A$1000=$A202)*(('Agences &amp; Après-vente'!$D$2:$D$1000="Agences")+('Agences &amp; Après-vente'!$D$2:$D$1000="Agences et Après-vente"))*'Agences &amp; Après-vente'!$E$2:$E$1000)),"yyyy-mm-dd"),""))))))</f>
        <v/>
      </c>
      <c r="I202" s="131" t="str">
        <f aca="false">IF($S202="✓","✓",IF(ISNUMBER($S202),TEXT($S202,"yyyy-mm-dd"),IF($A202="","",IF(SUMPRODUCT(('Agences &amp; Après-vente'!$A$2:$A$1000=$A202)*(('Agences &amp; Après-vente'!$D$2:$D$1000="Après-vente")+('Agences &amp; Après-vente'!$D$2:$D$1000="Agences et Après-vente"))*('Agences &amp; Après-vente'!$I$2:$I$1000="DONE"))&gt;0,"✓",IF(SUMPRODUCT(MAX(('Agences &amp; Après-vente'!$A$2:$A$1000=$A202)*(('Agences &amp; Après-vente'!$D$2:$D$1000="Après-vente")+('Agences &amp; Après-vente'!$D$2:$D$1000="Agences et Après-vente"))*'Agences &amp; Après-vente'!$E$2:$E$1000))&gt;0,TEXT(SUMPRODUCT(MAX(('Agences &amp; Après-vente'!$A$2:$A$1000=$A202)*(('Agences &amp; Après-vente'!$D$2:$D$1000="Après-vente")+('Agences &amp; Après-vente'!$D$2:$D$1000="Agences et Après-vente"))*'Agences &amp; Après-vente'!$E$2:$E$1000)),"yyyy-mm-dd"),"")))))</f>
        <v/>
      </c>
      <c r="J202" s="131" t="str">
        <f aca="false">IF($T202="✓","✓",IF(ISNUMBER($T202),TEXT($T202,"yyyy-mm-dd"),IF($A202="","",IF($D202="Lisbonne","",IF(SUMPRODUCT(('Agences &amp; Après-vente'!$A$2:$A$1000=$A202)*(('Agences &amp; Après-vente'!$D$2:$D$1000="Après-vente")+('Agences &amp; Après-vente'!$D$2:$D$1000="Agences et Après-vente"))*('Agences &amp; Après-vente'!$I$2:$I$1000="DONE"))&gt;0,"✓",IF(SUMPRODUCT(MAX(('Agences &amp; Après-vente'!$A$2:$A$1000=$A202)*(('Agences &amp; Après-vente'!$D$2:$D$1000="Après-vente")+('Agences &amp; Après-vente'!$D$2:$D$1000="Agences et Après-vente"))*'Agences &amp; Après-vente'!$E$2:$E$1000))&gt;0,TEXT(SUMPRODUCT(MAX(('Agences &amp; Après-vente'!$A$2:$A$1000=$A202)*(('Agences &amp; Après-vente'!$D$2:$D$1000="Après-vente")+('Agences &amp; Après-vente'!$D$2:$D$1000="Agences et Après-vente"))*'Agences &amp; Après-vente'!$E$2:$E$1000)),"yyyy-mm-dd"),""))))))</f>
        <v/>
      </c>
      <c r="K202" s="131" t="str">
        <f aca="false">IF($U202="✓","✓",IF(ISNUMBER($U202),TEXT($U202,"yyyy-mm-dd"),IF($D202="Lisbonne","",IF($A202="","",IF(SUMPRODUCT((Evermont!$A$2:$A$1000=$A202)*(Evermont!$Q$2:$Q$1000="Terminé"))&gt;0,"✓",IF(SUMPRODUCT(MAX((Evermont!$A$2:$A$1000=$A202)*Evermont!$F$2:$F$1000))&gt;0,TEXT(SUMPRODUCT(MAX((Evermont!$A$2:$A$1000=$A202)*Evermont!$F$2:$F$1000)),"yyyy-mm-dd"),""))))))</f>
        <v/>
      </c>
      <c r="L202" s="131" t="str">
        <f aca="false">IF($A202="","",COUNTIF(E202:K202,"✓"))</f>
        <v/>
      </c>
      <c r="M202" s="131" t="str">
        <f aca="false">IF(B202="","","Active")</f>
        <v/>
      </c>
      <c r="W202" s="120" t="str">
        <f aca="false">IF($A202="","",IF($X202&lt;&gt;"",$X202,IFERROR(INDEX('Formation Initiale'!$B$2:$B$999,MATCH($A202,'Formation Initiale'!$A$2:$A$999,0)),"Général")))</f>
        <v/>
      </c>
    </row>
    <row r="203" customFormat="false" ht="15" hidden="true" customHeight="true" outlineLevel="0" collapsed="false">
      <c r="A203" s="142" t="str">
        <f aca="false">IF(B203="","","TR"&amp;TEXT(ROW()-1,"000"))</f>
        <v/>
      </c>
      <c r="E203" s="130" t="str">
        <f aca="false">IF($O203="✓","✓",IF(ISNUMBER($O203),TEXT($O203,"yyyy-mm-dd"),IF($A203="","",IF(SUMPRODUCT(('Formation Initiale'!$A$2:$A$999=$A203)*('Formation Initiale'!$R$2:$R$999="Terminé"))&gt;0,"✓",IF(SUMPRODUCT(MAX(('Formation Initiale'!$A$2:$A$999=$A203)*'Formation Initiale'!$G$2:$G$999))&gt;0,TEXT(SUMPRODUCT(MAX(('Formation Initiale'!$A$2:$A$999=$A203)*'Formation Initiale'!$G$2:$G$999)),"yyyy-mm-dd"),"")))))</f>
        <v/>
      </c>
      <c r="F203" s="131" t="str">
        <f aca="false">IF($P203="✓","✓",IF(ISNUMBER($P203),TEXT($P203,"yyyy-mm-dd"),IF($A203="","",IF($D203="Lisbonne","",IF(SUMPRODUCT(('Formation Initiale'!$A$2:$A$999=$A203)*('Formation Initiale'!$R$2:$R$999="Terminé"))&gt;0,"✓",IF(SUMPRODUCT(MAX(('Formation Initiale'!$A$2:$A$999=$A203)*'Formation Initiale'!$G$2:$G$999))&gt;0,TEXT(SUMPRODUCT(MAX(('Formation Initiale'!$A$2:$A$999=$A203)*'Formation Initiale'!$G$2:$G$999)),"yyyy-mm-dd"),""))))))</f>
        <v/>
      </c>
      <c r="G203" s="131" t="str">
        <f aca="false">IF($Q203="✓","✓",IF(ISNUMBER($Q203),TEXT($Q203,"yyyy-mm-dd"),IF($A203="","",IF(SUMPRODUCT(('Agences &amp; Après-vente'!$A$2:$A$1000=$A203)*(('Agences &amp; Après-vente'!$D$2:$D$1000="Agences")+('Agences &amp; Après-vente'!$D$2:$D$1000="Agences et Après-vente"))*('Agences &amp; Après-vente'!$I$2:$I$1000="DONE"))&gt;0,"✓",IF(SUMPRODUCT(MAX(('Agences &amp; Après-vente'!$A$2:$A$1000=$A203)*(('Agences &amp; Après-vente'!$D$2:$D$1000="Agences")+('Agences &amp; Après-vente'!$D$2:$D$1000="Agences et Après-vente"))*'Agences &amp; Après-vente'!$E$2:$E$1000))&gt;0,TEXT(SUMPRODUCT(MAX(('Agences &amp; Après-vente'!$A$2:$A$1000=$A203)*(('Agences &amp; Après-vente'!$D$2:$D$1000="Agences")+('Agences &amp; Après-vente'!$D$2:$D$1000="Agences et Après-vente"))*'Agences &amp; Après-vente'!$E$2:$E$1000)),"yyyy-mm-dd"),"")))))</f>
        <v/>
      </c>
      <c r="H203" s="131" t="str">
        <f aca="false">IF($R203="✓","✓",IF(ISNUMBER($R203),TEXT($R203,"yyyy-mm-dd"),IF($A203="","",IF($D203="Lisbonne","",IF(SUMPRODUCT(('Agences &amp; Après-vente'!$A$2:$A$1000=$A203)*(('Agences &amp; Après-vente'!$D$2:$D$1000="Agences")+('Agences &amp; Après-vente'!$D$2:$D$1000="Agences et Après-vente"))*('Agences &amp; Après-vente'!$I$2:$I$1000="DONE"))&gt;0,"✓",IF(SUMPRODUCT(MAX(('Agences &amp; Après-vente'!$A$2:$A$1000=$A203)*(('Agences &amp; Après-vente'!$D$2:$D$1000="Agences")+('Agences &amp; Après-vente'!$D$2:$D$1000="Agences et Après-vente"))*'Agences &amp; Après-vente'!$E$2:$E$1000))&gt;0,TEXT(SUMPRODUCT(MAX(('Agences &amp; Après-vente'!$A$2:$A$1000=$A203)*(('Agences &amp; Après-vente'!$D$2:$D$1000="Agences")+('Agences &amp; Après-vente'!$D$2:$D$1000="Agences et Après-vente"))*'Agences &amp; Après-vente'!$E$2:$E$1000)),"yyyy-mm-dd"),""))))))</f>
        <v/>
      </c>
      <c r="I203" s="131" t="str">
        <f aca="false">IF($S203="✓","✓",IF(ISNUMBER($S203),TEXT($S203,"yyyy-mm-dd"),IF($A203="","",IF(SUMPRODUCT(('Agences &amp; Après-vente'!$A$2:$A$1000=$A203)*(('Agences &amp; Après-vente'!$D$2:$D$1000="Après-vente")+('Agences &amp; Après-vente'!$D$2:$D$1000="Agences et Après-vente"))*('Agences &amp; Après-vente'!$I$2:$I$1000="DONE"))&gt;0,"✓",IF(SUMPRODUCT(MAX(('Agences &amp; Après-vente'!$A$2:$A$1000=$A203)*(('Agences &amp; Après-vente'!$D$2:$D$1000="Après-vente")+('Agences &amp; Après-vente'!$D$2:$D$1000="Agences et Après-vente"))*'Agences &amp; Après-vente'!$E$2:$E$1000))&gt;0,TEXT(SUMPRODUCT(MAX(('Agences &amp; Après-vente'!$A$2:$A$1000=$A203)*(('Agences &amp; Après-vente'!$D$2:$D$1000="Après-vente")+('Agences &amp; Après-vente'!$D$2:$D$1000="Agences et Après-vente"))*'Agences &amp; Après-vente'!$E$2:$E$1000)),"yyyy-mm-dd"),"")))))</f>
        <v/>
      </c>
      <c r="J203" s="131" t="str">
        <f aca="false">IF($T203="✓","✓",IF(ISNUMBER($T203),TEXT($T203,"yyyy-mm-dd"),IF($A203="","",IF($D203="Lisbonne","",IF(SUMPRODUCT(('Agences &amp; Après-vente'!$A$2:$A$1000=$A203)*(('Agences &amp; Après-vente'!$D$2:$D$1000="Après-vente")+('Agences &amp; Après-vente'!$D$2:$D$1000="Agences et Après-vente"))*('Agences &amp; Après-vente'!$I$2:$I$1000="DONE"))&gt;0,"✓",IF(SUMPRODUCT(MAX(('Agences &amp; Après-vente'!$A$2:$A$1000=$A203)*(('Agences &amp; Après-vente'!$D$2:$D$1000="Après-vente")+('Agences &amp; Après-vente'!$D$2:$D$1000="Agences et Après-vente"))*'Agences &amp; Après-vente'!$E$2:$E$1000))&gt;0,TEXT(SUMPRODUCT(MAX(('Agences &amp; Après-vente'!$A$2:$A$1000=$A203)*(('Agences &amp; Après-vente'!$D$2:$D$1000="Après-vente")+('Agences &amp; Après-vente'!$D$2:$D$1000="Agences et Après-vente"))*'Agences &amp; Après-vente'!$E$2:$E$1000)),"yyyy-mm-dd"),""))))))</f>
        <v/>
      </c>
      <c r="K203" s="131" t="str">
        <f aca="false">IF($U203="✓","✓",IF(ISNUMBER($U203),TEXT($U203,"yyyy-mm-dd"),IF($D203="Lisbonne","",IF($A203="","",IF(SUMPRODUCT((Evermont!$A$2:$A$1000=$A203)*(Evermont!$Q$2:$Q$1000="Terminé"))&gt;0,"✓",IF(SUMPRODUCT(MAX((Evermont!$A$2:$A$1000=$A203)*Evermont!$F$2:$F$1000))&gt;0,TEXT(SUMPRODUCT(MAX((Evermont!$A$2:$A$1000=$A203)*Evermont!$F$2:$F$1000)),"yyyy-mm-dd"),""))))))</f>
        <v/>
      </c>
      <c r="L203" s="131" t="str">
        <f aca="false">IF($A203="","",COUNTIF(E203:K203,"✓"))</f>
        <v/>
      </c>
      <c r="M203" s="131" t="str">
        <f aca="false">IF(B203="","","Active")</f>
        <v/>
      </c>
      <c r="W203" s="120" t="str">
        <f aca="false">IF($A203="","",IF($X203&lt;&gt;"",$X203,IFERROR(INDEX('Formation Initiale'!$B$2:$B$999,MATCH($A203,'Formation Initiale'!$A$2:$A$999,0)),"Général")))</f>
        <v/>
      </c>
    </row>
    <row r="204" customFormat="false" ht="15" hidden="true" customHeight="true" outlineLevel="0" collapsed="false">
      <c r="A204" s="142" t="str">
        <f aca="false">IF(B204="","","TR"&amp;TEXT(ROW()-1,"000"))</f>
        <v/>
      </c>
      <c r="E204" s="130" t="str">
        <f aca="false">IF($O204="✓","✓",IF(ISNUMBER($O204),TEXT($O204,"yyyy-mm-dd"),IF($A204="","",IF(SUMPRODUCT(('Formation Initiale'!$A$2:$A$999=$A204)*('Formation Initiale'!$R$2:$R$999="Terminé"))&gt;0,"✓",IF(SUMPRODUCT(MAX(('Formation Initiale'!$A$2:$A$999=$A204)*'Formation Initiale'!$G$2:$G$999))&gt;0,TEXT(SUMPRODUCT(MAX(('Formation Initiale'!$A$2:$A$999=$A204)*'Formation Initiale'!$G$2:$G$999)),"yyyy-mm-dd"),"")))))</f>
        <v/>
      </c>
      <c r="F204" s="131" t="str">
        <f aca="false">IF($P204="✓","✓",IF(ISNUMBER($P204),TEXT($P204,"yyyy-mm-dd"),IF($A204="","",IF($D204="Lisbonne","",IF(SUMPRODUCT(('Formation Initiale'!$A$2:$A$999=$A204)*('Formation Initiale'!$R$2:$R$999="Terminé"))&gt;0,"✓",IF(SUMPRODUCT(MAX(('Formation Initiale'!$A$2:$A$999=$A204)*'Formation Initiale'!$G$2:$G$999))&gt;0,TEXT(SUMPRODUCT(MAX(('Formation Initiale'!$A$2:$A$999=$A204)*'Formation Initiale'!$G$2:$G$999)),"yyyy-mm-dd"),""))))))</f>
        <v/>
      </c>
      <c r="G204" s="131" t="str">
        <f aca="false">IF($Q204="✓","✓",IF(ISNUMBER($Q204),TEXT($Q204,"yyyy-mm-dd"),IF($A204="","",IF(SUMPRODUCT(('Agences &amp; Après-vente'!$A$2:$A$1000=$A204)*(('Agences &amp; Après-vente'!$D$2:$D$1000="Agences")+('Agences &amp; Après-vente'!$D$2:$D$1000="Agences et Après-vente"))*('Agences &amp; Après-vente'!$I$2:$I$1000="DONE"))&gt;0,"✓",IF(SUMPRODUCT(MAX(('Agences &amp; Après-vente'!$A$2:$A$1000=$A204)*(('Agences &amp; Après-vente'!$D$2:$D$1000="Agences")+('Agences &amp; Après-vente'!$D$2:$D$1000="Agences et Après-vente"))*'Agences &amp; Après-vente'!$E$2:$E$1000))&gt;0,TEXT(SUMPRODUCT(MAX(('Agences &amp; Après-vente'!$A$2:$A$1000=$A204)*(('Agences &amp; Après-vente'!$D$2:$D$1000="Agences")+('Agences &amp; Après-vente'!$D$2:$D$1000="Agences et Après-vente"))*'Agences &amp; Après-vente'!$E$2:$E$1000)),"yyyy-mm-dd"),"")))))</f>
        <v/>
      </c>
      <c r="H204" s="131" t="str">
        <f aca="false">IF($R204="✓","✓",IF(ISNUMBER($R204),TEXT($R204,"yyyy-mm-dd"),IF($A204="","",IF($D204="Lisbonne","",IF(SUMPRODUCT(('Agences &amp; Après-vente'!$A$2:$A$1000=$A204)*(('Agences &amp; Après-vente'!$D$2:$D$1000="Agences")+('Agences &amp; Après-vente'!$D$2:$D$1000="Agences et Après-vente"))*('Agences &amp; Après-vente'!$I$2:$I$1000="DONE"))&gt;0,"✓",IF(SUMPRODUCT(MAX(('Agences &amp; Après-vente'!$A$2:$A$1000=$A204)*(('Agences &amp; Après-vente'!$D$2:$D$1000="Agences")+('Agences &amp; Après-vente'!$D$2:$D$1000="Agences et Après-vente"))*'Agences &amp; Après-vente'!$E$2:$E$1000))&gt;0,TEXT(SUMPRODUCT(MAX(('Agences &amp; Après-vente'!$A$2:$A$1000=$A204)*(('Agences &amp; Après-vente'!$D$2:$D$1000="Agences")+('Agences &amp; Après-vente'!$D$2:$D$1000="Agences et Après-vente"))*'Agences &amp; Après-vente'!$E$2:$E$1000)),"yyyy-mm-dd"),""))))))</f>
        <v/>
      </c>
      <c r="I204" s="131" t="str">
        <f aca="false">IF($S204="✓","✓",IF(ISNUMBER($S204),TEXT($S204,"yyyy-mm-dd"),IF($A204="","",IF(SUMPRODUCT(('Agences &amp; Après-vente'!$A$2:$A$1000=$A204)*(('Agences &amp; Après-vente'!$D$2:$D$1000="Après-vente")+('Agences &amp; Après-vente'!$D$2:$D$1000="Agences et Après-vente"))*('Agences &amp; Après-vente'!$I$2:$I$1000="DONE"))&gt;0,"✓",IF(SUMPRODUCT(MAX(('Agences &amp; Après-vente'!$A$2:$A$1000=$A204)*(('Agences &amp; Après-vente'!$D$2:$D$1000="Après-vente")+('Agences &amp; Après-vente'!$D$2:$D$1000="Agences et Après-vente"))*'Agences &amp; Après-vente'!$E$2:$E$1000))&gt;0,TEXT(SUMPRODUCT(MAX(('Agences &amp; Après-vente'!$A$2:$A$1000=$A204)*(('Agences &amp; Après-vente'!$D$2:$D$1000="Après-vente")+('Agences &amp; Après-vente'!$D$2:$D$1000="Agences et Après-vente"))*'Agences &amp; Après-vente'!$E$2:$E$1000)),"yyyy-mm-dd"),"")))))</f>
        <v/>
      </c>
      <c r="J204" s="131" t="str">
        <f aca="false">IF($T204="✓","✓",IF(ISNUMBER($T204),TEXT($T204,"yyyy-mm-dd"),IF($A204="","",IF($D204="Lisbonne","",IF(SUMPRODUCT(('Agences &amp; Après-vente'!$A$2:$A$1000=$A204)*(('Agences &amp; Après-vente'!$D$2:$D$1000="Après-vente")+('Agences &amp; Après-vente'!$D$2:$D$1000="Agences et Après-vente"))*('Agences &amp; Après-vente'!$I$2:$I$1000="DONE"))&gt;0,"✓",IF(SUMPRODUCT(MAX(('Agences &amp; Après-vente'!$A$2:$A$1000=$A204)*(('Agences &amp; Après-vente'!$D$2:$D$1000="Après-vente")+('Agences &amp; Après-vente'!$D$2:$D$1000="Agences et Après-vente"))*'Agences &amp; Après-vente'!$E$2:$E$1000))&gt;0,TEXT(SUMPRODUCT(MAX(('Agences &amp; Après-vente'!$A$2:$A$1000=$A204)*(('Agences &amp; Après-vente'!$D$2:$D$1000="Après-vente")+('Agences &amp; Après-vente'!$D$2:$D$1000="Agences et Après-vente"))*'Agences &amp; Après-vente'!$E$2:$E$1000)),"yyyy-mm-dd"),""))))))</f>
        <v/>
      </c>
      <c r="K204" s="131" t="str">
        <f aca="false">IF($U204="✓","✓",IF(ISNUMBER($U204),TEXT($U204,"yyyy-mm-dd"),IF($D204="Lisbonne","",IF($A204="","",IF(SUMPRODUCT((Evermont!$A$2:$A$1000=$A204)*(Evermont!$Q$2:$Q$1000="Terminé"))&gt;0,"✓",IF(SUMPRODUCT(MAX((Evermont!$A$2:$A$1000=$A204)*Evermont!$F$2:$F$1000))&gt;0,TEXT(SUMPRODUCT(MAX((Evermont!$A$2:$A$1000=$A204)*Evermont!$F$2:$F$1000)),"yyyy-mm-dd"),""))))))</f>
        <v/>
      </c>
      <c r="L204" s="131" t="str">
        <f aca="false">IF($A204="","",COUNTIF(E204:K204,"✓"))</f>
        <v/>
      </c>
      <c r="M204" s="131" t="str">
        <f aca="false">IF(B204="","","Active")</f>
        <v/>
      </c>
      <c r="W204" s="120" t="str">
        <f aca="false">IF($A204="","",IF($X204&lt;&gt;"",$X204,IFERROR(INDEX('Formation Initiale'!$B$2:$B$999,MATCH($A204,'Formation Initiale'!$A$2:$A$999,0)),"Général")))</f>
        <v/>
      </c>
    </row>
    <row r="205" customFormat="false" ht="15" hidden="true" customHeight="true" outlineLevel="0" collapsed="false">
      <c r="A205" s="142" t="str">
        <f aca="false">IF(B205="","","TR"&amp;TEXT(ROW()-1,"000"))</f>
        <v/>
      </c>
      <c r="E205" s="130" t="str">
        <f aca="false">IF($O205="✓","✓",IF(ISNUMBER($O205),TEXT($O205,"yyyy-mm-dd"),IF($A205="","",IF(SUMPRODUCT(('Formation Initiale'!$A$2:$A$999=$A205)*('Formation Initiale'!$R$2:$R$999="Terminé"))&gt;0,"✓",IF(SUMPRODUCT(MAX(('Formation Initiale'!$A$2:$A$999=$A205)*'Formation Initiale'!$G$2:$G$999))&gt;0,TEXT(SUMPRODUCT(MAX(('Formation Initiale'!$A$2:$A$999=$A205)*'Formation Initiale'!$G$2:$G$999)),"yyyy-mm-dd"),"")))))</f>
        <v/>
      </c>
      <c r="F205" s="131" t="str">
        <f aca="false">IF($P205="✓","✓",IF(ISNUMBER($P205),TEXT($P205,"yyyy-mm-dd"),IF($A205="","",IF($D205="Lisbonne","",IF(SUMPRODUCT(('Formation Initiale'!$A$2:$A$999=$A205)*('Formation Initiale'!$R$2:$R$999="Terminé"))&gt;0,"✓",IF(SUMPRODUCT(MAX(('Formation Initiale'!$A$2:$A$999=$A205)*'Formation Initiale'!$G$2:$G$999))&gt;0,TEXT(SUMPRODUCT(MAX(('Formation Initiale'!$A$2:$A$999=$A205)*'Formation Initiale'!$G$2:$G$999)),"yyyy-mm-dd"),""))))))</f>
        <v/>
      </c>
      <c r="G205" s="131" t="str">
        <f aca="false">IF($Q205="✓","✓",IF(ISNUMBER($Q205),TEXT($Q205,"yyyy-mm-dd"),IF($A205="","",IF(SUMPRODUCT(('Agences &amp; Après-vente'!$A$2:$A$1000=$A205)*(('Agences &amp; Après-vente'!$D$2:$D$1000="Agences")+('Agences &amp; Après-vente'!$D$2:$D$1000="Agences et Après-vente"))*('Agences &amp; Après-vente'!$I$2:$I$1000="DONE"))&gt;0,"✓",IF(SUMPRODUCT(MAX(('Agences &amp; Après-vente'!$A$2:$A$1000=$A205)*(('Agences &amp; Après-vente'!$D$2:$D$1000="Agences")+('Agences &amp; Après-vente'!$D$2:$D$1000="Agences et Après-vente"))*'Agences &amp; Après-vente'!$E$2:$E$1000))&gt;0,TEXT(SUMPRODUCT(MAX(('Agences &amp; Après-vente'!$A$2:$A$1000=$A205)*(('Agences &amp; Après-vente'!$D$2:$D$1000="Agences")+('Agences &amp; Après-vente'!$D$2:$D$1000="Agences et Après-vente"))*'Agences &amp; Après-vente'!$E$2:$E$1000)),"yyyy-mm-dd"),"")))))</f>
        <v/>
      </c>
      <c r="H205" s="131" t="str">
        <f aca="false">IF($R205="✓","✓",IF(ISNUMBER($R205),TEXT($R205,"yyyy-mm-dd"),IF($A205="","",IF($D205="Lisbonne","",IF(SUMPRODUCT(('Agences &amp; Après-vente'!$A$2:$A$1000=$A205)*(('Agences &amp; Après-vente'!$D$2:$D$1000="Agences")+('Agences &amp; Après-vente'!$D$2:$D$1000="Agences et Après-vente"))*('Agences &amp; Après-vente'!$I$2:$I$1000="DONE"))&gt;0,"✓",IF(SUMPRODUCT(MAX(('Agences &amp; Après-vente'!$A$2:$A$1000=$A205)*(('Agences &amp; Après-vente'!$D$2:$D$1000="Agences")+('Agences &amp; Après-vente'!$D$2:$D$1000="Agences et Après-vente"))*'Agences &amp; Après-vente'!$E$2:$E$1000))&gt;0,TEXT(SUMPRODUCT(MAX(('Agences &amp; Après-vente'!$A$2:$A$1000=$A205)*(('Agences &amp; Après-vente'!$D$2:$D$1000="Agences")+('Agences &amp; Après-vente'!$D$2:$D$1000="Agences et Après-vente"))*'Agences &amp; Après-vente'!$E$2:$E$1000)),"yyyy-mm-dd"),""))))))</f>
        <v/>
      </c>
      <c r="I205" s="131" t="str">
        <f aca="false">IF($S205="✓","✓",IF(ISNUMBER($S205),TEXT($S205,"yyyy-mm-dd"),IF($A205="","",IF(SUMPRODUCT(('Agences &amp; Après-vente'!$A$2:$A$1000=$A205)*(('Agences &amp; Après-vente'!$D$2:$D$1000="Après-vente")+('Agences &amp; Après-vente'!$D$2:$D$1000="Agences et Après-vente"))*('Agences &amp; Après-vente'!$I$2:$I$1000="DONE"))&gt;0,"✓",IF(SUMPRODUCT(MAX(('Agences &amp; Après-vente'!$A$2:$A$1000=$A205)*(('Agences &amp; Après-vente'!$D$2:$D$1000="Après-vente")+('Agences &amp; Après-vente'!$D$2:$D$1000="Agences et Après-vente"))*'Agences &amp; Après-vente'!$E$2:$E$1000))&gt;0,TEXT(SUMPRODUCT(MAX(('Agences &amp; Après-vente'!$A$2:$A$1000=$A205)*(('Agences &amp; Après-vente'!$D$2:$D$1000="Après-vente")+('Agences &amp; Après-vente'!$D$2:$D$1000="Agences et Après-vente"))*'Agences &amp; Après-vente'!$E$2:$E$1000)),"yyyy-mm-dd"),"")))))</f>
        <v/>
      </c>
      <c r="J205" s="131" t="str">
        <f aca="false">IF($T205="✓","✓",IF(ISNUMBER($T205),TEXT($T205,"yyyy-mm-dd"),IF($A205="","",IF($D205="Lisbonne","",IF(SUMPRODUCT(('Agences &amp; Après-vente'!$A$2:$A$1000=$A205)*(('Agences &amp; Après-vente'!$D$2:$D$1000="Après-vente")+('Agences &amp; Après-vente'!$D$2:$D$1000="Agences et Après-vente"))*('Agences &amp; Après-vente'!$I$2:$I$1000="DONE"))&gt;0,"✓",IF(SUMPRODUCT(MAX(('Agences &amp; Après-vente'!$A$2:$A$1000=$A205)*(('Agences &amp; Après-vente'!$D$2:$D$1000="Après-vente")+('Agences &amp; Après-vente'!$D$2:$D$1000="Agences et Après-vente"))*'Agences &amp; Après-vente'!$E$2:$E$1000))&gt;0,TEXT(SUMPRODUCT(MAX(('Agences &amp; Après-vente'!$A$2:$A$1000=$A205)*(('Agences &amp; Après-vente'!$D$2:$D$1000="Après-vente")+('Agences &amp; Après-vente'!$D$2:$D$1000="Agences et Après-vente"))*'Agences &amp; Après-vente'!$E$2:$E$1000)),"yyyy-mm-dd"),""))))))</f>
        <v/>
      </c>
      <c r="K205" s="131" t="str">
        <f aca="false">IF($U205="✓","✓",IF(ISNUMBER($U205),TEXT($U205,"yyyy-mm-dd"),IF($D205="Lisbonne","",IF($A205="","",IF(SUMPRODUCT((Evermont!$A$2:$A$1000=$A205)*(Evermont!$Q$2:$Q$1000="Terminé"))&gt;0,"✓",IF(SUMPRODUCT(MAX((Evermont!$A$2:$A$1000=$A205)*Evermont!$F$2:$F$1000))&gt;0,TEXT(SUMPRODUCT(MAX((Evermont!$A$2:$A$1000=$A205)*Evermont!$F$2:$F$1000)),"yyyy-mm-dd"),""))))))</f>
        <v/>
      </c>
      <c r="L205" s="131" t="str">
        <f aca="false">IF($A205="","",COUNTIF(E205:K205,"✓"))</f>
        <v/>
      </c>
      <c r="M205" s="131" t="str">
        <f aca="false">IF(B205="","","Active")</f>
        <v/>
      </c>
      <c r="W205" s="120" t="str">
        <f aca="false">IF($A205="","",IF($X205&lt;&gt;"",$X205,IFERROR(INDEX('Formation Initiale'!$B$2:$B$999,MATCH($A205,'Formation Initiale'!$A$2:$A$999,0)),"Général")))</f>
        <v/>
      </c>
    </row>
    <row r="206" customFormat="false" ht="15" hidden="true" customHeight="true" outlineLevel="0" collapsed="false">
      <c r="A206" s="142" t="str">
        <f aca="false">IF(B206="","","TR"&amp;TEXT(ROW()-1,"000"))</f>
        <v/>
      </c>
      <c r="E206" s="130" t="str">
        <f aca="false">IF($O206="✓","✓",IF(ISNUMBER($O206),TEXT($O206,"yyyy-mm-dd"),IF($A206="","",IF(SUMPRODUCT(('Formation Initiale'!$A$2:$A$999=$A206)*('Formation Initiale'!$R$2:$R$999="Terminé"))&gt;0,"✓",IF(SUMPRODUCT(MAX(('Formation Initiale'!$A$2:$A$999=$A206)*'Formation Initiale'!$G$2:$G$999))&gt;0,TEXT(SUMPRODUCT(MAX(('Formation Initiale'!$A$2:$A$999=$A206)*'Formation Initiale'!$G$2:$G$999)),"yyyy-mm-dd"),"")))))</f>
        <v/>
      </c>
      <c r="F206" s="131" t="str">
        <f aca="false">IF($P206="✓","✓",IF(ISNUMBER($P206),TEXT($P206,"yyyy-mm-dd"),IF($A206="","",IF($D206="Lisbonne","",IF(SUMPRODUCT(('Formation Initiale'!$A$2:$A$999=$A206)*('Formation Initiale'!$R$2:$R$999="Terminé"))&gt;0,"✓",IF(SUMPRODUCT(MAX(('Formation Initiale'!$A$2:$A$999=$A206)*'Formation Initiale'!$G$2:$G$999))&gt;0,TEXT(SUMPRODUCT(MAX(('Formation Initiale'!$A$2:$A$999=$A206)*'Formation Initiale'!$G$2:$G$999)),"yyyy-mm-dd"),""))))))</f>
        <v/>
      </c>
      <c r="G206" s="131" t="str">
        <f aca="false">IF($Q206="✓","✓",IF(ISNUMBER($Q206),TEXT($Q206,"yyyy-mm-dd"),IF($A206="","",IF(SUMPRODUCT(('Agences &amp; Après-vente'!$A$2:$A$1000=$A206)*(('Agences &amp; Après-vente'!$D$2:$D$1000="Agences")+('Agences &amp; Après-vente'!$D$2:$D$1000="Agences et Après-vente"))*('Agences &amp; Après-vente'!$I$2:$I$1000="DONE"))&gt;0,"✓",IF(SUMPRODUCT(MAX(('Agences &amp; Après-vente'!$A$2:$A$1000=$A206)*(('Agences &amp; Après-vente'!$D$2:$D$1000="Agences")+('Agences &amp; Après-vente'!$D$2:$D$1000="Agences et Après-vente"))*'Agences &amp; Après-vente'!$E$2:$E$1000))&gt;0,TEXT(SUMPRODUCT(MAX(('Agences &amp; Après-vente'!$A$2:$A$1000=$A206)*(('Agences &amp; Après-vente'!$D$2:$D$1000="Agences")+('Agences &amp; Après-vente'!$D$2:$D$1000="Agences et Après-vente"))*'Agences &amp; Après-vente'!$E$2:$E$1000)),"yyyy-mm-dd"),"")))))</f>
        <v/>
      </c>
      <c r="H206" s="131" t="str">
        <f aca="false">IF($R206="✓","✓",IF(ISNUMBER($R206),TEXT($R206,"yyyy-mm-dd"),IF($A206="","",IF($D206="Lisbonne","",IF(SUMPRODUCT(('Agences &amp; Après-vente'!$A$2:$A$1000=$A206)*(('Agences &amp; Après-vente'!$D$2:$D$1000="Agences")+('Agences &amp; Après-vente'!$D$2:$D$1000="Agences et Après-vente"))*('Agences &amp; Après-vente'!$I$2:$I$1000="DONE"))&gt;0,"✓",IF(SUMPRODUCT(MAX(('Agences &amp; Après-vente'!$A$2:$A$1000=$A206)*(('Agences &amp; Après-vente'!$D$2:$D$1000="Agences")+('Agences &amp; Après-vente'!$D$2:$D$1000="Agences et Après-vente"))*'Agences &amp; Après-vente'!$E$2:$E$1000))&gt;0,TEXT(SUMPRODUCT(MAX(('Agences &amp; Après-vente'!$A$2:$A$1000=$A206)*(('Agences &amp; Après-vente'!$D$2:$D$1000="Agences")+('Agences &amp; Après-vente'!$D$2:$D$1000="Agences et Après-vente"))*'Agences &amp; Après-vente'!$E$2:$E$1000)),"yyyy-mm-dd"),""))))))</f>
        <v/>
      </c>
      <c r="I206" s="131" t="str">
        <f aca="false">IF($S206="✓","✓",IF(ISNUMBER($S206),TEXT($S206,"yyyy-mm-dd"),IF($A206="","",IF(SUMPRODUCT(('Agences &amp; Après-vente'!$A$2:$A$1000=$A206)*(('Agences &amp; Après-vente'!$D$2:$D$1000="Après-vente")+('Agences &amp; Après-vente'!$D$2:$D$1000="Agences et Après-vente"))*('Agences &amp; Après-vente'!$I$2:$I$1000="DONE"))&gt;0,"✓",IF(SUMPRODUCT(MAX(('Agences &amp; Après-vente'!$A$2:$A$1000=$A206)*(('Agences &amp; Après-vente'!$D$2:$D$1000="Après-vente")+('Agences &amp; Après-vente'!$D$2:$D$1000="Agences et Après-vente"))*'Agences &amp; Après-vente'!$E$2:$E$1000))&gt;0,TEXT(SUMPRODUCT(MAX(('Agences &amp; Après-vente'!$A$2:$A$1000=$A206)*(('Agences &amp; Après-vente'!$D$2:$D$1000="Après-vente")+('Agences &amp; Après-vente'!$D$2:$D$1000="Agences et Après-vente"))*'Agences &amp; Après-vente'!$E$2:$E$1000)),"yyyy-mm-dd"),"")))))</f>
        <v/>
      </c>
      <c r="J206" s="131" t="str">
        <f aca="false">IF($T206="✓","✓",IF(ISNUMBER($T206),TEXT($T206,"yyyy-mm-dd"),IF($A206="","",IF($D206="Lisbonne","",IF(SUMPRODUCT(('Agences &amp; Après-vente'!$A$2:$A$1000=$A206)*(('Agences &amp; Après-vente'!$D$2:$D$1000="Après-vente")+('Agences &amp; Après-vente'!$D$2:$D$1000="Agences et Après-vente"))*('Agences &amp; Après-vente'!$I$2:$I$1000="DONE"))&gt;0,"✓",IF(SUMPRODUCT(MAX(('Agences &amp; Après-vente'!$A$2:$A$1000=$A206)*(('Agences &amp; Après-vente'!$D$2:$D$1000="Après-vente")+('Agences &amp; Après-vente'!$D$2:$D$1000="Agences et Après-vente"))*'Agences &amp; Après-vente'!$E$2:$E$1000))&gt;0,TEXT(SUMPRODUCT(MAX(('Agences &amp; Après-vente'!$A$2:$A$1000=$A206)*(('Agences &amp; Après-vente'!$D$2:$D$1000="Après-vente")+('Agences &amp; Après-vente'!$D$2:$D$1000="Agences et Après-vente"))*'Agences &amp; Après-vente'!$E$2:$E$1000)),"yyyy-mm-dd"),""))))))</f>
        <v/>
      </c>
      <c r="K206" s="131" t="str">
        <f aca="false">IF($U206="✓","✓",IF(ISNUMBER($U206),TEXT($U206,"yyyy-mm-dd"),IF($D206="Lisbonne","",IF($A206="","",IF(SUMPRODUCT((Evermont!$A$2:$A$1000=$A206)*(Evermont!$Q$2:$Q$1000="Terminé"))&gt;0,"✓",IF(SUMPRODUCT(MAX((Evermont!$A$2:$A$1000=$A206)*Evermont!$F$2:$F$1000))&gt;0,TEXT(SUMPRODUCT(MAX((Evermont!$A$2:$A$1000=$A206)*Evermont!$F$2:$F$1000)),"yyyy-mm-dd"),""))))))</f>
        <v/>
      </c>
      <c r="L206" s="131" t="str">
        <f aca="false">IF($A206="","",COUNTIF(E206:K206,"✓"))</f>
        <v/>
      </c>
      <c r="M206" s="131" t="str">
        <f aca="false">IF(B206="","","Active")</f>
        <v/>
      </c>
      <c r="W206" s="120" t="str">
        <f aca="false">IF($A206="","",IF($X206&lt;&gt;"",$X206,IFERROR(INDEX('Formation Initiale'!$B$2:$B$999,MATCH($A206,'Formation Initiale'!$A$2:$A$999,0)),"Général")))</f>
        <v/>
      </c>
    </row>
    <row r="207" customFormat="false" ht="15" hidden="true" customHeight="true" outlineLevel="0" collapsed="false">
      <c r="A207" s="142" t="str">
        <f aca="false">IF(B207="","","TR"&amp;TEXT(ROW()-1,"000"))</f>
        <v/>
      </c>
      <c r="E207" s="130" t="str">
        <f aca="false">IF($O207="✓","✓",IF(ISNUMBER($O207),TEXT($O207,"yyyy-mm-dd"),IF($A207="","",IF(SUMPRODUCT(('Formation Initiale'!$A$2:$A$999=$A207)*('Formation Initiale'!$R$2:$R$999="Terminé"))&gt;0,"✓",IF(SUMPRODUCT(MAX(('Formation Initiale'!$A$2:$A$999=$A207)*'Formation Initiale'!$G$2:$G$999))&gt;0,TEXT(SUMPRODUCT(MAX(('Formation Initiale'!$A$2:$A$999=$A207)*'Formation Initiale'!$G$2:$G$999)),"yyyy-mm-dd"),"")))))</f>
        <v/>
      </c>
      <c r="F207" s="131" t="str">
        <f aca="false">IF($P207="✓","✓",IF(ISNUMBER($P207),TEXT($P207,"yyyy-mm-dd"),IF($A207="","",IF($D207="Lisbonne","",IF(SUMPRODUCT(('Formation Initiale'!$A$2:$A$999=$A207)*('Formation Initiale'!$R$2:$R$999="Terminé"))&gt;0,"✓",IF(SUMPRODUCT(MAX(('Formation Initiale'!$A$2:$A$999=$A207)*'Formation Initiale'!$G$2:$G$999))&gt;0,TEXT(SUMPRODUCT(MAX(('Formation Initiale'!$A$2:$A$999=$A207)*'Formation Initiale'!$G$2:$G$999)),"yyyy-mm-dd"),""))))))</f>
        <v/>
      </c>
      <c r="G207" s="131" t="str">
        <f aca="false">IF($Q207="✓","✓",IF(ISNUMBER($Q207),TEXT($Q207,"yyyy-mm-dd"),IF($A207="","",IF(SUMPRODUCT(('Agences &amp; Après-vente'!$A$2:$A$1000=$A207)*(('Agences &amp; Après-vente'!$D$2:$D$1000="Agences")+('Agences &amp; Après-vente'!$D$2:$D$1000="Agences et Après-vente"))*('Agences &amp; Après-vente'!$I$2:$I$1000="DONE"))&gt;0,"✓",IF(SUMPRODUCT(MAX(('Agences &amp; Après-vente'!$A$2:$A$1000=$A207)*(('Agences &amp; Après-vente'!$D$2:$D$1000="Agences")+('Agences &amp; Après-vente'!$D$2:$D$1000="Agences et Après-vente"))*'Agences &amp; Après-vente'!$E$2:$E$1000))&gt;0,TEXT(SUMPRODUCT(MAX(('Agences &amp; Après-vente'!$A$2:$A$1000=$A207)*(('Agences &amp; Après-vente'!$D$2:$D$1000="Agences")+('Agences &amp; Après-vente'!$D$2:$D$1000="Agences et Après-vente"))*'Agences &amp; Après-vente'!$E$2:$E$1000)),"yyyy-mm-dd"),"")))))</f>
        <v/>
      </c>
      <c r="H207" s="131" t="str">
        <f aca="false">IF($R207="✓","✓",IF(ISNUMBER($R207),TEXT($R207,"yyyy-mm-dd"),IF($A207="","",IF($D207="Lisbonne","",IF(SUMPRODUCT(('Agences &amp; Après-vente'!$A$2:$A$1000=$A207)*(('Agences &amp; Après-vente'!$D$2:$D$1000="Agences")+('Agences &amp; Après-vente'!$D$2:$D$1000="Agences et Après-vente"))*('Agences &amp; Après-vente'!$I$2:$I$1000="DONE"))&gt;0,"✓",IF(SUMPRODUCT(MAX(('Agences &amp; Après-vente'!$A$2:$A$1000=$A207)*(('Agences &amp; Après-vente'!$D$2:$D$1000="Agences")+('Agences &amp; Après-vente'!$D$2:$D$1000="Agences et Après-vente"))*'Agences &amp; Après-vente'!$E$2:$E$1000))&gt;0,TEXT(SUMPRODUCT(MAX(('Agences &amp; Après-vente'!$A$2:$A$1000=$A207)*(('Agences &amp; Après-vente'!$D$2:$D$1000="Agences")+('Agences &amp; Après-vente'!$D$2:$D$1000="Agences et Après-vente"))*'Agences &amp; Après-vente'!$E$2:$E$1000)),"yyyy-mm-dd"),""))))))</f>
        <v/>
      </c>
      <c r="I207" s="131" t="str">
        <f aca="false">IF($S207="✓","✓",IF(ISNUMBER($S207),TEXT($S207,"yyyy-mm-dd"),IF($A207="","",IF(SUMPRODUCT(('Agences &amp; Après-vente'!$A$2:$A$1000=$A207)*(('Agences &amp; Après-vente'!$D$2:$D$1000="Après-vente")+('Agences &amp; Après-vente'!$D$2:$D$1000="Agences et Après-vente"))*('Agences &amp; Après-vente'!$I$2:$I$1000="DONE"))&gt;0,"✓",IF(SUMPRODUCT(MAX(('Agences &amp; Après-vente'!$A$2:$A$1000=$A207)*(('Agences &amp; Après-vente'!$D$2:$D$1000="Après-vente")+('Agences &amp; Après-vente'!$D$2:$D$1000="Agences et Après-vente"))*'Agences &amp; Après-vente'!$E$2:$E$1000))&gt;0,TEXT(SUMPRODUCT(MAX(('Agences &amp; Après-vente'!$A$2:$A$1000=$A207)*(('Agences &amp; Après-vente'!$D$2:$D$1000="Après-vente")+('Agences &amp; Après-vente'!$D$2:$D$1000="Agences et Après-vente"))*'Agences &amp; Après-vente'!$E$2:$E$1000)),"yyyy-mm-dd"),"")))))</f>
        <v/>
      </c>
      <c r="J207" s="131" t="str">
        <f aca="false">IF($T207="✓","✓",IF(ISNUMBER($T207),TEXT($T207,"yyyy-mm-dd"),IF($A207="","",IF($D207="Lisbonne","",IF(SUMPRODUCT(('Agences &amp; Après-vente'!$A$2:$A$1000=$A207)*(('Agences &amp; Après-vente'!$D$2:$D$1000="Après-vente")+('Agences &amp; Après-vente'!$D$2:$D$1000="Agences et Après-vente"))*('Agences &amp; Après-vente'!$I$2:$I$1000="DONE"))&gt;0,"✓",IF(SUMPRODUCT(MAX(('Agences &amp; Après-vente'!$A$2:$A$1000=$A207)*(('Agences &amp; Après-vente'!$D$2:$D$1000="Après-vente")+('Agences &amp; Après-vente'!$D$2:$D$1000="Agences et Après-vente"))*'Agences &amp; Après-vente'!$E$2:$E$1000))&gt;0,TEXT(SUMPRODUCT(MAX(('Agences &amp; Après-vente'!$A$2:$A$1000=$A207)*(('Agences &amp; Après-vente'!$D$2:$D$1000="Après-vente")+('Agences &amp; Après-vente'!$D$2:$D$1000="Agences et Après-vente"))*'Agences &amp; Après-vente'!$E$2:$E$1000)),"yyyy-mm-dd"),""))))))</f>
        <v/>
      </c>
      <c r="K207" s="131" t="str">
        <f aca="false">IF($U207="✓","✓",IF(ISNUMBER($U207),TEXT($U207,"yyyy-mm-dd"),IF($D207="Lisbonne","",IF($A207="","",IF(SUMPRODUCT((Evermont!$A$2:$A$1000=$A207)*(Evermont!$Q$2:$Q$1000="Terminé"))&gt;0,"✓",IF(SUMPRODUCT(MAX((Evermont!$A$2:$A$1000=$A207)*Evermont!$F$2:$F$1000))&gt;0,TEXT(SUMPRODUCT(MAX((Evermont!$A$2:$A$1000=$A207)*Evermont!$F$2:$F$1000)),"yyyy-mm-dd"),""))))))</f>
        <v/>
      </c>
      <c r="L207" s="131" t="str">
        <f aca="false">IF($A207="","",COUNTIF(E207:K207,"✓"))</f>
        <v/>
      </c>
      <c r="M207" s="131" t="str">
        <f aca="false">IF(B207="","","Active")</f>
        <v/>
      </c>
      <c r="W207" s="120" t="str">
        <f aca="false">IF($A207="","",IF($X207&lt;&gt;"",$X207,IFERROR(INDEX('Formation Initiale'!$B$2:$B$999,MATCH($A207,'Formation Initiale'!$A$2:$A$999,0)),"Général")))</f>
        <v/>
      </c>
    </row>
    <row r="208" customFormat="false" ht="15" hidden="true" customHeight="true" outlineLevel="0" collapsed="false">
      <c r="A208" s="142" t="str">
        <f aca="false">IF(B208="","","TR"&amp;TEXT(ROW()-1,"000"))</f>
        <v/>
      </c>
      <c r="E208" s="130" t="str">
        <f aca="false">IF($O208="✓","✓",IF(ISNUMBER($O208),TEXT($O208,"yyyy-mm-dd"),IF($A208="","",IF(SUMPRODUCT(('Formation Initiale'!$A$2:$A$999=$A208)*('Formation Initiale'!$R$2:$R$999="Terminé"))&gt;0,"✓",IF(SUMPRODUCT(MAX(('Formation Initiale'!$A$2:$A$999=$A208)*'Formation Initiale'!$G$2:$G$999))&gt;0,TEXT(SUMPRODUCT(MAX(('Formation Initiale'!$A$2:$A$999=$A208)*'Formation Initiale'!$G$2:$G$999)),"yyyy-mm-dd"),"")))))</f>
        <v/>
      </c>
      <c r="F208" s="131" t="str">
        <f aca="false">IF($P208="✓","✓",IF(ISNUMBER($P208),TEXT($P208,"yyyy-mm-dd"),IF($A208="","",IF($D208="Lisbonne","",IF(SUMPRODUCT(('Formation Initiale'!$A$2:$A$999=$A208)*('Formation Initiale'!$R$2:$R$999="Terminé"))&gt;0,"✓",IF(SUMPRODUCT(MAX(('Formation Initiale'!$A$2:$A$999=$A208)*'Formation Initiale'!$G$2:$G$999))&gt;0,TEXT(SUMPRODUCT(MAX(('Formation Initiale'!$A$2:$A$999=$A208)*'Formation Initiale'!$G$2:$G$999)),"yyyy-mm-dd"),""))))))</f>
        <v/>
      </c>
      <c r="G208" s="131" t="str">
        <f aca="false">IF($Q208="✓","✓",IF(ISNUMBER($Q208),TEXT($Q208,"yyyy-mm-dd"),IF($A208="","",IF(SUMPRODUCT(('Agences &amp; Après-vente'!$A$2:$A$1000=$A208)*(('Agences &amp; Après-vente'!$D$2:$D$1000="Agences")+('Agences &amp; Après-vente'!$D$2:$D$1000="Agences et Après-vente"))*('Agences &amp; Après-vente'!$I$2:$I$1000="DONE"))&gt;0,"✓",IF(SUMPRODUCT(MAX(('Agences &amp; Après-vente'!$A$2:$A$1000=$A208)*(('Agences &amp; Après-vente'!$D$2:$D$1000="Agences")+('Agences &amp; Après-vente'!$D$2:$D$1000="Agences et Après-vente"))*'Agences &amp; Après-vente'!$E$2:$E$1000))&gt;0,TEXT(SUMPRODUCT(MAX(('Agences &amp; Après-vente'!$A$2:$A$1000=$A208)*(('Agences &amp; Après-vente'!$D$2:$D$1000="Agences")+('Agences &amp; Après-vente'!$D$2:$D$1000="Agences et Après-vente"))*'Agences &amp; Après-vente'!$E$2:$E$1000)),"yyyy-mm-dd"),"")))))</f>
        <v/>
      </c>
      <c r="H208" s="131" t="str">
        <f aca="false">IF($R208="✓","✓",IF(ISNUMBER($R208),TEXT($R208,"yyyy-mm-dd"),IF($A208="","",IF($D208="Lisbonne","",IF(SUMPRODUCT(('Agences &amp; Après-vente'!$A$2:$A$1000=$A208)*(('Agences &amp; Après-vente'!$D$2:$D$1000="Agences")+('Agences &amp; Après-vente'!$D$2:$D$1000="Agences et Après-vente"))*('Agences &amp; Après-vente'!$I$2:$I$1000="DONE"))&gt;0,"✓",IF(SUMPRODUCT(MAX(('Agences &amp; Après-vente'!$A$2:$A$1000=$A208)*(('Agences &amp; Après-vente'!$D$2:$D$1000="Agences")+('Agences &amp; Après-vente'!$D$2:$D$1000="Agences et Après-vente"))*'Agences &amp; Après-vente'!$E$2:$E$1000))&gt;0,TEXT(SUMPRODUCT(MAX(('Agences &amp; Après-vente'!$A$2:$A$1000=$A208)*(('Agences &amp; Après-vente'!$D$2:$D$1000="Agences")+('Agences &amp; Après-vente'!$D$2:$D$1000="Agences et Après-vente"))*'Agences &amp; Après-vente'!$E$2:$E$1000)),"yyyy-mm-dd"),""))))))</f>
        <v/>
      </c>
      <c r="I208" s="131" t="str">
        <f aca="false">IF($S208="✓","✓",IF(ISNUMBER($S208),TEXT($S208,"yyyy-mm-dd"),IF($A208="","",IF(SUMPRODUCT(('Agences &amp; Après-vente'!$A$2:$A$1000=$A208)*(('Agences &amp; Après-vente'!$D$2:$D$1000="Après-vente")+('Agences &amp; Après-vente'!$D$2:$D$1000="Agences et Après-vente"))*('Agences &amp; Après-vente'!$I$2:$I$1000="DONE"))&gt;0,"✓",IF(SUMPRODUCT(MAX(('Agences &amp; Après-vente'!$A$2:$A$1000=$A208)*(('Agences &amp; Après-vente'!$D$2:$D$1000="Après-vente")+('Agences &amp; Après-vente'!$D$2:$D$1000="Agences et Après-vente"))*'Agences &amp; Après-vente'!$E$2:$E$1000))&gt;0,TEXT(SUMPRODUCT(MAX(('Agences &amp; Après-vente'!$A$2:$A$1000=$A208)*(('Agences &amp; Après-vente'!$D$2:$D$1000="Après-vente")+('Agences &amp; Après-vente'!$D$2:$D$1000="Agences et Après-vente"))*'Agences &amp; Après-vente'!$E$2:$E$1000)),"yyyy-mm-dd"),"")))))</f>
        <v/>
      </c>
      <c r="J208" s="131" t="str">
        <f aca="false">IF($T208="✓","✓",IF(ISNUMBER($T208),TEXT($T208,"yyyy-mm-dd"),IF($A208="","",IF($D208="Lisbonne","",IF(SUMPRODUCT(('Agences &amp; Après-vente'!$A$2:$A$1000=$A208)*(('Agences &amp; Après-vente'!$D$2:$D$1000="Après-vente")+('Agences &amp; Après-vente'!$D$2:$D$1000="Agences et Après-vente"))*('Agences &amp; Après-vente'!$I$2:$I$1000="DONE"))&gt;0,"✓",IF(SUMPRODUCT(MAX(('Agences &amp; Après-vente'!$A$2:$A$1000=$A208)*(('Agences &amp; Après-vente'!$D$2:$D$1000="Après-vente")+('Agences &amp; Après-vente'!$D$2:$D$1000="Agences et Après-vente"))*'Agences &amp; Après-vente'!$E$2:$E$1000))&gt;0,TEXT(SUMPRODUCT(MAX(('Agences &amp; Après-vente'!$A$2:$A$1000=$A208)*(('Agences &amp; Après-vente'!$D$2:$D$1000="Après-vente")+('Agences &amp; Après-vente'!$D$2:$D$1000="Agences et Après-vente"))*'Agences &amp; Après-vente'!$E$2:$E$1000)),"yyyy-mm-dd"),""))))))</f>
        <v/>
      </c>
      <c r="K208" s="131" t="str">
        <f aca="false">IF($U208="✓","✓",IF(ISNUMBER($U208),TEXT($U208,"yyyy-mm-dd"),IF($D208="Lisbonne","",IF($A208="","",IF(SUMPRODUCT((Evermont!$A$2:$A$1000=$A208)*(Evermont!$Q$2:$Q$1000="Terminé"))&gt;0,"✓",IF(SUMPRODUCT(MAX((Evermont!$A$2:$A$1000=$A208)*Evermont!$F$2:$F$1000))&gt;0,TEXT(SUMPRODUCT(MAX((Evermont!$A$2:$A$1000=$A208)*Evermont!$F$2:$F$1000)),"yyyy-mm-dd"),""))))))</f>
        <v/>
      </c>
      <c r="L208" s="131" t="str">
        <f aca="false">IF($A208="","",COUNTIF(E208:K208,"✓"))</f>
        <v/>
      </c>
      <c r="M208" s="131" t="str">
        <f aca="false">IF(B208="","","Active")</f>
        <v/>
      </c>
      <c r="W208" s="120" t="str">
        <f aca="false">IF($A208="","",IF($X208&lt;&gt;"",$X208,IFERROR(INDEX('Formation Initiale'!$B$2:$B$999,MATCH($A208,'Formation Initiale'!$A$2:$A$999,0)),"Général")))</f>
        <v/>
      </c>
    </row>
    <row r="209" customFormat="false" ht="15" hidden="true" customHeight="true" outlineLevel="0" collapsed="false">
      <c r="A209" s="142" t="str">
        <f aca="false">IF(B209="","","TR"&amp;TEXT(ROW()-1,"000"))</f>
        <v/>
      </c>
      <c r="E209" s="130" t="str">
        <f aca="false">IF($O209="✓","✓",IF(ISNUMBER($O209),TEXT($O209,"yyyy-mm-dd"),IF($A209="","",IF(SUMPRODUCT(('Formation Initiale'!$A$2:$A$999=$A209)*('Formation Initiale'!$R$2:$R$999="Terminé"))&gt;0,"✓",IF(SUMPRODUCT(MAX(('Formation Initiale'!$A$2:$A$999=$A209)*'Formation Initiale'!$G$2:$G$999))&gt;0,TEXT(SUMPRODUCT(MAX(('Formation Initiale'!$A$2:$A$999=$A209)*'Formation Initiale'!$G$2:$G$999)),"yyyy-mm-dd"),"")))))</f>
        <v/>
      </c>
      <c r="F209" s="131" t="str">
        <f aca="false">IF($P209="✓","✓",IF(ISNUMBER($P209),TEXT($P209,"yyyy-mm-dd"),IF($A209="","",IF($D209="Lisbonne","",IF(SUMPRODUCT(('Formation Initiale'!$A$2:$A$999=$A209)*('Formation Initiale'!$R$2:$R$999="Terminé"))&gt;0,"✓",IF(SUMPRODUCT(MAX(('Formation Initiale'!$A$2:$A$999=$A209)*'Formation Initiale'!$G$2:$G$999))&gt;0,TEXT(SUMPRODUCT(MAX(('Formation Initiale'!$A$2:$A$999=$A209)*'Formation Initiale'!$G$2:$G$999)),"yyyy-mm-dd"),""))))))</f>
        <v/>
      </c>
      <c r="G209" s="131" t="str">
        <f aca="false">IF($Q209="✓","✓",IF(ISNUMBER($Q209),TEXT($Q209,"yyyy-mm-dd"),IF($A209="","",IF(SUMPRODUCT(('Agences &amp; Après-vente'!$A$2:$A$1000=$A209)*(('Agences &amp; Après-vente'!$D$2:$D$1000="Agences")+('Agences &amp; Après-vente'!$D$2:$D$1000="Agences et Après-vente"))*('Agences &amp; Après-vente'!$I$2:$I$1000="DONE"))&gt;0,"✓",IF(SUMPRODUCT(MAX(('Agences &amp; Après-vente'!$A$2:$A$1000=$A209)*(('Agences &amp; Après-vente'!$D$2:$D$1000="Agences")+('Agences &amp; Après-vente'!$D$2:$D$1000="Agences et Après-vente"))*'Agences &amp; Après-vente'!$E$2:$E$1000))&gt;0,TEXT(SUMPRODUCT(MAX(('Agences &amp; Après-vente'!$A$2:$A$1000=$A209)*(('Agences &amp; Après-vente'!$D$2:$D$1000="Agences")+('Agences &amp; Après-vente'!$D$2:$D$1000="Agences et Après-vente"))*'Agences &amp; Après-vente'!$E$2:$E$1000)),"yyyy-mm-dd"),"")))))</f>
        <v/>
      </c>
      <c r="H209" s="131" t="str">
        <f aca="false">IF($R209="✓","✓",IF(ISNUMBER($R209),TEXT($R209,"yyyy-mm-dd"),IF($A209="","",IF($D209="Lisbonne","",IF(SUMPRODUCT(('Agences &amp; Après-vente'!$A$2:$A$1000=$A209)*(('Agences &amp; Après-vente'!$D$2:$D$1000="Agences")+('Agences &amp; Après-vente'!$D$2:$D$1000="Agences et Après-vente"))*('Agences &amp; Après-vente'!$I$2:$I$1000="DONE"))&gt;0,"✓",IF(SUMPRODUCT(MAX(('Agences &amp; Après-vente'!$A$2:$A$1000=$A209)*(('Agences &amp; Après-vente'!$D$2:$D$1000="Agences")+('Agences &amp; Après-vente'!$D$2:$D$1000="Agences et Après-vente"))*'Agences &amp; Après-vente'!$E$2:$E$1000))&gt;0,TEXT(SUMPRODUCT(MAX(('Agences &amp; Après-vente'!$A$2:$A$1000=$A209)*(('Agences &amp; Après-vente'!$D$2:$D$1000="Agences")+('Agences &amp; Après-vente'!$D$2:$D$1000="Agences et Après-vente"))*'Agences &amp; Après-vente'!$E$2:$E$1000)),"yyyy-mm-dd"),""))))))</f>
        <v/>
      </c>
      <c r="I209" s="131" t="str">
        <f aca="false">IF($S209="✓","✓",IF(ISNUMBER($S209),TEXT($S209,"yyyy-mm-dd"),IF($A209="","",IF(SUMPRODUCT(('Agences &amp; Après-vente'!$A$2:$A$1000=$A209)*(('Agences &amp; Après-vente'!$D$2:$D$1000="Après-vente")+('Agences &amp; Après-vente'!$D$2:$D$1000="Agences et Après-vente"))*('Agences &amp; Après-vente'!$I$2:$I$1000="DONE"))&gt;0,"✓",IF(SUMPRODUCT(MAX(('Agences &amp; Après-vente'!$A$2:$A$1000=$A209)*(('Agences &amp; Après-vente'!$D$2:$D$1000="Après-vente")+('Agences &amp; Après-vente'!$D$2:$D$1000="Agences et Après-vente"))*'Agences &amp; Après-vente'!$E$2:$E$1000))&gt;0,TEXT(SUMPRODUCT(MAX(('Agences &amp; Après-vente'!$A$2:$A$1000=$A209)*(('Agences &amp; Après-vente'!$D$2:$D$1000="Après-vente")+('Agences &amp; Après-vente'!$D$2:$D$1000="Agences et Après-vente"))*'Agences &amp; Après-vente'!$E$2:$E$1000)),"yyyy-mm-dd"),"")))))</f>
        <v/>
      </c>
      <c r="J209" s="131" t="str">
        <f aca="false">IF($T209="✓","✓",IF(ISNUMBER($T209),TEXT($T209,"yyyy-mm-dd"),IF($A209="","",IF($D209="Lisbonne","",IF(SUMPRODUCT(('Agences &amp; Après-vente'!$A$2:$A$1000=$A209)*(('Agences &amp; Après-vente'!$D$2:$D$1000="Après-vente")+('Agences &amp; Après-vente'!$D$2:$D$1000="Agences et Après-vente"))*('Agences &amp; Après-vente'!$I$2:$I$1000="DONE"))&gt;0,"✓",IF(SUMPRODUCT(MAX(('Agences &amp; Après-vente'!$A$2:$A$1000=$A209)*(('Agences &amp; Après-vente'!$D$2:$D$1000="Après-vente")+('Agences &amp; Après-vente'!$D$2:$D$1000="Agences et Après-vente"))*'Agences &amp; Après-vente'!$E$2:$E$1000))&gt;0,TEXT(SUMPRODUCT(MAX(('Agences &amp; Après-vente'!$A$2:$A$1000=$A209)*(('Agences &amp; Après-vente'!$D$2:$D$1000="Après-vente")+('Agences &amp; Après-vente'!$D$2:$D$1000="Agences et Après-vente"))*'Agences &amp; Après-vente'!$E$2:$E$1000)),"yyyy-mm-dd"),""))))))</f>
        <v/>
      </c>
      <c r="K209" s="131" t="str">
        <f aca="false">IF($U209="✓","✓",IF(ISNUMBER($U209),TEXT($U209,"yyyy-mm-dd"),IF($D209="Lisbonne","",IF($A209="","",IF(SUMPRODUCT((Evermont!$A$2:$A$1000=$A209)*(Evermont!$Q$2:$Q$1000="Terminé"))&gt;0,"✓",IF(SUMPRODUCT(MAX((Evermont!$A$2:$A$1000=$A209)*Evermont!$F$2:$F$1000))&gt;0,TEXT(SUMPRODUCT(MAX((Evermont!$A$2:$A$1000=$A209)*Evermont!$F$2:$F$1000)),"yyyy-mm-dd"),""))))))</f>
        <v/>
      </c>
      <c r="L209" s="131" t="str">
        <f aca="false">IF($A209="","",COUNTIF(E209:K209,"✓"))</f>
        <v/>
      </c>
      <c r="M209" s="131" t="str">
        <f aca="false">IF(B209="","","Active")</f>
        <v/>
      </c>
      <c r="W209" s="120" t="str">
        <f aca="false">IF($A209="","",IF($X209&lt;&gt;"",$X209,IFERROR(INDEX('Formation Initiale'!$B$2:$B$999,MATCH($A209,'Formation Initiale'!$A$2:$A$999,0)),"Général")))</f>
        <v/>
      </c>
    </row>
    <row r="210" customFormat="false" ht="15" hidden="true" customHeight="true" outlineLevel="0" collapsed="false">
      <c r="A210" s="142" t="str">
        <f aca="false">IF(B210="","","TR"&amp;TEXT(ROW()-1,"000"))</f>
        <v/>
      </c>
      <c r="E210" s="130" t="str">
        <f aca="false">IF($O210="✓","✓",IF(ISNUMBER($O210),TEXT($O210,"yyyy-mm-dd"),IF($A210="","",IF(SUMPRODUCT(('Formation Initiale'!$A$2:$A$999=$A210)*('Formation Initiale'!$R$2:$R$999="Terminé"))&gt;0,"✓",IF(SUMPRODUCT(MAX(('Formation Initiale'!$A$2:$A$999=$A210)*'Formation Initiale'!$G$2:$G$999))&gt;0,TEXT(SUMPRODUCT(MAX(('Formation Initiale'!$A$2:$A$999=$A210)*'Formation Initiale'!$G$2:$G$999)),"yyyy-mm-dd"),"")))))</f>
        <v/>
      </c>
      <c r="F210" s="131" t="str">
        <f aca="false">IF($P210="✓","✓",IF(ISNUMBER($P210),TEXT($P210,"yyyy-mm-dd"),IF($A210="","",IF($D210="Lisbonne","",IF(SUMPRODUCT(('Formation Initiale'!$A$2:$A$999=$A210)*('Formation Initiale'!$R$2:$R$999="Terminé"))&gt;0,"✓",IF(SUMPRODUCT(MAX(('Formation Initiale'!$A$2:$A$999=$A210)*'Formation Initiale'!$G$2:$G$999))&gt;0,TEXT(SUMPRODUCT(MAX(('Formation Initiale'!$A$2:$A$999=$A210)*'Formation Initiale'!$G$2:$G$999)),"yyyy-mm-dd"),""))))))</f>
        <v/>
      </c>
      <c r="G210" s="131" t="str">
        <f aca="false">IF($Q210="✓","✓",IF(ISNUMBER($Q210),TEXT($Q210,"yyyy-mm-dd"),IF($A210="","",IF(SUMPRODUCT(('Agences &amp; Après-vente'!$A$2:$A$1000=$A210)*(('Agences &amp; Après-vente'!$D$2:$D$1000="Agences")+('Agences &amp; Après-vente'!$D$2:$D$1000="Agences et Après-vente"))*('Agences &amp; Après-vente'!$I$2:$I$1000="DONE"))&gt;0,"✓",IF(SUMPRODUCT(MAX(('Agences &amp; Après-vente'!$A$2:$A$1000=$A210)*(('Agences &amp; Après-vente'!$D$2:$D$1000="Agences")+('Agences &amp; Après-vente'!$D$2:$D$1000="Agences et Après-vente"))*'Agences &amp; Après-vente'!$E$2:$E$1000))&gt;0,TEXT(SUMPRODUCT(MAX(('Agences &amp; Après-vente'!$A$2:$A$1000=$A210)*(('Agences &amp; Après-vente'!$D$2:$D$1000="Agences")+('Agences &amp; Après-vente'!$D$2:$D$1000="Agences et Après-vente"))*'Agences &amp; Après-vente'!$E$2:$E$1000)),"yyyy-mm-dd"),"")))))</f>
        <v/>
      </c>
      <c r="H210" s="131" t="str">
        <f aca="false">IF($R210="✓","✓",IF(ISNUMBER($R210),TEXT($R210,"yyyy-mm-dd"),IF($A210="","",IF($D210="Lisbonne","",IF(SUMPRODUCT(('Agences &amp; Après-vente'!$A$2:$A$1000=$A210)*(('Agences &amp; Après-vente'!$D$2:$D$1000="Agences")+('Agences &amp; Après-vente'!$D$2:$D$1000="Agences et Après-vente"))*('Agences &amp; Après-vente'!$I$2:$I$1000="DONE"))&gt;0,"✓",IF(SUMPRODUCT(MAX(('Agences &amp; Après-vente'!$A$2:$A$1000=$A210)*(('Agences &amp; Après-vente'!$D$2:$D$1000="Agences")+('Agences &amp; Après-vente'!$D$2:$D$1000="Agences et Après-vente"))*'Agences &amp; Après-vente'!$E$2:$E$1000))&gt;0,TEXT(SUMPRODUCT(MAX(('Agences &amp; Après-vente'!$A$2:$A$1000=$A210)*(('Agences &amp; Après-vente'!$D$2:$D$1000="Agences")+('Agences &amp; Après-vente'!$D$2:$D$1000="Agences et Après-vente"))*'Agences &amp; Après-vente'!$E$2:$E$1000)),"yyyy-mm-dd"),""))))))</f>
        <v/>
      </c>
      <c r="I210" s="131" t="str">
        <f aca="false">IF($S210="✓","✓",IF(ISNUMBER($S210),TEXT($S210,"yyyy-mm-dd"),IF($A210="","",IF(SUMPRODUCT(('Agences &amp; Après-vente'!$A$2:$A$1000=$A210)*(('Agences &amp; Après-vente'!$D$2:$D$1000="Après-vente")+('Agences &amp; Après-vente'!$D$2:$D$1000="Agences et Après-vente"))*('Agences &amp; Après-vente'!$I$2:$I$1000="DONE"))&gt;0,"✓",IF(SUMPRODUCT(MAX(('Agences &amp; Après-vente'!$A$2:$A$1000=$A210)*(('Agences &amp; Après-vente'!$D$2:$D$1000="Après-vente")+('Agences &amp; Après-vente'!$D$2:$D$1000="Agences et Après-vente"))*'Agences &amp; Après-vente'!$E$2:$E$1000))&gt;0,TEXT(SUMPRODUCT(MAX(('Agences &amp; Après-vente'!$A$2:$A$1000=$A210)*(('Agences &amp; Après-vente'!$D$2:$D$1000="Après-vente")+('Agences &amp; Après-vente'!$D$2:$D$1000="Agences et Après-vente"))*'Agences &amp; Après-vente'!$E$2:$E$1000)),"yyyy-mm-dd"),"")))))</f>
        <v/>
      </c>
      <c r="J210" s="131" t="str">
        <f aca="false">IF($T210="✓","✓",IF(ISNUMBER($T210),TEXT($T210,"yyyy-mm-dd"),IF($A210="","",IF($D210="Lisbonne","",IF(SUMPRODUCT(('Agences &amp; Après-vente'!$A$2:$A$1000=$A210)*(('Agences &amp; Après-vente'!$D$2:$D$1000="Après-vente")+('Agences &amp; Après-vente'!$D$2:$D$1000="Agences et Après-vente"))*('Agences &amp; Après-vente'!$I$2:$I$1000="DONE"))&gt;0,"✓",IF(SUMPRODUCT(MAX(('Agences &amp; Après-vente'!$A$2:$A$1000=$A210)*(('Agences &amp; Après-vente'!$D$2:$D$1000="Après-vente")+('Agences &amp; Après-vente'!$D$2:$D$1000="Agences et Après-vente"))*'Agences &amp; Après-vente'!$E$2:$E$1000))&gt;0,TEXT(SUMPRODUCT(MAX(('Agences &amp; Après-vente'!$A$2:$A$1000=$A210)*(('Agences &amp; Après-vente'!$D$2:$D$1000="Après-vente")+('Agences &amp; Après-vente'!$D$2:$D$1000="Agences et Après-vente"))*'Agences &amp; Après-vente'!$E$2:$E$1000)),"yyyy-mm-dd"),""))))))</f>
        <v/>
      </c>
      <c r="K210" s="131" t="str">
        <f aca="false">IF($U210="✓","✓",IF(ISNUMBER($U210),TEXT($U210,"yyyy-mm-dd"),IF($D210="Lisbonne","",IF($A210="","",IF(SUMPRODUCT((Evermont!$A$2:$A$1000=$A210)*(Evermont!$Q$2:$Q$1000="Terminé"))&gt;0,"✓",IF(SUMPRODUCT(MAX((Evermont!$A$2:$A$1000=$A210)*Evermont!$F$2:$F$1000))&gt;0,TEXT(SUMPRODUCT(MAX((Evermont!$A$2:$A$1000=$A210)*Evermont!$F$2:$F$1000)),"yyyy-mm-dd"),""))))))</f>
        <v/>
      </c>
      <c r="L210" s="131" t="str">
        <f aca="false">IF($A210="","",COUNTIF(E210:K210,"✓"))</f>
        <v/>
      </c>
      <c r="M210" s="131" t="str">
        <f aca="false">IF(B210="","","Active")</f>
        <v/>
      </c>
      <c r="W210" s="120" t="str">
        <f aca="false">IF($A210="","",IF($X210&lt;&gt;"",$X210,IFERROR(INDEX('Formation Initiale'!$B$2:$B$999,MATCH($A210,'Formation Initiale'!$A$2:$A$999,0)),"Général")))</f>
        <v/>
      </c>
    </row>
    <row r="211" customFormat="false" ht="15" hidden="true" customHeight="true" outlineLevel="0" collapsed="false">
      <c r="A211" s="142" t="str">
        <f aca="false">IF(B211="","","TR"&amp;TEXT(ROW()-1,"000"))</f>
        <v/>
      </c>
      <c r="E211" s="130" t="str">
        <f aca="false">IF($O211="✓","✓",IF(ISNUMBER($O211),TEXT($O211,"yyyy-mm-dd"),IF($A211="","",IF(SUMPRODUCT(('Formation Initiale'!$A$2:$A$999=$A211)*('Formation Initiale'!$R$2:$R$999="Terminé"))&gt;0,"✓",IF(SUMPRODUCT(MAX(('Formation Initiale'!$A$2:$A$999=$A211)*'Formation Initiale'!$G$2:$G$999))&gt;0,TEXT(SUMPRODUCT(MAX(('Formation Initiale'!$A$2:$A$999=$A211)*'Formation Initiale'!$G$2:$G$999)),"yyyy-mm-dd"),"")))))</f>
        <v/>
      </c>
      <c r="F211" s="131" t="str">
        <f aca="false">IF($P211="✓","✓",IF(ISNUMBER($P211),TEXT($P211,"yyyy-mm-dd"),IF($A211="","",IF($D211="Lisbonne","",IF(SUMPRODUCT(('Formation Initiale'!$A$2:$A$999=$A211)*('Formation Initiale'!$R$2:$R$999="Terminé"))&gt;0,"✓",IF(SUMPRODUCT(MAX(('Formation Initiale'!$A$2:$A$999=$A211)*'Formation Initiale'!$G$2:$G$999))&gt;0,TEXT(SUMPRODUCT(MAX(('Formation Initiale'!$A$2:$A$999=$A211)*'Formation Initiale'!$G$2:$G$999)),"yyyy-mm-dd"),""))))))</f>
        <v/>
      </c>
      <c r="G211" s="131" t="str">
        <f aca="false">IF($Q211="✓","✓",IF(ISNUMBER($Q211),TEXT($Q211,"yyyy-mm-dd"),IF($A211="","",IF(SUMPRODUCT(('Agences &amp; Après-vente'!$A$2:$A$1000=$A211)*(('Agences &amp; Après-vente'!$D$2:$D$1000="Agences")+('Agences &amp; Après-vente'!$D$2:$D$1000="Agences et Après-vente"))*('Agences &amp; Après-vente'!$I$2:$I$1000="DONE"))&gt;0,"✓",IF(SUMPRODUCT(MAX(('Agences &amp; Après-vente'!$A$2:$A$1000=$A211)*(('Agences &amp; Après-vente'!$D$2:$D$1000="Agences")+('Agences &amp; Après-vente'!$D$2:$D$1000="Agences et Après-vente"))*'Agences &amp; Après-vente'!$E$2:$E$1000))&gt;0,TEXT(SUMPRODUCT(MAX(('Agences &amp; Après-vente'!$A$2:$A$1000=$A211)*(('Agences &amp; Après-vente'!$D$2:$D$1000="Agences")+('Agences &amp; Après-vente'!$D$2:$D$1000="Agences et Après-vente"))*'Agences &amp; Après-vente'!$E$2:$E$1000)),"yyyy-mm-dd"),"")))))</f>
        <v/>
      </c>
      <c r="H211" s="131" t="str">
        <f aca="false">IF($R211="✓","✓",IF(ISNUMBER($R211),TEXT($R211,"yyyy-mm-dd"),IF($A211="","",IF($D211="Lisbonne","",IF(SUMPRODUCT(('Agences &amp; Après-vente'!$A$2:$A$1000=$A211)*(('Agences &amp; Après-vente'!$D$2:$D$1000="Agences")+('Agences &amp; Après-vente'!$D$2:$D$1000="Agences et Après-vente"))*('Agences &amp; Après-vente'!$I$2:$I$1000="DONE"))&gt;0,"✓",IF(SUMPRODUCT(MAX(('Agences &amp; Après-vente'!$A$2:$A$1000=$A211)*(('Agences &amp; Après-vente'!$D$2:$D$1000="Agences")+('Agences &amp; Après-vente'!$D$2:$D$1000="Agences et Après-vente"))*'Agences &amp; Après-vente'!$E$2:$E$1000))&gt;0,TEXT(SUMPRODUCT(MAX(('Agences &amp; Après-vente'!$A$2:$A$1000=$A211)*(('Agences &amp; Après-vente'!$D$2:$D$1000="Agences")+('Agences &amp; Après-vente'!$D$2:$D$1000="Agences et Après-vente"))*'Agences &amp; Après-vente'!$E$2:$E$1000)),"yyyy-mm-dd"),""))))))</f>
        <v/>
      </c>
      <c r="I211" s="131" t="str">
        <f aca="false">IF($S211="✓","✓",IF(ISNUMBER($S211),TEXT($S211,"yyyy-mm-dd"),IF($A211="","",IF(SUMPRODUCT(('Agences &amp; Après-vente'!$A$2:$A$1000=$A211)*(('Agences &amp; Après-vente'!$D$2:$D$1000="Après-vente")+('Agences &amp; Après-vente'!$D$2:$D$1000="Agences et Après-vente"))*('Agences &amp; Après-vente'!$I$2:$I$1000="DONE"))&gt;0,"✓",IF(SUMPRODUCT(MAX(('Agences &amp; Après-vente'!$A$2:$A$1000=$A211)*(('Agences &amp; Après-vente'!$D$2:$D$1000="Après-vente")+('Agences &amp; Après-vente'!$D$2:$D$1000="Agences et Après-vente"))*'Agences &amp; Après-vente'!$E$2:$E$1000))&gt;0,TEXT(SUMPRODUCT(MAX(('Agences &amp; Après-vente'!$A$2:$A$1000=$A211)*(('Agences &amp; Après-vente'!$D$2:$D$1000="Après-vente")+('Agences &amp; Après-vente'!$D$2:$D$1000="Agences et Après-vente"))*'Agences &amp; Après-vente'!$E$2:$E$1000)),"yyyy-mm-dd"),"")))))</f>
        <v/>
      </c>
      <c r="J211" s="131" t="str">
        <f aca="false">IF($T211="✓","✓",IF(ISNUMBER($T211),TEXT($T211,"yyyy-mm-dd"),IF($A211="","",IF($D211="Lisbonne","",IF(SUMPRODUCT(('Agences &amp; Après-vente'!$A$2:$A$1000=$A211)*(('Agences &amp; Après-vente'!$D$2:$D$1000="Après-vente")+('Agences &amp; Après-vente'!$D$2:$D$1000="Agences et Après-vente"))*('Agences &amp; Après-vente'!$I$2:$I$1000="DONE"))&gt;0,"✓",IF(SUMPRODUCT(MAX(('Agences &amp; Après-vente'!$A$2:$A$1000=$A211)*(('Agences &amp; Après-vente'!$D$2:$D$1000="Après-vente")+('Agences &amp; Après-vente'!$D$2:$D$1000="Agences et Après-vente"))*'Agences &amp; Après-vente'!$E$2:$E$1000))&gt;0,TEXT(SUMPRODUCT(MAX(('Agences &amp; Après-vente'!$A$2:$A$1000=$A211)*(('Agences &amp; Après-vente'!$D$2:$D$1000="Après-vente")+('Agences &amp; Après-vente'!$D$2:$D$1000="Agences et Après-vente"))*'Agences &amp; Après-vente'!$E$2:$E$1000)),"yyyy-mm-dd"),""))))))</f>
        <v/>
      </c>
      <c r="K211" s="131" t="str">
        <f aca="false">IF($U211="✓","✓",IF(ISNUMBER($U211),TEXT($U211,"yyyy-mm-dd"),IF($D211="Lisbonne","",IF($A211="","",IF(SUMPRODUCT((Evermont!$A$2:$A$1000=$A211)*(Evermont!$Q$2:$Q$1000="Terminé"))&gt;0,"✓",IF(SUMPRODUCT(MAX((Evermont!$A$2:$A$1000=$A211)*Evermont!$F$2:$F$1000))&gt;0,TEXT(SUMPRODUCT(MAX((Evermont!$A$2:$A$1000=$A211)*Evermont!$F$2:$F$1000)),"yyyy-mm-dd"),""))))))</f>
        <v/>
      </c>
      <c r="L211" s="131" t="str">
        <f aca="false">IF($A211="","",COUNTIF(E211:K211,"✓"))</f>
        <v/>
      </c>
      <c r="M211" s="131" t="str">
        <f aca="false">IF(B211="","","Active")</f>
        <v/>
      </c>
      <c r="W211" s="120" t="str">
        <f aca="false">IF($A211="","",IF($X211&lt;&gt;"",$X211,IFERROR(INDEX('Formation Initiale'!$B$2:$B$999,MATCH($A211,'Formation Initiale'!$A$2:$A$999,0)),"Général")))</f>
        <v/>
      </c>
    </row>
    <row r="212" customFormat="false" ht="15" hidden="true" customHeight="true" outlineLevel="0" collapsed="false">
      <c r="A212" s="142" t="str">
        <f aca="false">IF(B212="","","TR"&amp;TEXT(ROW()-1,"000"))</f>
        <v/>
      </c>
      <c r="E212" s="130" t="str">
        <f aca="false">IF($O212="✓","✓",IF(ISNUMBER($O212),TEXT($O212,"yyyy-mm-dd"),IF($A212="","",IF(SUMPRODUCT(('Formation Initiale'!$A$2:$A$999=$A212)*('Formation Initiale'!$R$2:$R$999="Terminé"))&gt;0,"✓",IF(SUMPRODUCT(MAX(('Formation Initiale'!$A$2:$A$999=$A212)*'Formation Initiale'!$G$2:$G$999))&gt;0,TEXT(SUMPRODUCT(MAX(('Formation Initiale'!$A$2:$A$999=$A212)*'Formation Initiale'!$G$2:$G$999)),"yyyy-mm-dd"),"")))))</f>
        <v/>
      </c>
      <c r="F212" s="131" t="str">
        <f aca="false">IF($P212="✓","✓",IF(ISNUMBER($P212),TEXT($P212,"yyyy-mm-dd"),IF($A212="","",IF($D212="Lisbonne","",IF(SUMPRODUCT(('Formation Initiale'!$A$2:$A$999=$A212)*('Formation Initiale'!$R$2:$R$999="Terminé"))&gt;0,"✓",IF(SUMPRODUCT(MAX(('Formation Initiale'!$A$2:$A$999=$A212)*'Formation Initiale'!$G$2:$G$999))&gt;0,TEXT(SUMPRODUCT(MAX(('Formation Initiale'!$A$2:$A$999=$A212)*'Formation Initiale'!$G$2:$G$999)),"yyyy-mm-dd"),""))))))</f>
        <v/>
      </c>
      <c r="G212" s="131" t="str">
        <f aca="false">IF($Q212="✓","✓",IF(ISNUMBER($Q212),TEXT($Q212,"yyyy-mm-dd"),IF($A212="","",IF(SUMPRODUCT(('Agences &amp; Après-vente'!$A$2:$A$1000=$A212)*(('Agences &amp; Après-vente'!$D$2:$D$1000="Agences")+('Agences &amp; Après-vente'!$D$2:$D$1000="Agences et Après-vente"))*('Agences &amp; Après-vente'!$I$2:$I$1000="DONE"))&gt;0,"✓",IF(SUMPRODUCT(MAX(('Agences &amp; Après-vente'!$A$2:$A$1000=$A212)*(('Agences &amp; Après-vente'!$D$2:$D$1000="Agences")+('Agences &amp; Après-vente'!$D$2:$D$1000="Agences et Après-vente"))*'Agences &amp; Après-vente'!$E$2:$E$1000))&gt;0,TEXT(SUMPRODUCT(MAX(('Agences &amp; Après-vente'!$A$2:$A$1000=$A212)*(('Agences &amp; Après-vente'!$D$2:$D$1000="Agences")+('Agences &amp; Après-vente'!$D$2:$D$1000="Agences et Après-vente"))*'Agences &amp; Après-vente'!$E$2:$E$1000)),"yyyy-mm-dd"),"")))))</f>
        <v/>
      </c>
      <c r="H212" s="131" t="str">
        <f aca="false">IF($R212="✓","✓",IF(ISNUMBER($R212),TEXT($R212,"yyyy-mm-dd"),IF($A212="","",IF($D212="Lisbonne","",IF(SUMPRODUCT(('Agences &amp; Après-vente'!$A$2:$A$1000=$A212)*(('Agences &amp; Après-vente'!$D$2:$D$1000="Agences")+('Agences &amp; Après-vente'!$D$2:$D$1000="Agences et Après-vente"))*('Agences &amp; Après-vente'!$I$2:$I$1000="DONE"))&gt;0,"✓",IF(SUMPRODUCT(MAX(('Agences &amp; Après-vente'!$A$2:$A$1000=$A212)*(('Agences &amp; Après-vente'!$D$2:$D$1000="Agences")+('Agences &amp; Après-vente'!$D$2:$D$1000="Agences et Après-vente"))*'Agences &amp; Après-vente'!$E$2:$E$1000))&gt;0,TEXT(SUMPRODUCT(MAX(('Agences &amp; Après-vente'!$A$2:$A$1000=$A212)*(('Agences &amp; Après-vente'!$D$2:$D$1000="Agences")+('Agences &amp; Après-vente'!$D$2:$D$1000="Agences et Après-vente"))*'Agences &amp; Après-vente'!$E$2:$E$1000)),"yyyy-mm-dd"),""))))))</f>
        <v/>
      </c>
      <c r="I212" s="131" t="str">
        <f aca="false">IF($S212="✓","✓",IF(ISNUMBER($S212),TEXT($S212,"yyyy-mm-dd"),IF($A212="","",IF(SUMPRODUCT(('Agences &amp; Après-vente'!$A$2:$A$1000=$A212)*(('Agences &amp; Après-vente'!$D$2:$D$1000="Après-vente")+('Agences &amp; Après-vente'!$D$2:$D$1000="Agences et Après-vente"))*('Agences &amp; Après-vente'!$I$2:$I$1000="DONE"))&gt;0,"✓",IF(SUMPRODUCT(MAX(('Agences &amp; Après-vente'!$A$2:$A$1000=$A212)*(('Agences &amp; Après-vente'!$D$2:$D$1000="Après-vente")+('Agences &amp; Après-vente'!$D$2:$D$1000="Agences et Après-vente"))*'Agences &amp; Après-vente'!$E$2:$E$1000))&gt;0,TEXT(SUMPRODUCT(MAX(('Agences &amp; Après-vente'!$A$2:$A$1000=$A212)*(('Agences &amp; Après-vente'!$D$2:$D$1000="Après-vente")+('Agences &amp; Après-vente'!$D$2:$D$1000="Agences et Après-vente"))*'Agences &amp; Après-vente'!$E$2:$E$1000)),"yyyy-mm-dd"),"")))))</f>
        <v/>
      </c>
      <c r="J212" s="131" t="str">
        <f aca="false">IF($T212="✓","✓",IF(ISNUMBER($T212),TEXT($T212,"yyyy-mm-dd"),IF($A212="","",IF($D212="Lisbonne","",IF(SUMPRODUCT(('Agences &amp; Après-vente'!$A$2:$A$1000=$A212)*(('Agences &amp; Après-vente'!$D$2:$D$1000="Après-vente")+('Agences &amp; Après-vente'!$D$2:$D$1000="Agences et Après-vente"))*('Agences &amp; Après-vente'!$I$2:$I$1000="DONE"))&gt;0,"✓",IF(SUMPRODUCT(MAX(('Agences &amp; Après-vente'!$A$2:$A$1000=$A212)*(('Agences &amp; Après-vente'!$D$2:$D$1000="Après-vente")+('Agences &amp; Après-vente'!$D$2:$D$1000="Agences et Après-vente"))*'Agences &amp; Après-vente'!$E$2:$E$1000))&gt;0,TEXT(SUMPRODUCT(MAX(('Agences &amp; Après-vente'!$A$2:$A$1000=$A212)*(('Agences &amp; Après-vente'!$D$2:$D$1000="Après-vente")+('Agences &amp; Après-vente'!$D$2:$D$1000="Agences et Après-vente"))*'Agences &amp; Après-vente'!$E$2:$E$1000)),"yyyy-mm-dd"),""))))))</f>
        <v/>
      </c>
      <c r="K212" s="131" t="str">
        <f aca="false">IF($U212="✓","✓",IF(ISNUMBER($U212),TEXT($U212,"yyyy-mm-dd"),IF($D212="Lisbonne","",IF($A212="","",IF(SUMPRODUCT((Evermont!$A$2:$A$1000=$A212)*(Evermont!$Q$2:$Q$1000="Terminé"))&gt;0,"✓",IF(SUMPRODUCT(MAX((Evermont!$A$2:$A$1000=$A212)*Evermont!$F$2:$F$1000))&gt;0,TEXT(SUMPRODUCT(MAX((Evermont!$A$2:$A$1000=$A212)*Evermont!$F$2:$F$1000)),"yyyy-mm-dd"),""))))))</f>
        <v/>
      </c>
      <c r="L212" s="131" t="str">
        <f aca="false">IF($A212="","",COUNTIF(E212:K212,"✓"))</f>
        <v/>
      </c>
      <c r="M212" s="131" t="str">
        <f aca="false">IF(B212="","","Active")</f>
        <v/>
      </c>
      <c r="W212" s="120" t="str">
        <f aca="false">IF($A212="","",IF($X212&lt;&gt;"",$X212,IFERROR(INDEX('Formation Initiale'!$B$2:$B$999,MATCH($A212,'Formation Initiale'!$A$2:$A$999,0)),"Général")))</f>
        <v/>
      </c>
    </row>
    <row r="213" customFormat="false" ht="15" hidden="true" customHeight="true" outlineLevel="0" collapsed="false">
      <c r="A213" s="142" t="str">
        <f aca="false">IF(B213="","","TR"&amp;TEXT(ROW()-1,"000"))</f>
        <v/>
      </c>
      <c r="E213" s="130" t="str">
        <f aca="false">IF($O213="✓","✓",IF(ISNUMBER($O213),TEXT($O213,"yyyy-mm-dd"),IF($A213="","",IF(SUMPRODUCT(('Formation Initiale'!$A$2:$A$999=$A213)*('Formation Initiale'!$R$2:$R$999="Terminé"))&gt;0,"✓",IF(SUMPRODUCT(MAX(('Formation Initiale'!$A$2:$A$999=$A213)*'Formation Initiale'!$G$2:$G$999))&gt;0,TEXT(SUMPRODUCT(MAX(('Formation Initiale'!$A$2:$A$999=$A213)*'Formation Initiale'!$G$2:$G$999)),"yyyy-mm-dd"),"")))))</f>
        <v/>
      </c>
      <c r="F213" s="131" t="str">
        <f aca="false">IF($P213="✓","✓",IF(ISNUMBER($P213),TEXT($P213,"yyyy-mm-dd"),IF($A213="","",IF($D213="Lisbonne","",IF(SUMPRODUCT(('Formation Initiale'!$A$2:$A$999=$A213)*('Formation Initiale'!$R$2:$R$999="Terminé"))&gt;0,"✓",IF(SUMPRODUCT(MAX(('Formation Initiale'!$A$2:$A$999=$A213)*'Formation Initiale'!$G$2:$G$999))&gt;0,TEXT(SUMPRODUCT(MAX(('Formation Initiale'!$A$2:$A$999=$A213)*'Formation Initiale'!$G$2:$G$999)),"yyyy-mm-dd"),""))))))</f>
        <v/>
      </c>
      <c r="G213" s="131" t="str">
        <f aca="false">IF($Q213="✓","✓",IF(ISNUMBER($Q213),TEXT($Q213,"yyyy-mm-dd"),IF($A213="","",IF(SUMPRODUCT(('Agences &amp; Après-vente'!$A$2:$A$1000=$A213)*(('Agences &amp; Après-vente'!$D$2:$D$1000="Agences")+('Agences &amp; Après-vente'!$D$2:$D$1000="Agences et Après-vente"))*('Agences &amp; Après-vente'!$I$2:$I$1000="DONE"))&gt;0,"✓",IF(SUMPRODUCT(MAX(('Agences &amp; Après-vente'!$A$2:$A$1000=$A213)*(('Agences &amp; Après-vente'!$D$2:$D$1000="Agences")+('Agences &amp; Après-vente'!$D$2:$D$1000="Agences et Après-vente"))*'Agences &amp; Après-vente'!$E$2:$E$1000))&gt;0,TEXT(SUMPRODUCT(MAX(('Agences &amp; Après-vente'!$A$2:$A$1000=$A213)*(('Agences &amp; Après-vente'!$D$2:$D$1000="Agences")+('Agences &amp; Après-vente'!$D$2:$D$1000="Agences et Après-vente"))*'Agences &amp; Après-vente'!$E$2:$E$1000)),"yyyy-mm-dd"),"")))))</f>
        <v/>
      </c>
      <c r="H213" s="131" t="str">
        <f aca="false">IF($R213="✓","✓",IF(ISNUMBER($R213),TEXT($R213,"yyyy-mm-dd"),IF($A213="","",IF($D213="Lisbonne","",IF(SUMPRODUCT(('Agences &amp; Après-vente'!$A$2:$A$1000=$A213)*(('Agences &amp; Après-vente'!$D$2:$D$1000="Agences")+('Agences &amp; Après-vente'!$D$2:$D$1000="Agences et Après-vente"))*('Agences &amp; Après-vente'!$I$2:$I$1000="DONE"))&gt;0,"✓",IF(SUMPRODUCT(MAX(('Agences &amp; Après-vente'!$A$2:$A$1000=$A213)*(('Agences &amp; Après-vente'!$D$2:$D$1000="Agences")+('Agences &amp; Après-vente'!$D$2:$D$1000="Agences et Après-vente"))*'Agences &amp; Après-vente'!$E$2:$E$1000))&gt;0,TEXT(SUMPRODUCT(MAX(('Agences &amp; Après-vente'!$A$2:$A$1000=$A213)*(('Agences &amp; Après-vente'!$D$2:$D$1000="Agences")+('Agences &amp; Après-vente'!$D$2:$D$1000="Agences et Après-vente"))*'Agences &amp; Après-vente'!$E$2:$E$1000)),"yyyy-mm-dd"),""))))))</f>
        <v/>
      </c>
      <c r="I213" s="131" t="str">
        <f aca="false">IF($S213="✓","✓",IF(ISNUMBER($S213),TEXT($S213,"yyyy-mm-dd"),IF($A213="","",IF(SUMPRODUCT(('Agences &amp; Après-vente'!$A$2:$A$1000=$A213)*(('Agences &amp; Après-vente'!$D$2:$D$1000="Après-vente")+('Agences &amp; Après-vente'!$D$2:$D$1000="Agences et Après-vente"))*('Agences &amp; Après-vente'!$I$2:$I$1000="DONE"))&gt;0,"✓",IF(SUMPRODUCT(MAX(('Agences &amp; Après-vente'!$A$2:$A$1000=$A213)*(('Agences &amp; Après-vente'!$D$2:$D$1000="Après-vente")+('Agences &amp; Après-vente'!$D$2:$D$1000="Agences et Après-vente"))*'Agences &amp; Après-vente'!$E$2:$E$1000))&gt;0,TEXT(SUMPRODUCT(MAX(('Agences &amp; Après-vente'!$A$2:$A$1000=$A213)*(('Agences &amp; Après-vente'!$D$2:$D$1000="Après-vente")+('Agences &amp; Après-vente'!$D$2:$D$1000="Agences et Après-vente"))*'Agences &amp; Après-vente'!$E$2:$E$1000)),"yyyy-mm-dd"),"")))))</f>
        <v/>
      </c>
      <c r="J213" s="131" t="str">
        <f aca="false">IF($T213="✓","✓",IF(ISNUMBER($T213),TEXT($T213,"yyyy-mm-dd"),IF($A213="","",IF($D213="Lisbonne","",IF(SUMPRODUCT(('Agences &amp; Après-vente'!$A$2:$A$1000=$A213)*(('Agences &amp; Après-vente'!$D$2:$D$1000="Après-vente")+('Agences &amp; Après-vente'!$D$2:$D$1000="Agences et Après-vente"))*('Agences &amp; Après-vente'!$I$2:$I$1000="DONE"))&gt;0,"✓",IF(SUMPRODUCT(MAX(('Agences &amp; Après-vente'!$A$2:$A$1000=$A213)*(('Agences &amp; Après-vente'!$D$2:$D$1000="Après-vente")+('Agences &amp; Après-vente'!$D$2:$D$1000="Agences et Après-vente"))*'Agences &amp; Après-vente'!$E$2:$E$1000))&gt;0,TEXT(SUMPRODUCT(MAX(('Agences &amp; Après-vente'!$A$2:$A$1000=$A213)*(('Agences &amp; Après-vente'!$D$2:$D$1000="Après-vente")+('Agences &amp; Après-vente'!$D$2:$D$1000="Agences et Après-vente"))*'Agences &amp; Après-vente'!$E$2:$E$1000)),"yyyy-mm-dd"),""))))))</f>
        <v/>
      </c>
      <c r="K213" s="131" t="str">
        <f aca="false">IF($U213="✓","✓",IF(ISNUMBER($U213),TEXT($U213,"yyyy-mm-dd"),IF($D213="Lisbonne","",IF($A213="","",IF(SUMPRODUCT((Evermont!$A$2:$A$1000=$A213)*(Evermont!$Q$2:$Q$1000="Terminé"))&gt;0,"✓",IF(SUMPRODUCT(MAX((Evermont!$A$2:$A$1000=$A213)*Evermont!$F$2:$F$1000))&gt;0,TEXT(SUMPRODUCT(MAX((Evermont!$A$2:$A$1000=$A213)*Evermont!$F$2:$F$1000)),"yyyy-mm-dd"),""))))))</f>
        <v/>
      </c>
      <c r="L213" s="131" t="str">
        <f aca="false">IF($A213="","",COUNTIF(E213:K213,"✓"))</f>
        <v/>
      </c>
      <c r="M213" s="131" t="str">
        <f aca="false">IF(B213="","","Active")</f>
        <v/>
      </c>
      <c r="W213" s="120" t="str">
        <f aca="false">IF($A213="","",IF($X213&lt;&gt;"",$X213,IFERROR(INDEX('Formation Initiale'!$B$2:$B$999,MATCH($A213,'Formation Initiale'!$A$2:$A$999,0)),"Général")))</f>
        <v/>
      </c>
    </row>
    <row r="214" customFormat="false" ht="15" hidden="true" customHeight="true" outlineLevel="0" collapsed="false">
      <c r="A214" s="142" t="str">
        <f aca="false">IF(B214="","","TR"&amp;TEXT(ROW()-1,"000"))</f>
        <v/>
      </c>
      <c r="E214" s="130" t="str">
        <f aca="false">IF($O214="✓","✓",IF(ISNUMBER($O214),TEXT($O214,"yyyy-mm-dd"),IF($A214="","",IF(SUMPRODUCT(('Formation Initiale'!$A$2:$A$999=$A214)*('Formation Initiale'!$R$2:$R$999="Terminé"))&gt;0,"✓",IF(SUMPRODUCT(MAX(('Formation Initiale'!$A$2:$A$999=$A214)*'Formation Initiale'!$G$2:$G$999))&gt;0,TEXT(SUMPRODUCT(MAX(('Formation Initiale'!$A$2:$A$999=$A214)*'Formation Initiale'!$G$2:$G$999)),"yyyy-mm-dd"),"")))))</f>
        <v/>
      </c>
      <c r="F214" s="131" t="str">
        <f aca="false">IF($P214="✓","✓",IF(ISNUMBER($P214),TEXT($P214,"yyyy-mm-dd"),IF($A214="","",IF($D214="Lisbonne","",IF(SUMPRODUCT(('Formation Initiale'!$A$2:$A$999=$A214)*('Formation Initiale'!$R$2:$R$999="Terminé"))&gt;0,"✓",IF(SUMPRODUCT(MAX(('Formation Initiale'!$A$2:$A$999=$A214)*'Formation Initiale'!$G$2:$G$999))&gt;0,TEXT(SUMPRODUCT(MAX(('Formation Initiale'!$A$2:$A$999=$A214)*'Formation Initiale'!$G$2:$G$999)),"yyyy-mm-dd"),""))))))</f>
        <v/>
      </c>
      <c r="G214" s="131" t="str">
        <f aca="false">IF($Q214="✓","✓",IF(ISNUMBER($Q214),TEXT($Q214,"yyyy-mm-dd"),IF($A214="","",IF(SUMPRODUCT(('Agences &amp; Après-vente'!$A$2:$A$1000=$A214)*(('Agences &amp; Après-vente'!$D$2:$D$1000="Agences")+('Agences &amp; Après-vente'!$D$2:$D$1000="Agences et Après-vente"))*('Agences &amp; Après-vente'!$I$2:$I$1000="DONE"))&gt;0,"✓",IF(SUMPRODUCT(MAX(('Agences &amp; Après-vente'!$A$2:$A$1000=$A214)*(('Agences &amp; Après-vente'!$D$2:$D$1000="Agences")+('Agences &amp; Après-vente'!$D$2:$D$1000="Agences et Après-vente"))*'Agences &amp; Après-vente'!$E$2:$E$1000))&gt;0,TEXT(SUMPRODUCT(MAX(('Agences &amp; Après-vente'!$A$2:$A$1000=$A214)*(('Agences &amp; Après-vente'!$D$2:$D$1000="Agences")+('Agences &amp; Après-vente'!$D$2:$D$1000="Agences et Après-vente"))*'Agences &amp; Après-vente'!$E$2:$E$1000)),"yyyy-mm-dd"),"")))))</f>
        <v/>
      </c>
      <c r="H214" s="131" t="str">
        <f aca="false">IF($R214="✓","✓",IF(ISNUMBER($R214),TEXT($R214,"yyyy-mm-dd"),IF($A214="","",IF($D214="Lisbonne","",IF(SUMPRODUCT(('Agences &amp; Après-vente'!$A$2:$A$1000=$A214)*(('Agences &amp; Après-vente'!$D$2:$D$1000="Agences")+('Agences &amp; Après-vente'!$D$2:$D$1000="Agences et Après-vente"))*('Agences &amp; Après-vente'!$I$2:$I$1000="DONE"))&gt;0,"✓",IF(SUMPRODUCT(MAX(('Agences &amp; Après-vente'!$A$2:$A$1000=$A214)*(('Agences &amp; Après-vente'!$D$2:$D$1000="Agences")+('Agences &amp; Après-vente'!$D$2:$D$1000="Agences et Après-vente"))*'Agences &amp; Après-vente'!$E$2:$E$1000))&gt;0,TEXT(SUMPRODUCT(MAX(('Agences &amp; Après-vente'!$A$2:$A$1000=$A214)*(('Agences &amp; Après-vente'!$D$2:$D$1000="Agences")+('Agences &amp; Après-vente'!$D$2:$D$1000="Agences et Après-vente"))*'Agences &amp; Après-vente'!$E$2:$E$1000)),"yyyy-mm-dd"),""))))))</f>
        <v/>
      </c>
      <c r="I214" s="131" t="str">
        <f aca="false">IF($S214="✓","✓",IF(ISNUMBER($S214),TEXT($S214,"yyyy-mm-dd"),IF($A214="","",IF(SUMPRODUCT(('Agences &amp; Après-vente'!$A$2:$A$1000=$A214)*(('Agences &amp; Après-vente'!$D$2:$D$1000="Après-vente")+('Agences &amp; Après-vente'!$D$2:$D$1000="Agences et Après-vente"))*('Agences &amp; Après-vente'!$I$2:$I$1000="DONE"))&gt;0,"✓",IF(SUMPRODUCT(MAX(('Agences &amp; Après-vente'!$A$2:$A$1000=$A214)*(('Agences &amp; Après-vente'!$D$2:$D$1000="Après-vente")+('Agences &amp; Après-vente'!$D$2:$D$1000="Agences et Après-vente"))*'Agences &amp; Après-vente'!$E$2:$E$1000))&gt;0,TEXT(SUMPRODUCT(MAX(('Agences &amp; Après-vente'!$A$2:$A$1000=$A214)*(('Agences &amp; Après-vente'!$D$2:$D$1000="Après-vente")+('Agences &amp; Après-vente'!$D$2:$D$1000="Agences et Après-vente"))*'Agences &amp; Après-vente'!$E$2:$E$1000)),"yyyy-mm-dd"),"")))))</f>
        <v/>
      </c>
      <c r="J214" s="131" t="str">
        <f aca="false">IF($T214="✓","✓",IF(ISNUMBER($T214),TEXT($T214,"yyyy-mm-dd"),IF($A214="","",IF($D214="Lisbonne","",IF(SUMPRODUCT(('Agences &amp; Après-vente'!$A$2:$A$1000=$A214)*(('Agences &amp; Après-vente'!$D$2:$D$1000="Après-vente")+('Agences &amp; Après-vente'!$D$2:$D$1000="Agences et Après-vente"))*('Agences &amp; Après-vente'!$I$2:$I$1000="DONE"))&gt;0,"✓",IF(SUMPRODUCT(MAX(('Agences &amp; Après-vente'!$A$2:$A$1000=$A214)*(('Agences &amp; Après-vente'!$D$2:$D$1000="Après-vente")+('Agences &amp; Après-vente'!$D$2:$D$1000="Agences et Après-vente"))*'Agences &amp; Après-vente'!$E$2:$E$1000))&gt;0,TEXT(SUMPRODUCT(MAX(('Agences &amp; Après-vente'!$A$2:$A$1000=$A214)*(('Agences &amp; Après-vente'!$D$2:$D$1000="Après-vente")+('Agences &amp; Après-vente'!$D$2:$D$1000="Agences et Après-vente"))*'Agences &amp; Après-vente'!$E$2:$E$1000)),"yyyy-mm-dd"),""))))))</f>
        <v/>
      </c>
      <c r="K214" s="131" t="str">
        <f aca="false">IF($U214="✓","✓",IF(ISNUMBER($U214),TEXT($U214,"yyyy-mm-dd"),IF($D214="Lisbonne","",IF($A214="","",IF(SUMPRODUCT((Evermont!$A$2:$A$1000=$A214)*(Evermont!$Q$2:$Q$1000="Terminé"))&gt;0,"✓",IF(SUMPRODUCT(MAX((Evermont!$A$2:$A$1000=$A214)*Evermont!$F$2:$F$1000))&gt;0,TEXT(SUMPRODUCT(MAX((Evermont!$A$2:$A$1000=$A214)*Evermont!$F$2:$F$1000)),"yyyy-mm-dd"),""))))))</f>
        <v/>
      </c>
      <c r="L214" s="131" t="str">
        <f aca="false">IF($A214="","",COUNTIF(E214:K214,"✓"))</f>
        <v/>
      </c>
      <c r="M214" s="131" t="str">
        <f aca="false">IF(B214="","","Active")</f>
        <v/>
      </c>
      <c r="W214" s="120" t="str">
        <f aca="false">IF($A214="","",IF($X214&lt;&gt;"",$X214,IFERROR(INDEX('Formation Initiale'!$B$2:$B$999,MATCH($A214,'Formation Initiale'!$A$2:$A$999,0)),"Général")))</f>
        <v/>
      </c>
    </row>
    <row r="215" customFormat="false" ht="15" hidden="true" customHeight="true" outlineLevel="0" collapsed="false">
      <c r="A215" s="142" t="str">
        <f aca="false">IF(B215="","","TR"&amp;TEXT(ROW()-1,"000"))</f>
        <v/>
      </c>
      <c r="E215" s="130" t="str">
        <f aca="false">IF($O215="✓","✓",IF(ISNUMBER($O215),TEXT($O215,"yyyy-mm-dd"),IF($A215="","",IF(SUMPRODUCT(('Formation Initiale'!$A$2:$A$999=$A215)*('Formation Initiale'!$R$2:$R$999="Terminé"))&gt;0,"✓",IF(SUMPRODUCT(MAX(('Formation Initiale'!$A$2:$A$999=$A215)*'Formation Initiale'!$G$2:$G$999))&gt;0,TEXT(SUMPRODUCT(MAX(('Formation Initiale'!$A$2:$A$999=$A215)*'Formation Initiale'!$G$2:$G$999)),"yyyy-mm-dd"),"")))))</f>
        <v/>
      </c>
      <c r="F215" s="131" t="str">
        <f aca="false">IF($P215="✓","✓",IF(ISNUMBER($P215),TEXT($P215,"yyyy-mm-dd"),IF($A215="","",IF($D215="Lisbonne","",IF(SUMPRODUCT(('Formation Initiale'!$A$2:$A$999=$A215)*('Formation Initiale'!$R$2:$R$999="Terminé"))&gt;0,"✓",IF(SUMPRODUCT(MAX(('Formation Initiale'!$A$2:$A$999=$A215)*'Formation Initiale'!$G$2:$G$999))&gt;0,TEXT(SUMPRODUCT(MAX(('Formation Initiale'!$A$2:$A$999=$A215)*'Formation Initiale'!$G$2:$G$999)),"yyyy-mm-dd"),""))))))</f>
        <v/>
      </c>
      <c r="G215" s="131" t="str">
        <f aca="false">IF($Q215="✓","✓",IF(ISNUMBER($Q215),TEXT($Q215,"yyyy-mm-dd"),IF($A215="","",IF(SUMPRODUCT(('Agences &amp; Après-vente'!$A$2:$A$1000=$A215)*(('Agences &amp; Après-vente'!$D$2:$D$1000="Agences")+('Agences &amp; Après-vente'!$D$2:$D$1000="Agences et Après-vente"))*('Agences &amp; Après-vente'!$I$2:$I$1000="DONE"))&gt;0,"✓",IF(SUMPRODUCT(MAX(('Agences &amp; Après-vente'!$A$2:$A$1000=$A215)*(('Agences &amp; Après-vente'!$D$2:$D$1000="Agences")+('Agences &amp; Après-vente'!$D$2:$D$1000="Agences et Après-vente"))*'Agences &amp; Après-vente'!$E$2:$E$1000))&gt;0,TEXT(SUMPRODUCT(MAX(('Agences &amp; Après-vente'!$A$2:$A$1000=$A215)*(('Agences &amp; Après-vente'!$D$2:$D$1000="Agences")+('Agences &amp; Après-vente'!$D$2:$D$1000="Agences et Après-vente"))*'Agences &amp; Après-vente'!$E$2:$E$1000)),"yyyy-mm-dd"),"")))))</f>
        <v/>
      </c>
      <c r="H215" s="131" t="str">
        <f aca="false">IF($R215="✓","✓",IF(ISNUMBER($R215),TEXT($R215,"yyyy-mm-dd"),IF($A215="","",IF($D215="Lisbonne","",IF(SUMPRODUCT(('Agences &amp; Après-vente'!$A$2:$A$1000=$A215)*(('Agences &amp; Après-vente'!$D$2:$D$1000="Agences")+('Agences &amp; Après-vente'!$D$2:$D$1000="Agences et Après-vente"))*('Agences &amp; Après-vente'!$I$2:$I$1000="DONE"))&gt;0,"✓",IF(SUMPRODUCT(MAX(('Agences &amp; Après-vente'!$A$2:$A$1000=$A215)*(('Agences &amp; Après-vente'!$D$2:$D$1000="Agences")+('Agences &amp; Après-vente'!$D$2:$D$1000="Agences et Après-vente"))*'Agences &amp; Après-vente'!$E$2:$E$1000))&gt;0,TEXT(SUMPRODUCT(MAX(('Agences &amp; Après-vente'!$A$2:$A$1000=$A215)*(('Agences &amp; Après-vente'!$D$2:$D$1000="Agences")+('Agences &amp; Après-vente'!$D$2:$D$1000="Agences et Après-vente"))*'Agences &amp; Après-vente'!$E$2:$E$1000)),"yyyy-mm-dd"),""))))))</f>
        <v/>
      </c>
      <c r="I215" s="131" t="str">
        <f aca="false">IF($S215="✓","✓",IF(ISNUMBER($S215),TEXT($S215,"yyyy-mm-dd"),IF($A215="","",IF(SUMPRODUCT(('Agences &amp; Après-vente'!$A$2:$A$1000=$A215)*(('Agences &amp; Après-vente'!$D$2:$D$1000="Après-vente")+('Agences &amp; Après-vente'!$D$2:$D$1000="Agences et Après-vente"))*('Agences &amp; Après-vente'!$I$2:$I$1000="DONE"))&gt;0,"✓",IF(SUMPRODUCT(MAX(('Agences &amp; Après-vente'!$A$2:$A$1000=$A215)*(('Agences &amp; Après-vente'!$D$2:$D$1000="Après-vente")+('Agences &amp; Après-vente'!$D$2:$D$1000="Agences et Après-vente"))*'Agences &amp; Après-vente'!$E$2:$E$1000))&gt;0,TEXT(SUMPRODUCT(MAX(('Agences &amp; Après-vente'!$A$2:$A$1000=$A215)*(('Agences &amp; Après-vente'!$D$2:$D$1000="Après-vente")+('Agences &amp; Après-vente'!$D$2:$D$1000="Agences et Après-vente"))*'Agences &amp; Après-vente'!$E$2:$E$1000)),"yyyy-mm-dd"),"")))))</f>
        <v/>
      </c>
      <c r="J215" s="131" t="str">
        <f aca="false">IF($T215="✓","✓",IF(ISNUMBER($T215),TEXT($T215,"yyyy-mm-dd"),IF($A215="","",IF($D215="Lisbonne","",IF(SUMPRODUCT(('Agences &amp; Après-vente'!$A$2:$A$1000=$A215)*(('Agences &amp; Après-vente'!$D$2:$D$1000="Après-vente")+('Agences &amp; Après-vente'!$D$2:$D$1000="Agences et Après-vente"))*('Agences &amp; Après-vente'!$I$2:$I$1000="DONE"))&gt;0,"✓",IF(SUMPRODUCT(MAX(('Agences &amp; Après-vente'!$A$2:$A$1000=$A215)*(('Agences &amp; Après-vente'!$D$2:$D$1000="Après-vente")+('Agences &amp; Après-vente'!$D$2:$D$1000="Agences et Après-vente"))*'Agences &amp; Après-vente'!$E$2:$E$1000))&gt;0,TEXT(SUMPRODUCT(MAX(('Agences &amp; Après-vente'!$A$2:$A$1000=$A215)*(('Agences &amp; Après-vente'!$D$2:$D$1000="Après-vente")+('Agences &amp; Après-vente'!$D$2:$D$1000="Agences et Après-vente"))*'Agences &amp; Après-vente'!$E$2:$E$1000)),"yyyy-mm-dd"),""))))))</f>
        <v/>
      </c>
      <c r="K215" s="131" t="str">
        <f aca="false">IF($U215="✓","✓",IF(ISNUMBER($U215),TEXT($U215,"yyyy-mm-dd"),IF($D215="Lisbonne","",IF($A215="","",IF(SUMPRODUCT((Evermont!$A$2:$A$1000=$A215)*(Evermont!$Q$2:$Q$1000="Terminé"))&gt;0,"✓",IF(SUMPRODUCT(MAX((Evermont!$A$2:$A$1000=$A215)*Evermont!$F$2:$F$1000))&gt;0,TEXT(SUMPRODUCT(MAX((Evermont!$A$2:$A$1000=$A215)*Evermont!$F$2:$F$1000)),"yyyy-mm-dd"),""))))))</f>
        <v/>
      </c>
      <c r="L215" s="131" t="str">
        <f aca="false">IF($A215="","",COUNTIF(E215:K215,"✓"))</f>
        <v/>
      </c>
      <c r="M215" s="131" t="str">
        <f aca="false">IF(B215="","","Active")</f>
        <v/>
      </c>
      <c r="W215" s="120" t="str">
        <f aca="false">IF($A215="","",IF($X215&lt;&gt;"",$X215,IFERROR(INDEX('Formation Initiale'!$B$2:$B$999,MATCH($A215,'Formation Initiale'!$A$2:$A$999,0)),"Général")))</f>
        <v/>
      </c>
    </row>
    <row r="216" customFormat="false" ht="15" hidden="true" customHeight="true" outlineLevel="0" collapsed="false">
      <c r="A216" s="142" t="str">
        <f aca="false">IF(B216="","","TR"&amp;TEXT(ROW()-1,"000"))</f>
        <v/>
      </c>
      <c r="E216" s="130" t="str">
        <f aca="false">IF($O216="✓","✓",IF(ISNUMBER($O216),TEXT($O216,"yyyy-mm-dd"),IF($A216="","",IF(SUMPRODUCT(('Formation Initiale'!$A$2:$A$999=$A216)*('Formation Initiale'!$R$2:$R$999="Terminé"))&gt;0,"✓",IF(SUMPRODUCT(MAX(('Formation Initiale'!$A$2:$A$999=$A216)*'Formation Initiale'!$G$2:$G$999))&gt;0,TEXT(SUMPRODUCT(MAX(('Formation Initiale'!$A$2:$A$999=$A216)*'Formation Initiale'!$G$2:$G$999)),"yyyy-mm-dd"),"")))))</f>
        <v/>
      </c>
      <c r="F216" s="131" t="str">
        <f aca="false">IF($P216="✓","✓",IF(ISNUMBER($P216),TEXT($P216,"yyyy-mm-dd"),IF($A216="","",IF($D216="Lisbonne","",IF(SUMPRODUCT(('Formation Initiale'!$A$2:$A$999=$A216)*('Formation Initiale'!$R$2:$R$999="Terminé"))&gt;0,"✓",IF(SUMPRODUCT(MAX(('Formation Initiale'!$A$2:$A$999=$A216)*'Formation Initiale'!$G$2:$G$999))&gt;0,TEXT(SUMPRODUCT(MAX(('Formation Initiale'!$A$2:$A$999=$A216)*'Formation Initiale'!$G$2:$G$999)),"yyyy-mm-dd"),""))))))</f>
        <v/>
      </c>
      <c r="G216" s="131" t="str">
        <f aca="false">IF($Q216="✓","✓",IF(ISNUMBER($Q216),TEXT($Q216,"yyyy-mm-dd"),IF($A216="","",IF(SUMPRODUCT(('Agences &amp; Après-vente'!$A$2:$A$1000=$A216)*(('Agences &amp; Après-vente'!$D$2:$D$1000="Agences")+('Agences &amp; Après-vente'!$D$2:$D$1000="Agences et Après-vente"))*('Agences &amp; Après-vente'!$I$2:$I$1000="DONE"))&gt;0,"✓",IF(SUMPRODUCT(MAX(('Agences &amp; Après-vente'!$A$2:$A$1000=$A216)*(('Agences &amp; Après-vente'!$D$2:$D$1000="Agences")+('Agences &amp; Après-vente'!$D$2:$D$1000="Agences et Après-vente"))*'Agences &amp; Après-vente'!$E$2:$E$1000))&gt;0,TEXT(SUMPRODUCT(MAX(('Agences &amp; Après-vente'!$A$2:$A$1000=$A216)*(('Agences &amp; Après-vente'!$D$2:$D$1000="Agences")+('Agences &amp; Après-vente'!$D$2:$D$1000="Agences et Après-vente"))*'Agences &amp; Après-vente'!$E$2:$E$1000)),"yyyy-mm-dd"),"")))))</f>
        <v/>
      </c>
      <c r="H216" s="131" t="str">
        <f aca="false">IF($R216="✓","✓",IF(ISNUMBER($R216),TEXT($R216,"yyyy-mm-dd"),IF($A216="","",IF($D216="Lisbonne","",IF(SUMPRODUCT(('Agences &amp; Après-vente'!$A$2:$A$1000=$A216)*(('Agences &amp; Après-vente'!$D$2:$D$1000="Agences")+('Agences &amp; Après-vente'!$D$2:$D$1000="Agences et Après-vente"))*('Agences &amp; Après-vente'!$I$2:$I$1000="DONE"))&gt;0,"✓",IF(SUMPRODUCT(MAX(('Agences &amp; Après-vente'!$A$2:$A$1000=$A216)*(('Agences &amp; Après-vente'!$D$2:$D$1000="Agences")+('Agences &amp; Après-vente'!$D$2:$D$1000="Agences et Après-vente"))*'Agences &amp; Après-vente'!$E$2:$E$1000))&gt;0,TEXT(SUMPRODUCT(MAX(('Agences &amp; Après-vente'!$A$2:$A$1000=$A216)*(('Agences &amp; Après-vente'!$D$2:$D$1000="Agences")+('Agences &amp; Après-vente'!$D$2:$D$1000="Agences et Après-vente"))*'Agences &amp; Après-vente'!$E$2:$E$1000)),"yyyy-mm-dd"),""))))))</f>
        <v/>
      </c>
      <c r="I216" s="131" t="str">
        <f aca="false">IF($S216="✓","✓",IF(ISNUMBER($S216),TEXT($S216,"yyyy-mm-dd"),IF($A216="","",IF(SUMPRODUCT(('Agences &amp; Après-vente'!$A$2:$A$1000=$A216)*(('Agences &amp; Après-vente'!$D$2:$D$1000="Après-vente")+('Agences &amp; Après-vente'!$D$2:$D$1000="Agences et Après-vente"))*('Agences &amp; Après-vente'!$I$2:$I$1000="DONE"))&gt;0,"✓",IF(SUMPRODUCT(MAX(('Agences &amp; Après-vente'!$A$2:$A$1000=$A216)*(('Agences &amp; Après-vente'!$D$2:$D$1000="Après-vente")+('Agences &amp; Après-vente'!$D$2:$D$1000="Agences et Après-vente"))*'Agences &amp; Après-vente'!$E$2:$E$1000))&gt;0,TEXT(SUMPRODUCT(MAX(('Agences &amp; Après-vente'!$A$2:$A$1000=$A216)*(('Agences &amp; Après-vente'!$D$2:$D$1000="Après-vente")+('Agences &amp; Après-vente'!$D$2:$D$1000="Agences et Après-vente"))*'Agences &amp; Après-vente'!$E$2:$E$1000)),"yyyy-mm-dd"),"")))))</f>
        <v/>
      </c>
      <c r="J216" s="131" t="str">
        <f aca="false">IF($T216="✓","✓",IF(ISNUMBER($T216),TEXT($T216,"yyyy-mm-dd"),IF($A216="","",IF($D216="Lisbonne","",IF(SUMPRODUCT(('Agences &amp; Après-vente'!$A$2:$A$1000=$A216)*(('Agences &amp; Après-vente'!$D$2:$D$1000="Après-vente")+('Agences &amp; Après-vente'!$D$2:$D$1000="Agences et Après-vente"))*('Agences &amp; Après-vente'!$I$2:$I$1000="DONE"))&gt;0,"✓",IF(SUMPRODUCT(MAX(('Agences &amp; Après-vente'!$A$2:$A$1000=$A216)*(('Agences &amp; Après-vente'!$D$2:$D$1000="Après-vente")+('Agences &amp; Après-vente'!$D$2:$D$1000="Agences et Après-vente"))*'Agences &amp; Après-vente'!$E$2:$E$1000))&gt;0,TEXT(SUMPRODUCT(MAX(('Agences &amp; Après-vente'!$A$2:$A$1000=$A216)*(('Agences &amp; Après-vente'!$D$2:$D$1000="Après-vente")+('Agences &amp; Après-vente'!$D$2:$D$1000="Agences et Après-vente"))*'Agences &amp; Après-vente'!$E$2:$E$1000)),"yyyy-mm-dd"),""))))))</f>
        <v/>
      </c>
      <c r="K216" s="131" t="str">
        <f aca="false">IF($U216="✓","✓",IF(ISNUMBER($U216),TEXT($U216,"yyyy-mm-dd"),IF($D216="Lisbonne","",IF($A216="","",IF(SUMPRODUCT((Evermont!$A$2:$A$1000=$A216)*(Evermont!$Q$2:$Q$1000="Terminé"))&gt;0,"✓",IF(SUMPRODUCT(MAX((Evermont!$A$2:$A$1000=$A216)*Evermont!$F$2:$F$1000))&gt;0,TEXT(SUMPRODUCT(MAX((Evermont!$A$2:$A$1000=$A216)*Evermont!$F$2:$F$1000)),"yyyy-mm-dd"),""))))))</f>
        <v/>
      </c>
      <c r="L216" s="131" t="str">
        <f aca="false">IF($A216="","",COUNTIF(E216:K216,"✓"))</f>
        <v/>
      </c>
      <c r="M216" s="131" t="str">
        <f aca="false">IF(B216="","","Active")</f>
        <v/>
      </c>
      <c r="W216" s="120" t="str">
        <f aca="false">IF($A216="","",IF($X216&lt;&gt;"",$X216,IFERROR(INDEX('Formation Initiale'!$B$2:$B$999,MATCH($A216,'Formation Initiale'!$A$2:$A$999,0)),"Général")))</f>
        <v/>
      </c>
    </row>
    <row r="217" customFormat="false" ht="15" hidden="true" customHeight="true" outlineLevel="0" collapsed="false">
      <c r="A217" s="142" t="str">
        <f aca="false">IF(B217="","","TR"&amp;TEXT(ROW()-1,"000"))</f>
        <v/>
      </c>
      <c r="E217" s="130" t="str">
        <f aca="false">IF($O217="✓","✓",IF(ISNUMBER($O217),TEXT($O217,"yyyy-mm-dd"),IF($A217="","",IF(SUMPRODUCT(('Formation Initiale'!$A$2:$A$999=$A217)*('Formation Initiale'!$R$2:$R$999="Terminé"))&gt;0,"✓",IF(SUMPRODUCT(MAX(('Formation Initiale'!$A$2:$A$999=$A217)*'Formation Initiale'!$G$2:$G$999))&gt;0,TEXT(SUMPRODUCT(MAX(('Formation Initiale'!$A$2:$A$999=$A217)*'Formation Initiale'!$G$2:$G$999)),"yyyy-mm-dd"),"")))))</f>
        <v/>
      </c>
      <c r="F217" s="131" t="str">
        <f aca="false">IF($P217="✓","✓",IF(ISNUMBER($P217),TEXT($P217,"yyyy-mm-dd"),IF($A217="","",IF($D217="Lisbonne","",IF(SUMPRODUCT(('Formation Initiale'!$A$2:$A$999=$A217)*('Formation Initiale'!$R$2:$R$999="Terminé"))&gt;0,"✓",IF(SUMPRODUCT(MAX(('Formation Initiale'!$A$2:$A$999=$A217)*'Formation Initiale'!$G$2:$G$999))&gt;0,TEXT(SUMPRODUCT(MAX(('Formation Initiale'!$A$2:$A$999=$A217)*'Formation Initiale'!$G$2:$G$999)),"yyyy-mm-dd"),""))))))</f>
        <v/>
      </c>
      <c r="G217" s="131" t="str">
        <f aca="false">IF($Q217="✓","✓",IF(ISNUMBER($Q217),TEXT($Q217,"yyyy-mm-dd"),IF($A217="","",IF(SUMPRODUCT(('Agences &amp; Après-vente'!$A$2:$A$1000=$A217)*(('Agences &amp; Après-vente'!$D$2:$D$1000="Agences")+('Agences &amp; Après-vente'!$D$2:$D$1000="Agences et Après-vente"))*('Agences &amp; Après-vente'!$I$2:$I$1000="DONE"))&gt;0,"✓",IF(SUMPRODUCT(MAX(('Agences &amp; Après-vente'!$A$2:$A$1000=$A217)*(('Agences &amp; Après-vente'!$D$2:$D$1000="Agences")+('Agences &amp; Après-vente'!$D$2:$D$1000="Agences et Après-vente"))*'Agences &amp; Après-vente'!$E$2:$E$1000))&gt;0,TEXT(SUMPRODUCT(MAX(('Agences &amp; Après-vente'!$A$2:$A$1000=$A217)*(('Agences &amp; Après-vente'!$D$2:$D$1000="Agences")+('Agences &amp; Après-vente'!$D$2:$D$1000="Agences et Après-vente"))*'Agences &amp; Après-vente'!$E$2:$E$1000)),"yyyy-mm-dd"),"")))))</f>
        <v/>
      </c>
      <c r="H217" s="131" t="str">
        <f aca="false">IF($R217="✓","✓",IF(ISNUMBER($R217),TEXT($R217,"yyyy-mm-dd"),IF($A217="","",IF($D217="Lisbonne","",IF(SUMPRODUCT(('Agences &amp; Après-vente'!$A$2:$A$1000=$A217)*(('Agences &amp; Après-vente'!$D$2:$D$1000="Agences")+('Agences &amp; Après-vente'!$D$2:$D$1000="Agences et Après-vente"))*('Agences &amp; Après-vente'!$I$2:$I$1000="DONE"))&gt;0,"✓",IF(SUMPRODUCT(MAX(('Agences &amp; Après-vente'!$A$2:$A$1000=$A217)*(('Agences &amp; Après-vente'!$D$2:$D$1000="Agences")+('Agences &amp; Après-vente'!$D$2:$D$1000="Agences et Après-vente"))*'Agences &amp; Après-vente'!$E$2:$E$1000))&gt;0,TEXT(SUMPRODUCT(MAX(('Agences &amp; Après-vente'!$A$2:$A$1000=$A217)*(('Agences &amp; Après-vente'!$D$2:$D$1000="Agences")+('Agences &amp; Après-vente'!$D$2:$D$1000="Agences et Après-vente"))*'Agences &amp; Après-vente'!$E$2:$E$1000)),"yyyy-mm-dd"),""))))))</f>
        <v/>
      </c>
      <c r="I217" s="131" t="str">
        <f aca="false">IF($S217="✓","✓",IF(ISNUMBER($S217),TEXT($S217,"yyyy-mm-dd"),IF($A217="","",IF(SUMPRODUCT(('Agences &amp; Après-vente'!$A$2:$A$1000=$A217)*(('Agences &amp; Après-vente'!$D$2:$D$1000="Après-vente")+('Agences &amp; Après-vente'!$D$2:$D$1000="Agences et Après-vente"))*('Agences &amp; Après-vente'!$I$2:$I$1000="DONE"))&gt;0,"✓",IF(SUMPRODUCT(MAX(('Agences &amp; Après-vente'!$A$2:$A$1000=$A217)*(('Agences &amp; Après-vente'!$D$2:$D$1000="Après-vente")+('Agences &amp; Après-vente'!$D$2:$D$1000="Agences et Après-vente"))*'Agences &amp; Après-vente'!$E$2:$E$1000))&gt;0,TEXT(SUMPRODUCT(MAX(('Agences &amp; Après-vente'!$A$2:$A$1000=$A217)*(('Agences &amp; Après-vente'!$D$2:$D$1000="Après-vente")+('Agences &amp; Après-vente'!$D$2:$D$1000="Agences et Après-vente"))*'Agences &amp; Après-vente'!$E$2:$E$1000)),"yyyy-mm-dd"),"")))))</f>
        <v/>
      </c>
      <c r="J217" s="131" t="str">
        <f aca="false">IF($T217="✓","✓",IF(ISNUMBER($T217),TEXT($T217,"yyyy-mm-dd"),IF($A217="","",IF($D217="Lisbonne","",IF(SUMPRODUCT(('Agences &amp; Après-vente'!$A$2:$A$1000=$A217)*(('Agences &amp; Après-vente'!$D$2:$D$1000="Après-vente")+('Agences &amp; Après-vente'!$D$2:$D$1000="Agences et Après-vente"))*('Agences &amp; Après-vente'!$I$2:$I$1000="DONE"))&gt;0,"✓",IF(SUMPRODUCT(MAX(('Agences &amp; Après-vente'!$A$2:$A$1000=$A217)*(('Agences &amp; Après-vente'!$D$2:$D$1000="Après-vente")+('Agences &amp; Après-vente'!$D$2:$D$1000="Agences et Après-vente"))*'Agences &amp; Après-vente'!$E$2:$E$1000))&gt;0,TEXT(SUMPRODUCT(MAX(('Agences &amp; Après-vente'!$A$2:$A$1000=$A217)*(('Agences &amp; Après-vente'!$D$2:$D$1000="Après-vente")+('Agences &amp; Après-vente'!$D$2:$D$1000="Agences et Après-vente"))*'Agences &amp; Après-vente'!$E$2:$E$1000)),"yyyy-mm-dd"),""))))))</f>
        <v/>
      </c>
      <c r="K217" s="131" t="str">
        <f aca="false">IF($U217="✓","✓",IF(ISNUMBER($U217),TEXT($U217,"yyyy-mm-dd"),IF($D217="Lisbonne","",IF($A217="","",IF(SUMPRODUCT((Evermont!$A$2:$A$1000=$A217)*(Evermont!$Q$2:$Q$1000="Terminé"))&gt;0,"✓",IF(SUMPRODUCT(MAX((Evermont!$A$2:$A$1000=$A217)*Evermont!$F$2:$F$1000))&gt;0,TEXT(SUMPRODUCT(MAX((Evermont!$A$2:$A$1000=$A217)*Evermont!$F$2:$F$1000)),"yyyy-mm-dd"),""))))))</f>
        <v/>
      </c>
      <c r="L217" s="131" t="str">
        <f aca="false">IF($A217="","",COUNTIF(E217:K217,"✓"))</f>
        <v/>
      </c>
      <c r="M217" s="131" t="str">
        <f aca="false">IF(B217="","","Active")</f>
        <v/>
      </c>
      <c r="W217" s="120" t="str">
        <f aca="false">IF($A217="","",IF($X217&lt;&gt;"",$X217,IFERROR(INDEX('Formation Initiale'!$B$2:$B$999,MATCH($A217,'Formation Initiale'!$A$2:$A$999,0)),"Général")))</f>
        <v/>
      </c>
    </row>
    <row r="218" customFormat="false" ht="15" hidden="true" customHeight="true" outlineLevel="0" collapsed="false">
      <c r="A218" s="142" t="str">
        <f aca="false">IF(B218="","","TR"&amp;TEXT(ROW()-1,"000"))</f>
        <v/>
      </c>
      <c r="E218" s="130" t="str">
        <f aca="false">IF($O218="✓","✓",IF(ISNUMBER($O218),TEXT($O218,"yyyy-mm-dd"),IF($A218="","",IF(SUMPRODUCT(('Formation Initiale'!$A$2:$A$999=$A218)*('Formation Initiale'!$R$2:$R$999="Terminé"))&gt;0,"✓",IF(SUMPRODUCT(MAX(('Formation Initiale'!$A$2:$A$999=$A218)*'Formation Initiale'!$G$2:$G$999))&gt;0,TEXT(SUMPRODUCT(MAX(('Formation Initiale'!$A$2:$A$999=$A218)*'Formation Initiale'!$G$2:$G$999)),"yyyy-mm-dd"),"")))))</f>
        <v/>
      </c>
      <c r="F218" s="131" t="str">
        <f aca="false">IF($P218="✓","✓",IF(ISNUMBER($P218),TEXT($P218,"yyyy-mm-dd"),IF($A218="","",IF($D218="Lisbonne","",IF(SUMPRODUCT(('Formation Initiale'!$A$2:$A$999=$A218)*('Formation Initiale'!$R$2:$R$999="Terminé"))&gt;0,"✓",IF(SUMPRODUCT(MAX(('Formation Initiale'!$A$2:$A$999=$A218)*'Formation Initiale'!$G$2:$G$999))&gt;0,TEXT(SUMPRODUCT(MAX(('Formation Initiale'!$A$2:$A$999=$A218)*'Formation Initiale'!$G$2:$G$999)),"yyyy-mm-dd"),""))))))</f>
        <v/>
      </c>
      <c r="G218" s="131" t="str">
        <f aca="false">IF($Q218="✓","✓",IF(ISNUMBER($Q218),TEXT($Q218,"yyyy-mm-dd"),IF($A218="","",IF(SUMPRODUCT(('Agences &amp; Après-vente'!$A$2:$A$1000=$A218)*(('Agences &amp; Après-vente'!$D$2:$D$1000="Agences")+('Agences &amp; Après-vente'!$D$2:$D$1000="Agences et Après-vente"))*('Agences &amp; Après-vente'!$I$2:$I$1000="DONE"))&gt;0,"✓",IF(SUMPRODUCT(MAX(('Agences &amp; Après-vente'!$A$2:$A$1000=$A218)*(('Agences &amp; Après-vente'!$D$2:$D$1000="Agences")+('Agences &amp; Après-vente'!$D$2:$D$1000="Agences et Après-vente"))*'Agences &amp; Après-vente'!$E$2:$E$1000))&gt;0,TEXT(SUMPRODUCT(MAX(('Agences &amp; Après-vente'!$A$2:$A$1000=$A218)*(('Agences &amp; Après-vente'!$D$2:$D$1000="Agences")+('Agences &amp; Après-vente'!$D$2:$D$1000="Agences et Après-vente"))*'Agences &amp; Après-vente'!$E$2:$E$1000)),"yyyy-mm-dd"),"")))))</f>
        <v/>
      </c>
      <c r="H218" s="131" t="str">
        <f aca="false">IF($R218="✓","✓",IF(ISNUMBER($R218),TEXT($R218,"yyyy-mm-dd"),IF($A218="","",IF($D218="Lisbonne","",IF(SUMPRODUCT(('Agences &amp; Après-vente'!$A$2:$A$1000=$A218)*(('Agences &amp; Après-vente'!$D$2:$D$1000="Agences")+('Agences &amp; Après-vente'!$D$2:$D$1000="Agences et Après-vente"))*('Agences &amp; Après-vente'!$I$2:$I$1000="DONE"))&gt;0,"✓",IF(SUMPRODUCT(MAX(('Agences &amp; Après-vente'!$A$2:$A$1000=$A218)*(('Agences &amp; Après-vente'!$D$2:$D$1000="Agences")+('Agences &amp; Après-vente'!$D$2:$D$1000="Agences et Après-vente"))*'Agences &amp; Après-vente'!$E$2:$E$1000))&gt;0,TEXT(SUMPRODUCT(MAX(('Agences &amp; Après-vente'!$A$2:$A$1000=$A218)*(('Agences &amp; Après-vente'!$D$2:$D$1000="Agences")+('Agences &amp; Après-vente'!$D$2:$D$1000="Agences et Après-vente"))*'Agences &amp; Après-vente'!$E$2:$E$1000)),"yyyy-mm-dd"),""))))))</f>
        <v/>
      </c>
      <c r="I218" s="131" t="str">
        <f aca="false">IF($S218="✓","✓",IF(ISNUMBER($S218),TEXT($S218,"yyyy-mm-dd"),IF($A218="","",IF(SUMPRODUCT(('Agences &amp; Après-vente'!$A$2:$A$1000=$A218)*(('Agences &amp; Après-vente'!$D$2:$D$1000="Après-vente")+('Agences &amp; Après-vente'!$D$2:$D$1000="Agences et Après-vente"))*('Agences &amp; Après-vente'!$I$2:$I$1000="DONE"))&gt;0,"✓",IF(SUMPRODUCT(MAX(('Agences &amp; Après-vente'!$A$2:$A$1000=$A218)*(('Agences &amp; Après-vente'!$D$2:$D$1000="Après-vente")+('Agences &amp; Après-vente'!$D$2:$D$1000="Agences et Après-vente"))*'Agences &amp; Après-vente'!$E$2:$E$1000))&gt;0,TEXT(SUMPRODUCT(MAX(('Agences &amp; Après-vente'!$A$2:$A$1000=$A218)*(('Agences &amp; Après-vente'!$D$2:$D$1000="Après-vente")+('Agences &amp; Après-vente'!$D$2:$D$1000="Agences et Après-vente"))*'Agences &amp; Après-vente'!$E$2:$E$1000)),"yyyy-mm-dd"),"")))))</f>
        <v/>
      </c>
      <c r="J218" s="131" t="str">
        <f aca="false">IF($T218="✓","✓",IF(ISNUMBER($T218),TEXT($T218,"yyyy-mm-dd"),IF($A218="","",IF($D218="Lisbonne","",IF(SUMPRODUCT(('Agences &amp; Après-vente'!$A$2:$A$1000=$A218)*(('Agences &amp; Après-vente'!$D$2:$D$1000="Après-vente")+('Agences &amp; Après-vente'!$D$2:$D$1000="Agences et Après-vente"))*('Agences &amp; Après-vente'!$I$2:$I$1000="DONE"))&gt;0,"✓",IF(SUMPRODUCT(MAX(('Agences &amp; Après-vente'!$A$2:$A$1000=$A218)*(('Agences &amp; Après-vente'!$D$2:$D$1000="Après-vente")+('Agences &amp; Après-vente'!$D$2:$D$1000="Agences et Après-vente"))*'Agences &amp; Après-vente'!$E$2:$E$1000))&gt;0,TEXT(SUMPRODUCT(MAX(('Agences &amp; Après-vente'!$A$2:$A$1000=$A218)*(('Agences &amp; Après-vente'!$D$2:$D$1000="Après-vente")+('Agences &amp; Après-vente'!$D$2:$D$1000="Agences et Après-vente"))*'Agences &amp; Après-vente'!$E$2:$E$1000)),"yyyy-mm-dd"),""))))))</f>
        <v/>
      </c>
      <c r="K218" s="131" t="str">
        <f aca="false">IF($U218="✓","✓",IF(ISNUMBER($U218),TEXT($U218,"yyyy-mm-dd"),IF($D218="Lisbonne","",IF($A218="","",IF(SUMPRODUCT((Evermont!$A$2:$A$1000=$A218)*(Evermont!$Q$2:$Q$1000="Terminé"))&gt;0,"✓",IF(SUMPRODUCT(MAX((Evermont!$A$2:$A$1000=$A218)*Evermont!$F$2:$F$1000))&gt;0,TEXT(SUMPRODUCT(MAX((Evermont!$A$2:$A$1000=$A218)*Evermont!$F$2:$F$1000)),"yyyy-mm-dd"),""))))))</f>
        <v/>
      </c>
      <c r="L218" s="131" t="str">
        <f aca="false">IF($A218="","",COUNTIF(E218:K218,"✓"))</f>
        <v/>
      </c>
      <c r="M218" s="131" t="str">
        <f aca="false">IF(B218="","","Active")</f>
        <v/>
      </c>
      <c r="W218" s="120" t="str">
        <f aca="false">IF($A218="","",IF($X218&lt;&gt;"",$X218,IFERROR(INDEX('Formation Initiale'!$B$2:$B$999,MATCH($A218,'Formation Initiale'!$A$2:$A$999,0)),"Général")))</f>
        <v/>
      </c>
    </row>
    <row r="219" customFormat="false" ht="15" hidden="true" customHeight="true" outlineLevel="0" collapsed="false">
      <c r="A219" s="142" t="str">
        <f aca="false">IF(B219="","","TR"&amp;TEXT(ROW()-1,"000"))</f>
        <v/>
      </c>
      <c r="E219" s="130" t="str">
        <f aca="false">IF($O219="✓","✓",IF(ISNUMBER($O219),TEXT($O219,"yyyy-mm-dd"),IF($A219="","",IF(SUMPRODUCT(('Formation Initiale'!$A$2:$A$999=$A219)*('Formation Initiale'!$R$2:$R$999="Terminé"))&gt;0,"✓",IF(SUMPRODUCT(MAX(('Formation Initiale'!$A$2:$A$999=$A219)*'Formation Initiale'!$G$2:$G$999))&gt;0,TEXT(SUMPRODUCT(MAX(('Formation Initiale'!$A$2:$A$999=$A219)*'Formation Initiale'!$G$2:$G$999)),"yyyy-mm-dd"),"")))))</f>
        <v/>
      </c>
      <c r="F219" s="131" t="str">
        <f aca="false">IF($P219="✓","✓",IF(ISNUMBER($P219),TEXT($P219,"yyyy-mm-dd"),IF($A219="","",IF($D219="Lisbonne","",IF(SUMPRODUCT(('Formation Initiale'!$A$2:$A$999=$A219)*('Formation Initiale'!$R$2:$R$999="Terminé"))&gt;0,"✓",IF(SUMPRODUCT(MAX(('Formation Initiale'!$A$2:$A$999=$A219)*'Formation Initiale'!$G$2:$G$999))&gt;0,TEXT(SUMPRODUCT(MAX(('Formation Initiale'!$A$2:$A$999=$A219)*'Formation Initiale'!$G$2:$G$999)),"yyyy-mm-dd"),""))))))</f>
        <v/>
      </c>
      <c r="G219" s="131" t="str">
        <f aca="false">IF($Q219="✓","✓",IF(ISNUMBER($Q219),TEXT($Q219,"yyyy-mm-dd"),IF($A219="","",IF(SUMPRODUCT(('Agences &amp; Après-vente'!$A$2:$A$1000=$A219)*(('Agences &amp; Après-vente'!$D$2:$D$1000="Agences")+('Agences &amp; Après-vente'!$D$2:$D$1000="Agences et Après-vente"))*('Agences &amp; Après-vente'!$I$2:$I$1000="DONE"))&gt;0,"✓",IF(SUMPRODUCT(MAX(('Agences &amp; Après-vente'!$A$2:$A$1000=$A219)*(('Agences &amp; Après-vente'!$D$2:$D$1000="Agences")+('Agences &amp; Après-vente'!$D$2:$D$1000="Agences et Après-vente"))*'Agences &amp; Après-vente'!$E$2:$E$1000))&gt;0,TEXT(SUMPRODUCT(MAX(('Agences &amp; Après-vente'!$A$2:$A$1000=$A219)*(('Agences &amp; Après-vente'!$D$2:$D$1000="Agences")+('Agences &amp; Après-vente'!$D$2:$D$1000="Agences et Après-vente"))*'Agences &amp; Après-vente'!$E$2:$E$1000)),"yyyy-mm-dd"),"")))))</f>
        <v/>
      </c>
      <c r="H219" s="131" t="str">
        <f aca="false">IF($R219="✓","✓",IF(ISNUMBER($R219),TEXT($R219,"yyyy-mm-dd"),IF($A219="","",IF($D219="Lisbonne","",IF(SUMPRODUCT(('Agences &amp; Après-vente'!$A$2:$A$1000=$A219)*(('Agences &amp; Après-vente'!$D$2:$D$1000="Agences")+('Agences &amp; Après-vente'!$D$2:$D$1000="Agences et Après-vente"))*('Agences &amp; Après-vente'!$I$2:$I$1000="DONE"))&gt;0,"✓",IF(SUMPRODUCT(MAX(('Agences &amp; Après-vente'!$A$2:$A$1000=$A219)*(('Agences &amp; Après-vente'!$D$2:$D$1000="Agences")+('Agences &amp; Après-vente'!$D$2:$D$1000="Agences et Après-vente"))*'Agences &amp; Après-vente'!$E$2:$E$1000))&gt;0,TEXT(SUMPRODUCT(MAX(('Agences &amp; Après-vente'!$A$2:$A$1000=$A219)*(('Agences &amp; Après-vente'!$D$2:$D$1000="Agences")+('Agences &amp; Après-vente'!$D$2:$D$1000="Agences et Après-vente"))*'Agences &amp; Après-vente'!$E$2:$E$1000)),"yyyy-mm-dd"),""))))))</f>
        <v/>
      </c>
      <c r="I219" s="131" t="str">
        <f aca="false">IF($S219="✓","✓",IF(ISNUMBER($S219),TEXT($S219,"yyyy-mm-dd"),IF($A219="","",IF(SUMPRODUCT(('Agences &amp; Après-vente'!$A$2:$A$1000=$A219)*(('Agences &amp; Après-vente'!$D$2:$D$1000="Après-vente")+('Agences &amp; Après-vente'!$D$2:$D$1000="Agences et Après-vente"))*('Agences &amp; Après-vente'!$I$2:$I$1000="DONE"))&gt;0,"✓",IF(SUMPRODUCT(MAX(('Agences &amp; Après-vente'!$A$2:$A$1000=$A219)*(('Agences &amp; Après-vente'!$D$2:$D$1000="Après-vente")+('Agences &amp; Après-vente'!$D$2:$D$1000="Agences et Après-vente"))*'Agences &amp; Après-vente'!$E$2:$E$1000))&gt;0,TEXT(SUMPRODUCT(MAX(('Agences &amp; Après-vente'!$A$2:$A$1000=$A219)*(('Agences &amp; Après-vente'!$D$2:$D$1000="Après-vente")+('Agences &amp; Après-vente'!$D$2:$D$1000="Agences et Après-vente"))*'Agences &amp; Après-vente'!$E$2:$E$1000)),"yyyy-mm-dd"),"")))))</f>
        <v/>
      </c>
      <c r="J219" s="131" t="str">
        <f aca="false">IF($T219="✓","✓",IF(ISNUMBER($T219),TEXT($T219,"yyyy-mm-dd"),IF($A219="","",IF($D219="Lisbonne","",IF(SUMPRODUCT(('Agences &amp; Après-vente'!$A$2:$A$1000=$A219)*(('Agences &amp; Après-vente'!$D$2:$D$1000="Après-vente")+('Agences &amp; Après-vente'!$D$2:$D$1000="Agences et Après-vente"))*('Agences &amp; Après-vente'!$I$2:$I$1000="DONE"))&gt;0,"✓",IF(SUMPRODUCT(MAX(('Agences &amp; Après-vente'!$A$2:$A$1000=$A219)*(('Agences &amp; Après-vente'!$D$2:$D$1000="Après-vente")+('Agences &amp; Après-vente'!$D$2:$D$1000="Agences et Après-vente"))*'Agences &amp; Après-vente'!$E$2:$E$1000))&gt;0,TEXT(SUMPRODUCT(MAX(('Agences &amp; Après-vente'!$A$2:$A$1000=$A219)*(('Agences &amp; Après-vente'!$D$2:$D$1000="Après-vente")+('Agences &amp; Après-vente'!$D$2:$D$1000="Agences et Après-vente"))*'Agences &amp; Après-vente'!$E$2:$E$1000)),"yyyy-mm-dd"),""))))))</f>
        <v/>
      </c>
      <c r="K219" s="131" t="str">
        <f aca="false">IF($U219="✓","✓",IF(ISNUMBER($U219),TEXT($U219,"yyyy-mm-dd"),IF($D219="Lisbonne","",IF($A219="","",IF(SUMPRODUCT((Evermont!$A$2:$A$1000=$A219)*(Evermont!$Q$2:$Q$1000="Terminé"))&gt;0,"✓",IF(SUMPRODUCT(MAX((Evermont!$A$2:$A$1000=$A219)*Evermont!$F$2:$F$1000))&gt;0,TEXT(SUMPRODUCT(MAX((Evermont!$A$2:$A$1000=$A219)*Evermont!$F$2:$F$1000)),"yyyy-mm-dd"),""))))))</f>
        <v/>
      </c>
      <c r="L219" s="131" t="str">
        <f aca="false">IF($A219="","",COUNTIF(E219:K219,"✓"))</f>
        <v/>
      </c>
      <c r="M219" s="131" t="str">
        <f aca="false">IF(B219="","","Active")</f>
        <v/>
      </c>
      <c r="W219" s="120" t="str">
        <f aca="false">IF($A219="","",IF($X219&lt;&gt;"",$X219,IFERROR(INDEX('Formation Initiale'!$B$2:$B$999,MATCH($A219,'Formation Initiale'!$A$2:$A$999,0)),"Général")))</f>
        <v/>
      </c>
    </row>
    <row r="220" customFormat="false" ht="15" hidden="true" customHeight="true" outlineLevel="0" collapsed="false">
      <c r="A220" s="142" t="str">
        <f aca="false">IF(B220="","","TR"&amp;TEXT(ROW()-1,"000"))</f>
        <v/>
      </c>
      <c r="E220" s="130" t="str">
        <f aca="false">IF($O220="✓","✓",IF(ISNUMBER($O220),TEXT($O220,"yyyy-mm-dd"),IF($A220="","",IF(SUMPRODUCT(('Formation Initiale'!$A$2:$A$999=$A220)*('Formation Initiale'!$R$2:$R$999="Terminé"))&gt;0,"✓",IF(SUMPRODUCT(MAX(('Formation Initiale'!$A$2:$A$999=$A220)*'Formation Initiale'!$G$2:$G$999))&gt;0,TEXT(SUMPRODUCT(MAX(('Formation Initiale'!$A$2:$A$999=$A220)*'Formation Initiale'!$G$2:$G$999)),"yyyy-mm-dd"),"")))))</f>
        <v/>
      </c>
      <c r="F220" s="131" t="str">
        <f aca="false">IF($P220="✓","✓",IF(ISNUMBER($P220),TEXT($P220,"yyyy-mm-dd"),IF($A220="","",IF($D220="Lisbonne","",IF(SUMPRODUCT(('Formation Initiale'!$A$2:$A$999=$A220)*('Formation Initiale'!$R$2:$R$999="Terminé"))&gt;0,"✓",IF(SUMPRODUCT(MAX(('Formation Initiale'!$A$2:$A$999=$A220)*'Formation Initiale'!$G$2:$G$999))&gt;0,TEXT(SUMPRODUCT(MAX(('Formation Initiale'!$A$2:$A$999=$A220)*'Formation Initiale'!$G$2:$G$999)),"yyyy-mm-dd"),""))))))</f>
        <v/>
      </c>
      <c r="G220" s="131" t="str">
        <f aca="false">IF($Q220="✓","✓",IF(ISNUMBER($Q220),TEXT($Q220,"yyyy-mm-dd"),IF($A220="","",IF(SUMPRODUCT(('Agences &amp; Après-vente'!$A$2:$A$1000=$A220)*(('Agences &amp; Après-vente'!$D$2:$D$1000="Agences")+('Agences &amp; Après-vente'!$D$2:$D$1000="Agences et Après-vente"))*('Agences &amp; Après-vente'!$I$2:$I$1000="DONE"))&gt;0,"✓",IF(SUMPRODUCT(MAX(('Agences &amp; Après-vente'!$A$2:$A$1000=$A220)*(('Agences &amp; Après-vente'!$D$2:$D$1000="Agences")+('Agences &amp; Après-vente'!$D$2:$D$1000="Agences et Après-vente"))*'Agences &amp; Après-vente'!$E$2:$E$1000))&gt;0,TEXT(SUMPRODUCT(MAX(('Agences &amp; Après-vente'!$A$2:$A$1000=$A220)*(('Agences &amp; Après-vente'!$D$2:$D$1000="Agences")+('Agences &amp; Après-vente'!$D$2:$D$1000="Agences et Après-vente"))*'Agences &amp; Après-vente'!$E$2:$E$1000)),"yyyy-mm-dd"),"")))))</f>
        <v/>
      </c>
      <c r="H220" s="131" t="str">
        <f aca="false">IF($R220="✓","✓",IF(ISNUMBER($R220),TEXT($R220,"yyyy-mm-dd"),IF($A220="","",IF($D220="Lisbonne","",IF(SUMPRODUCT(('Agences &amp; Après-vente'!$A$2:$A$1000=$A220)*(('Agences &amp; Après-vente'!$D$2:$D$1000="Agences")+('Agences &amp; Après-vente'!$D$2:$D$1000="Agences et Après-vente"))*('Agences &amp; Après-vente'!$I$2:$I$1000="DONE"))&gt;0,"✓",IF(SUMPRODUCT(MAX(('Agences &amp; Après-vente'!$A$2:$A$1000=$A220)*(('Agences &amp; Après-vente'!$D$2:$D$1000="Agences")+('Agences &amp; Après-vente'!$D$2:$D$1000="Agences et Après-vente"))*'Agences &amp; Après-vente'!$E$2:$E$1000))&gt;0,TEXT(SUMPRODUCT(MAX(('Agences &amp; Après-vente'!$A$2:$A$1000=$A220)*(('Agences &amp; Après-vente'!$D$2:$D$1000="Agences")+('Agences &amp; Après-vente'!$D$2:$D$1000="Agences et Après-vente"))*'Agences &amp; Après-vente'!$E$2:$E$1000)),"yyyy-mm-dd"),""))))))</f>
        <v/>
      </c>
      <c r="I220" s="131" t="str">
        <f aca="false">IF($S220="✓","✓",IF(ISNUMBER($S220),TEXT($S220,"yyyy-mm-dd"),IF($A220="","",IF(SUMPRODUCT(('Agences &amp; Après-vente'!$A$2:$A$1000=$A220)*(('Agences &amp; Après-vente'!$D$2:$D$1000="Après-vente")+('Agences &amp; Après-vente'!$D$2:$D$1000="Agences et Après-vente"))*('Agences &amp; Après-vente'!$I$2:$I$1000="DONE"))&gt;0,"✓",IF(SUMPRODUCT(MAX(('Agences &amp; Après-vente'!$A$2:$A$1000=$A220)*(('Agences &amp; Après-vente'!$D$2:$D$1000="Après-vente")+('Agences &amp; Après-vente'!$D$2:$D$1000="Agences et Après-vente"))*'Agences &amp; Après-vente'!$E$2:$E$1000))&gt;0,TEXT(SUMPRODUCT(MAX(('Agences &amp; Après-vente'!$A$2:$A$1000=$A220)*(('Agences &amp; Après-vente'!$D$2:$D$1000="Après-vente")+('Agences &amp; Après-vente'!$D$2:$D$1000="Agences et Après-vente"))*'Agences &amp; Après-vente'!$E$2:$E$1000)),"yyyy-mm-dd"),"")))))</f>
        <v/>
      </c>
      <c r="J220" s="131" t="str">
        <f aca="false">IF($T220="✓","✓",IF(ISNUMBER($T220),TEXT($T220,"yyyy-mm-dd"),IF($A220="","",IF($D220="Lisbonne","",IF(SUMPRODUCT(('Agences &amp; Après-vente'!$A$2:$A$1000=$A220)*(('Agences &amp; Après-vente'!$D$2:$D$1000="Après-vente")+('Agences &amp; Après-vente'!$D$2:$D$1000="Agences et Après-vente"))*('Agences &amp; Après-vente'!$I$2:$I$1000="DONE"))&gt;0,"✓",IF(SUMPRODUCT(MAX(('Agences &amp; Après-vente'!$A$2:$A$1000=$A220)*(('Agences &amp; Après-vente'!$D$2:$D$1000="Après-vente")+('Agences &amp; Après-vente'!$D$2:$D$1000="Agences et Après-vente"))*'Agences &amp; Après-vente'!$E$2:$E$1000))&gt;0,TEXT(SUMPRODUCT(MAX(('Agences &amp; Après-vente'!$A$2:$A$1000=$A220)*(('Agences &amp; Après-vente'!$D$2:$D$1000="Après-vente")+('Agences &amp; Après-vente'!$D$2:$D$1000="Agences et Après-vente"))*'Agences &amp; Après-vente'!$E$2:$E$1000)),"yyyy-mm-dd"),""))))))</f>
        <v/>
      </c>
      <c r="K220" s="131" t="str">
        <f aca="false">IF($U220="✓","✓",IF(ISNUMBER($U220),TEXT($U220,"yyyy-mm-dd"),IF($D220="Lisbonne","",IF($A220="","",IF(SUMPRODUCT((Evermont!$A$2:$A$1000=$A220)*(Evermont!$Q$2:$Q$1000="Terminé"))&gt;0,"✓",IF(SUMPRODUCT(MAX((Evermont!$A$2:$A$1000=$A220)*Evermont!$F$2:$F$1000))&gt;0,TEXT(SUMPRODUCT(MAX((Evermont!$A$2:$A$1000=$A220)*Evermont!$F$2:$F$1000)),"yyyy-mm-dd"),""))))))</f>
        <v/>
      </c>
      <c r="L220" s="131" t="str">
        <f aca="false">IF($A220="","",COUNTIF(E220:K220,"✓"))</f>
        <v/>
      </c>
      <c r="M220" s="131" t="str">
        <f aca="false">IF(B220="","","Active")</f>
        <v/>
      </c>
      <c r="W220" s="120" t="str">
        <f aca="false">IF($A220="","",IF($X220&lt;&gt;"",$X220,IFERROR(INDEX('Formation Initiale'!$B$2:$B$999,MATCH($A220,'Formation Initiale'!$A$2:$A$999,0)),"Général")))</f>
        <v/>
      </c>
    </row>
    <row r="221" customFormat="false" ht="15" hidden="true" customHeight="true" outlineLevel="0" collapsed="false">
      <c r="A221" s="142" t="str">
        <f aca="false">IF(B221="","","TR"&amp;TEXT(ROW()-1,"000"))</f>
        <v/>
      </c>
      <c r="E221" s="130" t="str">
        <f aca="false">IF($O221="✓","✓",IF(ISNUMBER($O221),TEXT($O221,"yyyy-mm-dd"),IF($A221="","",IF(SUMPRODUCT(('Formation Initiale'!$A$2:$A$999=$A221)*('Formation Initiale'!$R$2:$R$999="Terminé"))&gt;0,"✓",IF(SUMPRODUCT(MAX(('Formation Initiale'!$A$2:$A$999=$A221)*'Formation Initiale'!$G$2:$G$999))&gt;0,TEXT(SUMPRODUCT(MAX(('Formation Initiale'!$A$2:$A$999=$A221)*'Formation Initiale'!$G$2:$G$999)),"yyyy-mm-dd"),"")))))</f>
        <v/>
      </c>
      <c r="F221" s="131" t="str">
        <f aca="false">IF($P221="✓","✓",IF(ISNUMBER($P221),TEXT($P221,"yyyy-mm-dd"),IF($A221="","",IF($D221="Lisbonne","",IF(SUMPRODUCT(('Formation Initiale'!$A$2:$A$999=$A221)*('Formation Initiale'!$R$2:$R$999="Terminé"))&gt;0,"✓",IF(SUMPRODUCT(MAX(('Formation Initiale'!$A$2:$A$999=$A221)*'Formation Initiale'!$G$2:$G$999))&gt;0,TEXT(SUMPRODUCT(MAX(('Formation Initiale'!$A$2:$A$999=$A221)*'Formation Initiale'!$G$2:$G$999)),"yyyy-mm-dd"),""))))))</f>
        <v/>
      </c>
      <c r="G221" s="131" t="str">
        <f aca="false">IF($Q221="✓","✓",IF(ISNUMBER($Q221),TEXT($Q221,"yyyy-mm-dd"),IF($A221="","",IF(SUMPRODUCT(('Agences &amp; Après-vente'!$A$2:$A$1000=$A221)*(('Agences &amp; Après-vente'!$D$2:$D$1000="Agences")+('Agences &amp; Après-vente'!$D$2:$D$1000="Agences et Après-vente"))*('Agences &amp; Après-vente'!$I$2:$I$1000="DONE"))&gt;0,"✓",IF(SUMPRODUCT(MAX(('Agences &amp; Après-vente'!$A$2:$A$1000=$A221)*(('Agences &amp; Après-vente'!$D$2:$D$1000="Agences")+('Agences &amp; Après-vente'!$D$2:$D$1000="Agences et Après-vente"))*'Agences &amp; Après-vente'!$E$2:$E$1000))&gt;0,TEXT(SUMPRODUCT(MAX(('Agences &amp; Après-vente'!$A$2:$A$1000=$A221)*(('Agences &amp; Après-vente'!$D$2:$D$1000="Agences")+('Agences &amp; Après-vente'!$D$2:$D$1000="Agences et Après-vente"))*'Agences &amp; Après-vente'!$E$2:$E$1000)),"yyyy-mm-dd"),"")))))</f>
        <v/>
      </c>
      <c r="H221" s="131" t="str">
        <f aca="false">IF($R221="✓","✓",IF(ISNUMBER($R221),TEXT($R221,"yyyy-mm-dd"),IF($A221="","",IF($D221="Lisbonne","",IF(SUMPRODUCT(('Agences &amp; Après-vente'!$A$2:$A$1000=$A221)*(('Agences &amp; Après-vente'!$D$2:$D$1000="Agences")+('Agences &amp; Après-vente'!$D$2:$D$1000="Agences et Après-vente"))*('Agences &amp; Après-vente'!$I$2:$I$1000="DONE"))&gt;0,"✓",IF(SUMPRODUCT(MAX(('Agences &amp; Après-vente'!$A$2:$A$1000=$A221)*(('Agences &amp; Après-vente'!$D$2:$D$1000="Agences")+('Agences &amp; Après-vente'!$D$2:$D$1000="Agences et Après-vente"))*'Agences &amp; Après-vente'!$E$2:$E$1000))&gt;0,TEXT(SUMPRODUCT(MAX(('Agences &amp; Après-vente'!$A$2:$A$1000=$A221)*(('Agences &amp; Après-vente'!$D$2:$D$1000="Agences")+('Agences &amp; Après-vente'!$D$2:$D$1000="Agences et Après-vente"))*'Agences &amp; Après-vente'!$E$2:$E$1000)),"yyyy-mm-dd"),""))))))</f>
        <v/>
      </c>
      <c r="I221" s="131" t="str">
        <f aca="false">IF($S221="✓","✓",IF(ISNUMBER($S221),TEXT($S221,"yyyy-mm-dd"),IF($A221="","",IF(SUMPRODUCT(('Agences &amp; Après-vente'!$A$2:$A$1000=$A221)*(('Agences &amp; Après-vente'!$D$2:$D$1000="Après-vente")+('Agences &amp; Après-vente'!$D$2:$D$1000="Agences et Après-vente"))*('Agences &amp; Après-vente'!$I$2:$I$1000="DONE"))&gt;0,"✓",IF(SUMPRODUCT(MAX(('Agences &amp; Après-vente'!$A$2:$A$1000=$A221)*(('Agences &amp; Après-vente'!$D$2:$D$1000="Après-vente")+('Agences &amp; Après-vente'!$D$2:$D$1000="Agences et Après-vente"))*'Agences &amp; Après-vente'!$E$2:$E$1000))&gt;0,TEXT(SUMPRODUCT(MAX(('Agences &amp; Après-vente'!$A$2:$A$1000=$A221)*(('Agences &amp; Après-vente'!$D$2:$D$1000="Après-vente")+('Agences &amp; Après-vente'!$D$2:$D$1000="Agences et Après-vente"))*'Agences &amp; Après-vente'!$E$2:$E$1000)),"yyyy-mm-dd"),"")))))</f>
        <v/>
      </c>
      <c r="J221" s="131" t="str">
        <f aca="false">IF($T221="✓","✓",IF(ISNUMBER($T221),TEXT($T221,"yyyy-mm-dd"),IF($A221="","",IF($D221="Lisbonne","",IF(SUMPRODUCT(('Agences &amp; Après-vente'!$A$2:$A$1000=$A221)*(('Agences &amp; Après-vente'!$D$2:$D$1000="Après-vente")+('Agences &amp; Après-vente'!$D$2:$D$1000="Agences et Après-vente"))*('Agences &amp; Après-vente'!$I$2:$I$1000="DONE"))&gt;0,"✓",IF(SUMPRODUCT(MAX(('Agences &amp; Après-vente'!$A$2:$A$1000=$A221)*(('Agences &amp; Après-vente'!$D$2:$D$1000="Après-vente")+('Agences &amp; Après-vente'!$D$2:$D$1000="Agences et Après-vente"))*'Agences &amp; Après-vente'!$E$2:$E$1000))&gt;0,TEXT(SUMPRODUCT(MAX(('Agences &amp; Après-vente'!$A$2:$A$1000=$A221)*(('Agences &amp; Après-vente'!$D$2:$D$1000="Après-vente")+('Agences &amp; Après-vente'!$D$2:$D$1000="Agences et Après-vente"))*'Agences &amp; Après-vente'!$E$2:$E$1000)),"yyyy-mm-dd"),""))))))</f>
        <v/>
      </c>
      <c r="K221" s="131" t="str">
        <f aca="false">IF($U221="✓","✓",IF(ISNUMBER($U221),TEXT($U221,"yyyy-mm-dd"),IF($D221="Lisbonne","",IF($A221="","",IF(SUMPRODUCT((Evermont!$A$2:$A$1000=$A221)*(Evermont!$Q$2:$Q$1000="Terminé"))&gt;0,"✓",IF(SUMPRODUCT(MAX((Evermont!$A$2:$A$1000=$A221)*Evermont!$F$2:$F$1000))&gt;0,TEXT(SUMPRODUCT(MAX((Evermont!$A$2:$A$1000=$A221)*Evermont!$F$2:$F$1000)),"yyyy-mm-dd"),""))))))</f>
        <v/>
      </c>
      <c r="L221" s="131" t="str">
        <f aca="false">IF($A221="","",COUNTIF(E221:K221,"✓"))</f>
        <v/>
      </c>
      <c r="M221" s="131" t="str">
        <f aca="false">IF(B221="","","Active")</f>
        <v/>
      </c>
      <c r="W221" s="120" t="str">
        <f aca="false">IF($A221="","",IF($X221&lt;&gt;"",$X221,IFERROR(INDEX('Formation Initiale'!$B$2:$B$999,MATCH($A221,'Formation Initiale'!$A$2:$A$999,0)),"Général")))</f>
        <v/>
      </c>
    </row>
    <row r="222" customFormat="false" ht="15" hidden="true" customHeight="true" outlineLevel="0" collapsed="false">
      <c r="A222" s="142" t="str">
        <f aca="false">IF(B222="","","TR"&amp;TEXT(ROW()-1,"000"))</f>
        <v/>
      </c>
      <c r="E222" s="130" t="str">
        <f aca="false">IF($O222="✓","✓",IF(ISNUMBER($O222),TEXT($O222,"yyyy-mm-dd"),IF($A222="","",IF(SUMPRODUCT(('Formation Initiale'!$A$2:$A$999=$A222)*('Formation Initiale'!$R$2:$R$999="Terminé"))&gt;0,"✓",IF(SUMPRODUCT(MAX(('Formation Initiale'!$A$2:$A$999=$A222)*'Formation Initiale'!$G$2:$G$999))&gt;0,TEXT(SUMPRODUCT(MAX(('Formation Initiale'!$A$2:$A$999=$A222)*'Formation Initiale'!$G$2:$G$999)),"yyyy-mm-dd"),"")))))</f>
        <v/>
      </c>
      <c r="F222" s="131" t="str">
        <f aca="false">IF($P222="✓","✓",IF(ISNUMBER($P222),TEXT($P222,"yyyy-mm-dd"),IF($A222="","",IF($D222="Lisbonne","",IF(SUMPRODUCT(('Formation Initiale'!$A$2:$A$999=$A222)*('Formation Initiale'!$R$2:$R$999="Terminé"))&gt;0,"✓",IF(SUMPRODUCT(MAX(('Formation Initiale'!$A$2:$A$999=$A222)*'Formation Initiale'!$G$2:$G$999))&gt;0,TEXT(SUMPRODUCT(MAX(('Formation Initiale'!$A$2:$A$999=$A222)*'Formation Initiale'!$G$2:$G$999)),"yyyy-mm-dd"),""))))))</f>
        <v/>
      </c>
      <c r="G222" s="131" t="str">
        <f aca="false">IF($Q222="✓","✓",IF(ISNUMBER($Q222),TEXT($Q222,"yyyy-mm-dd"),IF($A222="","",IF(SUMPRODUCT(('Agences &amp; Après-vente'!$A$2:$A$1000=$A222)*(('Agences &amp; Après-vente'!$D$2:$D$1000="Agences")+('Agences &amp; Après-vente'!$D$2:$D$1000="Agences et Après-vente"))*('Agences &amp; Après-vente'!$I$2:$I$1000="DONE"))&gt;0,"✓",IF(SUMPRODUCT(MAX(('Agences &amp; Après-vente'!$A$2:$A$1000=$A222)*(('Agences &amp; Après-vente'!$D$2:$D$1000="Agences")+('Agences &amp; Après-vente'!$D$2:$D$1000="Agences et Après-vente"))*'Agences &amp; Après-vente'!$E$2:$E$1000))&gt;0,TEXT(SUMPRODUCT(MAX(('Agences &amp; Après-vente'!$A$2:$A$1000=$A222)*(('Agences &amp; Après-vente'!$D$2:$D$1000="Agences")+('Agences &amp; Après-vente'!$D$2:$D$1000="Agences et Après-vente"))*'Agences &amp; Après-vente'!$E$2:$E$1000)),"yyyy-mm-dd"),"")))))</f>
        <v/>
      </c>
      <c r="H222" s="131" t="str">
        <f aca="false">IF($R222="✓","✓",IF(ISNUMBER($R222),TEXT($R222,"yyyy-mm-dd"),IF($A222="","",IF($D222="Lisbonne","",IF(SUMPRODUCT(('Agences &amp; Après-vente'!$A$2:$A$1000=$A222)*(('Agences &amp; Après-vente'!$D$2:$D$1000="Agences")+('Agences &amp; Après-vente'!$D$2:$D$1000="Agences et Après-vente"))*('Agences &amp; Après-vente'!$I$2:$I$1000="DONE"))&gt;0,"✓",IF(SUMPRODUCT(MAX(('Agences &amp; Après-vente'!$A$2:$A$1000=$A222)*(('Agences &amp; Après-vente'!$D$2:$D$1000="Agences")+('Agences &amp; Après-vente'!$D$2:$D$1000="Agences et Après-vente"))*'Agences &amp; Après-vente'!$E$2:$E$1000))&gt;0,TEXT(SUMPRODUCT(MAX(('Agences &amp; Après-vente'!$A$2:$A$1000=$A222)*(('Agences &amp; Après-vente'!$D$2:$D$1000="Agences")+('Agences &amp; Après-vente'!$D$2:$D$1000="Agences et Après-vente"))*'Agences &amp; Après-vente'!$E$2:$E$1000)),"yyyy-mm-dd"),""))))))</f>
        <v/>
      </c>
      <c r="I222" s="131" t="str">
        <f aca="false">IF($S222="✓","✓",IF(ISNUMBER($S222),TEXT($S222,"yyyy-mm-dd"),IF($A222="","",IF(SUMPRODUCT(('Agences &amp; Après-vente'!$A$2:$A$1000=$A222)*(('Agences &amp; Après-vente'!$D$2:$D$1000="Après-vente")+('Agences &amp; Après-vente'!$D$2:$D$1000="Agences et Après-vente"))*('Agences &amp; Après-vente'!$I$2:$I$1000="DONE"))&gt;0,"✓",IF(SUMPRODUCT(MAX(('Agences &amp; Après-vente'!$A$2:$A$1000=$A222)*(('Agences &amp; Après-vente'!$D$2:$D$1000="Après-vente")+('Agences &amp; Après-vente'!$D$2:$D$1000="Agences et Après-vente"))*'Agences &amp; Après-vente'!$E$2:$E$1000))&gt;0,TEXT(SUMPRODUCT(MAX(('Agences &amp; Après-vente'!$A$2:$A$1000=$A222)*(('Agences &amp; Après-vente'!$D$2:$D$1000="Après-vente")+('Agences &amp; Après-vente'!$D$2:$D$1000="Agences et Après-vente"))*'Agences &amp; Après-vente'!$E$2:$E$1000)),"yyyy-mm-dd"),"")))))</f>
        <v/>
      </c>
      <c r="J222" s="131" t="str">
        <f aca="false">IF($T222="✓","✓",IF(ISNUMBER($T222),TEXT($T222,"yyyy-mm-dd"),IF($A222="","",IF($D222="Lisbonne","",IF(SUMPRODUCT(('Agences &amp; Après-vente'!$A$2:$A$1000=$A222)*(('Agences &amp; Après-vente'!$D$2:$D$1000="Après-vente")+('Agences &amp; Après-vente'!$D$2:$D$1000="Agences et Après-vente"))*('Agences &amp; Après-vente'!$I$2:$I$1000="DONE"))&gt;0,"✓",IF(SUMPRODUCT(MAX(('Agences &amp; Après-vente'!$A$2:$A$1000=$A222)*(('Agences &amp; Après-vente'!$D$2:$D$1000="Après-vente")+('Agences &amp; Après-vente'!$D$2:$D$1000="Agences et Après-vente"))*'Agences &amp; Après-vente'!$E$2:$E$1000))&gt;0,TEXT(SUMPRODUCT(MAX(('Agences &amp; Après-vente'!$A$2:$A$1000=$A222)*(('Agences &amp; Après-vente'!$D$2:$D$1000="Après-vente")+('Agences &amp; Après-vente'!$D$2:$D$1000="Agences et Après-vente"))*'Agences &amp; Après-vente'!$E$2:$E$1000)),"yyyy-mm-dd"),""))))))</f>
        <v/>
      </c>
      <c r="K222" s="131" t="str">
        <f aca="false">IF($U222="✓","✓",IF(ISNUMBER($U222),TEXT($U222,"yyyy-mm-dd"),IF($D222="Lisbonne","",IF($A222="","",IF(SUMPRODUCT((Evermont!$A$2:$A$1000=$A222)*(Evermont!$Q$2:$Q$1000="Terminé"))&gt;0,"✓",IF(SUMPRODUCT(MAX((Evermont!$A$2:$A$1000=$A222)*Evermont!$F$2:$F$1000))&gt;0,TEXT(SUMPRODUCT(MAX((Evermont!$A$2:$A$1000=$A222)*Evermont!$F$2:$F$1000)),"yyyy-mm-dd"),""))))))</f>
        <v/>
      </c>
      <c r="L222" s="131" t="str">
        <f aca="false">IF($A222="","",COUNTIF(E222:K222,"✓"))</f>
        <v/>
      </c>
      <c r="M222" s="131" t="str">
        <f aca="false">IF(B222="","","Active")</f>
        <v/>
      </c>
      <c r="W222" s="120" t="str">
        <f aca="false">IF($A222="","",IF($X222&lt;&gt;"",$X222,IFERROR(INDEX('Formation Initiale'!$B$2:$B$999,MATCH($A222,'Formation Initiale'!$A$2:$A$999,0)),"Général")))</f>
        <v/>
      </c>
    </row>
    <row r="223" customFormat="false" ht="15" hidden="true" customHeight="true" outlineLevel="0" collapsed="false">
      <c r="A223" s="142" t="str">
        <f aca="false">IF(B223="","","TR"&amp;TEXT(ROW()-1,"000"))</f>
        <v/>
      </c>
      <c r="E223" s="130" t="str">
        <f aca="false">IF($O223="✓","✓",IF(ISNUMBER($O223),TEXT($O223,"yyyy-mm-dd"),IF($A223="","",IF(SUMPRODUCT(('Formation Initiale'!$A$2:$A$999=$A223)*('Formation Initiale'!$R$2:$R$999="Terminé"))&gt;0,"✓",IF(SUMPRODUCT(MAX(('Formation Initiale'!$A$2:$A$999=$A223)*'Formation Initiale'!$G$2:$G$999))&gt;0,TEXT(SUMPRODUCT(MAX(('Formation Initiale'!$A$2:$A$999=$A223)*'Formation Initiale'!$G$2:$G$999)),"yyyy-mm-dd"),"")))))</f>
        <v/>
      </c>
      <c r="F223" s="131" t="str">
        <f aca="false">IF($P223="✓","✓",IF(ISNUMBER($P223),TEXT($P223,"yyyy-mm-dd"),IF($A223="","",IF($D223="Lisbonne","",IF(SUMPRODUCT(('Formation Initiale'!$A$2:$A$999=$A223)*('Formation Initiale'!$R$2:$R$999="Terminé"))&gt;0,"✓",IF(SUMPRODUCT(MAX(('Formation Initiale'!$A$2:$A$999=$A223)*'Formation Initiale'!$G$2:$G$999))&gt;0,TEXT(SUMPRODUCT(MAX(('Formation Initiale'!$A$2:$A$999=$A223)*'Formation Initiale'!$G$2:$G$999)),"yyyy-mm-dd"),""))))))</f>
        <v/>
      </c>
      <c r="G223" s="131" t="str">
        <f aca="false">IF($Q223="✓","✓",IF(ISNUMBER($Q223),TEXT($Q223,"yyyy-mm-dd"),IF($A223="","",IF(SUMPRODUCT(('Agences &amp; Après-vente'!$A$2:$A$1000=$A223)*(('Agences &amp; Après-vente'!$D$2:$D$1000="Agences")+('Agences &amp; Après-vente'!$D$2:$D$1000="Agences et Après-vente"))*('Agences &amp; Après-vente'!$I$2:$I$1000="DONE"))&gt;0,"✓",IF(SUMPRODUCT(MAX(('Agences &amp; Après-vente'!$A$2:$A$1000=$A223)*(('Agences &amp; Après-vente'!$D$2:$D$1000="Agences")+('Agences &amp; Après-vente'!$D$2:$D$1000="Agences et Après-vente"))*'Agences &amp; Après-vente'!$E$2:$E$1000))&gt;0,TEXT(SUMPRODUCT(MAX(('Agences &amp; Après-vente'!$A$2:$A$1000=$A223)*(('Agences &amp; Après-vente'!$D$2:$D$1000="Agences")+('Agences &amp; Après-vente'!$D$2:$D$1000="Agences et Après-vente"))*'Agences &amp; Après-vente'!$E$2:$E$1000)),"yyyy-mm-dd"),"")))))</f>
        <v/>
      </c>
      <c r="H223" s="131" t="str">
        <f aca="false">IF($R223="✓","✓",IF(ISNUMBER($R223),TEXT($R223,"yyyy-mm-dd"),IF($A223="","",IF($D223="Lisbonne","",IF(SUMPRODUCT(('Agences &amp; Après-vente'!$A$2:$A$1000=$A223)*(('Agences &amp; Après-vente'!$D$2:$D$1000="Agences")+('Agences &amp; Après-vente'!$D$2:$D$1000="Agences et Après-vente"))*('Agences &amp; Après-vente'!$I$2:$I$1000="DONE"))&gt;0,"✓",IF(SUMPRODUCT(MAX(('Agences &amp; Après-vente'!$A$2:$A$1000=$A223)*(('Agences &amp; Après-vente'!$D$2:$D$1000="Agences")+('Agences &amp; Après-vente'!$D$2:$D$1000="Agences et Après-vente"))*'Agences &amp; Après-vente'!$E$2:$E$1000))&gt;0,TEXT(SUMPRODUCT(MAX(('Agences &amp; Après-vente'!$A$2:$A$1000=$A223)*(('Agences &amp; Après-vente'!$D$2:$D$1000="Agences")+('Agences &amp; Après-vente'!$D$2:$D$1000="Agences et Après-vente"))*'Agences &amp; Après-vente'!$E$2:$E$1000)),"yyyy-mm-dd"),""))))))</f>
        <v/>
      </c>
      <c r="I223" s="131" t="str">
        <f aca="false">IF($S223="✓","✓",IF(ISNUMBER($S223),TEXT($S223,"yyyy-mm-dd"),IF($A223="","",IF(SUMPRODUCT(('Agences &amp; Après-vente'!$A$2:$A$1000=$A223)*(('Agences &amp; Après-vente'!$D$2:$D$1000="Après-vente")+('Agences &amp; Après-vente'!$D$2:$D$1000="Agences et Après-vente"))*('Agences &amp; Après-vente'!$I$2:$I$1000="DONE"))&gt;0,"✓",IF(SUMPRODUCT(MAX(('Agences &amp; Après-vente'!$A$2:$A$1000=$A223)*(('Agences &amp; Après-vente'!$D$2:$D$1000="Après-vente")+('Agences &amp; Après-vente'!$D$2:$D$1000="Agences et Après-vente"))*'Agences &amp; Après-vente'!$E$2:$E$1000))&gt;0,TEXT(SUMPRODUCT(MAX(('Agences &amp; Après-vente'!$A$2:$A$1000=$A223)*(('Agences &amp; Après-vente'!$D$2:$D$1000="Après-vente")+('Agences &amp; Après-vente'!$D$2:$D$1000="Agences et Après-vente"))*'Agences &amp; Après-vente'!$E$2:$E$1000)),"yyyy-mm-dd"),"")))))</f>
        <v/>
      </c>
      <c r="J223" s="131" t="str">
        <f aca="false">IF($T223="✓","✓",IF(ISNUMBER($T223),TEXT($T223,"yyyy-mm-dd"),IF($A223="","",IF($D223="Lisbonne","",IF(SUMPRODUCT(('Agences &amp; Après-vente'!$A$2:$A$1000=$A223)*(('Agences &amp; Après-vente'!$D$2:$D$1000="Après-vente")+('Agences &amp; Après-vente'!$D$2:$D$1000="Agences et Après-vente"))*('Agences &amp; Après-vente'!$I$2:$I$1000="DONE"))&gt;0,"✓",IF(SUMPRODUCT(MAX(('Agences &amp; Après-vente'!$A$2:$A$1000=$A223)*(('Agences &amp; Après-vente'!$D$2:$D$1000="Après-vente")+('Agences &amp; Après-vente'!$D$2:$D$1000="Agences et Après-vente"))*'Agences &amp; Après-vente'!$E$2:$E$1000))&gt;0,TEXT(SUMPRODUCT(MAX(('Agences &amp; Après-vente'!$A$2:$A$1000=$A223)*(('Agences &amp; Après-vente'!$D$2:$D$1000="Après-vente")+('Agences &amp; Après-vente'!$D$2:$D$1000="Agences et Après-vente"))*'Agences &amp; Après-vente'!$E$2:$E$1000)),"yyyy-mm-dd"),""))))))</f>
        <v/>
      </c>
      <c r="K223" s="131" t="str">
        <f aca="false">IF($U223="✓","✓",IF(ISNUMBER($U223),TEXT($U223,"yyyy-mm-dd"),IF($D223="Lisbonne","",IF($A223="","",IF(SUMPRODUCT((Evermont!$A$2:$A$1000=$A223)*(Evermont!$Q$2:$Q$1000="Terminé"))&gt;0,"✓",IF(SUMPRODUCT(MAX((Evermont!$A$2:$A$1000=$A223)*Evermont!$F$2:$F$1000))&gt;0,TEXT(SUMPRODUCT(MAX((Evermont!$A$2:$A$1000=$A223)*Evermont!$F$2:$F$1000)),"yyyy-mm-dd"),""))))))</f>
        <v/>
      </c>
      <c r="L223" s="131" t="str">
        <f aca="false">IF($A223="","",COUNTIF(E223:K223,"✓"))</f>
        <v/>
      </c>
      <c r="M223" s="131" t="str">
        <f aca="false">IF(B223="","","Active")</f>
        <v/>
      </c>
      <c r="W223" s="120" t="str">
        <f aca="false">IF($A223="","",IF($X223&lt;&gt;"",$X223,IFERROR(INDEX('Formation Initiale'!$B$2:$B$999,MATCH($A223,'Formation Initiale'!$A$2:$A$999,0)),"Général")))</f>
        <v/>
      </c>
    </row>
    <row r="224" customFormat="false" ht="15" hidden="true" customHeight="true" outlineLevel="0" collapsed="false">
      <c r="A224" s="142" t="str">
        <f aca="false">IF(B224="","","TR"&amp;TEXT(ROW()-1,"000"))</f>
        <v/>
      </c>
      <c r="E224" s="130" t="str">
        <f aca="false">IF($O224="✓","✓",IF(ISNUMBER($O224),TEXT($O224,"yyyy-mm-dd"),IF($A224="","",IF(SUMPRODUCT(('Formation Initiale'!$A$2:$A$999=$A224)*('Formation Initiale'!$R$2:$R$999="Terminé"))&gt;0,"✓",IF(SUMPRODUCT(MAX(('Formation Initiale'!$A$2:$A$999=$A224)*'Formation Initiale'!$G$2:$G$999))&gt;0,TEXT(SUMPRODUCT(MAX(('Formation Initiale'!$A$2:$A$999=$A224)*'Formation Initiale'!$G$2:$G$999)),"yyyy-mm-dd"),"")))))</f>
        <v/>
      </c>
      <c r="F224" s="131" t="str">
        <f aca="false">IF($P224="✓","✓",IF(ISNUMBER($P224),TEXT($P224,"yyyy-mm-dd"),IF($A224="","",IF($D224="Lisbonne","",IF(SUMPRODUCT(('Formation Initiale'!$A$2:$A$999=$A224)*('Formation Initiale'!$R$2:$R$999="Terminé"))&gt;0,"✓",IF(SUMPRODUCT(MAX(('Formation Initiale'!$A$2:$A$999=$A224)*'Formation Initiale'!$G$2:$G$999))&gt;0,TEXT(SUMPRODUCT(MAX(('Formation Initiale'!$A$2:$A$999=$A224)*'Formation Initiale'!$G$2:$G$999)),"yyyy-mm-dd"),""))))))</f>
        <v/>
      </c>
      <c r="G224" s="131" t="str">
        <f aca="false">IF($Q224="✓","✓",IF(ISNUMBER($Q224),TEXT($Q224,"yyyy-mm-dd"),IF($A224="","",IF(SUMPRODUCT(('Agences &amp; Après-vente'!$A$2:$A$1000=$A224)*(('Agences &amp; Après-vente'!$D$2:$D$1000="Agences")+('Agences &amp; Après-vente'!$D$2:$D$1000="Agences et Après-vente"))*('Agences &amp; Après-vente'!$I$2:$I$1000="DONE"))&gt;0,"✓",IF(SUMPRODUCT(MAX(('Agences &amp; Après-vente'!$A$2:$A$1000=$A224)*(('Agences &amp; Après-vente'!$D$2:$D$1000="Agences")+('Agences &amp; Après-vente'!$D$2:$D$1000="Agences et Après-vente"))*'Agences &amp; Après-vente'!$E$2:$E$1000))&gt;0,TEXT(SUMPRODUCT(MAX(('Agences &amp; Après-vente'!$A$2:$A$1000=$A224)*(('Agences &amp; Après-vente'!$D$2:$D$1000="Agences")+('Agences &amp; Après-vente'!$D$2:$D$1000="Agences et Après-vente"))*'Agences &amp; Après-vente'!$E$2:$E$1000)),"yyyy-mm-dd"),"")))))</f>
        <v/>
      </c>
      <c r="H224" s="131" t="str">
        <f aca="false">IF($R224="✓","✓",IF(ISNUMBER($R224),TEXT($R224,"yyyy-mm-dd"),IF($A224="","",IF($D224="Lisbonne","",IF(SUMPRODUCT(('Agences &amp; Après-vente'!$A$2:$A$1000=$A224)*(('Agences &amp; Après-vente'!$D$2:$D$1000="Agences")+('Agences &amp; Après-vente'!$D$2:$D$1000="Agences et Après-vente"))*('Agences &amp; Après-vente'!$I$2:$I$1000="DONE"))&gt;0,"✓",IF(SUMPRODUCT(MAX(('Agences &amp; Après-vente'!$A$2:$A$1000=$A224)*(('Agences &amp; Après-vente'!$D$2:$D$1000="Agences")+('Agences &amp; Après-vente'!$D$2:$D$1000="Agences et Après-vente"))*'Agences &amp; Après-vente'!$E$2:$E$1000))&gt;0,TEXT(SUMPRODUCT(MAX(('Agences &amp; Après-vente'!$A$2:$A$1000=$A224)*(('Agences &amp; Après-vente'!$D$2:$D$1000="Agences")+('Agences &amp; Après-vente'!$D$2:$D$1000="Agences et Après-vente"))*'Agences &amp; Après-vente'!$E$2:$E$1000)),"yyyy-mm-dd"),""))))))</f>
        <v/>
      </c>
      <c r="I224" s="131" t="str">
        <f aca="false">IF($S224="✓","✓",IF(ISNUMBER($S224),TEXT($S224,"yyyy-mm-dd"),IF($A224="","",IF(SUMPRODUCT(('Agences &amp; Après-vente'!$A$2:$A$1000=$A224)*(('Agences &amp; Après-vente'!$D$2:$D$1000="Après-vente")+('Agences &amp; Après-vente'!$D$2:$D$1000="Agences et Après-vente"))*('Agences &amp; Après-vente'!$I$2:$I$1000="DONE"))&gt;0,"✓",IF(SUMPRODUCT(MAX(('Agences &amp; Après-vente'!$A$2:$A$1000=$A224)*(('Agences &amp; Après-vente'!$D$2:$D$1000="Après-vente")+('Agences &amp; Après-vente'!$D$2:$D$1000="Agences et Après-vente"))*'Agences &amp; Après-vente'!$E$2:$E$1000))&gt;0,TEXT(SUMPRODUCT(MAX(('Agences &amp; Après-vente'!$A$2:$A$1000=$A224)*(('Agences &amp; Après-vente'!$D$2:$D$1000="Après-vente")+('Agences &amp; Après-vente'!$D$2:$D$1000="Agences et Après-vente"))*'Agences &amp; Après-vente'!$E$2:$E$1000)),"yyyy-mm-dd"),"")))))</f>
        <v/>
      </c>
      <c r="J224" s="131" t="str">
        <f aca="false">IF($T224="✓","✓",IF(ISNUMBER($T224),TEXT($T224,"yyyy-mm-dd"),IF($A224="","",IF($D224="Lisbonne","",IF(SUMPRODUCT(('Agences &amp; Après-vente'!$A$2:$A$1000=$A224)*(('Agences &amp; Après-vente'!$D$2:$D$1000="Après-vente")+('Agences &amp; Après-vente'!$D$2:$D$1000="Agences et Après-vente"))*('Agences &amp; Après-vente'!$I$2:$I$1000="DONE"))&gt;0,"✓",IF(SUMPRODUCT(MAX(('Agences &amp; Après-vente'!$A$2:$A$1000=$A224)*(('Agences &amp; Après-vente'!$D$2:$D$1000="Après-vente")+('Agences &amp; Après-vente'!$D$2:$D$1000="Agences et Après-vente"))*'Agences &amp; Après-vente'!$E$2:$E$1000))&gt;0,TEXT(SUMPRODUCT(MAX(('Agences &amp; Après-vente'!$A$2:$A$1000=$A224)*(('Agences &amp; Après-vente'!$D$2:$D$1000="Après-vente")+('Agences &amp; Après-vente'!$D$2:$D$1000="Agences et Après-vente"))*'Agences &amp; Après-vente'!$E$2:$E$1000)),"yyyy-mm-dd"),""))))))</f>
        <v/>
      </c>
      <c r="K224" s="131" t="str">
        <f aca="false">IF($U224="✓","✓",IF(ISNUMBER($U224),TEXT($U224,"yyyy-mm-dd"),IF($D224="Lisbonne","",IF($A224="","",IF(SUMPRODUCT((Evermont!$A$2:$A$1000=$A224)*(Evermont!$Q$2:$Q$1000="Terminé"))&gt;0,"✓",IF(SUMPRODUCT(MAX((Evermont!$A$2:$A$1000=$A224)*Evermont!$F$2:$F$1000))&gt;0,TEXT(SUMPRODUCT(MAX((Evermont!$A$2:$A$1000=$A224)*Evermont!$F$2:$F$1000)),"yyyy-mm-dd"),""))))))</f>
        <v/>
      </c>
      <c r="L224" s="131" t="str">
        <f aca="false">IF($A224="","",COUNTIF(E224:K224,"✓"))</f>
        <v/>
      </c>
      <c r="M224" s="131" t="str">
        <f aca="false">IF(B224="","","Active")</f>
        <v/>
      </c>
      <c r="W224" s="120" t="str">
        <f aca="false">IF($A224="","",IF($X224&lt;&gt;"",$X224,IFERROR(INDEX('Formation Initiale'!$B$2:$B$999,MATCH($A224,'Formation Initiale'!$A$2:$A$999,0)),"Général")))</f>
        <v/>
      </c>
    </row>
    <row r="225" customFormat="false" ht="15" hidden="true" customHeight="true" outlineLevel="0" collapsed="false">
      <c r="A225" s="142" t="str">
        <f aca="false">IF(B225="","","TR"&amp;TEXT(ROW()-1,"000"))</f>
        <v/>
      </c>
      <c r="E225" s="130" t="str">
        <f aca="false">IF($O225="✓","✓",IF(ISNUMBER($O225),TEXT($O225,"yyyy-mm-dd"),IF($A225="","",IF(SUMPRODUCT(('Formation Initiale'!$A$2:$A$999=$A225)*('Formation Initiale'!$R$2:$R$999="Terminé"))&gt;0,"✓",IF(SUMPRODUCT(MAX(('Formation Initiale'!$A$2:$A$999=$A225)*'Formation Initiale'!$G$2:$G$999))&gt;0,TEXT(SUMPRODUCT(MAX(('Formation Initiale'!$A$2:$A$999=$A225)*'Formation Initiale'!$G$2:$G$999)),"yyyy-mm-dd"),"")))))</f>
        <v/>
      </c>
      <c r="F225" s="131" t="str">
        <f aca="false">IF($P225="✓","✓",IF(ISNUMBER($P225),TEXT($P225,"yyyy-mm-dd"),IF($A225="","",IF($D225="Lisbonne","",IF(SUMPRODUCT(('Formation Initiale'!$A$2:$A$999=$A225)*('Formation Initiale'!$R$2:$R$999="Terminé"))&gt;0,"✓",IF(SUMPRODUCT(MAX(('Formation Initiale'!$A$2:$A$999=$A225)*'Formation Initiale'!$G$2:$G$999))&gt;0,TEXT(SUMPRODUCT(MAX(('Formation Initiale'!$A$2:$A$999=$A225)*'Formation Initiale'!$G$2:$G$999)),"yyyy-mm-dd"),""))))))</f>
        <v/>
      </c>
      <c r="G225" s="131" t="str">
        <f aca="false">IF($Q225="✓","✓",IF(ISNUMBER($Q225),TEXT($Q225,"yyyy-mm-dd"),IF($A225="","",IF(SUMPRODUCT(('Agences &amp; Après-vente'!$A$2:$A$1000=$A225)*(('Agences &amp; Après-vente'!$D$2:$D$1000="Agences")+('Agences &amp; Après-vente'!$D$2:$D$1000="Agences et Après-vente"))*('Agences &amp; Après-vente'!$I$2:$I$1000="DONE"))&gt;0,"✓",IF(SUMPRODUCT(MAX(('Agences &amp; Après-vente'!$A$2:$A$1000=$A225)*(('Agences &amp; Après-vente'!$D$2:$D$1000="Agences")+('Agences &amp; Après-vente'!$D$2:$D$1000="Agences et Après-vente"))*'Agences &amp; Après-vente'!$E$2:$E$1000))&gt;0,TEXT(SUMPRODUCT(MAX(('Agences &amp; Après-vente'!$A$2:$A$1000=$A225)*(('Agences &amp; Après-vente'!$D$2:$D$1000="Agences")+('Agences &amp; Après-vente'!$D$2:$D$1000="Agences et Après-vente"))*'Agences &amp; Après-vente'!$E$2:$E$1000)),"yyyy-mm-dd"),"")))))</f>
        <v/>
      </c>
      <c r="H225" s="131" t="str">
        <f aca="false">IF($R225="✓","✓",IF(ISNUMBER($R225),TEXT($R225,"yyyy-mm-dd"),IF($A225="","",IF($D225="Lisbonne","",IF(SUMPRODUCT(('Agences &amp; Après-vente'!$A$2:$A$1000=$A225)*(('Agences &amp; Après-vente'!$D$2:$D$1000="Agences")+('Agences &amp; Après-vente'!$D$2:$D$1000="Agences et Après-vente"))*('Agences &amp; Après-vente'!$I$2:$I$1000="DONE"))&gt;0,"✓",IF(SUMPRODUCT(MAX(('Agences &amp; Après-vente'!$A$2:$A$1000=$A225)*(('Agences &amp; Après-vente'!$D$2:$D$1000="Agences")+('Agences &amp; Après-vente'!$D$2:$D$1000="Agences et Après-vente"))*'Agences &amp; Après-vente'!$E$2:$E$1000))&gt;0,TEXT(SUMPRODUCT(MAX(('Agences &amp; Après-vente'!$A$2:$A$1000=$A225)*(('Agences &amp; Après-vente'!$D$2:$D$1000="Agences")+('Agences &amp; Après-vente'!$D$2:$D$1000="Agences et Après-vente"))*'Agences &amp; Après-vente'!$E$2:$E$1000)),"yyyy-mm-dd"),""))))))</f>
        <v/>
      </c>
      <c r="I225" s="131" t="str">
        <f aca="false">IF($S225="✓","✓",IF(ISNUMBER($S225),TEXT($S225,"yyyy-mm-dd"),IF($A225="","",IF(SUMPRODUCT(('Agences &amp; Après-vente'!$A$2:$A$1000=$A225)*(('Agences &amp; Après-vente'!$D$2:$D$1000="Après-vente")+('Agences &amp; Après-vente'!$D$2:$D$1000="Agences et Après-vente"))*('Agences &amp; Après-vente'!$I$2:$I$1000="DONE"))&gt;0,"✓",IF(SUMPRODUCT(MAX(('Agences &amp; Après-vente'!$A$2:$A$1000=$A225)*(('Agences &amp; Après-vente'!$D$2:$D$1000="Après-vente")+('Agences &amp; Après-vente'!$D$2:$D$1000="Agences et Après-vente"))*'Agences &amp; Après-vente'!$E$2:$E$1000))&gt;0,TEXT(SUMPRODUCT(MAX(('Agences &amp; Après-vente'!$A$2:$A$1000=$A225)*(('Agences &amp; Après-vente'!$D$2:$D$1000="Après-vente")+('Agences &amp; Après-vente'!$D$2:$D$1000="Agences et Après-vente"))*'Agences &amp; Après-vente'!$E$2:$E$1000)),"yyyy-mm-dd"),"")))))</f>
        <v/>
      </c>
      <c r="J225" s="131" t="str">
        <f aca="false">IF($T225="✓","✓",IF(ISNUMBER($T225),TEXT($T225,"yyyy-mm-dd"),IF($A225="","",IF($D225="Lisbonne","",IF(SUMPRODUCT(('Agences &amp; Après-vente'!$A$2:$A$1000=$A225)*(('Agences &amp; Après-vente'!$D$2:$D$1000="Après-vente")+('Agences &amp; Après-vente'!$D$2:$D$1000="Agences et Après-vente"))*('Agences &amp; Après-vente'!$I$2:$I$1000="DONE"))&gt;0,"✓",IF(SUMPRODUCT(MAX(('Agences &amp; Après-vente'!$A$2:$A$1000=$A225)*(('Agences &amp; Après-vente'!$D$2:$D$1000="Après-vente")+('Agences &amp; Après-vente'!$D$2:$D$1000="Agences et Après-vente"))*'Agences &amp; Après-vente'!$E$2:$E$1000))&gt;0,TEXT(SUMPRODUCT(MAX(('Agences &amp; Après-vente'!$A$2:$A$1000=$A225)*(('Agences &amp; Après-vente'!$D$2:$D$1000="Après-vente")+('Agences &amp; Après-vente'!$D$2:$D$1000="Agences et Après-vente"))*'Agences &amp; Après-vente'!$E$2:$E$1000)),"yyyy-mm-dd"),""))))))</f>
        <v/>
      </c>
      <c r="K225" s="131" t="str">
        <f aca="false">IF($U225="✓","✓",IF(ISNUMBER($U225),TEXT($U225,"yyyy-mm-dd"),IF($D225="Lisbonne","",IF($A225="","",IF(SUMPRODUCT((Evermont!$A$2:$A$1000=$A225)*(Evermont!$Q$2:$Q$1000="Terminé"))&gt;0,"✓",IF(SUMPRODUCT(MAX((Evermont!$A$2:$A$1000=$A225)*Evermont!$F$2:$F$1000))&gt;0,TEXT(SUMPRODUCT(MAX((Evermont!$A$2:$A$1000=$A225)*Evermont!$F$2:$F$1000)),"yyyy-mm-dd"),""))))))</f>
        <v/>
      </c>
      <c r="L225" s="131" t="str">
        <f aca="false">IF($A225="","",COUNTIF(E225:K225,"✓"))</f>
        <v/>
      </c>
      <c r="M225" s="131" t="str">
        <f aca="false">IF(B225="","","Active")</f>
        <v/>
      </c>
      <c r="W225" s="120" t="str">
        <f aca="false">IF($A225="","",IF($X225&lt;&gt;"",$X225,IFERROR(INDEX('Formation Initiale'!$B$2:$B$999,MATCH($A225,'Formation Initiale'!$A$2:$A$999,0)),"Général")))</f>
        <v/>
      </c>
    </row>
    <row r="226" customFormat="false" ht="15" hidden="true" customHeight="true" outlineLevel="0" collapsed="false">
      <c r="A226" s="142" t="str">
        <f aca="false">IF(B226="","","TR"&amp;TEXT(ROW()-1,"000"))</f>
        <v/>
      </c>
      <c r="E226" s="130" t="str">
        <f aca="false">IF($O226="✓","✓",IF(ISNUMBER($O226),TEXT($O226,"yyyy-mm-dd"),IF($A226="","",IF(SUMPRODUCT(('Formation Initiale'!$A$2:$A$999=$A226)*('Formation Initiale'!$R$2:$R$999="Terminé"))&gt;0,"✓",IF(SUMPRODUCT(MAX(('Formation Initiale'!$A$2:$A$999=$A226)*'Formation Initiale'!$G$2:$G$999))&gt;0,TEXT(SUMPRODUCT(MAX(('Formation Initiale'!$A$2:$A$999=$A226)*'Formation Initiale'!$G$2:$G$999)),"yyyy-mm-dd"),"")))))</f>
        <v/>
      </c>
      <c r="F226" s="131" t="str">
        <f aca="false">IF($P226="✓","✓",IF(ISNUMBER($P226),TEXT($P226,"yyyy-mm-dd"),IF($A226="","",IF($D226="Lisbonne","",IF(SUMPRODUCT(('Formation Initiale'!$A$2:$A$999=$A226)*('Formation Initiale'!$R$2:$R$999="Terminé"))&gt;0,"✓",IF(SUMPRODUCT(MAX(('Formation Initiale'!$A$2:$A$999=$A226)*'Formation Initiale'!$G$2:$G$999))&gt;0,TEXT(SUMPRODUCT(MAX(('Formation Initiale'!$A$2:$A$999=$A226)*'Formation Initiale'!$G$2:$G$999)),"yyyy-mm-dd"),""))))))</f>
        <v/>
      </c>
      <c r="G226" s="131" t="str">
        <f aca="false">IF($Q226="✓","✓",IF(ISNUMBER($Q226),TEXT($Q226,"yyyy-mm-dd"),IF($A226="","",IF(SUMPRODUCT(('Agences &amp; Après-vente'!$A$2:$A$1000=$A226)*(('Agences &amp; Après-vente'!$D$2:$D$1000="Agences")+('Agences &amp; Après-vente'!$D$2:$D$1000="Agences et Après-vente"))*('Agences &amp; Après-vente'!$I$2:$I$1000="DONE"))&gt;0,"✓",IF(SUMPRODUCT(MAX(('Agences &amp; Après-vente'!$A$2:$A$1000=$A226)*(('Agences &amp; Après-vente'!$D$2:$D$1000="Agences")+('Agences &amp; Après-vente'!$D$2:$D$1000="Agences et Après-vente"))*'Agences &amp; Après-vente'!$E$2:$E$1000))&gt;0,TEXT(SUMPRODUCT(MAX(('Agences &amp; Après-vente'!$A$2:$A$1000=$A226)*(('Agences &amp; Après-vente'!$D$2:$D$1000="Agences")+('Agences &amp; Après-vente'!$D$2:$D$1000="Agences et Après-vente"))*'Agences &amp; Après-vente'!$E$2:$E$1000)),"yyyy-mm-dd"),"")))))</f>
        <v/>
      </c>
      <c r="H226" s="131" t="str">
        <f aca="false">IF($R226="✓","✓",IF(ISNUMBER($R226),TEXT($R226,"yyyy-mm-dd"),IF($A226="","",IF($D226="Lisbonne","",IF(SUMPRODUCT(('Agences &amp; Après-vente'!$A$2:$A$1000=$A226)*(('Agences &amp; Après-vente'!$D$2:$D$1000="Agences")+('Agences &amp; Après-vente'!$D$2:$D$1000="Agences et Après-vente"))*('Agences &amp; Après-vente'!$I$2:$I$1000="DONE"))&gt;0,"✓",IF(SUMPRODUCT(MAX(('Agences &amp; Après-vente'!$A$2:$A$1000=$A226)*(('Agences &amp; Après-vente'!$D$2:$D$1000="Agences")+('Agences &amp; Après-vente'!$D$2:$D$1000="Agences et Après-vente"))*'Agences &amp; Après-vente'!$E$2:$E$1000))&gt;0,TEXT(SUMPRODUCT(MAX(('Agences &amp; Après-vente'!$A$2:$A$1000=$A226)*(('Agences &amp; Après-vente'!$D$2:$D$1000="Agences")+('Agences &amp; Après-vente'!$D$2:$D$1000="Agences et Après-vente"))*'Agences &amp; Après-vente'!$E$2:$E$1000)),"yyyy-mm-dd"),""))))))</f>
        <v/>
      </c>
      <c r="I226" s="131" t="str">
        <f aca="false">IF($S226="✓","✓",IF(ISNUMBER($S226),TEXT($S226,"yyyy-mm-dd"),IF($A226="","",IF(SUMPRODUCT(('Agences &amp; Après-vente'!$A$2:$A$1000=$A226)*(('Agences &amp; Après-vente'!$D$2:$D$1000="Après-vente")+('Agences &amp; Après-vente'!$D$2:$D$1000="Agences et Après-vente"))*('Agences &amp; Après-vente'!$I$2:$I$1000="DONE"))&gt;0,"✓",IF(SUMPRODUCT(MAX(('Agences &amp; Après-vente'!$A$2:$A$1000=$A226)*(('Agences &amp; Après-vente'!$D$2:$D$1000="Après-vente")+('Agences &amp; Après-vente'!$D$2:$D$1000="Agences et Après-vente"))*'Agences &amp; Après-vente'!$E$2:$E$1000))&gt;0,TEXT(SUMPRODUCT(MAX(('Agences &amp; Après-vente'!$A$2:$A$1000=$A226)*(('Agences &amp; Après-vente'!$D$2:$D$1000="Après-vente")+('Agences &amp; Après-vente'!$D$2:$D$1000="Agences et Après-vente"))*'Agences &amp; Après-vente'!$E$2:$E$1000)),"yyyy-mm-dd"),"")))))</f>
        <v/>
      </c>
      <c r="J226" s="131" t="str">
        <f aca="false">IF($T226="✓","✓",IF(ISNUMBER($T226),TEXT($T226,"yyyy-mm-dd"),IF($A226="","",IF($D226="Lisbonne","",IF(SUMPRODUCT(('Agences &amp; Après-vente'!$A$2:$A$1000=$A226)*(('Agences &amp; Après-vente'!$D$2:$D$1000="Après-vente")+('Agences &amp; Après-vente'!$D$2:$D$1000="Agences et Après-vente"))*('Agences &amp; Après-vente'!$I$2:$I$1000="DONE"))&gt;0,"✓",IF(SUMPRODUCT(MAX(('Agences &amp; Après-vente'!$A$2:$A$1000=$A226)*(('Agences &amp; Après-vente'!$D$2:$D$1000="Après-vente")+('Agences &amp; Après-vente'!$D$2:$D$1000="Agences et Après-vente"))*'Agences &amp; Après-vente'!$E$2:$E$1000))&gt;0,TEXT(SUMPRODUCT(MAX(('Agences &amp; Après-vente'!$A$2:$A$1000=$A226)*(('Agences &amp; Après-vente'!$D$2:$D$1000="Après-vente")+('Agences &amp; Après-vente'!$D$2:$D$1000="Agences et Après-vente"))*'Agences &amp; Après-vente'!$E$2:$E$1000)),"yyyy-mm-dd"),""))))))</f>
        <v/>
      </c>
      <c r="K226" s="131" t="str">
        <f aca="false">IF($U226="✓","✓",IF(ISNUMBER($U226),TEXT($U226,"yyyy-mm-dd"),IF($D226="Lisbonne","",IF($A226="","",IF(SUMPRODUCT((Evermont!$A$2:$A$1000=$A226)*(Evermont!$Q$2:$Q$1000="Terminé"))&gt;0,"✓",IF(SUMPRODUCT(MAX((Evermont!$A$2:$A$1000=$A226)*Evermont!$F$2:$F$1000))&gt;0,TEXT(SUMPRODUCT(MAX((Evermont!$A$2:$A$1000=$A226)*Evermont!$F$2:$F$1000)),"yyyy-mm-dd"),""))))))</f>
        <v/>
      </c>
      <c r="L226" s="131" t="str">
        <f aca="false">IF($A226="","",COUNTIF(E226:K226,"✓"))</f>
        <v/>
      </c>
      <c r="M226" s="131" t="str">
        <f aca="false">IF(B226="","","Active")</f>
        <v/>
      </c>
      <c r="W226" s="120" t="str">
        <f aca="false">IF($A226="","",IF($X226&lt;&gt;"",$X226,IFERROR(INDEX('Formation Initiale'!$B$2:$B$999,MATCH($A226,'Formation Initiale'!$A$2:$A$999,0)),"Général")))</f>
        <v/>
      </c>
    </row>
    <row r="227" customFormat="false" ht="15" hidden="true" customHeight="true" outlineLevel="0" collapsed="false">
      <c r="A227" s="142" t="str">
        <f aca="false">IF(B227="","","TR"&amp;TEXT(ROW()-1,"000"))</f>
        <v/>
      </c>
      <c r="E227" s="130" t="str">
        <f aca="false">IF($O227="✓","✓",IF(ISNUMBER($O227),TEXT($O227,"yyyy-mm-dd"),IF($A227="","",IF(SUMPRODUCT(('Formation Initiale'!$A$2:$A$999=$A227)*('Formation Initiale'!$R$2:$R$999="Terminé"))&gt;0,"✓",IF(SUMPRODUCT(MAX(('Formation Initiale'!$A$2:$A$999=$A227)*'Formation Initiale'!$G$2:$G$999))&gt;0,TEXT(SUMPRODUCT(MAX(('Formation Initiale'!$A$2:$A$999=$A227)*'Formation Initiale'!$G$2:$G$999)),"yyyy-mm-dd"),"")))))</f>
        <v/>
      </c>
      <c r="F227" s="131" t="str">
        <f aca="false">IF($P227="✓","✓",IF(ISNUMBER($P227),TEXT($P227,"yyyy-mm-dd"),IF($A227="","",IF($D227="Lisbonne","",IF(SUMPRODUCT(('Formation Initiale'!$A$2:$A$999=$A227)*('Formation Initiale'!$R$2:$R$999="Terminé"))&gt;0,"✓",IF(SUMPRODUCT(MAX(('Formation Initiale'!$A$2:$A$999=$A227)*'Formation Initiale'!$G$2:$G$999))&gt;0,TEXT(SUMPRODUCT(MAX(('Formation Initiale'!$A$2:$A$999=$A227)*'Formation Initiale'!$G$2:$G$999)),"yyyy-mm-dd"),""))))))</f>
        <v/>
      </c>
      <c r="G227" s="131" t="str">
        <f aca="false">IF($Q227="✓","✓",IF(ISNUMBER($Q227),TEXT($Q227,"yyyy-mm-dd"),IF($A227="","",IF(SUMPRODUCT(('Agences &amp; Après-vente'!$A$2:$A$1000=$A227)*(('Agences &amp; Après-vente'!$D$2:$D$1000="Agences")+('Agences &amp; Après-vente'!$D$2:$D$1000="Agences et Après-vente"))*('Agences &amp; Après-vente'!$I$2:$I$1000="DONE"))&gt;0,"✓",IF(SUMPRODUCT(MAX(('Agences &amp; Après-vente'!$A$2:$A$1000=$A227)*(('Agences &amp; Après-vente'!$D$2:$D$1000="Agences")+('Agences &amp; Après-vente'!$D$2:$D$1000="Agences et Après-vente"))*'Agences &amp; Après-vente'!$E$2:$E$1000))&gt;0,TEXT(SUMPRODUCT(MAX(('Agences &amp; Après-vente'!$A$2:$A$1000=$A227)*(('Agences &amp; Après-vente'!$D$2:$D$1000="Agences")+('Agences &amp; Après-vente'!$D$2:$D$1000="Agences et Après-vente"))*'Agences &amp; Après-vente'!$E$2:$E$1000)),"yyyy-mm-dd"),"")))))</f>
        <v/>
      </c>
      <c r="H227" s="131" t="str">
        <f aca="false">IF($R227="✓","✓",IF(ISNUMBER($R227),TEXT($R227,"yyyy-mm-dd"),IF($A227="","",IF($D227="Lisbonne","",IF(SUMPRODUCT(('Agences &amp; Après-vente'!$A$2:$A$1000=$A227)*(('Agences &amp; Après-vente'!$D$2:$D$1000="Agences")+('Agences &amp; Après-vente'!$D$2:$D$1000="Agences et Après-vente"))*('Agences &amp; Après-vente'!$I$2:$I$1000="DONE"))&gt;0,"✓",IF(SUMPRODUCT(MAX(('Agences &amp; Après-vente'!$A$2:$A$1000=$A227)*(('Agences &amp; Après-vente'!$D$2:$D$1000="Agences")+('Agences &amp; Après-vente'!$D$2:$D$1000="Agences et Après-vente"))*'Agences &amp; Après-vente'!$E$2:$E$1000))&gt;0,TEXT(SUMPRODUCT(MAX(('Agences &amp; Après-vente'!$A$2:$A$1000=$A227)*(('Agences &amp; Après-vente'!$D$2:$D$1000="Agences")+('Agences &amp; Après-vente'!$D$2:$D$1000="Agences et Après-vente"))*'Agences &amp; Après-vente'!$E$2:$E$1000)),"yyyy-mm-dd"),""))))))</f>
        <v/>
      </c>
      <c r="I227" s="131" t="str">
        <f aca="false">IF($S227="✓","✓",IF(ISNUMBER($S227),TEXT($S227,"yyyy-mm-dd"),IF($A227="","",IF(SUMPRODUCT(('Agences &amp; Après-vente'!$A$2:$A$1000=$A227)*(('Agences &amp; Après-vente'!$D$2:$D$1000="Après-vente")+('Agences &amp; Après-vente'!$D$2:$D$1000="Agences et Après-vente"))*('Agences &amp; Après-vente'!$I$2:$I$1000="DONE"))&gt;0,"✓",IF(SUMPRODUCT(MAX(('Agences &amp; Après-vente'!$A$2:$A$1000=$A227)*(('Agences &amp; Après-vente'!$D$2:$D$1000="Après-vente")+('Agences &amp; Après-vente'!$D$2:$D$1000="Agences et Après-vente"))*'Agences &amp; Après-vente'!$E$2:$E$1000))&gt;0,TEXT(SUMPRODUCT(MAX(('Agences &amp; Après-vente'!$A$2:$A$1000=$A227)*(('Agences &amp; Après-vente'!$D$2:$D$1000="Après-vente")+('Agences &amp; Après-vente'!$D$2:$D$1000="Agences et Après-vente"))*'Agences &amp; Après-vente'!$E$2:$E$1000)),"yyyy-mm-dd"),"")))))</f>
        <v/>
      </c>
      <c r="J227" s="131" t="str">
        <f aca="false">IF($T227="✓","✓",IF(ISNUMBER($T227),TEXT($T227,"yyyy-mm-dd"),IF($A227="","",IF($D227="Lisbonne","",IF(SUMPRODUCT(('Agences &amp; Après-vente'!$A$2:$A$1000=$A227)*(('Agences &amp; Après-vente'!$D$2:$D$1000="Après-vente")+('Agences &amp; Après-vente'!$D$2:$D$1000="Agences et Après-vente"))*('Agences &amp; Après-vente'!$I$2:$I$1000="DONE"))&gt;0,"✓",IF(SUMPRODUCT(MAX(('Agences &amp; Après-vente'!$A$2:$A$1000=$A227)*(('Agences &amp; Après-vente'!$D$2:$D$1000="Après-vente")+('Agences &amp; Après-vente'!$D$2:$D$1000="Agences et Après-vente"))*'Agences &amp; Après-vente'!$E$2:$E$1000))&gt;0,TEXT(SUMPRODUCT(MAX(('Agences &amp; Après-vente'!$A$2:$A$1000=$A227)*(('Agences &amp; Après-vente'!$D$2:$D$1000="Après-vente")+('Agences &amp; Après-vente'!$D$2:$D$1000="Agences et Après-vente"))*'Agences &amp; Après-vente'!$E$2:$E$1000)),"yyyy-mm-dd"),""))))))</f>
        <v/>
      </c>
      <c r="K227" s="131" t="str">
        <f aca="false">IF($U227="✓","✓",IF(ISNUMBER($U227),TEXT($U227,"yyyy-mm-dd"),IF($D227="Lisbonne","",IF($A227="","",IF(SUMPRODUCT((Evermont!$A$2:$A$1000=$A227)*(Evermont!$Q$2:$Q$1000="Terminé"))&gt;0,"✓",IF(SUMPRODUCT(MAX((Evermont!$A$2:$A$1000=$A227)*Evermont!$F$2:$F$1000))&gt;0,TEXT(SUMPRODUCT(MAX((Evermont!$A$2:$A$1000=$A227)*Evermont!$F$2:$F$1000)),"yyyy-mm-dd"),""))))))</f>
        <v/>
      </c>
      <c r="L227" s="131" t="str">
        <f aca="false">IF($A227="","",COUNTIF(E227:K227,"✓"))</f>
        <v/>
      </c>
      <c r="M227" s="131" t="str">
        <f aca="false">IF(B227="","","Active")</f>
        <v/>
      </c>
      <c r="W227" s="120" t="str">
        <f aca="false">IF($A227="","",IF($X227&lt;&gt;"",$X227,IFERROR(INDEX('Formation Initiale'!$B$2:$B$999,MATCH($A227,'Formation Initiale'!$A$2:$A$999,0)),"Général")))</f>
        <v/>
      </c>
    </row>
    <row r="228" customFormat="false" ht="15" hidden="true" customHeight="true" outlineLevel="0" collapsed="false">
      <c r="A228" s="142" t="str">
        <f aca="false">IF(B228="","","TR"&amp;TEXT(ROW()-1,"000"))</f>
        <v/>
      </c>
      <c r="E228" s="130" t="str">
        <f aca="false">IF($O228="✓","✓",IF(ISNUMBER($O228),TEXT($O228,"yyyy-mm-dd"),IF($A228="","",IF(SUMPRODUCT(('Formation Initiale'!$A$2:$A$999=$A228)*('Formation Initiale'!$R$2:$R$999="Terminé"))&gt;0,"✓",IF(SUMPRODUCT(MAX(('Formation Initiale'!$A$2:$A$999=$A228)*'Formation Initiale'!$G$2:$G$999))&gt;0,TEXT(SUMPRODUCT(MAX(('Formation Initiale'!$A$2:$A$999=$A228)*'Formation Initiale'!$G$2:$G$999)),"yyyy-mm-dd"),"")))))</f>
        <v/>
      </c>
      <c r="F228" s="131" t="str">
        <f aca="false">IF($P228="✓","✓",IF(ISNUMBER($P228),TEXT($P228,"yyyy-mm-dd"),IF($A228="","",IF($D228="Lisbonne","",IF(SUMPRODUCT(('Formation Initiale'!$A$2:$A$999=$A228)*('Formation Initiale'!$R$2:$R$999="Terminé"))&gt;0,"✓",IF(SUMPRODUCT(MAX(('Formation Initiale'!$A$2:$A$999=$A228)*'Formation Initiale'!$G$2:$G$999))&gt;0,TEXT(SUMPRODUCT(MAX(('Formation Initiale'!$A$2:$A$999=$A228)*'Formation Initiale'!$G$2:$G$999)),"yyyy-mm-dd"),""))))))</f>
        <v/>
      </c>
      <c r="G228" s="131" t="str">
        <f aca="false">IF($Q228="✓","✓",IF(ISNUMBER($Q228),TEXT($Q228,"yyyy-mm-dd"),IF($A228="","",IF(SUMPRODUCT(('Agences &amp; Après-vente'!$A$2:$A$1000=$A228)*(('Agences &amp; Après-vente'!$D$2:$D$1000="Agences")+('Agences &amp; Après-vente'!$D$2:$D$1000="Agences et Après-vente"))*('Agences &amp; Après-vente'!$I$2:$I$1000="DONE"))&gt;0,"✓",IF(SUMPRODUCT(MAX(('Agences &amp; Après-vente'!$A$2:$A$1000=$A228)*(('Agences &amp; Après-vente'!$D$2:$D$1000="Agences")+('Agences &amp; Après-vente'!$D$2:$D$1000="Agences et Après-vente"))*'Agences &amp; Après-vente'!$E$2:$E$1000))&gt;0,TEXT(SUMPRODUCT(MAX(('Agences &amp; Après-vente'!$A$2:$A$1000=$A228)*(('Agences &amp; Après-vente'!$D$2:$D$1000="Agences")+('Agences &amp; Après-vente'!$D$2:$D$1000="Agences et Après-vente"))*'Agences &amp; Après-vente'!$E$2:$E$1000)),"yyyy-mm-dd"),"")))))</f>
        <v/>
      </c>
      <c r="H228" s="131" t="str">
        <f aca="false">IF($R228="✓","✓",IF(ISNUMBER($R228),TEXT($R228,"yyyy-mm-dd"),IF($A228="","",IF($D228="Lisbonne","",IF(SUMPRODUCT(('Agences &amp; Après-vente'!$A$2:$A$1000=$A228)*(('Agences &amp; Après-vente'!$D$2:$D$1000="Agences")+('Agences &amp; Après-vente'!$D$2:$D$1000="Agences et Après-vente"))*('Agences &amp; Après-vente'!$I$2:$I$1000="DONE"))&gt;0,"✓",IF(SUMPRODUCT(MAX(('Agences &amp; Après-vente'!$A$2:$A$1000=$A228)*(('Agences &amp; Après-vente'!$D$2:$D$1000="Agences")+('Agences &amp; Après-vente'!$D$2:$D$1000="Agences et Après-vente"))*'Agences &amp; Après-vente'!$E$2:$E$1000))&gt;0,TEXT(SUMPRODUCT(MAX(('Agences &amp; Après-vente'!$A$2:$A$1000=$A228)*(('Agences &amp; Après-vente'!$D$2:$D$1000="Agences")+('Agences &amp; Après-vente'!$D$2:$D$1000="Agences et Après-vente"))*'Agences &amp; Après-vente'!$E$2:$E$1000)),"yyyy-mm-dd"),""))))))</f>
        <v/>
      </c>
      <c r="I228" s="131" t="str">
        <f aca="false">IF($S228="✓","✓",IF(ISNUMBER($S228),TEXT($S228,"yyyy-mm-dd"),IF($A228="","",IF(SUMPRODUCT(('Agences &amp; Après-vente'!$A$2:$A$1000=$A228)*(('Agences &amp; Après-vente'!$D$2:$D$1000="Après-vente")+('Agences &amp; Après-vente'!$D$2:$D$1000="Agences et Après-vente"))*('Agences &amp; Après-vente'!$I$2:$I$1000="DONE"))&gt;0,"✓",IF(SUMPRODUCT(MAX(('Agences &amp; Après-vente'!$A$2:$A$1000=$A228)*(('Agences &amp; Après-vente'!$D$2:$D$1000="Après-vente")+('Agences &amp; Après-vente'!$D$2:$D$1000="Agences et Après-vente"))*'Agences &amp; Après-vente'!$E$2:$E$1000))&gt;0,TEXT(SUMPRODUCT(MAX(('Agences &amp; Après-vente'!$A$2:$A$1000=$A228)*(('Agences &amp; Après-vente'!$D$2:$D$1000="Après-vente")+('Agences &amp; Après-vente'!$D$2:$D$1000="Agences et Après-vente"))*'Agences &amp; Après-vente'!$E$2:$E$1000)),"yyyy-mm-dd"),"")))))</f>
        <v/>
      </c>
      <c r="J228" s="131" t="str">
        <f aca="false">IF($T228="✓","✓",IF(ISNUMBER($T228),TEXT($T228,"yyyy-mm-dd"),IF($A228="","",IF($D228="Lisbonne","",IF(SUMPRODUCT(('Agences &amp; Après-vente'!$A$2:$A$1000=$A228)*(('Agences &amp; Après-vente'!$D$2:$D$1000="Après-vente")+('Agences &amp; Après-vente'!$D$2:$D$1000="Agences et Après-vente"))*('Agences &amp; Après-vente'!$I$2:$I$1000="DONE"))&gt;0,"✓",IF(SUMPRODUCT(MAX(('Agences &amp; Après-vente'!$A$2:$A$1000=$A228)*(('Agences &amp; Après-vente'!$D$2:$D$1000="Après-vente")+('Agences &amp; Après-vente'!$D$2:$D$1000="Agences et Après-vente"))*'Agences &amp; Après-vente'!$E$2:$E$1000))&gt;0,TEXT(SUMPRODUCT(MAX(('Agences &amp; Après-vente'!$A$2:$A$1000=$A228)*(('Agences &amp; Après-vente'!$D$2:$D$1000="Après-vente")+('Agences &amp; Après-vente'!$D$2:$D$1000="Agences et Après-vente"))*'Agences &amp; Après-vente'!$E$2:$E$1000)),"yyyy-mm-dd"),""))))))</f>
        <v/>
      </c>
      <c r="K228" s="131" t="str">
        <f aca="false">IF($U228="✓","✓",IF(ISNUMBER($U228),TEXT($U228,"yyyy-mm-dd"),IF($D228="Lisbonne","",IF($A228="","",IF(SUMPRODUCT((Evermont!$A$2:$A$1000=$A228)*(Evermont!$Q$2:$Q$1000="Terminé"))&gt;0,"✓",IF(SUMPRODUCT(MAX((Evermont!$A$2:$A$1000=$A228)*Evermont!$F$2:$F$1000))&gt;0,TEXT(SUMPRODUCT(MAX((Evermont!$A$2:$A$1000=$A228)*Evermont!$F$2:$F$1000)),"yyyy-mm-dd"),""))))))</f>
        <v/>
      </c>
      <c r="L228" s="131" t="str">
        <f aca="false">IF($A228="","",COUNTIF(E228:K228,"✓"))</f>
        <v/>
      </c>
      <c r="M228" s="131" t="str">
        <f aca="false">IF(B228="","","Active")</f>
        <v/>
      </c>
      <c r="W228" s="120" t="str">
        <f aca="false">IF($A228="","",IF($X228&lt;&gt;"",$X228,IFERROR(INDEX('Formation Initiale'!$B$2:$B$999,MATCH($A228,'Formation Initiale'!$A$2:$A$999,0)),"Général")))</f>
        <v/>
      </c>
    </row>
    <row r="229" customFormat="false" ht="15" hidden="true" customHeight="true" outlineLevel="0" collapsed="false">
      <c r="A229" s="142" t="str">
        <f aca="false">IF(B229="","","TR"&amp;TEXT(ROW()-1,"000"))</f>
        <v/>
      </c>
      <c r="E229" s="130" t="str">
        <f aca="false">IF($O229="✓","✓",IF(ISNUMBER($O229),TEXT($O229,"yyyy-mm-dd"),IF($A229="","",IF(SUMPRODUCT(('Formation Initiale'!$A$2:$A$999=$A229)*('Formation Initiale'!$R$2:$R$999="Terminé"))&gt;0,"✓",IF(SUMPRODUCT(MAX(('Formation Initiale'!$A$2:$A$999=$A229)*'Formation Initiale'!$G$2:$G$999))&gt;0,TEXT(SUMPRODUCT(MAX(('Formation Initiale'!$A$2:$A$999=$A229)*'Formation Initiale'!$G$2:$G$999)),"yyyy-mm-dd"),"")))))</f>
        <v/>
      </c>
      <c r="F229" s="131" t="str">
        <f aca="false">IF($P229="✓","✓",IF(ISNUMBER($P229),TEXT($P229,"yyyy-mm-dd"),IF($A229="","",IF($D229="Lisbonne","",IF(SUMPRODUCT(('Formation Initiale'!$A$2:$A$999=$A229)*('Formation Initiale'!$R$2:$R$999="Terminé"))&gt;0,"✓",IF(SUMPRODUCT(MAX(('Formation Initiale'!$A$2:$A$999=$A229)*'Formation Initiale'!$G$2:$G$999))&gt;0,TEXT(SUMPRODUCT(MAX(('Formation Initiale'!$A$2:$A$999=$A229)*'Formation Initiale'!$G$2:$G$999)),"yyyy-mm-dd"),""))))))</f>
        <v/>
      </c>
      <c r="G229" s="131" t="str">
        <f aca="false">IF($Q229="✓","✓",IF(ISNUMBER($Q229),TEXT($Q229,"yyyy-mm-dd"),IF($A229="","",IF(SUMPRODUCT(('Agences &amp; Après-vente'!$A$2:$A$1000=$A229)*(('Agences &amp; Après-vente'!$D$2:$D$1000="Agences")+('Agences &amp; Après-vente'!$D$2:$D$1000="Agences et Après-vente"))*('Agences &amp; Après-vente'!$I$2:$I$1000="DONE"))&gt;0,"✓",IF(SUMPRODUCT(MAX(('Agences &amp; Après-vente'!$A$2:$A$1000=$A229)*(('Agences &amp; Après-vente'!$D$2:$D$1000="Agences")+('Agences &amp; Après-vente'!$D$2:$D$1000="Agences et Après-vente"))*'Agences &amp; Après-vente'!$E$2:$E$1000))&gt;0,TEXT(SUMPRODUCT(MAX(('Agences &amp; Après-vente'!$A$2:$A$1000=$A229)*(('Agences &amp; Après-vente'!$D$2:$D$1000="Agences")+('Agences &amp; Après-vente'!$D$2:$D$1000="Agences et Après-vente"))*'Agences &amp; Après-vente'!$E$2:$E$1000)),"yyyy-mm-dd"),"")))))</f>
        <v/>
      </c>
      <c r="H229" s="131" t="str">
        <f aca="false">IF($R229="✓","✓",IF(ISNUMBER($R229),TEXT($R229,"yyyy-mm-dd"),IF($A229="","",IF($D229="Lisbonne","",IF(SUMPRODUCT(('Agences &amp; Après-vente'!$A$2:$A$1000=$A229)*(('Agences &amp; Après-vente'!$D$2:$D$1000="Agences")+('Agences &amp; Après-vente'!$D$2:$D$1000="Agences et Après-vente"))*('Agences &amp; Après-vente'!$I$2:$I$1000="DONE"))&gt;0,"✓",IF(SUMPRODUCT(MAX(('Agences &amp; Après-vente'!$A$2:$A$1000=$A229)*(('Agences &amp; Après-vente'!$D$2:$D$1000="Agences")+('Agences &amp; Après-vente'!$D$2:$D$1000="Agences et Après-vente"))*'Agences &amp; Après-vente'!$E$2:$E$1000))&gt;0,TEXT(SUMPRODUCT(MAX(('Agences &amp; Après-vente'!$A$2:$A$1000=$A229)*(('Agences &amp; Après-vente'!$D$2:$D$1000="Agences")+('Agences &amp; Après-vente'!$D$2:$D$1000="Agences et Après-vente"))*'Agences &amp; Après-vente'!$E$2:$E$1000)),"yyyy-mm-dd"),""))))))</f>
        <v/>
      </c>
      <c r="I229" s="131" t="str">
        <f aca="false">IF($S229="✓","✓",IF(ISNUMBER($S229),TEXT($S229,"yyyy-mm-dd"),IF($A229="","",IF(SUMPRODUCT(('Agences &amp; Après-vente'!$A$2:$A$1000=$A229)*(('Agences &amp; Après-vente'!$D$2:$D$1000="Après-vente")+('Agences &amp; Après-vente'!$D$2:$D$1000="Agences et Après-vente"))*('Agences &amp; Après-vente'!$I$2:$I$1000="DONE"))&gt;0,"✓",IF(SUMPRODUCT(MAX(('Agences &amp; Après-vente'!$A$2:$A$1000=$A229)*(('Agences &amp; Après-vente'!$D$2:$D$1000="Après-vente")+('Agences &amp; Après-vente'!$D$2:$D$1000="Agences et Après-vente"))*'Agences &amp; Après-vente'!$E$2:$E$1000))&gt;0,TEXT(SUMPRODUCT(MAX(('Agences &amp; Après-vente'!$A$2:$A$1000=$A229)*(('Agences &amp; Après-vente'!$D$2:$D$1000="Après-vente")+('Agences &amp; Après-vente'!$D$2:$D$1000="Agences et Après-vente"))*'Agences &amp; Après-vente'!$E$2:$E$1000)),"yyyy-mm-dd"),"")))))</f>
        <v/>
      </c>
      <c r="J229" s="131" t="str">
        <f aca="false">IF($T229="✓","✓",IF(ISNUMBER($T229),TEXT($T229,"yyyy-mm-dd"),IF($A229="","",IF($D229="Lisbonne","",IF(SUMPRODUCT(('Agences &amp; Après-vente'!$A$2:$A$1000=$A229)*(('Agences &amp; Après-vente'!$D$2:$D$1000="Après-vente")+('Agences &amp; Après-vente'!$D$2:$D$1000="Agences et Après-vente"))*('Agences &amp; Après-vente'!$I$2:$I$1000="DONE"))&gt;0,"✓",IF(SUMPRODUCT(MAX(('Agences &amp; Après-vente'!$A$2:$A$1000=$A229)*(('Agences &amp; Après-vente'!$D$2:$D$1000="Après-vente")+('Agences &amp; Après-vente'!$D$2:$D$1000="Agences et Après-vente"))*'Agences &amp; Après-vente'!$E$2:$E$1000))&gt;0,TEXT(SUMPRODUCT(MAX(('Agences &amp; Après-vente'!$A$2:$A$1000=$A229)*(('Agences &amp; Après-vente'!$D$2:$D$1000="Après-vente")+('Agences &amp; Après-vente'!$D$2:$D$1000="Agences et Après-vente"))*'Agences &amp; Après-vente'!$E$2:$E$1000)),"yyyy-mm-dd"),""))))))</f>
        <v/>
      </c>
      <c r="K229" s="131" t="str">
        <f aca="false">IF($U229="✓","✓",IF(ISNUMBER($U229),TEXT($U229,"yyyy-mm-dd"),IF($D229="Lisbonne","",IF($A229="","",IF(SUMPRODUCT((Evermont!$A$2:$A$1000=$A229)*(Evermont!$Q$2:$Q$1000="Terminé"))&gt;0,"✓",IF(SUMPRODUCT(MAX((Evermont!$A$2:$A$1000=$A229)*Evermont!$F$2:$F$1000))&gt;0,TEXT(SUMPRODUCT(MAX((Evermont!$A$2:$A$1000=$A229)*Evermont!$F$2:$F$1000)),"yyyy-mm-dd"),""))))))</f>
        <v/>
      </c>
      <c r="L229" s="131" t="str">
        <f aca="false">IF($A229="","",COUNTIF(E229:K229,"✓"))</f>
        <v/>
      </c>
      <c r="M229" s="131" t="str">
        <f aca="false">IF(B229="","","Active")</f>
        <v/>
      </c>
      <c r="W229" s="120" t="str">
        <f aca="false">IF($A229="","",IF($X229&lt;&gt;"",$X229,IFERROR(INDEX('Formation Initiale'!$B$2:$B$999,MATCH($A229,'Formation Initiale'!$A$2:$A$999,0)),"Général")))</f>
        <v/>
      </c>
    </row>
    <row r="230" customFormat="false" ht="15" hidden="true" customHeight="true" outlineLevel="0" collapsed="false">
      <c r="A230" s="142" t="str">
        <f aca="false">IF(B230="","","TR"&amp;TEXT(ROW()-1,"000"))</f>
        <v/>
      </c>
      <c r="E230" s="130" t="str">
        <f aca="false">IF($O230="✓","✓",IF(ISNUMBER($O230),TEXT($O230,"yyyy-mm-dd"),IF($A230="","",IF(SUMPRODUCT(('Formation Initiale'!$A$2:$A$999=$A230)*('Formation Initiale'!$R$2:$R$999="Terminé"))&gt;0,"✓",IF(SUMPRODUCT(MAX(('Formation Initiale'!$A$2:$A$999=$A230)*'Formation Initiale'!$G$2:$G$999))&gt;0,TEXT(SUMPRODUCT(MAX(('Formation Initiale'!$A$2:$A$999=$A230)*'Formation Initiale'!$G$2:$G$999)),"yyyy-mm-dd"),"")))))</f>
        <v/>
      </c>
      <c r="F230" s="131" t="str">
        <f aca="false">IF($P230="✓","✓",IF(ISNUMBER($P230),TEXT($P230,"yyyy-mm-dd"),IF($A230="","",IF($D230="Lisbonne","",IF(SUMPRODUCT(('Formation Initiale'!$A$2:$A$999=$A230)*('Formation Initiale'!$R$2:$R$999="Terminé"))&gt;0,"✓",IF(SUMPRODUCT(MAX(('Formation Initiale'!$A$2:$A$999=$A230)*'Formation Initiale'!$G$2:$G$999))&gt;0,TEXT(SUMPRODUCT(MAX(('Formation Initiale'!$A$2:$A$999=$A230)*'Formation Initiale'!$G$2:$G$999)),"yyyy-mm-dd"),""))))))</f>
        <v/>
      </c>
      <c r="G230" s="131" t="str">
        <f aca="false">IF($Q230="✓","✓",IF(ISNUMBER($Q230),TEXT($Q230,"yyyy-mm-dd"),IF($A230="","",IF(SUMPRODUCT(('Agences &amp; Après-vente'!$A$2:$A$1000=$A230)*(('Agences &amp; Après-vente'!$D$2:$D$1000="Agences")+('Agences &amp; Après-vente'!$D$2:$D$1000="Agences et Après-vente"))*('Agences &amp; Après-vente'!$I$2:$I$1000="DONE"))&gt;0,"✓",IF(SUMPRODUCT(MAX(('Agences &amp; Après-vente'!$A$2:$A$1000=$A230)*(('Agences &amp; Après-vente'!$D$2:$D$1000="Agences")+('Agences &amp; Après-vente'!$D$2:$D$1000="Agences et Après-vente"))*'Agences &amp; Après-vente'!$E$2:$E$1000))&gt;0,TEXT(SUMPRODUCT(MAX(('Agences &amp; Après-vente'!$A$2:$A$1000=$A230)*(('Agences &amp; Après-vente'!$D$2:$D$1000="Agences")+('Agences &amp; Après-vente'!$D$2:$D$1000="Agences et Après-vente"))*'Agences &amp; Après-vente'!$E$2:$E$1000)),"yyyy-mm-dd"),"")))))</f>
        <v/>
      </c>
      <c r="H230" s="131" t="str">
        <f aca="false">IF($R230="✓","✓",IF(ISNUMBER($R230),TEXT($R230,"yyyy-mm-dd"),IF($A230="","",IF($D230="Lisbonne","",IF(SUMPRODUCT(('Agences &amp; Après-vente'!$A$2:$A$1000=$A230)*(('Agences &amp; Après-vente'!$D$2:$D$1000="Agences")+('Agences &amp; Après-vente'!$D$2:$D$1000="Agences et Après-vente"))*('Agences &amp; Après-vente'!$I$2:$I$1000="DONE"))&gt;0,"✓",IF(SUMPRODUCT(MAX(('Agences &amp; Après-vente'!$A$2:$A$1000=$A230)*(('Agences &amp; Après-vente'!$D$2:$D$1000="Agences")+('Agences &amp; Après-vente'!$D$2:$D$1000="Agences et Après-vente"))*'Agences &amp; Après-vente'!$E$2:$E$1000))&gt;0,TEXT(SUMPRODUCT(MAX(('Agences &amp; Après-vente'!$A$2:$A$1000=$A230)*(('Agences &amp; Après-vente'!$D$2:$D$1000="Agences")+('Agences &amp; Après-vente'!$D$2:$D$1000="Agences et Après-vente"))*'Agences &amp; Après-vente'!$E$2:$E$1000)),"yyyy-mm-dd"),""))))))</f>
        <v/>
      </c>
      <c r="I230" s="131" t="str">
        <f aca="false">IF($S230="✓","✓",IF(ISNUMBER($S230),TEXT($S230,"yyyy-mm-dd"),IF($A230="","",IF(SUMPRODUCT(('Agences &amp; Après-vente'!$A$2:$A$1000=$A230)*(('Agences &amp; Après-vente'!$D$2:$D$1000="Après-vente")+('Agences &amp; Après-vente'!$D$2:$D$1000="Agences et Après-vente"))*('Agences &amp; Après-vente'!$I$2:$I$1000="DONE"))&gt;0,"✓",IF(SUMPRODUCT(MAX(('Agences &amp; Après-vente'!$A$2:$A$1000=$A230)*(('Agences &amp; Après-vente'!$D$2:$D$1000="Après-vente")+('Agences &amp; Après-vente'!$D$2:$D$1000="Agences et Après-vente"))*'Agences &amp; Après-vente'!$E$2:$E$1000))&gt;0,TEXT(SUMPRODUCT(MAX(('Agences &amp; Après-vente'!$A$2:$A$1000=$A230)*(('Agences &amp; Après-vente'!$D$2:$D$1000="Après-vente")+('Agences &amp; Après-vente'!$D$2:$D$1000="Agences et Après-vente"))*'Agences &amp; Après-vente'!$E$2:$E$1000)),"yyyy-mm-dd"),"")))))</f>
        <v/>
      </c>
      <c r="J230" s="131" t="str">
        <f aca="false">IF($T230="✓","✓",IF(ISNUMBER($T230),TEXT($T230,"yyyy-mm-dd"),IF($A230="","",IF($D230="Lisbonne","",IF(SUMPRODUCT(('Agences &amp; Après-vente'!$A$2:$A$1000=$A230)*(('Agences &amp; Après-vente'!$D$2:$D$1000="Après-vente")+('Agences &amp; Après-vente'!$D$2:$D$1000="Agences et Après-vente"))*('Agences &amp; Après-vente'!$I$2:$I$1000="DONE"))&gt;0,"✓",IF(SUMPRODUCT(MAX(('Agences &amp; Après-vente'!$A$2:$A$1000=$A230)*(('Agences &amp; Après-vente'!$D$2:$D$1000="Après-vente")+('Agences &amp; Après-vente'!$D$2:$D$1000="Agences et Après-vente"))*'Agences &amp; Après-vente'!$E$2:$E$1000))&gt;0,TEXT(SUMPRODUCT(MAX(('Agences &amp; Après-vente'!$A$2:$A$1000=$A230)*(('Agences &amp; Après-vente'!$D$2:$D$1000="Après-vente")+('Agences &amp; Après-vente'!$D$2:$D$1000="Agences et Après-vente"))*'Agences &amp; Après-vente'!$E$2:$E$1000)),"yyyy-mm-dd"),""))))))</f>
        <v/>
      </c>
      <c r="K230" s="131" t="str">
        <f aca="false">IF($U230="✓","✓",IF(ISNUMBER($U230),TEXT($U230,"yyyy-mm-dd"),IF($D230="Lisbonne","",IF($A230="","",IF(SUMPRODUCT((Evermont!$A$2:$A$1000=$A230)*(Evermont!$Q$2:$Q$1000="Terminé"))&gt;0,"✓",IF(SUMPRODUCT(MAX((Evermont!$A$2:$A$1000=$A230)*Evermont!$F$2:$F$1000))&gt;0,TEXT(SUMPRODUCT(MAX((Evermont!$A$2:$A$1000=$A230)*Evermont!$F$2:$F$1000)),"yyyy-mm-dd"),""))))))</f>
        <v/>
      </c>
      <c r="L230" s="131" t="str">
        <f aca="false">IF($A230="","",COUNTIF(E230:K230,"✓"))</f>
        <v/>
      </c>
      <c r="M230" s="131" t="str">
        <f aca="false">IF(B230="","","Active")</f>
        <v/>
      </c>
      <c r="W230" s="120" t="str">
        <f aca="false">IF($A230="","",IF($X230&lt;&gt;"",$X230,IFERROR(INDEX('Formation Initiale'!$B$2:$B$999,MATCH($A230,'Formation Initiale'!$A$2:$A$999,0)),"Général")))</f>
        <v/>
      </c>
    </row>
    <row r="231" customFormat="false" ht="15" hidden="true" customHeight="true" outlineLevel="0" collapsed="false">
      <c r="A231" s="142" t="str">
        <f aca="false">IF(B231="","","TR"&amp;TEXT(ROW()-1,"000"))</f>
        <v/>
      </c>
      <c r="E231" s="130" t="str">
        <f aca="false">IF($O231="✓","✓",IF(ISNUMBER($O231),TEXT($O231,"yyyy-mm-dd"),IF($A231="","",IF(SUMPRODUCT(('Formation Initiale'!$A$2:$A$999=$A231)*('Formation Initiale'!$R$2:$R$999="Terminé"))&gt;0,"✓",IF(SUMPRODUCT(MAX(('Formation Initiale'!$A$2:$A$999=$A231)*'Formation Initiale'!$G$2:$G$999))&gt;0,TEXT(SUMPRODUCT(MAX(('Formation Initiale'!$A$2:$A$999=$A231)*'Formation Initiale'!$G$2:$G$999)),"yyyy-mm-dd"),"")))))</f>
        <v/>
      </c>
      <c r="F231" s="131" t="str">
        <f aca="false">IF($P231="✓","✓",IF(ISNUMBER($P231),TEXT($P231,"yyyy-mm-dd"),IF($A231="","",IF($D231="Lisbonne","",IF(SUMPRODUCT(('Formation Initiale'!$A$2:$A$999=$A231)*('Formation Initiale'!$R$2:$R$999="Terminé"))&gt;0,"✓",IF(SUMPRODUCT(MAX(('Formation Initiale'!$A$2:$A$999=$A231)*'Formation Initiale'!$G$2:$G$999))&gt;0,TEXT(SUMPRODUCT(MAX(('Formation Initiale'!$A$2:$A$999=$A231)*'Formation Initiale'!$G$2:$G$999)),"yyyy-mm-dd"),""))))))</f>
        <v/>
      </c>
      <c r="G231" s="131" t="str">
        <f aca="false">IF($Q231="✓","✓",IF(ISNUMBER($Q231),TEXT($Q231,"yyyy-mm-dd"),IF($A231="","",IF(SUMPRODUCT(('Agences &amp; Après-vente'!$A$2:$A$1000=$A231)*(('Agences &amp; Après-vente'!$D$2:$D$1000="Agences")+('Agences &amp; Après-vente'!$D$2:$D$1000="Agences et Après-vente"))*('Agences &amp; Après-vente'!$I$2:$I$1000="DONE"))&gt;0,"✓",IF(SUMPRODUCT(MAX(('Agences &amp; Après-vente'!$A$2:$A$1000=$A231)*(('Agences &amp; Après-vente'!$D$2:$D$1000="Agences")+('Agences &amp; Après-vente'!$D$2:$D$1000="Agences et Après-vente"))*'Agences &amp; Après-vente'!$E$2:$E$1000))&gt;0,TEXT(SUMPRODUCT(MAX(('Agences &amp; Après-vente'!$A$2:$A$1000=$A231)*(('Agences &amp; Après-vente'!$D$2:$D$1000="Agences")+('Agences &amp; Après-vente'!$D$2:$D$1000="Agences et Après-vente"))*'Agences &amp; Après-vente'!$E$2:$E$1000)),"yyyy-mm-dd"),"")))))</f>
        <v/>
      </c>
      <c r="H231" s="131" t="str">
        <f aca="false">IF($R231="✓","✓",IF(ISNUMBER($R231),TEXT($R231,"yyyy-mm-dd"),IF($A231="","",IF($D231="Lisbonne","",IF(SUMPRODUCT(('Agences &amp; Après-vente'!$A$2:$A$1000=$A231)*(('Agences &amp; Après-vente'!$D$2:$D$1000="Agences")+('Agences &amp; Après-vente'!$D$2:$D$1000="Agences et Après-vente"))*('Agences &amp; Après-vente'!$I$2:$I$1000="DONE"))&gt;0,"✓",IF(SUMPRODUCT(MAX(('Agences &amp; Après-vente'!$A$2:$A$1000=$A231)*(('Agences &amp; Après-vente'!$D$2:$D$1000="Agences")+('Agences &amp; Après-vente'!$D$2:$D$1000="Agences et Après-vente"))*'Agences &amp; Après-vente'!$E$2:$E$1000))&gt;0,TEXT(SUMPRODUCT(MAX(('Agences &amp; Après-vente'!$A$2:$A$1000=$A231)*(('Agences &amp; Après-vente'!$D$2:$D$1000="Agences")+('Agences &amp; Après-vente'!$D$2:$D$1000="Agences et Après-vente"))*'Agences &amp; Après-vente'!$E$2:$E$1000)),"yyyy-mm-dd"),""))))))</f>
        <v/>
      </c>
      <c r="I231" s="131" t="str">
        <f aca="false">IF($S231="✓","✓",IF(ISNUMBER($S231),TEXT($S231,"yyyy-mm-dd"),IF($A231="","",IF(SUMPRODUCT(('Agences &amp; Après-vente'!$A$2:$A$1000=$A231)*(('Agences &amp; Après-vente'!$D$2:$D$1000="Après-vente")+('Agences &amp; Après-vente'!$D$2:$D$1000="Agences et Après-vente"))*('Agences &amp; Après-vente'!$I$2:$I$1000="DONE"))&gt;0,"✓",IF(SUMPRODUCT(MAX(('Agences &amp; Après-vente'!$A$2:$A$1000=$A231)*(('Agences &amp; Après-vente'!$D$2:$D$1000="Après-vente")+('Agences &amp; Après-vente'!$D$2:$D$1000="Agences et Après-vente"))*'Agences &amp; Après-vente'!$E$2:$E$1000))&gt;0,TEXT(SUMPRODUCT(MAX(('Agences &amp; Après-vente'!$A$2:$A$1000=$A231)*(('Agences &amp; Après-vente'!$D$2:$D$1000="Après-vente")+('Agences &amp; Après-vente'!$D$2:$D$1000="Agences et Après-vente"))*'Agences &amp; Après-vente'!$E$2:$E$1000)),"yyyy-mm-dd"),"")))))</f>
        <v/>
      </c>
      <c r="J231" s="131" t="str">
        <f aca="false">IF($T231="✓","✓",IF(ISNUMBER($T231),TEXT($T231,"yyyy-mm-dd"),IF($A231="","",IF($D231="Lisbonne","",IF(SUMPRODUCT(('Agences &amp; Après-vente'!$A$2:$A$1000=$A231)*(('Agences &amp; Après-vente'!$D$2:$D$1000="Après-vente")+('Agences &amp; Après-vente'!$D$2:$D$1000="Agences et Après-vente"))*('Agences &amp; Après-vente'!$I$2:$I$1000="DONE"))&gt;0,"✓",IF(SUMPRODUCT(MAX(('Agences &amp; Après-vente'!$A$2:$A$1000=$A231)*(('Agences &amp; Après-vente'!$D$2:$D$1000="Après-vente")+('Agences &amp; Après-vente'!$D$2:$D$1000="Agences et Après-vente"))*'Agences &amp; Après-vente'!$E$2:$E$1000))&gt;0,TEXT(SUMPRODUCT(MAX(('Agences &amp; Après-vente'!$A$2:$A$1000=$A231)*(('Agences &amp; Après-vente'!$D$2:$D$1000="Après-vente")+('Agences &amp; Après-vente'!$D$2:$D$1000="Agences et Après-vente"))*'Agences &amp; Après-vente'!$E$2:$E$1000)),"yyyy-mm-dd"),""))))))</f>
        <v/>
      </c>
      <c r="K231" s="131" t="str">
        <f aca="false">IF($U231="✓","✓",IF(ISNUMBER($U231),TEXT($U231,"yyyy-mm-dd"),IF($D231="Lisbonne","",IF($A231="","",IF(SUMPRODUCT((Evermont!$A$2:$A$1000=$A231)*(Evermont!$Q$2:$Q$1000="Terminé"))&gt;0,"✓",IF(SUMPRODUCT(MAX((Evermont!$A$2:$A$1000=$A231)*Evermont!$F$2:$F$1000))&gt;0,TEXT(SUMPRODUCT(MAX((Evermont!$A$2:$A$1000=$A231)*Evermont!$F$2:$F$1000)),"yyyy-mm-dd"),""))))))</f>
        <v/>
      </c>
      <c r="L231" s="131" t="str">
        <f aca="false">IF($A231="","",COUNTIF(E231:K231,"✓"))</f>
        <v/>
      </c>
      <c r="M231" s="131" t="str">
        <f aca="false">IF(B231="","","Active")</f>
        <v/>
      </c>
      <c r="W231" s="120" t="str">
        <f aca="false">IF($A231="","",IF($X231&lt;&gt;"",$X231,IFERROR(INDEX('Formation Initiale'!$B$2:$B$999,MATCH($A231,'Formation Initiale'!$A$2:$A$999,0)),"Général")))</f>
        <v/>
      </c>
    </row>
    <row r="232" customFormat="false" ht="15" hidden="true" customHeight="true" outlineLevel="0" collapsed="false">
      <c r="A232" s="142" t="str">
        <f aca="false">IF(B232="","","TR"&amp;TEXT(ROW()-1,"000"))</f>
        <v/>
      </c>
      <c r="E232" s="130" t="str">
        <f aca="false">IF($O232="✓","✓",IF(ISNUMBER($O232),TEXT($O232,"yyyy-mm-dd"),IF($A232="","",IF(SUMPRODUCT(('Formation Initiale'!$A$2:$A$999=$A232)*('Formation Initiale'!$R$2:$R$999="Terminé"))&gt;0,"✓",IF(SUMPRODUCT(MAX(('Formation Initiale'!$A$2:$A$999=$A232)*'Formation Initiale'!$G$2:$G$999))&gt;0,TEXT(SUMPRODUCT(MAX(('Formation Initiale'!$A$2:$A$999=$A232)*'Formation Initiale'!$G$2:$G$999)),"yyyy-mm-dd"),"")))))</f>
        <v/>
      </c>
      <c r="F232" s="131" t="str">
        <f aca="false">IF($P232="✓","✓",IF(ISNUMBER($P232),TEXT($P232,"yyyy-mm-dd"),IF($A232="","",IF($D232="Lisbonne","",IF(SUMPRODUCT(('Formation Initiale'!$A$2:$A$999=$A232)*('Formation Initiale'!$R$2:$R$999="Terminé"))&gt;0,"✓",IF(SUMPRODUCT(MAX(('Formation Initiale'!$A$2:$A$999=$A232)*'Formation Initiale'!$G$2:$G$999))&gt;0,TEXT(SUMPRODUCT(MAX(('Formation Initiale'!$A$2:$A$999=$A232)*'Formation Initiale'!$G$2:$G$999)),"yyyy-mm-dd"),""))))))</f>
        <v/>
      </c>
      <c r="G232" s="131" t="str">
        <f aca="false">IF($Q232="✓","✓",IF(ISNUMBER($Q232),TEXT($Q232,"yyyy-mm-dd"),IF($A232="","",IF(SUMPRODUCT(('Agences &amp; Après-vente'!$A$2:$A$1000=$A232)*(('Agences &amp; Après-vente'!$D$2:$D$1000="Agences")+('Agences &amp; Après-vente'!$D$2:$D$1000="Agences et Après-vente"))*('Agences &amp; Après-vente'!$I$2:$I$1000="DONE"))&gt;0,"✓",IF(SUMPRODUCT(MAX(('Agences &amp; Après-vente'!$A$2:$A$1000=$A232)*(('Agences &amp; Après-vente'!$D$2:$D$1000="Agences")+('Agences &amp; Après-vente'!$D$2:$D$1000="Agences et Après-vente"))*'Agences &amp; Après-vente'!$E$2:$E$1000))&gt;0,TEXT(SUMPRODUCT(MAX(('Agences &amp; Après-vente'!$A$2:$A$1000=$A232)*(('Agences &amp; Après-vente'!$D$2:$D$1000="Agences")+('Agences &amp; Après-vente'!$D$2:$D$1000="Agences et Après-vente"))*'Agences &amp; Après-vente'!$E$2:$E$1000)),"yyyy-mm-dd"),"")))))</f>
        <v/>
      </c>
      <c r="H232" s="131" t="str">
        <f aca="false">IF($R232="✓","✓",IF(ISNUMBER($R232),TEXT($R232,"yyyy-mm-dd"),IF($A232="","",IF($D232="Lisbonne","",IF(SUMPRODUCT(('Agences &amp; Après-vente'!$A$2:$A$1000=$A232)*(('Agences &amp; Après-vente'!$D$2:$D$1000="Agences")+('Agences &amp; Après-vente'!$D$2:$D$1000="Agences et Après-vente"))*('Agences &amp; Après-vente'!$I$2:$I$1000="DONE"))&gt;0,"✓",IF(SUMPRODUCT(MAX(('Agences &amp; Après-vente'!$A$2:$A$1000=$A232)*(('Agences &amp; Après-vente'!$D$2:$D$1000="Agences")+('Agences &amp; Après-vente'!$D$2:$D$1000="Agences et Après-vente"))*'Agences &amp; Après-vente'!$E$2:$E$1000))&gt;0,TEXT(SUMPRODUCT(MAX(('Agences &amp; Après-vente'!$A$2:$A$1000=$A232)*(('Agences &amp; Après-vente'!$D$2:$D$1000="Agences")+('Agences &amp; Après-vente'!$D$2:$D$1000="Agences et Après-vente"))*'Agences &amp; Après-vente'!$E$2:$E$1000)),"yyyy-mm-dd"),""))))))</f>
        <v/>
      </c>
      <c r="I232" s="131" t="str">
        <f aca="false">IF($S232="✓","✓",IF(ISNUMBER($S232),TEXT($S232,"yyyy-mm-dd"),IF($A232="","",IF(SUMPRODUCT(('Agences &amp; Après-vente'!$A$2:$A$1000=$A232)*(('Agences &amp; Après-vente'!$D$2:$D$1000="Après-vente")+('Agences &amp; Après-vente'!$D$2:$D$1000="Agences et Après-vente"))*('Agences &amp; Après-vente'!$I$2:$I$1000="DONE"))&gt;0,"✓",IF(SUMPRODUCT(MAX(('Agences &amp; Après-vente'!$A$2:$A$1000=$A232)*(('Agences &amp; Après-vente'!$D$2:$D$1000="Après-vente")+('Agences &amp; Après-vente'!$D$2:$D$1000="Agences et Après-vente"))*'Agences &amp; Après-vente'!$E$2:$E$1000))&gt;0,TEXT(SUMPRODUCT(MAX(('Agences &amp; Après-vente'!$A$2:$A$1000=$A232)*(('Agences &amp; Après-vente'!$D$2:$D$1000="Après-vente")+('Agences &amp; Après-vente'!$D$2:$D$1000="Agences et Après-vente"))*'Agences &amp; Après-vente'!$E$2:$E$1000)),"yyyy-mm-dd"),"")))))</f>
        <v/>
      </c>
      <c r="J232" s="131" t="str">
        <f aca="false">IF($T232="✓","✓",IF(ISNUMBER($T232),TEXT($T232,"yyyy-mm-dd"),IF($A232="","",IF($D232="Lisbonne","",IF(SUMPRODUCT(('Agences &amp; Après-vente'!$A$2:$A$1000=$A232)*(('Agences &amp; Après-vente'!$D$2:$D$1000="Après-vente")+('Agences &amp; Après-vente'!$D$2:$D$1000="Agences et Après-vente"))*('Agences &amp; Après-vente'!$I$2:$I$1000="DONE"))&gt;0,"✓",IF(SUMPRODUCT(MAX(('Agences &amp; Après-vente'!$A$2:$A$1000=$A232)*(('Agences &amp; Après-vente'!$D$2:$D$1000="Après-vente")+('Agences &amp; Après-vente'!$D$2:$D$1000="Agences et Après-vente"))*'Agences &amp; Après-vente'!$E$2:$E$1000))&gt;0,TEXT(SUMPRODUCT(MAX(('Agences &amp; Après-vente'!$A$2:$A$1000=$A232)*(('Agences &amp; Après-vente'!$D$2:$D$1000="Après-vente")+('Agences &amp; Après-vente'!$D$2:$D$1000="Agences et Après-vente"))*'Agences &amp; Après-vente'!$E$2:$E$1000)),"yyyy-mm-dd"),""))))))</f>
        <v/>
      </c>
      <c r="K232" s="131" t="str">
        <f aca="false">IF($U232="✓","✓",IF(ISNUMBER($U232),TEXT($U232,"yyyy-mm-dd"),IF($D232="Lisbonne","",IF($A232="","",IF(SUMPRODUCT((Evermont!$A$2:$A$1000=$A232)*(Evermont!$Q$2:$Q$1000="Terminé"))&gt;0,"✓",IF(SUMPRODUCT(MAX((Evermont!$A$2:$A$1000=$A232)*Evermont!$F$2:$F$1000))&gt;0,TEXT(SUMPRODUCT(MAX((Evermont!$A$2:$A$1000=$A232)*Evermont!$F$2:$F$1000)),"yyyy-mm-dd"),""))))))</f>
        <v/>
      </c>
      <c r="L232" s="131" t="str">
        <f aca="false">IF($A232="","",COUNTIF(E232:K232,"✓"))</f>
        <v/>
      </c>
      <c r="M232" s="131" t="str">
        <f aca="false">IF(B232="","","Active")</f>
        <v/>
      </c>
      <c r="W232" s="120" t="str">
        <f aca="false">IF($A232="","",IF($X232&lt;&gt;"",$X232,IFERROR(INDEX('Formation Initiale'!$B$2:$B$999,MATCH($A232,'Formation Initiale'!$A$2:$A$999,0)),"Général")))</f>
        <v/>
      </c>
    </row>
    <row r="233" customFormat="false" ht="15" hidden="true" customHeight="true" outlineLevel="0" collapsed="false">
      <c r="A233" s="142" t="str">
        <f aca="false">IF(B233="","","TR"&amp;TEXT(ROW()-1,"000"))</f>
        <v/>
      </c>
      <c r="E233" s="130" t="str">
        <f aca="false">IF($O233="✓","✓",IF(ISNUMBER($O233),TEXT($O233,"yyyy-mm-dd"),IF($A233="","",IF(SUMPRODUCT(('Formation Initiale'!$A$2:$A$999=$A233)*('Formation Initiale'!$R$2:$R$999="Terminé"))&gt;0,"✓",IF(SUMPRODUCT(MAX(('Formation Initiale'!$A$2:$A$999=$A233)*'Formation Initiale'!$G$2:$G$999))&gt;0,TEXT(SUMPRODUCT(MAX(('Formation Initiale'!$A$2:$A$999=$A233)*'Formation Initiale'!$G$2:$G$999)),"yyyy-mm-dd"),"")))))</f>
        <v/>
      </c>
      <c r="F233" s="131" t="str">
        <f aca="false">IF($P233="✓","✓",IF(ISNUMBER($P233),TEXT($P233,"yyyy-mm-dd"),IF($A233="","",IF($D233="Lisbonne","",IF(SUMPRODUCT(('Formation Initiale'!$A$2:$A$999=$A233)*('Formation Initiale'!$R$2:$R$999="Terminé"))&gt;0,"✓",IF(SUMPRODUCT(MAX(('Formation Initiale'!$A$2:$A$999=$A233)*'Formation Initiale'!$G$2:$G$999))&gt;0,TEXT(SUMPRODUCT(MAX(('Formation Initiale'!$A$2:$A$999=$A233)*'Formation Initiale'!$G$2:$G$999)),"yyyy-mm-dd"),""))))))</f>
        <v/>
      </c>
      <c r="G233" s="131" t="str">
        <f aca="false">IF($Q233="✓","✓",IF(ISNUMBER($Q233),TEXT($Q233,"yyyy-mm-dd"),IF($A233="","",IF(SUMPRODUCT(('Agences &amp; Après-vente'!$A$2:$A$1000=$A233)*(('Agences &amp; Après-vente'!$D$2:$D$1000="Agences")+('Agences &amp; Après-vente'!$D$2:$D$1000="Agences et Après-vente"))*('Agences &amp; Après-vente'!$I$2:$I$1000="DONE"))&gt;0,"✓",IF(SUMPRODUCT(MAX(('Agences &amp; Après-vente'!$A$2:$A$1000=$A233)*(('Agences &amp; Après-vente'!$D$2:$D$1000="Agences")+('Agences &amp; Après-vente'!$D$2:$D$1000="Agences et Après-vente"))*'Agences &amp; Après-vente'!$E$2:$E$1000))&gt;0,TEXT(SUMPRODUCT(MAX(('Agences &amp; Après-vente'!$A$2:$A$1000=$A233)*(('Agences &amp; Après-vente'!$D$2:$D$1000="Agences")+('Agences &amp; Après-vente'!$D$2:$D$1000="Agences et Après-vente"))*'Agences &amp; Après-vente'!$E$2:$E$1000)),"yyyy-mm-dd"),"")))))</f>
        <v/>
      </c>
      <c r="H233" s="131" t="str">
        <f aca="false">IF($R233="✓","✓",IF(ISNUMBER($R233),TEXT($R233,"yyyy-mm-dd"),IF($A233="","",IF($D233="Lisbonne","",IF(SUMPRODUCT(('Agences &amp; Après-vente'!$A$2:$A$1000=$A233)*(('Agences &amp; Après-vente'!$D$2:$D$1000="Agences")+('Agences &amp; Après-vente'!$D$2:$D$1000="Agences et Après-vente"))*('Agences &amp; Après-vente'!$I$2:$I$1000="DONE"))&gt;0,"✓",IF(SUMPRODUCT(MAX(('Agences &amp; Après-vente'!$A$2:$A$1000=$A233)*(('Agences &amp; Après-vente'!$D$2:$D$1000="Agences")+('Agences &amp; Après-vente'!$D$2:$D$1000="Agences et Après-vente"))*'Agences &amp; Après-vente'!$E$2:$E$1000))&gt;0,TEXT(SUMPRODUCT(MAX(('Agences &amp; Après-vente'!$A$2:$A$1000=$A233)*(('Agences &amp; Après-vente'!$D$2:$D$1000="Agences")+('Agences &amp; Après-vente'!$D$2:$D$1000="Agences et Après-vente"))*'Agences &amp; Après-vente'!$E$2:$E$1000)),"yyyy-mm-dd"),""))))))</f>
        <v/>
      </c>
      <c r="I233" s="131" t="str">
        <f aca="false">IF($S233="✓","✓",IF(ISNUMBER($S233),TEXT($S233,"yyyy-mm-dd"),IF($A233="","",IF(SUMPRODUCT(('Agences &amp; Après-vente'!$A$2:$A$1000=$A233)*(('Agences &amp; Après-vente'!$D$2:$D$1000="Après-vente")+('Agences &amp; Après-vente'!$D$2:$D$1000="Agences et Après-vente"))*('Agences &amp; Après-vente'!$I$2:$I$1000="DONE"))&gt;0,"✓",IF(SUMPRODUCT(MAX(('Agences &amp; Après-vente'!$A$2:$A$1000=$A233)*(('Agences &amp; Après-vente'!$D$2:$D$1000="Après-vente")+('Agences &amp; Après-vente'!$D$2:$D$1000="Agences et Après-vente"))*'Agences &amp; Après-vente'!$E$2:$E$1000))&gt;0,TEXT(SUMPRODUCT(MAX(('Agences &amp; Après-vente'!$A$2:$A$1000=$A233)*(('Agences &amp; Après-vente'!$D$2:$D$1000="Après-vente")+('Agences &amp; Après-vente'!$D$2:$D$1000="Agences et Après-vente"))*'Agences &amp; Après-vente'!$E$2:$E$1000)),"yyyy-mm-dd"),"")))))</f>
        <v/>
      </c>
      <c r="J233" s="131" t="str">
        <f aca="false">IF($T233="✓","✓",IF(ISNUMBER($T233),TEXT($T233,"yyyy-mm-dd"),IF($A233="","",IF($D233="Lisbonne","",IF(SUMPRODUCT(('Agences &amp; Après-vente'!$A$2:$A$1000=$A233)*(('Agences &amp; Après-vente'!$D$2:$D$1000="Après-vente")+('Agences &amp; Après-vente'!$D$2:$D$1000="Agences et Après-vente"))*('Agences &amp; Après-vente'!$I$2:$I$1000="DONE"))&gt;0,"✓",IF(SUMPRODUCT(MAX(('Agences &amp; Après-vente'!$A$2:$A$1000=$A233)*(('Agences &amp; Après-vente'!$D$2:$D$1000="Après-vente")+('Agences &amp; Après-vente'!$D$2:$D$1000="Agences et Après-vente"))*'Agences &amp; Après-vente'!$E$2:$E$1000))&gt;0,TEXT(SUMPRODUCT(MAX(('Agences &amp; Après-vente'!$A$2:$A$1000=$A233)*(('Agences &amp; Après-vente'!$D$2:$D$1000="Après-vente")+('Agences &amp; Après-vente'!$D$2:$D$1000="Agences et Après-vente"))*'Agences &amp; Après-vente'!$E$2:$E$1000)),"yyyy-mm-dd"),""))))))</f>
        <v/>
      </c>
      <c r="K233" s="131" t="str">
        <f aca="false">IF($U233="✓","✓",IF(ISNUMBER($U233),TEXT($U233,"yyyy-mm-dd"),IF($D233="Lisbonne","",IF($A233="","",IF(SUMPRODUCT((Evermont!$A$2:$A$1000=$A233)*(Evermont!$Q$2:$Q$1000="Terminé"))&gt;0,"✓",IF(SUMPRODUCT(MAX((Evermont!$A$2:$A$1000=$A233)*Evermont!$F$2:$F$1000))&gt;0,TEXT(SUMPRODUCT(MAX((Evermont!$A$2:$A$1000=$A233)*Evermont!$F$2:$F$1000)),"yyyy-mm-dd"),""))))))</f>
        <v/>
      </c>
      <c r="L233" s="131" t="str">
        <f aca="false">IF($A233="","",COUNTIF(E233:K233,"✓"))</f>
        <v/>
      </c>
      <c r="M233" s="131" t="str">
        <f aca="false">IF(B233="","","Active")</f>
        <v/>
      </c>
      <c r="W233" s="120" t="str">
        <f aca="false">IF($A233="","",IF($X233&lt;&gt;"",$X233,IFERROR(INDEX('Formation Initiale'!$B$2:$B$999,MATCH($A233,'Formation Initiale'!$A$2:$A$999,0)),"Général")))</f>
        <v/>
      </c>
    </row>
    <row r="234" customFormat="false" ht="15" hidden="true" customHeight="true" outlineLevel="0" collapsed="false">
      <c r="A234" s="142" t="str">
        <f aca="false">IF(B234="","","TR"&amp;TEXT(ROW()-1,"000"))</f>
        <v/>
      </c>
      <c r="E234" s="130" t="str">
        <f aca="false">IF($O234="✓","✓",IF(ISNUMBER($O234),TEXT($O234,"yyyy-mm-dd"),IF($A234="","",IF(SUMPRODUCT(('Formation Initiale'!$A$2:$A$999=$A234)*('Formation Initiale'!$R$2:$R$999="Terminé"))&gt;0,"✓",IF(SUMPRODUCT(MAX(('Formation Initiale'!$A$2:$A$999=$A234)*'Formation Initiale'!$G$2:$G$999))&gt;0,TEXT(SUMPRODUCT(MAX(('Formation Initiale'!$A$2:$A$999=$A234)*'Formation Initiale'!$G$2:$G$999)),"yyyy-mm-dd"),"")))))</f>
        <v/>
      </c>
      <c r="F234" s="131" t="str">
        <f aca="false">IF($P234="✓","✓",IF(ISNUMBER($P234),TEXT($P234,"yyyy-mm-dd"),IF($A234="","",IF($D234="Lisbonne","",IF(SUMPRODUCT(('Formation Initiale'!$A$2:$A$999=$A234)*('Formation Initiale'!$R$2:$R$999="Terminé"))&gt;0,"✓",IF(SUMPRODUCT(MAX(('Formation Initiale'!$A$2:$A$999=$A234)*'Formation Initiale'!$G$2:$G$999))&gt;0,TEXT(SUMPRODUCT(MAX(('Formation Initiale'!$A$2:$A$999=$A234)*'Formation Initiale'!$G$2:$G$999)),"yyyy-mm-dd"),""))))))</f>
        <v/>
      </c>
      <c r="G234" s="131" t="str">
        <f aca="false">IF($Q234="✓","✓",IF(ISNUMBER($Q234),TEXT($Q234,"yyyy-mm-dd"),IF($A234="","",IF(SUMPRODUCT(('Agences &amp; Après-vente'!$A$2:$A$1000=$A234)*(('Agences &amp; Après-vente'!$D$2:$D$1000="Agences")+('Agences &amp; Après-vente'!$D$2:$D$1000="Agences et Après-vente"))*('Agences &amp; Après-vente'!$I$2:$I$1000="DONE"))&gt;0,"✓",IF(SUMPRODUCT(MAX(('Agences &amp; Après-vente'!$A$2:$A$1000=$A234)*(('Agences &amp; Après-vente'!$D$2:$D$1000="Agences")+('Agences &amp; Après-vente'!$D$2:$D$1000="Agences et Après-vente"))*'Agences &amp; Après-vente'!$E$2:$E$1000))&gt;0,TEXT(SUMPRODUCT(MAX(('Agences &amp; Après-vente'!$A$2:$A$1000=$A234)*(('Agences &amp; Après-vente'!$D$2:$D$1000="Agences")+('Agences &amp; Après-vente'!$D$2:$D$1000="Agences et Après-vente"))*'Agences &amp; Après-vente'!$E$2:$E$1000)),"yyyy-mm-dd"),"")))))</f>
        <v/>
      </c>
      <c r="H234" s="131" t="str">
        <f aca="false">IF($R234="✓","✓",IF(ISNUMBER($R234),TEXT($R234,"yyyy-mm-dd"),IF($A234="","",IF($D234="Lisbonne","",IF(SUMPRODUCT(('Agences &amp; Après-vente'!$A$2:$A$1000=$A234)*(('Agences &amp; Après-vente'!$D$2:$D$1000="Agences")+('Agences &amp; Après-vente'!$D$2:$D$1000="Agences et Après-vente"))*('Agences &amp; Après-vente'!$I$2:$I$1000="DONE"))&gt;0,"✓",IF(SUMPRODUCT(MAX(('Agences &amp; Après-vente'!$A$2:$A$1000=$A234)*(('Agences &amp; Après-vente'!$D$2:$D$1000="Agences")+('Agences &amp; Après-vente'!$D$2:$D$1000="Agences et Après-vente"))*'Agences &amp; Après-vente'!$E$2:$E$1000))&gt;0,TEXT(SUMPRODUCT(MAX(('Agences &amp; Après-vente'!$A$2:$A$1000=$A234)*(('Agences &amp; Après-vente'!$D$2:$D$1000="Agences")+('Agences &amp; Après-vente'!$D$2:$D$1000="Agences et Après-vente"))*'Agences &amp; Après-vente'!$E$2:$E$1000)),"yyyy-mm-dd"),""))))))</f>
        <v/>
      </c>
      <c r="I234" s="131" t="str">
        <f aca="false">IF($S234="✓","✓",IF(ISNUMBER($S234),TEXT($S234,"yyyy-mm-dd"),IF($A234="","",IF(SUMPRODUCT(('Agences &amp; Après-vente'!$A$2:$A$1000=$A234)*(('Agences &amp; Après-vente'!$D$2:$D$1000="Après-vente")+('Agences &amp; Après-vente'!$D$2:$D$1000="Agences et Après-vente"))*('Agences &amp; Après-vente'!$I$2:$I$1000="DONE"))&gt;0,"✓",IF(SUMPRODUCT(MAX(('Agences &amp; Après-vente'!$A$2:$A$1000=$A234)*(('Agences &amp; Après-vente'!$D$2:$D$1000="Après-vente")+('Agences &amp; Après-vente'!$D$2:$D$1000="Agences et Après-vente"))*'Agences &amp; Après-vente'!$E$2:$E$1000))&gt;0,TEXT(SUMPRODUCT(MAX(('Agences &amp; Après-vente'!$A$2:$A$1000=$A234)*(('Agences &amp; Après-vente'!$D$2:$D$1000="Après-vente")+('Agences &amp; Après-vente'!$D$2:$D$1000="Agences et Après-vente"))*'Agences &amp; Après-vente'!$E$2:$E$1000)),"yyyy-mm-dd"),"")))))</f>
        <v/>
      </c>
      <c r="J234" s="131" t="str">
        <f aca="false">IF($T234="✓","✓",IF(ISNUMBER($T234),TEXT($T234,"yyyy-mm-dd"),IF($A234="","",IF($D234="Lisbonne","",IF(SUMPRODUCT(('Agences &amp; Après-vente'!$A$2:$A$1000=$A234)*(('Agences &amp; Après-vente'!$D$2:$D$1000="Après-vente")+('Agences &amp; Après-vente'!$D$2:$D$1000="Agences et Après-vente"))*('Agences &amp; Après-vente'!$I$2:$I$1000="DONE"))&gt;0,"✓",IF(SUMPRODUCT(MAX(('Agences &amp; Après-vente'!$A$2:$A$1000=$A234)*(('Agences &amp; Après-vente'!$D$2:$D$1000="Après-vente")+('Agences &amp; Après-vente'!$D$2:$D$1000="Agences et Après-vente"))*'Agences &amp; Après-vente'!$E$2:$E$1000))&gt;0,TEXT(SUMPRODUCT(MAX(('Agences &amp; Après-vente'!$A$2:$A$1000=$A234)*(('Agences &amp; Après-vente'!$D$2:$D$1000="Après-vente")+('Agences &amp; Après-vente'!$D$2:$D$1000="Agences et Après-vente"))*'Agences &amp; Après-vente'!$E$2:$E$1000)),"yyyy-mm-dd"),""))))))</f>
        <v/>
      </c>
      <c r="K234" s="131" t="str">
        <f aca="false">IF($U234="✓","✓",IF(ISNUMBER($U234),TEXT($U234,"yyyy-mm-dd"),IF($D234="Lisbonne","",IF($A234="","",IF(SUMPRODUCT((Evermont!$A$2:$A$1000=$A234)*(Evermont!$Q$2:$Q$1000="Terminé"))&gt;0,"✓",IF(SUMPRODUCT(MAX((Evermont!$A$2:$A$1000=$A234)*Evermont!$F$2:$F$1000))&gt;0,TEXT(SUMPRODUCT(MAX((Evermont!$A$2:$A$1000=$A234)*Evermont!$F$2:$F$1000)),"yyyy-mm-dd"),""))))))</f>
        <v/>
      </c>
      <c r="L234" s="131" t="str">
        <f aca="false">IF($A234="","",COUNTIF(E234:K234,"✓"))</f>
        <v/>
      </c>
      <c r="M234" s="131" t="str">
        <f aca="false">IF(B234="","","Active")</f>
        <v/>
      </c>
      <c r="W234" s="120" t="str">
        <f aca="false">IF($A234="","",IF($X234&lt;&gt;"",$X234,IFERROR(INDEX('Formation Initiale'!$B$2:$B$999,MATCH($A234,'Formation Initiale'!$A$2:$A$999,0)),"Général")))</f>
        <v/>
      </c>
    </row>
    <row r="235" customFormat="false" ht="15" hidden="true" customHeight="true" outlineLevel="0" collapsed="false">
      <c r="A235" s="142" t="str">
        <f aca="false">IF(B235="","","TR"&amp;TEXT(ROW()-1,"000"))</f>
        <v/>
      </c>
      <c r="E235" s="130" t="str">
        <f aca="false">IF($O235="✓","✓",IF(ISNUMBER($O235),TEXT($O235,"yyyy-mm-dd"),IF($A235="","",IF(SUMPRODUCT(('Formation Initiale'!$A$2:$A$999=$A235)*('Formation Initiale'!$R$2:$R$999="Terminé"))&gt;0,"✓",IF(SUMPRODUCT(MAX(('Formation Initiale'!$A$2:$A$999=$A235)*'Formation Initiale'!$G$2:$G$999))&gt;0,TEXT(SUMPRODUCT(MAX(('Formation Initiale'!$A$2:$A$999=$A235)*'Formation Initiale'!$G$2:$G$999)),"yyyy-mm-dd"),"")))))</f>
        <v/>
      </c>
      <c r="F235" s="131" t="str">
        <f aca="false">IF($P235="✓","✓",IF(ISNUMBER($P235),TEXT($P235,"yyyy-mm-dd"),IF($A235="","",IF($D235="Lisbonne","",IF(SUMPRODUCT(('Formation Initiale'!$A$2:$A$999=$A235)*('Formation Initiale'!$R$2:$R$999="Terminé"))&gt;0,"✓",IF(SUMPRODUCT(MAX(('Formation Initiale'!$A$2:$A$999=$A235)*'Formation Initiale'!$G$2:$G$999))&gt;0,TEXT(SUMPRODUCT(MAX(('Formation Initiale'!$A$2:$A$999=$A235)*'Formation Initiale'!$G$2:$G$999)),"yyyy-mm-dd"),""))))))</f>
        <v/>
      </c>
      <c r="G235" s="131" t="str">
        <f aca="false">IF($Q235="✓","✓",IF(ISNUMBER($Q235),TEXT($Q235,"yyyy-mm-dd"),IF($A235="","",IF(SUMPRODUCT(('Agences &amp; Après-vente'!$A$2:$A$1000=$A235)*(('Agences &amp; Après-vente'!$D$2:$D$1000="Agences")+('Agences &amp; Après-vente'!$D$2:$D$1000="Agences et Après-vente"))*('Agences &amp; Après-vente'!$I$2:$I$1000="DONE"))&gt;0,"✓",IF(SUMPRODUCT(MAX(('Agences &amp; Après-vente'!$A$2:$A$1000=$A235)*(('Agences &amp; Après-vente'!$D$2:$D$1000="Agences")+('Agences &amp; Après-vente'!$D$2:$D$1000="Agences et Après-vente"))*'Agences &amp; Après-vente'!$E$2:$E$1000))&gt;0,TEXT(SUMPRODUCT(MAX(('Agences &amp; Après-vente'!$A$2:$A$1000=$A235)*(('Agences &amp; Après-vente'!$D$2:$D$1000="Agences")+('Agences &amp; Après-vente'!$D$2:$D$1000="Agences et Après-vente"))*'Agences &amp; Après-vente'!$E$2:$E$1000)),"yyyy-mm-dd"),"")))))</f>
        <v/>
      </c>
      <c r="H235" s="131" t="str">
        <f aca="false">IF($R235="✓","✓",IF(ISNUMBER($R235),TEXT($R235,"yyyy-mm-dd"),IF($A235="","",IF($D235="Lisbonne","",IF(SUMPRODUCT(('Agences &amp; Après-vente'!$A$2:$A$1000=$A235)*(('Agences &amp; Après-vente'!$D$2:$D$1000="Agences")+('Agences &amp; Après-vente'!$D$2:$D$1000="Agences et Après-vente"))*('Agences &amp; Après-vente'!$I$2:$I$1000="DONE"))&gt;0,"✓",IF(SUMPRODUCT(MAX(('Agences &amp; Après-vente'!$A$2:$A$1000=$A235)*(('Agences &amp; Après-vente'!$D$2:$D$1000="Agences")+('Agences &amp; Après-vente'!$D$2:$D$1000="Agences et Après-vente"))*'Agences &amp; Après-vente'!$E$2:$E$1000))&gt;0,TEXT(SUMPRODUCT(MAX(('Agences &amp; Après-vente'!$A$2:$A$1000=$A235)*(('Agences &amp; Après-vente'!$D$2:$D$1000="Agences")+('Agences &amp; Après-vente'!$D$2:$D$1000="Agences et Après-vente"))*'Agences &amp; Après-vente'!$E$2:$E$1000)),"yyyy-mm-dd"),""))))))</f>
        <v/>
      </c>
      <c r="I235" s="131" t="str">
        <f aca="false">IF($S235="✓","✓",IF(ISNUMBER($S235),TEXT($S235,"yyyy-mm-dd"),IF($A235="","",IF(SUMPRODUCT(('Agences &amp; Après-vente'!$A$2:$A$1000=$A235)*(('Agences &amp; Après-vente'!$D$2:$D$1000="Après-vente")+('Agences &amp; Après-vente'!$D$2:$D$1000="Agences et Après-vente"))*('Agences &amp; Après-vente'!$I$2:$I$1000="DONE"))&gt;0,"✓",IF(SUMPRODUCT(MAX(('Agences &amp; Après-vente'!$A$2:$A$1000=$A235)*(('Agences &amp; Après-vente'!$D$2:$D$1000="Après-vente")+('Agences &amp; Après-vente'!$D$2:$D$1000="Agences et Après-vente"))*'Agences &amp; Après-vente'!$E$2:$E$1000))&gt;0,TEXT(SUMPRODUCT(MAX(('Agences &amp; Après-vente'!$A$2:$A$1000=$A235)*(('Agences &amp; Après-vente'!$D$2:$D$1000="Après-vente")+('Agences &amp; Après-vente'!$D$2:$D$1000="Agences et Après-vente"))*'Agences &amp; Après-vente'!$E$2:$E$1000)),"yyyy-mm-dd"),"")))))</f>
        <v/>
      </c>
      <c r="J235" s="131" t="str">
        <f aca="false">IF($T235="✓","✓",IF(ISNUMBER($T235),TEXT($T235,"yyyy-mm-dd"),IF($A235="","",IF($D235="Lisbonne","",IF(SUMPRODUCT(('Agences &amp; Après-vente'!$A$2:$A$1000=$A235)*(('Agences &amp; Après-vente'!$D$2:$D$1000="Après-vente")+('Agences &amp; Après-vente'!$D$2:$D$1000="Agences et Après-vente"))*('Agences &amp; Après-vente'!$I$2:$I$1000="DONE"))&gt;0,"✓",IF(SUMPRODUCT(MAX(('Agences &amp; Après-vente'!$A$2:$A$1000=$A235)*(('Agences &amp; Après-vente'!$D$2:$D$1000="Après-vente")+('Agences &amp; Après-vente'!$D$2:$D$1000="Agences et Après-vente"))*'Agences &amp; Après-vente'!$E$2:$E$1000))&gt;0,TEXT(SUMPRODUCT(MAX(('Agences &amp; Après-vente'!$A$2:$A$1000=$A235)*(('Agences &amp; Après-vente'!$D$2:$D$1000="Après-vente")+('Agences &amp; Après-vente'!$D$2:$D$1000="Agences et Après-vente"))*'Agences &amp; Après-vente'!$E$2:$E$1000)),"yyyy-mm-dd"),""))))))</f>
        <v/>
      </c>
      <c r="K235" s="131" t="str">
        <f aca="false">IF($U235="✓","✓",IF(ISNUMBER($U235),TEXT($U235,"yyyy-mm-dd"),IF($D235="Lisbonne","",IF($A235="","",IF(SUMPRODUCT((Evermont!$A$2:$A$1000=$A235)*(Evermont!$Q$2:$Q$1000="Terminé"))&gt;0,"✓",IF(SUMPRODUCT(MAX((Evermont!$A$2:$A$1000=$A235)*Evermont!$F$2:$F$1000))&gt;0,TEXT(SUMPRODUCT(MAX((Evermont!$A$2:$A$1000=$A235)*Evermont!$F$2:$F$1000)),"yyyy-mm-dd"),""))))))</f>
        <v/>
      </c>
      <c r="L235" s="131" t="str">
        <f aca="false">IF($A235="","",COUNTIF(E235:K235,"✓"))</f>
        <v/>
      </c>
      <c r="M235" s="131" t="str">
        <f aca="false">IF(B235="","","Active")</f>
        <v/>
      </c>
      <c r="W235" s="120" t="str">
        <f aca="false">IF($A235="","",IF($X235&lt;&gt;"",$X235,IFERROR(INDEX('Formation Initiale'!$B$2:$B$999,MATCH($A235,'Formation Initiale'!$A$2:$A$999,0)),"Général")))</f>
        <v/>
      </c>
    </row>
    <row r="236" customFormat="false" ht="15" hidden="true" customHeight="true" outlineLevel="0" collapsed="false">
      <c r="A236" s="142" t="str">
        <f aca="false">IF(B236="","","TR"&amp;TEXT(ROW()-1,"000"))</f>
        <v/>
      </c>
      <c r="E236" s="130" t="str">
        <f aca="false">IF($O236="✓","✓",IF(ISNUMBER($O236),TEXT($O236,"yyyy-mm-dd"),IF($A236="","",IF(SUMPRODUCT(('Formation Initiale'!$A$2:$A$999=$A236)*('Formation Initiale'!$R$2:$R$999="Terminé"))&gt;0,"✓",IF(SUMPRODUCT(MAX(('Formation Initiale'!$A$2:$A$999=$A236)*'Formation Initiale'!$G$2:$G$999))&gt;0,TEXT(SUMPRODUCT(MAX(('Formation Initiale'!$A$2:$A$999=$A236)*'Formation Initiale'!$G$2:$G$999)),"yyyy-mm-dd"),"")))))</f>
        <v/>
      </c>
      <c r="F236" s="131" t="str">
        <f aca="false">IF($P236="✓","✓",IF(ISNUMBER($P236),TEXT($P236,"yyyy-mm-dd"),IF($A236="","",IF($D236="Lisbonne","",IF(SUMPRODUCT(('Formation Initiale'!$A$2:$A$999=$A236)*('Formation Initiale'!$R$2:$R$999="Terminé"))&gt;0,"✓",IF(SUMPRODUCT(MAX(('Formation Initiale'!$A$2:$A$999=$A236)*'Formation Initiale'!$G$2:$G$999))&gt;0,TEXT(SUMPRODUCT(MAX(('Formation Initiale'!$A$2:$A$999=$A236)*'Formation Initiale'!$G$2:$G$999)),"yyyy-mm-dd"),""))))))</f>
        <v/>
      </c>
      <c r="G236" s="131" t="str">
        <f aca="false">IF($Q236="✓","✓",IF(ISNUMBER($Q236),TEXT($Q236,"yyyy-mm-dd"),IF($A236="","",IF(SUMPRODUCT(('Agences &amp; Après-vente'!$A$2:$A$1000=$A236)*(('Agences &amp; Après-vente'!$D$2:$D$1000="Agences")+('Agences &amp; Après-vente'!$D$2:$D$1000="Agences et Après-vente"))*('Agences &amp; Après-vente'!$I$2:$I$1000="DONE"))&gt;0,"✓",IF(SUMPRODUCT(MAX(('Agences &amp; Après-vente'!$A$2:$A$1000=$A236)*(('Agences &amp; Après-vente'!$D$2:$D$1000="Agences")+('Agences &amp; Après-vente'!$D$2:$D$1000="Agences et Après-vente"))*'Agences &amp; Après-vente'!$E$2:$E$1000))&gt;0,TEXT(SUMPRODUCT(MAX(('Agences &amp; Après-vente'!$A$2:$A$1000=$A236)*(('Agences &amp; Après-vente'!$D$2:$D$1000="Agences")+('Agences &amp; Après-vente'!$D$2:$D$1000="Agences et Après-vente"))*'Agences &amp; Après-vente'!$E$2:$E$1000)),"yyyy-mm-dd"),"")))))</f>
        <v/>
      </c>
      <c r="H236" s="131" t="str">
        <f aca="false">IF($R236="✓","✓",IF(ISNUMBER($R236),TEXT($R236,"yyyy-mm-dd"),IF($A236="","",IF($D236="Lisbonne","",IF(SUMPRODUCT(('Agences &amp; Après-vente'!$A$2:$A$1000=$A236)*(('Agences &amp; Après-vente'!$D$2:$D$1000="Agences")+('Agences &amp; Après-vente'!$D$2:$D$1000="Agences et Après-vente"))*('Agences &amp; Après-vente'!$I$2:$I$1000="DONE"))&gt;0,"✓",IF(SUMPRODUCT(MAX(('Agences &amp; Après-vente'!$A$2:$A$1000=$A236)*(('Agences &amp; Après-vente'!$D$2:$D$1000="Agences")+('Agences &amp; Après-vente'!$D$2:$D$1000="Agences et Après-vente"))*'Agences &amp; Après-vente'!$E$2:$E$1000))&gt;0,TEXT(SUMPRODUCT(MAX(('Agences &amp; Après-vente'!$A$2:$A$1000=$A236)*(('Agences &amp; Après-vente'!$D$2:$D$1000="Agences")+('Agences &amp; Après-vente'!$D$2:$D$1000="Agences et Après-vente"))*'Agences &amp; Après-vente'!$E$2:$E$1000)),"yyyy-mm-dd"),""))))))</f>
        <v/>
      </c>
      <c r="I236" s="131" t="str">
        <f aca="false">IF($S236="✓","✓",IF(ISNUMBER($S236),TEXT($S236,"yyyy-mm-dd"),IF($A236="","",IF(SUMPRODUCT(('Agences &amp; Après-vente'!$A$2:$A$1000=$A236)*(('Agences &amp; Après-vente'!$D$2:$D$1000="Après-vente")+('Agences &amp; Après-vente'!$D$2:$D$1000="Agences et Après-vente"))*('Agences &amp; Après-vente'!$I$2:$I$1000="DONE"))&gt;0,"✓",IF(SUMPRODUCT(MAX(('Agences &amp; Après-vente'!$A$2:$A$1000=$A236)*(('Agences &amp; Après-vente'!$D$2:$D$1000="Après-vente")+('Agences &amp; Après-vente'!$D$2:$D$1000="Agences et Après-vente"))*'Agences &amp; Après-vente'!$E$2:$E$1000))&gt;0,TEXT(SUMPRODUCT(MAX(('Agences &amp; Après-vente'!$A$2:$A$1000=$A236)*(('Agences &amp; Après-vente'!$D$2:$D$1000="Après-vente")+('Agences &amp; Après-vente'!$D$2:$D$1000="Agences et Après-vente"))*'Agences &amp; Après-vente'!$E$2:$E$1000)),"yyyy-mm-dd"),"")))))</f>
        <v/>
      </c>
      <c r="J236" s="131" t="str">
        <f aca="false">IF($T236="✓","✓",IF(ISNUMBER($T236),TEXT($T236,"yyyy-mm-dd"),IF($A236="","",IF($D236="Lisbonne","",IF(SUMPRODUCT(('Agences &amp; Après-vente'!$A$2:$A$1000=$A236)*(('Agences &amp; Après-vente'!$D$2:$D$1000="Après-vente")+('Agences &amp; Après-vente'!$D$2:$D$1000="Agences et Après-vente"))*('Agences &amp; Après-vente'!$I$2:$I$1000="DONE"))&gt;0,"✓",IF(SUMPRODUCT(MAX(('Agences &amp; Après-vente'!$A$2:$A$1000=$A236)*(('Agences &amp; Après-vente'!$D$2:$D$1000="Après-vente")+('Agences &amp; Après-vente'!$D$2:$D$1000="Agences et Après-vente"))*'Agences &amp; Après-vente'!$E$2:$E$1000))&gt;0,TEXT(SUMPRODUCT(MAX(('Agences &amp; Après-vente'!$A$2:$A$1000=$A236)*(('Agences &amp; Après-vente'!$D$2:$D$1000="Après-vente")+('Agences &amp; Après-vente'!$D$2:$D$1000="Agences et Après-vente"))*'Agences &amp; Après-vente'!$E$2:$E$1000)),"yyyy-mm-dd"),""))))))</f>
        <v/>
      </c>
      <c r="K236" s="131" t="str">
        <f aca="false">IF($U236="✓","✓",IF(ISNUMBER($U236),TEXT($U236,"yyyy-mm-dd"),IF($D236="Lisbonne","",IF($A236="","",IF(SUMPRODUCT((Evermont!$A$2:$A$1000=$A236)*(Evermont!$Q$2:$Q$1000="Terminé"))&gt;0,"✓",IF(SUMPRODUCT(MAX((Evermont!$A$2:$A$1000=$A236)*Evermont!$F$2:$F$1000))&gt;0,TEXT(SUMPRODUCT(MAX((Evermont!$A$2:$A$1000=$A236)*Evermont!$F$2:$F$1000)),"yyyy-mm-dd"),""))))))</f>
        <v/>
      </c>
      <c r="L236" s="131" t="str">
        <f aca="false">IF($A236="","",COUNTIF(E236:K236,"✓"))</f>
        <v/>
      </c>
      <c r="M236" s="131" t="str">
        <f aca="false">IF(B236="","","Active")</f>
        <v/>
      </c>
      <c r="W236" s="120" t="str">
        <f aca="false">IF($A236="","",IF($X236&lt;&gt;"",$X236,IFERROR(INDEX('Formation Initiale'!$B$2:$B$999,MATCH($A236,'Formation Initiale'!$A$2:$A$999,0)),"Général")))</f>
        <v/>
      </c>
    </row>
    <row r="237" customFormat="false" ht="15" hidden="true" customHeight="true" outlineLevel="0" collapsed="false">
      <c r="A237" s="142" t="str">
        <f aca="false">IF(B237="","","TR"&amp;TEXT(ROW()-1,"000"))</f>
        <v/>
      </c>
      <c r="E237" s="130" t="str">
        <f aca="false">IF($O237="✓","✓",IF(ISNUMBER($O237),TEXT($O237,"yyyy-mm-dd"),IF($A237="","",IF(SUMPRODUCT(('Formation Initiale'!$A$2:$A$999=$A237)*('Formation Initiale'!$R$2:$R$999="Terminé"))&gt;0,"✓",IF(SUMPRODUCT(MAX(('Formation Initiale'!$A$2:$A$999=$A237)*'Formation Initiale'!$G$2:$G$999))&gt;0,TEXT(SUMPRODUCT(MAX(('Formation Initiale'!$A$2:$A$999=$A237)*'Formation Initiale'!$G$2:$G$999)),"yyyy-mm-dd"),"")))))</f>
        <v/>
      </c>
      <c r="F237" s="131" t="str">
        <f aca="false">IF($P237="✓","✓",IF(ISNUMBER($P237),TEXT($P237,"yyyy-mm-dd"),IF($A237="","",IF($D237="Lisbonne","",IF(SUMPRODUCT(('Formation Initiale'!$A$2:$A$999=$A237)*('Formation Initiale'!$R$2:$R$999="Terminé"))&gt;0,"✓",IF(SUMPRODUCT(MAX(('Formation Initiale'!$A$2:$A$999=$A237)*'Formation Initiale'!$G$2:$G$999))&gt;0,TEXT(SUMPRODUCT(MAX(('Formation Initiale'!$A$2:$A$999=$A237)*'Formation Initiale'!$G$2:$G$999)),"yyyy-mm-dd"),""))))))</f>
        <v/>
      </c>
      <c r="G237" s="131" t="str">
        <f aca="false">IF($Q237="✓","✓",IF(ISNUMBER($Q237),TEXT($Q237,"yyyy-mm-dd"),IF($A237="","",IF(SUMPRODUCT(('Agences &amp; Après-vente'!$A$2:$A$1000=$A237)*(('Agences &amp; Après-vente'!$D$2:$D$1000="Agences")+('Agences &amp; Après-vente'!$D$2:$D$1000="Agences et Après-vente"))*('Agences &amp; Après-vente'!$I$2:$I$1000="DONE"))&gt;0,"✓",IF(SUMPRODUCT(MAX(('Agences &amp; Après-vente'!$A$2:$A$1000=$A237)*(('Agences &amp; Après-vente'!$D$2:$D$1000="Agences")+('Agences &amp; Après-vente'!$D$2:$D$1000="Agences et Après-vente"))*'Agences &amp; Après-vente'!$E$2:$E$1000))&gt;0,TEXT(SUMPRODUCT(MAX(('Agences &amp; Après-vente'!$A$2:$A$1000=$A237)*(('Agences &amp; Après-vente'!$D$2:$D$1000="Agences")+('Agences &amp; Après-vente'!$D$2:$D$1000="Agences et Après-vente"))*'Agences &amp; Après-vente'!$E$2:$E$1000)),"yyyy-mm-dd"),"")))))</f>
        <v/>
      </c>
      <c r="H237" s="131" t="str">
        <f aca="false">IF($R237="✓","✓",IF(ISNUMBER($R237),TEXT($R237,"yyyy-mm-dd"),IF($A237="","",IF($D237="Lisbonne","",IF(SUMPRODUCT(('Agences &amp; Après-vente'!$A$2:$A$1000=$A237)*(('Agences &amp; Après-vente'!$D$2:$D$1000="Agences")+('Agences &amp; Après-vente'!$D$2:$D$1000="Agences et Après-vente"))*('Agences &amp; Après-vente'!$I$2:$I$1000="DONE"))&gt;0,"✓",IF(SUMPRODUCT(MAX(('Agences &amp; Après-vente'!$A$2:$A$1000=$A237)*(('Agences &amp; Après-vente'!$D$2:$D$1000="Agences")+('Agences &amp; Après-vente'!$D$2:$D$1000="Agences et Après-vente"))*'Agences &amp; Après-vente'!$E$2:$E$1000))&gt;0,TEXT(SUMPRODUCT(MAX(('Agences &amp; Après-vente'!$A$2:$A$1000=$A237)*(('Agences &amp; Après-vente'!$D$2:$D$1000="Agences")+('Agences &amp; Après-vente'!$D$2:$D$1000="Agences et Après-vente"))*'Agences &amp; Après-vente'!$E$2:$E$1000)),"yyyy-mm-dd"),""))))))</f>
        <v/>
      </c>
      <c r="I237" s="131" t="str">
        <f aca="false">IF($S237="✓","✓",IF(ISNUMBER($S237),TEXT($S237,"yyyy-mm-dd"),IF($A237="","",IF(SUMPRODUCT(('Agences &amp; Après-vente'!$A$2:$A$1000=$A237)*(('Agences &amp; Après-vente'!$D$2:$D$1000="Après-vente")+('Agences &amp; Après-vente'!$D$2:$D$1000="Agences et Après-vente"))*('Agences &amp; Après-vente'!$I$2:$I$1000="DONE"))&gt;0,"✓",IF(SUMPRODUCT(MAX(('Agences &amp; Après-vente'!$A$2:$A$1000=$A237)*(('Agences &amp; Après-vente'!$D$2:$D$1000="Après-vente")+('Agences &amp; Après-vente'!$D$2:$D$1000="Agences et Après-vente"))*'Agences &amp; Après-vente'!$E$2:$E$1000))&gt;0,TEXT(SUMPRODUCT(MAX(('Agences &amp; Après-vente'!$A$2:$A$1000=$A237)*(('Agences &amp; Après-vente'!$D$2:$D$1000="Après-vente")+('Agences &amp; Après-vente'!$D$2:$D$1000="Agences et Après-vente"))*'Agences &amp; Après-vente'!$E$2:$E$1000)),"yyyy-mm-dd"),"")))))</f>
        <v/>
      </c>
      <c r="J237" s="131" t="str">
        <f aca="false">IF($T237="✓","✓",IF(ISNUMBER($T237),TEXT($T237,"yyyy-mm-dd"),IF($A237="","",IF($D237="Lisbonne","",IF(SUMPRODUCT(('Agences &amp; Après-vente'!$A$2:$A$1000=$A237)*(('Agences &amp; Après-vente'!$D$2:$D$1000="Après-vente")+('Agences &amp; Après-vente'!$D$2:$D$1000="Agences et Après-vente"))*('Agences &amp; Après-vente'!$I$2:$I$1000="DONE"))&gt;0,"✓",IF(SUMPRODUCT(MAX(('Agences &amp; Après-vente'!$A$2:$A$1000=$A237)*(('Agences &amp; Après-vente'!$D$2:$D$1000="Après-vente")+('Agences &amp; Après-vente'!$D$2:$D$1000="Agences et Après-vente"))*'Agences &amp; Après-vente'!$E$2:$E$1000))&gt;0,TEXT(SUMPRODUCT(MAX(('Agences &amp; Après-vente'!$A$2:$A$1000=$A237)*(('Agences &amp; Après-vente'!$D$2:$D$1000="Après-vente")+('Agences &amp; Après-vente'!$D$2:$D$1000="Agences et Après-vente"))*'Agences &amp; Après-vente'!$E$2:$E$1000)),"yyyy-mm-dd"),""))))))</f>
        <v/>
      </c>
      <c r="K237" s="131" t="str">
        <f aca="false">IF($U237="✓","✓",IF(ISNUMBER($U237),TEXT($U237,"yyyy-mm-dd"),IF($D237="Lisbonne","",IF($A237="","",IF(SUMPRODUCT((Evermont!$A$2:$A$1000=$A237)*(Evermont!$Q$2:$Q$1000="Terminé"))&gt;0,"✓",IF(SUMPRODUCT(MAX((Evermont!$A$2:$A$1000=$A237)*Evermont!$F$2:$F$1000))&gt;0,TEXT(SUMPRODUCT(MAX((Evermont!$A$2:$A$1000=$A237)*Evermont!$F$2:$F$1000)),"yyyy-mm-dd"),""))))))</f>
        <v/>
      </c>
      <c r="L237" s="131" t="str">
        <f aca="false">IF($A237="","",COUNTIF(E237:K237,"✓"))</f>
        <v/>
      </c>
      <c r="M237" s="131" t="str">
        <f aca="false">IF(B237="","","Active")</f>
        <v/>
      </c>
      <c r="W237" s="120" t="str">
        <f aca="false">IF($A237="","",IF($X237&lt;&gt;"",$X237,IFERROR(INDEX('Formation Initiale'!$B$2:$B$999,MATCH($A237,'Formation Initiale'!$A$2:$A$999,0)),"Général")))</f>
        <v/>
      </c>
    </row>
    <row r="238" customFormat="false" ht="15" hidden="true" customHeight="true" outlineLevel="0" collapsed="false">
      <c r="A238" s="142" t="str">
        <f aca="false">IF(B238="","","TR"&amp;TEXT(ROW()-1,"000"))</f>
        <v/>
      </c>
      <c r="E238" s="130" t="str">
        <f aca="false">IF($O238="✓","✓",IF(ISNUMBER($O238),TEXT($O238,"yyyy-mm-dd"),IF($A238="","",IF(SUMPRODUCT(('Formation Initiale'!$A$2:$A$999=$A238)*('Formation Initiale'!$R$2:$R$999="Terminé"))&gt;0,"✓",IF(SUMPRODUCT(MAX(('Formation Initiale'!$A$2:$A$999=$A238)*'Formation Initiale'!$G$2:$G$999))&gt;0,TEXT(SUMPRODUCT(MAX(('Formation Initiale'!$A$2:$A$999=$A238)*'Formation Initiale'!$G$2:$G$999)),"yyyy-mm-dd"),"")))))</f>
        <v/>
      </c>
      <c r="F238" s="131" t="str">
        <f aca="false">IF($P238="✓","✓",IF(ISNUMBER($P238),TEXT($P238,"yyyy-mm-dd"),IF($A238="","",IF($D238="Lisbonne","",IF(SUMPRODUCT(('Formation Initiale'!$A$2:$A$999=$A238)*('Formation Initiale'!$R$2:$R$999="Terminé"))&gt;0,"✓",IF(SUMPRODUCT(MAX(('Formation Initiale'!$A$2:$A$999=$A238)*'Formation Initiale'!$G$2:$G$999))&gt;0,TEXT(SUMPRODUCT(MAX(('Formation Initiale'!$A$2:$A$999=$A238)*'Formation Initiale'!$G$2:$G$999)),"yyyy-mm-dd"),""))))))</f>
        <v/>
      </c>
      <c r="G238" s="131" t="str">
        <f aca="false">IF($Q238="✓","✓",IF(ISNUMBER($Q238),TEXT($Q238,"yyyy-mm-dd"),IF($A238="","",IF(SUMPRODUCT(('Agences &amp; Après-vente'!$A$2:$A$1000=$A238)*(('Agences &amp; Après-vente'!$D$2:$D$1000="Agences")+('Agences &amp; Après-vente'!$D$2:$D$1000="Agences et Après-vente"))*('Agences &amp; Après-vente'!$I$2:$I$1000="DONE"))&gt;0,"✓",IF(SUMPRODUCT(MAX(('Agences &amp; Après-vente'!$A$2:$A$1000=$A238)*(('Agences &amp; Après-vente'!$D$2:$D$1000="Agences")+('Agences &amp; Après-vente'!$D$2:$D$1000="Agences et Après-vente"))*'Agences &amp; Après-vente'!$E$2:$E$1000))&gt;0,TEXT(SUMPRODUCT(MAX(('Agences &amp; Après-vente'!$A$2:$A$1000=$A238)*(('Agences &amp; Après-vente'!$D$2:$D$1000="Agences")+('Agences &amp; Après-vente'!$D$2:$D$1000="Agences et Après-vente"))*'Agences &amp; Après-vente'!$E$2:$E$1000)),"yyyy-mm-dd"),"")))))</f>
        <v/>
      </c>
      <c r="H238" s="131" t="str">
        <f aca="false">IF($R238="✓","✓",IF(ISNUMBER($R238),TEXT($R238,"yyyy-mm-dd"),IF($A238="","",IF($D238="Lisbonne","",IF(SUMPRODUCT(('Agences &amp; Après-vente'!$A$2:$A$1000=$A238)*(('Agences &amp; Après-vente'!$D$2:$D$1000="Agences")+('Agences &amp; Après-vente'!$D$2:$D$1000="Agences et Après-vente"))*('Agences &amp; Après-vente'!$I$2:$I$1000="DONE"))&gt;0,"✓",IF(SUMPRODUCT(MAX(('Agences &amp; Après-vente'!$A$2:$A$1000=$A238)*(('Agences &amp; Après-vente'!$D$2:$D$1000="Agences")+('Agences &amp; Après-vente'!$D$2:$D$1000="Agences et Après-vente"))*'Agences &amp; Après-vente'!$E$2:$E$1000))&gt;0,TEXT(SUMPRODUCT(MAX(('Agences &amp; Après-vente'!$A$2:$A$1000=$A238)*(('Agences &amp; Après-vente'!$D$2:$D$1000="Agences")+('Agences &amp; Après-vente'!$D$2:$D$1000="Agences et Après-vente"))*'Agences &amp; Après-vente'!$E$2:$E$1000)),"yyyy-mm-dd"),""))))))</f>
        <v/>
      </c>
      <c r="I238" s="131" t="str">
        <f aca="false">IF($S238="✓","✓",IF(ISNUMBER($S238),TEXT($S238,"yyyy-mm-dd"),IF($A238="","",IF(SUMPRODUCT(('Agences &amp; Après-vente'!$A$2:$A$1000=$A238)*(('Agences &amp; Après-vente'!$D$2:$D$1000="Après-vente")+('Agences &amp; Après-vente'!$D$2:$D$1000="Agences et Après-vente"))*('Agences &amp; Après-vente'!$I$2:$I$1000="DONE"))&gt;0,"✓",IF(SUMPRODUCT(MAX(('Agences &amp; Après-vente'!$A$2:$A$1000=$A238)*(('Agences &amp; Après-vente'!$D$2:$D$1000="Après-vente")+('Agences &amp; Après-vente'!$D$2:$D$1000="Agences et Après-vente"))*'Agences &amp; Après-vente'!$E$2:$E$1000))&gt;0,TEXT(SUMPRODUCT(MAX(('Agences &amp; Après-vente'!$A$2:$A$1000=$A238)*(('Agences &amp; Après-vente'!$D$2:$D$1000="Après-vente")+('Agences &amp; Après-vente'!$D$2:$D$1000="Agences et Après-vente"))*'Agences &amp; Après-vente'!$E$2:$E$1000)),"yyyy-mm-dd"),"")))))</f>
        <v/>
      </c>
      <c r="J238" s="131" t="str">
        <f aca="false">IF($T238="✓","✓",IF(ISNUMBER($T238),TEXT($T238,"yyyy-mm-dd"),IF($A238="","",IF($D238="Lisbonne","",IF(SUMPRODUCT(('Agences &amp; Après-vente'!$A$2:$A$1000=$A238)*(('Agences &amp; Après-vente'!$D$2:$D$1000="Après-vente")+('Agences &amp; Après-vente'!$D$2:$D$1000="Agences et Après-vente"))*('Agences &amp; Après-vente'!$I$2:$I$1000="DONE"))&gt;0,"✓",IF(SUMPRODUCT(MAX(('Agences &amp; Après-vente'!$A$2:$A$1000=$A238)*(('Agences &amp; Après-vente'!$D$2:$D$1000="Après-vente")+('Agences &amp; Après-vente'!$D$2:$D$1000="Agences et Après-vente"))*'Agences &amp; Après-vente'!$E$2:$E$1000))&gt;0,TEXT(SUMPRODUCT(MAX(('Agences &amp; Après-vente'!$A$2:$A$1000=$A238)*(('Agences &amp; Après-vente'!$D$2:$D$1000="Après-vente")+('Agences &amp; Après-vente'!$D$2:$D$1000="Agences et Après-vente"))*'Agences &amp; Après-vente'!$E$2:$E$1000)),"yyyy-mm-dd"),""))))))</f>
        <v/>
      </c>
      <c r="K238" s="131" t="str">
        <f aca="false">IF($U238="✓","✓",IF(ISNUMBER($U238),TEXT($U238,"yyyy-mm-dd"),IF($D238="Lisbonne","",IF($A238="","",IF(SUMPRODUCT((Evermont!$A$2:$A$1000=$A238)*(Evermont!$Q$2:$Q$1000="Terminé"))&gt;0,"✓",IF(SUMPRODUCT(MAX((Evermont!$A$2:$A$1000=$A238)*Evermont!$F$2:$F$1000))&gt;0,TEXT(SUMPRODUCT(MAX((Evermont!$A$2:$A$1000=$A238)*Evermont!$F$2:$F$1000)),"yyyy-mm-dd"),""))))))</f>
        <v/>
      </c>
      <c r="L238" s="131" t="str">
        <f aca="false">IF($A238="","",COUNTIF(E238:K238,"✓"))</f>
        <v/>
      </c>
      <c r="M238" s="131" t="str">
        <f aca="false">IF(B238="","","Active")</f>
        <v/>
      </c>
      <c r="W238" s="120" t="str">
        <f aca="false">IF($A238="","",IF($X238&lt;&gt;"",$X238,IFERROR(INDEX('Formation Initiale'!$B$2:$B$999,MATCH($A238,'Formation Initiale'!$A$2:$A$999,0)),"Général")))</f>
        <v/>
      </c>
    </row>
    <row r="239" customFormat="false" ht="15" hidden="true" customHeight="true" outlineLevel="0" collapsed="false">
      <c r="A239" s="142" t="str">
        <f aca="false">IF(B239="","","TR"&amp;TEXT(ROW()-1,"000"))</f>
        <v/>
      </c>
      <c r="E239" s="130" t="str">
        <f aca="false">IF($O239="✓","✓",IF(ISNUMBER($O239),TEXT($O239,"yyyy-mm-dd"),IF($A239="","",IF(SUMPRODUCT(('Formation Initiale'!$A$2:$A$999=$A239)*('Formation Initiale'!$R$2:$R$999="Terminé"))&gt;0,"✓",IF(SUMPRODUCT(MAX(('Formation Initiale'!$A$2:$A$999=$A239)*'Formation Initiale'!$G$2:$G$999))&gt;0,TEXT(SUMPRODUCT(MAX(('Formation Initiale'!$A$2:$A$999=$A239)*'Formation Initiale'!$G$2:$G$999)),"yyyy-mm-dd"),"")))))</f>
        <v/>
      </c>
      <c r="F239" s="131" t="str">
        <f aca="false">IF($P239="✓","✓",IF(ISNUMBER($P239),TEXT($P239,"yyyy-mm-dd"),IF($A239="","",IF($D239="Lisbonne","",IF(SUMPRODUCT(('Formation Initiale'!$A$2:$A$999=$A239)*('Formation Initiale'!$R$2:$R$999="Terminé"))&gt;0,"✓",IF(SUMPRODUCT(MAX(('Formation Initiale'!$A$2:$A$999=$A239)*'Formation Initiale'!$G$2:$G$999))&gt;0,TEXT(SUMPRODUCT(MAX(('Formation Initiale'!$A$2:$A$999=$A239)*'Formation Initiale'!$G$2:$G$999)),"yyyy-mm-dd"),""))))))</f>
        <v/>
      </c>
      <c r="G239" s="131" t="str">
        <f aca="false">IF($Q239="✓","✓",IF(ISNUMBER($Q239),TEXT($Q239,"yyyy-mm-dd"),IF($A239="","",IF(SUMPRODUCT(('Agences &amp; Après-vente'!$A$2:$A$1000=$A239)*(('Agences &amp; Après-vente'!$D$2:$D$1000="Agences")+('Agences &amp; Après-vente'!$D$2:$D$1000="Agences et Après-vente"))*('Agences &amp; Après-vente'!$I$2:$I$1000="DONE"))&gt;0,"✓",IF(SUMPRODUCT(MAX(('Agences &amp; Après-vente'!$A$2:$A$1000=$A239)*(('Agences &amp; Après-vente'!$D$2:$D$1000="Agences")+('Agences &amp; Après-vente'!$D$2:$D$1000="Agences et Après-vente"))*'Agences &amp; Après-vente'!$E$2:$E$1000))&gt;0,TEXT(SUMPRODUCT(MAX(('Agences &amp; Après-vente'!$A$2:$A$1000=$A239)*(('Agences &amp; Après-vente'!$D$2:$D$1000="Agences")+('Agences &amp; Après-vente'!$D$2:$D$1000="Agences et Après-vente"))*'Agences &amp; Après-vente'!$E$2:$E$1000)),"yyyy-mm-dd"),"")))))</f>
        <v/>
      </c>
      <c r="H239" s="131" t="str">
        <f aca="false">IF($R239="✓","✓",IF(ISNUMBER($R239),TEXT($R239,"yyyy-mm-dd"),IF($A239="","",IF($D239="Lisbonne","",IF(SUMPRODUCT(('Agences &amp; Après-vente'!$A$2:$A$1000=$A239)*(('Agences &amp; Après-vente'!$D$2:$D$1000="Agences")+('Agences &amp; Après-vente'!$D$2:$D$1000="Agences et Après-vente"))*('Agences &amp; Après-vente'!$I$2:$I$1000="DONE"))&gt;0,"✓",IF(SUMPRODUCT(MAX(('Agences &amp; Après-vente'!$A$2:$A$1000=$A239)*(('Agences &amp; Après-vente'!$D$2:$D$1000="Agences")+('Agences &amp; Après-vente'!$D$2:$D$1000="Agences et Après-vente"))*'Agences &amp; Après-vente'!$E$2:$E$1000))&gt;0,TEXT(SUMPRODUCT(MAX(('Agences &amp; Après-vente'!$A$2:$A$1000=$A239)*(('Agences &amp; Après-vente'!$D$2:$D$1000="Agences")+('Agences &amp; Après-vente'!$D$2:$D$1000="Agences et Après-vente"))*'Agences &amp; Après-vente'!$E$2:$E$1000)),"yyyy-mm-dd"),""))))))</f>
        <v/>
      </c>
      <c r="I239" s="131" t="str">
        <f aca="false">IF($S239="✓","✓",IF(ISNUMBER($S239),TEXT($S239,"yyyy-mm-dd"),IF($A239="","",IF(SUMPRODUCT(('Agences &amp; Après-vente'!$A$2:$A$1000=$A239)*(('Agences &amp; Après-vente'!$D$2:$D$1000="Après-vente")+('Agences &amp; Après-vente'!$D$2:$D$1000="Agences et Après-vente"))*('Agences &amp; Après-vente'!$I$2:$I$1000="DONE"))&gt;0,"✓",IF(SUMPRODUCT(MAX(('Agences &amp; Après-vente'!$A$2:$A$1000=$A239)*(('Agences &amp; Après-vente'!$D$2:$D$1000="Après-vente")+('Agences &amp; Après-vente'!$D$2:$D$1000="Agences et Après-vente"))*'Agences &amp; Après-vente'!$E$2:$E$1000))&gt;0,TEXT(SUMPRODUCT(MAX(('Agences &amp; Après-vente'!$A$2:$A$1000=$A239)*(('Agences &amp; Après-vente'!$D$2:$D$1000="Après-vente")+('Agences &amp; Après-vente'!$D$2:$D$1000="Agences et Après-vente"))*'Agences &amp; Après-vente'!$E$2:$E$1000)),"yyyy-mm-dd"),"")))))</f>
        <v/>
      </c>
      <c r="J239" s="131" t="str">
        <f aca="false">IF($T239="✓","✓",IF(ISNUMBER($T239),TEXT($T239,"yyyy-mm-dd"),IF($A239="","",IF($D239="Lisbonne","",IF(SUMPRODUCT(('Agences &amp; Après-vente'!$A$2:$A$1000=$A239)*(('Agences &amp; Après-vente'!$D$2:$D$1000="Après-vente")+('Agences &amp; Après-vente'!$D$2:$D$1000="Agences et Après-vente"))*('Agences &amp; Après-vente'!$I$2:$I$1000="DONE"))&gt;0,"✓",IF(SUMPRODUCT(MAX(('Agences &amp; Après-vente'!$A$2:$A$1000=$A239)*(('Agences &amp; Après-vente'!$D$2:$D$1000="Après-vente")+('Agences &amp; Après-vente'!$D$2:$D$1000="Agences et Après-vente"))*'Agences &amp; Après-vente'!$E$2:$E$1000))&gt;0,TEXT(SUMPRODUCT(MAX(('Agences &amp; Après-vente'!$A$2:$A$1000=$A239)*(('Agences &amp; Après-vente'!$D$2:$D$1000="Après-vente")+('Agences &amp; Après-vente'!$D$2:$D$1000="Agences et Après-vente"))*'Agences &amp; Après-vente'!$E$2:$E$1000)),"yyyy-mm-dd"),""))))))</f>
        <v/>
      </c>
      <c r="K239" s="131" t="str">
        <f aca="false">IF($U239="✓","✓",IF(ISNUMBER($U239),TEXT($U239,"yyyy-mm-dd"),IF($D239="Lisbonne","",IF($A239="","",IF(SUMPRODUCT((Evermont!$A$2:$A$1000=$A239)*(Evermont!$Q$2:$Q$1000="Terminé"))&gt;0,"✓",IF(SUMPRODUCT(MAX((Evermont!$A$2:$A$1000=$A239)*Evermont!$F$2:$F$1000))&gt;0,TEXT(SUMPRODUCT(MAX((Evermont!$A$2:$A$1000=$A239)*Evermont!$F$2:$F$1000)),"yyyy-mm-dd"),""))))))</f>
        <v/>
      </c>
      <c r="L239" s="131" t="str">
        <f aca="false">IF($A239="","",COUNTIF(E239:K239,"✓"))</f>
        <v/>
      </c>
      <c r="M239" s="131" t="str">
        <f aca="false">IF(B239="","","Active")</f>
        <v/>
      </c>
      <c r="W239" s="120" t="str">
        <f aca="false">IF($A239="","",IF($X239&lt;&gt;"",$X239,IFERROR(INDEX('Formation Initiale'!$B$2:$B$999,MATCH($A239,'Formation Initiale'!$A$2:$A$999,0)),"Général")))</f>
        <v/>
      </c>
    </row>
    <row r="240" customFormat="false" ht="15" hidden="true" customHeight="true" outlineLevel="0" collapsed="false">
      <c r="A240" s="142" t="str">
        <f aca="false">IF(B240="","","TR"&amp;TEXT(ROW()-1,"000"))</f>
        <v/>
      </c>
      <c r="E240" s="130" t="str">
        <f aca="false">IF($O240="✓","✓",IF(ISNUMBER($O240),TEXT($O240,"yyyy-mm-dd"),IF($A240="","",IF(SUMPRODUCT(('Formation Initiale'!$A$2:$A$999=$A240)*('Formation Initiale'!$R$2:$R$999="Terminé"))&gt;0,"✓",IF(SUMPRODUCT(MAX(('Formation Initiale'!$A$2:$A$999=$A240)*'Formation Initiale'!$G$2:$G$999))&gt;0,TEXT(SUMPRODUCT(MAX(('Formation Initiale'!$A$2:$A$999=$A240)*'Formation Initiale'!$G$2:$G$999)),"yyyy-mm-dd"),"")))))</f>
        <v/>
      </c>
      <c r="F240" s="131" t="str">
        <f aca="false">IF($P240="✓","✓",IF(ISNUMBER($P240),TEXT($P240,"yyyy-mm-dd"),IF($A240="","",IF($D240="Lisbonne","",IF(SUMPRODUCT(('Formation Initiale'!$A$2:$A$999=$A240)*('Formation Initiale'!$R$2:$R$999="Terminé"))&gt;0,"✓",IF(SUMPRODUCT(MAX(('Formation Initiale'!$A$2:$A$999=$A240)*'Formation Initiale'!$G$2:$G$999))&gt;0,TEXT(SUMPRODUCT(MAX(('Formation Initiale'!$A$2:$A$999=$A240)*'Formation Initiale'!$G$2:$G$999)),"yyyy-mm-dd"),""))))))</f>
        <v/>
      </c>
      <c r="G240" s="131" t="str">
        <f aca="false">IF($Q240="✓","✓",IF(ISNUMBER($Q240),TEXT($Q240,"yyyy-mm-dd"),IF($A240="","",IF(SUMPRODUCT(('Agences &amp; Après-vente'!$A$2:$A$1000=$A240)*(('Agences &amp; Après-vente'!$D$2:$D$1000="Agences")+('Agences &amp; Après-vente'!$D$2:$D$1000="Agences et Après-vente"))*('Agences &amp; Après-vente'!$I$2:$I$1000="DONE"))&gt;0,"✓",IF(SUMPRODUCT(MAX(('Agences &amp; Après-vente'!$A$2:$A$1000=$A240)*(('Agences &amp; Après-vente'!$D$2:$D$1000="Agences")+('Agences &amp; Après-vente'!$D$2:$D$1000="Agences et Après-vente"))*'Agences &amp; Après-vente'!$E$2:$E$1000))&gt;0,TEXT(SUMPRODUCT(MAX(('Agences &amp; Après-vente'!$A$2:$A$1000=$A240)*(('Agences &amp; Après-vente'!$D$2:$D$1000="Agences")+('Agences &amp; Après-vente'!$D$2:$D$1000="Agences et Après-vente"))*'Agences &amp; Après-vente'!$E$2:$E$1000)),"yyyy-mm-dd"),"")))))</f>
        <v/>
      </c>
      <c r="H240" s="131" t="str">
        <f aca="false">IF($R240="✓","✓",IF(ISNUMBER($R240),TEXT($R240,"yyyy-mm-dd"),IF($A240="","",IF($D240="Lisbonne","",IF(SUMPRODUCT(('Agences &amp; Après-vente'!$A$2:$A$1000=$A240)*(('Agences &amp; Après-vente'!$D$2:$D$1000="Agences")+('Agences &amp; Après-vente'!$D$2:$D$1000="Agences et Après-vente"))*('Agences &amp; Après-vente'!$I$2:$I$1000="DONE"))&gt;0,"✓",IF(SUMPRODUCT(MAX(('Agences &amp; Après-vente'!$A$2:$A$1000=$A240)*(('Agences &amp; Après-vente'!$D$2:$D$1000="Agences")+('Agences &amp; Après-vente'!$D$2:$D$1000="Agences et Après-vente"))*'Agences &amp; Après-vente'!$E$2:$E$1000))&gt;0,TEXT(SUMPRODUCT(MAX(('Agences &amp; Après-vente'!$A$2:$A$1000=$A240)*(('Agences &amp; Après-vente'!$D$2:$D$1000="Agences")+('Agences &amp; Après-vente'!$D$2:$D$1000="Agences et Après-vente"))*'Agences &amp; Après-vente'!$E$2:$E$1000)),"yyyy-mm-dd"),""))))))</f>
        <v/>
      </c>
      <c r="I240" s="131" t="str">
        <f aca="false">IF($S240="✓","✓",IF(ISNUMBER($S240),TEXT($S240,"yyyy-mm-dd"),IF($A240="","",IF(SUMPRODUCT(('Agences &amp; Après-vente'!$A$2:$A$1000=$A240)*(('Agences &amp; Après-vente'!$D$2:$D$1000="Après-vente")+('Agences &amp; Après-vente'!$D$2:$D$1000="Agences et Après-vente"))*('Agences &amp; Après-vente'!$I$2:$I$1000="DONE"))&gt;0,"✓",IF(SUMPRODUCT(MAX(('Agences &amp; Après-vente'!$A$2:$A$1000=$A240)*(('Agences &amp; Après-vente'!$D$2:$D$1000="Après-vente")+('Agences &amp; Après-vente'!$D$2:$D$1000="Agences et Après-vente"))*'Agences &amp; Après-vente'!$E$2:$E$1000))&gt;0,TEXT(SUMPRODUCT(MAX(('Agences &amp; Après-vente'!$A$2:$A$1000=$A240)*(('Agences &amp; Après-vente'!$D$2:$D$1000="Après-vente")+('Agences &amp; Après-vente'!$D$2:$D$1000="Agences et Après-vente"))*'Agences &amp; Après-vente'!$E$2:$E$1000)),"yyyy-mm-dd"),"")))))</f>
        <v/>
      </c>
      <c r="J240" s="131" t="str">
        <f aca="false">IF($T240="✓","✓",IF(ISNUMBER($T240),TEXT($T240,"yyyy-mm-dd"),IF($A240="","",IF($D240="Lisbonne","",IF(SUMPRODUCT(('Agences &amp; Après-vente'!$A$2:$A$1000=$A240)*(('Agences &amp; Après-vente'!$D$2:$D$1000="Après-vente")+('Agences &amp; Après-vente'!$D$2:$D$1000="Agences et Après-vente"))*('Agences &amp; Après-vente'!$I$2:$I$1000="DONE"))&gt;0,"✓",IF(SUMPRODUCT(MAX(('Agences &amp; Après-vente'!$A$2:$A$1000=$A240)*(('Agences &amp; Après-vente'!$D$2:$D$1000="Après-vente")+('Agences &amp; Après-vente'!$D$2:$D$1000="Agences et Après-vente"))*'Agences &amp; Après-vente'!$E$2:$E$1000))&gt;0,TEXT(SUMPRODUCT(MAX(('Agences &amp; Après-vente'!$A$2:$A$1000=$A240)*(('Agences &amp; Après-vente'!$D$2:$D$1000="Après-vente")+('Agences &amp; Après-vente'!$D$2:$D$1000="Agences et Après-vente"))*'Agences &amp; Après-vente'!$E$2:$E$1000)),"yyyy-mm-dd"),""))))))</f>
        <v/>
      </c>
      <c r="K240" s="131" t="str">
        <f aca="false">IF($U240="✓","✓",IF(ISNUMBER($U240),TEXT($U240,"yyyy-mm-dd"),IF($D240="Lisbonne","",IF($A240="","",IF(SUMPRODUCT((Evermont!$A$2:$A$1000=$A240)*(Evermont!$Q$2:$Q$1000="Terminé"))&gt;0,"✓",IF(SUMPRODUCT(MAX((Evermont!$A$2:$A$1000=$A240)*Evermont!$F$2:$F$1000))&gt;0,TEXT(SUMPRODUCT(MAX((Evermont!$A$2:$A$1000=$A240)*Evermont!$F$2:$F$1000)),"yyyy-mm-dd"),""))))))</f>
        <v/>
      </c>
      <c r="L240" s="131" t="str">
        <f aca="false">IF($A240="","",COUNTIF(E240:K240,"✓"))</f>
        <v/>
      </c>
      <c r="M240" s="131" t="str">
        <f aca="false">IF(B240="","","Active")</f>
        <v/>
      </c>
      <c r="W240" s="120" t="str">
        <f aca="false">IF($A240="","",IF($X240&lt;&gt;"",$X240,IFERROR(INDEX('Formation Initiale'!$B$2:$B$999,MATCH($A240,'Formation Initiale'!$A$2:$A$999,0)),"Général")))</f>
        <v/>
      </c>
    </row>
    <row r="241" customFormat="false" ht="15" hidden="true" customHeight="true" outlineLevel="0" collapsed="false">
      <c r="A241" s="142" t="str">
        <f aca="false">IF(B241="","","TR"&amp;TEXT(ROW()-1,"000"))</f>
        <v/>
      </c>
      <c r="E241" s="130" t="str">
        <f aca="false">IF($O241="✓","✓",IF(ISNUMBER($O241),TEXT($O241,"yyyy-mm-dd"),IF($A241="","",IF(SUMPRODUCT(('Formation Initiale'!$A$2:$A$999=$A241)*('Formation Initiale'!$R$2:$R$999="Terminé"))&gt;0,"✓",IF(SUMPRODUCT(MAX(('Formation Initiale'!$A$2:$A$999=$A241)*'Formation Initiale'!$G$2:$G$999))&gt;0,TEXT(SUMPRODUCT(MAX(('Formation Initiale'!$A$2:$A$999=$A241)*'Formation Initiale'!$G$2:$G$999)),"yyyy-mm-dd"),"")))))</f>
        <v/>
      </c>
      <c r="F241" s="131" t="str">
        <f aca="false">IF($P241="✓","✓",IF(ISNUMBER($P241),TEXT($P241,"yyyy-mm-dd"),IF($A241="","",IF($D241="Lisbonne","",IF(SUMPRODUCT(('Formation Initiale'!$A$2:$A$999=$A241)*('Formation Initiale'!$R$2:$R$999="Terminé"))&gt;0,"✓",IF(SUMPRODUCT(MAX(('Formation Initiale'!$A$2:$A$999=$A241)*'Formation Initiale'!$G$2:$G$999))&gt;0,TEXT(SUMPRODUCT(MAX(('Formation Initiale'!$A$2:$A$999=$A241)*'Formation Initiale'!$G$2:$G$999)),"yyyy-mm-dd"),""))))))</f>
        <v/>
      </c>
      <c r="G241" s="131" t="str">
        <f aca="false">IF($Q241="✓","✓",IF(ISNUMBER($Q241),TEXT($Q241,"yyyy-mm-dd"),IF($A241="","",IF(SUMPRODUCT(('Agences &amp; Après-vente'!$A$2:$A$1000=$A241)*(('Agences &amp; Après-vente'!$D$2:$D$1000="Agences")+('Agences &amp; Après-vente'!$D$2:$D$1000="Agences et Après-vente"))*('Agences &amp; Après-vente'!$I$2:$I$1000="DONE"))&gt;0,"✓",IF(SUMPRODUCT(MAX(('Agences &amp; Après-vente'!$A$2:$A$1000=$A241)*(('Agences &amp; Après-vente'!$D$2:$D$1000="Agences")+('Agences &amp; Après-vente'!$D$2:$D$1000="Agences et Après-vente"))*'Agences &amp; Après-vente'!$E$2:$E$1000))&gt;0,TEXT(SUMPRODUCT(MAX(('Agences &amp; Après-vente'!$A$2:$A$1000=$A241)*(('Agences &amp; Après-vente'!$D$2:$D$1000="Agences")+('Agences &amp; Après-vente'!$D$2:$D$1000="Agences et Après-vente"))*'Agences &amp; Après-vente'!$E$2:$E$1000)),"yyyy-mm-dd"),"")))))</f>
        <v/>
      </c>
      <c r="H241" s="131" t="str">
        <f aca="false">IF($R241="✓","✓",IF(ISNUMBER($R241),TEXT($R241,"yyyy-mm-dd"),IF($A241="","",IF($D241="Lisbonne","",IF(SUMPRODUCT(('Agences &amp; Après-vente'!$A$2:$A$1000=$A241)*(('Agences &amp; Après-vente'!$D$2:$D$1000="Agences")+('Agences &amp; Après-vente'!$D$2:$D$1000="Agences et Après-vente"))*('Agences &amp; Après-vente'!$I$2:$I$1000="DONE"))&gt;0,"✓",IF(SUMPRODUCT(MAX(('Agences &amp; Après-vente'!$A$2:$A$1000=$A241)*(('Agences &amp; Après-vente'!$D$2:$D$1000="Agences")+('Agences &amp; Après-vente'!$D$2:$D$1000="Agences et Après-vente"))*'Agences &amp; Après-vente'!$E$2:$E$1000))&gt;0,TEXT(SUMPRODUCT(MAX(('Agences &amp; Après-vente'!$A$2:$A$1000=$A241)*(('Agences &amp; Après-vente'!$D$2:$D$1000="Agences")+('Agences &amp; Après-vente'!$D$2:$D$1000="Agences et Après-vente"))*'Agences &amp; Après-vente'!$E$2:$E$1000)),"yyyy-mm-dd"),""))))))</f>
        <v/>
      </c>
      <c r="I241" s="131" t="str">
        <f aca="false">IF($S241="✓","✓",IF(ISNUMBER($S241),TEXT($S241,"yyyy-mm-dd"),IF($A241="","",IF(SUMPRODUCT(('Agences &amp; Après-vente'!$A$2:$A$1000=$A241)*(('Agences &amp; Après-vente'!$D$2:$D$1000="Après-vente")+('Agences &amp; Après-vente'!$D$2:$D$1000="Agences et Après-vente"))*('Agences &amp; Après-vente'!$I$2:$I$1000="DONE"))&gt;0,"✓",IF(SUMPRODUCT(MAX(('Agences &amp; Après-vente'!$A$2:$A$1000=$A241)*(('Agences &amp; Après-vente'!$D$2:$D$1000="Après-vente")+('Agences &amp; Après-vente'!$D$2:$D$1000="Agences et Après-vente"))*'Agences &amp; Après-vente'!$E$2:$E$1000))&gt;0,TEXT(SUMPRODUCT(MAX(('Agences &amp; Après-vente'!$A$2:$A$1000=$A241)*(('Agences &amp; Après-vente'!$D$2:$D$1000="Après-vente")+('Agences &amp; Après-vente'!$D$2:$D$1000="Agences et Après-vente"))*'Agences &amp; Après-vente'!$E$2:$E$1000)),"yyyy-mm-dd"),"")))))</f>
        <v/>
      </c>
      <c r="J241" s="131" t="str">
        <f aca="false">IF($T241="✓","✓",IF(ISNUMBER($T241),TEXT($T241,"yyyy-mm-dd"),IF($A241="","",IF($D241="Lisbonne","",IF(SUMPRODUCT(('Agences &amp; Après-vente'!$A$2:$A$1000=$A241)*(('Agences &amp; Après-vente'!$D$2:$D$1000="Après-vente")+('Agences &amp; Après-vente'!$D$2:$D$1000="Agences et Après-vente"))*('Agences &amp; Après-vente'!$I$2:$I$1000="DONE"))&gt;0,"✓",IF(SUMPRODUCT(MAX(('Agences &amp; Après-vente'!$A$2:$A$1000=$A241)*(('Agences &amp; Après-vente'!$D$2:$D$1000="Après-vente")+('Agences &amp; Après-vente'!$D$2:$D$1000="Agences et Après-vente"))*'Agences &amp; Après-vente'!$E$2:$E$1000))&gt;0,TEXT(SUMPRODUCT(MAX(('Agences &amp; Après-vente'!$A$2:$A$1000=$A241)*(('Agences &amp; Après-vente'!$D$2:$D$1000="Après-vente")+('Agences &amp; Après-vente'!$D$2:$D$1000="Agences et Après-vente"))*'Agences &amp; Après-vente'!$E$2:$E$1000)),"yyyy-mm-dd"),""))))))</f>
        <v/>
      </c>
      <c r="K241" s="131" t="str">
        <f aca="false">IF($U241="✓","✓",IF(ISNUMBER($U241),TEXT($U241,"yyyy-mm-dd"),IF($D241="Lisbonne","",IF($A241="","",IF(SUMPRODUCT((Evermont!$A$2:$A$1000=$A241)*(Evermont!$Q$2:$Q$1000="Terminé"))&gt;0,"✓",IF(SUMPRODUCT(MAX((Evermont!$A$2:$A$1000=$A241)*Evermont!$F$2:$F$1000))&gt;0,TEXT(SUMPRODUCT(MAX((Evermont!$A$2:$A$1000=$A241)*Evermont!$F$2:$F$1000)),"yyyy-mm-dd"),""))))))</f>
        <v/>
      </c>
      <c r="L241" s="131" t="str">
        <f aca="false">IF($A241="","",COUNTIF(E241:K241,"✓"))</f>
        <v/>
      </c>
      <c r="M241" s="131" t="str">
        <f aca="false">IF(B241="","","Active")</f>
        <v/>
      </c>
      <c r="W241" s="120" t="str">
        <f aca="false">IF($A241="","",IF($X241&lt;&gt;"",$X241,IFERROR(INDEX('Formation Initiale'!$B$2:$B$999,MATCH($A241,'Formation Initiale'!$A$2:$A$999,0)),"Général")))</f>
        <v/>
      </c>
    </row>
    <row r="242" customFormat="false" ht="15" hidden="true" customHeight="true" outlineLevel="0" collapsed="false">
      <c r="A242" s="142" t="str">
        <f aca="false">IF(B242="","","TR"&amp;TEXT(ROW()-1,"000"))</f>
        <v/>
      </c>
      <c r="E242" s="130" t="str">
        <f aca="false">IF($O242="✓","✓",IF(ISNUMBER($O242),TEXT($O242,"yyyy-mm-dd"),IF($A242="","",IF(SUMPRODUCT(('Formation Initiale'!$A$2:$A$999=$A242)*('Formation Initiale'!$R$2:$R$999="Terminé"))&gt;0,"✓",IF(SUMPRODUCT(MAX(('Formation Initiale'!$A$2:$A$999=$A242)*'Formation Initiale'!$G$2:$G$999))&gt;0,TEXT(SUMPRODUCT(MAX(('Formation Initiale'!$A$2:$A$999=$A242)*'Formation Initiale'!$G$2:$G$999)),"yyyy-mm-dd"),"")))))</f>
        <v/>
      </c>
      <c r="F242" s="131" t="str">
        <f aca="false">IF($P242="✓","✓",IF(ISNUMBER($P242),TEXT($P242,"yyyy-mm-dd"),IF($A242="","",IF($D242="Lisbonne","",IF(SUMPRODUCT(('Formation Initiale'!$A$2:$A$999=$A242)*('Formation Initiale'!$R$2:$R$999="Terminé"))&gt;0,"✓",IF(SUMPRODUCT(MAX(('Formation Initiale'!$A$2:$A$999=$A242)*'Formation Initiale'!$G$2:$G$999))&gt;0,TEXT(SUMPRODUCT(MAX(('Formation Initiale'!$A$2:$A$999=$A242)*'Formation Initiale'!$G$2:$G$999)),"yyyy-mm-dd"),""))))))</f>
        <v/>
      </c>
      <c r="G242" s="131" t="str">
        <f aca="false">IF($Q242="✓","✓",IF(ISNUMBER($Q242),TEXT($Q242,"yyyy-mm-dd"),IF($A242="","",IF(SUMPRODUCT(('Agences &amp; Après-vente'!$A$2:$A$1000=$A242)*(('Agences &amp; Après-vente'!$D$2:$D$1000="Agences")+('Agences &amp; Après-vente'!$D$2:$D$1000="Agences et Après-vente"))*('Agences &amp; Après-vente'!$I$2:$I$1000="DONE"))&gt;0,"✓",IF(SUMPRODUCT(MAX(('Agences &amp; Après-vente'!$A$2:$A$1000=$A242)*(('Agences &amp; Après-vente'!$D$2:$D$1000="Agences")+('Agences &amp; Après-vente'!$D$2:$D$1000="Agences et Après-vente"))*'Agences &amp; Après-vente'!$E$2:$E$1000))&gt;0,TEXT(SUMPRODUCT(MAX(('Agences &amp; Après-vente'!$A$2:$A$1000=$A242)*(('Agences &amp; Après-vente'!$D$2:$D$1000="Agences")+('Agences &amp; Après-vente'!$D$2:$D$1000="Agences et Après-vente"))*'Agences &amp; Après-vente'!$E$2:$E$1000)),"yyyy-mm-dd"),"")))))</f>
        <v/>
      </c>
      <c r="H242" s="131" t="str">
        <f aca="false">IF($R242="✓","✓",IF(ISNUMBER($R242),TEXT($R242,"yyyy-mm-dd"),IF($A242="","",IF($D242="Lisbonne","",IF(SUMPRODUCT(('Agences &amp; Après-vente'!$A$2:$A$1000=$A242)*(('Agences &amp; Après-vente'!$D$2:$D$1000="Agences")+('Agences &amp; Après-vente'!$D$2:$D$1000="Agences et Après-vente"))*('Agences &amp; Après-vente'!$I$2:$I$1000="DONE"))&gt;0,"✓",IF(SUMPRODUCT(MAX(('Agences &amp; Après-vente'!$A$2:$A$1000=$A242)*(('Agences &amp; Après-vente'!$D$2:$D$1000="Agences")+('Agences &amp; Après-vente'!$D$2:$D$1000="Agences et Après-vente"))*'Agences &amp; Après-vente'!$E$2:$E$1000))&gt;0,TEXT(SUMPRODUCT(MAX(('Agences &amp; Après-vente'!$A$2:$A$1000=$A242)*(('Agences &amp; Après-vente'!$D$2:$D$1000="Agences")+('Agences &amp; Après-vente'!$D$2:$D$1000="Agences et Après-vente"))*'Agences &amp; Après-vente'!$E$2:$E$1000)),"yyyy-mm-dd"),""))))))</f>
        <v/>
      </c>
      <c r="I242" s="131" t="str">
        <f aca="false">IF($S242="✓","✓",IF(ISNUMBER($S242),TEXT($S242,"yyyy-mm-dd"),IF($A242="","",IF(SUMPRODUCT(('Agences &amp; Après-vente'!$A$2:$A$1000=$A242)*(('Agences &amp; Après-vente'!$D$2:$D$1000="Après-vente")+('Agences &amp; Après-vente'!$D$2:$D$1000="Agences et Après-vente"))*('Agences &amp; Après-vente'!$I$2:$I$1000="DONE"))&gt;0,"✓",IF(SUMPRODUCT(MAX(('Agences &amp; Après-vente'!$A$2:$A$1000=$A242)*(('Agences &amp; Après-vente'!$D$2:$D$1000="Après-vente")+('Agences &amp; Après-vente'!$D$2:$D$1000="Agences et Après-vente"))*'Agences &amp; Après-vente'!$E$2:$E$1000))&gt;0,TEXT(SUMPRODUCT(MAX(('Agences &amp; Après-vente'!$A$2:$A$1000=$A242)*(('Agences &amp; Après-vente'!$D$2:$D$1000="Après-vente")+('Agences &amp; Après-vente'!$D$2:$D$1000="Agences et Après-vente"))*'Agences &amp; Après-vente'!$E$2:$E$1000)),"yyyy-mm-dd"),"")))))</f>
        <v/>
      </c>
      <c r="J242" s="131" t="str">
        <f aca="false">IF($T242="✓","✓",IF(ISNUMBER($T242),TEXT($T242,"yyyy-mm-dd"),IF($A242="","",IF($D242="Lisbonne","",IF(SUMPRODUCT(('Agences &amp; Après-vente'!$A$2:$A$1000=$A242)*(('Agences &amp; Après-vente'!$D$2:$D$1000="Après-vente")+('Agences &amp; Après-vente'!$D$2:$D$1000="Agences et Après-vente"))*('Agences &amp; Après-vente'!$I$2:$I$1000="DONE"))&gt;0,"✓",IF(SUMPRODUCT(MAX(('Agences &amp; Après-vente'!$A$2:$A$1000=$A242)*(('Agences &amp; Après-vente'!$D$2:$D$1000="Après-vente")+('Agences &amp; Après-vente'!$D$2:$D$1000="Agences et Après-vente"))*'Agences &amp; Après-vente'!$E$2:$E$1000))&gt;0,TEXT(SUMPRODUCT(MAX(('Agences &amp; Après-vente'!$A$2:$A$1000=$A242)*(('Agences &amp; Après-vente'!$D$2:$D$1000="Après-vente")+('Agences &amp; Après-vente'!$D$2:$D$1000="Agences et Après-vente"))*'Agences &amp; Après-vente'!$E$2:$E$1000)),"yyyy-mm-dd"),""))))))</f>
        <v/>
      </c>
      <c r="K242" s="131" t="str">
        <f aca="false">IF($U242="✓","✓",IF(ISNUMBER($U242),TEXT($U242,"yyyy-mm-dd"),IF($D242="Lisbonne","",IF($A242="","",IF(SUMPRODUCT((Evermont!$A$2:$A$1000=$A242)*(Evermont!$Q$2:$Q$1000="Terminé"))&gt;0,"✓",IF(SUMPRODUCT(MAX((Evermont!$A$2:$A$1000=$A242)*Evermont!$F$2:$F$1000))&gt;0,TEXT(SUMPRODUCT(MAX((Evermont!$A$2:$A$1000=$A242)*Evermont!$F$2:$F$1000)),"yyyy-mm-dd"),""))))))</f>
        <v/>
      </c>
      <c r="L242" s="131" t="str">
        <f aca="false">IF($A242="","",COUNTIF(E242:K242,"✓"))</f>
        <v/>
      </c>
      <c r="M242" s="131" t="str">
        <f aca="false">IF(B242="","","Active")</f>
        <v/>
      </c>
      <c r="W242" s="120" t="str">
        <f aca="false">IF($A242="","",IF($X242&lt;&gt;"",$X242,IFERROR(INDEX('Formation Initiale'!$B$2:$B$999,MATCH($A242,'Formation Initiale'!$A$2:$A$999,0)),"Général")))</f>
        <v/>
      </c>
    </row>
    <row r="243" customFormat="false" ht="15" hidden="true" customHeight="true" outlineLevel="0" collapsed="false">
      <c r="A243" s="142" t="str">
        <f aca="false">IF(B243="","","TR"&amp;TEXT(ROW()-1,"000"))</f>
        <v/>
      </c>
      <c r="E243" s="130" t="str">
        <f aca="false">IF($O243="✓","✓",IF(ISNUMBER($O243),TEXT($O243,"yyyy-mm-dd"),IF($A243="","",IF(SUMPRODUCT(('Formation Initiale'!$A$2:$A$999=$A243)*('Formation Initiale'!$R$2:$R$999="Terminé"))&gt;0,"✓",IF(SUMPRODUCT(MAX(('Formation Initiale'!$A$2:$A$999=$A243)*'Formation Initiale'!$G$2:$G$999))&gt;0,TEXT(SUMPRODUCT(MAX(('Formation Initiale'!$A$2:$A$999=$A243)*'Formation Initiale'!$G$2:$G$999)),"yyyy-mm-dd"),"")))))</f>
        <v/>
      </c>
      <c r="F243" s="131" t="str">
        <f aca="false">IF($P243="✓","✓",IF(ISNUMBER($P243),TEXT($P243,"yyyy-mm-dd"),IF($A243="","",IF($D243="Lisbonne","",IF(SUMPRODUCT(('Formation Initiale'!$A$2:$A$999=$A243)*('Formation Initiale'!$R$2:$R$999="Terminé"))&gt;0,"✓",IF(SUMPRODUCT(MAX(('Formation Initiale'!$A$2:$A$999=$A243)*'Formation Initiale'!$G$2:$G$999))&gt;0,TEXT(SUMPRODUCT(MAX(('Formation Initiale'!$A$2:$A$999=$A243)*'Formation Initiale'!$G$2:$G$999)),"yyyy-mm-dd"),""))))))</f>
        <v/>
      </c>
      <c r="G243" s="131" t="str">
        <f aca="false">IF($Q243="✓","✓",IF(ISNUMBER($Q243),TEXT($Q243,"yyyy-mm-dd"),IF($A243="","",IF(SUMPRODUCT(('Agences &amp; Après-vente'!$A$2:$A$1000=$A243)*(('Agences &amp; Après-vente'!$D$2:$D$1000="Agences")+('Agences &amp; Après-vente'!$D$2:$D$1000="Agences et Après-vente"))*('Agences &amp; Après-vente'!$I$2:$I$1000="DONE"))&gt;0,"✓",IF(SUMPRODUCT(MAX(('Agences &amp; Après-vente'!$A$2:$A$1000=$A243)*(('Agences &amp; Après-vente'!$D$2:$D$1000="Agences")+('Agences &amp; Après-vente'!$D$2:$D$1000="Agences et Après-vente"))*'Agences &amp; Après-vente'!$E$2:$E$1000))&gt;0,TEXT(SUMPRODUCT(MAX(('Agences &amp; Après-vente'!$A$2:$A$1000=$A243)*(('Agences &amp; Après-vente'!$D$2:$D$1000="Agences")+('Agences &amp; Après-vente'!$D$2:$D$1000="Agences et Après-vente"))*'Agences &amp; Après-vente'!$E$2:$E$1000)),"yyyy-mm-dd"),"")))))</f>
        <v/>
      </c>
      <c r="H243" s="131" t="str">
        <f aca="false">IF($R243="✓","✓",IF(ISNUMBER($R243),TEXT($R243,"yyyy-mm-dd"),IF($A243="","",IF($D243="Lisbonne","",IF(SUMPRODUCT(('Agences &amp; Après-vente'!$A$2:$A$1000=$A243)*(('Agences &amp; Après-vente'!$D$2:$D$1000="Agences")+('Agences &amp; Après-vente'!$D$2:$D$1000="Agences et Après-vente"))*('Agences &amp; Après-vente'!$I$2:$I$1000="DONE"))&gt;0,"✓",IF(SUMPRODUCT(MAX(('Agences &amp; Après-vente'!$A$2:$A$1000=$A243)*(('Agences &amp; Après-vente'!$D$2:$D$1000="Agences")+('Agences &amp; Après-vente'!$D$2:$D$1000="Agences et Après-vente"))*'Agences &amp; Après-vente'!$E$2:$E$1000))&gt;0,TEXT(SUMPRODUCT(MAX(('Agences &amp; Après-vente'!$A$2:$A$1000=$A243)*(('Agences &amp; Après-vente'!$D$2:$D$1000="Agences")+('Agences &amp; Après-vente'!$D$2:$D$1000="Agences et Après-vente"))*'Agences &amp; Après-vente'!$E$2:$E$1000)),"yyyy-mm-dd"),""))))))</f>
        <v/>
      </c>
      <c r="I243" s="131" t="str">
        <f aca="false">IF($S243="✓","✓",IF(ISNUMBER($S243),TEXT($S243,"yyyy-mm-dd"),IF($A243="","",IF(SUMPRODUCT(('Agences &amp; Après-vente'!$A$2:$A$1000=$A243)*(('Agences &amp; Après-vente'!$D$2:$D$1000="Après-vente")+('Agences &amp; Après-vente'!$D$2:$D$1000="Agences et Après-vente"))*('Agences &amp; Après-vente'!$I$2:$I$1000="DONE"))&gt;0,"✓",IF(SUMPRODUCT(MAX(('Agences &amp; Après-vente'!$A$2:$A$1000=$A243)*(('Agences &amp; Après-vente'!$D$2:$D$1000="Après-vente")+('Agences &amp; Après-vente'!$D$2:$D$1000="Agences et Après-vente"))*'Agences &amp; Après-vente'!$E$2:$E$1000))&gt;0,TEXT(SUMPRODUCT(MAX(('Agences &amp; Après-vente'!$A$2:$A$1000=$A243)*(('Agences &amp; Après-vente'!$D$2:$D$1000="Après-vente")+('Agences &amp; Après-vente'!$D$2:$D$1000="Agences et Après-vente"))*'Agences &amp; Après-vente'!$E$2:$E$1000)),"yyyy-mm-dd"),"")))))</f>
        <v/>
      </c>
      <c r="J243" s="131" t="str">
        <f aca="false">IF($T243="✓","✓",IF(ISNUMBER($T243),TEXT($T243,"yyyy-mm-dd"),IF($A243="","",IF($D243="Lisbonne","",IF(SUMPRODUCT(('Agences &amp; Après-vente'!$A$2:$A$1000=$A243)*(('Agences &amp; Après-vente'!$D$2:$D$1000="Après-vente")+('Agences &amp; Après-vente'!$D$2:$D$1000="Agences et Après-vente"))*('Agences &amp; Après-vente'!$I$2:$I$1000="DONE"))&gt;0,"✓",IF(SUMPRODUCT(MAX(('Agences &amp; Après-vente'!$A$2:$A$1000=$A243)*(('Agences &amp; Après-vente'!$D$2:$D$1000="Après-vente")+('Agences &amp; Après-vente'!$D$2:$D$1000="Agences et Après-vente"))*'Agences &amp; Après-vente'!$E$2:$E$1000))&gt;0,TEXT(SUMPRODUCT(MAX(('Agences &amp; Après-vente'!$A$2:$A$1000=$A243)*(('Agences &amp; Après-vente'!$D$2:$D$1000="Après-vente")+('Agences &amp; Après-vente'!$D$2:$D$1000="Agences et Après-vente"))*'Agences &amp; Après-vente'!$E$2:$E$1000)),"yyyy-mm-dd"),""))))))</f>
        <v/>
      </c>
      <c r="K243" s="131" t="str">
        <f aca="false">IF($U243="✓","✓",IF(ISNUMBER($U243),TEXT($U243,"yyyy-mm-dd"),IF($D243="Lisbonne","",IF($A243="","",IF(SUMPRODUCT((Evermont!$A$2:$A$1000=$A243)*(Evermont!$Q$2:$Q$1000="Terminé"))&gt;0,"✓",IF(SUMPRODUCT(MAX((Evermont!$A$2:$A$1000=$A243)*Evermont!$F$2:$F$1000))&gt;0,TEXT(SUMPRODUCT(MAX((Evermont!$A$2:$A$1000=$A243)*Evermont!$F$2:$F$1000)),"yyyy-mm-dd"),""))))))</f>
        <v/>
      </c>
      <c r="L243" s="131" t="str">
        <f aca="false">IF($A243="","",COUNTIF(E243:K243,"✓"))</f>
        <v/>
      </c>
      <c r="M243" s="131" t="str">
        <f aca="false">IF(B243="","","Active")</f>
        <v/>
      </c>
      <c r="W243" s="120" t="str">
        <f aca="false">IF($A243="","",IF($X243&lt;&gt;"",$X243,IFERROR(INDEX('Formation Initiale'!$B$2:$B$999,MATCH($A243,'Formation Initiale'!$A$2:$A$999,0)),"Général")))</f>
        <v/>
      </c>
    </row>
    <row r="244" customFormat="false" ht="15" hidden="true" customHeight="true" outlineLevel="0" collapsed="false">
      <c r="A244" s="142" t="str">
        <f aca="false">IF(B244="","","TR"&amp;TEXT(ROW()-1,"000"))</f>
        <v/>
      </c>
      <c r="E244" s="130" t="str">
        <f aca="false">IF($O244="✓","✓",IF(ISNUMBER($O244),TEXT($O244,"yyyy-mm-dd"),IF($A244="","",IF(SUMPRODUCT(('Formation Initiale'!$A$2:$A$999=$A244)*('Formation Initiale'!$R$2:$R$999="Terminé"))&gt;0,"✓",IF(SUMPRODUCT(MAX(('Formation Initiale'!$A$2:$A$999=$A244)*'Formation Initiale'!$G$2:$G$999))&gt;0,TEXT(SUMPRODUCT(MAX(('Formation Initiale'!$A$2:$A$999=$A244)*'Formation Initiale'!$G$2:$G$999)),"yyyy-mm-dd"),"")))))</f>
        <v/>
      </c>
      <c r="F244" s="131" t="str">
        <f aca="false">IF($P244="✓","✓",IF(ISNUMBER($P244),TEXT($P244,"yyyy-mm-dd"),IF($A244="","",IF($D244="Lisbonne","",IF(SUMPRODUCT(('Formation Initiale'!$A$2:$A$999=$A244)*('Formation Initiale'!$R$2:$R$999="Terminé"))&gt;0,"✓",IF(SUMPRODUCT(MAX(('Formation Initiale'!$A$2:$A$999=$A244)*'Formation Initiale'!$G$2:$G$999))&gt;0,TEXT(SUMPRODUCT(MAX(('Formation Initiale'!$A$2:$A$999=$A244)*'Formation Initiale'!$G$2:$G$999)),"yyyy-mm-dd"),""))))))</f>
        <v/>
      </c>
      <c r="G244" s="131" t="str">
        <f aca="false">IF($Q244="✓","✓",IF(ISNUMBER($Q244),TEXT($Q244,"yyyy-mm-dd"),IF($A244="","",IF(SUMPRODUCT(('Agences &amp; Après-vente'!$A$2:$A$1000=$A244)*(('Agences &amp; Après-vente'!$D$2:$D$1000="Agences")+('Agences &amp; Après-vente'!$D$2:$D$1000="Agences et Après-vente"))*('Agences &amp; Après-vente'!$I$2:$I$1000="DONE"))&gt;0,"✓",IF(SUMPRODUCT(MAX(('Agences &amp; Après-vente'!$A$2:$A$1000=$A244)*(('Agences &amp; Après-vente'!$D$2:$D$1000="Agences")+('Agences &amp; Après-vente'!$D$2:$D$1000="Agences et Après-vente"))*'Agences &amp; Après-vente'!$E$2:$E$1000))&gt;0,TEXT(SUMPRODUCT(MAX(('Agences &amp; Après-vente'!$A$2:$A$1000=$A244)*(('Agences &amp; Après-vente'!$D$2:$D$1000="Agences")+('Agences &amp; Après-vente'!$D$2:$D$1000="Agences et Après-vente"))*'Agences &amp; Après-vente'!$E$2:$E$1000)),"yyyy-mm-dd"),"")))))</f>
        <v/>
      </c>
      <c r="H244" s="131" t="str">
        <f aca="false">IF($R244="✓","✓",IF(ISNUMBER($R244),TEXT($R244,"yyyy-mm-dd"),IF($A244="","",IF($D244="Lisbonne","",IF(SUMPRODUCT(('Agences &amp; Après-vente'!$A$2:$A$1000=$A244)*(('Agences &amp; Après-vente'!$D$2:$D$1000="Agences")+('Agences &amp; Après-vente'!$D$2:$D$1000="Agences et Après-vente"))*('Agences &amp; Après-vente'!$I$2:$I$1000="DONE"))&gt;0,"✓",IF(SUMPRODUCT(MAX(('Agences &amp; Après-vente'!$A$2:$A$1000=$A244)*(('Agences &amp; Après-vente'!$D$2:$D$1000="Agences")+('Agences &amp; Après-vente'!$D$2:$D$1000="Agences et Après-vente"))*'Agences &amp; Après-vente'!$E$2:$E$1000))&gt;0,TEXT(SUMPRODUCT(MAX(('Agences &amp; Après-vente'!$A$2:$A$1000=$A244)*(('Agences &amp; Après-vente'!$D$2:$D$1000="Agences")+('Agences &amp; Après-vente'!$D$2:$D$1000="Agences et Après-vente"))*'Agences &amp; Après-vente'!$E$2:$E$1000)),"yyyy-mm-dd"),""))))))</f>
        <v/>
      </c>
      <c r="I244" s="131" t="str">
        <f aca="false">IF($S244="✓","✓",IF(ISNUMBER($S244),TEXT($S244,"yyyy-mm-dd"),IF($A244="","",IF(SUMPRODUCT(('Agences &amp; Après-vente'!$A$2:$A$1000=$A244)*(('Agences &amp; Après-vente'!$D$2:$D$1000="Après-vente")+('Agences &amp; Après-vente'!$D$2:$D$1000="Agences et Après-vente"))*('Agences &amp; Après-vente'!$I$2:$I$1000="DONE"))&gt;0,"✓",IF(SUMPRODUCT(MAX(('Agences &amp; Après-vente'!$A$2:$A$1000=$A244)*(('Agences &amp; Après-vente'!$D$2:$D$1000="Après-vente")+('Agences &amp; Après-vente'!$D$2:$D$1000="Agences et Après-vente"))*'Agences &amp; Après-vente'!$E$2:$E$1000))&gt;0,TEXT(SUMPRODUCT(MAX(('Agences &amp; Après-vente'!$A$2:$A$1000=$A244)*(('Agences &amp; Après-vente'!$D$2:$D$1000="Après-vente")+('Agences &amp; Après-vente'!$D$2:$D$1000="Agences et Après-vente"))*'Agences &amp; Après-vente'!$E$2:$E$1000)),"yyyy-mm-dd"),"")))))</f>
        <v/>
      </c>
      <c r="J244" s="131" t="str">
        <f aca="false">IF($T244="✓","✓",IF(ISNUMBER($T244),TEXT($T244,"yyyy-mm-dd"),IF($A244="","",IF($D244="Lisbonne","",IF(SUMPRODUCT(('Agences &amp; Après-vente'!$A$2:$A$1000=$A244)*(('Agences &amp; Après-vente'!$D$2:$D$1000="Après-vente")+('Agences &amp; Après-vente'!$D$2:$D$1000="Agences et Après-vente"))*('Agences &amp; Après-vente'!$I$2:$I$1000="DONE"))&gt;0,"✓",IF(SUMPRODUCT(MAX(('Agences &amp; Après-vente'!$A$2:$A$1000=$A244)*(('Agences &amp; Après-vente'!$D$2:$D$1000="Après-vente")+('Agences &amp; Après-vente'!$D$2:$D$1000="Agences et Après-vente"))*'Agences &amp; Après-vente'!$E$2:$E$1000))&gt;0,TEXT(SUMPRODUCT(MAX(('Agences &amp; Après-vente'!$A$2:$A$1000=$A244)*(('Agences &amp; Après-vente'!$D$2:$D$1000="Après-vente")+('Agences &amp; Après-vente'!$D$2:$D$1000="Agences et Après-vente"))*'Agences &amp; Après-vente'!$E$2:$E$1000)),"yyyy-mm-dd"),""))))))</f>
        <v/>
      </c>
      <c r="K244" s="131" t="str">
        <f aca="false">IF($U244="✓","✓",IF(ISNUMBER($U244),TEXT($U244,"yyyy-mm-dd"),IF($D244="Lisbonne","",IF($A244="","",IF(SUMPRODUCT((Evermont!$A$2:$A$1000=$A244)*(Evermont!$Q$2:$Q$1000="Terminé"))&gt;0,"✓",IF(SUMPRODUCT(MAX((Evermont!$A$2:$A$1000=$A244)*Evermont!$F$2:$F$1000))&gt;0,TEXT(SUMPRODUCT(MAX((Evermont!$A$2:$A$1000=$A244)*Evermont!$F$2:$F$1000)),"yyyy-mm-dd"),""))))))</f>
        <v/>
      </c>
      <c r="L244" s="131" t="str">
        <f aca="false">IF($A244="","",COUNTIF(E244:K244,"✓"))</f>
        <v/>
      </c>
      <c r="M244" s="131" t="str">
        <f aca="false">IF(B244="","","Active")</f>
        <v/>
      </c>
      <c r="W244" s="120" t="str">
        <f aca="false">IF($A244="","",IF($X244&lt;&gt;"",$X244,IFERROR(INDEX('Formation Initiale'!$B$2:$B$999,MATCH($A244,'Formation Initiale'!$A$2:$A$999,0)),"Général")))</f>
        <v/>
      </c>
    </row>
    <row r="245" customFormat="false" ht="15" hidden="true" customHeight="true" outlineLevel="0" collapsed="false">
      <c r="A245" s="142" t="str">
        <f aca="false">IF(B245="","","TR"&amp;TEXT(ROW()-1,"000"))</f>
        <v/>
      </c>
      <c r="E245" s="130" t="str">
        <f aca="false">IF($O245="✓","✓",IF(ISNUMBER($O245),TEXT($O245,"yyyy-mm-dd"),IF($A245="","",IF(SUMPRODUCT(('Formation Initiale'!$A$2:$A$999=$A245)*('Formation Initiale'!$R$2:$R$999="Terminé"))&gt;0,"✓",IF(SUMPRODUCT(MAX(('Formation Initiale'!$A$2:$A$999=$A245)*'Formation Initiale'!$G$2:$G$999))&gt;0,TEXT(SUMPRODUCT(MAX(('Formation Initiale'!$A$2:$A$999=$A245)*'Formation Initiale'!$G$2:$G$999)),"yyyy-mm-dd"),"")))))</f>
        <v/>
      </c>
      <c r="F245" s="131" t="str">
        <f aca="false">IF($P245="✓","✓",IF(ISNUMBER($P245),TEXT($P245,"yyyy-mm-dd"),IF($A245="","",IF($D245="Lisbonne","",IF(SUMPRODUCT(('Formation Initiale'!$A$2:$A$999=$A245)*('Formation Initiale'!$R$2:$R$999="Terminé"))&gt;0,"✓",IF(SUMPRODUCT(MAX(('Formation Initiale'!$A$2:$A$999=$A245)*'Formation Initiale'!$G$2:$G$999))&gt;0,TEXT(SUMPRODUCT(MAX(('Formation Initiale'!$A$2:$A$999=$A245)*'Formation Initiale'!$G$2:$G$999)),"yyyy-mm-dd"),""))))))</f>
        <v/>
      </c>
      <c r="G245" s="131" t="str">
        <f aca="false">IF($Q245="✓","✓",IF(ISNUMBER($Q245),TEXT($Q245,"yyyy-mm-dd"),IF($A245="","",IF(SUMPRODUCT(('Agences &amp; Après-vente'!$A$2:$A$1000=$A245)*(('Agences &amp; Après-vente'!$D$2:$D$1000="Agences")+('Agences &amp; Après-vente'!$D$2:$D$1000="Agences et Après-vente"))*('Agences &amp; Après-vente'!$I$2:$I$1000="DONE"))&gt;0,"✓",IF(SUMPRODUCT(MAX(('Agences &amp; Après-vente'!$A$2:$A$1000=$A245)*(('Agences &amp; Après-vente'!$D$2:$D$1000="Agences")+('Agences &amp; Après-vente'!$D$2:$D$1000="Agences et Après-vente"))*'Agences &amp; Après-vente'!$E$2:$E$1000))&gt;0,TEXT(SUMPRODUCT(MAX(('Agences &amp; Après-vente'!$A$2:$A$1000=$A245)*(('Agences &amp; Après-vente'!$D$2:$D$1000="Agences")+('Agences &amp; Après-vente'!$D$2:$D$1000="Agences et Après-vente"))*'Agences &amp; Après-vente'!$E$2:$E$1000)),"yyyy-mm-dd"),"")))))</f>
        <v/>
      </c>
      <c r="H245" s="131" t="str">
        <f aca="false">IF($R245="✓","✓",IF(ISNUMBER($R245),TEXT($R245,"yyyy-mm-dd"),IF($A245="","",IF($D245="Lisbonne","",IF(SUMPRODUCT(('Agences &amp; Après-vente'!$A$2:$A$1000=$A245)*(('Agences &amp; Après-vente'!$D$2:$D$1000="Agences")+('Agences &amp; Après-vente'!$D$2:$D$1000="Agences et Après-vente"))*('Agences &amp; Après-vente'!$I$2:$I$1000="DONE"))&gt;0,"✓",IF(SUMPRODUCT(MAX(('Agences &amp; Après-vente'!$A$2:$A$1000=$A245)*(('Agences &amp; Après-vente'!$D$2:$D$1000="Agences")+('Agences &amp; Après-vente'!$D$2:$D$1000="Agences et Après-vente"))*'Agences &amp; Après-vente'!$E$2:$E$1000))&gt;0,TEXT(SUMPRODUCT(MAX(('Agences &amp; Après-vente'!$A$2:$A$1000=$A245)*(('Agences &amp; Après-vente'!$D$2:$D$1000="Agences")+('Agences &amp; Après-vente'!$D$2:$D$1000="Agences et Après-vente"))*'Agences &amp; Après-vente'!$E$2:$E$1000)),"yyyy-mm-dd"),""))))))</f>
        <v/>
      </c>
      <c r="I245" s="131" t="str">
        <f aca="false">IF($S245="✓","✓",IF(ISNUMBER($S245),TEXT($S245,"yyyy-mm-dd"),IF($A245="","",IF(SUMPRODUCT(('Agences &amp; Après-vente'!$A$2:$A$1000=$A245)*(('Agences &amp; Après-vente'!$D$2:$D$1000="Après-vente")+('Agences &amp; Après-vente'!$D$2:$D$1000="Agences et Après-vente"))*('Agences &amp; Après-vente'!$I$2:$I$1000="DONE"))&gt;0,"✓",IF(SUMPRODUCT(MAX(('Agences &amp; Après-vente'!$A$2:$A$1000=$A245)*(('Agences &amp; Après-vente'!$D$2:$D$1000="Après-vente")+('Agences &amp; Après-vente'!$D$2:$D$1000="Agences et Après-vente"))*'Agences &amp; Après-vente'!$E$2:$E$1000))&gt;0,TEXT(SUMPRODUCT(MAX(('Agences &amp; Après-vente'!$A$2:$A$1000=$A245)*(('Agences &amp; Après-vente'!$D$2:$D$1000="Après-vente")+('Agences &amp; Après-vente'!$D$2:$D$1000="Agences et Après-vente"))*'Agences &amp; Après-vente'!$E$2:$E$1000)),"yyyy-mm-dd"),"")))))</f>
        <v/>
      </c>
      <c r="J245" s="131" t="str">
        <f aca="false">IF($T245="✓","✓",IF(ISNUMBER($T245),TEXT($T245,"yyyy-mm-dd"),IF($A245="","",IF($D245="Lisbonne","",IF(SUMPRODUCT(('Agences &amp; Après-vente'!$A$2:$A$1000=$A245)*(('Agences &amp; Après-vente'!$D$2:$D$1000="Après-vente")+('Agences &amp; Après-vente'!$D$2:$D$1000="Agences et Après-vente"))*('Agences &amp; Après-vente'!$I$2:$I$1000="DONE"))&gt;0,"✓",IF(SUMPRODUCT(MAX(('Agences &amp; Après-vente'!$A$2:$A$1000=$A245)*(('Agences &amp; Après-vente'!$D$2:$D$1000="Après-vente")+('Agences &amp; Après-vente'!$D$2:$D$1000="Agences et Après-vente"))*'Agences &amp; Après-vente'!$E$2:$E$1000))&gt;0,TEXT(SUMPRODUCT(MAX(('Agences &amp; Après-vente'!$A$2:$A$1000=$A245)*(('Agences &amp; Après-vente'!$D$2:$D$1000="Après-vente")+('Agences &amp; Après-vente'!$D$2:$D$1000="Agences et Après-vente"))*'Agences &amp; Après-vente'!$E$2:$E$1000)),"yyyy-mm-dd"),""))))))</f>
        <v/>
      </c>
      <c r="K245" s="131" t="str">
        <f aca="false">IF($U245="✓","✓",IF(ISNUMBER($U245),TEXT($U245,"yyyy-mm-dd"),IF($D245="Lisbonne","",IF($A245="","",IF(SUMPRODUCT((Evermont!$A$2:$A$1000=$A245)*(Evermont!$Q$2:$Q$1000="Terminé"))&gt;0,"✓",IF(SUMPRODUCT(MAX((Evermont!$A$2:$A$1000=$A245)*Evermont!$F$2:$F$1000))&gt;0,TEXT(SUMPRODUCT(MAX((Evermont!$A$2:$A$1000=$A245)*Evermont!$F$2:$F$1000)),"yyyy-mm-dd"),""))))))</f>
        <v/>
      </c>
      <c r="L245" s="131" t="str">
        <f aca="false">IF($A245="","",COUNTIF(E245:K245,"✓"))</f>
        <v/>
      </c>
      <c r="M245" s="131" t="str">
        <f aca="false">IF(B245="","","Active")</f>
        <v/>
      </c>
      <c r="W245" s="120" t="str">
        <f aca="false">IF($A245="","",IF($X245&lt;&gt;"",$X245,IFERROR(INDEX('Formation Initiale'!$B$2:$B$999,MATCH($A245,'Formation Initiale'!$A$2:$A$999,0)),"Général")))</f>
        <v/>
      </c>
    </row>
    <row r="246" customFormat="false" ht="15" hidden="true" customHeight="true" outlineLevel="0" collapsed="false">
      <c r="A246" s="142" t="str">
        <f aca="false">IF(B246="","","TR"&amp;TEXT(ROW()-1,"000"))</f>
        <v/>
      </c>
      <c r="E246" s="130" t="str">
        <f aca="false">IF($O246="✓","✓",IF(ISNUMBER($O246),TEXT($O246,"yyyy-mm-dd"),IF($A246="","",IF(SUMPRODUCT(('Formation Initiale'!$A$2:$A$999=$A246)*('Formation Initiale'!$R$2:$R$999="Terminé"))&gt;0,"✓",IF(SUMPRODUCT(MAX(('Formation Initiale'!$A$2:$A$999=$A246)*'Formation Initiale'!$G$2:$G$999))&gt;0,TEXT(SUMPRODUCT(MAX(('Formation Initiale'!$A$2:$A$999=$A246)*'Formation Initiale'!$G$2:$G$999)),"yyyy-mm-dd"),"")))))</f>
        <v/>
      </c>
      <c r="F246" s="131" t="str">
        <f aca="false">IF($P246="✓","✓",IF(ISNUMBER($P246),TEXT($P246,"yyyy-mm-dd"),IF($A246="","",IF($D246="Lisbonne","",IF(SUMPRODUCT(('Formation Initiale'!$A$2:$A$999=$A246)*('Formation Initiale'!$R$2:$R$999="Terminé"))&gt;0,"✓",IF(SUMPRODUCT(MAX(('Formation Initiale'!$A$2:$A$999=$A246)*'Formation Initiale'!$G$2:$G$999))&gt;0,TEXT(SUMPRODUCT(MAX(('Formation Initiale'!$A$2:$A$999=$A246)*'Formation Initiale'!$G$2:$G$999)),"yyyy-mm-dd"),""))))))</f>
        <v/>
      </c>
      <c r="G246" s="131" t="str">
        <f aca="false">IF($Q246="✓","✓",IF(ISNUMBER($Q246),TEXT($Q246,"yyyy-mm-dd"),IF($A246="","",IF(SUMPRODUCT(('Agences &amp; Après-vente'!$A$2:$A$1000=$A246)*(('Agences &amp; Après-vente'!$D$2:$D$1000="Agences")+('Agences &amp; Après-vente'!$D$2:$D$1000="Agences et Après-vente"))*('Agences &amp; Après-vente'!$I$2:$I$1000="DONE"))&gt;0,"✓",IF(SUMPRODUCT(MAX(('Agences &amp; Après-vente'!$A$2:$A$1000=$A246)*(('Agences &amp; Après-vente'!$D$2:$D$1000="Agences")+('Agences &amp; Après-vente'!$D$2:$D$1000="Agences et Après-vente"))*'Agences &amp; Après-vente'!$E$2:$E$1000))&gt;0,TEXT(SUMPRODUCT(MAX(('Agences &amp; Après-vente'!$A$2:$A$1000=$A246)*(('Agences &amp; Après-vente'!$D$2:$D$1000="Agences")+('Agences &amp; Après-vente'!$D$2:$D$1000="Agences et Après-vente"))*'Agences &amp; Après-vente'!$E$2:$E$1000)),"yyyy-mm-dd"),"")))))</f>
        <v/>
      </c>
      <c r="H246" s="131" t="str">
        <f aca="false">IF($R246="✓","✓",IF(ISNUMBER($R246),TEXT($R246,"yyyy-mm-dd"),IF($A246="","",IF($D246="Lisbonne","",IF(SUMPRODUCT(('Agences &amp; Après-vente'!$A$2:$A$1000=$A246)*(('Agences &amp; Après-vente'!$D$2:$D$1000="Agences")+('Agences &amp; Après-vente'!$D$2:$D$1000="Agences et Après-vente"))*('Agences &amp; Après-vente'!$I$2:$I$1000="DONE"))&gt;0,"✓",IF(SUMPRODUCT(MAX(('Agences &amp; Après-vente'!$A$2:$A$1000=$A246)*(('Agences &amp; Après-vente'!$D$2:$D$1000="Agences")+('Agences &amp; Après-vente'!$D$2:$D$1000="Agences et Après-vente"))*'Agences &amp; Après-vente'!$E$2:$E$1000))&gt;0,TEXT(SUMPRODUCT(MAX(('Agences &amp; Après-vente'!$A$2:$A$1000=$A246)*(('Agences &amp; Après-vente'!$D$2:$D$1000="Agences")+('Agences &amp; Après-vente'!$D$2:$D$1000="Agences et Après-vente"))*'Agences &amp; Après-vente'!$E$2:$E$1000)),"yyyy-mm-dd"),""))))))</f>
        <v/>
      </c>
      <c r="I246" s="131" t="str">
        <f aca="false">IF($S246="✓","✓",IF(ISNUMBER($S246),TEXT($S246,"yyyy-mm-dd"),IF($A246="","",IF(SUMPRODUCT(('Agences &amp; Après-vente'!$A$2:$A$1000=$A246)*(('Agences &amp; Après-vente'!$D$2:$D$1000="Après-vente")+('Agences &amp; Après-vente'!$D$2:$D$1000="Agences et Après-vente"))*('Agences &amp; Après-vente'!$I$2:$I$1000="DONE"))&gt;0,"✓",IF(SUMPRODUCT(MAX(('Agences &amp; Après-vente'!$A$2:$A$1000=$A246)*(('Agences &amp; Après-vente'!$D$2:$D$1000="Après-vente")+('Agences &amp; Après-vente'!$D$2:$D$1000="Agences et Après-vente"))*'Agences &amp; Après-vente'!$E$2:$E$1000))&gt;0,TEXT(SUMPRODUCT(MAX(('Agences &amp; Après-vente'!$A$2:$A$1000=$A246)*(('Agences &amp; Après-vente'!$D$2:$D$1000="Après-vente")+('Agences &amp; Après-vente'!$D$2:$D$1000="Agences et Après-vente"))*'Agences &amp; Après-vente'!$E$2:$E$1000)),"yyyy-mm-dd"),"")))))</f>
        <v/>
      </c>
      <c r="J246" s="131" t="str">
        <f aca="false">IF($T246="✓","✓",IF(ISNUMBER($T246),TEXT($T246,"yyyy-mm-dd"),IF($A246="","",IF($D246="Lisbonne","",IF(SUMPRODUCT(('Agences &amp; Après-vente'!$A$2:$A$1000=$A246)*(('Agences &amp; Après-vente'!$D$2:$D$1000="Après-vente")+('Agences &amp; Après-vente'!$D$2:$D$1000="Agences et Après-vente"))*('Agences &amp; Après-vente'!$I$2:$I$1000="DONE"))&gt;0,"✓",IF(SUMPRODUCT(MAX(('Agences &amp; Après-vente'!$A$2:$A$1000=$A246)*(('Agences &amp; Après-vente'!$D$2:$D$1000="Après-vente")+('Agences &amp; Après-vente'!$D$2:$D$1000="Agences et Après-vente"))*'Agences &amp; Après-vente'!$E$2:$E$1000))&gt;0,TEXT(SUMPRODUCT(MAX(('Agences &amp; Après-vente'!$A$2:$A$1000=$A246)*(('Agences &amp; Après-vente'!$D$2:$D$1000="Après-vente")+('Agences &amp; Après-vente'!$D$2:$D$1000="Agences et Après-vente"))*'Agences &amp; Après-vente'!$E$2:$E$1000)),"yyyy-mm-dd"),""))))))</f>
        <v/>
      </c>
      <c r="K246" s="131" t="str">
        <f aca="false">IF($U246="✓","✓",IF(ISNUMBER($U246),TEXT($U246,"yyyy-mm-dd"),IF($D246="Lisbonne","",IF($A246="","",IF(SUMPRODUCT((Evermont!$A$2:$A$1000=$A246)*(Evermont!$Q$2:$Q$1000="Terminé"))&gt;0,"✓",IF(SUMPRODUCT(MAX((Evermont!$A$2:$A$1000=$A246)*Evermont!$F$2:$F$1000))&gt;0,TEXT(SUMPRODUCT(MAX((Evermont!$A$2:$A$1000=$A246)*Evermont!$F$2:$F$1000)),"yyyy-mm-dd"),""))))))</f>
        <v/>
      </c>
      <c r="L246" s="131" t="str">
        <f aca="false">IF($A246="","",COUNTIF(E246:K246,"✓"))</f>
        <v/>
      </c>
      <c r="M246" s="131" t="str">
        <f aca="false">IF(B246="","","Active")</f>
        <v/>
      </c>
      <c r="W246" s="120" t="str">
        <f aca="false">IF($A246="","",IF($X246&lt;&gt;"",$X246,IFERROR(INDEX('Formation Initiale'!$B$2:$B$999,MATCH($A246,'Formation Initiale'!$A$2:$A$999,0)),"Général")))</f>
        <v/>
      </c>
    </row>
    <row r="247" customFormat="false" ht="15" hidden="true" customHeight="true" outlineLevel="0" collapsed="false">
      <c r="A247" s="142" t="str">
        <f aca="false">IF(B247="","","TR"&amp;TEXT(ROW()-1,"000"))</f>
        <v/>
      </c>
      <c r="E247" s="130" t="str">
        <f aca="false">IF($O247="✓","✓",IF(ISNUMBER($O247),TEXT($O247,"yyyy-mm-dd"),IF($A247="","",IF(SUMPRODUCT(('Formation Initiale'!$A$2:$A$999=$A247)*('Formation Initiale'!$R$2:$R$999="Terminé"))&gt;0,"✓",IF(SUMPRODUCT(MAX(('Formation Initiale'!$A$2:$A$999=$A247)*'Formation Initiale'!$G$2:$G$999))&gt;0,TEXT(SUMPRODUCT(MAX(('Formation Initiale'!$A$2:$A$999=$A247)*'Formation Initiale'!$G$2:$G$999)),"yyyy-mm-dd"),"")))))</f>
        <v/>
      </c>
      <c r="F247" s="131" t="str">
        <f aca="false">IF($P247="✓","✓",IF(ISNUMBER($P247),TEXT($P247,"yyyy-mm-dd"),IF($A247="","",IF($D247="Lisbonne","",IF(SUMPRODUCT(('Formation Initiale'!$A$2:$A$999=$A247)*('Formation Initiale'!$R$2:$R$999="Terminé"))&gt;0,"✓",IF(SUMPRODUCT(MAX(('Formation Initiale'!$A$2:$A$999=$A247)*'Formation Initiale'!$G$2:$G$999))&gt;0,TEXT(SUMPRODUCT(MAX(('Formation Initiale'!$A$2:$A$999=$A247)*'Formation Initiale'!$G$2:$G$999)),"yyyy-mm-dd"),""))))))</f>
        <v/>
      </c>
      <c r="G247" s="131" t="str">
        <f aca="false">IF($Q247="✓","✓",IF(ISNUMBER($Q247),TEXT($Q247,"yyyy-mm-dd"),IF($A247="","",IF(SUMPRODUCT(('Agences &amp; Après-vente'!$A$2:$A$1000=$A247)*(('Agences &amp; Après-vente'!$D$2:$D$1000="Agences")+('Agences &amp; Après-vente'!$D$2:$D$1000="Agences et Après-vente"))*('Agences &amp; Après-vente'!$I$2:$I$1000="DONE"))&gt;0,"✓",IF(SUMPRODUCT(MAX(('Agences &amp; Après-vente'!$A$2:$A$1000=$A247)*(('Agences &amp; Après-vente'!$D$2:$D$1000="Agences")+('Agences &amp; Après-vente'!$D$2:$D$1000="Agences et Après-vente"))*'Agences &amp; Après-vente'!$E$2:$E$1000))&gt;0,TEXT(SUMPRODUCT(MAX(('Agences &amp; Après-vente'!$A$2:$A$1000=$A247)*(('Agences &amp; Après-vente'!$D$2:$D$1000="Agences")+('Agences &amp; Après-vente'!$D$2:$D$1000="Agences et Après-vente"))*'Agences &amp; Après-vente'!$E$2:$E$1000)),"yyyy-mm-dd"),"")))))</f>
        <v/>
      </c>
      <c r="H247" s="131" t="str">
        <f aca="false">IF($R247="✓","✓",IF(ISNUMBER($R247),TEXT($R247,"yyyy-mm-dd"),IF($A247="","",IF($D247="Lisbonne","",IF(SUMPRODUCT(('Agences &amp; Après-vente'!$A$2:$A$1000=$A247)*(('Agences &amp; Après-vente'!$D$2:$D$1000="Agences")+('Agences &amp; Après-vente'!$D$2:$D$1000="Agences et Après-vente"))*('Agences &amp; Après-vente'!$I$2:$I$1000="DONE"))&gt;0,"✓",IF(SUMPRODUCT(MAX(('Agences &amp; Après-vente'!$A$2:$A$1000=$A247)*(('Agences &amp; Après-vente'!$D$2:$D$1000="Agences")+('Agences &amp; Après-vente'!$D$2:$D$1000="Agences et Après-vente"))*'Agences &amp; Après-vente'!$E$2:$E$1000))&gt;0,TEXT(SUMPRODUCT(MAX(('Agences &amp; Après-vente'!$A$2:$A$1000=$A247)*(('Agences &amp; Après-vente'!$D$2:$D$1000="Agences")+('Agences &amp; Après-vente'!$D$2:$D$1000="Agences et Après-vente"))*'Agences &amp; Après-vente'!$E$2:$E$1000)),"yyyy-mm-dd"),""))))))</f>
        <v/>
      </c>
      <c r="I247" s="131" t="str">
        <f aca="false">IF($S247="✓","✓",IF(ISNUMBER($S247),TEXT($S247,"yyyy-mm-dd"),IF($A247="","",IF(SUMPRODUCT(('Agences &amp; Après-vente'!$A$2:$A$1000=$A247)*(('Agences &amp; Après-vente'!$D$2:$D$1000="Après-vente")+('Agences &amp; Après-vente'!$D$2:$D$1000="Agences et Après-vente"))*('Agences &amp; Après-vente'!$I$2:$I$1000="DONE"))&gt;0,"✓",IF(SUMPRODUCT(MAX(('Agences &amp; Après-vente'!$A$2:$A$1000=$A247)*(('Agences &amp; Après-vente'!$D$2:$D$1000="Après-vente")+('Agences &amp; Après-vente'!$D$2:$D$1000="Agences et Après-vente"))*'Agences &amp; Après-vente'!$E$2:$E$1000))&gt;0,TEXT(SUMPRODUCT(MAX(('Agences &amp; Après-vente'!$A$2:$A$1000=$A247)*(('Agences &amp; Après-vente'!$D$2:$D$1000="Après-vente")+('Agences &amp; Après-vente'!$D$2:$D$1000="Agences et Après-vente"))*'Agences &amp; Après-vente'!$E$2:$E$1000)),"yyyy-mm-dd"),"")))))</f>
        <v/>
      </c>
      <c r="J247" s="131" t="str">
        <f aca="false">IF($T247="✓","✓",IF(ISNUMBER($T247),TEXT($T247,"yyyy-mm-dd"),IF($A247="","",IF($D247="Lisbonne","",IF(SUMPRODUCT(('Agences &amp; Après-vente'!$A$2:$A$1000=$A247)*(('Agences &amp; Après-vente'!$D$2:$D$1000="Après-vente")+('Agences &amp; Après-vente'!$D$2:$D$1000="Agences et Après-vente"))*('Agences &amp; Après-vente'!$I$2:$I$1000="DONE"))&gt;0,"✓",IF(SUMPRODUCT(MAX(('Agences &amp; Après-vente'!$A$2:$A$1000=$A247)*(('Agences &amp; Après-vente'!$D$2:$D$1000="Après-vente")+('Agences &amp; Après-vente'!$D$2:$D$1000="Agences et Après-vente"))*'Agences &amp; Après-vente'!$E$2:$E$1000))&gt;0,TEXT(SUMPRODUCT(MAX(('Agences &amp; Après-vente'!$A$2:$A$1000=$A247)*(('Agences &amp; Après-vente'!$D$2:$D$1000="Après-vente")+('Agences &amp; Après-vente'!$D$2:$D$1000="Agences et Après-vente"))*'Agences &amp; Après-vente'!$E$2:$E$1000)),"yyyy-mm-dd"),""))))))</f>
        <v/>
      </c>
      <c r="K247" s="131" t="str">
        <f aca="false">IF($U247="✓","✓",IF(ISNUMBER($U247),TEXT($U247,"yyyy-mm-dd"),IF($D247="Lisbonne","",IF($A247="","",IF(SUMPRODUCT((Evermont!$A$2:$A$1000=$A247)*(Evermont!$Q$2:$Q$1000="Terminé"))&gt;0,"✓",IF(SUMPRODUCT(MAX((Evermont!$A$2:$A$1000=$A247)*Evermont!$F$2:$F$1000))&gt;0,TEXT(SUMPRODUCT(MAX((Evermont!$A$2:$A$1000=$A247)*Evermont!$F$2:$F$1000)),"yyyy-mm-dd"),""))))))</f>
        <v/>
      </c>
      <c r="L247" s="131" t="str">
        <f aca="false">IF($A247="","",COUNTIF(E247:K247,"✓"))</f>
        <v/>
      </c>
      <c r="M247" s="131" t="str">
        <f aca="false">IF(B247="","","Active")</f>
        <v/>
      </c>
      <c r="W247" s="120" t="str">
        <f aca="false">IF($A247="","",IF($X247&lt;&gt;"",$X247,IFERROR(INDEX('Formation Initiale'!$B$2:$B$999,MATCH($A247,'Formation Initiale'!$A$2:$A$999,0)),"Général")))</f>
        <v/>
      </c>
    </row>
    <row r="248" customFormat="false" ht="15" hidden="true" customHeight="true" outlineLevel="0" collapsed="false">
      <c r="A248" s="142" t="str">
        <f aca="false">IF(B248="","","TR"&amp;TEXT(ROW()-1,"000"))</f>
        <v/>
      </c>
      <c r="E248" s="130" t="str">
        <f aca="false">IF($O248="✓","✓",IF(ISNUMBER($O248),TEXT($O248,"yyyy-mm-dd"),IF($A248="","",IF(SUMPRODUCT(('Formation Initiale'!$A$2:$A$999=$A248)*('Formation Initiale'!$R$2:$R$999="Terminé"))&gt;0,"✓",IF(SUMPRODUCT(MAX(('Formation Initiale'!$A$2:$A$999=$A248)*'Formation Initiale'!$G$2:$G$999))&gt;0,TEXT(SUMPRODUCT(MAX(('Formation Initiale'!$A$2:$A$999=$A248)*'Formation Initiale'!$G$2:$G$999)),"yyyy-mm-dd"),"")))))</f>
        <v/>
      </c>
      <c r="F248" s="131" t="str">
        <f aca="false">IF($P248="✓","✓",IF(ISNUMBER($P248),TEXT($P248,"yyyy-mm-dd"),IF($A248="","",IF($D248="Lisbonne","",IF(SUMPRODUCT(('Formation Initiale'!$A$2:$A$999=$A248)*('Formation Initiale'!$R$2:$R$999="Terminé"))&gt;0,"✓",IF(SUMPRODUCT(MAX(('Formation Initiale'!$A$2:$A$999=$A248)*'Formation Initiale'!$G$2:$G$999))&gt;0,TEXT(SUMPRODUCT(MAX(('Formation Initiale'!$A$2:$A$999=$A248)*'Formation Initiale'!$G$2:$G$999)),"yyyy-mm-dd"),""))))))</f>
        <v/>
      </c>
      <c r="G248" s="131" t="str">
        <f aca="false">IF($Q248="✓","✓",IF(ISNUMBER($Q248),TEXT($Q248,"yyyy-mm-dd"),IF($A248="","",IF(SUMPRODUCT(('Agences &amp; Après-vente'!$A$2:$A$1000=$A248)*(('Agences &amp; Après-vente'!$D$2:$D$1000="Agences")+('Agences &amp; Après-vente'!$D$2:$D$1000="Agences et Après-vente"))*('Agences &amp; Après-vente'!$I$2:$I$1000="DONE"))&gt;0,"✓",IF(SUMPRODUCT(MAX(('Agences &amp; Après-vente'!$A$2:$A$1000=$A248)*(('Agences &amp; Après-vente'!$D$2:$D$1000="Agences")+('Agences &amp; Après-vente'!$D$2:$D$1000="Agences et Après-vente"))*'Agences &amp; Après-vente'!$E$2:$E$1000))&gt;0,TEXT(SUMPRODUCT(MAX(('Agences &amp; Après-vente'!$A$2:$A$1000=$A248)*(('Agences &amp; Après-vente'!$D$2:$D$1000="Agences")+('Agences &amp; Après-vente'!$D$2:$D$1000="Agences et Après-vente"))*'Agences &amp; Après-vente'!$E$2:$E$1000)),"yyyy-mm-dd"),"")))))</f>
        <v/>
      </c>
      <c r="H248" s="131" t="str">
        <f aca="false">IF($R248="✓","✓",IF(ISNUMBER($R248),TEXT($R248,"yyyy-mm-dd"),IF($A248="","",IF($D248="Lisbonne","",IF(SUMPRODUCT(('Agences &amp; Après-vente'!$A$2:$A$1000=$A248)*(('Agences &amp; Après-vente'!$D$2:$D$1000="Agences")+('Agences &amp; Après-vente'!$D$2:$D$1000="Agences et Après-vente"))*('Agences &amp; Après-vente'!$I$2:$I$1000="DONE"))&gt;0,"✓",IF(SUMPRODUCT(MAX(('Agences &amp; Après-vente'!$A$2:$A$1000=$A248)*(('Agences &amp; Après-vente'!$D$2:$D$1000="Agences")+('Agences &amp; Après-vente'!$D$2:$D$1000="Agences et Après-vente"))*'Agences &amp; Après-vente'!$E$2:$E$1000))&gt;0,TEXT(SUMPRODUCT(MAX(('Agences &amp; Après-vente'!$A$2:$A$1000=$A248)*(('Agences &amp; Après-vente'!$D$2:$D$1000="Agences")+('Agences &amp; Après-vente'!$D$2:$D$1000="Agences et Après-vente"))*'Agences &amp; Après-vente'!$E$2:$E$1000)),"yyyy-mm-dd"),""))))))</f>
        <v/>
      </c>
      <c r="I248" s="131" t="str">
        <f aca="false">IF($S248="✓","✓",IF(ISNUMBER($S248),TEXT($S248,"yyyy-mm-dd"),IF($A248="","",IF(SUMPRODUCT(('Agences &amp; Après-vente'!$A$2:$A$1000=$A248)*(('Agences &amp; Après-vente'!$D$2:$D$1000="Après-vente")+('Agences &amp; Après-vente'!$D$2:$D$1000="Agences et Après-vente"))*('Agences &amp; Après-vente'!$I$2:$I$1000="DONE"))&gt;0,"✓",IF(SUMPRODUCT(MAX(('Agences &amp; Après-vente'!$A$2:$A$1000=$A248)*(('Agences &amp; Après-vente'!$D$2:$D$1000="Après-vente")+('Agences &amp; Après-vente'!$D$2:$D$1000="Agences et Après-vente"))*'Agences &amp; Après-vente'!$E$2:$E$1000))&gt;0,TEXT(SUMPRODUCT(MAX(('Agences &amp; Après-vente'!$A$2:$A$1000=$A248)*(('Agences &amp; Après-vente'!$D$2:$D$1000="Après-vente")+('Agences &amp; Après-vente'!$D$2:$D$1000="Agences et Après-vente"))*'Agences &amp; Après-vente'!$E$2:$E$1000)),"yyyy-mm-dd"),"")))))</f>
        <v/>
      </c>
      <c r="J248" s="131" t="str">
        <f aca="false">IF($T248="✓","✓",IF(ISNUMBER($T248),TEXT($T248,"yyyy-mm-dd"),IF($A248="","",IF($D248="Lisbonne","",IF(SUMPRODUCT(('Agences &amp; Après-vente'!$A$2:$A$1000=$A248)*(('Agences &amp; Après-vente'!$D$2:$D$1000="Après-vente")+('Agences &amp; Après-vente'!$D$2:$D$1000="Agences et Après-vente"))*('Agences &amp; Après-vente'!$I$2:$I$1000="DONE"))&gt;0,"✓",IF(SUMPRODUCT(MAX(('Agences &amp; Après-vente'!$A$2:$A$1000=$A248)*(('Agences &amp; Après-vente'!$D$2:$D$1000="Après-vente")+('Agences &amp; Après-vente'!$D$2:$D$1000="Agences et Après-vente"))*'Agences &amp; Après-vente'!$E$2:$E$1000))&gt;0,TEXT(SUMPRODUCT(MAX(('Agences &amp; Après-vente'!$A$2:$A$1000=$A248)*(('Agences &amp; Après-vente'!$D$2:$D$1000="Après-vente")+('Agences &amp; Après-vente'!$D$2:$D$1000="Agences et Après-vente"))*'Agences &amp; Après-vente'!$E$2:$E$1000)),"yyyy-mm-dd"),""))))))</f>
        <v/>
      </c>
      <c r="K248" s="131" t="str">
        <f aca="false">IF($U248="✓","✓",IF(ISNUMBER($U248),TEXT($U248,"yyyy-mm-dd"),IF($D248="Lisbonne","",IF($A248="","",IF(SUMPRODUCT((Evermont!$A$2:$A$1000=$A248)*(Evermont!$Q$2:$Q$1000="Terminé"))&gt;0,"✓",IF(SUMPRODUCT(MAX((Evermont!$A$2:$A$1000=$A248)*Evermont!$F$2:$F$1000))&gt;0,TEXT(SUMPRODUCT(MAX((Evermont!$A$2:$A$1000=$A248)*Evermont!$F$2:$F$1000)),"yyyy-mm-dd"),""))))))</f>
        <v/>
      </c>
      <c r="L248" s="131" t="str">
        <f aca="false">IF($A248="","",COUNTIF(E248:K248,"✓"))</f>
        <v/>
      </c>
      <c r="M248" s="131" t="str">
        <f aca="false">IF(B248="","","Active")</f>
        <v/>
      </c>
      <c r="W248" s="120" t="str">
        <f aca="false">IF($A248="","",IF($X248&lt;&gt;"",$X248,IFERROR(INDEX('Formation Initiale'!$B$2:$B$999,MATCH($A248,'Formation Initiale'!$A$2:$A$999,0)),"Général")))</f>
        <v/>
      </c>
    </row>
    <row r="249" customFormat="false" ht="15" hidden="true" customHeight="true" outlineLevel="0" collapsed="false">
      <c r="A249" s="142" t="str">
        <f aca="false">IF(B249="","","TR"&amp;TEXT(ROW()-1,"000"))</f>
        <v/>
      </c>
      <c r="E249" s="130" t="str">
        <f aca="false">IF($O249="✓","✓",IF(ISNUMBER($O249),TEXT($O249,"yyyy-mm-dd"),IF($A249="","",IF(SUMPRODUCT(('Formation Initiale'!$A$2:$A$999=$A249)*('Formation Initiale'!$R$2:$R$999="Terminé"))&gt;0,"✓",IF(SUMPRODUCT(MAX(('Formation Initiale'!$A$2:$A$999=$A249)*'Formation Initiale'!$G$2:$G$999))&gt;0,TEXT(SUMPRODUCT(MAX(('Formation Initiale'!$A$2:$A$999=$A249)*'Formation Initiale'!$G$2:$G$999)),"yyyy-mm-dd"),"")))))</f>
        <v/>
      </c>
      <c r="F249" s="131" t="str">
        <f aca="false">IF($P249="✓","✓",IF(ISNUMBER($P249),TEXT($P249,"yyyy-mm-dd"),IF($A249="","",IF($D249="Lisbonne","",IF(SUMPRODUCT(('Formation Initiale'!$A$2:$A$999=$A249)*('Formation Initiale'!$R$2:$R$999="Terminé"))&gt;0,"✓",IF(SUMPRODUCT(MAX(('Formation Initiale'!$A$2:$A$999=$A249)*'Formation Initiale'!$G$2:$G$999))&gt;0,TEXT(SUMPRODUCT(MAX(('Formation Initiale'!$A$2:$A$999=$A249)*'Formation Initiale'!$G$2:$G$999)),"yyyy-mm-dd"),""))))))</f>
        <v/>
      </c>
      <c r="G249" s="131" t="str">
        <f aca="false">IF($Q249="✓","✓",IF(ISNUMBER($Q249),TEXT($Q249,"yyyy-mm-dd"),IF($A249="","",IF(SUMPRODUCT(('Agences &amp; Après-vente'!$A$2:$A$1000=$A249)*(('Agences &amp; Après-vente'!$D$2:$D$1000="Agences")+('Agences &amp; Après-vente'!$D$2:$D$1000="Agences et Après-vente"))*('Agences &amp; Après-vente'!$I$2:$I$1000="DONE"))&gt;0,"✓",IF(SUMPRODUCT(MAX(('Agences &amp; Après-vente'!$A$2:$A$1000=$A249)*(('Agences &amp; Après-vente'!$D$2:$D$1000="Agences")+('Agences &amp; Après-vente'!$D$2:$D$1000="Agences et Après-vente"))*'Agences &amp; Après-vente'!$E$2:$E$1000))&gt;0,TEXT(SUMPRODUCT(MAX(('Agences &amp; Après-vente'!$A$2:$A$1000=$A249)*(('Agences &amp; Après-vente'!$D$2:$D$1000="Agences")+('Agences &amp; Après-vente'!$D$2:$D$1000="Agences et Après-vente"))*'Agences &amp; Après-vente'!$E$2:$E$1000)),"yyyy-mm-dd"),"")))))</f>
        <v/>
      </c>
      <c r="H249" s="131" t="str">
        <f aca="false">IF($R249="✓","✓",IF(ISNUMBER($R249),TEXT($R249,"yyyy-mm-dd"),IF($A249="","",IF($D249="Lisbonne","",IF(SUMPRODUCT(('Agences &amp; Après-vente'!$A$2:$A$1000=$A249)*(('Agences &amp; Après-vente'!$D$2:$D$1000="Agences")+('Agences &amp; Après-vente'!$D$2:$D$1000="Agences et Après-vente"))*('Agences &amp; Après-vente'!$I$2:$I$1000="DONE"))&gt;0,"✓",IF(SUMPRODUCT(MAX(('Agences &amp; Après-vente'!$A$2:$A$1000=$A249)*(('Agences &amp; Après-vente'!$D$2:$D$1000="Agences")+('Agences &amp; Après-vente'!$D$2:$D$1000="Agences et Après-vente"))*'Agences &amp; Après-vente'!$E$2:$E$1000))&gt;0,TEXT(SUMPRODUCT(MAX(('Agences &amp; Après-vente'!$A$2:$A$1000=$A249)*(('Agences &amp; Après-vente'!$D$2:$D$1000="Agences")+('Agences &amp; Après-vente'!$D$2:$D$1000="Agences et Après-vente"))*'Agences &amp; Après-vente'!$E$2:$E$1000)),"yyyy-mm-dd"),""))))))</f>
        <v/>
      </c>
      <c r="I249" s="131" t="str">
        <f aca="false">IF($S249="✓","✓",IF(ISNUMBER($S249),TEXT($S249,"yyyy-mm-dd"),IF($A249="","",IF(SUMPRODUCT(('Agences &amp; Après-vente'!$A$2:$A$1000=$A249)*(('Agences &amp; Après-vente'!$D$2:$D$1000="Après-vente")+('Agences &amp; Après-vente'!$D$2:$D$1000="Agences et Après-vente"))*('Agences &amp; Après-vente'!$I$2:$I$1000="DONE"))&gt;0,"✓",IF(SUMPRODUCT(MAX(('Agences &amp; Après-vente'!$A$2:$A$1000=$A249)*(('Agences &amp; Après-vente'!$D$2:$D$1000="Après-vente")+('Agences &amp; Après-vente'!$D$2:$D$1000="Agences et Après-vente"))*'Agences &amp; Après-vente'!$E$2:$E$1000))&gt;0,TEXT(SUMPRODUCT(MAX(('Agences &amp; Après-vente'!$A$2:$A$1000=$A249)*(('Agences &amp; Après-vente'!$D$2:$D$1000="Après-vente")+('Agences &amp; Après-vente'!$D$2:$D$1000="Agences et Après-vente"))*'Agences &amp; Après-vente'!$E$2:$E$1000)),"yyyy-mm-dd"),"")))))</f>
        <v/>
      </c>
      <c r="J249" s="131" t="str">
        <f aca="false">IF($T249="✓","✓",IF(ISNUMBER($T249),TEXT($T249,"yyyy-mm-dd"),IF($A249="","",IF($D249="Lisbonne","",IF(SUMPRODUCT(('Agences &amp; Après-vente'!$A$2:$A$1000=$A249)*(('Agences &amp; Après-vente'!$D$2:$D$1000="Après-vente")+('Agences &amp; Après-vente'!$D$2:$D$1000="Agences et Après-vente"))*('Agences &amp; Après-vente'!$I$2:$I$1000="DONE"))&gt;0,"✓",IF(SUMPRODUCT(MAX(('Agences &amp; Après-vente'!$A$2:$A$1000=$A249)*(('Agences &amp; Après-vente'!$D$2:$D$1000="Après-vente")+('Agences &amp; Après-vente'!$D$2:$D$1000="Agences et Après-vente"))*'Agences &amp; Après-vente'!$E$2:$E$1000))&gt;0,TEXT(SUMPRODUCT(MAX(('Agences &amp; Après-vente'!$A$2:$A$1000=$A249)*(('Agences &amp; Après-vente'!$D$2:$D$1000="Après-vente")+('Agences &amp; Après-vente'!$D$2:$D$1000="Agences et Après-vente"))*'Agences &amp; Après-vente'!$E$2:$E$1000)),"yyyy-mm-dd"),""))))))</f>
        <v/>
      </c>
      <c r="K249" s="131" t="str">
        <f aca="false">IF($U249="✓","✓",IF(ISNUMBER($U249),TEXT($U249,"yyyy-mm-dd"),IF($D249="Lisbonne","",IF($A249="","",IF(SUMPRODUCT((Evermont!$A$2:$A$1000=$A249)*(Evermont!$Q$2:$Q$1000="Terminé"))&gt;0,"✓",IF(SUMPRODUCT(MAX((Evermont!$A$2:$A$1000=$A249)*Evermont!$F$2:$F$1000))&gt;0,TEXT(SUMPRODUCT(MAX((Evermont!$A$2:$A$1000=$A249)*Evermont!$F$2:$F$1000)),"yyyy-mm-dd"),""))))))</f>
        <v/>
      </c>
      <c r="L249" s="131" t="str">
        <f aca="false">IF($A249="","",COUNTIF(E249:K249,"✓"))</f>
        <v/>
      </c>
      <c r="M249" s="131" t="str">
        <f aca="false">IF(B249="","","Active")</f>
        <v/>
      </c>
      <c r="W249" s="120" t="str">
        <f aca="false">IF($A249="","",IF($X249&lt;&gt;"",$X249,IFERROR(INDEX('Formation Initiale'!$B$2:$B$999,MATCH($A249,'Formation Initiale'!$A$2:$A$999,0)),"Général")))</f>
        <v/>
      </c>
    </row>
    <row r="250" customFormat="false" ht="15" hidden="true" customHeight="true" outlineLevel="0" collapsed="false">
      <c r="A250" s="142" t="str">
        <f aca="false">IF(B250="","","TR"&amp;TEXT(ROW()-1,"000"))</f>
        <v/>
      </c>
      <c r="E250" s="130" t="str">
        <f aca="false">IF($O250="✓","✓",IF(ISNUMBER($O250),TEXT($O250,"yyyy-mm-dd"),IF($A250="","",IF(SUMPRODUCT(('Formation Initiale'!$A$2:$A$999=$A250)*('Formation Initiale'!$R$2:$R$999="Terminé"))&gt;0,"✓",IF(SUMPRODUCT(MAX(('Formation Initiale'!$A$2:$A$999=$A250)*'Formation Initiale'!$G$2:$G$999))&gt;0,TEXT(SUMPRODUCT(MAX(('Formation Initiale'!$A$2:$A$999=$A250)*'Formation Initiale'!$G$2:$G$999)),"yyyy-mm-dd"),"")))))</f>
        <v/>
      </c>
      <c r="F250" s="131" t="str">
        <f aca="false">IF($P250="✓","✓",IF(ISNUMBER($P250),TEXT($P250,"yyyy-mm-dd"),IF($A250="","",IF($D250="Lisbonne","",IF(SUMPRODUCT(('Formation Initiale'!$A$2:$A$999=$A250)*('Formation Initiale'!$R$2:$R$999="Terminé"))&gt;0,"✓",IF(SUMPRODUCT(MAX(('Formation Initiale'!$A$2:$A$999=$A250)*'Formation Initiale'!$G$2:$G$999))&gt;0,TEXT(SUMPRODUCT(MAX(('Formation Initiale'!$A$2:$A$999=$A250)*'Formation Initiale'!$G$2:$G$999)),"yyyy-mm-dd"),""))))))</f>
        <v/>
      </c>
      <c r="G250" s="131" t="str">
        <f aca="false">IF($Q250="✓","✓",IF(ISNUMBER($Q250),TEXT($Q250,"yyyy-mm-dd"),IF($A250="","",IF(SUMPRODUCT(('Agences &amp; Après-vente'!$A$2:$A$1000=$A250)*(('Agences &amp; Après-vente'!$D$2:$D$1000="Agences")+('Agences &amp; Après-vente'!$D$2:$D$1000="Agences et Après-vente"))*('Agences &amp; Après-vente'!$I$2:$I$1000="DONE"))&gt;0,"✓",IF(SUMPRODUCT(MAX(('Agences &amp; Après-vente'!$A$2:$A$1000=$A250)*(('Agences &amp; Après-vente'!$D$2:$D$1000="Agences")+('Agences &amp; Après-vente'!$D$2:$D$1000="Agences et Après-vente"))*'Agences &amp; Après-vente'!$E$2:$E$1000))&gt;0,TEXT(SUMPRODUCT(MAX(('Agences &amp; Après-vente'!$A$2:$A$1000=$A250)*(('Agences &amp; Après-vente'!$D$2:$D$1000="Agences")+('Agences &amp; Après-vente'!$D$2:$D$1000="Agences et Après-vente"))*'Agences &amp; Après-vente'!$E$2:$E$1000)),"yyyy-mm-dd"),"")))))</f>
        <v/>
      </c>
      <c r="H250" s="131" t="str">
        <f aca="false">IF($R250="✓","✓",IF(ISNUMBER($R250),TEXT($R250,"yyyy-mm-dd"),IF($A250="","",IF($D250="Lisbonne","",IF(SUMPRODUCT(('Agences &amp; Après-vente'!$A$2:$A$1000=$A250)*(('Agences &amp; Après-vente'!$D$2:$D$1000="Agences")+('Agences &amp; Après-vente'!$D$2:$D$1000="Agences et Après-vente"))*('Agences &amp; Après-vente'!$I$2:$I$1000="DONE"))&gt;0,"✓",IF(SUMPRODUCT(MAX(('Agences &amp; Après-vente'!$A$2:$A$1000=$A250)*(('Agences &amp; Après-vente'!$D$2:$D$1000="Agences")+('Agences &amp; Après-vente'!$D$2:$D$1000="Agences et Après-vente"))*'Agences &amp; Après-vente'!$E$2:$E$1000))&gt;0,TEXT(SUMPRODUCT(MAX(('Agences &amp; Après-vente'!$A$2:$A$1000=$A250)*(('Agences &amp; Après-vente'!$D$2:$D$1000="Agences")+('Agences &amp; Après-vente'!$D$2:$D$1000="Agences et Après-vente"))*'Agences &amp; Après-vente'!$E$2:$E$1000)),"yyyy-mm-dd"),""))))))</f>
        <v/>
      </c>
      <c r="I250" s="131" t="str">
        <f aca="false">IF($S250="✓","✓",IF(ISNUMBER($S250),TEXT($S250,"yyyy-mm-dd"),IF($A250="","",IF(SUMPRODUCT(('Agences &amp; Après-vente'!$A$2:$A$1000=$A250)*(('Agences &amp; Après-vente'!$D$2:$D$1000="Après-vente")+('Agences &amp; Après-vente'!$D$2:$D$1000="Agences et Après-vente"))*('Agences &amp; Après-vente'!$I$2:$I$1000="DONE"))&gt;0,"✓",IF(SUMPRODUCT(MAX(('Agences &amp; Après-vente'!$A$2:$A$1000=$A250)*(('Agences &amp; Après-vente'!$D$2:$D$1000="Après-vente")+('Agences &amp; Après-vente'!$D$2:$D$1000="Agences et Après-vente"))*'Agences &amp; Après-vente'!$E$2:$E$1000))&gt;0,TEXT(SUMPRODUCT(MAX(('Agences &amp; Après-vente'!$A$2:$A$1000=$A250)*(('Agences &amp; Après-vente'!$D$2:$D$1000="Après-vente")+('Agences &amp; Après-vente'!$D$2:$D$1000="Agences et Après-vente"))*'Agences &amp; Après-vente'!$E$2:$E$1000)),"yyyy-mm-dd"),"")))))</f>
        <v/>
      </c>
      <c r="J250" s="131" t="str">
        <f aca="false">IF($T250="✓","✓",IF(ISNUMBER($T250),TEXT($T250,"yyyy-mm-dd"),IF($A250="","",IF($D250="Lisbonne","",IF(SUMPRODUCT(('Agences &amp; Après-vente'!$A$2:$A$1000=$A250)*(('Agences &amp; Après-vente'!$D$2:$D$1000="Après-vente")+('Agences &amp; Après-vente'!$D$2:$D$1000="Agences et Après-vente"))*('Agences &amp; Après-vente'!$I$2:$I$1000="DONE"))&gt;0,"✓",IF(SUMPRODUCT(MAX(('Agences &amp; Après-vente'!$A$2:$A$1000=$A250)*(('Agences &amp; Après-vente'!$D$2:$D$1000="Après-vente")+('Agences &amp; Après-vente'!$D$2:$D$1000="Agences et Après-vente"))*'Agences &amp; Après-vente'!$E$2:$E$1000))&gt;0,TEXT(SUMPRODUCT(MAX(('Agences &amp; Après-vente'!$A$2:$A$1000=$A250)*(('Agences &amp; Après-vente'!$D$2:$D$1000="Après-vente")+('Agences &amp; Après-vente'!$D$2:$D$1000="Agences et Après-vente"))*'Agences &amp; Après-vente'!$E$2:$E$1000)),"yyyy-mm-dd"),""))))))</f>
        <v/>
      </c>
      <c r="K250" s="131" t="str">
        <f aca="false">IF($U250="✓","✓",IF(ISNUMBER($U250),TEXT($U250,"yyyy-mm-dd"),IF($D250="Lisbonne","",IF($A250="","",IF(SUMPRODUCT((Evermont!$A$2:$A$1000=$A250)*(Evermont!$Q$2:$Q$1000="Terminé"))&gt;0,"✓",IF(SUMPRODUCT(MAX((Evermont!$A$2:$A$1000=$A250)*Evermont!$F$2:$F$1000))&gt;0,TEXT(SUMPRODUCT(MAX((Evermont!$A$2:$A$1000=$A250)*Evermont!$F$2:$F$1000)),"yyyy-mm-dd"),""))))))</f>
        <v/>
      </c>
      <c r="L250" s="131" t="str">
        <f aca="false">IF($A250="","",COUNTIF(E250:K250,"✓"))</f>
        <v/>
      </c>
      <c r="M250" s="131" t="str">
        <f aca="false">IF(B250="","","Active")</f>
        <v/>
      </c>
      <c r="W250" s="120" t="str">
        <f aca="false">IF($A250="","",IF($X250&lt;&gt;"",$X250,IFERROR(INDEX('Formation Initiale'!$B$2:$B$999,MATCH($A250,'Formation Initiale'!$A$2:$A$999,0)),"Général")))</f>
        <v/>
      </c>
    </row>
    <row r="251" customFormat="false" ht="15" hidden="true" customHeight="true" outlineLevel="0" collapsed="false">
      <c r="A251" s="142" t="str">
        <f aca="false">IF(B251="","","TR"&amp;TEXT(ROW()-1,"000"))</f>
        <v/>
      </c>
      <c r="E251" s="130" t="str">
        <f aca="false">IF($O251="✓","✓",IF(ISNUMBER($O251),TEXT($O251,"yyyy-mm-dd"),IF($A251="","",IF(SUMPRODUCT(('Formation Initiale'!$A$2:$A$999=$A251)*('Formation Initiale'!$R$2:$R$999="Terminé"))&gt;0,"✓",IF(SUMPRODUCT(MAX(('Formation Initiale'!$A$2:$A$999=$A251)*'Formation Initiale'!$G$2:$G$999))&gt;0,TEXT(SUMPRODUCT(MAX(('Formation Initiale'!$A$2:$A$999=$A251)*'Formation Initiale'!$G$2:$G$999)),"yyyy-mm-dd"),"")))))</f>
        <v/>
      </c>
      <c r="F251" s="131" t="str">
        <f aca="false">IF($P251="✓","✓",IF(ISNUMBER($P251),TEXT($P251,"yyyy-mm-dd"),IF($A251="","",IF($D251="Lisbonne","",IF(SUMPRODUCT(('Formation Initiale'!$A$2:$A$999=$A251)*('Formation Initiale'!$R$2:$R$999="Terminé"))&gt;0,"✓",IF(SUMPRODUCT(MAX(('Formation Initiale'!$A$2:$A$999=$A251)*'Formation Initiale'!$G$2:$G$999))&gt;0,TEXT(SUMPRODUCT(MAX(('Formation Initiale'!$A$2:$A$999=$A251)*'Formation Initiale'!$G$2:$G$999)),"yyyy-mm-dd"),""))))))</f>
        <v/>
      </c>
      <c r="G251" s="131" t="str">
        <f aca="false">IF($Q251="✓","✓",IF(ISNUMBER($Q251),TEXT($Q251,"yyyy-mm-dd"),IF($A251="","",IF(SUMPRODUCT(('Agences &amp; Après-vente'!$A$2:$A$1000=$A251)*(('Agences &amp; Après-vente'!$D$2:$D$1000="Agences")+('Agences &amp; Après-vente'!$D$2:$D$1000="Agences et Après-vente"))*('Agences &amp; Après-vente'!$I$2:$I$1000="DONE"))&gt;0,"✓",IF(SUMPRODUCT(MAX(('Agences &amp; Après-vente'!$A$2:$A$1000=$A251)*(('Agences &amp; Après-vente'!$D$2:$D$1000="Agences")+('Agences &amp; Après-vente'!$D$2:$D$1000="Agences et Après-vente"))*'Agences &amp; Après-vente'!$E$2:$E$1000))&gt;0,TEXT(SUMPRODUCT(MAX(('Agences &amp; Après-vente'!$A$2:$A$1000=$A251)*(('Agences &amp; Après-vente'!$D$2:$D$1000="Agences")+('Agences &amp; Après-vente'!$D$2:$D$1000="Agences et Après-vente"))*'Agences &amp; Après-vente'!$E$2:$E$1000)),"yyyy-mm-dd"),"")))))</f>
        <v/>
      </c>
      <c r="H251" s="131" t="str">
        <f aca="false">IF($R251="✓","✓",IF(ISNUMBER($R251),TEXT($R251,"yyyy-mm-dd"),IF($A251="","",IF($D251="Lisbonne","",IF(SUMPRODUCT(('Agences &amp; Après-vente'!$A$2:$A$1000=$A251)*(('Agences &amp; Après-vente'!$D$2:$D$1000="Agences")+('Agences &amp; Après-vente'!$D$2:$D$1000="Agences et Après-vente"))*('Agences &amp; Après-vente'!$I$2:$I$1000="DONE"))&gt;0,"✓",IF(SUMPRODUCT(MAX(('Agences &amp; Après-vente'!$A$2:$A$1000=$A251)*(('Agences &amp; Après-vente'!$D$2:$D$1000="Agences")+('Agences &amp; Après-vente'!$D$2:$D$1000="Agences et Après-vente"))*'Agences &amp; Après-vente'!$E$2:$E$1000))&gt;0,TEXT(SUMPRODUCT(MAX(('Agences &amp; Après-vente'!$A$2:$A$1000=$A251)*(('Agences &amp; Après-vente'!$D$2:$D$1000="Agences")+('Agences &amp; Après-vente'!$D$2:$D$1000="Agences et Après-vente"))*'Agences &amp; Après-vente'!$E$2:$E$1000)),"yyyy-mm-dd"),""))))))</f>
        <v/>
      </c>
      <c r="I251" s="131" t="str">
        <f aca="false">IF($S251="✓","✓",IF(ISNUMBER($S251),TEXT($S251,"yyyy-mm-dd"),IF($A251="","",IF(SUMPRODUCT(('Agences &amp; Après-vente'!$A$2:$A$1000=$A251)*(('Agences &amp; Après-vente'!$D$2:$D$1000="Après-vente")+('Agences &amp; Après-vente'!$D$2:$D$1000="Agences et Après-vente"))*('Agences &amp; Après-vente'!$I$2:$I$1000="DONE"))&gt;0,"✓",IF(SUMPRODUCT(MAX(('Agences &amp; Après-vente'!$A$2:$A$1000=$A251)*(('Agences &amp; Après-vente'!$D$2:$D$1000="Après-vente")+('Agences &amp; Après-vente'!$D$2:$D$1000="Agences et Après-vente"))*'Agences &amp; Après-vente'!$E$2:$E$1000))&gt;0,TEXT(SUMPRODUCT(MAX(('Agences &amp; Après-vente'!$A$2:$A$1000=$A251)*(('Agences &amp; Après-vente'!$D$2:$D$1000="Après-vente")+('Agences &amp; Après-vente'!$D$2:$D$1000="Agences et Après-vente"))*'Agences &amp; Après-vente'!$E$2:$E$1000)),"yyyy-mm-dd"),"")))))</f>
        <v/>
      </c>
      <c r="J251" s="131" t="str">
        <f aca="false">IF($T251="✓","✓",IF(ISNUMBER($T251),TEXT($T251,"yyyy-mm-dd"),IF($A251="","",IF($D251="Lisbonne","",IF(SUMPRODUCT(('Agences &amp; Après-vente'!$A$2:$A$1000=$A251)*(('Agences &amp; Après-vente'!$D$2:$D$1000="Après-vente")+('Agences &amp; Après-vente'!$D$2:$D$1000="Agences et Après-vente"))*('Agences &amp; Après-vente'!$I$2:$I$1000="DONE"))&gt;0,"✓",IF(SUMPRODUCT(MAX(('Agences &amp; Après-vente'!$A$2:$A$1000=$A251)*(('Agences &amp; Après-vente'!$D$2:$D$1000="Après-vente")+('Agences &amp; Après-vente'!$D$2:$D$1000="Agences et Après-vente"))*'Agences &amp; Après-vente'!$E$2:$E$1000))&gt;0,TEXT(SUMPRODUCT(MAX(('Agences &amp; Après-vente'!$A$2:$A$1000=$A251)*(('Agences &amp; Après-vente'!$D$2:$D$1000="Après-vente")+('Agences &amp; Après-vente'!$D$2:$D$1000="Agences et Après-vente"))*'Agences &amp; Après-vente'!$E$2:$E$1000)),"yyyy-mm-dd"),""))))))</f>
        <v/>
      </c>
      <c r="K251" s="131" t="str">
        <f aca="false">IF($U251="✓","✓",IF(ISNUMBER($U251),TEXT($U251,"yyyy-mm-dd"),IF($D251="Lisbonne","",IF($A251="","",IF(SUMPRODUCT((Evermont!$A$2:$A$1000=$A251)*(Evermont!$Q$2:$Q$1000="Terminé"))&gt;0,"✓",IF(SUMPRODUCT(MAX((Evermont!$A$2:$A$1000=$A251)*Evermont!$F$2:$F$1000))&gt;0,TEXT(SUMPRODUCT(MAX((Evermont!$A$2:$A$1000=$A251)*Evermont!$F$2:$F$1000)),"yyyy-mm-dd"),""))))))</f>
        <v/>
      </c>
      <c r="L251" s="131" t="str">
        <f aca="false">IF($A251="","",COUNTIF(E251:K251,"✓"))</f>
        <v/>
      </c>
      <c r="M251" s="131" t="str">
        <f aca="false">IF(B251="","","Active")</f>
        <v/>
      </c>
      <c r="W251" s="120" t="str">
        <f aca="false">IF($A251="","",IF($X251&lt;&gt;"",$X251,IFERROR(INDEX('Formation Initiale'!$B$2:$B$999,MATCH($A251,'Formation Initiale'!$A$2:$A$999,0)),"Général")))</f>
        <v/>
      </c>
    </row>
    <row r="252" customFormat="false" ht="15" hidden="true" customHeight="true" outlineLevel="0" collapsed="false">
      <c r="A252" s="142" t="str">
        <f aca="false">IF(B252="","","TR"&amp;TEXT(ROW()-1,"000"))</f>
        <v/>
      </c>
      <c r="E252" s="130" t="str">
        <f aca="false">IF($O252="✓","✓",IF(ISNUMBER($O252),TEXT($O252,"yyyy-mm-dd"),IF($A252="","",IF(SUMPRODUCT(('Formation Initiale'!$A$2:$A$999=$A252)*('Formation Initiale'!$R$2:$R$999="Terminé"))&gt;0,"✓",IF(SUMPRODUCT(MAX(('Formation Initiale'!$A$2:$A$999=$A252)*'Formation Initiale'!$G$2:$G$999))&gt;0,TEXT(SUMPRODUCT(MAX(('Formation Initiale'!$A$2:$A$999=$A252)*'Formation Initiale'!$G$2:$G$999)),"yyyy-mm-dd"),"")))))</f>
        <v/>
      </c>
      <c r="F252" s="131" t="str">
        <f aca="false">IF($P252="✓","✓",IF(ISNUMBER($P252),TEXT($P252,"yyyy-mm-dd"),IF($A252="","",IF($D252="Lisbonne","",IF(SUMPRODUCT(('Formation Initiale'!$A$2:$A$999=$A252)*('Formation Initiale'!$R$2:$R$999="Terminé"))&gt;0,"✓",IF(SUMPRODUCT(MAX(('Formation Initiale'!$A$2:$A$999=$A252)*'Formation Initiale'!$G$2:$G$999))&gt;0,TEXT(SUMPRODUCT(MAX(('Formation Initiale'!$A$2:$A$999=$A252)*'Formation Initiale'!$G$2:$G$999)),"yyyy-mm-dd"),""))))))</f>
        <v/>
      </c>
      <c r="G252" s="131" t="str">
        <f aca="false">IF($Q252="✓","✓",IF(ISNUMBER($Q252),TEXT($Q252,"yyyy-mm-dd"),IF($A252="","",IF(SUMPRODUCT(('Agences &amp; Après-vente'!$A$2:$A$1000=$A252)*(('Agences &amp; Après-vente'!$D$2:$D$1000="Agences")+('Agences &amp; Après-vente'!$D$2:$D$1000="Agences et Après-vente"))*('Agences &amp; Après-vente'!$I$2:$I$1000="DONE"))&gt;0,"✓",IF(SUMPRODUCT(MAX(('Agences &amp; Après-vente'!$A$2:$A$1000=$A252)*(('Agences &amp; Après-vente'!$D$2:$D$1000="Agences")+('Agences &amp; Après-vente'!$D$2:$D$1000="Agences et Après-vente"))*'Agences &amp; Après-vente'!$E$2:$E$1000))&gt;0,TEXT(SUMPRODUCT(MAX(('Agences &amp; Après-vente'!$A$2:$A$1000=$A252)*(('Agences &amp; Après-vente'!$D$2:$D$1000="Agences")+('Agences &amp; Après-vente'!$D$2:$D$1000="Agences et Après-vente"))*'Agences &amp; Après-vente'!$E$2:$E$1000)),"yyyy-mm-dd"),"")))))</f>
        <v/>
      </c>
      <c r="H252" s="131" t="str">
        <f aca="false">IF($R252="✓","✓",IF(ISNUMBER($R252),TEXT($R252,"yyyy-mm-dd"),IF($A252="","",IF($D252="Lisbonne","",IF(SUMPRODUCT(('Agences &amp; Après-vente'!$A$2:$A$1000=$A252)*(('Agences &amp; Après-vente'!$D$2:$D$1000="Agences")+('Agences &amp; Après-vente'!$D$2:$D$1000="Agences et Après-vente"))*('Agences &amp; Après-vente'!$I$2:$I$1000="DONE"))&gt;0,"✓",IF(SUMPRODUCT(MAX(('Agences &amp; Après-vente'!$A$2:$A$1000=$A252)*(('Agences &amp; Après-vente'!$D$2:$D$1000="Agences")+('Agences &amp; Après-vente'!$D$2:$D$1000="Agences et Après-vente"))*'Agences &amp; Après-vente'!$E$2:$E$1000))&gt;0,TEXT(SUMPRODUCT(MAX(('Agences &amp; Après-vente'!$A$2:$A$1000=$A252)*(('Agences &amp; Après-vente'!$D$2:$D$1000="Agences")+('Agences &amp; Après-vente'!$D$2:$D$1000="Agences et Après-vente"))*'Agences &amp; Après-vente'!$E$2:$E$1000)),"yyyy-mm-dd"),""))))))</f>
        <v/>
      </c>
      <c r="I252" s="131" t="str">
        <f aca="false">IF($S252="✓","✓",IF(ISNUMBER($S252),TEXT($S252,"yyyy-mm-dd"),IF($A252="","",IF(SUMPRODUCT(('Agences &amp; Après-vente'!$A$2:$A$1000=$A252)*(('Agences &amp; Après-vente'!$D$2:$D$1000="Après-vente")+('Agences &amp; Après-vente'!$D$2:$D$1000="Agences et Après-vente"))*('Agences &amp; Après-vente'!$I$2:$I$1000="DONE"))&gt;0,"✓",IF(SUMPRODUCT(MAX(('Agences &amp; Après-vente'!$A$2:$A$1000=$A252)*(('Agences &amp; Après-vente'!$D$2:$D$1000="Après-vente")+('Agences &amp; Après-vente'!$D$2:$D$1000="Agences et Après-vente"))*'Agences &amp; Après-vente'!$E$2:$E$1000))&gt;0,TEXT(SUMPRODUCT(MAX(('Agences &amp; Après-vente'!$A$2:$A$1000=$A252)*(('Agences &amp; Après-vente'!$D$2:$D$1000="Après-vente")+('Agences &amp; Après-vente'!$D$2:$D$1000="Agences et Après-vente"))*'Agences &amp; Après-vente'!$E$2:$E$1000)),"yyyy-mm-dd"),"")))))</f>
        <v/>
      </c>
      <c r="J252" s="131" t="str">
        <f aca="false">IF($T252="✓","✓",IF(ISNUMBER($T252),TEXT($T252,"yyyy-mm-dd"),IF($A252="","",IF($D252="Lisbonne","",IF(SUMPRODUCT(('Agences &amp; Après-vente'!$A$2:$A$1000=$A252)*(('Agences &amp; Après-vente'!$D$2:$D$1000="Après-vente")+('Agences &amp; Après-vente'!$D$2:$D$1000="Agences et Après-vente"))*('Agences &amp; Après-vente'!$I$2:$I$1000="DONE"))&gt;0,"✓",IF(SUMPRODUCT(MAX(('Agences &amp; Après-vente'!$A$2:$A$1000=$A252)*(('Agences &amp; Après-vente'!$D$2:$D$1000="Après-vente")+('Agences &amp; Après-vente'!$D$2:$D$1000="Agences et Après-vente"))*'Agences &amp; Après-vente'!$E$2:$E$1000))&gt;0,TEXT(SUMPRODUCT(MAX(('Agences &amp; Après-vente'!$A$2:$A$1000=$A252)*(('Agences &amp; Après-vente'!$D$2:$D$1000="Après-vente")+('Agences &amp; Après-vente'!$D$2:$D$1000="Agences et Après-vente"))*'Agences &amp; Après-vente'!$E$2:$E$1000)),"yyyy-mm-dd"),""))))))</f>
        <v/>
      </c>
      <c r="K252" s="131" t="str">
        <f aca="false">IF($U252="✓","✓",IF(ISNUMBER($U252),TEXT($U252,"yyyy-mm-dd"),IF($D252="Lisbonne","",IF($A252="","",IF(SUMPRODUCT((Evermont!$A$2:$A$1000=$A252)*(Evermont!$Q$2:$Q$1000="Terminé"))&gt;0,"✓",IF(SUMPRODUCT(MAX((Evermont!$A$2:$A$1000=$A252)*Evermont!$F$2:$F$1000))&gt;0,TEXT(SUMPRODUCT(MAX((Evermont!$A$2:$A$1000=$A252)*Evermont!$F$2:$F$1000)),"yyyy-mm-dd"),""))))))</f>
        <v/>
      </c>
      <c r="L252" s="131" t="str">
        <f aca="false">IF($A252="","",COUNTIF(E252:K252,"✓"))</f>
        <v/>
      </c>
      <c r="M252" s="131" t="str">
        <f aca="false">IF(B252="","","Active")</f>
        <v/>
      </c>
      <c r="W252" s="120" t="str">
        <f aca="false">IF($A252="","",IF($X252&lt;&gt;"",$X252,IFERROR(INDEX('Formation Initiale'!$B$2:$B$999,MATCH($A252,'Formation Initiale'!$A$2:$A$999,0)),"Général")))</f>
        <v/>
      </c>
    </row>
    <row r="253" customFormat="false" ht="15" hidden="true" customHeight="true" outlineLevel="0" collapsed="false">
      <c r="A253" s="142" t="str">
        <f aca="false">IF(B253="","","TR"&amp;TEXT(ROW()-1,"000"))</f>
        <v/>
      </c>
      <c r="E253" s="130" t="str">
        <f aca="false">IF($O253="✓","✓",IF(ISNUMBER($O253),TEXT($O253,"yyyy-mm-dd"),IF($A253="","",IF(SUMPRODUCT(('Formation Initiale'!$A$2:$A$999=$A253)*('Formation Initiale'!$R$2:$R$999="Terminé"))&gt;0,"✓",IF(SUMPRODUCT(MAX(('Formation Initiale'!$A$2:$A$999=$A253)*'Formation Initiale'!$G$2:$G$999))&gt;0,TEXT(SUMPRODUCT(MAX(('Formation Initiale'!$A$2:$A$999=$A253)*'Formation Initiale'!$G$2:$G$999)),"yyyy-mm-dd"),"")))))</f>
        <v/>
      </c>
      <c r="F253" s="131" t="str">
        <f aca="false">IF($P253="✓","✓",IF(ISNUMBER($P253),TEXT($P253,"yyyy-mm-dd"),IF($A253="","",IF($D253="Lisbonne","",IF(SUMPRODUCT(('Formation Initiale'!$A$2:$A$999=$A253)*('Formation Initiale'!$R$2:$R$999="Terminé"))&gt;0,"✓",IF(SUMPRODUCT(MAX(('Formation Initiale'!$A$2:$A$999=$A253)*'Formation Initiale'!$G$2:$G$999))&gt;0,TEXT(SUMPRODUCT(MAX(('Formation Initiale'!$A$2:$A$999=$A253)*'Formation Initiale'!$G$2:$G$999)),"yyyy-mm-dd"),""))))))</f>
        <v/>
      </c>
      <c r="G253" s="131" t="str">
        <f aca="false">IF($Q253="✓","✓",IF(ISNUMBER($Q253),TEXT($Q253,"yyyy-mm-dd"),IF($A253="","",IF(SUMPRODUCT(('Agences &amp; Après-vente'!$A$2:$A$1000=$A253)*(('Agences &amp; Après-vente'!$D$2:$D$1000="Agences")+('Agences &amp; Après-vente'!$D$2:$D$1000="Agences et Après-vente"))*('Agences &amp; Après-vente'!$I$2:$I$1000="DONE"))&gt;0,"✓",IF(SUMPRODUCT(MAX(('Agences &amp; Après-vente'!$A$2:$A$1000=$A253)*(('Agences &amp; Après-vente'!$D$2:$D$1000="Agences")+('Agences &amp; Après-vente'!$D$2:$D$1000="Agences et Après-vente"))*'Agences &amp; Après-vente'!$E$2:$E$1000))&gt;0,TEXT(SUMPRODUCT(MAX(('Agences &amp; Après-vente'!$A$2:$A$1000=$A253)*(('Agences &amp; Après-vente'!$D$2:$D$1000="Agences")+('Agences &amp; Après-vente'!$D$2:$D$1000="Agences et Après-vente"))*'Agences &amp; Après-vente'!$E$2:$E$1000)),"yyyy-mm-dd"),"")))))</f>
        <v/>
      </c>
      <c r="H253" s="131" t="str">
        <f aca="false">IF($R253="✓","✓",IF(ISNUMBER($R253),TEXT($R253,"yyyy-mm-dd"),IF($A253="","",IF($D253="Lisbonne","",IF(SUMPRODUCT(('Agences &amp; Après-vente'!$A$2:$A$1000=$A253)*(('Agences &amp; Après-vente'!$D$2:$D$1000="Agences")+('Agences &amp; Après-vente'!$D$2:$D$1000="Agences et Après-vente"))*('Agences &amp; Après-vente'!$I$2:$I$1000="DONE"))&gt;0,"✓",IF(SUMPRODUCT(MAX(('Agences &amp; Après-vente'!$A$2:$A$1000=$A253)*(('Agences &amp; Après-vente'!$D$2:$D$1000="Agences")+('Agences &amp; Après-vente'!$D$2:$D$1000="Agences et Après-vente"))*'Agences &amp; Après-vente'!$E$2:$E$1000))&gt;0,TEXT(SUMPRODUCT(MAX(('Agences &amp; Après-vente'!$A$2:$A$1000=$A253)*(('Agences &amp; Après-vente'!$D$2:$D$1000="Agences")+('Agences &amp; Après-vente'!$D$2:$D$1000="Agences et Après-vente"))*'Agences &amp; Après-vente'!$E$2:$E$1000)),"yyyy-mm-dd"),""))))))</f>
        <v/>
      </c>
      <c r="I253" s="131" t="str">
        <f aca="false">IF($S253="✓","✓",IF(ISNUMBER($S253),TEXT($S253,"yyyy-mm-dd"),IF($A253="","",IF(SUMPRODUCT(('Agences &amp; Après-vente'!$A$2:$A$1000=$A253)*(('Agences &amp; Après-vente'!$D$2:$D$1000="Après-vente")+('Agences &amp; Après-vente'!$D$2:$D$1000="Agences et Après-vente"))*('Agences &amp; Après-vente'!$I$2:$I$1000="DONE"))&gt;0,"✓",IF(SUMPRODUCT(MAX(('Agences &amp; Après-vente'!$A$2:$A$1000=$A253)*(('Agences &amp; Après-vente'!$D$2:$D$1000="Après-vente")+('Agences &amp; Après-vente'!$D$2:$D$1000="Agences et Après-vente"))*'Agences &amp; Après-vente'!$E$2:$E$1000))&gt;0,TEXT(SUMPRODUCT(MAX(('Agences &amp; Après-vente'!$A$2:$A$1000=$A253)*(('Agences &amp; Après-vente'!$D$2:$D$1000="Après-vente")+('Agences &amp; Après-vente'!$D$2:$D$1000="Agences et Après-vente"))*'Agences &amp; Après-vente'!$E$2:$E$1000)),"yyyy-mm-dd"),"")))))</f>
        <v/>
      </c>
      <c r="J253" s="131" t="str">
        <f aca="false">IF($T253="✓","✓",IF(ISNUMBER($T253),TEXT($T253,"yyyy-mm-dd"),IF($A253="","",IF($D253="Lisbonne","",IF(SUMPRODUCT(('Agences &amp; Après-vente'!$A$2:$A$1000=$A253)*(('Agences &amp; Après-vente'!$D$2:$D$1000="Après-vente")+('Agences &amp; Après-vente'!$D$2:$D$1000="Agences et Après-vente"))*('Agences &amp; Après-vente'!$I$2:$I$1000="DONE"))&gt;0,"✓",IF(SUMPRODUCT(MAX(('Agences &amp; Après-vente'!$A$2:$A$1000=$A253)*(('Agences &amp; Après-vente'!$D$2:$D$1000="Après-vente")+('Agences &amp; Après-vente'!$D$2:$D$1000="Agences et Après-vente"))*'Agences &amp; Après-vente'!$E$2:$E$1000))&gt;0,TEXT(SUMPRODUCT(MAX(('Agences &amp; Après-vente'!$A$2:$A$1000=$A253)*(('Agences &amp; Après-vente'!$D$2:$D$1000="Après-vente")+('Agences &amp; Après-vente'!$D$2:$D$1000="Agences et Après-vente"))*'Agences &amp; Après-vente'!$E$2:$E$1000)),"yyyy-mm-dd"),""))))))</f>
        <v/>
      </c>
      <c r="K253" s="131" t="str">
        <f aca="false">IF($U253="✓","✓",IF(ISNUMBER($U253),TEXT($U253,"yyyy-mm-dd"),IF($D253="Lisbonne","",IF($A253="","",IF(SUMPRODUCT((Evermont!$A$2:$A$1000=$A253)*(Evermont!$Q$2:$Q$1000="Terminé"))&gt;0,"✓",IF(SUMPRODUCT(MAX((Evermont!$A$2:$A$1000=$A253)*Evermont!$F$2:$F$1000))&gt;0,TEXT(SUMPRODUCT(MAX((Evermont!$A$2:$A$1000=$A253)*Evermont!$F$2:$F$1000)),"yyyy-mm-dd"),""))))))</f>
        <v/>
      </c>
      <c r="L253" s="131" t="str">
        <f aca="false">IF($A253="","",COUNTIF(E253:K253,"✓"))</f>
        <v/>
      </c>
      <c r="M253" s="131" t="str">
        <f aca="false">IF(B253="","","Active")</f>
        <v/>
      </c>
      <c r="W253" s="120" t="str">
        <f aca="false">IF($A253="","",IF($X253&lt;&gt;"",$X253,IFERROR(INDEX('Formation Initiale'!$B$2:$B$999,MATCH($A253,'Formation Initiale'!$A$2:$A$999,0)),"Général")))</f>
        <v/>
      </c>
    </row>
    <row r="254" customFormat="false" ht="15" hidden="true" customHeight="true" outlineLevel="0" collapsed="false">
      <c r="A254" s="142" t="str">
        <f aca="false">IF(B254="","","TR"&amp;TEXT(ROW()-1,"000"))</f>
        <v/>
      </c>
      <c r="E254" s="130" t="str">
        <f aca="false">IF($O254="✓","✓",IF(ISNUMBER($O254),TEXT($O254,"yyyy-mm-dd"),IF($A254="","",IF(SUMPRODUCT(('Formation Initiale'!$A$2:$A$999=$A254)*('Formation Initiale'!$R$2:$R$999="Terminé"))&gt;0,"✓",IF(SUMPRODUCT(MAX(('Formation Initiale'!$A$2:$A$999=$A254)*'Formation Initiale'!$G$2:$G$999))&gt;0,TEXT(SUMPRODUCT(MAX(('Formation Initiale'!$A$2:$A$999=$A254)*'Formation Initiale'!$G$2:$G$999)),"yyyy-mm-dd"),"")))))</f>
        <v/>
      </c>
      <c r="F254" s="131" t="str">
        <f aca="false">IF($P254="✓","✓",IF(ISNUMBER($P254),TEXT($P254,"yyyy-mm-dd"),IF($A254="","",IF($D254="Lisbonne","",IF(SUMPRODUCT(('Formation Initiale'!$A$2:$A$999=$A254)*('Formation Initiale'!$R$2:$R$999="Terminé"))&gt;0,"✓",IF(SUMPRODUCT(MAX(('Formation Initiale'!$A$2:$A$999=$A254)*'Formation Initiale'!$G$2:$G$999))&gt;0,TEXT(SUMPRODUCT(MAX(('Formation Initiale'!$A$2:$A$999=$A254)*'Formation Initiale'!$G$2:$G$999)),"yyyy-mm-dd"),""))))))</f>
        <v/>
      </c>
      <c r="G254" s="131" t="str">
        <f aca="false">IF($Q254="✓","✓",IF(ISNUMBER($Q254),TEXT($Q254,"yyyy-mm-dd"),IF($A254="","",IF(SUMPRODUCT(('Agences &amp; Après-vente'!$A$2:$A$1000=$A254)*(('Agences &amp; Après-vente'!$D$2:$D$1000="Agences")+('Agences &amp; Après-vente'!$D$2:$D$1000="Agences et Après-vente"))*('Agences &amp; Après-vente'!$I$2:$I$1000="DONE"))&gt;0,"✓",IF(SUMPRODUCT(MAX(('Agences &amp; Après-vente'!$A$2:$A$1000=$A254)*(('Agences &amp; Après-vente'!$D$2:$D$1000="Agences")+('Agences &amp; Après-vente'!$D$2:$D$1000="Agences et Après-vente"))*'Agences &amp; Après-vente'!$E$2:$E$1000))&gt;0,TEXT(SUMPRODUCT(MAX(('Agences &amp; Après-vente'!$A$2:$A$1000=$A254)*(('Agences &amp; Après-vente'!$D$2:$D$1000="Agences")+('Agences &amp; Après-vente'!$D$2:$D$1000="Agences et Après-vente"))*'Agences &amp; Après-vente'!$E$2:$E$1000)),"yyyy-mm-dd"),"")))))</f>
        <v/>
      </c>
      <c r="H254" s="131" t="str">
        <f aca="false">IF($R254="✓","✓",IF(ISNUMBER($R254),TEXT($R254,"yyyy-mm-dd"),IF($A254="","",IF($D254="Lisbonne","",IF(SUMPRODUCT(('Agences &amp; Après-vente'!$A$2:$A$1000=$A254)*(('Agences &amp; Après-vente'!$D$2:$D$1000="Agences")+('Agences &amp; Après-vente'!$D$2:$D$1000="Agences et Après-vente"))*('Agences &amp; Après-vente'!$I$2:$I$1000="DONE"))&gt;0,"✓",IF(SUMPRODUCT(MAX(('Agences &amp; Après-vente'!$A$2:$A$1000=$A254)*(('Agences &amp; Après-vente'!$D$2:$D$1000="Agences")+('Agences &amp; Après-vente'!$D$2:$D$1000="Agences et Après-vente"))*'Agences &amp; Après-vente'!$E$2:$E$1000))&gt;0,TEXT(SUMPRODUCT(MAX(('Agences &amp; Après-vente'!$A$2:$A$1000=$A254)*(('Agences &amp; Après-vente'!$D$2:$D$1000="Agences")+('Agences &amp; Après-vente'!$D$2:$D$1000="Agences et Après-vente"))*'Agences &amp; Après-vente'!$E$2:$E$1000)),"yyyy-mm-dd"),""))))))</f>
        <v/>
      </c>
      <c r="I254" s="131" t="str">
        <f aca="false">IF($S254="✓","✓",IF(ISNUMBER($S254),TEXT($S254,"yyyy-mm-dd"),IF($A254="","",IF(SUMPRODUCT(('Agences &amp; Après-vente'!$A$2:$A$1000=$A254)*(('Agences &amp; Après-vente'!$D$2:$D$1000="Après-vente")+('Agences &amp; Après-vente'!$D$2:$D$1000="Agences et Après-vente"))*('Agences &amp; Après-vente'!$I$2:$I$1000="DONE"))&gt;0,"✓",IF(SUMPRODUCT(MAX(('Agences &amp; Après-vente'!$A$2:$A$1000=$A254)*(('Agences &amp; Après-vente'!$D$2:$D$1000="Après-vente")+('Agences &amp; Après-vente'!$D$2:$D$1000="Agences et Après-vente"))*'Agences &amp; Après-vente'!$E$2:$E$1000))&gt;0,TEXT(SUMPRODUCT(MAX(('Agences &amp; Après-vente'!$A$2:$A$1000=$A254)*(('Agences &amp; Après-vente'!$D$2:$D$1000="Après-vente")+('Agences &amp; Après-vente'!$D$2:$D$1000="Agences et Après-vente"))*'Agences &amp; Après-vente'!$E$2:$E$1000)),"yyyy-mm-dd"),"")))))</f>
        <v/>
      </c>
      <c r="J254" s="131" t="str">
        <f aca="false">IF($T254="✓","✓",IF(ISNUMBER($T254),TEXT($T254,"yyyy-mm-dd"),IF($A254="","",IF($D254="Lisbonne","",IF(SUMPRODUCT(('Agences &amp; Après-vente'!$A$2:$A$1000=$A254)*(('Agences &amp; Après-vente'!$D$2:$D$1000="Après-vente")+('Agences &amp; Après-vente'!$D$2:$D$1000="Agences et Après-vente"))*('Agences &amp; Après-vente'!$I$2:$I$1000="DONE"))&gt;0,"✓",IF(SUMPRODUCT(MAX(('Agences &amp; Après-vente'!$A$2:$A$1000=$A254)*(('Agences &amp; Après-vente'!$D$2:$D$1000="Après-vente")+('Agences &amp; Après-vente'!$D$2:$D$1000="Agences et Après-vente"))*'Agences &amp; Après-vente'!$E$2:$E$1000))&gt;0,TEXT(SUMPRODUCT(MAX(('Agences &amp; Après-vente'!$A$2:$A$1000=$A254)*(('Agences &amp; Après-vente'!$D$2:$D$1000="Après-vente")+('Agences &amp; Après-vente'!$D$2:$D$1000="Agences et Après-vente"))*'Agences &amp; Après-vente'!$E$2:$E$1000)),"yyyy-mm-dd"),""))))))</f>
        <v/>
      </c>
      <c r="K254" s="131" t="str">
        <f aca="false">IF($U254="✓","✓",IF(ISNUMBER($U254),TEXT($U254,"yyyy-mm-dd"),IF($D254="Lisbonne","",IF($A254="","",IF(SUMPRODUCT((Evermont!$A$2:$A$1000=$A254)*(Evermont!$Q$2:$Q$1000="Terminé"))&gt;0,"✓",IF(SUMPRODUCT(MAX((Evermont!$A$2:$A$1000=$A254)*Evermont!$F$2:$F$1000))&gt;0,TEXT(SUMPRODUCT(MAX((Evermont!$A$2:$A$1000=$A254)*Evermont!$F$2:$F$1000)),"yyyy-mm-dd"),""))))))</f>
        <v/>
      </c>
      <c r="L254" s="131" t="str">
        <f aca="false">IF($A254="","",COUNTIF(E254:K254,"✓"))</f>
        <v/>
      </c>
      <c r="M254" s="131" t="str">
        <f aca="false">IF(B254="","","Active")</f>
        <v/>
      </c>
      <c r="W254" s="120" t="str">
        <f aca="false">IF($A254="","",IF($X254&lt;&gt;"",$X254,IFERROR(INDEX('Formation Initiale'!$B$2:$B$999,MATCH($A254,'Formation Initiale'!$A$2:$A$999,0)),"Général")))</f>
        <v/>
      </c>
    </row>
    <row r="255" customFormat="false" ht="15" hidden="true" customHeight="true" outlineLevel="0" collapsed="false">
      <c r="A255" s="142" t="str">
        <f aca="false">IF(B255="","","TR"&amp;TEXT(ROW()-1,"000"))</f>
        <v/>
      </c>
      <c r="E255" s="130" t="str">
        <f aca="false">IF($O255="✓","✓",IF(ISNUMBER($O255),TEXT($O255,"yyyy-mm-dd"),IF($A255="","",IF(SUMPRODUCT(('Formation Initiale'!$A$2:$A$999=$A255)*('Formation Initiale'!$R$2:$R$999="Terminé"))&gt;0,"✓",IF(SUMPRODUCT(MAX(('Formation Initiale'!$A$2:$A$999=$A255)*'Formation Initiale'!$G$2:$G$999))&gt;0,TEXT(SUMPRODUCT(MAX(('Formation Initiale'!$A$2:$A$999=$A255)*'Formation Initiale'!$G$2:$G$999)),"yyyy-mm-dd"),"")))))</f>
        <v/>
      </c>
      <c r="F255" s="131" t="str">
        <f aca="false">IF($P255="✓","✓",IF(ISNUMBER($P255),TEXT($P255,"yyyy-mm-dd"),IF($A255="","",IF($D255="Lisbonne","",IF(SUMPRODUCT(('Formation Initiale'!$A$2:$A$999=$A255)*('Formation Initiale'!$R$2:$R$999="Terminé"))&gt;0,"✓",IF(SUMPRODUCT(MAX(('Formation Initiale'!$A$2:$A$999=$A255)*'Formation Initiale'!$G$2:$G$999))&gt;0,TEXT(SUMPRODUCT(MAX(('Formation Initiale'!$A$2:$A$999=$A255)*'Formation Initiale'!$G$2:$G$999)),"yyyy-mm-dd"),""))))))</f>
        <v/>
      </c>
      <c r="G255" s="131" t="str">
        <f aca="false">IF($Q255="✓","✓",IF(ISNUMBER($Q255),TEXT($Q255,"yyyy-mm-dd"),IF($A255="","",IF(SUMPRODUCT(('Agences &amp; Après-vente'!$A$2:$A$1000=$A255)*(('Agences &amp; Après-vente'!$D$2:$D$1000="Agences")+('Agences &amp; Après-vente'!$D$2:$D$1000="Agences et Après-vente"))*('Agences &amp; Après-vente'!$I$2:$I$1000="DONE"))&gt;0,"✓",IF(SUMPRODUCT(MAX(('Agences &amp; Après-vente'!$A$2:$A$1000=$A255)*(('Agences &amp; Après-vente'!$D$2:$D$1000="Agences")+('Agences &amp; Après-vente'!$D$2:$D$1000="Agences et Après-vente"))*'Agences &amp; Après-vente'!$E$2:$E$1000))&gt;0,TEXT(SUMPRODUCT(MAX(('Agences &amp; Après-vente'!$A$2:$A$1000=$A255)*(('Agences &amp; Après-vente'!$D$2:$D$1000="Agences")+('Agences &amp; Après-vente'!$D$2:$D$1000="Agences et Après-vente"))*'Agences &amp; Après-vente'!$E$2:$E$1000)),"yyyy-mm-dd"),"")))))</f>
        <v/>
      </c>
      <c r="H255" s="131" t="str">
        <f aca="false">IF($R255="✓","✓",IF(ISNUMBER($R255),TEXT($R255,"yyyy-mm-dd"),IF($A255="","",IF($D255="Lisbonne","",IF(SUMPRODUCT(('Agences &amp; Après-vente'!$A$2:$A$1000=$A255)*(('Agences &amp; Après-vente'!$D$2:$D$1000="Agences")+('Agences &amp; Après-vente'!$D$2:$D$1000="Agences et Après-vente"))*('Agences &amp; Après-vente'!$I$2:$I$1000="DONE"))&gt;0,"✓",IF(SUMPRODUCT(MAX(('Agences &amp; Après-vente'!$A$2:$A$1000=$A255)*(('Agences &amp; Après-vente'!$D$2:$D$1000="Agences")+('Agences &amp; Après-vente'!$D$2:$D$1000="Agences et Après-vente"))*'Agences &amp; Après-vente'!$E$2:$E$1000))&gt;0,TEXT(SUMPRODUCT(MAX(('Agences &amp; Après-vente'!$A$2:$A$1000=$A255)*(('Agences &amp; Après-vente'!$D$2:$D$1000="Agences")+('Agences &amp; Après-vente'!$D$2:$D$1000="Agences et Après-vente"))*'Agences &amp; Après-vente'!$E$2:$E$1000)),"yyyy-mm-dd"),""))))))</f>
        <v/>
      </c>
      <c r="I255" s="131" t="str">
        <f aca="false">IF($S255="✓","✓",IF(ISNUMBER($S255),TEXT($S255,"yyyy-mm-dd"),IF($A255="","",IF(SUMPRODUCT(('Agences &amp; Après-vente'!$A$2:$A$1000=$A255)*(('Agences &amp; Après-vente'!$D$2:$D$1000="Après-vente")+('Agences &amp; Après-vente'!$D$2:$D$1000="Agences et Après-vente"))*('Agences &amp; Après-vente'!$I$2:$I$1000="DONE"))&gt;0,"✓",IF(SUMPRODUCT(MAX(('Agences &amp; Après-vente'!$A$2:$A$1000=$A255)*(('Agences &amp; Après-vente'!$D$2:$D$1000="Après-vente")+('Agences &amp; Après-vente'!$D$2:$D$1000="Agences et Après-vente"))*'Agences &amp; Après-vente'!$E$2:$E$1000))&gt;0,TEXT(SUMPRODUCT(MAX(('Agences &amp; Après-vente'!$A$2:$A$1000=$A255)*(('Agences &amp; Après-vente'!$D$2:$D$1000="Après-vente")+('Agences &amp; Après-vente'!$D$2:$D$1000="Agences et Après-vente"))*'Agences &amp; Après-vente'!$E$2:$E$1000)),"yyyy-mm-dd"),"")))))</f>
        <v/>
      </c>
      <c r="J255" s="131" t="str">
        <f aca="false">IF($T255="✓","✓",IF(ISNUMBER($T255),TEXT($T255,"yyyy-mm-dd"),IF($A255="","",IF($D255="Lisbonne","",IF(SUMPRODUCT(('Agences &amp; Après-vente'!$A$2:$A$1000=$A255)*(('Agences &amp; Après-vente'!$D$2:$D$1000="Après-vente")+('Agences &amp; Après-vente'!$D$2:$D$1000="Agences et Après-vente"))*('Agences &amp; Après-vente'!$I$2:$I$1000="DONE"))&gt;0,"✓",IF(SUMPRODUCT(MAX(('Agences &amp; Après-vente'!$A$2:$A$1000=$A255)*(('Agences &amp; Après-vente'!$D$2:$D$1000="Après-vente")+('Agences &amp; Après-vente'!$D$2:$D$1000="Agences et Après-vente"))*'Agences &amp; Après-vente'!$E$2:$E$1000))&gt;0,TEXT(SUMPRODUCT(MAX(('Agences &amp; Après-vente'!$A$2:$A$1000=$A255)*(('Agences &amp; Après-vente'!$D$2:$D$1000="Après-vente")+('Agences &amp; Après-vente'!$D$2:$D$1000="Agences et Après-vente"))*'Agences &amp; Après-vente'!$E$2:$E$1000)),"yyyy-mm-dd"),""))))))</f>
        <v/>
      </c>
      <c r="K255" s="131" t="str">
        <f aca="false">IF($U255="✓","✓",IF(ISNUMBER($U255),TEXT($U255,"yyyy-mm-dd"),IF($D255="Lisbonne","",IF($A255="","",IF(SUMPRODUCT((Evermont!$A$2:$A$1000=$A255)*(Evermont!$Q$2:$Q$1000="Terminé"))&gt;0,"✓",IF(SUMPRODUCT(MAX((Evermont!$A$2:$A$1000=$A255)*Evermont!$F$2:$F$1000))&gt;0,TEXT(SUMPRODUCT(MAX((Evermont!$A$2:$A$1000=$A255)*Evermont!$F$2:$F$1000)),"yyyy-mm-dd"),""))))))</f>
        <v/>
      </c>
      <c r="L255" s="131" t="str">
        <f aca="false">IF($A255="","",COUNTIF(E255:K255,"✓"))</f>
        <v/>
      </c>
      <c r="M255" s="131" t="str">
        <f aca="false">IF(B255="","","Active")</f>
        <v/>
      </c>
      <c r="W255" s="120" t="str">
        <f aca="false">IF($A255="","",IF($X255&lt;&gt;"",$X255,IFERROR(INDEX('Formation Initiale'!$B$2:$B$999,MATCH($A255,'Formation Initiale'!$A$2:$A$999,0)),"Général")))</f>
        <v/>
      </c>
    </row>
    <row r="256" customFormat="false" ht="15" hidden="true" customHeight="true" outlineLevel="0" collapsed="false">
      <c r="A256" s="142" t="str">
        <f aca="false">IF(B256="","","TR"&amp;TEXT(ROW()-1,"000"))</f>
        <v/>
      </c>
      <c r="E256" s="130" t="str">
        <f aca="false">IF($O256="✓","✓",IF(ISNUMBER($O256),TEXT($O256,"yyyy-mm-dd"),IF($A256="","",IF(SUMPRODUCT(('Formation Initiale'!$A$2:$A$999=$A256)*('Formation Initiale'!$R$2:$R$999="Terminé"))&gt;0,"✓",IF(SUMPRODUCT(MAX(('Formation Initiale'!$A$2:$A$999=$A256)*'Formation Initiale'!$G$2:$G$999))&gt;0,TEXT(SUMPRODUCT(MAX(('Formation Initiale'!$A$2:$A$999=$A256)*'Formation Initiale'!$G$2:$G$999)),"yyyy-mm-dd"),"")))))</f>
        <v/>
      </c>
      <c r="F256" s="131" t="str">
        <f aca="false">IF($P256="✓","✓",IF(ISNUMBER($P256),TEXT($P256,"yyyy-mm-dd"),IF($A256="","",IF($D256="Lisbonne","",IF(SUMPRODUCT(('Formation Initiale'!$A$2:$A$999=$A256)*('Formation Initiale'!$R$2:$R$999="Terminé"))&gt;0,"✓",IF(SUMPRODUCT(MAX(('Formation Initiale'!$A$2:$A$999=$A256)*'Formation Initiale'!$G$2:$G$999))&gt;0,TEXT(SUMPRODUCT(MAX(('Formation Initiale'!$A$2:$A$999=$A256)*'Formation Initiale'!$G$2:$G$999)),"yyyy-mm-dd"),""))))))</f>
        <v/>
      </c>
      <c r="G256" s="131" t="str">
        <f aca="false">IF($Q256="✓","✓",IF(ISNUMBER($Q256),TEXT($Q256,"yyyy-mm-dd"),IF($A256="","",IF(SUMPRODUCT(('Agences &amp; Après-vente'!$A$2:$A$1000=$A256)*(('Agences &amp; Après-vente'!$D$2:$D$1000="Agences")+('Agences &amp; Après-vente'!$D$2:$D$1000="Agences et Après-vente"))*('Agences &amp; Après-vente'!$I$2:$I$1000="DONE"))&gt;0,"✓",IF(SUMPRODUCT(MAX(('Agences &amp; Après-vente'!$A$2:$A$1000=$A256)*(('Agences &amp; Après-vente'!$D$2:$D$1000="Agences")+('Agences &amp; Après-vente'!$D$2:$D$1000="Agences et Après-vente"))*'Agences &amp; Après-vente'!$E$2:$E$1000))&gt;0,TEXT(SUMPRODUCT(MAX(('Agences &amp; Après-vente'!$A$2:$A$1000=$A256)*(('Agences &amp; Après-vente'!$D$2:$D$1000="Agences")+('Agences &amp; Après-vente'!$D$2:$D$1000="Agences et Après-vente"))*'Agences &amp; Après-vente'!$E$2:$E$1000)),"yyyy-mm-dd"),"")))))</f>
        <v/>
      </c>
      <c r="H256" s="131" t="str">
        <f aca="false">IF($R256="✓","✓",IF(ISNUMBER($R256),TEXT($R256,"yyyy-mm-dd"),IF($A256="","",IF($D256="Lisbonne","",IF(SUMPRODUCT(('Agences &amp; Après-vente'!$A$2:$A$1000=$A256)*(('Agences &amp; Après-vente'!$D$2:$D$1000="Agences")+('Agences &amp; Après-vente'!$D$2:$D$1000="Agences et Après-vente"))*('Agences &amp; Après-vente'!$I$2:$I$1000="DONE"))&gt;0,"✓",IF(SUMPRODUCT(MAX(('Agences &amp; Après-vente'!$A$2:$A$1000=$A256)*(('Agences &amp; Après-vente'!$D$2:$D$1000="Agences")+('Agences &amp; Après-vente'!$D$2:$D$1000="Agences et Après-vente"))*'Agences &amp; Après-vente'!$E$2:$E$1000))&gt;0,TEXT(SUMPRODUCT(MAX(('Agences &amp; Après-vente'!$A$2:$A$1000=$A256)*(('Agences &amp; Après-vente'!$D$2:$D$1000="Agences")+('Agences &amp; Après-vente'!$D$2:$D$1000="Agences et Après-vente"))*'Agences &amp; Après-vente'!$E$2:$E$1000)),"yyyy-mm-dd"),""))))))</f>
        <v/>
      </c>
      <c r="I256" s="131" t="str">
        <f aca="false">IF($S256="✓","✓",IF(ISNUMBER($S256),TEXT($S256,"yyyy-mm-dd"),IF($A256="","",IF(SUMPRODUCT(('Agences &amp; Après-vente'!$A$2:$A$1000=$A256)*(('Agences &amp; Après-vente'!$D$2:$D$1000="Après-vente")+('Agences &amp; Après-vente'!$D$2:$D$1000="Agences et Après-vente"))*('Agences &amp; Après-vente'!$I$2:$I$1000="DONE"))&gt;0,"✓",IF(SUMPRODUCT(MAX(('Agences &amp; Après-vente'!$A$2:$A$1000=$A256)*(('Agences &amp; Après-vente'!$D$2:$D$1000="Après-vente")+('Agences &amp; Après-vente'!$D$2:$D$1000="Agences et Après-vente"))*'Agences &amp; Après-vente'!$E$2:$E$1000))&gt;0,TEXT(SUMPRODUCT(MAX(('Agences &amp; Après-vente'!$A$2:$A$1000=$A256)*(('Agences &amp; Après-vente'!$D$2:$D$1000="Après-vente")+('Agences &amp; Après-vente'!$D$2:$D$1000="Agences et Après-vente"))*'Agences &amp; Après-vente'!$E$2:$E$1000)),"yyyy-mm-dd"),"")))))</f>
        <v/>
      </c>
      <c r="J256" s="131" t="str">
        <f aca="false">IF($T256="✓","✓",IF(ISNUMBER($T256),TEXT($T256,"yyyy-mm-dd"),IF($A256="","",IF($D256="Lisbonne","",IF(SUMPRODUCT(('Agences &amp; Après-vente'!$A$2:$A$1000=$A256)*(('Agences &amp; Après-vente'!$D$2:$D$1000="Après-vente")+('Agences &amp; Après-vente'!$D$2:$D$1000="Agences et Après-vente"))*('Agences &amp; Après-vente'!$I$2:$I$1000="DONE"))&gt;0,"✓",IF(SUMPRODUCT(MAX(('Agences &amp; Après-vente'!$A$2:$A$1000=$A256)*(('Agences &amp; Après-vente'!$D$2:$D$1000="Après-vente")+('Agences &amp; Après-vente'!$D$2:$D$1000="Agences et Après-vente"))*'Agences &amp; Après-vente'!$E$2:$E$1000))&gt;0,TEXT(SUMPRODUCT(MAX(('Agences &amp; Après-vente'!$A$2:$A$1000=$A256)*(('Agences &amp; Après-vente'!$D$2:$D$1000="Après-vente")+('Agences &amp; Après-vente'!$D$2:$D$1000="Agences et Après-vente"))*'Agences &amp; Après-vente'!$E$2:$E$1000)),"yyyy-mm-dd"),""))))))</f>
        <v/>
      </c>
      <c r="K256" s="131" t="str">
        <f aca="false">IF($U256="✓","✓",IF(ISNUMBER($U256),TEXT($U256,"yyyy-mm-dd"),IF($D256="Lisbonne","",IF($A256="","",IF(SUMPRODUCT((Evermont!$A$2:$A$1000=$A256)*(Evermont!$Q$2:$Q$1000="Terminé"))&gt;0,"✓",IF(SUMPRODUCT(MAX((Evermont!$A$2:$A$1000=$A256)*Evermont!$F$2:$F$1000))&gt;0,TEXT(SUMPRODUCT(MAX((Evermont!$A$2:$A$1000=$A256)*Evermont!$F$2:$F$1000)),"yyyy-mm-dd"),""))))))</f>
        <v/>
      </c>
      <c r="L256" s="131" t="str">
        <f aca="false">IF($A256="","",COUNTIF(E256:K256,"✓"))</f>
        <v/>
      </c>
      <c r="M256" s="131" t="str">
        <f aca="false">IF(B256="","","Active")</f>
        <v/>
      </c>
      <c r="W256" s="120" t="str">
        <f aca="false">IF($A256="","",IF($X256&lt;&gt;"",$X256,IFERROR(INDEX('Formation Initiale'!$B$2:$B$999,MATCH($A256,'Formation Initiale'!$A$2:$A$999,0)),"Général")))</f>
        <v/>
      </c>
    </row>
    <row r="257" customFormat="false" ht="15" hidden="true" customHeight="true" outlineLevel="0" collapsed="false">
      <c r="A257" s="142" t="str">
        <f aca="false">IF(B257="","","TR"&amp;TEXT(ROW()-1,"000"))</f>
        <v/>
      </c>
      <c r="E257" s="130" t="str">
        <f aca="false">IF($O257="✓","✓",IF(ISNUMBER($O257),TEXT($O257,"yyyy-mm-dd"),IF($A257="","",IF(SUMPRODUCT(('Formation Initiale'!$A$2:$A$999=$A257)*('Formation Initiale'!$R$2:$R$999="Terminé"))&gt;0,"✓",IF(SUMPRODUCT(MAX(('Formation Initiale'!$A$2:$A$999=$A257)*'Formation Initiale'!$G$2:$G$999))&gt;0,TEXT(SUMPRODUCT(MAX(('Formation Initiale'!$A$2:$A$999=$A257)*'Formation Initiale'!$G$2:$G$999)),"yyyy-mm-dd"),"")))))</f>
        <v/>
      </c>
      <c r="F257" s="131" t="str">
        <f aca="false">IF($P257="✓","✓",IF(ISNUMBER($P257),TEXT($P257,"yyyy-mm-dd"),IF($A257="","",IF($D257="Lisbonne","",IF(SUMPRODUCT(('Formation Initiale'!$A$2:$A$999=$A257)*('Formation Initiale'!$R$2:$R$999="Terminé"))&gt;0,"✓",IF(SUMPRODUCT(MAX(('Formation Initiale'!$A$2:$A$999=$A257)*'Formation Initiale'!$G$2:$G$999))&gt;0,TEXT(SUMPRODUCT(MAX(('Formation Initiale'!$A$2:$A$999=$A257)*'Formation Initiale'!$G$2:$G$999)),"yyyy-mm-dd"),""))))))</f>
        <v/>
      </c>
      <c r="G257" s="131" t="str">
        <f aca="false">IF($Q257="✓","✓",IF(ISNUMBER($Q257),TEXT($Q257,"yyyy-mm-dd"),IF($A257="","",IF(SUMPRODUCT(('Agences &amp; Après-vente'!$A$2:$A$1000=$A257)*(('Agences &amp; Après-vente'!$D$2:$D$1000="Agences")+('Agences &amp; Après-vente'!$D$2:$D$1000="Agences et Après-vente"))*('Agences &amp; Après-vente'!$I$2:$I$1000="DONE"))&gt;0,"✓",IF(SUMPRODUCT(MAX(('Agences &amp; Après-vente'!$A$2:$A$1000=$A257)*(('Agences &amp; Après-vente'!$D$2:$D$1000="Agences")+('Agences &amp; Après-vente'!$D$2:$D$1000="Agences et Après-vente"))*'Agences &amp; Après-vente'!$E$2:$E$1000))&gt;0,TEXT(SUMPRODUCT(MAX(('Agences &amp; Après-vente'!$A$2:$A$1000=$A257)*(('Agences &amp; Après-vente'!$D$2:$D$1000="Agences")+('Agences &amp; Après-vente'!$D$2:$D$1000="Agences et Après-vente"))*'Agences &amp; Après-vente'!$E$2:$E$1000)),"yyyy-mm-dd"),"")))))</f>
        <v/>
      </c>
      <c r="H257" s="131" t="str">
        <f aca="false">IF($R257="✓","✓",IF(ISNUMBER($R257),TEXT($R257,"yyyy-mm-dd"),IF($A257="","",IF($D257="Lisbonne","",IF(SUMPRODUCT(('Agences &amp; Après-vente'!$A$2:$A$1000=$A257)*(('Agences &amp; Après-vente'!$D$2:$D$1000="Agences")+('Agences &amp; Après-vente'!$D$2:$D$1000="Agences et Après-vente"))*('Agences &amp; Après-vente'!$I$2:$I$1000="DONE"))&gt;0,"✓",IF(SUMPRODUCT(MAX(('Agences &amp; Après-vente'!$A$2:$A$1000=$A257)*(('Agences &amp; Après-vente'!$D$2:$D$1000="Agences")+('Agences &amp; Après-vente'!$D$2:$D$1000="Agences et Après-vente"))*'Agences &amp; Après-vente'!$E$2:$E$1000))&gt;0,TEXT(SUMPRODUCT(MAX(('Agences &amp; Après-vente'!$A$2:$A$1000=$A257)*(('Agences &amp; Après-vente'!$D$2:$D$1000="Agences")+('Agences &amp; Après-vente'!$D$2:$D$1000="Agences et Après-vente"))*'Agences &amp; Après-vente'!$E$2:$E$1000)),"yyyy-mm-dd"),""))))))</f>
        <v/>
      </c>
      <c r="I257" s="131" t="str">
        <f aca="false">IF($S257="✓","✓",IF(ISNUMBER($S257),TEXT($S257,"yyyy-mm-dd"),IF($A257="","",IF(SUMPRODUCT(('Agences &amp; Après-vente'!$A$2:$A$1000=$A257)*(('Agences &amp; Après-vente'!$D$2:$D$1000="Après-vente")+('Agences &amp; Après-vente'!$D$2:$D$1000="Agences et Après-vente"))*('Agences &amp; Après-vente'!$I$2:$I$1000="DONE"))&gt;0,"✓",IF(SUMPRODUCT(MAX(('Agences &amp; Après-vente'!$A$2:$A$1000=$A257)*(('Agences &amp; Après-vente'!$D$2:$D$1000="Après-vente")+('Agences &amp; Après-vente'!$D$2:$D$1000="Agences et Après-vente"))*'Agences &amp; Après-vente'!$E$2:$E$1000))&gt;0,TEXT(SUMPRODUCT(MAX(('Agences &amp; Après-vente'!$A$2:$A$1000=$A257)*(('Agences &amp; Après-vente'!$D$2:$D$1000="Après-vente")+('Agences &amp; Après-vente'!$D$2:$D$1000="Agences et Après-vente"))*'Agences &amp; Après-vente'!$E$2:$E$1000)),"yyyy-mm-dd"),"")))))</f>
        <v/>
      </c>
      <c r="J257" s="131" t="str">
        <f aca="false">IF($T257="✓","✓",IF(ISNUMBER($T257),TEXT($T257,"yyyy-mm-dd"),IF($A257="","",IF($D257="Lisbonne","",IF(SUMPRODUCT(('Agences &amp; Après-vente'!$A$2:$A$1000=$A257)*(('Agences &amp; Après-vente'!$D$2:$D$1000="Après-vente")+('Agences &amp; Après-vente'!$D$2:$D$1000="Agences et Après-vente"))*('Agences &amp; Après-vente'!$I$2:$I$1000="DONE"))&gt;0,"✓",IF(SUMPRODUCT(MAX(('Agences &amp; Après-vente'!$A$2:$A$1000=$A257)*(('Agences &amp; Après-vente'!$D$2:$D$1000="Après-vente")+('Agences &amp; Après-vente'!$D$2:$D$1000="Agences et Après-vente"))*'Agences &amp; Après-vente'!$E$2:$E$1000))&gt;0,TEXT(SUMPRODUCT(MAX(('Agences &amp; Après-vente'!$A$2:$A$1000=$A257)*(('Agences &amp; Après-vente'!$D$2:$D$1000="Après-vente")+('Agences &amp; Après-vente'!$D$2:$D$1000="Agences et Après-vente"))*'Agences &amp; Après-vente'!$E$2:$E$1000)),"yyyy-mm-dd"),""))))))</f>
        <v/>
      </c>
      <c r="K257" s="131" t="str">
        <f aca="false">IF($U257="✓","✓",IF(ISNUMBER($U257),TEXT($U257,"yyyy-mm-dd"),IF($D257="Lisbonne","",IF($A257="","",IF(SUMPRODUCT((Evermont!$A$2:$A$1000=$A257)*(Evermont!$Q$2:$Q$1000="Terminé"))&gt;0,"✓",IF(SUMPRODUCT(MAX((Evermont!$A$2:$A$1000=$A257)*Evermont!$F$2:$F$1000))&gt;0,TEXT(SUMPRODUCT(MAX((Evermont!$A$2:$A$1000=$A257)*Evermont!$F$2:$F$1000)),"yyyy-mm-dd"),""))))))</f>
        <v/>
      </c>
      <c r="L257" s="131" t="str">
        <f aca="false">IF($A257="","",COUNTIF(E257:K257,"✓"))</f>
        <v/>
      </c>
      <c r="M257" s="131" t="str">
        <f aca="false">IF(B257="","","Active")</f>
        <v/>
      </c>
      <c r="W257" s="120" t="str">
        <f aca="false">IF($A257="","",IF($X257&lt;&gt;"",$X257,IFERROR(INDEX('Formation Initiale'!$B$2:$B$999,MATCH($A257,'Formation Initiale'!$A$2:$A$999,0)),"Général")))</f>
        <v/>
      </c>
    </row>
    <row r="258" customFormat="false" ht="15" hidden="true" customHeight="true" outlineLevel="0" collapsed="false">
      <c r="A258" s="142" t="str">
        <f aca="false">IF(B258="","","TR"&amp;TEXT(ROW()-1,"000"))</f>
        <v/>
      </c>
      <c r="E258" s="130" t="str">
        <f aca="false">IF($O258="✓","✓",IF(ISNUMBER($O258),TEXT($O258,"yyyy-mm-dd"),IF($A258="","",IF(SUMPRODUCT(('Formation Initiale'!$A$2:$A$999=$A258)*('Formation Initiale'!$R$2:$R$999="Terminé"))&gt;0,"✓",IF(SUMPRODUCT(MAX(('Formation Initiale'!$A$2:$A$999=$A258)*'Formation Initiale'!$G$2:$G$999))&gt;0,TEXT(SUMPRODUCT(MAX(('Formation Initiale'!$A$2:$A$999=$A258)*'Formation Initiale'!$G$2:$G$999)),"yyyy-mm-dd"),"")))))</f>
        <v/>
      </c>
      <c r="F258" s="131" t="str">
        <f aca="false">IF($P258="✓","✓",IF(ISNUMBER($P258),TEXT($P258,"yyyy-mm-dd"),IF($A258="","",IF($D258="Lisbonne","",IF(SUMPRODUCT(('Formation Initiale'!$A$2:$A$999=$A258)*('Formation Initiale'!$R$2:$R$999="Terminé"))&gt;0,"✓",IF(SUMPRODUCT(MAX(('Formation Initiale'!$A$2:$A$999=$A258)*'Formation Initiale'!$G$2:$G$999))&gt;0,TEXT(SUMPRODUCT(MAX(('Formation Initiale'!$A$2:$A$999=$A258)*'Formation Initiale'!$G$2:$G$999)),"yyyy-mm-dd"),""))))))</f>
        <v/>
      </c>
      <c r="G258" s="131" t="str">
        <f aca="false">IF($Q258="✓","✓",IF(ISNUMBER($Q258),TEXT($Q258,"yyyy-mm-dd"),IF($A258="","",IF(SUMPRODUCT(('Agences &amp; Après-vente'!$A$2:$A$1000=$A258)*(('Agences &amp; Après-vente'!$D$2:$D$1000="Agences")+('Agences &amp; Après-vente'!$D$2:$D$1000="Agences et Après-vente"))*('Agences &amp; Après-vente'!$I$2:$I$1000="DONE"))&gt;0,"✓",IF(SUMPRODUCT(MAX(('Agences &amp; Après-vente'!$A$2:$A$1000=$A258)*(('Agences &amp; Après-vente'!$D$2:$D$1000="Agences")+('Agences &amp; Après-vente'!$D$2:$D$1000="Agences et Après-vente"))*'Agences &amp; Après-vente'!$E$2:$E$1000))&gt;0,TEXT(SUMPRODUCT(MAX(('Agences &amp; Après-vente'!$A$2:$A$1000=$A258)*(('Agences &amp; Après-vente'!$D$2:$D$1000="Agences")+('Agences &amp; Après-vente'!$D$2:$D$1000="Agences et Après-vente"))*'Agences &amp; Après-vente'!$E$2:$E$1000)),"yyyy-mm-dd"),"")))))</f>
        <v/>
      </c>
      <c r="H258" s="131" t="str">
        <f aca="false">IF($R258="✓","✓",IF(ISNUMBER($R258),TEXT($R258,"yyyy-mm-dd"),IF($A258="","",IF($D258="Lisbonne","",IF(SUMPRODUCT(('Agences &amp; Après-vente'!$A$2:$A$1000=$A258)*(('Agences &amp; Après-vente'!$D$2:$D$1000="Agences")+('Agences &amp; Après-vente'!$D$2:$D$1000="Agences et Après-vente"))*('Agences &amp; Après-vente'!$I$2:$I$1000="DONE"))&gt;0,"✓",IF(SUMPRODUCT(MAX(('Agences &amp; Après-vente'!$A$2:$A$1000=$A258)*(('Agences &amp; Après-vente'!$D$2:$D$1000="Agences")+('Agences &amp; Après-vente'!$D$2:$D$1000="Agences et Après-vente"))*'Agences &amp; Après-vente'!$E$2:$E$1000))&gt;0,TEXT(SUMPRODUCT(MAX(('Agences &amp; Après-vente'!$A$2:$A$1000=$A258)*(('Agences &amp; Après-vente'!$D$2:$D$1000="Agences")+('Agences &amp; Après-vente'!$D$2:$D$1000="Agences et Après-vente"))*'Agences &amp; Après-vente'!$E$2:$E$1000)),"yyyy-mm-dd"),""))))))</f>
        <v/>
      </c>
      <c r="I258" s="131" t="str">
        <f aca="false">IF($S258="✓","✓",IF(ISNUMBER($S258),TEXT($S258,"yyyy-mm-dd"),IF($A258="","",IF(SUMPRODUCT(('Agences &amp; Après-vente'!$A$2:$A$1000=$A258)*(('Agences &amp; Après-vente'!$D$2:$D$1000="Après-vente")+('Agences &amp; Après-vente'!$D$2:$D$1000="Agences et Après-vente"))*('Agences &amp; Après-vente'!$I$2:$I$1000="DONE"))&gt;0,"✓",IF(SUMPRODUCT(MAX(('Agences &amp; Après-vente'!$A$2:$A$1000=$A258)*(('Agences &amp; Après-vente'!$D$2:$D$1000="Après-vente")+('Agences &amp; Après-vente'!$D$2:$D$1000="Agences et Après-vente"))*'Agences &amp; Après-vente'!$E$2:$E$1000))&gt;0,TEXT(SUMPRODUCT(MAX(('Agences &amp; Après-vente'!$A$2:$A$1000=$A258)*(('Agences &amp; Après-vente'!$D$2:$D$1000="Après-vente")+('Agences &amp; Après-vente'!$D$2:$D$1000="Agences et Après-vente"))*'Agences &amp; Après-vente'!$E$2:$E$1000)),"yyyy-mm-dd"),"")))))</f>
        <v/>
      </c>
      <c r="J258" s="131" t="str">
        <f aca="false">IF($T258="✓","✓",IF(ISNUMBER($T258),TEXT($T258,"yyyy-mm-dd"),IF($A258="","",IF($D258="Lisbonne","",IF(SUMPRODUCT(('Agences &amp; Après-vente'!$A$2:$A$1000=$A258)*(('Agences &amp; Après-vente'!$D$2:$D$1000="Après-vente")+('Agences &amp; Après-vente'!$D$2:$D$1000="Agences et Après-vente"))*('Agences &amp; Après-vente'!$I$2:$I$1000="DONE"))&gt;0,"✓",IF(SUMPRODUCT(MAX(('Agences &amp; Après-vente'!$A$2:$A$1000=$A258)*(('Agences &amp; Après-vente'!$D$2:$D$1000="Après-vente")+('Agences &amp; Après-vente'!$D$2:$D$1000="Agences et Après-vente"))*'Agences &amp; Après-vente'!$E$2:$E$1000))&gt;0,TEXT(SUMPRODUCT(MAX(('Agences &amp; Après-vente'!$A$2:$A$1000=$A258)*(('Agences &amp; Après-vente'!$D$2:$D$1000="Après-vente")+('Agences &amp; Après-vente'!$D$2:$D$1000="Agences et Après-vente"))*'Agences &amp; Après-vente'!$E$2:$E$1000)),"yyyy-mm-dd"),""))))))</f>
        <v/>
      </c>
      <c r="K258" s="131" t="str">
        <f aca="false">IF($U258="✓","✓",IF(ISNUMBER($U258),TEXT($U258,"yyyy-mm-dd"),IF($D258="Lisbonne","",IF($A258="","",IF(SUMPRODUCT((Evermont!$A$2:$A$1000=$A258)*(Evermont!$Q$2:$Q$1000="Terminé"))&gt;0,"✓",IF(SUMPRODUCT(MAX((Evermont!$A$2:$A$1000=$A258)*Evermont!$F$2:$F$1000))&gt;0,TEXT(SUMPRODUCT(MAX((Evermont!$A$2:$A$1000=$A258)*Evermont!$F$2:$F$1000)),"yyyy-mm-dd"),""))))))</f>
        <v/>
      </c>
      <c r="L258" s="131" t="str">
        <f aca="false">IF($A258="","",COUNTIF(E258:K258,"✓"))</f>
        <v/>
      </c>
      <c r="M258" s="131" t="str">
        <f aca="false">IF(B258="","","Active")</f>
        <v/>
      </c>
      <c r="W258" s="120" t="str">
        <f aca="false">IF($A258="","",IF($X258&lt;&gt;"",$X258,IFERROR(INDEX('Formation Initiale'!$B$2:$B$999,MATCH($A258,'Formation Initiale'!$A$2:$A$999,0)),"Général")))</f>
        <v/>
      </c>
    </row>
    <row r="259" customFormat="false" ht="15" hidden="true" customHeight="true" outlineLevel="0" collapsed="false">
      <c r="A259" s="142" t="str">
        <f aca="false">IF(B259="","","TR"&amp;TEXT(ROW()-1,"000"))</f>
        <v/>
      </c>
      <c r="E259" s="130" t="str">
        <f aca="false">IF($O259="✓","✓",IF(ISNUMBER($O259),TEXT($O259,"yyyy-mm-dd"),IF($A259="","",IF(SUMPRODUCT(('Formation Initiale'!$A$2:$A$999=$A259)*('Formation Initiale'!$R$2:$R$999="Terminé"))&gt;0,"✓",IF(SUMPRODUCT(MAX(('Formation Initiale'!$A$2:$A$999=$A259)*'Formation Initiale'!$G$2:$G$999))&gt;0,TEXT(SUMPRODUCT(MAX(('Formation Initiale'!$A$2:$A$999=$A259)*'Formation Initiale'!$G$2:$G$999)),"yyyy-mm-dd"),"")))))</f>
        <v/>
      </c>
      <c r="F259" s="131" t="str">
        <f aca="false">IF($P259="✓","✓",IF(ISNUMBER($P259),TEXT($P259,"yyyy-mm-dd"),IF($A259="","",IF($D259="Lisbonne","",IF(SUMPRODUCT(('Formation Initiale'!$A$2:$A$999=$A259)*('Formation Initiale'!$R$2:$R$999="Terminé"))&gt;0,"✓",IF(SUMPRODUCT(MAX(('Formation Initiale'!$A$2:$A$999=$A259)*'Formation Initiale'!$G$2:$G$999))&gt;0,TEXT(SUMPRODUCT(MAX(('Formation Initiale'!$A$2:$A$999=$A259)*'Formation Initiale'!$G$2:$G$999)),"yyyy-mm-dd"),""))))))</f>
        <v/>
      </c>
      <c r="G259" s="131" t="str">
        <f aca="false">IF($Q259="✓","✓",IF(ISNUMBER($Q259),TEXT($Q259,"yyyy-mm-dd"),IF($A259="","",IF(SUMPRODUCT(('Agences &amp; Après-vente'!$A$2:$A$1000=$A259)*(('Agences &amp; Après-vente'!$D$2:$D$1000="Agences")+('Agences &amp; Après-vente'!$D$2:$D$1000="Agences et Après-vente"))*('Agences &amp; Après-vente'!$I$2:$I$1000="DONE"))&gt;0,"✓",IF(SUMPRODUCT(MAX(('Agences &amp; Après-vente'!$A$2:$A$1000=$A259)*(('Agences &amp; Après-vente'!$D$2:$D$1000="Agences")+('Agences &amp; Après-vente'!$D$2:$D$1000="Agences et Après-vente"))*'Agences &amp; Après-vente'!$E$2:$E$1000))&gt;0,TEXT(SUMPRODUCT(MAX(('Agences &amp; Après-vente'!$A$2:$A$1000=$A259)*(('Agences &amp; Après-vente'!$D$2:$D$1000="Agences")+('Agences &amp; Après-vente'!$D$2:$D$1000="Agences et Après-vente"))*'Agences &amp; Après-vente'!$E$2:$E$1000)),"yyyy-mm-dd"),"")))))</f>
        <v/>
      </c>
      <c r="H259" s="131" t="str">
        <f aca="false">IF($R259="✓","✓",IF(ISNUMBER($R259),TEXT($R259,"yyyy-mm-dd"),IF($A259="","",IF($D259="Lisbonne","",IF(SUMPRODUCT(('Agences &amp; Après-vente'!$A$2:$A$1000=$A259)*(('Agences &amp; Après-vente'!$D$2:$D$1000="Agences")+('Agences &amp; Après-vente'!$D$2:$D$1000="Agences et Après-vente"))*('Agences &amp; Après-vente'!$I$2:$I$1000="DONE"))&gt;0,"✓",IF(SUMPRODUCT(MAX(('Agences &amp; Après-vente'!$A$2:$A$1000=$A259)*(('Agences &amp; Après-vente'!$D$2:$D$1000="Agences")+('Agences &amp; Après-vente'!$D$2:$D$1000="Agences et Après-vente"))*'Agences &amp; Après-vente'!$E$2:$E$1000))&gt;0,TEXT(SUMPRODUCT(MAX(('Agences &amp; Après-vente'!$A$2:$A$1000=$A259)*(('Agences &amp; Après-vente'!$D$2:$D$1000="Agences")+('Agences &amp; Après-vente'!$D$2:$D$1000="Agences et Après-vente"))*'Agences &amp; Après-vente'!$E$2:$E$1000)),"yyyy-mm-dd"),""))))))</f>
        <v/>
      </c>
      <c r="I259" s="131" t="str">
        <f aca="false">IF($S259="✓","✓",IF(ISNUMBER($S259),TEXT($S259,"yyyy-mm-dd"),IF($A259="","",IF(SUMPRODUCT(('Agences &amp; Après-vente'!$A$2:$A$1000=$A259)*(('Agences &amp; Après-vente'!$D$2:$D$1000="Après-vente")+('Agences &amp; Après-vente'!$D$2:$D$1000="Agences et Après-vente"))*('Agences &amp; Après-vente'!$I$2:$I$1000="DONE"))&gt;0,"✓",IF(SUMPRODUCT(MAX(('Agences &amp; Après-vente'!$A$2:$A$1000=$A259)*(('Agences &amp; Après-vente'!$D$2:$D$1000="Après-vente")+('Agences &amp; Après-vente'!$D$2:$D$1000="Agences et Après-vente"))*'Agences &amp; Après-vente'!$E$2:$E$1000))&gt;0,TEXT(SUMPRODUCT(MAX(('Agences &amp; Après-vente'!$A$2:$A$1000=$A259)*(('Agences &amp; Après-vente'!$D$2:$D$1000="Après-vente")+('Agences &amp; Après-vente'!$D$2:$D$1000="Agences et Après-vente"))*'Agences &amp; Après-vente'!$E$2:$E$1000)),"yyyy-mm-dd"),"")))))</f>
        <v/>
      </c>
      <c r="J259" s="131" t="str">
        <f aca="false">IF($T259="✓","✓",IF(ISNUMBER($T259),TEXT($T259,"yyyy-mm-dd"),IF($A259="","",IF($D259="Lisbonne","",IF(SUMPRODUCT(('Agences &amp; Après-vente'!$A$2:$A$1000=$A259)*(('Agences &amp; Après-vente'!$D$2:$D$1000="Après-vente")+('Agences &amp; Après-vente'!$D$2:$D$1000="Agences et Après-vente"))*('Agences &amp; Après-vente'!$I$2:$I$1000="DONE"))&gt;0,"✓",IF(SUMPRODUCT(MAX(('Agences &amp; Après-vente'!$A$2:$A$1000=$A259)*(('Agences &amp; Après-vente'!$D$2:$D$1000="Après-vente")+('Agences &amp; Après-vente'!$D$2:$D$1000="Agences et Après-vente"))*'Agences &amp; Après-vente'!$E$2:$E$1000))&gt;0,TEXT(SUMPRODUCT(MAX(('Agences &amp; Après-vente'!$A$2:$A$1000=$A259)*(('Agences &amp; Après-vente'!$D$2:$D$1000="Après-vente")+('Agences &amp; Après-vente'!$D$2:$D$1000="Agences et Après-vente"))*'Agences &amp; Après-vente'!$E$2:$E$1000)),"yyyy-mm-dd"),""))))))</f>
        <v/>
      </c>
      <c r="K259" s="131" t="str">
        <f aca="false">IF($U259="✓","✓",IF(ISNUMBER($U259),TEXT($U259,"yyyy-mm-dd"),IF($D259="Lisbonne","",IF($A259="","",IF(SUMPRODUCT((Evermont!$A$2:$A$1000=$A259)*(Evermont!$Q$2:$Q$1000="Terminé"))&gt;0,"✓",IF(SUMPRODUCT(MAX((Evermont!$A$2:$A$1000=$A259)*Evermont!$F$2:$F$1000))&gt;0,TEXT(SUMPRODUCT(MAX((Evermont!$A$2:$A$1000=$A259)*Evermont!$F$2:$F$1000)),"yyyy-mm-dd"),""))))))</f>
        <v/>
      </c>
      <c r="L259" s="131" t="str">
        <f aca="false">IF($A259="","",COUNTIF(E259:K259,"✓"))</f>
        <v/>
      </c>
      <c r="M259" s="131" t="str">
        <f aca="false">IF(B259="","","Active")</f>
        <v/>
      </c>
      <c r="W259" s="120" t="str">
        <f aca="false">IF($A259="","",IF($X259&lt;&gt;"",$X259,IFERROR(INDEX('Formation Initiale'!$B$2:$B$999,MATCH($A259,'Formation Initiale'!$A$2:$A$999,0)),"Général")))</f>
        <v/>
      </c>
    </row>
    <row r="260" customFormat="false" ht="15" hidden="true" customHeight="true" outlineLevel="0" collapsed="false">
      <c r="A260" s="142" t="str">
        <f aca="false">IF(B260="","","TR"&amp;TEXT(ROW()-1,"000"))</f>
        <v/>
      </c>
      <c r="E260" s="130" t="str">
        <f aca="false">IF($O260="✓","✓",IF(ISNUMBER($O260),TEXT($O260,"yyyy-mm-dd"),IF($A260="","",IF(SUMPRODUCT(('Formation Initiale'!$A$2:$A$999=$A260)*('Formation Initiale'!$R$2:$R$999="Terminé"))&gt;0,"✓",IF(SUMPRODUCT(MAX(('Formation Initiale'!$A$2:$A$999=$A260)*'Formation Initiale'!$G$2:$G$999))&gt;0,TEXT(SUMPRODUCT(MAX(('Formation Initiale'!$A$2:$A$999=$A260)*'Formation Initiale'!$G$2:$G$999)),"yyyy-mm-dd"),"")))))</f>
        <v/>
      </c>
      <c r="F260" s="131" t="str">
        <f aca="false">IF($P260="✓","✓",IF(ISNUMBER($P260),TEXT($P260,"yyyy-mm-dd"),IF($A260="","",IF($D260="Lisbonne","",IF(SUMPRODUCT(('Formation Initiale'!$A$2:$A$999=$A260)*('Formation Initiale'!$R$2:$R$999="Terminé"))&gt;0,"✓",IF(SUMPRODUCT(MAX(('Formation Initiale'!$A$2:$A$999=$A260)*'Formation Initiale'!$G$2:$G$999))&gt;0,TEXT(SUMPRODUCT(MAX(('Formation Initiale'!$A$2:$A$999=$A260)*'Formation Initiale'!$G$2:$G$999)),"yyyy-mm-dd"),""))))))</f>
        <v/>
      </c>
      <c r="G260" s="131" t="str">
        <f aca="false">IF($Q260="✓","✓",IF(ISNUMBER($Q260),TEXT($Q260,"yyyy-mm-dd"),IF($A260="","",IF(SUMPRODUCT(('Agences &amp; Après-vente'!$A$2:$A$1000=$A260)*(('Agences &amp; Après-vente'!$D$2:$D$1000="Agences")+('Agences &amp; Après-vente'!$D$2:$D$1000="Agences et Après-vente"))*('Agences &amp; Après-vente'!$I$2:$I$1000="DONE"))&gt;0,"✓",IF(SUMPRODUCT(MAX(('Agences &amp; Après-vente'!$A$2:$A$1000=$A260)*(('Agences &amp; Après-vente'!$D$2:$D$1000="Agences")+('Agences &amp; Après-vente'!$D$2:$D$1000="Agences et Après-vente"))*'Agences &amp; Après-vente'!$E$2:$E$1000))&gt;0,TEXT(SUMPRODUCT(MAX(('Agences &amp; Après-vente'!$A$2:$A$1000=$A260)*(('Agences &amp; Après-vente'!$D$2:$D$1000="Agences")+('Agences &amp; Après-vente'!$D$2:$D$1000="Agences et Après-vente"))*'Agences &amp; Après-vente'!$E$2:$E$1000)),"yyyy-mm-dd"),"")))))</f>
        <v/>
      </c>
      <c r="H260" s="131" t="str">
        <f aca="false">IF($R260="✓","✓",IF(ISNUMBER($R260),TEXT($R260,"yyyy-mm-dd"),IF($A260="","",IF($D260="Lisbonne","",IF(SUMPRODUCT(('Agences &amp; Après-vente'!$A$2:$A$1000=$A260)*(('Agences &amp; Après-vente'!$D$2:$D$1000="Agences")+('Agences &amp; Après-vente'!$D$2:$D$1000="Agences et Après-vente"))*('Agences &amp; Après-vente'!$I$2:$I$1000="DONE"))&gt;0,"✓",IF(SUMPRODUCT(MAX(('Agences &amp; Après-vente'!$A$2:$A$1000=$A260)*(('Agences &amp; Après-vente'!$D$2:$D$1000="Agences")+('Agences &amp; Après-vente'!$D$2:$D$1000="Agences et Après-vente"))*'Agences &amp; Après-vente'!$E$2:$E$1000))&gt;0,TEXT(SUMPRODUCT(MAX(('Agences &amp; Après-vente'!$A$2:$A$1000=$A260)*(('Agences &amp; Après-vente'!$D$2:$D$1000="Agences")+('Agences &amp; Après-vente'!$D$2:$D$1000="Agences et Après-vente"))*'Agences &amp; Après-vente'!$E$2:$E$1000)),"yyyy-mm-dd"),""))))))</f>
        <v/>
      </c>
      <c r="I260" s="131" t="str">
        <f aca="false">IF($S260="✓","✓",IF(ISNUMBER($S260),TEXT($S260,"yyyy-mm-dd"),IF($A260="","",IF(SUMPRODUCT(('Agences &amp; Après-vente'!$A$2:$A$1000=$A260)*(('Agences &amp; Après-vente'!$D$2:$D$1000="Après-vente")+('Agences &amp; Après-vente'!$D$2:$D$1000="Agences et Après-vente"))*('Agences &amp; Après-vente'!$I$2:$I$1000="DONE"))&gt;0,"✓",IF(SUMPRODUCT(MAX(('Agences &amp; Après-vente'!$A$2:$A$1000=$A260)*(('Agences &amp; Après-vente'!$D$2:$D$1000="Après-vente")+('Agences &amp; Après-vente'!$D$2:$D$1000="Agences et Après-vente"))*'Agences &amp; Après-vente'!$E$2:$E$1000))&gt;0,TEXT(SUMPRODUCT(MAX(('Agences &amp; Après-vente'!$A$2:$A$1000=$A260)*(('Agences &amp; Après-vente'!$D$2:$D$1000="Après-vente")+('Agences &amp; Après-vente'!$D$2:$D$1000="Agences et Après-vente"))*'Agences &amp; Après-vente'!$E$2:$E$1000)),"yyyy-mm-dd"),"")))))</f>
        <v/>
      </c>
      <c r="J260" s="131" t="str">
        <f aca="false">IF($T260="✓","✓",IF(ISNUMBER($T260),TEXT($T260,"yyyy-mm-dd"),IF($A260="","",IF($D260="Lisbonne","",IF(SUMPRODUCT(('Agences &amp; Après-vente'!$A$2:$A$1000=$A260)*(('Agences &amp; Après-vente'!$D$2:$D$1000="Après-vente")+('Agences &amp; Après-vente'!$D$2:$D$1000="Agences et Après-vente"))*('Agences &amp; Après-vente'!$I$2:$I$1000="DONE"))&gt;0,"✓",IF(SUMPRODUCT(MAX(('Agences &amp; Après-vente'!$A$2:$A$1000=$A260)*(('Agences &amp; Après-vente'!$D$2:$D$1000="Après-vente")+('Agences &amp; Après-vente'!$D$2:$D$1000="Agences et Après-vente"))*'Agences &amp; Après-vente'!$E$2:$E$1000))&gt;0,TEXT(SUMPRODUCT(MAX(('Agences &amp; Après-vente'!$A$2:$A$1000=$A260)*(('Agences &amp; Après-vente'!$D$2:$D$1000="Après-vente")+('Agences &amp; Après-vente'!$D$2:$D$1000="Agences et Après-vente"))*'Agences &amp; Après-vente'!$E$2:$E$1000)),"yyyy-mm-dd"),""))))))</f>
        <v/>
      </c>
      <c r="K260" s="131" t="str">
        <f aca="false">IF($U260="✓","✓",IF(ISNUMBER($U260),TEXT($U260,"yyyy-mm-dd"),IF($D260="Lisbonne","",IF($A260="","",IF(SUMPRODUCT((Evermont!$A$2:$A$1000=$A260)*(Evermont!$Q$2:$Q$1000="Terminé"))&gt;0,"✓",IF(SUMPRODUCT(MAX((Evermont!$A$2:$A$1000=$A260)*Evermont!$F$2:$F$1000))&gt;0,TEXT(SUMPRODUCT(MAX((Evermont!$A$2:$A$1000=$A260)*Evermont!$F$2:$F$1000)),"yyyy-mm-dd"),""))))))</f>
        <v/>
      </c>
      <c r="L260" s="131" t="str">
        <f aca="false">IF($A260="","",COUNTIF(E260:K260,"✓"))</f>
        <v/>
      </c>
      <c r="M260" s="131" t="str">
        <f aca="false">IF(B260="","","Active")</f>
        <v/>
      </c>
      <c r="W260" s="120" t="str">
        <f aca="false">IF($A260="","",IF($X260&lt;&gt;"",$X260,IFERROR(INDEX('Formation Initiale'!$B$2:$B$999,MATCH($A260,'Formation Initiale'!$A$2:$A$999,0)),"Général")))</f>
        <v/>
      </c>
    </row>
    <row r="261" customFormat="false" ht="15" hidden="true" customHeight="true" outlineLevel="0" collapsed="false">
      <c r="A261" s="142" t="str">
        <f aca="false">IF(B261="","","TR"&amp;TEXT(ROW()-1,"000"))</f>
        <v/>
      </c>
      <c r="E261" s="130" t="str">
        <f aca="false">IF($O261="✓","✓",IF(ISNUMBER($O261),TEXT($O261,"yyyy-mm-dd"),IF($A261="","",IF(SUMPRODUCT(('Formation Initiale'!$A$2:$A$999=$A261)*('Formation Initiale'!$R$2:$R$999="Terminé"))&gt;0,"✓",IF(SUMPRODUCT(MAX(('Formation Initiale'!$A$2:$A$999=$A261)*'Formation Initiale'!$G$2:$G$999))&gt;0,TEXT(SUMPRODUCT(MAX(('Formation Initiale'!$A$2:$A$999=$A261)*'Formation Initiale'!$G$2:$G$999)),"yyyy-mm-dd"),"")))))</f>
        <v/>
      </c>
      <c r="F261" s="131" t="str">
        <f aca="false">IF($P261="✓","✓",IF(ISNUMBER($P261),TEXT($P261,"yyyy-mm-dd"),IF($A261="","",IF($D261="Lisbonne","",IF(SUMPRODUCT(('Formation Initiale'!$A$2:$A$999=$A261)*('Formation Initiale'!$R$2:$R$999="Terminé"))&gt;0,"✓",IF(SUMPRODUCT(MAX(('Formation Initiale'!$A$2:$A$999=$A261)*'Formation Initiale'!$G$2:$G$999))&gt;0,TEXT(SUMPRODUCT(MAX(('Formation Initiale'!$A$2:$A$999=$A261)*'Formation Initiale'!$G$2:$G$999)),"yyyy-mm-dd"),""))))))</f>
        <v/>
      </c>
      <c r="G261" s="131" t="str">
        <f aca="false">IF($Q261="✓","✓",IF(ISNUMBER($Q261),TEXT($Q261,"yyyy-mm-dd"),IF($A261="","",IF(SUMPRODUCT(('Agences &amp; Après-vente'!$A$2:$A$1000=$A261)*(('Agences &amp; Après-vente'!$D$2:$D$1000="Agences")+('Agences &amp; Après-vente'!$D$2:$D$1000="Agences et Après-vente"))*('Agences &amp; Après-vente'!$I$2:$I$1000="DONE"))&gt;0,"✓",IF(SUMPRODUCT(MAX(('Agences &amp; Après-vente'!$A$2:$A$1000=$A261)*(('Agences &amp; Après-vente'!$D$2:$D$1000="Agences")+('Agences &amp; Après-vente'!$D$2:$D$1000="Agences et Après-vente"))*'Agences &amp; Après-vente'!$E$2:$E$1000))&gt;0,TEXT(SUMPRODUCT(MAX(('Agences &amp; Après-vente'!$A$2:$A$1000=$A261)*(('Agences &amp; Après-vente'!$D$2:$D$1000="Agences")+('Agences &amp; Après-vente'!$D$2:$D$1000="Agences et Après-vente"))*'Agences &amp; Après-vente'!$E$2:$E$1000)),"yyyy-mm-dd"),"")))))</f>
        <v/>
      </c>
      <c r="H261" s="131" t="str">
        <f aca="false">IF($R261="✓","✓",IF(ISNUMBER($R261),TEXT($R261,"yyyy-mm-dd"),IF($A261="","",IF($D261="Lisbonne","",IF(SUMPRODUCT(('Agences &amp; Après-vente'!$A$2:$A$1000=$A261)*(('Agences &amp; Après-vente'!$D$2:$D$1000="Agences")+('Agences &amp; Après-vente'!$D$2:$D$1000="Agences et Après-vente"))*('Agences &amp; Après-vente'!$I$2:$I$1000="DONE"))&gt;0,"✓",IF(SUMPRODUCT(MAX(('Agences &amp; Après-vente'!$A$2:$A$1000=$A261)*(('Agences &amp; Après-vente'!$D$2:$D$1000="Agences")+('Agences &amp; Après-vente'!$D$2:$D$1000="Agences et Après-vente"))*'Agences &amp; Après-vente'!$E$2:$E$1000))&gt;0,TEXT(SUMPRODUCT(MAX(('Agences &amp; Après-vente'!$A$2:$A$1000=$A261)*(('Agences &amp; Après-vente'!$D$2:$D$1000="Agences")+('Agences &amp; Après-vente'!$D$2:$D$1000="Agences et Après-vente"))*'Agences &amp; Après-vente'!$E$2:$E$1000)),"yyyy-mm-dd"),""))))))</f>
        <v/>
      </c>
      <c r="I261" s="131" t="str">
        <f aca="false">IF($S261="✓","✓",IF(ISNUMBER($S261),TEXT($S261,"yyyy-mm-dd"),IF($A261="","",IF(SUMPRODUCT(('Agences &amp; Après-vente'!$A$2:$A$1000=$A261)*(('Agences &amp; Après-vente'!$D$2:$D$1000="Après-vente")+('Agences &amp; Après-vente'!$D$2:$D$1000="Agences et Après-vente"))*('Agences &amp; Après-vente'!$I$2:$I$1000="DONE"))&gt;0,"✓",IF(SUMPRODUCT(MAX(('Agences &amp; Après-vente'!$A$2:$A$1000=$A261)*(('Agences &amp; Après-vente'!$D$2:$D$1000="Après-vente")+('Agences &amp; Après-vente'!$D$2:$D$1000="Agences et Après-vente"))*'Agences &amp; Après-vente'!$E$2:$E$1000))&gt;0,TEXT(SUMPRODUCT(MAX(('Agences &amp; Après-vente'!$A$2:$A$1000=$A261)*(('Agences &amp; Après-vente'!$D$2:$D$1000="Après-vente")+('Agences &amp; Après-vente'!$D$2:$D$1000="Agences et Après-vente"))*'Agences &amp; Après-vente'!$E$2:$E$1000)),"yyyy-mm-dd"),"")))))</f>
        <v/>
      </c>
      <c r="J261" s="131" t="str">
        <f aca="false">IF($T261="✓","✓",IF(ISNUMBER($T261),TEXT($T261,"yyyy-mm-dd"),IF($A261="","",IF($D261="Lisbonne","",IF(SUMPRODUCT(('Agences &amp; Après-vente'!$A$2:$A$1000=$A261)*(('Agences &amp; Après-vente'!$D$2:$D$1000="Après-vente")+('Agences &amp; Après-vente'!$D$2:$D$1000="Agences et Après-vente"))*('Agences &amp; Après-vente'!$I$2:$I$1000="DONE"))&gt;0,"✓",IF(SUMPRODUCT(MAX(('Agences &amp; Après-vente'!$A$2:$A$1000=$A261)*(('Agences &amp; Après-vente'!$D$2:$D$1000="Après-vente")+('Agences &amp; Après-vente'!$D$2:$D$1000="Agences et Après-vente"))*'Agences &amp; Après-vente'!$E$2:$E$1000))&gt;0,TEXT(SUMPRODUCT(MAX(('Agences &amp; Après-vente'!$A$2:$A$1000=$A261)*(('Agences &amp; Après-vente'!$D$2:$D$1000="Après-vente")+('Agences &amp; Après-vente'!$D$2:$D$1000="Agences et Après-vente"))*'Agences &amp; Après-vente'!$E$2:$E$1000)),"yyyy-mm-dd"),""))))))</f>
        <v/>
      </c>
      <c r="K261" s="131" t="str">
        <f aca="false">IF($U261="✓","✓",IF(ISNUMBER($U261),TEXT($U261,"yyyy-mm-dd"),IF($D261="Lisbonne","",IF($A261="","",IF(SUMPRODUCT((Evermont!$A$2:$A$1000=$A261)*(Evermont!$Q$2:$Q$1000="Terminé"))&gt;0,"✓",IF(SUMPRODUCT(MAX((Evermont!$A$2:$A$1000=$A261)*Evermont!$F$2:$F$1000))&gt;0,TEXT(SUMPRODUCT(MAX((Evermont!$A$2:$A$1000=$A261)*Evermont!$F$2:$F$1000)),"yyyy-mm-dd"),""))))))</f>
        <v/>
      </c>
      <c r="L261" s="131" t="str">
        <f aca="false">IF($A261="","",COUNTIF(E261:K261,"✓"))</f>
        <v/>
      </c>
      <c r="M261" s="131" t="str">
        <f aca="false">IF(B261="","","Active")</f>
        <v/>
      </c>
      <c r="W261" s="120" t="str">
        <f aca="false">IF($A261="","",IF($X261&lt;&gt;"",$X261,IFERROR(INDEX('Formation Initiale'!$B$2:$B$999,MATCH($A261,'Formation Initiale'!$A$2:$A$999,0)),"Général")))</f>
        <v/>
      </c>
    </row>
    <row r="262" customFormat="false" ht="15" hidden="true" customHeight="true" outlineLevel="0" collapsed="false">
      <c r="A262" s="142" t="str">
        <f aca="false">IF(B262="","","TR"&amp;TEXT(ROW()-1,"000"))</f>
        <v/>
      </c>
      <c r="E262" s="130" t="str">
        <f aca="false">IF($O262="✓","✓",IF(ISNUMBER($O262),TEXT($O262,"yyyy-mm-dd"),IF($A262="","",IF(SUMPRODUCT(('Formation Initiale'!$A$2:$A$999=$A262)*('Formation Initiale'!$R$2:$R$999="Terminé"))&gt;0,"✓",IF(SUMPRODUCT(MAX(('Formation Initiale'!$A$2:$A$999=$A262)*'Formation Initiale'!$G$2:$G$999))&gt;0,TEXT(SUMPRODUCT(MAX(('Formation Initiale'!$A$2:$A$999=$A262)*'Formation Initiale'!$G$2:$G$999)),"yyyy-mm-dd"),"")))))</f>
        <v/>
      </c>
      <c r="F262" s="131" t="str">
        <f aca="false">IF($P262="✓","✓",IF(ISNUMBER($P262),TEXT($P262,"yyyy-mm-dd"),IF($A262="","",IF($D262="Lisbonne","",IF(SUMPRODUCT(('Formation Initiale'!$A$2:$A$999=$A262)*('Formation Initiale'!$R$2:$R$999="Terminé"))&gt;0,"✓",IF(SUMPRODUCT(MAX(('Formation Initiale'!$A$2:$A$999=$A262)*'Formation Initiale'!$G$2:$G$999))&gt;0,TEXT(SUMPRODUCT(MAX(('Formation Initiale'!$A$2:$A$999=$A262)*'Formation Initiale'!$G$2:$G$999)),"yyyy-mm-dd"),""))))))</f>
        <v/>
      </c>
      <c r="G262" s="131" t="str">
        <f aca="false">IF($Q262="✓","✓",IF(ISNUMBER($Q262),TEXT($Q262,"yyyy-mm-dd"),IF($A262="","",IF(SUMPRODUCT(('Agences &amp; Après-vente'!$A$2:$A$1000=$A262)*(('Agences &amp; Après-vente'!$D$2:$D$1000="Agences")+('Agences &amp; Après-vente'!$D$2:$D$1000="Agences et Après-vente"))*('Agences &amp; Après-vente'!$I$2:$I$1000="DONE"))&gt;0,"✓",IF(SUMPRODUCT(MAX(('Agences &amp; Après-vente'!$A$2:$A$1000=$A262)*(('Agences &amp; Après-vente'!$D$2:$D$1000="Agences")+('Agences &amp; Après-vente'!$D$2:$D$1000="Agences et Après-vente"))*'Agences &amp; Après-vente'!$E$2:$E$1000))&gt;0,TEXT(SUMPRODUCT(MAX(('Agences &amp; Après-vente'!$A$2:$A$1000=$A262)*(('Agences &amp; Après-vente'!$D$2:$D$1000="Agences")+('Agences &amp; Après-vente'!$D$2:$D$1000="Agences et Après-vente"))*'Agences &amp; Après-vente'!$E$2:$E$1000)),"yyyy-mm-dd"),"")))))</f>
        <v/>
      </c>
      <c r="H262" s="131" t="str">
        <f aca="false">IF($R262="✓","✓",IF(ISNUMBER($R262),TEXT($R262,"yyyy-mm-dd"),IF($A262="","",IF($D262="Lisbonne","",IF(SUMPRODUCT(('Agences &amp; Après-vente'!$A$2:$A$1000=$A262)*(('Agences &amp; Après-vente'!$D$2:$D$1000="Agences")+('Agences &amp; Après-vente'!$D$2:$D$1000="Agences et Après-vente"))*('Agences &amp; Après-vente'!$I$2:$I$1000="DONE"))&gt;0,"✓",IF(SUMPRODUCT(MAX(('Agences &amp; Après-vente'!$A$2:$A$1000=$A262)*(('Agences &amp; Après-vente'!$D$2:$D$1000="Agences")+('Agences &amp; Après-vente'!$D$2:$D$1000="Agences et Après-vente"))*'Agences &amp; Après-vente'!$E$2:$E$1000))&gt;0,TEXT(SUMPRODUCT(MAX(('Agences &amp; Après-vente'!$A$2:$A$1000=$A262)*(('Agences &amp; Après-vente'!$D$2:$D$1000="Agences")+('Agences &amp; Après-vente'!$D$2:$D$1000="Agences et Après-vente"))*'Agences &amp; Après-vente'!$E$2:$E$1000)),"yyyy-mm-dd"),""))))))</f>
        <v/>
      </c>
      <c r="I262" s="131" t="str">
        <f aca="false">IF($S262="✓","✓",IF(ISNUMBER($S262),TEXT($S262,"yyyy-mm-dd"),IF($A262="","",IF(SUMPRODUCT(('Agences &amp; Après-vente'!$A$2:$A$1000=$A262)*(('Agences &amp; Après-vente'!$D$2:$D$1000="Après-vente")+('Agences &amp; Après-vente'!$D$2:$D$1000="Agences et Après-vente"))*('Agences &amp; Après-vente'!$I$2:$I$1000="DONE"))&gt;0,"✓",IF(SUMPRODUCT(MAX(('Agences &amp; Après-vente'!$A$2:$A$1000=$A262)*(('Agences &amp; Après-vente'!$D$2:$D$1000="Après-vente")+('Agences &amp; Après-vente'!$D$2:$D$1000="Agences et Après-vente"))*'Agences &amp; Après-vente'!$E$2:$E$1000))&gt;0,TEXT(SUMPRODUCT(MAX(('Agences &amp; Après-vente'!$A$2:$A$1000=$A262)*(('Agences &amp; Après-vente'!$D$2:$D$1000="Après-vente")+('Agences &amp; Après-vente'!$D$2:$D$1000="Agences et Après-vente"))*'Agences &amp; Après-vente'!$E$2:$E$1000)),"yyyy-mm-dd"),"")))))</f>
        <v/>
      </c>
      <c r="J262" s="131" t="str">
        <f aca="false">IF($T262="✓","✓",IF(ISNUMBER($T262),TEXT($T262,"yyyy-mm-dd"),IF($A262="","",IF($D262="Lisbonne","",IF(SUMPRODUCT(('Agences &amp; Après-vente'!$A$2:$A$1000=$A262)*(('Agences &amp; Après-vente'!$D$2:$D$1000="Après-vente")+('Agences &amp; Après-vente'!$D$2:$D$1000="Agences et Après-vente"))*('Agences &amp; Après-vente'!$I$2:$I$1000="DONE"))&gt;0,"✓",IF(SUMPRODUCT(MAX(('Agences &amp; Après-vente'!$A$2:$A$1000=$A262)*(('Agences &amp; Après-vente'!$D$2:$D$1000="Après-vente")+('Agences &amp; Après-vente'!$D$2:$D$1000="Agences et Après-vente"))*'Agences &amp; Après-vente'!$E$2:$E$1000))&gt;0,TEXT(SUMPRODUCT(MAX(('Agences &amp; Après-vente'!$A$2:$A$1000=$A262)*(('Agences &amp; Après-vente'!$D$2:$D$1000="Après-vente")+('Agences &amp; Après-vente'!$D$2:$D$1000="Agences et Après-vente"))*'Agences &amp; Après-vente'!$E$2:$E$1000)),"yyyy-mm-dd"),""))))))</f>
        <v/>
      </c>
      <c r="K262" s="131" t="str">
        <f aca="false">IF($U262="✓","✓",IF(ISNUMBER($U262),TEXT($U262,"yyyy-mm-dd"),IF($D262="Lisbonne","",IF($A262="","",IF(SUMPRODUCT((Evermont!$A$2:$A$1000=$A262)*(Evermont!$Q$2:$Q$1000="Terminé"))&gt;0,"✓",IF(SUMPRODUCT(MAX((Evermont!$A$2:$A$1000=$A262)*Evermont!$F$2:$F$1000))&gt;0,TEXT(SUMPRODUCT(MAX((Evermont!$A$2:$A$1000=$A262)*Evermont!$F$2:$F$1000)),"yyyy-mm-dd"),""))))))</f>
        <v/>
      </c>
      <c r="L262" s="131" t="str">
        <f aca="false">IF($A262="","",COUNTIF(E262:K262,"✓"))</f>
        <v/>
      </c>
      <c r="M262" s="131" t="str">
        <f aca="false">IF(B262="","","Active")</f>
        <v/>
      </c>
      <c r="W262" s="120" t="str">
        <f aca="false">IF($A262="","",IF($X262&lt;&gt;"",$X262,IFERROR(INDEX('Formation Initiale'!$B$2:$B$999,MATCH($A262,'Formation Initiale'!$A$2:$A$999,0)),"Général")))</f>
        <v/>
      </c>
    </row>
    <row r="263" customFormat="false" ht="15" hidden="true" customHeight="true" outlineLevel="0" collapsed="false">
      <c r="A263" s="142" t="str">
        <f aca="false">IF(B263="","","TR"&amp;TEXT(ROW()-1,"000"))</f>
        <v/>
      </c>
      <c r="E263" s="130" t="str">
        <f aca="false">IF($O263="✓","✓",IF(ISNUMBER($O263),TEXT($O263,"yyyy-mm-dd"),IF($A263="","",IF(SUMPRODUCT(('Formation Initiale'!$A$2:$A$999=$A263)*('Formation Initiale'!$R$2:$R$999="Terminé"))&gt;0,"✓",IF(SUMPRODUCT(MAX(('Formation Initiale'!$A$2:$A$999=$A263)*'Formation Initiale'!$G$2:$G$999))&gt;0,TEXT(SUMPRODUCT(MAX(('Formation Initiale'!$A$2:$A$999=$A263)*'Formation Initiale'!$G$2:$G$999)),"yyyy-mm-dd"),"")))))</f>
        <v/>
      </c>
      <c r="F263" s="131" t="str">
        <f aca="false">IF($P263="✓","✓",IF(ISNUMBER($P263),TEXT($P263,"yyyy-mm-dd"),IF($A263="","",IF($D263="Lisbonne","",IF(SUMPRODUCT(('Formation Initiale'!$A$2:$A$999=$A263)*('Formation Initiale'!$R$2:$R$999="Terminé"))&gt;0,"✓",IF(SUMPRODUCT(MAX(('Formation Initiale'!$A$2:$A$999=$A263)*'Formation Initiale'!$G$2:$G$999))&gt;0,TEXT(SUMPRODUCT(MAX(('Formation Initiale'!$A$2:$A$999=$A263)*'Formation Initiale'!$G$2:$G$999)),"yyyy-mm-dd"),""))))))</f>
        <v/>
      </c>
      <c r="G263" s="131" t="str">
        <f aca="false">IF($Q263="✓","✓",IF(ISNUMBER($Q263),TEXT($Q263,"yyyy-mm-dd"),IF($A263="","",IF(SUMPRODUCT(('Agences &amp; Après-vente'!$A$2:$A$1000=$A263)*(('Agences &amp; Après-vente'!$D$2:$D$1000="Agences")+('Agences &amp; Après-vente'!$D$2:$D$1000="Agences et Après-vente"))*('Agences &amp; Après-vente'!$I$2:$I$1000="DONE"))&gt;0,"✓",IF(SUMPRODUCT(MAX(('Agences &amp; Après-vente'!$A$2:$A$1000=$A263)*(('Agences &amp; Après-vente'!$D$2:$D$1000="Agences")+('Agences &amp; Après-vente'!$D$2:$D$1000="Agences et Après-vente"))*'Agences &amp; Après-vente'!$E$2:$E$1000))&gt;0,TEXT(SUMPRODUCT(MAX(('Agences &amp; Après-vente'!$A$2:$A$1000=$A263)*(('Agences &amp; Après-vente'!$D$2:$D$1000="Agences")+('Agences &amp; Après-vente'!$D$2:$D$1000="Agences et Après-vente"))*'Agences &amp; Après-vente'!$E$2:$E$1000)),"yyyy-mm-dd"),"")))))</f>
        <v/>
      </c>
      <c r="H263" s="131" t="str">
        <f aca="false">IF($R263="✓","✓",IF(ISNUMBER($R263),TEXT($R263,"yyyy-mm-dd"),IF($A263="","",IF($D263="Lisbonne","",IF(SUMPRODUCT(('Agences &amp; Après-vente'!$A$2:$A$1000=$A263)*(('Agences &amp; Après-vente'!$D$2:$D$1000="Agences")+('Agences &amp; Après-vente'!$D$2:$D$1000="Agences et Après-vente"))*('Agences &amp; Après-vente'!$I$2:$I$1000="DONE"))&gt;0,"✓",IF(SUMPRODUCT(MAX(('Agences &amp; Après-vente'!$A$2:$A$1000=$A263)*(('Agences &amp; Après-vente'!$D$2:$D$1000="Agences")+('Agences &amp; Après-vente'!$D$2:$D$1000="Agences et Après-vente"))*'Agences &amp; Après-vente'!$E$2:$E$1000))&gt;0,TEXT(SUMPRODUCT(MAX(('Agences &amp; Après-vente'!$A$2:$A$1000=$A263)*(('Agences &amp; Après-vente'!$D$2:$D$1000="Agences")+('Agences &amp; Après-vente'!$D$2:$D$1000="Agences et Après-vente"))*'Agences &amp; Après-vente'!$E$2:$E$1000)),"yyyy-mm-dd"),""))))))</f>
        <v/>
      </c>
      <c r="I263" s="131" t="str">
        <f aca="false">IF($S263="✓","✓",IF(ISNUMBER($S263),TEXT($S263,"yyyy-mm-dd"),IF($A263="","",IF(SUMPRODUCT(('Agences &amp; Après-vente'!$A$2:$A$1000=$A263)*(('Agences &amp; Après-vente'!$D$2:$D$1000="Après-vente")+('Agences &amp; Après-vente'!$D$2:$D$1000="Agences et Après-vente"))*('Agences &amp; Après-vente'!$I$2:$I$1000="DONE"))&gt;0,"✓",IF(SUMPRODUCT(MAX(('Agences &amp; Après-vente'!$A$2:$A$1000=$A263)*(('Agences &amp; Après-vente'!$D$2:$D$1000="Après-vente")+('Agences &amp; Après-vente'!$D$2:$D$1000="Agences et Après-vente"))*'Agences &amp; Après-vente'!$E$2:$E$1000))&gt;0,TEXT(SUMPRODUCT(MAX(('Agences &amp; Après-vente'!$A$2:$A$1000=$A263)*(('Agences &amp; Après-vente'!$D$2:$D$1000="Après-vente")+('Agences &amp; Après-vente'!$D$2:$D$1000="Agences et Après-vente"))*'Agences &amp; Après-vente'!$E$2:$E$1000)),"yyyy-mm-dd"),"")))))</f>
        <v/>
      </c>
      <c r="J263" s="131" t="str">
        <f aca="false">IF($T263="✓","✓",IF(ISNUMBER($T263),TEXT($T263,"yyyy-mm-dd"),IF($A263="","",IF($D263="Lisbonne","",IF(SUMPRODUCT(('Agences &amp; Après-vente'!$A$2:$A$1000=$A263)*(('Agences &amp; Après-vente'!$D$2:$D$1000="Après-vente")+('Agences &amp; Après-vente'!$D$2:$D$1000="Agences et Après-vente"))*('Agences &amp; Après-vente'!$I$2:$I$1000="DONE"))&gt;0,"✓",IF(SUMPRODUCT(MAX(('Agences &amp; Après-vente'!$A$2:$A$1000=$A263)*(('Agences &amp; Après-vente'!$D$2:$D$1000="Après-vente")+('Agences &amp; Après-vente'!$D$2:$D$1000="Agences et Après-vente"))*'Agences &amp; Après-vente'!$E$2:$E$1000))&gt;0,TEXT(SUMPRODUCT(MAX(('Agences &amp; Après-vente'!$A$2:$A$1000=$A263)*(('Agences &amp; Après-vente'!$D$2:$D$1000="Après-vente")+('Agences &amp; Après-vente'!$D$2:$D$1000="Agences et Après-vente"))*'Agences &amp; Après-vente'!$E$2:$E$1000)),"yyyy-mm-dd"),""))))))</f>
        <v/>
      </c>
      <c r="K263" s="131" t="str">
        <f aca="false">IF($U263="✓","✓",IF(ISNUMBER($U263),TEXT($U263,"yyyy-mm-dd"),IF($D263="Lisbonne","",IF($A263="","",IF(SUMPRODUCT((Evermont!$A$2:$A$1000=$A263)*(Evermont!$Q$2:$Q$1000="Terminé"))&gt;0,"✓",IF(SUMPRODUCT(MAX((Evermont!$A$2:$A$1000=$A263)*Evermont!$F$2:$F$1000))&gt;0,TEXT(SUMPRODUCT(MAX((Evermont!$A$2:$A$1000=$A263)*Evermont!$F$2:$F$1000)),"yyyy-mm-dd"),""))))))</f>
        <v/>
      </c>
      <c r="L263" s="131" t="str">
        <f aca="false">IF($A263="","",COUNTIF(E263:K263,"✓"))</f>
        <v/>
      </c>
      <c r="M263" s="131" t="str">
        <f aca="false">IF(B263="","","Active")</f>
        <v/>
      </c>
      <c r="W263" s="120" t="str">
        <f aca="false">IF($A263="","",IF($X263&lt;&gt;"",$X263,IFERROR(INDEX('Formation Initiale'!$B$2:$B$999,MATCH($A263,'Formation Initiale'!$A$2:$A$999,0)),"Général")))</f>
        <v/>
      </c>
    </row>
    <row r="264" customFormat="false" ht="15" hidden="true" customHeight="true" outlineLevel="0" collapsed="false">
      <c r="A264" s="142" t="str">
        <f aca="false">IF(B264="","","TR"&amp;TEXT(ROW()-1,"000"))</f>
        <v/>
      </c>
      <c r="E264" s="130" t="str">
        <f aca="false">IF($O264="✓","✓",IF(ISNUMBER($O264),TEXT($O264,"yyyy-mm-dd"),IF($A264="","",IF(SUMPRODUCT(('Formation Initiale'!$A$2:$A$999=$A264)*('Formation Initiale'!$R$2:$R$999="Terminé"))&gt;0,"✓",IF(SUMPRODUCT(MAX(('Formation Initiale'!$A$2:$A$999=$A264)*'Formation Initiale'!$G$2:$G$999))&gt;0,TEXT(SUMPRODUCT(MAX(('Formation Initiale'!$A$2:$A$999=$A264)*'Formation Initiale'!$G$2:$G$999)),"yyyy-mm-dd"),"")))))</f>
        <v/>
      </c>
      <c r="F264" s="131" t="str">
        <f aca="false">IF($P264="✓","✓",IF(ISNUMBER($P264),TEXT($P264,"yyyy-mm-dd"),IF($A264="","",IF($D264="Lisbonne","",IF(SUMPRODUCT(('Formation Initiale'!$A$2:$A$999=$A264)*('Formation Initiale'!$R$2:$R$999="Terminé"))&gt;0,"✓",IF(SUMPRODUCT(MAX(('Formation Initiale'!$A$2:$A$999=$A264)*'Formation Initiale'!$G$2:$G$999))&gt;0,TEXT(SUMPRODUCT(MAX(('Formation Initiale'!$A$2:$A$999=$A264)*'Formation Initiale'!$G$2:$G$999)),"yyyy-mm-dd"),""))))))</f>
        <v/>
      </c>
      <c r="G264" s="131" t="str">
        <f aca="false">IF($Q264="✓","✓",IF(ISNUMBER($Q264),TEXT($Q264,"yyyy-mm-dd"),IF($A264="","",IF(SUMPRODUCT(('Agences &amp; Après-vente'!$A$2:$A$1000=$A264)*(('Agences &amp; Après-vente'!$D$2:$D$1000="Agences")+('Agences &amp; Après-vente'!$D$2:$D$1000="Agences et Après-vente"))*('Agences &amp; Après-vente'!$I$2:$I$1000="DONE"))&gt;0,"✓",IF(SUMPRODUCT(MAX(('Agences &amp; Après-vente'!$A$2:$A$1000=$A264)*(('Agences &amp; Après-vente'!$D$2:$D$1000="Agences")+('Agences &amp; Après-vente'!$D$2:$D$1000="Agences et Après-vente"))*'Agences &amp; Après-vente'!$E$2:$E$1000))&gt;0,TEXT(SUMPRODUCT(MAX(('Agences &amp; Après-vente'!$A$2:$A$1000=$A264)*(('Agences &amp; Après-vente'!$D$2:$D$1000="Agences")+('Agences &amp; Après-vente'!$D$2:$D$1000="Agences et Après-vente"))*'Agences &amp; Après-vente'!$E$2:$E$1000)),"yyyy-mm-dd"),"")))))</f>
        <v/>
      </c>
      <c r="H264" s="131" t="str">
        <f aca="false">IF($R264="✓","✓",IF(ISNUMBER($R264),TEXT($R264,"yyyy-mm-dd"),IF($A264="","",IF($D264="Lisbonne","",IF(SUMPRODUCT(('Agences &amp; Après-vente'!$A$2:$A$1000=$A264)*(('Agences &amp; Après-vente'!$D$2:$D$1000="Agences")+('Agences &amp; Après-vente'!$D$2:$D$1000="Agences et Après-vente"))*('Agences &amp; Après-vente'!$I$2:$I$1000="DONE"))&gt;0,"✓",IF(SUMPRODUCT(MAX(('Agences &amp; Après-vente'!$A$2:$A$1000=$A264)*(('Agences &amp; Après-vente'!$D$2:$D$1000="Agences")+('Agences &amp; Après-vente'!$D$2:$D$1000="Agences et Après-vente"))*'Agences &amp; Après-vente'!$E$2:$E$1000))&gt;0,TEXT(SUMPRODUCT(MAX(('Agences &amp; Après-vente'!$A$2:$A$1000=$A264)*(('Agences &amp; Après-vente'!$D$2:$D$1000="Agences")+('Agences &amp; Après-vente'!$D$2:$D$1000="Agences et Après-vente"))*'Agences &amp; Après-vente'!$E$2:$E$1000)),"yyyy-mm-dd"),""))))))</f>
        <v/>
      </c>
      <c r="I264" s="131" t="str">
        <f aca="false">IF($S264="✓","✓",IF(ISNUMBER($S264),TEXT($S264,"yyyy-mm-dd"),IF($A264="","",IF(SUMPRODUCT(('Agences &amp; Après-vente'!$A$2:$A$1000=$A264)*(('Agences &amp; Après-vente'!$D$2:$D$1000="Après-vente")+('Agences &amp; Après-vente'!$D$2:$D$1000="Agences et Après-vente"))*('Agences &amp; Après-vente'!$I$2:$I$1000="DONE"))&gt;0,"✓",IF(SUMPRODUCT(MAX(('Agences &amp; Après-vente'!$A$2:$A$1000=$A264)*(('Agences &amp; Après-vente'!$D$2:$D$1000="Après-vente")+('Agences &amp; Après-vente'!$D$2:$D$1000="Agences et Après-vente"))*'Agences &amp; Après-vente'!$E$2:$E$1000))&gt;0,TEXT(SUMPRODUCT(MAX(('Agences &amp; Après-vente'!$A$2:$A$1000=$A264)*(('Agences &amp; Après-vente'!$D$2:$D$1000="Après-vente")+('Agences &amp; Après-vente'!$D$2:$D$1000="Agences et Après-vente"))*'Agences &amp; Après-vente'!$E$2:$E$1000)),"yyyy-mm-dd"),"")))))</f>
        <v/>
      </c>
      <c r="J264" s="131" t="str">
        <f aca="false">IF($T264="✓","✓",IF(ISNUMBER($T264),TEXT($T264,"yyyy-mm-dd"),IF($A264="","",IF($D264="Lisbonne","",IF(SUMPRODUCT(('Agences &amp; Après-vente'!$A$2:$A$1000=$A264)*(('Agences &amp; Après-vente'!$D$2:$D$1000="Après-vente")+('Agences &amp; Après-vente'!$D$2:$D$1000="Agences et Après-vente"))*('Agences &amp; Après-vente'!$I$2:$I$1000="DONE"))&gt;0,"✓",IF(SUMPRODUCT(MAX(('Agences &amp; Après-vente'!$A$2:$A$1000=$A264)*(('Agences &amp; Après-vente'!$D$2:$D$1000="Après-vente")+('Agences &amp; Après-vente'!$D$2:$D$1000="Agences et Après-vente"))*'Agences &amp; Après-vente'!$E$2:$E$1000))&gt;0,TEXT(SUMPRODUCT(MAX(('Agences &amp; Après-vente'!$A$2:$A$1000=$A264)*(('Agences &amp; Après-vente'!$D$2:$D$1000="Après-vente")+('Agences &amp; Après-vente'!$D$2:$D$1000="Agences et Après-vente"))*'Agences &amp; Après-vente'!$E$2:$E$1000)),"yyyy-mm-dd"),""))))))</f>
        <v/>
      </c>
      <c r="K264" s="131" t="str">
        <f aca="false">IF($U264="✓","✓",IF(ISNUMBER($U264),TEXT($U264,"yyyy-mm-dd"),IF($D264="Lisbonne","",IF($A264="","",IF(SUMPRODUCT((Evermont!$A$2:$A$1000=$A264)*(Evermont!$Q$2:$Q$1000="Terminé"))&gt;0,"✓",IF(SUMPRODUCT(MAX((Evermont!$A$2:$A$1000=$A264)*Evermont!$F$2:$F$1000))&gt;0,TEXT(SUMPRODUCT(MAX((Evermont!$A$2:$A$1000=$A264)*Evermont!$F$2:$F$1000)),"yyyy-mm-dd"),""))))))</f>
        <v/>
      </c>
      <c r="L264" s="131" t="str">
        <f aca="false">IF($A264="","",COUNTIF(E264:K264,"✓"))</f>
        <v/>
      </c>
      <c r="M264" s="131" t="str">
        <f aca="false">IF(B264="","","Active")</f>
        <v/>
      </c>
      <c r="W264" s="120" t="str">
        <f aca="false">IF($A264="","",IF($X264&lt;&gt;"",$X264,IFERROR(INDEX('Formation Initiale'!$B$2:$B$999,MATCH($A264,'Formation Initiale'!$A$2:$A$999,0)),"Général")))</f>
        <v/>
      </c>
    </row>
    <row r="265" customFormat="false" ht="15" hidden="true" customHeight="true" outlineLevel="0" collapsed="false">
      <c r="A265" s="142" t="str">
        <f aca="false">IF(B265="","","TR"&amp;TEXT(ROW()-1,"000"))</f>
        <v/>
      </c>
      <c r="E265" s="130" t="str">
        <f aca="false">IF($O265="✓","✓",IF(ISNUMBER($O265),TEXT($O265,"yyyy-mm-dd"),IF($A265="","",IF(SUMPRODUCT(('Formation Initiale'!$A$2:$A$999=$A265)*('Formation Initiale'!$R$2:$R$999="Terminé"))&gt;0,"✓",IF(SUMPRODUCT(MAX(('Formation Initiale'!$A$2:$A$999=$A265)*'Formation Initiale'!$G$2:$G$999))&gt;0,TEXT(SUMPRODUCT(MAX(('Formation Initiale'!$A$2:$A$999=$A265)*'Formation Initiale'!$G$2:$G$999)),"yyyy-mm-dd"),"")))))</f>
        <v/>
      </c>
      <c r="F265" s="131" t="str">
        <f aca="false">IF($P265="✓","✓",IF(ISNUMBER($P265),TEXT($P265,"yyyy-mm-dd"),IF($A265="","",IF($D265="Lisbonne","",IF(SUMPRODUCT(('Formation Initiale'!$A$2:$A$999=$A265)*('Formation Initiale'!$R$2:$R$999="Terminé"))&gt;0,"✓",IF(SUMPRODUCT(MAX(('Formation Initiale'!$A$2:$A$999=$A265)*'Formation Initiale'!$G$2:$G$999))&gt;0,TEXT(SUMPRODUCT(MAX(('Formation Initiale'!$A$2:$A$999=$A265)*'Formation Initiale'!$G$2:$G$999)),"yyyy-mm-dd"),""))))))</f>
        <v/>
      </c>
      <c r="G265" s="131" t="str">
        <f aca="false">IF($Q265="✓","✓",IF(ISNUMBER($Q265),TEXT($Q265,"yyyy-mm-dd"),IF($A265="","",IF(SUMPRODUCT(('Agences &amp; Après-vente'!$A$2:$A$1000=$A265)*(('Agences &amp; Après-vente'!$D$2:$D$1000="Agences")+('Agences &amp; Après-vente'!$D$2:$D$1000="Agences et Après-vente"))*('Agences &amp; Après-vente'!$I$2:$I$1000="DONE"))&gt;0,"✓",IF(SUMPRODUCT(MAX(('Agences &amp; Après-vente'!$A$2:$A$1000=$A265)*(('Agences &amp; Après-vente'!$D$2:$D$1000="Agences")+('Agences &amp; Après-vente'!$D$2:$D$1000="Agences et Après-vente"))*'Agences &amp; Après-vente'!$E$2:$E$1000))&gt;0,TEXT(SUMPRODUCT(MAX(('Agences &amp; Après-vente'!$A$2:$A$1000=$A265)*(('Agences &amp; Après-vente'!$D$2:$D$1000="Agences")+('Agences &amp; Après-vente'!$D$2:$D$1000="Agences et Après-vente"))*'Agences &amp; Après-vente'!$E$2:$E$1000)),"yyyy-mm-dd"),"")))))</f>
        <v/>
      </c>
      <c r="H265" s="131" t="str">
        <f aca="false">IF($R265="✓","✓",IF(ISNUMBER($R265),TEXT($R265,"yyyy-mm-dd"),IF($A265="","",IF($D265="Lisbonne","",IF(SUMPRODUCT(('Agences &amp; Après-vente'!$A$2:$A$1000=$A265)*(('Agences &amp; Après-vente'!$D$2:$D$1000="Agences")+('Agences &amp; Après-vente'!$D$2:$D$1000="Agences et Après-vente"))*('Agences &amp; Après-vente'!$I$2:$I$1000="DONE"))&gt;0,"✓",IF(SUMPRODUCT(MAX(('Agences &amp; Après-vente'!$A$2:$A$1000=$A265)*(('Agences &amp; Après-vente'!$D$2:$D$1000="Agences")+('Agences &amp; Après-vente'!$D$2:$D$1000="Agences et Après-vente"))*'Agences &amp; Après-vente'!$E$2:$E$1000))&gt;0,TEXT(SUMPRODUCT(MAX(('Agences &amp; Après-vente'!$A$2:$A$1000=$A265)*(('Agences &amp; Après-vente'!$D$2:$D$1000="Agences")+('Agences &amp; Après-vente'!$D$2:$D$1000="Agences et Après-vente"))*'Agences &amp; Après-vente'!$E$2:$E$1000)),"yyyy-mm-dd"),""))))))</f>
        <v/>
      </c>
      <c r="I265" s="131" t="str">
        <f aca="false">IF($S265="✓","✓",IF(ISNUMBER($S265),TEXT($S265,"yyyy-mm-dd"),IF($A265="","",IF(SUMPRODUCT(('Agences &amp; Après-vente'!$A$2:$A$1000=$A265)*(('Agences &amp; Après-vente'!$D$2:$D$1000="Après-vente")+('Agences &amp; Après-vente'!$D$2:$D$1000="Agences et Après-vente"))*('Agences &amp; Après-vente'!$I$2:$I$1000="DONE"))&gt;0,"✓",IF(SUMPRODUCT(MAX(('Agences &amp; Après-vente'!$A$2:$A$1000=$A265)*(('Agences &amp; Après-vente'!$D$2:$D$1000="Après-vente")+('Agences &amp; Après-vente'!$D$2:$D$1000="Agences et Après-vente"))*'Agences &amp; Après-vente'!$E$2:$E$1000))&gt;0,TEXT(SUMPRODUCT(MAX(('Agences &amp; Après-vente'!$A$2:$A$1000=$A265)*(('Agences &amp; Après-vente'!$D$2:$D$1000="Après-vente")+('Agences &amp; Après-vente'!$D$2:$D$1000="Agences et Après-vente"))*'Agences &amp; Après-vente'!$E$2:$E$1000)),"yyyy-mm-dd"),"")))))</f>
        <v/>
      </c>
      <c r="J265" s="131" t="str">
        <f aca="false">IF($T265="✓","✓",IF(ISNUMBER($T265),TEXT($T265,"yyyy-mm-dd"),IF($A265="","",IF($D265="Lisbonne","",IF(SUMPRODUCT(('Agences &amp; Après-vente'!$A$2:$A$1000=$A265)*(('Agences &amp; Après-vente'!$D$2:$D$1000="Après-vente")+('Agences &amp; Après-vente'!$D$2:$D$1000="Agences et Après-vente"))*('Agences &amp; Après-vente'!$I$2:$I$1000="DONE"))&gt;0,"✓",IF(SUMPRODUCT(MAX(('Agences &amp; Après-vente'!$A$2:$A$1000=$A265)*(('Agences &amp; Après-vente'!$D$2:$D$1000="Après-vente")+('Agences &amp; Après-vente'!$D$2:$D$1000="Agences et Après-vente"))*'Agences &amp; Après-vente'!$E$2:$E$1000))&gt;0,TEXT(SUMPRODUCT(MAX(('Agences &amp; Après-vente'!$A$2:$A$1000=$A265)*(('Agences &amp; Après-vente'!$D$2:$D$1000="Après-vente")+('Agences &amp; Après-vente'!$D$2:$D$1000="Agences et Après-vente"))*'Agences &amp; Après-vente'!$E$2:$E$1000)),"yyyy-mm-dd"),""))))))</f>
        <v/>
      </c>
      <c r="K265" s="131" t="str">
        <f aca="false">IF($U265="✓","✓",IF(ISNUMBER($U265),TEXT($U265,"yyyy-mm-dd"),IF($D265="Lisbonne","",IF($A265="","",IF(SUMPRODUCT((Evermont!$A$2:$A$1000=$A265)*(Evermont!$Q$2:$Q$1000="Terminé"))&gt;0,"✓",IF(SUMPRODUCT(MAX((Evermont!$A$2:$A$1000=$A265)*Evermont!$F$2:$F$1000))&gt;0,TEXT(SUMPRODUCT(MAX((Evermont!$A$2:$A$1000=$A265)*Evermont!$F$2:$F$1000)),"yyyy-mm-dd"),""))))))</f>
        <v/>
      </c>
      <c r="L265" s="131" t="str">
        <f aca="false">IF($A265="","",COUNTIF(E265:K265,"✓"))</f>
        <v/>
      </c>
      <c r="M265" s="131" t="str">
        <f aca="false">IF(B265="","","Active")</f>
        <v/>
      </c>
      <c r="W265" s="120" t="str">
        <f aca="false">IF($A265="","",IF($X265&lt;&gt;"",$X265,IFERROR(INDEX('Formation Initiale'!$B$2:$B$999,MATCH($A265,'Formation Initiale'!$A$2:$A$999,0)),"Général")))</f>
        <v/>
      </c>
    </row>
    <row r="266" customFormat="false" ht="15" hidden="true" customHeight="true" outlineLevel="0" collapsed="false">
      <c r="A266" s="142" t="str">
        <f aca="false">IF(B266="","","TR"&amp;TEXT(ROW()-1,"000"))</f>
        <v/>
      </c>
      <c r="E266" s="130" t="str">
        <f aca="false">IF($O266="✓","✓",IF(ISNUMBER($O266),TEXT($O266,"yyyy-mm-dd"),IF($A266="","",IF(SUMPRODUCT(('Formation Initiale'!$A$2:$A$999=$A266)*('Formation Initiale'!$R$2:$R$999="Terminé"))&gt;0,"✓",IF(SUMPRODUCT(MAX(('Formation Initiale'!$A$2:$A$999=$A266)*'Formation Initiale'!$G$2:$G$999))&gt;0,TEXT(SUMPRODUCT(MAX(('Formation Initiale'!$A$2:$A$999=$A266)*'Formation Initiale'!$G$2:$G$999)),"yyyy-mm-dd"),"")))))</f>
        <v/>
      </c>
      <c r="F266" s="131" t="str">
        <f aca="false">IF($P266="✓","✓",IF(ISNUMBER($P266),TEXT($P266,"yyyy-mm-dd"),IF($A266="","",IF($D266="Lisbonne","",IF(SUMPRODUCT(('Formation Initiale'!$A$2:$A$999=$A266)*('Formation Initiale'!$R$2:$R$999="Terminé"))&gt;0,"✓",IF(SUMPRODUCT(MAX(('Formation Initiale'!$A$2:$A$999=$A266)*'Formation Initiale'!$G$2:$G$999))&gt;0,TEXT(SUMPRODUCT(MAX(('Formation Initiale'!$A$2:$A$999=$A266)*'Formation Initiale'!$G$2:$G$999)),"yyyy-mm-dd"),""))))))</f>
        <v/>
      </c>
      <c r="G266" s="131" t="str">
        <f aca="false">IF($Q266="✓","✓",IF(ISNUMBER($Q266),TEXT($Q266,"yyyy-mm-dd"),IF($A266="","",IF(SUMPRODUCT(('Agences &amp; Après-vente'!$A$2:$A$1000=$A266)*(('Agences &amp; Après-vente'!$D$2:$D$1000="Agences")+('Agences &amp; Après-vente'!$D$2:$D$1000="Agences et Après-vente"))*('Agences &amp; Après-vente'!$I$2:$I$1000="DONE"))&gt;0,"✓",IF(SUMPRODUCT(MAX(('Agences &amp; Après-vente'!$A$2:$A$1000=$A266)*(('Agences &amp; Après-vente'!$D$2:$D$1000="Agences")+('Agences &amp; Après-vente'!$D$2:$D$1000="Agences et Après-vente"))*'Agences &amp; Après-vente'!$E$2:$E$1000))&gt;0,TEXT(SUMPRODUCT(MAX(('Agences &amp; Après-vente'!$A$2:$A$1000=$A266)*(('Agences &amp; Après-vente'!$D$2:$D$1000="Agences")+('Agences &amp; Après-vente'!$D$2:$D$1000="Agences et Après-vente"))*'Agences &amp; Après-vente'!$E$2:$E$1000)),"yyyy-mm-dd"),"")))))</f>
        <v/>
      </c>
      <c r="H266" s="131" t="str">
        <f aca="false">IF($R266="✓","✓",IF(ISNUMBER($R266),TEXT($R266,"yyyy-mm-dd"),IF($A266="","",IF($D266="Lisbonne","",IF(SUMPRODUCT(('Agences &amp; Après-vente'!$A$2:$A$1000=$A266)*(('Agences &amp; Après-vente'!$D$2:$D$1000="Agences")+('Agences &amp; Après-vente'!$D$2:$D$1000="Agences et Après-vente"))*('Agences &amp; Après-vente'!$I$2:$I$1000="DONE"))&gt;0,"✓",IF(SUMPRODUCT(MAX(('Agences &amp; Après-vente'!$A$2:$A$1000=$A266)*(('Agences &amp; Après-vente'!$D$2:$D$1000="Agences")+('Agences &amp; Après-vente'!$D$2:$D$1000="Agences et Après-vente"))*'Agences &amp; Après-vente'!$E$2:$E$1000))&gt;0,TEXT(SUMPRODUCT(MAX(('Agences &amp; Après-vente'!$A$2:$A$1000=$A266)*(('Agences &amp; Après-vente'!$D$2:$D$1000="Agences")+('Agences &amp; Après-vente'!$D$2:$D$1000="Agences et Après-vente"))*'Agences &amp; Après-vente'!$E$2:$E$1000)),"yyyy-mm-dd"),""))))))</f>
        <v/>
      </c>
      <c r="I266" s="131" t="str">
        <f aca="false">IF($S266="✓","✓",IF(ISNUMBER($S266),TEXT($S266,"yyyy-mm-dd"),IF($A266="","",IF(SUMPRODUCT(('Agences &amp; Après-vente'!$A$2:$A$1000=$A266)*(('Agences &amp; Après-vente'!$D$2:$D$1000="Après-vente")+('Agences &amp; Après-vente'!$D$2:$D$1000="Agences et Après-vente"))*('Agences &amp; Après-vente'!$I$2:$I$1000="DONE"))&gt;0,"✓",IF(SUMPRODUCT(MAX(('Agences &amp; Après-vente'!$A$2:$A$1000=$A266)*(('Agences &amp; Après-vente'!$D$2:$D$1000="Après-vente")+('Agences &amp; Après-vente'!$D$2:$D$1000="Agences et Après-vente"))*'Agences &amp; Après-vente'!$E$2:$E$1000))&gt;0,TEXT(SUMPRODUCT(MAX(('Agences &amp; Après-vente'!$A$2:$A$1000=$A266)*(('Agences &amp; Après-vente'!$D$2:$D$1000="Après-vente")+('Agences &amp; Après-vente'!$D$2:$D$1000="Agences et Après-vente"))*'Agences &amp; Après-vente'!$E$2:$E$1000)),"yyyy-mm-dd"),"")))))</f>
        <v/>
      </c>
      <c r="J266" s="131" t="str">
        <f aca="false">IF($T266="✓","✓",IF(ISNUMBER($T266),TEXT($T266,"yyyy-mm-dd"),IF($A266="","",IF($D266="Lisbonne","",IF(SUMPRODUCT(('Agences &amp; Après-vente'!$A$2:$A$1000=$A266)*(('Agences &amp; Après-vente'!$D$2:$D$1000="Après-vente")+('Agences &amp; Après-vente'!$D$2:$D$1000="Agences et Après-vente"))*('Agences &amp; Après-vente'!$I$2:$I$1000="DONE"))&gt;0,"✓",IF(SUMPRODUCT(MAX(('Agences &amp; Après-vente'!$A$2:$A$1000=$A266)*(('Agences &amp; Après-vente'!$D$2:$D$1000="Après-vente")+('Agences &amp; Après-vente'!$D$2:$D$1000="Agences et Après-vente"))*'Agences &amp; Après-vente'!$E$2:$E$1000))&gt;0,TEXT(SUMPRODUCT(MAX(('Agences &amp; Après-vente'!$A$2:$A$1000=$A266)*(('Agences &amp; Après-vente'!$D$2:$D$1000="Après-vente")+('Agences &amp; Après-vente'!$D$2:$D$1000="Agences et Après-vente"))*'Agences &amp; Après-vente'!$E$2:$E$1000)),"yyyy-mm-dd"),""))))))</f>
        <v/>
      </c>
      <c r="K266" s="131" t="str">
        <f aca="false">IF($U266="✓","✓",IF(ISNUMBER($U266),TEXT($U266,"yyyy-mm-dd"),IF($D266="Lisbonne","",IF($A266="","",IF(SUMPRODUCT((Evermont!$A$2:$A$1000=$A266)*(Evermont!$Q$2:$Q$1000="Terminé"))&gt;0,"✓",IF(SUMPRODUCT(MAX((Evermont!$A$2:$A$1000=$A266)*Evermont!$F$2:$F$1000))&gt;0,TEXT(SUMPRODUCT(MAX((Evermont!$A$2:$A$1000=$A266)*Evermont!$F$2:$F$1000)),"yyyy-mm-dd"),""))))))</f>
        <v/>
      </c>
      <c r="L266" s="131" t="str">
        <f aca="false">IF($A266="","",COUNTIF(E266:K266,"✓"))</f>
        <v/>
      </c>
      <c r="M266" s="131" t="str">
        <f aca="false">IF(B266="","","Active")</f>
        <v/>
      </c>
      <c r="W266" s="120" t="str">
        <f aca="false">IF($A266="","",IF($X266&lt;&gt;"",$X266,IFERROR(INDEX('Formation Initiale'!$B$2:$B$999,MATCH($A266,'Formation Initiale'!$A$2:$A$999,0)),"Général")))</f>
        <v/>
      </c>
    </row>
    <row r="267" customFormat="false" ht="15" hidden="true" customHeight="true" outlineLevel="0" collapsed="false">
      <c r="A267" s="142" t="str">
        <f aca="false">IF(B267="","","TR"&amp;TEXT(ROW()-1,"000"))</f>
        <v/>
      </c>
      <c r="E267" s="130" t="str">
        <f aca="false">IF($O267="✓","✓",IF(ISNUMBER($O267),TEXT($O267,"yyyy-mm-dd"),IF($A267="","",IF(SUMPRODUCT(('Formation Initiale'!$A$2:$A$999=$A267)*('Formation Initiale'!$R$2:$R$999="Terminé"))&gt;0,"✓",IF(SUMPRODUCT(MAX(('Formation Initiale'!$A$2:$A$999=$A267)*'Formation Initiale'!$G$2:$G$999))&gt;0,TEXT(SUMPRODUCT(MAX(('Formation Initiale'!$A$2:$A$999=$A267)*'Formation Initiale'!$G$2:$G$999)),"yyyy-mm-dd"),"")))))</f>
        <v/>
      </c>
      <c r="F267" s="131" t="str">
        <f aca="false">IF($P267="✓","✓",IF(ISNUMBER($P267),TEXT($P267,"yyyy-mm-dd"),IF($A267="","",IF($D267="Lisbonne","",IF(SUMPRODUCT(('Formation Initiale'!$A$2:$A$999=$A267)*('Formation Initiale'!$R$2:$R$999="Terminé"))&gt;0,"✓",IF(SUMPRODUCT(MAX(('Formation Initiale'!$A$2:$A$999=$A267)*'Formation Initiale'!$G$2:$G$999))&gt;0,TEXT(SUMPRODUCT(MAX(('Formation Initiale'!$A$2:$A$999=$A267)*'Formation Initiale'!$G$2:$G$999)),"yyyy-mm-dd"),""))))))</f>
        <v/>
      </c>
      <c r="G267" s="131" t="str">
        <f aca="false">IF($Q267="✓","✓",IF(ISNUMBER($Q267),TEXT($Q267,"yyyy-mm-dd"),IF($A267="","",IF(SUMPRODUCT(('Agences &amp; Après-vente'!$A$2:$A$1000=$A267)*(('Agences &amp; Après-vente'!$D$2:$D$1000="Agences")+('Agences &amp; Après-vente'!$D$2:$D$1000="Agences et Après-vente"))*('Agences &amp; Après-vente'!$I$2:$I$1000="DONE"))&gt;0,"✓",IF(SUMPRODUCT(MAX(('Agences &amp; Après-vente'!$A$2:$A$1000=$A267)*(('Agences &amp; Après-vente'!$D$2:$D$1000="Agences")+('Agences &amp; Après-vente'!$D$2:$D$1000="Agences et Après-vente"))*'Agences &amp; Après-vente'!$E$2:$E$1000))&gt;0,TEXT(SUMPRODUCT(MAX(('Agences &amp; Après-vente'!$A$2:$A$1000=$A267)*(('Agences &amp; Après-vente'!$D$2:$D$1000="Agences")+('Agences &amp; Après-vente'!$D$2:$D$1000="Agences et Après-vente"))*'Agences &amp; Après-vente'!$E$2:$E$1000)),"yyyy-mm-dd"),"")))))</f>
        <v/>
      </c>
      <c r="H267" s="131" t="str">
        <f aca="false">IF($R267="✓","✓",IF(ISNUMBER($R267),TEXT($R267,"yyyy-mm-dd"),IF($A267="","",IF($D267="Lisbonne","",IF(SUMPRODUCT(('Agences &amp; Après-vente'!$A$2:$A$1000=$A267)*(('Agences &amp; Après-vente'!$D$2:$D$1000="Agences")+('Agences &amp; Après-vente'!$D$2:$D$1000="Agences et Après-vente"))*('Agences &amp; Après-vente'!$I$2:$I$1000="DONE"))&gt;0,"✓",IF(SUMPRODUCT(MAX(('Agences &amp; Après-vente'!$A$2:$A$1000=$A267)*(('Agences &amp; Après-vente'!$D$2:$D$1000="Agences")+('Agences &amp; Après-vente'!$D$2:$D$1000="Agences et Après-vente"))*'Agences &amp; Après-vente'!$E$2:$E$1000))&gt;0,TEXT(SUMPRODUCT(MAX(('Agences &amp; Après-vente'!$A$2:$A$1000=$A267)*(('Agences &amp; Après-vente'!$D$2:$D$1000="Agences")+('Agences &amp; Après-vente'!$D$2:$D$1000="Agences et Après-vente"))*'Agences &amp; Après-vente'!$E$2:$E$1000)),"yyyy-mm-dd"),""))))))</f>
        <v/>
      </c>
      <c r="I267" s="131" t="str">
        <f aca="false">IF($S267="✓","✓",IF(ISNUMBER($S267),TEXT($S267,"yyyy-mm-dd"),IF($A267="","",IF(SUMPRODUCT(('Agences &amp; Après-vente'!$A$2:$A$1000=$A267)*(('Agences &amp; Après-vente'!$D$2:$D$1000="Après-vente")+('Agences &amp; Après-vente'!$D$2:$D$1000="Agences et Après-vente"))*('Agences &amp; Après-vente'!$I$2:$I$1000="DONE"))&gt;0,"✓",IF(SUMPRODUCT(MAX(('Agences &amp; Après-vente'!$A$2:$A$1000=$A267)*(('Agences &amp; Après-vente'!$D$2:$D$1000="Après-vente")+('Agences &amp; Après-vente'!$D$2:$D$1000="Agences et Après-vente"))*'Agences &amp; Après-vente'!$E$2:$E$1000))&gt;0,TEXT(SUMPRODUCT(MAX(('Agences &amp; Après-vente'!$A$2:$A$1000=$A267)*(('Agences &amp; Après-vente'!$D$2:$D$1000="Après-vente")+('Agences &amp; Après-vente'!$D$2:$D$1000="Agences et Après-vente"))*'Agences &amp; Après-vente'!$E$2:$E$1000)),"yyyy-mm-dd"),"")))))</f>
        <v/>
      </c>
      <c r="J267" s="131" t="str">
        <f aca="false">IF($T267="✓","✓",IF(ISNUMBER($T267),TEXT($T267,"yyyy-mm-dd"),IF($A267="","",IF($D267="Lisbonne","",IF(SUMPRODUCT(('Agences &amp; Après-vente'!$A$2:$A$1000=$A267)*(('Agences &amp; Après-vente'!$D$2:$D$1000="Après-vente")+('Agences &amp; Après-vente'!$D$2:$D$1000="Agences et Après-vente"))*('Agences &amp; Après-vente'!$I$2:$I$1000="DONE"))&gt;0,"✓",IF(SUMPRODUCT(MAX(('Agences &amp; Après-vente'!$A$2:$A$1000=$A267)*(('Agences &amp; Après-vente'!$D$2:$D$1000="Après-vente")+('Agences &amp; Après-vente'!$D$2:$D$1000="Agences et Après-vente"))*'Agences &amp; Après-vente'!$E$2:$E$1000))&gt;0,TEXT(SUMPRODUCT(MAX(('Agences &amp; Après-vente'!$A$2:$A$1000=$A267)*(('Agences &amp; Après-vente'!$D$2:$D$1000="Après-vente")+('Agences &amp; Après-vente'!$D$2:$D$1000="Agences et Après-vente"))*'Agences &amp; Après-vente'!$E$2:$E$1000)),"yyyy-mm-dd"),""))))))</f>
        <v/>
      </c>
      <c r="K267" s="131" t="str">
        <f aca="false">IF($U267="✓","✓",IF(ISNUMBER($U267),TEXT($U267,"yyyy-mm-dd"),IF($D267="Lisbonne","",IF($A267="","",IF(SUMPRODUCT((Evermont!$A$2:$A$1000=$A267)*(Evermont!$Q$2:$Q$1000="Terminé"))&gt;0,"✓",IF(SUMPRODUCT(MAX((Evermont!$A$2:$A$1000=$A267)*Evermont!$F$2:$F$1000))&gt;0,TEXT(SUMPRODUCT(MAX((Evermont!$A$2:$A$1000=$A267)*Evermont!$F$2:$F$1000)),"yyyy-mm-dd"),""))))))</f>
        <v/>
      </c>
      <c r="L267" s="131" t="str">
        <f aca="false">IF($A267="","",COUNTIF(E267:K267,"✓"))</f>
        <v/>
      </c>
      <c r="M267" s="131" t="str">
        <f aca="false">IF(B267="","","Active")</f>
        <v/>
      </c>
      <c r="W267" s="120" t="str">
        <f aca="false">IF($A267="","",IF($X267&lt;&gt;"",$X267,IFERROR(INDEX('Formation Initiale'!$B$2:$B$999,MATCH($A267,'Formation Initiale'!$A$2:$A$999,0)),"Général")))</f>
        <v/>
      </c>
    </row>
    <row r="268" customFormat="false" ht="15" hidden="true" customHeight="true" outlineLevel="0" collapsed="false">
      <c r="A268" s="142" t="str">
        <f aca="false">IF(B268="","","TR"&amp;TEXT(ROW()-1,"000"))</f>
        <v/>
      </c>
      <c r="E268" s="130" t="str">
        <f aca="false">IF($O268="✓","✓",IF(ISNUMBER($O268),TEXT($O268,"yyyy-mm-dd"),IF($A268="","",IF(SUMPRODUCT(('Formation Initiale'!$A$2:$A$999=$A268)*('Formation Initiale'!$R$2:$R$999="Terminé"))&gt;0,"✓",IF(SUMPRODUCT(MAX(('Formation Initiale'!$A$2:$A$999=$A268)*'Formation Initiale'!$G$2:$G$999))&gt;0,TEXT(SUMPRODUCT(MAX(('Formation Initiale'!$A$2:$A$999=$A268)*'Formation Initiale'!$G$2:$G$999)),"yyyy-mm-dd"),"")))))</f>
        <v/>
      </c>
      <c r="F268" s="131" t="str">
        <f aca="false">IF($P268="✓","✓",IF(ISNUMBER($P268),TEXT($P268,"yyyy-mm-dd"),IF($A268="","",IF($D268="Lisbonne","",IF(SUMPRODUCT(('Formation Initiale'!$A$2:$A$999=$A268)*('Formation Initiale'!$R$2:$R$999="Terminé"))&gt;0,"✓",IF(SUMPRODUCT(MAX(('Formation Initiale'!$A$2:$A$999=$A268)*'Formation Initiale'!$G$2:$G$999))&gt;0,TEXT(SUMPRODUCT(MAX(('Formation Initiale'!$A$2:$A$999=$A268)*'Formation Initiale'!$G$2:$G$999)),"yyyy-mm-dd"),""))))))</f>
        <v/>
      </c>
      <c r="G268" s="131" t="str">
        <f aca="false">IF($Q268="✓","✓",IF(ISNUMBER($Q268),TEXT($Q268,"yyyy-mm-dd"),IF($A268="","",IF(SUMPRODUCT(('Agences &amp; Après-vente'!$A$2:$A$1000=$A268)*(('Agences &amp; Après-vente'!$D$2:$D$1000="Agences")+('Agences &amp; Après-vente'!$D$2:$D$1000="Agences et Après-vente"))*('Agences &amp; Après-vente'!$I$2:$I$1000="DONE"))&gt;0,"✓",IF(SUMPRODUCT(MAX(('Agences &amp; Après-vente'!$A$2:$A$1000=$A268)*(('Agences &amp; Après-vente'!$D$2:$D$1000="Agences")+('Agences &amp; Après-vente'!$D$2:$D$1000="Agences et Après-vente"))*'Agences &amp; Après-vente'!$E$2:$E$1000))&gt;0,TEXT(SUMPRODUCT(MAX(('Agences &amp; Après-vente'!$A$2:$A$1000=$A268)*(('Agences &amp; Après-vente'!$D$2:$D$1000="Agences")+('Agences &amp; Après-vente'!$D$2:$D$1000="Agences et Après-vente"))*'Agences &amp; Après-vente'!$E$2:$E$1000)),"yyyy-mm-dd"),"")))))</f>
        <v/>
      </c>
      <c r="H268" s="131" t="str">
        <f aca="false">IF($R268="✓","✓",IF(ISNUMBER($R268),TEXT($R268,"yyyy-mm-dd"),IF($A268="","",IF($D268="Lisbonne","",IF(SUMPRODUCT(('Agences &amp; Après-vente'!$A$2:$A$1000=$A268)*(('Agences &amp; Après-vente'!$D$2:$D$1000="Agences")+('Agences &amp; Après-vente'!$D$2:$D$1000="Agences et Après-vente"))*('Agences &amp; Après-vente'!$I$2:$I$1000="DONE"))&gt;0,"✓",IF(SUMPRODUCT(MAX(('Agences &amp; Après-vente'!$A$2:$A$1000=$A268)*(('Agences &amp; Après-vente'!$D$2:$D$1000="Agences")+('Agences &amp; Après-vente'!$D$2:$D$1000="Agences et Après-vente"))*'Agences &amp; Après-vente'!$E$2:$E$1000))&gt;0,TEXT(SUMPRODUCT(MAX(('Agences &amp; Après-vente'!$A$2:$A$1000=$A268)*(('Agences &amp; Après-vente'!$D$2:$D$1000="Agences")+('Agences &amp; Après-vente'!$D$2:$D$1000="Agences et Après-vente"))*'Agences &amp; Après-vente'!$E$2:$E$1000)),"yyyy-mm-dd"),""))))))</f>
        <v/>
      </c>
      <c r="I268" s="131" t="str">
        <f aca="false">IF($S268="✓","✓",IF(ISNUMBER($S268),TEXT($S268,"yyyy-mm-dd"),IF($A268="","",IF(SUMPRODUCT(('Agences &amp; Après-vente'!$A$2:$A$1000=$A268)*(('Agences &amp; Après-vente'!$D$2:$D$1000="Après-vente")+('Agences &amp; Après-vente'!$D$2:$D$1000="Agences et Après-vente"))*('Agences &amp; Après-vente'!$I$2:$I$1000="DONE"))&gt;0,"✓",IF(SUMPRODUCT(MAX(('Agences &amp; Après-vente'!$A$2:$A$1000=$A268)*(('Agences &amp; Après-vente'!$D$2:$D$1000="Après-vente")+('Agences &amp; Après-vente'!$D$2:$D$1000="Agences et Après-vente"))*'Agences &amp; Après-vente'!$E$2:$E$1000))&gt;0,TEXT(SUMPRODUCT(MAX(('Agences &amp; Après-vente'!$A$2:$A$1000=$A268)*(('Agences &amp; Après-vente'!$D$2:$D$1000="Après-vente")+('Agences &amp; Après-vente'!$D$2:$D$1000="Agences et Après-vente"))*'Agences &amp; Après-vente'!$E$2:$E$1000)),"yyyy-mm-dd"),"")))))</f>
        <v/>
      </c>
      <c r="J268" s="131" t="str">
        <f aca="false">IF($T268="✓","✓",IF(ISNUMBER($T268),TEXT($T268,"yyyy-mm-dd"),IF($A268="","",IF($D268="Lisbonne","",IF(SUMPRODUCT(('Agences &amp; Après-vente'!$A$2:$A$1000=$A268)*(('Agences &amp; Après-vente'!$D$2:$D$1000="Après-vente")+('Agences &amp; Après-vente'!$D$2:$D$1000="Agences et Après-vente"))*('Agences &amp; Après-vente'!$I$2:$I$1000="DONE"))&gt;0,"✓",IF(SUMPRODUCT(MAX(('Agences &amp; Après-vente'!$A$2:$A$1000=$A268)*(('Agences &amp; Après-vente'!$D$2:$D$1000="Après-vente")+('Agences &amp; Après-vente'!$D$2:$D$1000="Agences et Après-vente"))*'Agences &amp; Après-vente'!$E$2:$E$1000))&gt;0,TEXT(SUMPRODUCT(MAX(('Agences &amp; Après-vente'!$A$2:$A$1000=$A268)*(('Agences &amp; Après-vente'!$D$2:$D$1000="Après-vente")+('Agences &amp; Après-vente'!$D$2:$D$1000="Agences et Après-vente"))*'Agences &amp; Après-vente'!$E$2:$E$1000)),"yyyy-mm-dd"),""))))))</f>
        <v/>
      </c>
      <c r="K268" s="131" t="str">
        <f aca="false">IF($U268="✓","✓",IF(ISNUMBER($U268),TEXT($U268,"yyyy-mm-dd"),IF($D268="Lisbonne","",IF($A268="","",IF(SUMPRODUCT((Evermont!$A$2:$A$1000=$A268)*(Evermont!$Q$2:$Q$1000="Terminé"))&gt;0,"✓",IF(SUMPRODUCT(MAX((Evermont!$A$2:$A$1000=$A268)*Evermont!$F$2:$F$1000))&gt;0,TEXT(SUMPRODUCT(MAX((Evermont!$A$2:$A$1000=$A268)*Evermont!$F$2:$F$1000)),"yyyy-mm-dd"),""))))))</f>
        <v/>
      </c>
      <c r="L268" s="131" t="str">
        <f aca="false">IF($A268="","",COUNTIF(E268:K268,"✓"))</f>
        <v/>
      </c>
      <c r="M268" s="131" t="str">
        <f aca="false">IF(B268="","","Active")</f>
        <v/>
      </c>
      <c r="W268" s="120" t="str">
        <f aca="false">IF($A268="","",IF($X268&lt;&gt;"",$X268,IFERROR(INDEX('Formation Initiale'!$B$2:$B$999,MATCH($A268,'Formation Initiale'!$A$2:$A$999,0)),"Général")))</f>
        <v/>
      </c>
    </row>
    <row r="269" customFormat="false" ht="15" hidden="true" customHeight="true" outlineLevel="0" collapsed="false">
      <c r="A269" s="142" t="str">
        <f aca="false">IF(B269="","","TR"&amp;TEXT(ROW()-1,"000"))</f>
        <v/>
      </c>
      <c r="E269" s="130" t="str">
        <f aca="false">IF($O269="✓","✓",IF(ISNUMBER($O269),TEXT($O269,"yyyy-mm-dd"),IF($A269="","",IF(SUMPRODUCT(('Formation Initiale'!$A$2:$A$999=$A269)*('Formation Initiale'!$R$2:$R$999="Terminé"))&gt;0,"✓",IF(SUMPRODUCT(MAX(('Formation Initiale'!$A$2:$A$999=$A269)*'Formation Initiale'!$G$2:$G$999))&gt;0,TEXT(SUMPRODUCT(MAX(('Formation Initiale'!$A$2:$A$999=$A269)*'Formation Initiale'!$G$2:$G$999)),"yyyy-mm-dd"),"")))))</f>
        <v/>
      </c>
      <c r="F269" s="131" t="str">
        <f aca="false">IF($P269="✓","✓",IF(ISNUMBER($P269),TEXT($P269,"yyyy-mm-dd"),IF($A269="","",IF($D269="Lisbonne","",IF(SUMPRODUCT(('Formation Initiale'!$A$2:$A$999=$A269)*('Formation Initiale'!$R$2:$R$999="Terminé"))&gt;0,"✓",IF(SUMPRODUCT(MAX(('Formation Initiale'!$A$2:$A$999=$A269)*'Formation Initiale'!$G$2:$G$999))&gt;0,TEXT(SUMPRODUCT(MAX(('Formation Initiale'!$A$2:$A$999=$A269)*'Formation Initiale'!$G$2:$G$999)),"yyyy-mm-dd"),""))))))</f>
        <v/>
      </c>
      <c r="G269" s="131" t="str">
        <f aca="false">IF($Q269="✓","✓",IF(ISNUMBER($Q269),TEXT($Q269,"yyyy-mm-dd"),IF($A269="","",IF(SUMPRODUCT(('Agences &amp; Après-vente'!$A$2:$A$1000=$A269)*(('Agences &amp; Après-vente'!$D$2:$D$1000="Agences")+('Agences &amp; Après-vente'!$D$2:$D$1000="Agences et Après-vente"))*('Agences &amp; Après-vente'!$I$2:$I$1000="DONE"))&gt;0,"✓",IF(SUMPRODUCT(MAX(('Agences &amp; Après-vente'!$A$2:$A$1000=$A269)*(('Agences &amp; Après-vente'!$D$2:$D$1000="Agences")+('Agences &amp; Après-vente'!$D$2:$D$1000="Agences et Après-vente"))*'Agences &amp; Après-vente'!$E$2:$E$1000))&gt;0,TEXT(SUMPRODUCT(MAX(('Agences &amp; Après-vente'!$A$2:$A$1000=$A269)*(('Agences &amp; Après-vente'!$D$2:$D$1000="Agences")+('Agences &amp; Après-vente'!$D$2:$D$1000="Agences et Après-vente"))*'Agences &amp; Après-vente'!$E$2:$E$1000)),"yyyy-mm-dd"),"")))))</f>
        <v/>
      </c>
      <c r="H269" s="131" t="str">
        <f aca="false">IF($R269="✓","✓",IF(ISNUMBER($R269),TEXT($R269,"yyyy-mm-dd"),IF($A269="","",IF($D269="Lisbonne","",IF(SUMPRODUCT(('Agences &amp; Après-vente'!$A$2:$A$1000=$A269)*(('Agences &amp; Après-vente'!$D$2:$D$1000="Agences")+('Agences &amp; Après-vente'!$D$2:$D$1000="Agences et Après-vente"))*('Agences &amp; Après-vente'!$I$2:$I$1000="DONE"))&gt;0,"✓",IF(SUMPRODUCT(MAX(('Agences &amp; Après-vente'!$A$2:$A$1000=$A269)*(('Agences &amp; Après-vente'!$D$2:$D$1000="Agences")+('Agences &amp; Après-vente'!$D$2:$D$1000="Agences et Après-vente"))*'Agences &amp; Après-vente'!$E$2:$E$1000))&gt;0,TEXT(SUMPRODUCT(MAX(('Agences &amp; Après-vente'!$A$2:$A$1000=$A269)*(('Agences &amp; Après-vente'!$D$2:$D$1000="Agences")+('Agences &amp; Après-vente'!$D$2:$D$1000="Agences et Après-vente"))*'Agences &amp; Après-vente'!$E$2:$E$1000)),"yyyy-mm-dd"),""))))))</f>
        <v/>
      </c>
      <c r="I269" s="131" t="str">
        <f aca="false">IF($S269="✓","✓",IF(ISNUMBER($S269),TEXT($S269,"yyyy-mm-dd"),IF($A269="","",IF(SUMPRODUCT(('Agences &amp; Après-vente'!$A$2:$A$1000=$A269)*(('Agences &amp; Après-vente'!$D$2:$D$1000="Après-vente")+('Agences &amp; Après-vente'!$D$2:$D$1000="Agences et Après-vente"))*('Agences &amp; Après-vente'!$I$2:$I$1000="DONE"))&gt;0,"✓",IF(SUMPRODUCT(MAX(('Agences &amp; Après-vente'!$A$2:$A$1000=$A269)*(('Agences &amp; Après-vente'!$D$2:$D$1000="Après-vente")+('Agences &amp; Après-vente'!$D$2:$D$1000="Agences et Après-vente"))*'Agences &amp; Après-vente'!$E$2:$E$1000))&gt;0,TEXT(SUMPRODUCT(MAX(('Agences &amp; Après-vente'!$A$2:$A$1000=$A269)*(('Agences &amp; Après-vente'!$D$2:$D$1000="Après-vente")+('Agences &amp; Après-vente'!$D$2:$D$1000="Agences et Après-vente"))*'Agences &amp; Après-vente'!$E$2:$E$1000)),"yyyy-mm-dd"),"")))))</f>
        <v/>
      </c>
      <c r="J269" s="131" t="str">
        <f aca="false">IF($T269="✓","✓",IF(ISNUMBER($T269),TEXT($T269,"yyyy-mm-dd"),IF($A269="","",IF($D269="Lisbonne","",IF(SUMPRODUCT(('Agences &amp; Après-vente'!$A$2:$A$1000=$A269)*(('Agences &amp; Après-vente'!$D$2:$D$1000="Après-vente")+('Agences &amp; Après-vente'!$D$2:$D$1000="Agences et Après-vente"))*('Agences &amp; Après-vente'!$I$2:$I$1000="DONE"))&gt;0,"✓",IF(SUMPRODUCT(MAX(('Agences &amp; Après-vente'!$A$2:$A$1000=$A269)*(('Agences &amp; Après-vente'!$D$2:$D$1000="Après-vente")+('Agences &amp; Après-vente'!$D$2:$D$1000="Agences et Après-vente"))*'Agences &amp; Après-vente'!$E$2:$E$1000))&gt;0,TEXT(SUMPRODUCT(MAX(('Agences &amp; Après-vente'!$A$2:$A$1000=$A269)*(('Agences &amp; Après-vente'!$D$2:$D$1000="Après-vente")+('Agences &amp; Après-vente'!$D$2:$D$1000="Agences et Après-vente"))*'Agences &amp; Après-vente'!$E$2:$E$1000)),"yyyy-mm-dd"),""))))))</f>
        <v/>
      </c>
      <c r="K269" s="131" t="str">
        <f aca="false">IF($U269="✓","✓",IF(ISNUMBER($U269),TEXT($U269,"yyyy-mm-dd"),IF($D269="Lisbonne","",IF($A269="","",IF(SUMPRODUCT((Evermont!$A$2:$A$1000=$A269)*(Evermont!$Q$2:$Q$1000="Terminé"))&gt;0,"✓",IF(SUMPRODUCT(MAX((Evermont!$A$2:$A$1000=$A269)*Evermont!$F$2:$F$1000))&gt;0,TEXT(SUMPRODUCT(MAX((Evermont!$A$2:$A$1000=$A269)*Evermont!$F$2:$F$1000)),"yyyy-mm-dd"),""))))))</f>
        <v/>
      </c>
      <c r="L269" s="131" t="str">
        <f aca="false">IF($A269="","",COUNTIF(E269:K269,"✓"))</f>
        <v/>
      </c>
      <c r="M269" s="131" t="str">
        <f aca="false">IF(B269="","","Active")</f>
        <v/>
      </c>
      <c r="W269" s="120" t="str">
        <f aca="false">IF($A269="","",IF($X269&lt;&gt;"",$X269,IFERROR(INDEX('Formation Initiale'!$B$2:$B$999,MATCH($A269,'Formation Initiale'!$A$2:$A$999,0)),"Général")))</f>
        <v/>
      </c>
    </row>
    <row r="270" customFormat="false" ht="15" hidden="true" customHeight="true" outlineLevel="0" collapsed="false">
      <c r="A270" s="142" t="str">
        <f aca="false">IF(B270="","","TR"&amp;TEXT(ROW()-1,"000"))</f>
        <v/>
      </c>
      <c r="E270" s="130" t="str">
        <f aca="false">IF($O270="✓","✓",IF(ISNUMBER($O270),TEXT($O270,"yyyy-mm-dd"),IF($A270="","",IF(SUMPRODUCT(('Formation Initiale'!$A$2:$A$999=$A270)*('Formation Initiale'!$R$2:$R$999="Terminé"))&gt;0,"✓",IF(SUMPRODUCT(MAX(('Formation Initiale'!$A$2:$A$999=$A270)*'Formation Initiale'!$G$2:$G$999))&gt;0,TEXT(SUMPRODUCT(MAX(('Formation Initiale'!$A$2:$A$999=$A270)*'Formation Initiale'!$G$2:$G$999)),"yyyy-mm-dd"),"")))))</f>
        <v/>
      </c>
      <c r="F270" s="131" t="str">
        <f aca="false">IF($P270="✓","✓",IF(ISNUMBER($P270),TEXT($P270,"yyyy-mm-dd"),IF($A270="","",IF($D270="Lisbonne","",IF(SUMPRODUCT(('Formation Initiale'!$A$2:$A$999=$A270)*('Formation Initiale'!$R$2:$R$999="Terminé"))&gt;0,"✓",IF(SUMPRODUCT(MAX(('Formation Initiale'!$A$2:$A$999=$A270)*'Formation Initiale'!$G$2:$G$999))&gt;0,TEXT(SUMPRODUCT(MAX(('Formation Initiale'!$A$2:$A$999=$A270)*'Formation Initiale'!$G$2:$G$999)),"yyyy-mm-dd"),""))))))</f>
        <v/>
      </c>
      <c r="G270" s="131" t="str">
        <f aca="false">IF($Q270="✓","✓",IF(ISNUMBER($Q270),TEXT($Q270,"yyyy-mm-dd"),IF($A270="","",IF(SUMPRODUCT(('Agences &amp; Après-vente'!$A$2:$A$1000=$A270)*(('Agences &amp; Après-vente'!$D$2:$D$1000="Agences")+('Agences &amp; Après-vente'!$D$2:$D$1000="Agences et Après-vente"))*('Agences &amp; Après-vente'!$I$2:$I$1000="DONE"))&gt;0,"✓",IF(SUMPRODUCT(MAX(('Agences &amp; Après-vente'!$A$2:$A$1000=$A270)*(('Agences &amp; Après-vente'!$D$2:$D$1000="Agences")+('Agences &amp; Après-vente'!$D$2:$D$1000="Agences et Après-vente"))*'Agences &amp; Après-vente'!$E$2:$E$1000))&gt;0,TEXT(SUMPRODUCT(MAX(('Agences &amp; Après-vente'!$A$2:$A$1000=$A270)*(('Agences &amp; Après-vente'!$D$2:$D$1000="Agences")+('Agences &amp; Après-vente'!$D$2:$D$1000="Agences et Après-vente"))*'Agences &amp; Après-vente'!$E$2:$E$1000)),"yyyy-mm-dd"),"")))))</f>
        <v/>
      </c>
      <c r="H270" s="131" t="str">
        <f aca="false">IF($R270="✓","✓",IF(ISNUMBER($R270),TEXT($R270,"yyyy-mm-dd"),IF($A270="","",IF($D270="Lisbonne","",IF(SUMPRODUCT(('Agences &amp; Après-vente'!$A$2:$A$1000=$A270)*(('Agences &amp; Après-vente'!$D$2:$D$1000="Agences")+('Agences &amp; Après-vente'!$D$2:$D$1000="Agences et Après-vente"))*('Agences &amp; Après-vente'!$I$2:$I$1000="DONE"))&gt;0,"✓",IF(SUMPRODUCT(MAX(('Agences &amp; Après-vente'!$A$2:$A$1000=$A270)*(('Agences &amp; Après-vente'!$D$2:$D$1000="Agences")+('Agences &amp; Après-vente'!$D$2:$D$1000="Agences et Après-vente"))*'Agences &amp; Après-vente'!$E$2:$E$1000))&gt;0,TEXT(SUMPRODUCT(MAX(('Agences &amp; Après-vente'!$A$2:$A$1000=$A270)*(('Agences &amp; Après-vente'!$D$2:$D$1000="Agences")+('Agences &amp; Après-vente'!$D$2:$D$1000="Agences et Après-vente"))*'Agences &amp; Après-vente'!$E$2:$E$1000)),"yyyy-mm-dd"),""))))))</f>
        <v/>
      </c>
      <c r="I270" s="131" t="str">
        <f aca="false">IF($S270="✓","✓",IF(ISNUMBER($S270),TEXT($S270,"yyyy-mm-dd"),IF($A270="","",IF(SUMPRODUCT(('Agences &amp; Après-vente'!$A$2:$A$1000=$A270)*(('Agences &amp; Après-vente'!$D$2:$D$1000="Après-vente")+('Agences &amp; Après-vente'!$D$2:$D$1000="Agences et Après-vente"))*('Agences &amp; Après-vente'!$I$2:$I$1000="DONE"))&gt;0,"✓",IF(SUMPRODUCT(MAX(('Agences &amp; Après-vente'!$A$2:$A$1000=$A270)*(('Agences &amp; Après-vente'!$D$2:$D$1000="Après-vente")+('Agences &amp; Après-vente'!$D$2:$D$1000="Agences et Après-vente"))*'Agences &amp; Après-vente'!$E$2:$E$1000))&gt;0,TEXT(SUMPRODUCT(MAX(('Agences &amp; Après-vente'!$A$2:$A$1000=$A270)*(('Agences &amp; Après-vente'!$D$2:$D$1000="Après-vente")+('Agences &amp; Après-vente'!$D$2:$D$1000="Agences et Après-vente"))*'Agences &amp; Après-vente'!$E$2:$E$1000)),"yyyy-mm-dd"),"")))))</f>
        <v/>
      </c>
      <c r="J270" s="131" t="str">
        <f aca="false">IF($T270="✓","✓",IF(ISNUMBER($T270),TEXT($T270,"yyyy-mm-dd"),IF($A270="","",IF($D270="Lisbonne","",IF(SUMPRODUCT(('Agences &amp; Après-vente'!$A$2:$A$1000=$A270)*(('Agences &amp; Après-vente'!$D$2:$D$1000="Après-vente")+('Agences &amp; Après-vente'!$D$2:$D$1000="Agences et Après-vente"))*('Agences &amp; Après-vente'!$I$2:$I$1000="DONE"))&gt;0,"✓",IF(SUMPRODUCT(MAX(('Agences &amp; Après-vente'!$A$2:$A$1000=$A270)*(('Agences &amp; Après-vente'!$D$2:$D$1000="Après-vente")+('Agences &amp; Après-vente'!$D$2:$D$1000="Agences et Après-vente"))*'Agences &amp; Après-vente'!$E$2:$E$1000))&gt;0,TEXT(SUMPRODUCT(MAX(('Agences &amp; Après-vente'!$A$2:$A$1000=$A270)*(('Agences &amp; Après-vente'!$D$2:$D$1000="Après-vente")+('Agences &amp; Après-vente'!$D$2:$D$1000="Agences et Après-vente"))*'Agences &amp; Après-vente'!$E$2:$E$1000)),"yyyy-mm-dd"),""))))))</f>
        <v/>
      </c>
      <c r="K270" s="131" t="str">
        <f aca="false">IF($U270="✓","✓",IF(ISNUMBER($U270),TEXT($U270,"yyyy-mm-dd"),IF($D270="Lisbonne","",IF($A270="","",IF(SUMPRODUCT((Evermont!$A$2:$A$1000=$A270)*(Evermont!$Q$2:$Q$1000="Terminé"))&gt;0,"✓",IF(SUMPRODUCT(MAX((Evermont!$A$2:$A$1000=$A270)*Evermont!$F$2:$F$1000))&gt;0,TEXT(SUMPRODUCT(MAX((Evermont!$A$2:$A$1000=$A270)*Evermont!$F$2:$F$1000)),"yyyy-mm-dd"),""))))))</f>
        <v/>
      </c>
      <c r="L270" s="131" t="str">
        <f aca="false">IF($A270="","",COUNTIF(E270:K270,"✓"))</f>
        <v/>
      </c>
      <c r="M270" s="131" t="str">
        <f aca="false">IF(B270="","","Active")</f>
        <v/>
      </c>
      <c r="W270" s="120" t="str">
        <f aca="false">IF($A270="","",IF($X270&lt;&gt;"",$X270,IFERROR(INDEX('Formation Initiale'!$B$2:$B$999,MATCH($A270,'Formation Initiale'!$A$2:$A$999,0)),"Général")))</f>
        <v/>
      </c>
    </row>
    <row r="271" customFormat="false" ht="15" hidden="true" customHeight="true" outlineLevel="0" collapsed="false">
      <c r="A271" s="142" t="str">
        <f aca="false">IF(B271="","","TR"&amp;TEXT(ROW()-1,"000"))</f>
        <v/>
      </c>
      <c r="E271" s="130" t="str">
        <f aca="false">IF($O271="✓","✓",IF(ISNUMBER($O271),TEXT($O271,"yyyy-mm-dd"),IF($A271="","",IF(SUMPRODUCT(('Formation Initiale'!$A$2:$A$999=$A271)*('Formation Initiale'!$R$2:$R$999="Terminé"))&gt;0,"✓",IF(SUMPRODUCT(MAX(('Formation Initiale'!$A$2:$A$999=$A271)*'Formation Initiale'!$G$2:$G$999))&gt;0,TEXT(SUMPRODUCT(MAX(('Formation Initiale'!$A$2:$A$999=$A271)*'Formation Initiale'!$G$2:$G$999)),"yyyy-mm-dd"),"")))))</f>
        <v/>
      </c>
      <c r="F271" s="131" t="str">
        <f aca="false">IF($P271="✓","✓",IF(ISNUMBER($P271),TEXT($P271,"yyyy-mm-dd"),IF($A271="","",IF($D271="Lisbonne","",IF(SUMPRODUCT(('Formation Initiale'!$A$2:$A$999=$A271)*('Formation Initiale'!$R$2:$R$999="Terminé"))&gt;0,"✓",IF(SUMPRODUCT(MAX(('Formation Initiale'!$A$2:$A$999=$A271)*'Formation Initiale'!$G$2:$G$999))&gt;0,TEXT(SUMPRODUCT(MAX(('Formation Initiale'!$A$2:$A$999=$A271)*'Formation Initiale'!$G$2:$G$999)),"yyyy-mm-dd"),""))))))</f>
        <v/>
      </c>
      <c r="G271" s="131" t="str">
        <f aca="false">IF($Q271="✓","✓",IF(ISNUMBER($Q271),TEXT($Q271,"yyyy-mm-dd"),IF($A271="","",IF(SUMPRODUCT(('Agences &amp; Après-vente'!$A$2:$A$1000=$A271)*(('Agences &amp; Après-vente'!$D$2:$D$1000="Agences")+('Agences &amp; Après-vente'!$D$2:$D$1000="Agences et Après-vente"))*('Agences &amp; Après-vente'!$I$2:$I$1000="DONE"))&gt;0,"✓",IF(SUMPRODUCT(MAX(('Agences &amp; Après-vente'!$A$2:$A$1000=$A271)*(('Agences &amp; Après-vente'!$D$2:$D$1000="Agences")+('Agences &amp; Après-vente'!$D$2:$D$1000="Agences et Après-vente"))*'Agences &amp; Après-vente'!$E$2:$E$1000))&gt;0,TEXT(SUMPRODUCT(MAX(('Agences &amp; Après-vente'!$A$2:$A$1000=$A271)*(('Agences &amp; Après-vente'!$D$2:$D$1000="Agences")+('Agences &amp; Après-vente'!$D$2:$D$1000="Agences et Après-vente"))*'Agences &amp; Après-vente'!$E$2:$E$1000)),"yyyy-mm-dd"),"")))))</f>
        <v/>
      </c>
      <c r="H271" s="131" t="str">
        <f aca="false">IF($R271="✓","✓",IF(ISNUMBER($R271),TEXT($R271,"yyyy-mm-dd"),IF($A271="","",IF($D271="Lisbonne","",IF(SUMPRODUCT(('Agences &amp; Après-vente'!$A$2:$A$1000=$A271)*(('Agences &amp; Après-vente'!$D$2:$D$1000="Agences")+('Agences &amp; Après-vente'!$D$2:$D$1000="Agences et Après-vente"))*('Agences &amp; Après-vente'!$I$2:$I$1000="DONE"))&gt;0,"✓",IF(SUMPRODUCT(MAX(('Agences &amp; Après-vente'!$A$2:$A$1000=$A271)*(('Agences &amp; Après-vente'!$D$2:$D$1000="Agences")+('Agences &amp; Après-vente'!$D$2:$D$1000="Agences et Après-vente"))*'Agences &amp; Après-vente'!$E$2:$E$1000))&gt;0,TEXT(SUMPRODUCT(MAX(('Agences &amp; Après-vente'!$A$2:$A$1000=$A271)*(('Agences &amp; Après-vente'!$D$2:$D$1000="Agences")+('Agences &amp; Après-vente'!$D$2:$D$1000="Agences et Après-vente"))*'Agences &amp; Après-vente'!$E$2:$E$1000)),"yyyy-mm-dd"),""))))))</f>
        <v/>
      </c>
      <c r="I271" s="131" t="str">
        <f aca="false">IF($S271="✓","✓",IF(ISNUMBER($S271),TEXT($S271,"yyyy-mm-dd"),IF($A271="","",IF(SUMPRODUCT(('Agences &amp; Après-vente'!$A$2:$A$1000=$A271)*(('Agences &amp; Après-vente'!$D$2:$D$1000="Après-vente")+('Agences &amp; Après-vente'!$D$2:$D$1000="Agences et Après-vente"))*('Agences &amp; Après-vente'!$I$2:$I$1000="DONE"))&gt;0,"✓",IF(SUMPRODUCT(MAX(('Agences &amp; Après-vente'!$A$2:$A$1000=$A271)*(('Agences &amp; Après-vente'!$D$2:$D$1000="Après-vente")+('Agences &amp; Après-vente'!$D$2:$D$1000="Agences et Après-vente"))*'Agences &amp; Après-vente'!$E$2:$E$1000))&gt;0,TEXT(SUMPRODUCT(MAX(('Agences &amp; Après-vente'!$A$2:$A$1000=$A271)*(('Agences &amp; Après-vente'!$D$2:$D$1000="Après-vente")+('Agences &amp; Après-vente'!$D$2:$D$1000="Agences et Après-vente"))*'Agences &amp; Après-vente'!$E$2:$E$1000)),"yyyy-mm-dd"),"")))))</f>
        <v/>
      </c>
      <c r="J271" s="131" t="str">
        <f aca="false">IF($T271="✓","✓",IF(ISNUMBER($T271),TEXT($T271,"yyyy-mm-dd"),IF($A271="","",IF($D271="Lisbonne","",IF(SUMPRODUCT(('Agences &amp; Après-vente'!$A$2:$A$1000=$A271)*(('Agences &amp; Après-vente'!$D$2:$D$1000="Après-vente")+('Agences &amp; Après-vente'!$D$2:$D$1000="Agences et Après-vente"))*('Agences &amp; Après-vente'!$I$2:$I$1000="DONE"))&gt;0,"✓",IF(SUMPRODUCT(MAX(('Agences &amp; Après-vente'!$A$2:$A$1000=$A271)*(('Agences &amp; Après-vente'!$D$2:$D$1000="Après-vente")+('Agences &amp; Après-vente'!$D$2:$D$1000="Agences et Après-vente"))*'Agences &amp; Après-vente'!$E$2:$E$1000))&gt;0,TEXT(SUMPRODUCT(MAX(('Agences &amp; Après-vente'!$A$2:$A$1000=$A271)*(('Agences &amp; Après-vente'!$D$2:$D$1000="Après-vente")+('Agences &amp; Après-vente'!$D$2:$D$1000="Agences et Après-vente"))*'Agences &amp; Après-vente'!$E$2:$E$1000)),"yyyy-mm-dd"),""))))))</f>
        <v/>
      </c>
      <c r="K271" s="131" t="str">
        <f aca="false">IF($U271="✓","✓",IF(ISNUMBER($U271),TEXT($U271,"yyyy-mm-dd"),IF($D271="Lisbonne","",IF($A271="","",IF(SUMPRODUCT((Evermont!$A$2:$A$1000=$A271)*(Evermont!$Q$2:$Q$1000="Terminé"))&gt;0,"✓",IF(SUMPRODUCT(MAX((Evermont!$A$2:$A$1000=$A271)*Evermont!$F$2:$F$1000))&gt;0,TEXT(SUMPRODUCT(MAX((Evermont!$A$2:$A$1000=$A271)*Evermont!$F$2:$F$1000)),"yyyy-mm-dd"),""))))))</f>
        <v/>
      </c>
      <c r="L271" s="131" t="str">
        <f aca="false">IF($A271="","",COUNTIF(E271:K271,"✓"))</f>
        <v/>
      </c>
      <c r="M271" s="131" t="str">
        <f aca="false">IF(B271="","","Active")</f>
        <v/>
      </c>
      <c r="W271" s="120" t="str">
        <f aca="false">IF($A271="","",IF($X271&lt;&gt;"",$X271,IFERROR(INDEX('Formation Initiale'!$B$2:$B$999,MATCH($A271,'Formation Initiale'!$A$2:$A$999,0)),"Général")))</f>
        <v/>
      </c>
    </row>
    <row r="272" customFormat="false" ht="15" hidden="true" customHeight="true" outlineLevel="0" collapsed="false">
      <c r="A272" s="142" t="str">
        <f aca="false">IF(B272="","","TR"&amp;TEXT(ROW()-1,"000"))</f>
        <v/>
      </c>
      <c r="E272" s="130" t="str">
        <f aca="false">IF($O272="✓","✓",IF(ISNUMBER($O272),TEXT($O272,"yyyy-mm-dd"),IF($A272="","",IF(SUMPRODUCT(('Formation Initiale'!$A$2:$A$999=$A272)*('Formation Initiale'!$R$2:$R$999="Terminé"))&gt;0,"✓",IF(SUMPRODUCT(MAX(('Formation Initiale'!$A$2:$A$999=$A272)*'Formation Initiale'!$G$2:$G$999))&gt;0,TEXT(SUMPRODUCT(MAX(('Formation Initiale'!$A$2:$A$999=$A272)*'Formation Initiale'!$G$2:$G$999)),"yyyy-mm-dd"),"")))))</f>
        <v/>
      </c>
      <c r="F272" s="131" t="str">
        <f aca="false">IF($P272="✓","✓",IF(ISNUMBER($P272),TEXT($P272,"yyyy-mm-dd"),IF($A272="","",IF($D272="Lisbonne","",IF(SUMPRODUCT(('Formation Initiale'!$A$2:$A$999=$A272)*('Formation Initiale'!$R$2:$R$999="Terminé"))&gt;0,"✓",IF(SUMPRODUCT(MAX(('Formation Initiale'!$A$2:$A$999=$A272)*'Formation Initiale'!$G$2:$G$999))&gt;0,TEXT(SUMPRODUCT(MAX(('Formation Initiale'!$A$2:$A$999=$A272)*'Formation Initiale'!$G$2:$G$999)),"yyyy-mm-dd"),""))))))</f>
        <v/>
      </c>
      <c r="G272" s="131" t="str">
        <f aca="false">IF($Q272="✓","✓",IF(ISNUMBER($Q272),TEXT($Q272,"yyyy-mm-dd"),IF($A272="","",IF(SUMPRODUCT(('Agences &amp; Après-vente'!$A$2:$A$1000=$A272)*(('Agences &amp; Après-vente'!$D$2:$D$1000="Agences")+('Agences &amp; Après-vente'!$D$2:$D$1000="Agences et Après-vente"))*('Agences &amp; Après-vente'!$I$2:$I$1000="DONE"))&gt;0,"✓",IF(SUMPRODUCT(MAX(('Agences &amp; Après-vente'!$A$2:$A$1000=$A272)*(('Agences &amp; Après-vente'!$D$2:$D$1000="Agences")+('Agences &amp; Après-vente'!$D$2:$D$1000="Agences et Après-vente"))*'Agences &amp; Après-vente'!$E$2:$E$1000))&gt;0,TEXT(SUMPRODUCT(MAX(('Agences &amp; Après-vente'!$A$2:$A$1000=$A272)*(('Agences &amp; Après-vente'!$D$2:$D$1000="Agences")+('Agences &amp; Après-vente'!$D$2:$D$1000="Agences et Après-vente"))*'Agences &amp; Après-vente'!$E$2:$E$1000)),"yyyy-mm-dd"),"")))))</f>
        <v/>
      </c>
      <c r="H272" s="131" t="str">
        <f aca="false">IF($R272="✓","✓",IF(ISNUMBER($R272),TEXT($R272,"yyyy-mm-dd"),IF($A272="","",IF($D272="Lisbonne","",IF(SUMPRODUCT(('Agences &amp; Après-vente'!$A$2:$A$1000=$A272)*(('Agences &amp; Après-vente'!$D$2:$D$1000="Agences")+('Agences &amp; Après-vente'!$D$2:$D$1000="Agences et Après-vente"))*('Agences &amp; Après-vente'!$I$2:$I$1000="DONE"))&gt;0,"✓",IF(SUMPRODUCT(MAX(('Agences &amp; Après-vente'!$A$2:$A$1000=$A272)*(('Agences &amp; Après-vente'!$D$2:$D$1000="Agences")+('Agences &amp; Après-vente'!$D$2:$D$1000="Agences et Après-vente"))*'Agences &amp; Après-vente'!$E$2:$E$1000))&gt;0,TEXT(SUMPRODUCT(MAX(('Agences &amp; Après-vente'!$A$2:$A$1000=$A272)*(('Agences &amp; Après-vente'!$D$2:$D$1000="Agences")+('Agences &amp; Après-vente'!$D$2:$D$1000="Agences et Après-vente"))*'Agences &amp; Après-vente'!$E$2:$E$1000)),"yyyy-mm-dd"),""))))))</f>
        <v/>
      </c>
      <c r="I272" s="131" t="str">
        <f aca="false">IF($S272="✓","✓",IF(ISNUMBER($S272),TEXT($S272,"yyyy-mm-dd"),IF($A272="","",IF(SUMPRODUCT(('Agences &amp; Après-vente'!$A$2:$A$1000=$A272)*(('Agences &amp; Après-vente'!$D$2:$D$1000="Après-vente")+('Agences &amp; Après-vente'!$D$2:$D$1000="Agences et Après-vente"))*('Agences &amp; Après-vente'!$I$2:$I$1000="DONE"))&gt;0,"✓",IF(SUMPRODUCT(MAX(('Agences &amp; Après-vente'!$A$2:$A$1000=$A272)*(('Agences &amp; Après-vente'!$D$2:$D$1000="Après-vente")+('Agences &amp; Après-vente'!$D$2:$D$1000="Agences et Après-vente"))*'Agences &amp; Après-vente'!$E$2:$E$1000))&gt;0,TEXT(SUMPRODUCT(MAX(('Agences &amp; Après-vente'!$A$2:$A$1000=$A272)*(('Agences &amp; Après-vente'!$D$2:$D$1000="Après-vente")+('Agences &amp; Après-vente'!$D$2:$D$1000="Agences et Après-vente"))*'Agences &amp; Après-vente'!$E$2:$E$1000)),"yyyy-mm-dd"),"")))))</f>
        <v/>
      </c>
      <c r="J272" s="131" t="str">
        <f aca="false">IF($T272="✓","✓",IF(ISNUMBER($T272),TEXT($T272,"yyyy-mm-dd"),IF($A272="","",IF($D272="Lisbonne","",IF(SUMPRODUCT(('Agences &amp; Après-vente'!$A$2:$A$1000=$A272)*(('Agences &amp; Après-vente'!$D$2:$D$1000="Après-vente")+('Agences &amp; Après-vente'!$D$2:$D$1000="Agences et Après-vente"))*('Agences &amp; Après-vente'!$I$2:$I$1000="DONE"))&gt;0,"✓",IF(SUMPRODUCT(MAX(('Agences &amp; Après-vente'!$A$2:$A$1000=$A272)*(('Agences &amp; Après-vente'!$D$2:$D$1000="Après-vente")+('Agences &amp; Après-vente'!$D$2:$D$1000="Agences et Après-vente"))*'Agences &amp; Après-vente'!$E$2:$E$1000))&gt;0,TEXT(SUMPRODUCT(MAX(('Agences &amp; Après-vente'!$A$2:$A$1000=$A272)*(('Agences &amp; Après-vente'!$D$2:$D$1000="Après-vente")+('Agences &amp; Après-vente'!$D$2:$D$1000="Agences et Après-vente"))*'Agences &amp; Après-vente'!$E$2:$E$1000)),"yyyy-mm-dd"),""))))))</f>
        <v/>
      </c>
      <c r="K272" s="131" t="str">
        <f aca="false">IF($U272="✓","✓",IF(ISNUMBER($U272),TEXT($U272,"yyyy-mm-dd"),IF($D272="Lisbonne","",IF($A272="","",IF(SUMPRODUCT((Evermont!$A$2:$A$1000=$A272)*(Evermont!$Q$2:$Q$1000="Terminé"))&gt;0,"✓",IF(SUMPRODUCT(MAX((Evermont!$A$2:$A$1000=$A272)*Evermont!$F$2:$F$1000))&gt;0,TEXT(SUMPRODUCT(MAX((Evermont!$A$2:$A$1000=$A272)*Evermont!$F$2:$F$1000)),"yyyy-mm-dd"),""))))))</f>
        <v/>
      </c>
      <c r="L272" s="131" t="str">
        <f aca="false">IF($A272="","",COUNTIF(E272:K272,"✓"))</f>
        <v/>
      </c>
      <c r="M272" s="131" t="str">
        <f aca="false">IF(B272="","","Active")</f>
        <v/>
      </c>
      <c r="W272" s="120" t="str">
        <f aca="false">IF($A272="","",IF($X272&lt;&gt;"",$X272,IFERROR(INDEX('Formation Initiale'!$B$2:$B$999,MATCH($A272,'Formation Initiale'!$A$2:$A$999,0)),"Général")))</f>
        <v/>
      </c>
    </row>
    <row r="273" customFormat="false" ht="15" hidden="true" customHeight="true" outlineLevel="0" collapsed="false">
      <c r="A273" s="142" t="str">
        <f aca="false">IF(B273="","","TR"&amp;TEXT(ROW()-1,"000"))</f>
        <v/>
      </c>
      <c r="E273" s="130" t="str">
        <f aca="false">IF($O273="✓","✓",IF(ISNUMBER($O273),TEXT($O273,"yyyy-mm-dd"),IF($A273="","",IF(SUMPRODUCT(('Formation Initiale'!$A$2:$A$999=$A273)*('Formation Initiale'!$R$2:$R$999="Terminé"))&gt;0,"✓",IF(SUMPRODUCT(MAX(('Formation Initiale'!$A$2:$A$999=$A273)*'Formation Initiale'!$G$2:$G$999))&gt;0,TEXT(SUMPRODUCT(MAX(('Formation Initiale'!$A$2:$A$999=$A273)*'Formation Initiale'!$G$2:$G$999)),"yyyy-mm-dd"),"")))))</f>
        <v/>
      </c>
      <c r="F273" s="131" t="str">
        <f aca="false">IF($P273="✓","✓",IF(ISNUMBER($P273),TEXT($P273,"yyyy-mm-dd"),IF($A273="","",IF($D273="Lisbonne","",IF(SUMPRODUCT(('Formation Initiale'!$A$2:$A$999=$A273)*('Formation Initiale'!$R$2:$R$999="Terminé"))&gt;0,"✓",IF(SUMPRODUCT(MAX(('Formation Initiale'!$A$2:$A$999=$A273)*'Formation Initiale'!$G$2:$G$999))&gt;0,TEXT(SUMPRODUCT(MAX(('Formation Initiale'!$A$2:$A$999=$A273)*'Formation Initiale'!$G$2:$G$999)),"yyyy-mm-dd"),""))))))</f>
        <v/>
      </c>
      <c r="G273" s="131" t="str">
        <f aca="false">IF($Q273="✓","✓",IF(ISNUMBER($Q273),TEXT($Q273,"yyyy-mm-dd"),IF($A273="","",IF(SUMPRODUCT(('Agences &amp; Après-vente'!$A$2:$A$1000=$A273)*(('Agences &amp; Après-vente'!$D$2:$D$1000="Agences")+('Agences &amp; Après-vente'!$D$2:$D$1000="Agences et Après-vente"))*('Agences &amp; Après-vente'!$I$2:$I$1000="DONE"))&gt;0,"✓",IF(SUMPRODUCT(MAX(('Agences &amp; Après-vente'!$A$2:$A$1000=$A273)*(('Agences &amp; Après-vente'!$D$2:$D$1000="Agences")+('Agences &amp; Après-vente'!$D$2:$D$1000="Agences et Après-vente"))*'Agences &amp; Après-vente'!$E$2:$E$1000))&gt;0,TEXT(SUMPRODUCT(MAX(('Agences &amp; Après-vente'!$A$2:$A$1000=$A273)*(('Agences &amp; Après-vente'!$D$2:$D$1000="Agences")+('Agences &amp; Après-vente'!$D$2:$D$1000="Agences et Après-vente"))*'Agences &amp; Après-vente'!$E$2:$E$1000)),"yyyy-mm-dd"),"")))))</f>
        <v/>
      </c>
      <c r="H273" s="131" t="str">
        <f aca="false">IF($R273="✓","✓",IF(ISNUMBER($R273),TEXT($R273,"yyyy-mm-dd"),IF($A273="","",IF($D273="Lisbonne","",IF(SUMPRODUCT(('Agences &amp; Après-vente'!$A$2:$A$1000=$A273)*(('Agences &amp; Après-vente'!$D$2:$D$1000="Agences")+('Agences &amp; Après-vente'!$D$2:$D$1000="Agences et Après-vente"))*('Agences &amp; Après-vente'!$I$2:$I$1000="DONE"))&gt;0,"✓",IF(SUMPRODUCT(MAX(('Agences &amp; Après-vente'!$A$2:$A$1000=$A273)*(('Agences &amp; Après-vente'!$D$2:$D$1000="Agences")+('Agences &amp; Après-vente'!$D$2:$D$1000="Agences et Après-vente"))*'Agences &amp; Après-vente'!$E$2:$E$1000))&gt;0,TEXT(SUMPRODUCT(MAX(('Agences &amp; Après-vente'!$A$2:$A$1000=$A273)*(('Agences &amp; Après-vente'!$D$2:$D$1000="Agences")+('Agences &amp; Après-vente'!$D$2:$D$1000="Agences et Après-vente"))*'Agences &amp; Après-vente'!$E$2:$E$1000)),"yyyy-mm-dd"),""))))))</f>
        <v/>
      </c>
      <c r="I273" s="131" t="str">
        <f aca="false">IF($S273="✓","✓",IF(ISNUMBER($S273),TEXT($S273,"yyyy-mm-dd"),IF($A273="","",IF(SUMPRODUCT(('Agences &amp; Après-vente'!$A$2:$A$1000=$A273)*(('Agences &amp; Après-vente'!$D$2:$D$1000="Après-vente")+('Agences &amp; Après-vente'!$D$2:$D$1000="Agences et Après-vente"))*('Agences &amp; Après-vente'!$I$2:$I$1000="DONE"))&gt;0,"✓",IF(SUMPRODUCT(MAX(('Agences &amp; Après-vente'!$A$2:$A$1000=$A273)*(('Agences &amp; Après-vente'!$D$2:$D$1000="Après-vente")+('Agences &amp; Après-vente'!$D$2:$D$1000="Agences et Après-vente"))*'Agences &amp; Après-vente'!$E$2:$E$1000))&gt;0,TEXT(SUMPRODUCT(MAX(('Agences &amp; Après-vente'!$A$2:$A$1000=$A273)*(('Agences &amp; Après-vente'!$D$2:$D$1000="Après-vente")+('Agences &amp; Après-vente'!$D$2:$D$1000="Agences et Après-vente"))*'Agences &amp; Après-vente'!$E$2:$E$1000)),"yyyy-mm-dd"),"")))))</f>
        <v/>
      </c>
      <c r="J273" s="131" t="str">
        <f aca="false">IF($T273="✓","✓",IF(ISNUMBER($T273),TEXT($T273,"yyyy-mm-dd"),IF($A273="","",IF($D273="Lisbonne","",IF(SUMPRODUCT(('Agences &amp; Après-vente'!$A$2:$A$1000=$A273)*(('Agences &amp; Après-vente'!$D$2:$D$1000="Après-vente")+('Agences &amp; Après-vente'!$D$2:$D$1000="Agences et Après-vente"))*('Agences &amp; Après-vente'!$I$2:$I$1000="DONE"))&gt;0,"✓",IF(SUMPRODUCT(MAX(('Agences &amp; Après-vente'!$A$2:$A$1000=$A273)*(('Agences &amp; Après-vente'!$D$2:$D$1000="Après-vente")+('Agences &amp; Après-vente'!$D$2:$D$1000="Agences et Après-vente"))*'Agences &amp; Après-vente'!$E$2:$E$1000))&gt;0,TEXT(SUMPRODUCT(MAX(('Agences &amp; Après-vente'!$A$2:$A$1000=$A273)*(('Agences &amp; Après-vente'!$D$2:$D$1000="Après-vente")+('Agences &amp; Après-vente'!$D$2:$D$1000="Agences et Après-vente"))*'Agences &amp; Après-vente'!$E$2:$E$1000)),"yyyy-mm-dd"),""))))))</f>
        <v/>
      </c>
      <c r="K273" s="131" t="str">
        <f aca="false">IF($U273="✓","✓",IF(ISNUMBER($U273),TEXT($U273,"yyyy-mm-dd"),IF($D273="Lisbonne","",IF($A273="","",IF(SUMPRODUCT((Evermont!$A$2:$A$1000=$A273)*(Evermont!$Q$2:$Q$1000="Terminé"))&gt;0,"✓",IF(SUMPRODUCT(MAX((Evermont!$A$2:$A$1000=$A273)*Evermont!$F$2:$F$1000))&gt;0,TEXT(SUMPRODUCT(MAX((Evermont!$A$2:$A$1000=$A273)*Evermont!$F$2:$F$1000)),"yyyy-mm-dd"),""))))))</f>
        <v/>
      </c>
      <c r="L273" s="131" t="str">
        <f aca="false">IF($A273="","",COUNTIF(E273:K273,"✓"))</f>
        <v/>
      </c>
      <c r="M273" s="131" t="str">
        <f aca="false">IF(B273="","","Active")</f>
        <v/>
      </c>
      <c r="W273" s="120" t="str">
        <f aca="false">IF($A273="","",IF($X273&lt;&gt;"",$X273,IFERROR(INDEX('Formation Initiale'!$B$2:$B$999,MATCH($A273,'Formation Initiale'!$A$2:$A$999,0)),"Général")))</f>
        <v/>
      </c>
    </row>
    <row r="274" customFormat="false" ht="15" hidden="true" customHeight="true" outlineLevel="0" collapsed="false">
      <c r="A274" s="142" t="str">
        <f aca="false">IF(B274="","","TR"&amp;TEXT(ROW()-1,"000"))</f>
        <v/>
      </c>
      <c r="E274" s="130" t="str">
        <f aca="false">IF($O274="✓","✓",IF(ISNUMBER($O274),TEXT($O274,"yyyy-mm-dd"),IF($A274="","",IF(SUMPRODUCT(('Formation Initiale'!$A$2:$A$999=$A274)*('Formation Initiale'!$R$2:$R$999="Terminé"))&gt;0,"✓",IF(SUMPRODUCT(MAX(('Formation Initiale'!$A$2:$A$999=$A274)*'Formation Initiale'!$G$2:$G$999))&gt;0,TEXT(SUMPRODUCT(MAX(('Formation Initiale'!$A$2:$A$999=$A274)*'Formation Initiale'!$G$2:$G$999)),"yyyy-mm-dd"),"")))))</f>
        <v/>
      </c>
      <c r="F274" s="131" t="str">
        <f aca="false">IF($P274="✓","✓",IF(ISNUMBER($P274),TEXT($P274,"yyyy-mm-dd"),IF($A274="","",IF($D274="Lisbonne","",IF(SUMPRODUCT(('Formation Initiale'!$A$2:$A$999=$A274)*('Formation Initiale'!$R$2:$R$999="Terminé"))&gt;0,"✓",IF(SUMPRODUCT(MAX(('Formation Initiale'!$A$2:$A$999=$A274)*'Formation Initiale'!$G$2:$G$999))&gt;0,TEXT(SUMPRODUCT(MAX(('Formation Initiale'!$A$2:$A$999=$A274)*'Formation Initiale'!$G$2:$G$999)),"yyyy-mm-dd"),""))))))</f>
        <v/>
      </c>
      <c r="G274" s="131" t="str">
        <f aca="false">IF($Q274="✓","✓",IF(ISNUMBER($Q274),TEXT($Q274,"yyyy-mm-dd"),IF($A274="","",IF(SUMPRODUCT(('Agences &amp; Après-vente'!$A$2:$A$1000=$A274)*(('Agences &amp; Après-vente'!$D$2:$D$1000="Agences")+('Agences &amp; Après-vente'!$D$2:$D$1000="Agences et Après-vente"))*('Agences &amp; Après-vente'!$I$2:$I$1000="DONE"))&gt;0,"✓",IF(SUMPRODUCT(MAX(('Agences &amp; Après-vente'!$A$2:$A$1000=$A274)*(('Agences &amp; Après-vente'!$D$2:$D$1000="Agences")+('Agences &amp; Après-vente'!$D$2:$D$1000="Agences et Après-vente"))*'Agences &amp; Après-vente'!$E$2:$E$1000))&gt;0,TEXT(SUMPRODUCT(MAX(('Agences &amp; Après-vente'!$A$2:$A$1000=$A274)*(('Agences &amp; Après-vente'!$D$2:$D$1000="Agences")+('Agences &amp; Après-vente'!$D$2:$D$1000="Agences et Après-vente"))*'Agences &amp; Après-vente'!$E$2:$E$1000)),"yyyy-mm-dd"),"")))))</f>
        <v/>
      </c>
      <c r="H274" s="131" t="str">
        <f aca="false">IF($R274="✓","✓",IF(ISNUMBER($R274),TEXT($R274,"yyyy-mm-dd"),IF($A274="","",IF($D274="Lisbonne","",IF(SUMPRODUCT(('Agences &amp; Après-vente'!$A$2:$A$1000=$A274)*(('Agences &amp; Après-vente'!$D$2:$D$1000="Agences")+('Agences &amp; Après-vente'!$D$2:$D$1000="Agences et Après-vente"))*('Agences &amp; Après-vente'!$I$2:$I$1000="DONE"))&gt;0,"✓",IF(SUMPRODUCT(MAX(('Agences &amp; Après-vente'!$A$2:$A$1000=$A274)*(('Agences &amp; Après-vente'!$D$2:$D$1000="Agences")+('Agences &amp; Après-vente'!$D$2:$D$1000="Agences et Après-vente"))*'Agences &amp; Après-vente'!$E$2:$E$1000))&gt;0,TEXT(SUMPRODUCT(MAX(('Agences &amp; Après-vente'!$A$2:$A$1000=$A274)*(('Agences &amp; Après-vente'!$D$2:$D$1000="Agences")+('Agences &amp; Après-vente'!$D$2:$D$1000="Agences et Après-vente"))*'Agences &amp; Après-vente'!$E$2:$E$1000)),"yyyy-mm-dd"),""))))))</f>
        <v/>
      </c>
      <c r="I274" s="131" t="str">
        <f aca="false">IF($S274="✓","✓",IF(ISNUMBER($S274),TEXT($S274,"yyyy-mm-dd"),IF($A274="","",IF(SUMPRODUCT(('Agences &amp; Après-vente'!$A$2:$A$1000=$A274)*(('Agences &amp; Après-vente'!$D$2:$D$1000="Après-vente")+('Agences &amp; Après-vente'!$D$2:$D$1000="Agences et Après-vente"))*('Agences &amp; Après-vente'!$I$2:$I$1000="DONE"))&gt;0,"✓",IF(SUMPRODUCT(MAX(('Agences &amp; Après-vente'!$A$2:$A$1000=$A274)*(('Agences &amp; Après-vente'!$D$2:$D$1000="Après-vente")+('Agences &amp; Après-vente'!$D$2:$D$1000="Agences et Après-vente"))*'Agences &amp; Après-vente'!$E$2:$E$1000))&gt;0,TEXT(SUMPRODUCT(MAX(('Agences &amp; Après-vente'!$A$2:$A$1000=$A274)*(('Agences &amp; Après-vente'!$D$2:$D$1000="Après-vente")+('Agences &amp; Après-vente'!$D$2:$D$1000="Agences et Après-vente"))*'Agences &amp; Après-vente'!$E$2:$E$1000)),"yyyy-mm-dd"),"")))))</f>
        <v/>
      </c>
      <c r="J274" s="131" t="str">
        <f aca="false">IF($T274="✓","✓",IF(ISNUMBER($T274),TEXT($T274,"yyyy-mm-dd"),IF($A274="","",IF($D274="Lisbonne","",IF(SUMPRODUCT(('Agences &amp; Après-vente'!$A$2:$A$1000=$A274)*(('Agences &amp; Après-vente'!$D$2:$D$1000="Après-vente")+('Agences &amp; Après-vente'!$D$2:$D$1000="Agences et Après-vente"))*('Agences &amp; Après-vente'!$I$2:$I$1000="DONE"))&gt;0,"✓",IF(SUMPRODUCT(MAX(('Agences &amp; Après-vente'!$A$2:$A$1000=$A274)*(('Agences &amp; Après-vente'!$D$2:$D$1000="Après-vente")+('Agences &amp; Après-vente'!$D$2:$D$1000="Agences et Après-vente"))*'Agences &amp; Après-vente'!$E$2:$E$1000))&gt;0,TEXT(SUMPRODUCT(MAX(('Agences &amp; Après-vente'!$A$2:$A$1000=$A274)*(('Agences &amp; Après-vente'!$D$2:$D$1000="Après-vente")+('Agences &amp; Après-vente'!$D$2:$D$1000="Agences et Après-vente"))*'Agences &amp; Après-vente'!$E$2:$E$1000)),"yyyy-mm-dd"),""))))))</f>
        <v/>
      </c>
      <c r="K274" s="131" t="str">
        <f aca="false">IF($U274="✓","✓",IF(ISNUMBER($U274),TEXT($U274,"yyyy-mm-dd"),IF($D274="Lisbonne","",IF($A274="","",IF(SUMPRODUCT((Evermont!$A$2:$A$1000=$A274)*(Evermont!$Q$2:$Q$1000="Terminé"))&gt;0,"✓",IF(SUMPRODUCT(MAX((Evermont!$A$2:$A$1000=$A274)*Evermont!$F$2:$F$1000))&gt;0,TEXT(SUMPRODUCT(MAX((Evermont!$A$2:$A$1000=$A274)*Evermont!$F$2:$F$1000)),"yyyy-mm-dd"),""))))))</f>
        <v/>
      </c>
      <c r="L274" s="131" t="str">
        <f aca="false">IF($A274="","",COUNTIF(E274:K274,"✓"))</f>
        <v/>
      </c>
      <c r="M274" s="131" t="str">
        <f aca="false">IF(B274="","","Active")</f>
        <v/>
      </c>
      <c r="W274" s="120" t="str">
        <f aca="false">IF($A274="","",IF($X274&lt;&gt;"",$X274,IFERROR(INDEX('Formation Initiale'!$B$2:$B$999,MATCH($A274,'Formation Initiale'!$A$2:$A$999,0)),"Général")))</f>
        <v/>
      </c>
    </row>
    <row r="275" customFormat="false" ht="15" hidden="true" customHeight="true" outlineLevel="0" collapsed="false">
      <c r="A275" s="142" t="str">
        <f aca="false">IF(B275="","","TR"&amp;TEXT(ROW()-1,"000"))</f>
        <v/>
      </c>
      <c r="E275" s="130" t="str">
        <f aca="false">IF($O275="✓","✓",IF(ISNUMBER($O275),TEXT($O275,"yyyy-mm-dd"),IF($A275="","",IF(SUMPRODUCT(('Formation Initiale'!$A$2:$A$999=$A275)*('Formation Initiale'!$R$2:$R$999="Terminé"))&gt;0,"✓",IF(SUMPRODUCT(MAX(('Formation Initiale'!$A$2:$A$999=$A275)*'Formation Initiale'!$G$2:$G$999))&gt;0,TEXT(SUMPRODUCT(MAX(('Formation Initiale'!$A$2:$A$999=$A275)*'Formation Initiale'!$G$2:$G$999)),"yyyy-mm-dd"),"")))))</f>
        <v/>
      </c>
      <c r="F275" s="131" t="str">
        <f aca="false">IF($P275="✓","✓",IF(ISNUMBER($P275),TEXT($P275,"yyyy-mm-dd"),IF($A275="","",IF($D275="Lisbonne","",IF(SUMPRODUCT(('Formation Initiale'!$A$2:$A$999=$A275)*('Formation Initiale'!$R$2:$R$999="Terminé"))&gt;0,"✓",IF(SUMPRODUCT(MAX(('Formation Initiale'!$A$2:$A$999=$A275)*'Formation Initiale'!$G$2:$G$999))&gt;0,TEXT(SUMPRODUCT(MAX(('Formation Initiale'!$A$2:$A$999=$A275)*'Formation Initiale'!$G$2:$G$999)),"yyyy-mm-dd"),""))))))</f>
        <v/>
      </c>
      <c r="G275" s="131" t="str">
        <f aca="false">IF($Q275="✓","✓",IF(ISNUMBER($Q275),TEXT($Q275,"yyyy-mm-dd"),IF($A275="","",IF(SUMPRODUCT(('Agences &amp; Après-vente'!$A$2:$A$1000=$A275)*(('Agences &amp; Après-vente'!$D$2:$D$1000="Agences")+('Agences &amp; Après-vente'!$D$2:$D$1000="Agences et Après-vente"))*('Agences &amp; Après-vente'!$I$2:$I$1000="DONE"))&gt;0,"✓",IF(SUMPRODUCT(MAX(('Agences &amp; Après-vente'!$A$2:$A$1000=$A275)*(('Agences &amp; Après-vente'!$D$2:$D$1000="Agences")+('Agences &amp; Après-vente'!$D$2:$D$1000="Agences et Après-vente"))*'Agences &amp; Après-vente'!$E$2:$E$1000))&gt;0,TEXT(SUMPRODUCT(MAX(('Agences &amp; Après-vente'!$A$2:$A$1000=$A275)*(('Agences &amp; Après-vente'!$D$2:$D$1000="Agences")+('Agences &amp; Après-vente'!$D$2:$D$1000="Agences et Après-vente"))*'Agences &amp; Après-vente'!$E$2:$E$1000)),"yyyy-mm-dd"),"")))))</f>
        <v/>
      </c>
      <c r="H275" s="131" t="str">
        <f aca="false">IF($R275="✓","✓",IF(ISNUMBER($R275),TEXT($R275,"yyyy-mm-dd"),IF($A275="","",IF($D275="Lisbonne","",IF(SUMPRODUCT(('Agences &amp; Après-vente'!$A$2:$A$1000=$A275)*(('Agences &amp; Après-vente'!$D$2:$D$1000="Agences")+('Agences &amp; Après-vente'!$D$2:$D$1000="Agences et Après-vente"))*('Agences &amp; Après-vente'!$I$2:$I$1000="DONE"))&gt;0,"✓",IF(SUMPRODUCT(MAX(('Agences &amp; Après-vente'!$A$2:$A$1000=$A275)*(('Agences &amp; Après-vente'!$D$2:$D$1000="Agences")+('Agences &amp; Après-vente'!$D$2:$D$1000="Agences et Après-vente"))*'Agences &amp; Après-vente'!$E$2:$E$1000))&gt;0,TEXT(SUMPRODUCT(MAX(('Agences &amp; Après-vente'!$A$2:$A$1000=$A275)*(('Agences &amp; Après-vente'!$D$2:$D$1000="Agences")+('Agences &amp; Après-vente'!$D$2:$D$1000="Agences et Après-vente"))*'Agences &amp; Après-vente'!$E$2:$E$1000)),"yyyy-mm-dd"),""))))))</f>
        <v/>
      </c>
      <c r="I275" s="131" t="str">
        <f aca="false">IF($S275="✓","✓",IF(ISNUMBER($S275),TEXT($S275,"yyyy-mm-dd"),IF($A275="","",IF(SUMPRODUCT(('Agences &amp; Après-vente'!$A$2:$A$1000=$A275)*(('Agences &amp; Après-vente'!$D$2:$D$1000="Après-vente")+('Agences &amp; Après-vente'!$D$2:$D$1000="Agences et Après-vente"))*('Agences &amp; Après-vente'!$I$2:$I$1000="DONE"))&gt;0,"✓",IF(SUMPRODUCT(MAX(('Agences &amp; Après-vente'!$A$2:$A$1000=$A275)*(('Agences &amp; Après-vente'!$D$2:$D$1000="Après-vente")+('Agences &amp; Après-vente'!$D$2:$D$1000="Agences et Après-vente"))*'Agences &amp; Après-vente'!$E$2:$E$1000))&gt;0,TEXT(SUMPRODUCT(MAX(('Agences &amp; Après-vente'!$A$2:$A$1000=$A275)*(('Agences &amp; Après-vente'!$D$2:$D$1000="Après-vente")+('Agences &amp; Après-vente'!$D$2:$D$1000="Agences et Après-vente"))*'Agences &amp; Après-vente'!$E$2:$E$1000)),"yyyy-mm-dd"),"")))))</f>
        <v/>
      </c>
      <c r="J275" s="131" t="str">
        <f aca="false">IF($T275="✓","✓",IF(ISNUMBER($T275),TEXT($T275,"yyyy-mm-dd"),IF($A275="","",IF($D275="Lisbonne","",IF(SUMPRODUCT(('Agences &amp; Après-vente'!$A$2:$A$1000=$A275)*(('Agences &amp; Après-vente'!$D$2:$D$1000="Après-vente")+('Agences &amp; Après-vente'!$D$2:$D$1000="Agences et Après-vente"))*('Agences &amp; Après-vente'!$I$2:$I$1000="DONE"))&gt;0,"✓",IF(SUMPRODUCT(MAX(('Agences &amp; Après-vente'!$A$2:$A$1000=$A275)*(('Agences &amp; Après-vente'!$D$2:$D$1000="Après-vente")+('Agences &amp; Après-vente'!$D$2:$D$1000="Agences et Après-vente"))*'Agences &amp; Après-vente'!$E$2:$E$1000))&gt;0,TEXT(SUMPRODUCT(MAX(('Agences &amp; Après-vente'!$A$2:$A$1000=$A275)*(('Agences &amp; Après-vente'!$D$2:$D$1000="Après-vente")+('Agences &amp; Après-vente'!$D$2:$D$1000="Agences et Après-vente"))*'Agences &amp; Après-vente'!$E$2:$E$1000)),"yyyy-mm-dd"),""))))))</f>
        <v/>
      </c>
      <c r="K275" s="131" t="str">
        <f aca="false">IF($U275="✓","✓",IF(ISNUMBER($U275),TEXT($U275,"yyyy-mm-dd"),IF($D275="Lisbonne","",IF($A275="","",IF(SUMPRODUCT((Evermont!$A$2:$A$1000=$A275)*(Evermont!$Q$2:$Q$1000="Terminé"))&gt;0,"✓",IF(SUMPRODUCT(MAX((Evermont!$A$2:$A$1000=$A275)*Evermont!$F$2:$F$1000))&gt;0,TEXT(SUMPRODUCT(MAX((Evermont!$A$2:$A$1000=$A275)*Evermont!$F$2:$F$1000)),"yyyy-mm-dd"),""))))))</f>
        <v/>
      </c>
      <c r="L275" s="131" t="str">
        <f aca="false">IF($A275="","",COUNTIF(E275:K275,"✓"))</f>
        <v/>
      </c>
      <c r="M275" s="131" t="str">
        <f aca="false">IF(B275="","","Active")</f>
        <v/>
      </c>
      <c r="W275" s="120" t="str">
        <f aca="false">IF($A275="","",IF($X275&lt;&gt;"",$X275,IFERROR(INDEX('Formation Initiale'!$B$2:$B$999,MATCH($A275,'Formation Initiale'!$A$2:$A$999,0)),"Général")))</f>
        <v/>
      </c>
    </row>
    <row r="276" customFormat="false" ht="15" hidden="true" customHeight="true" outlineLevel="0" collapsed="false">
      <c r="A276" s="142" t="str">
        <f aca="false">IF(B276="","","TR"&amp;TEXT(ROW()-1,"000"))</f>
        <v/>
      </c>
      <c r="E276" s="130" t="str">
        <f aca="false">IF($O276="✓","✓",IF(ISNUMBER($O276),TEXT($O276,"yyyy-mm-dd"),IF($A276="","",IF(SUMPRODUCT(('Formation Initiale'!$A$2:$A$999=$A276)*('Formation Initiale'!$R$2:$R$999="Terminé"))&gt;0,"✓",IF(SUMPRODUCT(MAX(('Formation Initiale'!$A$2:$A$999=$A276)*'Formation Initiale'!$G$2:$G$999))&gt;0,TEXT(SUMPRODUCT(MAX(('Formation Initiale'!$A$2:$A$999=$A276)*'Formation Initiale'!$G$2:$G$999)),"yyyy-mm-dd"),"")))))</f>
        <v/>
      </c>
      <c r="F276" s="131" t="str">
        <f aca="false">IF($P276="✓","✓",IF(ISNUMBER($P276),TEXT($P276,"yyyy-mm-dd"),IF($A276="","",IF($D276="Lisbonne","",IF(SUMPRODUCT(('Formation Initiale'!$A$2:$A$999=$A276)*('Formation Initiale'!$R$2:$R$999="Terminé"))&gt;0,"✓",IF(SUMPRODUCT(MAX(('Formation Initiale'!$A$2:$A$999=$A276)*'Formation Initiale'!$G$2:$G$999))&gt;0,TEXT(SUMPRODUCT(MAX(('Formation Initiale'!$A$2:$A$999=$A276)*'Formation Initiale'!$G$2:$G$999)),"yyyy-mm-dd"),""))))))</f>
        <v/>
      </c>
      <c r="G276" s="131" t="str">
        <f aca="false">IF($Q276="✓","✓",IF(ISNUMBER($Q276),TEXT($Q276,"yyyy-mm-dd"),IF($A276="","",IF(SUMPRODUCT(('Agences &amp; Après-vente'!$A$2:$A$1000=$A276)*(('Agences &amp; Après-vente'!$D$2:$D$1000="Agences")+('Agences &amp; Après-vente'!$D$2:$D$1000="Agences et Après-vente"))*('Agences &amp; Après-vente'!$I$2:$I$1000="DONE"))&gt;0,"✓",IF(SUMPRODUCT(MAX(('Agences &amp; Après-vente'!$A$2:$A$1000=$A276)*(('Agences &amp; Après-vente'!$D$2:$D$1000="Agences")+('Agences &amp; Après-vente'!$D$2:$D$1000="Agences et Après-vente"))*'Agences &amp; Après-vente'!$E$2:$E$1000))&gt;0,TEXT(SUMPRODUCT(MAX(('Agences &amp; Après-vente'!$A$2:$A$1000=$A276)*(('Agences &amp; Après-vente'!$D$2:$D$1000="Agences")+('Agences &amp; Après-vente'!$D$2:$D$1000="Agences et Après-vente"))*'Agences &amp; Après-vente'!$E$2:$E$1000)),"yyyy-mm-dd"),"")))))</f>
        <v/>
      </c>
      <c r="H276" s="131" t="str">
        <f aca="false">IF($R276="✓","✓",IF(ISNUMBER($R276),TEXT($R276,"yyyy-mm-dd"),IF($A276="","",IF($D276="Lisbonne","",IF(SUMPRODUCT(('Agences &amp; Après-vente'!$A$2:$A$1000=$A276)*(('Agences &amp; Après-vente'!$D$2:$D$1000="Agences")+('Agences &amp; Après-vente'!$D$2:$D$1000="Agences et Après-vente"))*('Agences &amp; Après-vente'!$I$2:$I$1000="DONE"))&gt;0,"✓",IF(SUMPRODUCT(MAX(('Agences &amp; Après-vente'!$A$2:$A$1000=$A276)*(('Agences &amp; Après-vente'!$D$2:$D$1000="Agences")+('Agences &amp; Après-vente'!$D$2:$D$1000="Agences et Après-vente"))*'Agences &amp; Après-vente'!$E$2:$E$1000))&gt;0,TEXT(SUMPRODUCT(MAX(('Agences &amp; Après-vente'!$A$2:$A$1000=$A276)*(('Agences &amp; Après-vente'!$D$2:$D$1000="Agences")+('Agences &amp; Après-vente'!$D$2:$D$1000="Agences et Après-vente"))*'Agences &amp; Après-vente'!$E$2:$E$1000)),"yyyy-mm-dd"),""))))))</f>
        <v/>
      </c>
      <c r="I276" s="131" t="str">
        <f aca="false">IF($S276="✓","✓",IF(ISNUMBER($S276),TEXT($S276,"yyyy-mm-dd"),IF($A276="","",IF(SUMPRODUCT(('Agences &amp; Après-vente'!$A$2:$A$1000=$A276)*(('Agences &amp; Après-vente'!$D$2:$D$1000="Après-vente")+('Agences &amp; Après-vente'!$D$2:$D$1000="Agences et Après-vente"))*('Agences &amp; Après-vente'!$I$2:$I$1000="DONE"))&gt;0,"✓",IF(SUMPRODUCT(MAX(('Agences &amp; Après-vente'!$A$2:$A$1000=$A276)*(('Agences &amp; Après-vente'!$D$2:$D$1000="Après-vente")+('Agences &amp; Après-vente'!$D$2:$D$1000="Agences et Après-vente"))*'Agences &amp; Après-vente'!$E$2:$E$1000))&gt;0,TEXT(SUMPRODUCT(MAX(('Agences &amp; Après-vente'!$A$2:$A$1000=$A276)*(('Agences &amp; Après-vente'!$D$2:$D$1000="Après-vente")+('Agences &amp; Après-vente'!$D$2:$D$1000="Agences et Après-vente"))*'Agences &amp; Après-vente'!$E$2:$E$1000)),"yyyy-mm-dd"),"")))))</f>
        <v/>
      </c>
      <c r="J276" s="131" t="str">
        <f aca="false">IF($T276="✓","✓",IF(ISNUMBER($T276),TEXT($T276,"yyyy-mm-dd"),IF($A276="","",IF($D276="Lisbonne","",IF(SUMPRODUCT(('Agences &amp; Après-vente'!$A$2:$A$1000=$A276)*(('Agences &amp; Après-vente'!$D$2:$D$1000="Après-vente")+('Agences &amp; Après-vente'!$D$2:$D$1000="Agences et Après-vente"))*('Agences &amp; Après-vente'!$I$2:$I$1000="DONE"))&gt;0,"✓",IF(SUMPRODUCT(MAX(('Agences &amp; Après-vente'!$A$2:$A$1000=$A276)*(('Agences &amp; Après-vente'!$D$2:$D$1000="Après-vente")+('Agences &amp; Après-vente'!$D$2:$D$1000="Agences et Après-vente"))*'Agences &amp; Après-vente'!$E$2:$E$1000))&gt;0,TEXT(SUMPRODUCT(MAX(('Agences &amp; Après-vente'!$A$2:$A$1000=$A276)*(('Agences &amp; Après-vente'!$D$2:$D$1000="Après-vente")+('Agences &amp; Après-vente'!$D$2:$D$1000="Agences et Après-vente"))*'Agences &amp; Après-vente'!$E$2:$E$1000)),"yyyy-mm-dd"),""))))))</f>
        <v/>
      </c>
      <c r="K276" s="131" t="str">
        <f aca="false">IF($U276="✓","✓",IF(ISNUMBER($U276),TEXT($U276,"yyyy-mm-dd"),IF($D276="Lisbonne","",IF($A276="","",IF(SUMPRODUCT((Evermont!$A$2:$A$1000=$A276)*(Evermont!$Q$2:$Q$1000="Terminé"))&gt;0,"✓",IF(SUMPRODUCT(MAX((Evermont!$A$2:$A$1000=$A276)*Evermont!$F$2:$F$1000))&gt;0,TEXT(SUMPRODUCT(MAX((Evermont!$A$2:$A$1000=$A276)*Evermont!$F$2:$F$1000)),"yyyy-mm-dd"),""))))))</f>
        <v/>
      </c>
      <c r="L276" s="131" t="str">
        <f aca="false">IF($A276="","",COUNTIF(E276:K276,"✓"))</f>
        <v/>
      </c>
      <c r="M276" s="131" t="str">
        <f aca="false">IF(B276="","","Active")</f>
        <v/>
      </c>
      <c r="W276" s="120" t="str">
        <f aca="false">IF($A276="","",IF($X276&lt;&gt;"",$X276,IFERROR(INDEX('Formation Initiale'!$B$2:$B$999,MATCH($A276,'Formation Initiale'!$A$2:$A$999,0)),"Général")))</f>
        <v/>
      </c>
    </row>
    <row r="277" customFormat="false" ht="15" hidden="true" customHeight="true" outlineLevel="0" collapsed="false">
      <c r="A277" s="142" t="str">
        <f aca="false">IF(B277="","","TR"&amp;TEXT(ROW()-1,"000"))</f>
        <v/>
      </c>
      <c r="E277" s="130" t="str">
        <f aca="false">IF($O277="✓","✓",IF(ISNUMBER($O277),TEXT($O277,"yyyy-mm-dd"),IF($A277="","",IF(SUMPRODUCT(('Formation Initiale'!$A$2:$A$999=$A277)*('Formation Initiale'!$R$2:$R$999="Terminé"))&gt;0,"✓",IF(SUMPRODUCT(MAX(('Formation Initiale'!$A$2:$A$999=$A277)*'Formation Initiale'!$G$2:$G$999))&gt;0,TEXT(SUMPRODUCT(MAX(('Formation Initiale'!$A$2:$A$999=$A277)*'Formation Initiale'!$G$2:$G$999)),"yyyy-mm-dd"),"")))))</f>
        <v/>
      </c>
      <c r="F277" s="131" t="str">
        <f aca="false">IF($P277="✓","✓",IF(ISNUMBER($P277),TEXT($P277,"yyyy-mm-dd"),IF($A277="","",IF($D277="Lisbonne","",IF(SUMPRODUCT(('Formation Initiale'!$A$2:$A$999=$A277)*('Formation Initiale'!$R$2:$R$999="Terminé"))&gt;0,"✓",IF(SUMPRODUCT(MAX(('Formation Initiale'!$A$2:$A$999=$A277)*'Formation Initiale'!$G$2:$G$999))&gt;0,TEXT(SUMPRODUCT(MAX(('Formation Initiale'!$A$2:$A$999=$A277)*'Formation Initiale'!$G$2:$G$999)),"yyyy-mm-dd"),""))))))</f>
        <v/>
      </c>
      <c r="G277" s="131" t="str">
        <f aca="false">IF($Q277="✓","✓",IF(ISNUMBER($Q277),TEXT($Q277,"yyyy-mm-dd"),IF($A277="","",IF(SUMPRODUCT(('Agences &amp; Après-vente'!$A$2:$A$1000=$A277)*(('Agences &amp; Après-vente'!$D$2:$D$1000="Agences")+('Agences &amp; Après-vente'!$D$2:$D$1000="Agences et Après-vente"))*('Agences &amp; Après-vente'!$I$2:$I$1000="DONE"))&gt;0,"✓",IF(SUMPRODUCT(MAX(('Agences &amp; Après-vente'!$A$2:$A$1000=$A277)*(('Agences &amp; Après-vente'!$D$2:$D$1000="Agences")+('Agences &amp; Après-vente'!$D$2:$D$1000="Agences et Après-vente"))*'Agences &amp; Après-vente'!$E$2:$E$1000))&gt;0,TEXT(SUMPRODUCT(MAX(('Agences &amp; Après-vente'!$A$2:$A$1000=$A277)*(('Agences &amp; Après-vente'!$D$2:$D$1000="Agences")+('Agences &amp; Après-vente'!$D$2:$D$1000="Agences et Après-vente"))*'Agences &amp; Après-vente'!$E$2:$E$1000)),"yyyy-mm-dd"),"")))))</f>
        <v/>
      </c>
      <c r="H277" s="131" t="str">
        <f aca="false">IF($R277="✓","✓",IF(ISNUMBER($R277),TEXT($R277,"yyyy-mm-dd"),IF($A277="","",IF($D277="Lisbonne","",IF(SUMPRODUCT(('Agences &amp; Après-vente'!$A$2:$A$1000=$A277)*(('Agences &amp; Après-vente'!$D$2:$D$1000="Agences")+('Agences &amp; Après-vente'!$D$2:$D$1000="Agences et Après-vente"))*('Agences &amp; Après-vente'!$I$2:$I$1000="DONE"))&gt;0,"✓",IF(SUMPRODUCT(MAX(('Agences &amp; Après-vente'!$A$2:$A$1000=$A277)*(('Agences &amp; Après-vente'!$D$2:$D$1000="Agences")+('Agences &amp; Après-vente'!$D$2:$D$1000="Agences et Après-vente"))*'Agences &amp; Après-vente'!$E$2:$E$1000))&gt;0,TEXT(SUMPRODUCT(MAX(('Agences &amp; Après-vente'!$A$2:$A$1000=$A277)*(('Agences &amp; Après-vente'!$D$2:$D$1000="Agences")+('Agences &amp; Après-vente'!$D$2:$D$1000="Agences et Après-vente"))*'Agences &amp; Après-vente'!$E$2:$E$1000)),"yyyy-mm-dd"),""))))))</f>
        <v/>
      </c>
      <c r="I277" s="131" t="str">
        <f aca="false">IF($S277="✓","✓",IF(ISNUMBER($S277),TEXT($S277,"yyyy-mm-dd"),IF($A277="","",IF(SUMPRODUCT(('Agences &amp; Après-vente'!$A$2:$A$1000=$A277)*(('Agences &amp; Après-vente'!$D$2:$D$1000="Après-vente")+('Agences &amp; Après-vente'!$D$2:$D$1000="Agences et Après-vente"))*('Agences &amp; Après-vente'!$I$2:$I$1000="DONE"))&gt;0,"✓",IF(SUMPRODUCT(MAX(('Agences &amp; Après-vente'!$A$2:$A$1000=$A277)*(('Agences &amp; Après-vente'!$D$2:$D$1000="Après-vente")+('Agences &amp; Après-vente'!$D$2:$D$1000="Agences et Après-vente"))*'Agences &amp; Après-vente'!$E$2:$E$1000))&gt;0,TEXT(SUMPRODUCT(MAX(('Agences &amp; Après-vente'!$A$2:$A$1000=$A277)*(('Agences &amp; Après-vente'!$D$2:$D$1000="Après-vente")+('Agences &amp; Après-vente'!$D$2:$D$1000="Agences et Après-vente"))*'Agences &amp; Après-vente'!$E$2:$E$1000)),"yyyy-mm-dd"),"")))))</f>
        <v/>
      </c>
      <c r="J277" s="131" t="str">
        <f aca="false">IF($T277="✓","✓",IF(ISNUMBER($T277),TEXT($T277,"yyyy-mm-dd"),IF($A277="","",IF($D277="Lisbonne","",IF(SUMPRODUCT(('Agences &amp; Après-vente'!$A$2:$A$1000=$A277)*(('Agences &amp; Après-vente'!$D$2:$D$1000="Après-vente")+('Agences &amp; Après-vente'!$D$2:$D$1000="Agences et Après-vente"))*('Agences &amp; Après-vente'!$I$2:$I$1000="DONE"))&gt;0,"✓",IF(SUMPRODUCT(MAX(('Agences &amp; Après-vente'!$A$2:$A$1000=$A277)*(('Agences &amp; Après-vente'!$D$2:$D$1000="Après-vente")+('Agences &amp; Après-vente'!$D$2:$D$1000="Agences et Après-vente"))*'Agences &amp; Après-vente'!$E$2:$E$1000))&gt;0,TEXT(SUMPRODUCT(MAX(('Agences &amp; Après-vente'!$A$2:$A$1000=$A277)*(('Agences &amp; Après-vente'!$D$2:$D$1000="Après-vente")+('Agences &amp; Après-vente'!$D$2:$D$1000="Agences et Après-vente"))*'Agences &amp; Après-vente'!$E$2:$E$1000)),"yyyy-mm-dd"),""))))))</f>
        <v/>
      </c>
      <c r="K277" s="131" t="str">
        <f aca="false">IF($U277="✓","✓",IF(ISNUMBER($U277),TEXT($U277,"yyyy-mm-dd"),IF($D277="Lisbonne","",IF($A277="","",IF(SUMPRODUCT((Evermont!$A$2:$A$1000=$A277)*(Evermont!$Q$2:$Q$1000="Terminé"))&gt;0,"✓",IF(SUMPRODUCT(MAX((Evermont!$A$2:$A$1000=$A277)*Evermont!$F$2:$F$1000))&gt;0,TEXT(SUMPRODUCT(MAX((Evermont!$A$2:$A$1000=$A277)*Evermont!$F$2:$F$1000)),"yyyy-mm-dd"),""))))))</f>
        <v/>
      </c>
      <c r="L277" s="131" t="str">
        <f aca="false">IF($A277="","",COUNTIF(E277:K277,"✓"))</f>
        <v/>
      </c>
      <c r="M277" s="131" t="str">
        <f aca="false">IF(B277="","","Active")</f>
        <v/>
      </c>
      <c r="W277" s="120" t="str">
        <f aca="false">IF($A277="","",IF($X277&lt;&gt;"",$X277,IFERROR(INDEX('Formation Initiale'!$B$2:$B$999,MATCH($A277,'Formation Initiale'!$A$2:$A$999,0)),"Général")))</f>
        <v/>
      </c>
    </row>
    <row r="278" customFormat="false" ht="15" hidden="true" customHeight="true" outlineLevel="0" collapsed="false">
      <c r="A278" s="142" t="str">
        <f aca="false">IF(B278="","","TR"&amp;TEXT(ROW()-1,"000"))</f>
        <v/>
      </c>
      <c r="E278" s="130" t="str">
        <f aca="false">IF($O278="✓","✓",IF(ISNUMBER($O278),TEXT($O278,"yyyy-mm-dd"),IF($A278="","",IF(SUMPRODUCT(('Formation Initiale'!$A$2:$A$999=$A278)*('Formation Initiale'!$R$2:$R$999="Terminé"))&gt;0,"✓",IF(SUMPRODUCT(MAX(('Formation Initiale'!$A$2:$A$999=$A278)*'Formation Initiale'!$G$2:$G$999))&gt;0,TEXT(SUMPRODUCT(MAX(('Formation Initiale'!$A$2:$A$999=$A278)*'Formation Initiale'!$G$2:$G$999)),"yyyy-mm-dd"),"")))))</f>
        <v/>
      </c>
      <c r="F278" s="131" t="str">
        <f aca="false">IF($P278="✓","✓",IF(ISNUMBER($P278),TEXT($P278,"yyyy-mm-dd"),IF($A278="","",IF($D278="Lisbonne","",IF(SUMPRODUCT(('Formation Initiale'!$A$2:$A$999=$A278)*('Formation Initiale'!$R$2:$R$999="Terminé"))&gt;0,"✓",IF(SUMPRODUCT(MAX(('Formation Initiale'!$A$2:$A$999=$A278)*'Formation Initiale'!$G$2:$G$999))&gt;0,TEXT(SUMPRODUCT(MAX(('Formation Initiale'!$A$2:$A$999=$A278)*'Formation Initiale'!$G$2:$G$999)),"yyyy-mm-dd"),""))))))</f>
        <v/>
      </c>
      <c r="G278" s="131" t="str">
        <f aca="false">IF($Q278="✓","✓",IF(ISNUMBER($Q278),TEXT($Q278,"yyyy-mm-dd"),IF($A278="","",IF(SUMPRODUCT(('Agences &amp; Après-vente'!$A$2:$A$1000=$A278)*(('Agences &amp; Après-vente'!$D$2:$D$1000="Agences")+('Agences &amp; Après-vente'!$D$2:$D$1000="Agences et Après-vente"))*('Agences &amp; Après-vente'!$I$2:$I$1000="DONE"))&gt;0,"✓",IF(SUMPRODUCT(MAX(('Agences &amp; Après-vente'!$A$2:$A$1000=$A278)*(('Agences &amp; Après-vente'!$D$2:$D$1000="Agences")+('Agences &amp; Après-vente'!$D$2:$D$1000="Agences et Après-vente"))*'Agences &amp; Après-vente'!$E$2:$E$1000))&gt;0,TEXT(SUMPRODUCT(MAX(('Agences &amp; Après-vente'!$A$2:$A$1000=$A278)*(('Agences &amp; Après-vente'!$D$2:$D$1000="Agences")+('Agences &amp; Après-vente'!$D$2:$D$1000="Agences et Après-vente"))*'Agences &amp; Après-vente'!$E$2:$E$1000)),"yyyy-mm-dd"),"")))))</f>
        <v/>
      </c>
      <c r="H278" s="131" t="str">
        <f aca="false">IF($R278="✓","✓",IF(ISNUMBER($R278),TEXT($R278,"yyyy-mm-dd"),IF($A278="","",IF($D278="Lisbonne","",IF(SUMPRODUCT(('Agences &amp; Après-vente'!$A$2:$A$1000=$A278)*(('Agences &amp; Après-vente'!$D$2:$D$1000="Agences")+('Agences &amp; Après-vente'!$D$2:$D$1000="Agences et Après-vente"))*('Agences &amp; Après-vente'!$I$2:$I$1000="DONE"))&gt;0,"✓",IF(SUMPRODUCT(MAX(('Agences &amp; Après-vente'!$A$2:$A$1000=$A278)*(('Agences &amp; Après-vente'!$D$2:$D$1000="Agences")+('Agences &amp; Après-vente'!$D$2:$D$1000="Agences et Après-vente"))*'Agences &amp; Après-vente'!$E$2:$E$1000))&gt;0,TEXT(SUMPRODUCT(MAX(('Agences &amp; Après-vente'!$A$2:$A$1000=$A278)*(('Agences &amp; Après-vente'!$D$2:$D$1000="Agences")+('Agences &amp; Après-vente'!$D$2:$D$1000="Agences et Après-vente"))*'Agences &amp; Après-vente'!$E$2:$E$1000)),"yyyy-mm-dd"),""))))))</f>
        <v/>
      </c>
      <c r="I278" s="131" t="str">
        <f aca="false">IF($S278="✓","✓",IF(ISNUMBER($S278),TEXT($S278,"yyyy-mm-dd"),IF($A278="","",IF(SUMPRODUCT(('Agences &amp; Après-vente'!$A$2:$A$1000=$A278)*(('Agences &amp; Après-vente'!$D$2:$D$1000="Après-vente")+('Agences &amp; Après-vente'!$D$2:$D$1000="Agences et Après-vente"))*('Agences &amp; Après-vente'!$I$2:$I$1000="DONE"))&gt;0,"✓",IF(SUMPRODUCT(MAX(('Agences &amp; Après-vente'!$A$2:$A$1000=$A278)*(('Agences &amp; Après-vente'!$D$2:$D$1000="Après-vente")+('Agences &amp; Après-vente'!$D$2:$D$1000="Agences et Après-vente"))*'Agences &amp; Après-vente'!$E$2:$E$1000))&gt;0,TEXT(SUMPRODUCT(MAX(('Agences &amp; Après-vente'!$A$2:$A$1000=$A278)*(('Agences &amp; Après-vente'!$D$2:$D$1000="Après-vente")+('Agences &amp; Après-vente'!$D$2:$D$1000="Agences et Après-vente"))*'Agences &amp; Après-vente'!$E$2:$E$1000)),"yyyy-mm-dd"),"")))))</f>
        <v/>
      </c>
      <c r="J278" s="131" t="str">
        <f aca="false">IF($T278="✓","✓",IF(ISNUMBER($T278),TEXT($T278,"yyyy-mm-dd"),IF($A278="","",IF($D278="Lisbonne","",IF(SUMPRODUCT(('Agences &amp; Après-vente'!$A$2:$A$1000=$A278)*(('Agences &amp; Après-vente'!$D$2:$D$1000="Après-vente")+('Agences &amp; Après-vente'!$D$2:$D$1000="Agences et Après-vente"))*('Agences &amp; Après-vente'!$I$2:$I$1000="DONE"))&gt;0,"✓",IF(SUMPRODUCT(MAX(('Agences &amp; Après-vente'!$A$2:$A$1000=$A278)*(('Agences &amp; Après-vente'!$D$2:$D$1000="Après-vente")+('Agences &amp; Après-vente'!$D$2:$D$1000="Agences et Après-vente"))*'Agences &amp; Après-vente'!$E$2:$E$1000))&gt;0,TEXT(SUMPRODUCT(MAX(('Agences &amp; Après-vente'!$A$2:$A$1000=$A278)*(('Agences &amp; Après-vente'!$D$2:$D$1000="Après-vente")+('Agences &amp; Après-vente'!$D$2:$D$1000="Agences et Après-vente"))*'Agences &amp; Après-vente'!$E$2:$E$1000)),"yyyy-mm-dd"),""))))))</f>
        <v/>
      </c>
      <c r="K278" s="131" t="str">
        <f aca="false">IF($U278="✓","✓",IF(ISNUMBER($U278),TEXT($U278,"yyyy-mm-dd"),IF($D278="Lisbonne","",IF($A278="","",IF(SUMPRODUCT((Evermont!$A$2:$A$1000=$A278)*(Evermont!$Q$2:$Q$1000="Terminé"))&gt;0,"✓",IF(SUMPRODUCT(MAX((Evermont!$A$2:$A$1000=$A278)*Evermont!$F$2:$F$1000))&gt;0,TEXT(SUMPRODUCT(MAX((Evermont!$A$2:$A$1000=$A278)*Evermont!$F$2:$F$1000)),"yyyy-mm-dd"),""))))))</f>
        <v/>
      </c>
      <c r="L278" s="131" t="str">
        <f aca="false">IF($A278="","",COUNTIF(E278:K278,"✓"))</f>
        <v/>
      </c>
      <c r="M278" s="131" t="str">
        <f aca="false">IF(B278="","","Active")</f>
        <v/>
      </c>
      <c r="W278" s="120" t="str">
        <f aca="false">IF($A278="","",IF($X278&lt;&gt;"",$X278,IFERROR(INDEX('Formation Initiale'!$B$2:$B$999,MATCH($A278,'Formation Initiale'!$A$2:$A$999,0)),"Général")))</f>
        <v/>
      </c>
    </row>
    <row r="279" customFormat="false" ht="15" hidden="true" customHeight="true" outlineLevel="0" collapsed="false">
      <c r="A279" s="142" t="str">
        <f aca="false">IF(B279="","","TR"&amp;TEXT(ROW()-1,"000"))</f>
        <v/>
      </c>
      <c r="E279" s="130" t="str">
        <f aca="false">IF($O279="✓","✓",IF(ISNUMBER($O279),TEXT($O279,"yyyy-mm-dd"),IF($A279="","",IF(SUMPRODUCT(('Formation Initiale'!$A$2:$A$999=$A279)*('Formation Initiale'!$R$2:$R$999="Terminé"))&gt;0,"✓",IF(SUMPRODUCT(MAX(('Formation Initiale'!$A$2:$A$999=$A279)*'Formation Initiale'!$G$2:$G$999))&gt;0,TEXT(SUMPRODUCT(MAX(('Formation Initiale'!$A$2:$A$999=$A279)*'Formation Initiale'!$G$2:$G$999)),"yyyy-mm-dd"),"")))))</f>
        <v/>
      </c>
      <c r="F279" s="131" t="str">
        <f aca="false">IF($P279="✓","✓",IF(ISNUMBER($P279),TEXT($P279,"yyyy-mm-dd"),IF($A279="","",IF($D279="Lisbonne","",IF(SUMPRODUCT(('Formation Initiale'!$A$2:$A$999=$A279)*('Formation Initiale'!$R$2:$R$999="Terminé"))&gt;0,"✓",IF(SUMPRODUCT(MAX(('Formation Initiale'!$A$2:$A$999=$A279)*'Formation Initiale'!$G$2:$G$999))&gt;0,TEXT(SUMPRODUCT(MAX(('Formation Initiale'!$A$2:$A$999=$A279)*'Formation Initiale'!$G$2:$G$999)),"yyyy-mm-dd"),""))))))</f>
        <v/>
      </c>
      <c r="G279" s="131" t="str">
        <f aca="false">IF($Q279="✓","✓",IF(ISNUMBER($Q279),TEXT($Q279,"yyyy-mm-dd"),IF($A279="","",IF(SUMPRODUCT(('Agences &amp; Après-vente'!$A$2:$A$1000=$A279)*(('Agences &amp; Après-vente'!$D$2:$D$1000="Agences")+('Agences &amp; Après-vente'!$D$2:$D$1000="Agences et Après-vente"))*('Agences &amp; Après-vente'!$I$2:$I$1000="DONE"))&gt;0,"✓",IF(SUMPRODUCT(MAX(('Agences &amp; Après-vente'!$A$2:$A$1000=$A279)*(('Agences &amp; Après-vente'!$D$2:$D$1000="Agences")+('Agences &amp; Après-vente'!$D$2:$D$1000="Agences et Après-vente"))*'Agences &amp; Après-vente'!$E$2:$E$1000))&gt;0,TEXT(SUMPRODUCT(MAX(('Agences &amp; Après-vente'!$A$2:$A$1000=$A279)*(('Agences &amp; Après-vente'!$D$2:$D$1000="Agences")+('Agences &amp; Après-vente'!$D$2:$D$1000="Agences et Après-vente"))*'Agences &amp; Après-vente'!$E$2:$E$1000)),"yyyy-mm-dd"),"")))))</f>
        <v/>
      </c>
      <c r="H279" s="131" t="str">
        <f aca="false">IF($R279="✓","✓",IF(ISNUMBER($R279),TEXT($R279,"yyyy-mm-dd"),IF($A279="","",IF($D279="Lisbonne","",IF(SUMPRODUCT(('Agences &amp; Après-vente'!$A$2:$A$1000=$A279)*(('Agences &amp; Après-vente'!$D$2:$D$1000="Agences")+('Agences &amp; Après-vente'!$D$2:$D$1000="Agences et Après-vente"))*('Agences &amp; Après-vente'!$I$2:$I$1000="DONE"))&gt;0,"✓",IF(SUMPRODUCT(MAX(('Agences &amp; Après-vente'!$A$2:$A$1000=$A279)*(('Agences &amp; Après-vente'!$D$2:$D$1000="Agences")+('Agences &amp; Après-vente'!$D$2:$D$1000="Agences et Après-vente"))*'Agences &amp; Après-vente'!$E$2:$E$1000))&gt;0,TEXT(SUMPRODUCT(MAX(('Agences &amp; Après-vente'!$A$2:$A$1000=$A279)*(('Agences &amp; Après-vente'!$D$2:$D$1000="Agences")+('Agences &amp; Après-vente'!$D$2:$D$1000="Agences et Après-vente"))*'Agences &amp; Après-vente'!$E$2:$E$1000)),"yyyy-mm-dd"),""))))))</f>
        <v/>
      </c>
      <c r="I279" s="131" t="str">
        <f aca="false">IF($S279="✓","✓",IF(ISNUMBER($S279),TEXT($S279,"yyyy-mm-dd"),IF($A279="","",IF(SUMPRODUCT(('Agences &amp; Après-vente'!$A$2:$A$1000=$A279)*(('Agences &amp; Après-vente'!$D$2:$D$1000="Après-vente")+('Agences &amp; Après-vente'!$D$2:$D$1000="Agences et Après-vente"))*('Agences &amp; Après-vente'!$I$2:$I$1000="DONE"))&gt;0,"✓",IF(SUMPRODUCT(MAX(('Agences &amp; Après-vente'!$A$2:$A$1000=$A279)*(('Agences &amp; Après-vente'!$D$2:$D$1000="Après-vente")+('Agences &amp; Après-vente'!$D$2:$D$1000="Agences et Après-vente"))*'Agences &amp; Après-vente'!$E$2:$E$1000))&gt;0,TEXT(SUMPRODUCT(MAX(('Agences &amp; Après-vente'!$A$2:$A$1000=$A279)*(('Agences &amp; Après-vente'!$D$2:$D$1000="Après-vente")+('Agences &amp; Après-vente'!$D$2:$D$1000="Agences et Après-vente"))*'Agences &amp; Après-vente'!$E$2:$E$1000)),"yyyy-mm-dd"),"")))))</f>
        <v/>
      </c>
      <c r="J279" s="131" t="str">
        <f aca="false">IF($T279="✓","✓",IF(ISNUMBER($T279),TEXT($T279,"yyyy-mm-dd"),IF($A279="","",IF($D279="Lisbonne","",IF(SUMPRODUCT(('Agences &amp; Après-vente'!$A$2:$A$1000=$A279)*(('Agences &amp; Après-vente'!$D$2:$D$1000="Après-vente")+('Agences &amp; Après-vente'!$D$2:$D$1000="Agences et Après-vente"))*('Agences &amp; Après-vente'!$I$2:$I$1000="DONE"))&gt;0,"✓",IF(SUMPRODUCT(MAX(('Agences &amp; Après-vente'!$A$2:$A$1000=$A279)*(('Agences &amp; Après-vente'!$D$2:$D$1000="Après-vente")+('Agences &amp; Après-vente'!$D$2:$D$1000="Agences et Après-vente"))*'Agences &amp; Après-vente'!$E$2:$E$1000))&gt;0,TEXT(SUMPRODUCT(MAX(('Agences &amp; Après-vente'!$A$2:$A$1000=$A279)*(('Agences &amp; Après-vente'!$D$2:$D$1000="Après-vente")+('Agences &amp; Après-vente'!$D$2:$D$1000="Agences et Après-vente"))*'Agences &amp; Après-vente'!$E$2:$E$1000)),"yyyy-mm-dd"),""))))))</f>
        <v/>
      </c>
      <c r="K279" s="131" t="str">
        <f aca="false">IF($U279="✓","✓",IF(ISNUMBER($U279),TEXT($U279,"yyyy-mm-dd"),IF($D279="Lisbonne","",IF($A279="","",IF(SUMPRODUCT((Evermont!$A$2:$A$1000=$A279)*(Evermont!$Q$2:$Q$1000="Terminé"))&gt;0,"✓",IF(SUMPRODUCT(MAX((Evermont!$A$2:$A$1000=$A279)*Evermont!$F$2:$F$1000))&gt;0,TEXT(SUMPRODUCT(MAX((Evermont!$A$2:$A$1000=$A279)*Evermont!$F$2:$F$1000)),"yyyy-mm-dd"),""))))))</f>
        <v/>
      </c>
      <c r="L279" s="131" t="str">
        <f aca="false">IF($A279="","",COUNTIF(E279:K279,"✓"))</f>
        <v/>
      </c>
      <c r="M279" s="131" t="str">
        <f aca="false">IF(B279="","","Active")</f>
        <v/>
      </c>
      <c r="W279" s="120" t="str">
        <f aca="false">IF($A279="","",IF($X279&lt;&gt;"",$X279,IFERROR(INDEX('Formation Initiale'!$B$2:$B$999,MATCH($A279,'Formation Initiale'!$A$2:$A$999,0)),"Général")))</f>
        <v/>
      </c>
    </row>
    <row r="280" customFormat="false" ht="15" hidden="true" customHeight="true" outlineLevel="0" collapsed="false">
      <c r="A280" s="142" t="str">
        <f aca="false">IF(B280="","","TR"&amp;TEXT(ROW()-1,"000"))</f>
        <v/>
      </c>
      <c r="E280" s="130" t="str">
        <f aca="false">IF($O280="✓","✓",IF(ISNUMBER($O280),TEXT($O280,"yyyy-mm-dd"),IF($A280="","",IF(SUMPRODUCT(('Formation Initiale'!$A$2:$A$999=$A280)*('Formation Initiale'!$R$2:$R$999="Terminé"))&gt;0,"✓",IF(SUMPRODUCT(MAX(('Formation Initiale'!$A$2:$A$999=$A280)*'Formation Initiale'!$G$2:$G$999))&gt;0,TEXT(SUMPRODUCT(MAX(('Formation Initiale'!$A$2:$A$999=$A280)*'Formation Initiale'!$G$2:$G$999)),"yyyy-mm-dd"),"")))))</f>
        <v/>
      </c>
      <c r="F280" s="131" t="str">
        <f aca="false">IF($P280="✓","✓",IF(ISNUMBER($P280),TEXT($P280,"yyyy-mm-dd"),IF($A280="","",IF($D280="Lisbonne","",IF(SUMPRODUCT(('Formation Initiale'!$A$2:$A$999=$A280)*('Formation Initiale'!$R$2:$R$999="Terminé"))&gt;0,"✓",IF(SUMPRODUCT(MAX(('Formation Initiale'!$A$2:$A$999=$A280)*'Formation Initiale'!$G$2:$G$999))&gt;0,TEXT(SUMPRODUCT(MAX(('Formation Initiale'!$A$2:$A$999=$A280)*'Formation Initiale'!$G$2:$G$999)),"yyyy-mm-dd"),""))))))</f>
        <v/>
      </c>
      <c r="G280" s="131" t="str">
        <f aca="false">IF($Q280="✓","✓",IF(ISNUMBER($Q280),TEXT($Q280,"yyyy-mm-dd"),IF($A280="","",IF(SUMPRODUCT(('Agences &amp; Après-vente'!$A$2:$A$1000=$A280)*(('Agences &amp; Après-vente'!$D$2:$D$1000="Agences")+('Agences &amp; Après-vente'!$D$2:$D$1000="Agences et Après-vente"))*('Agences &amp; Après-vente'!$I$2:$I$1000="DONE"))&gt;0,"✓",IF(SUMPRODUCT(MAX(('Agences &amp; Après-vente'!$A$2:$A$1000=$A280)*(('Agences &amp; Après-vente'!$D$2:$D$1000="Agences")+('Agences &amp; Après-vente'!$D$2:$D$1000="Agences et Après-vente"))*'Agences &amp; Après-vente'!$E$2:$E$1000))&gt;0,TEXT(SUMPRODUCT(MAX(('Agences &amp; Après-vente'!$A$2:$A$1000=$A280)*(('Agences &amp; Après-vente'!$D$2:$D$1000="Agences")+('Agences &amp; Après-vente'!$D$2:$D$1000="Agences et Après-vente"))*'Agences &amp; Après-vente'!$E$2:$E$1000)),"yyyy-mm-dd"),"")))))</f>
        <v/>
      </c>
      <c r="H280" s="131" t="str">
        <f aca="false">IF($R280="✓","✓",IF(ISNUMBER($R280),TEXT($R280,"yyyy-mm-dd"),IF($A280="","",IF($D280="Lisbonne","",IF(SUMPRODUCT(('Agences &amp; Après-vente'!$A$2:$A$1000=$A280)*(('Agences &amp; Après-vente'!$D$2:$D$1000="Agences")+('Agences &amp; Après-vente'!$D$2:$D$1000="Agences et Après-vente"))*('Agences &amp; Après-vente'!$I$2:$I$1000="DONE"))&gt;0,"✓",IF(SUMPRODUCT(MAX(('Agences &amp; Après-vente'!$A$2:$A$1000=$A280)*(('Agences &amp; Après-vente'!$D$2:$D$1000="Agences")+('Agences &amp; Après-vente'!$D$2:$D$1000="Agences et Après-vente"))*'Agences &amp; Après-vente'!$E$2:$E$1000))&gt;0,TEXT(SUMPRODUCT(MAX(('Agences &amp; Après-vente'!$A$2:$A$1000=$A280)*(('Agences &amp; Après-vente'!$D$2:$D$1000="Agences")+('Agences &amp; Après-vente'!$D$2:$D$1000="Agences et Après-vente"))*'Agences &amp; Après-vente'!$E$2:$E$1000)),"yyyy-mm-dd"),""))))))</f>
        <v/>
      </c>
      <c r="I280" s="131" t="str">
        <f aca="false">IF($S280="✓","✓",IF(ISNUMBER($S280),TEXT($S280,"yyyy-mm-dd"),IF($A280="","",IF(SUMPRODUCT(('Agences &amp; Après-vente'!$A$2:$A$1000=$A280)*(('Agences &amp; Après-vente'!$D$2:$D$1000="Après-vente")+('Agences &amp; Après-vente'!$D$2:$D$1000="Agences et Après-vente"))*('Agences &amp; Après-vente'!$I$2:$I$1000="DONE"))&gt;0,"✓",IF(SUMPRODUCT(MAX(('Agences &amp; Après-vente'!$A$2:$A$1000=$A280)*(('Agences &amp; Après-vente'!$D$2:$D$1000="Après-vente")+('Agences &amp; Après-vente'!$D$2:$D$1000="Agences et Après-vente"))*'Agences &amp; Après-vente'!$E$2:$E$1000))&gt;0,TEXT(SUMPRODUCT(MAX(('Agences &amp; Après-vente'!$A$2:$A$1000=$A280)*(('Agences &amp; Après-vente'!$D$2:$D$1000="Après-vente")+('Agences &amp; Après-vente'!$D$2:$D$1000="Agences et Après-vente"))*'Agences &amp; Après-vente'!$E$2:$E$1000)),"yyyy-mm-dd"),"")))))</f>
        <v/>
      </c>
      <c r="J280" s="131" t="str">
        <f aca="false">IF($T280="✓","✓",IF(ISNUMBER($T280),TEXT($T280,"yyyy-mm-dd"),IF($A280="","",IF($D280="Lisbonne","",IF(SUMPRODUCT(('Agences &amp; Après-vente'!$A$2:$A$1000=$A280)*(('Agences &amp; Après-vente'!$D$2:$D$1000="Après-vente")+('Agences &amp; Après-vente'!$D$2:$D$1000="Agences et Après-vente"))*('Agences &amp; Après-vente'!$I$2:$I$1000="DONE"))&gt;0,"✓",IF(SUMPRODUCT(MAX(('Agences &amp; Après-vente'!$A$2:$A$1000=$A280)*(('Agences &amp; Après-vente'!$D$2:$D$1000="Après-vente")+('Agences &amp; Après-vente'!$D$2:$D$1000="Agences et Après-vente"))*'Agences &amp; Après-vente'!$E$2:$E$1000))&gt;0,TEXT(SUMPRODUCT(MAX(('Agences &amp; Après-vente'!$A$2:$A$1000=$A280)*(('Agences &amp; Après-vente'!$D$2:$D$1000="Après-vente")+('Agences &amp; Après-vente'!$D$2:$D$1000="Agences et Après-vente"))*'Agences &amp; Après-vente'!$E$2:$E$1000)),"yyyy-mm-dd"),""))))))</f>
        <v/>
      </c>
      <c r="K280" s="131" t="str">
        <f aca="false">IF($U280="✓","✓",IF(ISNUMBER($U280),TEXT($U280,"yyyy-mm-dd"),IF($D280="Lisbonne","",IF($A280="","",IF(SUMPRODUCT((Evermont!$A$2:$A$1000=$A280)*(Evermont!$Q$2:$Q$1000="Terminé"))&gt;0,"✓",IF(SUMPRODUCT(MAX((Evermont!$A$2:$A$1000=$A280)*Evermont!$F$2:$F$1000))&gt;0,TEXT(SUMPRODUCT(MAX((Evermont!$A$2:$A$1000=$A280)*Evermont!$F$2:$F$1000)),"yyyy-mm-dd"),""))))))</f>
        <v/>
      </c>
      <c r="L280" s="131" t="str">
        <f aca="false">IF($A280="","",COUNTIF(E280:K280,"✓"))</f>
        <v/>
      </c>
      <c r="M280" s="131" t="str">
        <f aca="false">IF(B280="","","Active")</f>
        <v/>
      </c>
      <c r="W280" s="120" t="str">
        <f aca="false">IF($A280="","",IF($X280&lt;&gt;"",$X280,IFERROR(INDEX('Formation Initiale'!$B$2:$B$999,MATCH($A280,'Formation Initiale'!$A$2:$A$999,0)),"Général")))</f>
        <v/>
      </c>
    </row>
    <row r="281" customFormat="false" ht="15" hidden="true" customHeight="true" outlineLevel="0" collapsed="false">
      <c r="A281" s="142" t="str">
        <f aca="false">IF(B281="","","TR"&amp;TEXT(ROW()-1,"000"))</f>
        <v/>
      </c>
      <c r="E281" s="130" t="str">
        <f aca="false">IF($O281="✓","✓",IF(ISNUMBER($O281),TEXT($O281,"yyyy-mm-dd"),IF($A281="","",IF(SUMPRODUCT(('Formation Initiale'!$A$2:$A$999=$A281)*('Formation Initiale'!$R$2:$R$999="Terminé"))&gt;0,"✓",IF(SUMPRODUCT(MAX(('Formation Initiale'!$A$2:$A$999=$A281)*'Formation Initiale'!$G$2:$G$999))&gt;0,TEXT(SUMPRODUCT(MAX(('Formation Initiale'!$A$2:$A$999=$A281)*'Formation Initiale'!$G$2:$G$999)),"yyyy-mm-dd"),"")))))</f>
        <v/>
      </c>
      <c r="F281" s="131" t="str">
        <f aca="false">IF($P281="✓","✓",IF(ISNUMBER($P281),TEXT($P281,"yyyy-mm-dd"),IF($A281="","",IF($D281="Lisbonne","",IF(SUMPRODUCT(('Formation Initiale'!$A$2:$A$999=$A281)*('Formation Initiale'!$R$2:$R$999="Terminé"))&gt;0,"✓",IF(SUMPRODUCT(MAX(('Formation Initiale'!$A$2:$A$999=$A281)*'Formation Initiale'!$G$2:$G$999))&gt;0,TEXT(SUMPRODUCT(MAX(('Formation Initiale'!$A$2:$A$999=$A281)*'Formation Initiale'!$G$2:$G$999)),"yyyy-mm-dd"),""))))))</f>
        <v/>
      </c>
      <c r="G281" s="131" t="str">
        <f aca="false">IF($Q281="✓","✓",IF(ISNUMBER($Q281),TEXT($Q281,"yyyy-mm-dd"),IF($A281="","",IF(SUMPRODUCT(('Agences &amp; Après-vente'!$A$2:$A$1000=$A281)*(('Agences &amp; Après-vente'!$D$2:$D$1000="Agences")+('Agences &amp; Après-vente'!$D$2:$D$1000="Agences et Après-vente"))*('Agences &amp; Après-vente'!$I$2:$I$1000="DONE"))&gt;0,"✓",IF(SUMPRODUCT(MAX(('Agences &amp; Après-vente'!$A$2:$A$1000=$A281)*(('Agences &amp; Après-vente'!$D$2:$D$1000="Agences")+('Agences &amp; Après-vente'!$D$2:$D$1000="Agences et Après-vente"))*'Agences &amp; Après-vente'!$E$2:$E$1000))&gt;0,TEXT(SUMPRODUCT(MAX(('Agences &amp; Après-vente'!$A$2:$A$1000=$A281)*(('Agences &amp; Après-vente'!$D$2:$D$1000="Agences")+('Agences &amp; Après-vente'!$D$2:$D$1000="Agences et Après-vente"))*'Agences &amp; Après-vente'!$E$2:$E$1000)),"yyyy-mm-dd"),"")))))</f>
        <v/>
      </c>
      <c r="H281" s="131" t="str">
        <f aca="false">IF($R281="✓","✓",IF(ISNUMBER($R281),TEXT($R281,"yyyy-mm-dd"),IF($A281="","",IF($D281="Lisbonne","",IF(SUMPRODUCT(('Agences &amp; Après-vente'!$A$2:$A$1000=$A281)*(('Agences &amp; Après-vente'!$D$2:$D$1000="Agences")+('Agences &amp; Après-vente'!$D$2:$D$1000="Agences et Après-vente"))*('Agences &amp; Après-vente'!$I$2:$I$1000="DONE"))&gt;0,"✓",IF(SUMPRODUCT(MAX(('Agences &amp; Après-vente'!$A$2:$A$1000=$A281)*(('Agences &amp; Après-vente'!$D$2:$D$1000="Agences")+('Agences &amp; Après-vente'!$D$2:$D$1000="Agences et Après-vente"))*'Agences &amp; Après-vente'!$E$2:$E$1000))&gt;0,TEXT(SUMPRODUCT(MAX(('Agences &amp; Après-vente'!$A$2:$A$1000=$A281)*(('Agences &amp; Après-vente'!$D$2:$D$1000="Agences")+('Agences &amp; Après-vente'!$D$2:$D$1000="Agences et Après-vente"))*'Agences &amp; Après-vente'!$E$2:$E$1000)),"yyyy-mm-dd"),""))))))</f>
        <v/>
      </c>
      <c r="I281" s="131" t="str">
        <f aca="false">IF($S281="✓","✓",IF(ISNUMBER($S281),TEXT($S281,"yyyy-mm-dd"),IF($A281="","",IF(SUMPRODUCT(('Agences &amp; Après-vente'!$A$2:$A$1000=$A281)*(('Agences &amp; Après-vente'!$D$2:$D$1000="Après-vente")+('Agences &amp; Après-vente'!$D$2:$D$1000="Agences et Après-vente"))*('Agences &amp; Après-vente'!$I$2:$I$1000="DONE"))&gt;0,"✓",IF(SUMPRODUCT(MAX(('Agences &amp; Après-vente'!$A$2:$A$1000=$A281)*(('Agences &amp; Après-vente'!$D$2:$D$1000="Après-vente")+('Agences &amp; Après-vente'!$D$2:$D$1000="Agences et Après-vente"))*'Agences &amp; Après-vente'!$E$2:$E$1000))&gt;0,TEXT(SUMPRODUCT(MAX(('Agences &amp; Après-vente'!$A$2:$A$1000=$A281)*(('Agences &amp; Après-vente'!$D$2:$D$1000="Après-vente")+('Agences &amp; Après-vente'!$D$2:$D$1000="Agences et Après-vente"))*'Agences &amp; Après-vente'!$E$2:$E$1000)),"yyyy-mm-dd"),"")))))</f>
        <v/>
      </c>
      <c r="J281" s="131" t="str">
        <f aca="false">IF($T281="✓","✓",IF(ISNUMBER($T281),TEXT($T281,"yyyy-mm-dd"),IF($A281="","",IF($D281="Lisbonne","",IF(SUMPRODUCT(('Agences &amp; Après-vente'!$A$2:$A$1000=$A281)*(('Agences &amp; Après-vente'!$D$2:$D$1000="Après-vente")+('Agences &amp; Après-vente'!$D$2:$D$1000="Agences et Après-vente"))*('Agences &amp; Après-vente'!$I$2:$I$1000="DONE"))&gt;0,"✓",IF(SUMPRODUCT(MAX(('Agences &amp; Après-vente'!$A$2:$A$1000=$A281)*(('Agences &amp; Après-vente'!$D$2:$D$1000="Après-vente")+('Agences &amp; Après-vente'!$D$2:$D$1000="Agences et Après-vente"))*'Agences &amp; Après-vente'!$E$2:$E$1000))&gt;0,TEXT(SUMPRODUCT(MAX(('Agences &amp; Après-vente'!$A$2:$A$1000=$A281)*(('Agences &amp; Après-vente'!$D$2:$D$1000="Après-vente")+('Agences &amp; Après-vente'!$D$2:$D$1000="Agences et Après-vente"))*'Agences &amp; Après-vente'!$E$2:$E$1000)),"yyyy-mm-dd"),""))))))</f>
        <v/>
      </c>
      <c r="K281" s="131" t="str">
        <f aca="false">IF($U281="✓","✓",IF(ISNUMBER($U281),TEXT($U281,"yyyy-mm-dd"),IF($D281="Lisbonne","",IF($A281="","",IF(SUMPRODUCT((Evermont!$A$2:$A$1000=$A281)*(Evermont!$Q$2:$Q$1000="Terminé"))&gt;0,"✓",IF(SUMPRODUCT(MAX((Evermont!$A$2:$A$1000=$A281)*Evermont!$F$2:$F$1000))&gt;0,TEXT(SUMPRODUCT(MAX((Evermont!$A$2:$A$1000=$A281)*Evermont!$F$2:$F$1000)),"yyyy-mm-dd"),""))))))</f>
        <v/>
      </c>
      <c r="L281" s="131" t="str">
        <f aca="false">IF($A281="","",COUNTIF(E281:K281,"✓"))</f>
        <v/>
      </c>
      <c r="M281" s="131" t="str">
        <f aca="false">IF(B281="","","Active")</f>
        <v/>
      </c>
      <c r="W281" s="120" t="str">
        <f aca="false">IF($A281="","",IF($X281&lt;&gt;"",$X281,IFERROR(INDEX('Formation Initiale'!$B$2:$B$999,MATCH($A281,'Formation Initiale'!$A$2:$A$999,0)),"Général")))</f>
        <v/>
      </c>
    </row>
    <row r="282" customFormat="false" ht="15" hidden="true" customHeight="true" outlineLevel="0" collapsed="false">
      <c r="A282" s="142" t="str">
        <f aca="false">IF(B282="","","TR"&amp;TEXT(ROW()-1,"000"))</f>
        <v/>
      </c>
      <c r="E282" s="130" t="str">
        <f aca="false">IF($O282="✓","✓",IF(ISNUMBER($O282),TEXT($O282,"yyyy-mm-dd"),IF($A282="","",IF(SUMPRODUCT(('Formation Initiale'!$A$2:$A$999=$A282)*('Formation Initiale'!$R$2:$R$999="Terminé"))&gt;0,"✓",IF(SUMPRODUCT(MAX(('Formation Initiale'!$A$2:$A$999=$A282)*'Formation Initiale'!$G$2:$G$999))&gt;0,TEXT(SUMPRODUCT(MAX(('Formation Initiale'!$A$2:$A$999=$A282)*'Formation Initiale'!$G$2:$G$999)),"yyyy-mm-dd"),"")))))</f>
        <v/>
      </c>
      <c r="F282" s="131" t="str">
        <f aca="false">IF($P282="✓","✓",IF(ISNUMBER($P282),TEXT($P282,"yyyy-mm-dd"),IF($A282="","",IF($D282="Lisbonne","",IF(SUMPRODUCT(('Formation Initiale'!$A$2:$A$999=$A282)*('Formation Initiale'!$R$2:$R$999="Terminé"))&gt;0,"✓",IF(SUMPRODUCT(MAX(('Formation Initiale'!$A$2:$A$999=$A282)*'Formation Initiale'!$G$2:$G$999))&gt;0,TEXT(SUMPRODUCT(MAX(('Formation Initiale'!$A$2:$A$999=$A282)*'Formation Initiale'!$G$2:$G$999)),"yyyy-mm-dd"),""))))))</f>
        <v/>
      </c>
      <c r="G282" s="131" t="str">
        <f aca="false">IF($Q282="✓","✓",IF(ISNUMBER($Q282),TEXT($Q282,"yyyy-mm-dd"),IF($A282="","",IF(SUMPRODUCT(('Agences &amp; Après-vente'!$A$2:$A$1000=$A282)*(('Agences &amp; Après-vente'!$D$2:$D$1000="Agences")+('Agences &amp; Après-vente'!$D$2:$D$1000="Agences et Après-vente"))*('Agences &amp; Après-vente'!$I$2:$I$1000="DONE"))&gt;0,"✓",IF(SUMPRODUCT(MAX(('Agences &amp; Après-vente'!$A$2:$A$1000=$A282)*(('Agences &amp; Après-vente'!$D$2:$D$1000="Agences")+('Agences &amp; Après-vente'!$D$2:$D$1000="Agences et Après-vente"))*'Agences &amp; Après-vente'!$E$2:$E$1000))&gt;0,TEXT(SUMPRODUCT(MAX(('Agences &amp; Après-vente'!$A$2:$A$1000=$A282)*(('Agences &amp; Après-vente'!$D$2:$D$1000="Agences")+('Agences &amp; Après-vente'!$D$2:$D$1000="Agences et Après-vente"))*'Agences &amp; Après-vente'!$E$2:$E$1000)),"yyyy-mm-dd"),"")))))</f>
        <v/>
      </c>
      <c r="H282" s="131" t="str">
        <f aca="false">IF($R282="✓","✓",IF(ISNUMBER($R282),TEXT($R282,"yyyy-mm-dd"),IF($A282="","",IF($D282="Lisbonne","",IF(SUMPRODUCT(('Agences &amp; Après-vente'!$A$2:$A$1000=$A282)*(('Agences &amp; Après-vente'!$D$2:$D$1000="Agences")+('Agences &amp; Après-vente'!$D$2:$D$1000="Agences et Après-vente"))*('Agences &amp; Après-vente'!$I$2:$I$1000="DONE"))&gt;0,"✓",IF(SUMPRODUCT(MAX(('Agences &amp; Après-vente'!$A$2:$A$1000=$A282)*(('Agences &amp; Après-vente'!$D$2:$D$1000="Agences")+('Agences &amp; Après-vente'!$D$2:$D$1000="Agences et Après-vente"))*'Agences &amp; Après-vente'!$E$2:$E$1000))&gt;0,TEXT(SUMPRODUCT(MAX(('Agences &amp; Après-vente'!$A$2:$A$1000=$A282)*(('Agences &amp; Après-vente'!$D$2:$D$1000="Agences")+('Agences &amp; Après-vente'!$D$2:$D$1000="Agences et Après-vente"))*'Agences &amp; Après-vente'!$E$2:$E$1000)),"yyyy-mm-dd"),""))))))</f>
        <v/>
      </c>
      <c r="I282" s="131" t="str">
        <f aca="false">IF($S282="✓","✓",IF(ISNUMBER($S282),TEXT($S282,"yyyy-mm-dd"),IF($A282="","",IF(SUMPRODUCT(('Agences &amp; Après-vente'!$A$2:$A$1000=$A282)*(('Agences &amp; Après-vente'!$D$2:$D$1000="Après-vente")+('Agences &amp; Après-vente'!$D$2:$D$1000="Agences et Après-vente"))*('Agences &amp; Après-vente'!$I$2:$I$1000="DONE"))&gt;0,"✓",IF(SUMPRODUCT(MAX(('Agences &amp; Après-vente'!$A$2:$A$1000=$A282)*(('Agences &amp; Après-vente'!$D$2:$D$1000="Après-vente")+('Agences &amp; Après-vente'!$D$2:$D$1000="Agences et Après-vente"))*'Agences &amp; Après-vente'!$E$2:$E$1000))&gt;0,TEXT(SUMPRODUCT(MAX(('Agences &amp; Après-vente'!$A$2:$A$1000=$A282)*(('Agences &amp; Après-vente'!$D$2:$D$1000="Après-vente")+('Agences &amp; Après-vente'!$D$2:$D$1000="Agences et Après-vente"))*'Agences &amp; Après-vente'!$E$2:$E$1000)),"yyyy-mm-dd"),"")))))</f>
        <v/>
      </c>
      <c r="J282" s="131" t="str">
        <f aca="false">IF($T282="✓","✓",IF(ISNUMBER($T282),TEXT($T282,"yyyy-mm-dd"),IF($A282="","",IF($D282="Lisbonne","",IF(SUMPRODUCT(('Agences &amp; Après-vente'!$A$2:$A$1000=$A282)*(('Agences &amp; Après-vente'!$D$2:$D$1000="Après-vente")+('Agences &amp; Après-vente'!$D$2:$D$1000="Agences et Après-vente"))*('Agences &amp; Après-vente'!$I$2:$I$1000="DONE"))&gt;0,"✓",IF(SUMPRODUCT(MAX(('Agences &amp; Après-vente'!$A$2:$A$1000=$A282)*(('Agences &amp; Après-vente'!$D$2:$D$1000="Après-vente")+('Agences &amp; Après-vente'!$D$2:$D$1000="Agences et Après-vente"))*'Agences &amp; Après-vente'!$E$2:$E$1000))&gt;0,TEXT(SUMPRODUCT(MAX(('Agences &amp; Après-vente'!$A$2:$A$1000=$A282)*(('Agences &amp; Après-vente'!$D$2:$D$1000="Après-vente")+('Agences &amp; Après-vente'!$D$2:$D$1000="Agences et Après-vente"))*'Agences &amp; Après-vente'!$E$2:$E$1000)),"yyyy-mm-dd"),""))))))</f>
        <v/>
      </c>
      <c r="K282" s="131" t="str">
        <f aca="false">IF($U282="✓","✓",IF(ISNUMBER($U282),TEXT($U282,"yyyy-mm-dd"),IF($D282="Lisbonne","",IF($A282="","",IF(SUMPRODUCT((Evermont!$A$2:$A$1000=$A282)*(Evermont!$Q$2:$Q$1000="Terminé"))&gt;0,"✓",IF(SUMPRODUCT(MAX((Evermont!$A$2:$A$1000=$A282)*Evermont!$F$2:$F$1000))&gt;0,TEXT(SUMPRODUCT(MAX((Evermont!$A$2:$A$1000=$A282)*Evermont!$F$2:$F$1000)),"yyyy-mm-dd"),""))))))</f>
        <v/>
      </c>
      <c r="L282" s="131" t="str">
        <f aca="false">IF($A282="","",COUNTIF(E282:K282,"✓"))</f>
        <v/>
      </c>
      <c r="M282" s="131" t="str">
        <f aca="false">IF(B282="","","Active")</f>
        <v/>
      </c>
      <c r="W282" s="120" t="str">
        <f aca="false">IF($A282="","",IF($X282&lt;&gt;"",$X282,IFERROR(INDEX('Formation Initiale'!$B$2:$B$999,MATCH($A282,'Formation Initiale'!$A$2:$A$999,0)),"Général")))</f>
        <v/>
      </c>
    </row>
    <row r="283" customFormat="false" ht="15" hidden="true" customHeight="true" outlineLevel="0" collapsed="false">
      <c r="A283" s="142" t="str">
        <f aca="false">IF(B283="","","TR"&amp;TEXT(ROW()-1,"000"))</f>
        <v/>
      </c>
      <c r="E283" s="130" t="str">
        <f aca="false">IF($O283="✓","✓",IF(ISNUMBER($O283),TEXT($O283,"yyyy-mm-dd"),IF($A283="","",IF(SUMPRODUCT(('Formation Initiale'!$A$2:$A$999=$A283)*('Formation Initiale'!$R$2:$R$999="Terminé"))&gt;0,"✓",IF(SUMPRODUCT(MAX(('Formation Initiale'!$A$2:$A$999=$A283)*'Formation Initiale'!$G$2:$G$999))&gt;0,TEXT(SUMPRODUCT(MAX(('Formation Initiale'!$A$2:$A$999=$A283)*'Formation Initiale'!$G$2:$G$999)),"yyyy-mm-dd"),"")))))</f>
        <v/>
      </c>
      <c r="F283" s="131" t="str">
        <f aca="false">IF($P283="✓","✓",IF(ISNUMBER($P283),TEXT($P283,"yyyy-mm-dd"),IF($A283="","",IF($D283="Lisbonne","",IF(SUMPRODUCT(('Formation Initiale'!$A$2:$A$999=$A283)*('Formation Initiale'!$R$2:$R$999="Terminé"))&gt;0,"✓",IF(SUMPRODUCT(MAX(('Formation Initiale'!$A$2:$A$999=$A283)*'Formation Initiale'!$G$2:$G$999))&gt;0,TEXT(SUMPRODUCT(MAX(('Formation Initiale'!$A$2:$A$999=$A283)*'Formation Initiale'!$G$2:$G$999)),"yyyy-mm-dd"),""))))))</f>
        <v/>
      </c>
      <c r="G283" s="131" t="str">
        <f aca="false">IF($Q283="✓","✓",IF(ISNUMBER($Q283),TEXT($Q283,"yyyy-mm-dd"),IF($A283="","",IF(SUMPRODUCT(('Agences &amp; Après-vente'!$A$2:$A$1000=$A283)*(('Agences &amp; Après-vente'!$D$2:$D$1000="Agences")+('Agences &amp; Après-vente'!$D$2:$D$1000="Agences et Après-vente"))*('Agences &amp; Après-vente'!$I$2:$I$1000="DONE"))&gt;0,"✓",IF(SUMPRODUCT(MAX(('Agences &amp; Après-vente'!$A$2:$A$1000=$A283)*(('Agences &amp; Après-vente'!$D$2:$D$1000="Agences")+('Agences &amp; Après-vente'!$D$2:$D$1000="Agences et Après-vente"))*'Agences &amp; Après-vente'!$E$2:$E$1000))&gt;0,TEXT(SUMPRODUCT(MAX(('Agences &amp; Après-vente'!$A$2:$A$1000=$A283)*(('Agences &amp; Après-vente'!$D$2:$D$1000="Agences")+('Agences &amp; Après-vente'!$D$2:$D$1000="Agences et Après-vente"))*'Agences &amp; Après-vente'!$E$2:$E$1000)),"yyyy-mm-dd"),"")))))</f>
        <v/>
      </c>
      <c r="H283" s="131" t="str">
        <f aca="false">IF($R283="✓","✓",IF(ISNUMBER($R283),TEXT($R283,"yyyy-mm-dd"),IF($A283="","",IF($D283="Lisbonne","",IF(SUMPRODUCT(('Agences &amp; Après-vente'!$A$2:$A$1000=$A283)*(('Agences &amp; Après-vente'!$D$2:$D$1000="Agences")+('Agences &amp; Après-vente'!$D$2:$D$1000="Agences et Après-vente"))*('Agences &amp; Après-vente'!$I$2:$I$1000="DONE"))&gt;0,"✓",IF(SUMPRODUCT(MAX(('Agences &amp; Après-vente'!$A$2:$A$1000=$A283)*(('Agences &amp; Après-vente'!$D$2:$D$1000="Agences")+('Agences &amp; Après-vente'!$D$2:$D$1000="Agences et Après-vente"))*'Agences &amp; Après-vente'!$E$2:$E$1000))&gt;0,TEXT(SUMPRODUCT(MAX(('Agences &amp; Après-vente'!$A$2:$A$1000=$A283)*(('Agences &amp; Après-vente'!$D$2:$D$1000="Agences")+('Agences &amp; Après-vente'!$D$2:$D$1000="Agences et Après-vente"))*'Agences &amp; Après-vente'!$E$2:$E$1000)),"yyyy-mm-dd"),""))))))</f>
        <v/>
      </c>
      <c r="I283" s="131" t="str">
        <f aca="false">IF($S283="✓","✓",IF(ISNUMBER($S283),TEXT($S283,"yyyy-mm-dd"),IF($A283="","",IF(SUMPRODUCT(('Agences &amp; Après-vente'!$A$2:$A$1000=$A283)*(('Agences &amp; Après-vente'!$D$2:$D$1000="Après-vente")+('Agences &amp; Après-vente'!$D$2:$D$1000="Agences et Après-vente"))*('Agences &amp; Après-vente'!$I$2:$I$1000="DONE"))&gt;0,"✓",IF(SUMPRODUCT(MAX(('Agences &amp; Après-vente'!$A$2:$A$1000=$A283)*(('Agences &amp; Après-vente'!$D$2:$D$1000="Après-vente")+('Agences &amp; Après-vente'!$D$2:$D$1000="Agences et Après-vente"))*'Agences &amp; Après-vente'!$E$2:$E$1000))&gt;0,TEXT(SUMPRODUCT(MAX(('Agences &amp; Après-vente'!$A$2:$A$1000=$A283)*(('Agences &amp; Après-vente'!$D$2:$D$1000="Après-vente")+('Agences &amp; Après-vente'!$D$2:$D$1000="Agences et Après-vente"))*'Agences &amp; Après-vente'!$E$2:$E$1000)),"yyyy-mm-dd"),"")))))</f>
        <v/>
      </c>
      <c r="J283" s="131" t="str">
        <f aca="false">IF($T283="✓","✓",IF(ISNUMBER($T283),TEXT($T283,"yyyy-mm-dd"),IF($A283="","",IF($D283="Lisbonne","",IF(SUMPRODUCT(('Agences &amp; Après-vente'!$A$2:$A$1000=$A283)*(('Agences &amp; Après-vente'!$D$2:$D$1000="Après-vente")+('Agences &amp; Après-vente'!$D$2:$D$1000="Agences et Après-vente"))*('Agences &amp; Après-vente'!$I$2:$I$1000="DONE"))&gt;0,"✓",IF(SUMPRODUCT(MAX(('Agences &amp; Après-vente'!$A$2:$A$1000=$A283)*(('Agences &amp; Après-vente'!$D$2:$D$1000="Après-vente")+('Agences &amp; Après-vente'!$D$2:$D$1000="Agences et Après-vente"))*'Agences &amp; Après-vente'!$E$2:$E$1000))&gt;0,TEXT(SUMPRODUCT(MAX(('Agences &amp; Après-vente'!$A$2:$A$1000=$A283)*(('Agences &amp; Après-vente'!$D$2:$D$1000="Après-vente")+('Agences &amp; Après-vente'!$D$2:$D$1000="Agences et Après-vente"))*'Agences &amp; Après-vente'!$E$2:$E$1000)),"yyyy-mm-dd"),""))))))</f>
        <v/>
      </c>
      <c r="K283" s="131" t="str">
        <f aca="false">IF($U283="✓","✓",IF(ISNUMBER($U283),TEXT($U283,"yyyy-mm-dd"),IF($D283="Lisbonne","",IF($A283="","",IF(SUMPRODUCT((Evermont!$A$2:$A$1000=$A283)*(Evermont!$Q$2:$Q$1000="Terminé"))&gt;0,"✓",IF(SUMPRODUCT(MAX((Evermont!$A$2:$A$1000=$A283)*Evermont!$F$2:$F$1000))&gt;0,TEXT(SUMPRODUCT(MAX((Evermont!$A$2:$A$1000=$A283)*Evermont!$F$2:$F$1000)),"yyyy-mm-dd"),""))))))</f>
        <v/>
      </c>
      <c r="L283" s="131" t="str">
        <f aca="false">IF($A283="","",COUNTIF(E283:K283,"✓"))</f>
        <v/>
      </c>
      <c r="M283" s="131" t="str">
        <f aca="false">IF(B283="","","Active")</f>
        <v/>
      </c>
      <c r="W283" s="120" t="str">
        <f aca="false">IF($A283="","",IF($X283&lt;&gt;"",$X283,IFERROR(INDEX('Formation Initiale'!$B$2:$B$999,MATCH($A283,'Formation Initiale'!$A$2:$A$999,0)),"Général")))</f>
        <v/>
      </c>
    </row>
    <row r="284" customFormat="false" ht="15" hidden="true" customHeight="true" outlineLevel="0" collapsed="false">
      <c r="A284" s="142" t="str">
        <f aca="false">IF(B284="","","TR"&amp;TEXT(ROW()-1,"000"))</f>
        <v/>
      </c>
      <c r="E284" s="130" t="str">
        <f aca="false">IF($O284="✓","✓",IF(ISNUMBER($O284),TEXT($O284,"yyyy-mm-dd"),IF($A284="","",IF(SUMPRODUCT(('Formation Initiale'!$A$2:$A$999=$A284)*('Formation Initiale'!$R$2:$R$999="Terminé"))&gt;0,"✓",IF(SUMPRODUCT(MAX(('Formation Initiale'!$A$2:$A$999=$A284)*'Formation Initiale'!$G$2:$G$999))&gt;0,TEXT(SUMPRODUCT(MAX(('Formation Initiale'!$A$2:$A$999=$A284)*'Formation Initiale'!$G$2:$G$999)),"yyyy-mm-dd"),"")))))</f>
        <v/>
      </c>
      <c r="F284" s="131" t="str">
        <f aca="false">IF($P284="✓","✓",IF(ISNUMBER($P284),TEXT($P284,"yyyy-mm-dd"),IF($A284="","",IF($D284="Lisbonne","",IF(SUMPRODUCT(('Formation Initiale'!$A$2:$A$999=$A284)*('Formation Initiale'!$R$2:$R$999="Terminé"))&gt;0,"✓",IF(SUMPRODUCT(MAX(('Formation Initiale'!$A$2:$A$999=$A284)*'Formation Initiale'!$G$2:$G$999))&gt;0,TEXT(SUMPRODUCT(MAX(('Formation Initiale'!$A$2:$A$999=$A284)*'Formation Initiale'!$G$2:$G$999)),"yyyy-mm-dd"),""))))))</f>
        <v/>
      </c>
      <c r="G284" s="131" t="str">
        <f aca="false">IF($Q284="✓","✓",IF(ISNUMBER($Q284),TEXT($Q284,"yyyy-mm-dd"),IF($A284="","",IF(SUMPRODUCT(('Agences &amp; Après-vente'!$A$2:$A$1000=$A284)*(('Agences &amp; Après-vente'!$D$2:$D$1000="Agences")+('Agences &amp; Après-vente'!$D$2:$D$1000="Agences et Après-vente"))*('Agences &amp; Après-vente'!$I$2:$I$1000="DONE"))&gt;0,"✓",IF(SUMPRODUCT(MAX(('Agences &amp; Après-vente'!$A$2:$A$1000=$A284)*(('Agences &amp; Après-vente'!$D$2:$D$1000="Agences")+('Agences &amp; Après-vente'!$D$2:$D$1000="Agences et Après-vente"))*'Agences &amp; Après-vente'!$E$2:$E$1000))&gt;0,TEXT(SUMPRODUCT(MAX(('Agences &amp; Après-vente'!$A$2:$A$1000=$A284)*(('Agences &amp; Après-vente'!$D$2:$D$1000="Agences")+('Agences &amp; Après-vente'!$D$2:$D$1000="Agences et Après-vente"))*'Agences &amp; Après-vente'!$E$2:$E$1000)),"yyyy-mm-dd"),"")))))</f>
        <v/>
      </c>
      <c r="H284" s="131" t="str">
        <f aca="false">IF($R284="✓","✓",IF(ISNUMBER($R284),TEXT($R284,"yyyy-mm-dd"),IF($A284="","",IF($D284="Lisbonne","",IF(SUMPRODUCT(('Agences &amp; Après-vente'!$A$2:$A$1000=$A284)*(('Agences &amp; Après-vente'!$D$2:$D$1000="Agences")+('Agences &amp; Après-vente'!$D$2:$D$1000="Agences et Après-vente"))*('Agences &amp; Après-vente'!$I$2:$I$1000="DONE"))&gt;0,"✓",IF(SUMPRODUCT(MAX(('Agences &amp; Après-vente'!$A$2:$A$1000=$A284)*(('Agences &amp; Après-vente'!$D$2:$D$1000="Agences")+('Agences &amp; Après-vente'!$D$2:$D$1000="Agences et Après-vente"))*'Agences &amp; Après-vente'!$E$2:$E$1000))&gt;0,TEXT(SUMPRODUCT(MAX(('Agences &amp; Après-vente'!$A$2:$A$1000=$A284)*(('Agences &amp; Après-vente'!$D$2:$D$1000="Agences")+('Agences &amp; Après-vente'!$D$2:$D$1000="Agences et Après-vente"))*'Agences &amp; Après-vente'!$E$2:$E$1000)),"yyyy-mm-dd"),""))))))</f>
        <v/>
      </c>
      <c r="I284" s="131" t="str">
        <f aca="false">IF($S284="✓","✓",IF(ISNUMBER($S284),TEXT($S284,"yyyy-mm-dd"),IF($A284="","",IF(SUMPRODUCT(('Agences &amp; Après-vente'!$A$2:$A$1000=$A284)*(('Agences &amp; Après-vente'!$D$2:$D$1000="Après-vente")+('Agences &amp; Après-vente'!$D$2:$D$1000="Agences et Après-vente"))*('Agences &amp; Après-vente'!$I$2:$I$1000="DONE"))&gt;0,"✓",IF(SUMPRODUCT(MAX(('Agences &amp; Après-vente'!$A$2:$A$1000=$A284)*(('Agences &amp; Après-vente'!$D$2:$D$1000="Après-vente")+('Agences &amp; Après-vente'!$D$2:$D$1000="Agences et Après-vente"))*'Agences &amp; Après-vente'!$E$2:$E$1000))&gt;0,TEXT(SUMPRODUCT(MAX(('Agences &amp; Après-vente'!$A$2:$A$1000=$A284)*(('Agences &amp; Après-vente'!$D$2:$D$1000="Après-vente")+('Agences &amp; Après-vente'!$D$2:$D$1000="Agences et Après-vente"))*'Agences &amp; Après-vente'!$E$2:$E$1000)),"yyyy-mm-dd"),"")))))</f>
        <v/>
      </c>
      <c r="J284" s="131" t="str">
        <f aca="false">IF($T284="✓","✓",IF(ISNUMBER($T284),TEXT($T284,"yyyy-mm-dd"),IF($A284="","",IF($D284="Lisbonne","",IF(SUMPRODUCT(('Agences &amp; Après-vente'!$A$2:$A$1000=$A284)*(('Agences &amp; Après-vente'!$D$2:$D$1000="Après-vente")+('Agences &amp; Après-vente'!$D$2:$D$1000="Agences et Après-vente"))*('Agences &amp; Après-vente'!$I$2:$I$1000="DONE"))&gt;0,"✓",IF(SUMPRODUCT(MAX(('Agences &amp; Après-vente'!$A$2:$A$1000=$A284)*(('Agences &amp; Après-vente'!$D$2:$D$1000="Après-vente")+('Agences &amp; Après-vente'!$D$2:$D$1000="Agences et Après-vente"))*'Agences &amp; Après-vente'!$E$2:$E$1000))&gt;0,TEXT(SUMPRODUCT(MAX(('Agences &amp; Après-vente'!$A$2:$A$1000=$A284)*(('Agences &amp; Après-vente'!$D$2:$D$1000="Après-vente")+('Agences &amp; Après-vente'!$D$2:$D$1000="Agences et Après-vente"))*'Agences &amp; Après-vente'!$E$2:$E$1000)),"yyyy-mm-dd"),""))))))</f>
        <v/>
      </c>
      <c r="K284" s="131" t="str">
        <f aca="false">IF($U284="✓","✓",IF(ISNUMBER($U284),TEXT($U284,"yyyy-mm-dd"),IF($D284="Lisbonne","",IF($A284="","",IF(SUMPRODUCT((Evermont!$A$2:$A$1000=$A284)*(Evermont!$Q$2:$Q$1000="Terminé"))&gt;0,"✓",IF(SUMPRODUCT(MAX((Evermont!$A$2:$A$1000=$A284)*Evermont!$F$2:$F$1000))&gt;0,TEXT(SUMPRODUCT(MAX((Evermont!$A$2:$A$1000=$A284)*Evermont!$F$2:$F$1000)),"yyyy-mm-dd"),""))))))</f>
        <v/>
      </c>
      <c r="L284" s="131" t="str">
        <f aca="false">IF($A284="","",COUNTIF(E284:K284,"✓"))</f>
        <v/>
      </c>
      <c r="M284" s="131" t="str">
        <f aca="false">IF(B284="","","Active")</f>
        <v/>
      </c>
      <c r="W284" s="120" t="str">
        <f aca="false">IF($A284="","",IF($X284&lt;&gt;"",$X284,IFERROR(INDEX('Formation Initiale'!$B$2:$B$999,MATCH($A284,'Formation Initiale'!$A$2:$A$999,0)),"Général")))</f>
        <v/>
      </c>
    </row>
    <row r="285" customFormat="false" ht="15" hidden="true" customHeight="true" outlineLevel="0" collapsed="false">
      <c r="A285" s="142" t="str">
        <f aca="false">IF(B285="","","TR"&amp;TEXT(ROW()-1,"000"))</f>
        <v/>
      </c>
      <c r="E285" s="130" t="str">
        <f aca="false">IF($O285="✓","✓",IF(ISNUMBER($O285),TEXT($O285,"yyyy-mm-dd"),IF($A285="","",IF(SUMPRODUCT(('Formation Initiale'!$A$2:$A$999=$A285)*('Formation Initiale'!$R$2:$R$999="Terminé"))&gt;0,"✓",IF(SUMPRODUCT(MAX(('Formation Initiale'!$A$2:$A$999=$A285)*'Formation Initiale'!$G$2:$G$999))&gt;0,TEXT(SUMPRODUCT(MAX(('Formation Initiale'!$A$2:$A$999=$A285)*'Formation Initiale'!$G$2:$G$999)),"yyyy-mm-dd"),"")))))</f>
        <v/>
      </c>
      <c r="F285" s="131" t="str">
        <f aca="false">IF($P285="✓","✓",IF(ISNUMBER($P285),TEXT($P285,"yyyy-mm-dd"),IF($A285="","",IF($D285="Lisbonne","",IF(SUMPRODUCT(('Formation Initiale'!$A$2:$A$999=$A285)*('Formation Initiale'!$R$2:$R$999="Terminé"))&gt;0,"✓",IF(SUMPRODUCT(MAX(('Formation Initiale'!$A$2:$A$999=$A285)*'Formation Initiale'!$G$2:$G$999))&gt;0,TEXT(SUMPRODUCT(MAX(('Formation Initiale'!$A$2:$A$999=$A285)*'Formation Initiale'!$G$2:$G$999)),"yyyy-mm-dd"),""))))))</f>
        <v/>
      </c>
      <c r="G285" s="131" t="str">
        <f aca="false">IF($Q285="✓","✓",IF(ISNUMBER($Q285),TEXT($Q285,"yyyy-mm-dd"),IF($A285="","",IF(SUMPRODUCT(('Agences &amp; Après-vente'!$A$2:$A$1000=$A285)*(('Agences &amp; Après-vente'!$D$2:$D$1000="Agences")+('Agences &amp; Après-vente'!$D$2:$D$1000="Agences et Après-vente"))*('Agences &amp; Après-vente'!$I$2:$I$1000="DONE"))&gt;0,"✓",IF(SUMPRODUCT(MAX(('Agences &amp; Après-vente'!$A$2:$A$1000=$A285)*(('Agences &amp; Après-vente'!$D$2:$D$1000="Agences")+('Agences &amp; Après-vente'!$D$2:$D$1000="Agences et Après-vente"))*'Agences &amp; Après-vente'!$E$2:$E$1000))&gt;0,TEXT(SUMPRODUCT(MAX(('Agences &amp; Après-vente'!$A$2:$A$1000=$A285)*(('Agences &amp; Après-vente'!$D$2:$D$1000="Agences")+('Agences &amp; Après-vente'!$D$2:$D$1000="Agences et Après-vente"))*'Agences &amp; Après-vente'!$E$2:$E$1000)),"yyyy-mm-dd"),"")))))</f>
        <v/>
      </c>
      <c r="H285" s="131" t="str">
        <f aca="false">IF($R285="✓","✓",IF(ISNUMBER($R285),TEXT($R285,"yyyy-mm-dd"),IF($A285="","",IF($D285="Lisbonne","",IF(SUMPRODUCT(('Agences &amp; Après-vente'!$A$2:$A$1000=$A285)*(('Agences &amp; Après-vente'!$D$2:$D$1000="Agences")+('Agences &amp; Après-vente'!$D$2:$D$1000="Agences et Après-vente"))*('Agences &amp; Après-vente'!$I$2:$I$1000="DONE"))&gt;0,"✓",IF(SUMPRODUCT(MAX(('Agences &amp; Après-vente'!$A$2:$A$1000=$A285)*(('Agences &amp; Après-vente'!$D$2:$D$1000="Agences")+('Agences &amp; Après-vente'!$D$2:$D$1000="Agences et Après-vente"))*'Agences &amp; Après-vente'!$E$2:$E$1000))&gt;0,TEXT(SUMPRODUCT(MAX(('Agences &amp; Après-vente'!$A$2:$A$1000=$A285)*(('Agences &amp; Après-vente'!$D$2:$D$1000="Agences")+('Agences &amp; Après-vente'!$D$2:$D$1000="Agences et Après-vente"))*'Agences &amp; Après-vente'!$E$2:$E$1000)),"yyyy-mm-dd"),""))))))</f>
        <v/>
      </c>
      <c r="I285" s="131" t="str">
        <f aca="false">IF($S285="✓","✓",IF(ISNUMBER($S285),TEXT($S285,"yyyy-mm-dd"),IF($A285="","",IF(SUMPRODUCT(('Agences &amp; Après-vente'!$A$2:$A$1000=$A285)*(('Agences &amp; Après-vente'!$D$2:$D$1000="Après-vente")+('Agences &amp; Après-vente'!$D$2:$D$1000="Agences et Après-vente"))*('Agences &amp; Après-vente'!$I$2:$I$1000="DONE"))&gt;0,"✓",IF(SUMPRODUCT(MAX(('Agences &amp; Après-vente'!$A$2:$A$1000=$A285)*(('Agences &amp; Après-vente'!$D$2:$D$1000="Après-vente")+('Agences &amp; Après-vente'!$D$2:$D$1000="Agences et Après-vente"))*'Agences &amp; Après-vente'!$E$2:$E$1000))&gt;0,TEXT(SUMPRODUCT(MAX(('Agences &amp; Après-vente'!$A$2:$A$1000=$A285)*(('Agences &amp; Après-vente'!$D$2:$D$1000="Après-vente")+('Agences &amp; Après-vente'!$D$2:$D$1000="Agences et Après-vente"))*'Agences &amp; Après-vente'!$E$2:$E$1000)),"yyyy-mm-dd"),"")))))</f>
        <v/>
      </c>
      <c r="J285" s="131" t="str">
        <f aca="false">IF($T285="✓","✓",IF(ISNUMBER($T285),TEXT($T285,"yyyy-mm-dd"),IF($A285="","",IF($D285="Lisbonne","",IF(SUMPRODUCT(('Agences &amp; Après-vente'!$A$2:$A$1000=$A285)*(('Agences &amp; Après-vente'!$D$2:$D$1000="Après-vente")+('Agences &amp; Après-vente'!$D$2:$D$1000="Agences et Après-vente"))*('Agences &amp; Après-vente'!$I$2:$I$1000="DONE"))&gt;0,"✓",IF(SUMPRODUCT(MAX(('Agences &amp; Après-vente'!$A$2:$A$1000=$A285)*(('Agences &amp; Après-vente'!$D$2:$D$1000="Après-vente")+('Agences &amp; Après-vente'!$D$2:$D$1000="Agences et Après-vente"))*'Agences &amp; Après-vente'!$E$2:$E$1000))&gt;0,TEXT(SUMPRODUCT(MAX(('Agences &amp; Après-vente'!$A$2:$A$1000=$A285)*(('Agences &amp; Après-vente'!$D$2:$D$1000="Après-vente")+('Agences &amp; Après-vente'!$D$2:$D$1000="Agences et Après-vente"))*'Agences &amp; Après-vente'!$E$2:$E$1000)),"yyyy-mm-dd"),""))))))</f>
        <v/>
      </c>
      <c r="K285" s="131" t="str">
        <f aca="false">IF($U285="✓","✓",IF(ISNUMBER($U285),TEXT($U285,"yyyy-mm-dd"),IF($D285="Lisbonne","",IF($A285="","",IF(SUMPRODUCT((Evermont!$A$2:$A$1000=$A285)*(Evermont!$Q$2:$Q$1000="Terminé"))&gt;0,"✓",IF(SUMPRODUCT(MAX((Evermont!$A$2:$A$1000=$A285)*Evermont!$F$2:$F$1000))&gt;0,TEXT(SUMPRODUCT(MAX((Evermont!$A$2:$A$1000=$A285)*Evermont!$F$2:$F$1000)),"yyyy-mm-dd"),""))))))</f>
        <v/>
      </c>
      <c r="L285" s="131" t="str">
        <f aca="false">IF($A285="","",COUNTIF(E285:K285,"✓"))</f>
        <v/>
      </c>
      <c r="M285" s="131" t="str">
        <f aca="false">IF(B285="","","Active")</f>
        <v/>
      </c>
      <c r="W285" s="120" t="str">
        <f aca="false">IF($A285="","",IF($X285&lt;&gt;"",$X285,IFERROR(INDEX('Formation Initiale'!$B$2:$B$999,MATCH($A285,'Formation Initiale'!$A$2:$A$999,0)),"Général")))</f>
        <v/>
      </c>
    </row>
    <row r="286" customFormat="false" ht="15" hidden="true" customHeight="true" outlineLevel="0" collapsed="false">
      <c r="A286" s="142" t="str">
        <f aca="false">IF(B286="","","TR"&amp;TEXT(ROW()-1,"000"))</f>
        <v/>
      </c>
      <c r="E286" s="130" t="str">
        <f aca="false">IF($O286="✓","✓",IF(ISNUMBER($O286),TEXT($O286,"yyyy-mm-dd"),IF($A286="","",IF(SUMPRODUCT(('Formation Initiale'!$A$2:$A$999=$A286)*('Formation Initiale'!$R$2:$R$999="Terminé"))&gt;0,"✓",IF(SUMPRODUCT(MAX(('Formation Initiale'!$A$2:$A$999=$A286)*'Formation Initiale'!$G$2:$G$999))&gt;0,TEXT(SUMPRODUCT(MAX(('Formation Initiale'!$A$2:$A$999=$A286)*'Formation Initiale'!$G$2:$G$999)),"yyyy-mm-dd"),"")))))</f>
        <v/>
      </c>
      <c r="F286" s="131" t="str">
        <f aca="false">IF($P286="✓","✓",IF(ISNUMBER($P286),TEXT($P286,"yyyy-mm-dd"),IF($A286="","",IF($D286="Lisbonne","",IF(SUMPRODUCT(('Formation Initiale'!$A$2:$A$999=$A286)*('Formation Initiale'!$R$2:$R$999="Terminé"))&gt;0,"✓",IF(SUMPRODUCT(MAX(('Formation Initiale'!$A$2:$A$999=$A286)*'Formation Initiale'!$G$2:$G$999))&gt;0,TEXT(SUMPRODUCT(MAX(('Formation Initiale'!$A$2:$A$999=$A286)*'Formation Initiale'!$G$2:$G$999)),"yyyy-mm-dd"),""))))))</f>
        <v/>
      </c>
      <c r="G286" s="131" t="str">
        <f aca="false">IF($Q286="✓","✓",IF(ISNUMBER($Q286),TEXT($Q286,"yyyy-mm-dd"),IF($A286="","",IF(SUMPRODUCT(('Agences &amp; Après-vente'!$A$2:$A$1000=$A286)*(('Agences &amp; Après-vente'!$D$2:$D$1000="Agences")+('Agences &amp; Après-vente'!$D$2:$D$1000="Agences et Après-vente"))*('Agences &amp; Après-vente'!$I$2:$I$1000="DONE"))&gt;0,"✓",IF(SUMPRODUCT(MAX(('Agences &amp; Après-vente'!$A$2:$A$1000=$A286)*(('Agences &amp; Après-vente'!$D$2:$D$1000="Agences")+('Agences &amp; Après-vente'!$D$2:$D$1000="Agences et Après-vente"))*'Agences &amp; Après-vente'!$E$2:$E$1000))&gt;0,TEXT(SUMPRODUCT(MAX(('Agences &amp; Après-vente'!$A$2:$A$1000=$A286)*(('Agences &amp; Après-vente'!$D$2:$D$1000="Agences")+('Agences &amp; Après-vente'!$D$2:$D$1000="Agences et Après-vente"))*'Agences &amp; Après-vente'!$E$2:$E$1000)),"yyyy-mm-dd"),"")))))</f>
        <v/>
      </c>
      <c r="H286" s="131" t="str">
        <f aca="false">IF($R286="✓","✓",IF(ISNUMBER($R286),TEXT($R286,"yyyy-mm-dd"),IF($A286="","",IF($D286="Lisbonne","",IF(SUMPRODUCT(('Agences &amp; Après-vente'!$A$2:$A$1000=$A286)*(('Agences &amp; Après-vente'!$D$2:$D$1000="Agences")+('Agences &amp; Après-vente'!$D$2:$D$1000="Agences et Après-vente"))*('Agences &amp; Après-vente'!$I$2:$I$1000="DONE"))&gt;0,"✓",IF(SUMPRODUCT(MAX(('Agences &amp; Après-vente'!$A$2:$A$1000=$A286)*(('Agences &amp; Après-vente'!$D$2:$D$1000="Agences")+('Agences &amp; Après-vente'!$D$2:$D$1000="Agences et Après-vente"))*'Agences &amp; Après-vente'!$E$2:$E$1000))&gt;0,TEXT(SUMPRODUCT(MAX(('Agences &amp; Après-vente'!$A$2:$A$1000=$A286)*(('Agences &amp; Après-vente'!$D$2:$D$1000="Agences")+('Agences &amp; Après-vente'!$D$2:$D$1000="Agences et Après-vente"))*'Agences &amp; Après-vente'!$E$2:$E$1000)),"yyyy-mm-dd"),""))))))</f>
        <v/>
      </c>
      <c r="I286" s="131" t="str">
        <f aca="false">IF($S286="✓","✓",IF(ISNUMBER($S286),TEXT($S286,"yyyy-mm-dd"),IF($A286="","",IF(SUMPRODUCT(('Agences &amp; Après-vente'!$A$2:$A$1000=$A286)*(('Agences &amp; Après-vente'!$D$2:$D$1000="Après-vente")+('Agences &amp; Après-vente'!$D$2:$D$1000="Agences et Après-vente"))*('Agences &amp; Après-vente'!$I$2:$I$1000="DONE"))&gt;0,"✓",IF(SUMPRODUCT(MAX(('Agences &amp; Après-vente'!$A$2:$A$1000=$A286)*(('Agences &amp; Après-vente'!$D$2:$D$1000="Après-vente")+('Agences &amp; Après-vente'!$D$2:$D$1000="Agences et Après-vente"))*'Agences &amp; Après-vente'!$E$2:$E$1000))&gt;0,TEXT(SUMPRODUCT(MAX(('Agences &amp; Après-vente'!$A$2:$A$1000=$A286)*(('Agences &amp; Après-vente'!$D$2:$D$1000="Après-vente")+('Agences &amp; Après-vente'!$D$2:$D$1000="Agences et Après-vente"))*'Agences &amp; Après-vente'!$E$2:$E$1000)),"yyyy-mm-dd"),"")))))</f>
        <v/>
      </c>
      <c r="J286" s="131" t="str">
        <f aca="false">IF($T286="✓","✓",IF(ISNUMBER($T286),TEXT($T286,"yyyy-mm-dd"),IF($A286="","",IF($D286="Lisbonne","",IF(SUMPRODUCT(('Agences &amp; Après-vente'!$A$2:$A$1000=$A286)*(('Agences &amp; Après-vente'!$D$2:$D$1000="Après-vente")+('Agences &amp; Après-vente'!$D$2:$D$1000="Agences et Après-vente"))*('Agences &amp; Après-vente'!$I$2:$I$1000="DONE"))&gt;0,"✓",IF(SUMPRODUCT(MAX(('Agences &amp; Après-vente'!$A$2:$A$1000=$A286)*(('Agences &amp; Après-vente'!$D$2:$D$1000="Après-vente")+('Agences &amp; Après-vente'!$D$2:$D$1000="Agences et Après-vente"))*'Agences &amp; Après-vente'!$E$2:$E$1000))&gt;0,TEXT(SUMPRODUCT(MAX(('Agences &amp; Après-vente'!$A$2:$A$1000=$A286)*(('Agences &amp; Après-vente'!$D$2:$D$1000="Après-vente")+('Agences &amp; Après-vente'!$D$2:$D$1000="Agences et Après-vente"))*'Agences &amp; Après-vente'!$E$2:$E$1000)),"yyyy-mm-dd"),""))))))</f>
        <v/>
      </c>
      <c r="K286" s="131" t="str">
        <f aca="false">IF($U286="✓","✓",IF(ISNUMBER($U286),TEXT($U286,"yyyy-mm-dd"),IF($D286="Lisbonne","",IF($A286="","",IF(SUMPRODUCT((Evermont!$A$2:$A$1000=$A286)*(Evermont!$Q$2:$Q$1000="Terminé"))&gt;0,"✓",IF(SUMPRODUCT(MAX((Evermont!$A$2:$A$1000=$A286)*Evermont!$F$2:$F$1000))&gt;0,TEXT(SUMPRODUCT(MAX((Evermont!$A$2:$A$1000=$A286)*Evermont!$F$2:$F$1000)),"yyyy-mm-dd"),""))))))</f>
        <v/>
      </c>
      <c r="L286" s="131" t="str">
        <f aca="false">IF($A286="","",COUNTIF(E286:K286,"✓"))</f>
        <v/>
      </c>
      <c r="M286" s="131" t="str">
        <f aca="false">IF(B286="","","Active")</f>
        <v/>
      </c>
      <c r="W286" s="120" t="str">
        <f aca="false">IF($A286="","",IF($X286&lt;&gt;"",$X286,IFERROR(INDEX('Formation Initiale'!$B$2:$B$999,MATCH($A286,'Formation Initiale'!$A$2:$A$999,0)),"Général")))</f>
        <v/>
      </c>
    </row>
    <row r="287" customFormat="false" ht="15" hidden="true" customHeight="true" outlineLevel="0" collapsed="false">
      <c r="A287" s="142" t="str">
        <f aca="false">IF(B287="","","TR"&amp;TEXT(ROW()-1,"000"))</f>
        <v/>
      </c>
      <c r="E287" s="130" t="str">
        <f aca="false">IF($O287="✓","✓",IF(ISNUMBER($O287),TEXT($O287,"yyyy-mm-dd"),IF($A287="","",IF(SUMPRODUCT(('Formation Initiale'!$A$2:$A$999=$A287)*('Formation Initiale'!$R$2:$R$999="Terminé"))&gt;0,"✓",IF(SUMPRODUCT(MAX(('Formation Initiale'!$A$2:$A$999=$A287)*'Formation Initiale'!$G$2:$G$999))&gt;0,TEXT(SUMPRODUCT(MAX(('Formation Initiale'!$A$2:$A$999=$A287)*'Formation Initiale'!$G$2:$G$999)),"yyyy-mm-dd"),"")))))</f>
        <v/>
      </c>
      <c r="F287" s="131" t="str">
        <f aca="false">IF($P287="✓","✓",IF(ISNUMBER($P287),TEXT($P287,"yyyy-mm-dd"),IF($A287="","",IF($D287="Lisbonne","",IF(SUMPRODUCT(('Formation Initiale'!$A$2:$A$999=$A287)*('Formation Initiale'!$R$2:$R$999="Terminé"))&gt;0,"✓",IF(SUMPRODUCT(MAX(('Formation Initiale'!$A$2:$A$999=$A287)*'Formation Initiale'!$G$2:$G$999))&gt;0,TEXT(SUMPRODUCT(MAX(('Formation Initiale'!$A$2:$A$999=$A287)*'Formation Initiale'!$G$2:$G$999)),"yyyy-mm-dd"),""))))))</f>
        <v/>
      </c>
      <c r="G287" s="131" t="str">
        <f aca="false">IF($Q287="✓","✓",IF(ISNUMBER($Q287),TEXT($Q287,"yyyy-mm-dd"),IF($A287="","",IF(SUMPRODUCT(('Agences &amp; Après-vente'!$A$2:$A$1000=$A287)*(('Agences &amp; Après-vente'!$D$2:$D$1000="Agences")+('Agences &amp; Après-vente'!$D$2:$D$1000="Agences et Après-vente"))*('Agences &amp; Après-vente'!$I$2:$I$1000="DONE"))&gt;0,"✓",IF(SUMPRODUCT(MAX(('Agences &amp; Après-vente'!$A$2:$A$1000=$A287)*(('Agences &amp; Après-vente'!$D$2:$D$1000="Agences")+('Agences &amp; Après-vente'!$D$2:$D$1000="Agences et Après-vente"))*'Agences &amp; Après-vente'!$E$2:$E$1000))&gt;0,TEXT(SUMPRODUCT(MAX(('Agences &amp; Après-vente'!$A$2:$A$1000=$A287)*(('Agences &amp; Après-vente'!$D$2:$D$1000="Agences")+('Agences &amp; Après-vente'!$D$2:$D$1000="Agences et Après-vente"))*'Agences &amp; Après-vente'!$E$2:$E$1000)),"yyyy-mm-dd"),"")))))</f>
        <v/>
      </c>
      <c r="H287" s="131" t="str">
        <f aca="false">IF($R287="✓","✓",IF(ISNUMBER($R287),TEXT($R287,"yyyy-mm-dd"),IF($A287="","",IF($D287="Lisbonne","",IF(SUMPRODUCT(('Agences &amp; Après-vente'!$A$2:$A$1000=$A287)*(('Agences &amp; Après-vente'!$D$2:$D$1000="Agences")+('Agences &amp; Après-vente'!$D$2:$D$1000="Agences et Après-vente"))*('Agences &amp; Après-vente'!$I$2:$I$1000="DONE"))&gt;0,"✓",IF(SUMPRODUCT(MAX(('Agences &amp; Après-vente'!$A$2:$A$1000=$A287)*(('Agences &amp; Après-vente'!$D$2:$D$1000="Agences")+('Agences &amp; Après-vente'!$D$2:$D$1000="Agences et Après-vente"))*'Agences &amp; Après-vente'!$E$2:$E$1000))&gt;0,TEXT(SUMPRODUCT(MAX(('Agences &amp; Après-vente'!$A$2:$A$1000=$A287)*(('Agences &amp; Après-vente'!$D$2:$D$1000="Agences")+('Agences &amp; Après-vente'!$D$2:$D$1000="Agences et Après-vente"))*'Agences &amp; Après-vente'!$E$2:$E$1000)),"yyyy-mm-dd"),""))))))</f>
        <v/>
      </c>
      <c r="I287" s="131" t="str">
        <f aca="false">IF($S287="✓","✓",IF(ISNUMBER($S287),TEXT($S287,"yyyy-mm-dd"),IF($A287="","",IF(SUMPRODUCT(('Agences &amp; Après-vente'!$A$2:$A$1000=$A287)*(('Agences &amp; Après-vente'!$D$2:$D$1000="Après-vente")+('Agences &amp; Après-vente'!$D$2:$D$1000="Agences et Après-vente"))*('Agences &amp; Après-vente'!$I$2:$I$1000="DONE"))&gt;0,"✓",IF(SUMPRODUCT(MAX(('Agences &amp; Après-vente'!$A$2:$A$1000=$A287)*(('Agences &amp; Après-vente'!$D$2:$D$1000="Après-vente")+('Agences &amp; Après-vente'!$D$2:$D$1000="Agences et Après-vente"))*'Agences &amp; Après-vente'!$E$2:$E$1000))&gt;0,TEXT(SUMPRODUCT(MAX(('Agences &amp; Après-vente'!$A$2:$A$1000=$A287)*(('Agences &amp; Après-vente'!$D$2:$D$1000="Après-vente")+('Agences &amp; Après-vente'!$D$2:$D$1000="Agences et Après-vente"))*'Agences &amp; Après-vente'!$E$2:$E$1000)),"yyyy-mm-dd"),"")))))</f>
        <v/>
      </c>
      <c r="J287" s="131" t="str">
        <f aca="false">IF($T287="✓","✓",IF(ISNUMBER($T287),TEXT($T287,"yyyy-mm-dd"),IF($A287="","",IF($D287="Lisbonne","",IF(SUMPRODUCT(('Agences &amp; Après-vente'!$A$2:$A$1000=$A287)*(('Agences &amp; Après-vente'!$D$2:$D$1000="Après-vente")+('Agences &amp; Après-vente'!$D$2:$D$1000="Agences et Après-vente"))*('Agences &amp; Après-vente'!$I$2:$I$1000="DONE"))&gt;0,"✓",IF(SUMPRODUCT(MAX(('Agences &amp; Après-vente'!$A$2:$A$1000=$A287)*(('Agences &amp; Après-vente'!$D$2:$D$1000="Après-vente")+('Agences &amp; Après-vente'!$D$2:$D$1000="Agences et Après-vente"))*'Agences &amp; Après-vente'!$E$2:$E$1000))&gt;0,TEXT(SUMPRODUCT(MAX(('Agences &amp; Après-vente'!$A$2:$A$1000=$A287)*(('Agences &amp; Après-vente'!$D$2:$D$1000="Après-vente")+('Agences &amp; Après-vente'!$D$2:$D$1000="Agences et Après-vente"))*'Agences &amp; Après-vente'!$E$2:$E$1000)),"yyyy-mm-dd"),""))))))</f>
        <v/>
      </c>
      <c r="K287" s="131" t="str">
        <f aca="false">IF($U287="✓","✓",IF(ISNUMBER($U287),TEXT($U287,"yyyy-mm-dd"),IF($D287="Lisbonne","",IF($A287="","",IF(SUMPRODUCT((Evermont!$A$2:$A$1000=$A287)*(Evermont!$Q$2:$Q$1000="Terminé"))&gt;0,"✓",IF(SUMPRODUCT(MAX((Evermont!$A$2:$A$1000=$A287)*Evermont!$F$2:$F$1000))&gt;0,TEXT(SUMPRODUCT(MAX((Evermont!$A$2:$A$1000=$A287)*Evermont!$F$2:$F$1000)),"yyyy-mm-dd"),""))))))</f>
        <v/>
      </c>
      <c r="L287" s="131" t="str">
        <f aca="false">IF($A287="","",COUNTIF(E287:K287,"✓"))</f>
        <v/>
      </c>
      <c r="M287" s="131" t="str">
        <f aca="false">IF(B287="","","Active")</f>
        <v/>
      </c>
      <c r="W287" s="120" t="str">
        <f aca="false">IF($A287="","",IF($X287&lt;&gt;"",$X287,IFERROR(INDEX('Formation Initiale'!$B$2:$B$999,MATCH($A287,'Formation Initiale'!$A$2:$A$999,0)),"Général")))</f>
        <v/>
      </c>
    </row>
    <row r="288" customFormat="false" ht="15" hidden="true" customHeight="true" outlineLevel="0" collapsed="false">
      <c r="A288" s="142" t="str">
        <f aca="false">IF(B288="","","TR"&amp;TEXT(ROW()-1,"000"))</f>
        <v/>
      </c>
      <c r="E288" s="130" t="str">
        <f aca="false">IF($O288="✓","✓",IF(ISNUMBER($O288),TEXT($O288,"yyyy-mm-dd"),IF($A288="","",IF(SUMPRODUCT(('Formation Initiale'!$A$2:$A$999=$A288)*('Formation Initiale'!$R$2:$R$999="Terminé"))&gt;0,"✓",IF(SUMPRODUCT(MAX(('Formation Initiale'!$A$2:$A$999=$A288)*'Formation Initiale'!$G$2:$G$999))&gt;0,TEXT(SUMPRODUCT(MAX(('Formation Initiale'!$A$2:$A$999=$A288)*'Formation Initiale'!$G$2:$G$999)),"yyyy-mm-dd"),"")))))</f>
        <v/>
      </c>
      <c r="F288" s="131" t="str">
        <f aca="false">IF($P288="✓","✓",IF(ISNUMBER($P288),TEXT($P288,"yyyy-mm-dd"),IF($A288="","",IF($D288="Lisbonne","",IF(SUMPRODUCT(('Formation Initiale'!$A$2:$A$999=$A288)*('Formation Initiale'!$R$2:$R$999="Terminé"))&gt;0,"✓",IF(SUMPRODUCT(MAX(('Formation Initiale'!$A$2:$A$999=$A288)*'Formation Initiale'!$G$2:$G$999))&gt;0,TEXT(SUMPRODUCT(MAX(('Formation Initiale'!$A$2:$A$999=$A288)*'Formation Initiale'!$G$2:$G$999)),"yyyy-mm-dd"),""))))))</f>
        <v/>
      </c>
      <c r="G288" s="131" t="str">
        <f aca="false">IF($Q288="✓","✓",IF(ISNUMBER($Q288),TEXT($Q288,"yyyy-mm-dd"),IF($A288="","",IF(SUMPRODUCT(('Agences &amp; Après-vente'!$A$2:$A$1000=$A288)*(('Agences &amp; Après-vente'!$D$2:$D$1000="Agences")+('Agences &amp; Après-vente'!$D$2:$D$1000="Agences et Après-vente"))*('Agences &amp; Après-vente'!$I$2:$I$1000="DONE"))&gt;0,"✓",IF(SUMPRODUCT(MAX(('Agences &amp; Après-vente'!$A$2:$A$1000=$A288)*(('Agences &amp; Après-vente'!$D$2:$D$1000="Agences")+('Agences &amp; Après-vente'!$D$2:$D$1000="Agences et Après-vente"))*'Agences &amp; Après-vente'!$E$2:$E$1000))&gt;0,TEXT(SUMPRODUCT(MAX(('Agences &amp; Après-vente'!$A$2:$A$1000=$A288)*(('Agences &amp; Après-vente'!$D$2:$D$1000="Agences")+('Agences &amp; Après-vente'!$D$2:$D$1000="Agences et Après-vente"))*'Agences &amp; Après-vente'!$E$2:$E$1000)),"yyyy-mm-dd"),"")))))</f>
        <v/>
      </c>
      <c r="H288" s="131" t="str">
        <f aca="false">IF($R288="✓","✓",IF(ISNUMBER($R288),TEXT($R288,"yyyy-mm-dd"),IF($A288="","",IF($D288="Lisbonne","",IF(SUMPRODUCT(('Agences &amp; Après-vente'!$A$2:$A$1000=$A288)*(('Agences &amp; Après-vente'!$D$2:$D$1000="Agences")+('Agences &amp; Après-vente'!$D$2:$D$1000="Agences et Après-vente"))*('Agences &amp; Après-vente'!$I$2:$I$1000="DONE"))&gt;0,"✓",IF(SUMPRODUCT(MAX(('Agences &amp; Après-vente'!$A$2:$A$1000=$A288)*(('Agences &amp; Après-vente'!$D$2:$D$1000="Agences")+('Agences &amp; Après-vente'!$D$2:$D$1000="Agences et Après-vente"))*'Agences &amp; Après-vente'!$E$2:$E$1000))&gt;0,TEXT(SUMPRODUCT(MAX(('Agences &amp; Après-vente'!$A$2:$A$1000=$A288)*(('Agences &amp; Après-vente'!$D$2:$D$1000="Agences")+('Agences &amp; Après-vente'!$D$2:$D$1000="Agences et Après-vente"))*'Agences &amp; Après-vente'!$E$2:$E$1000)),"yyyy-mm-dd"),""))))))</f>
        <v/>
      </c>
      <c r="I288" s="131" t="str">
        <f aca="false">IF($S288="✓","✓",IF(ISNUMBER($S288),TEXT($S288,"yyyy-mm-dd"),IF($A288="","",IF(SUMPRODUCT(('Agences &amp; Après-vente'!$A$2:$A$1000=$A288)*(('Agences &amp; Après-vente'!$D$2:$D$1000="Après-vente")+('Agences &amp; Après-vente'!$D$2:$D$1000="Agences et Après-vente"))*('Agences &amp; Après-vente'!$I$2:$I$1000="DONE"))&gt;0,"✓",IF(SUMPRODUCT(MAX(('Agences &amp; Après-vente'!$A$2:$A$1000=$A288)*(('Agences &amp; Après-vente'!$D$2:$D$1000="Après-vente")+('Agences &amp; Après-vente'!$D$2:$D$1000="Agences et Après-vente"))*'Agences &amp; Après-vente'!$E$2:$E$1000))&gt;0,TEXT(SUMPRODUCT(MAX(('Agences &amp; Après-vente'!$A$2:$A$1000=$A288)*(('Agences &amp; Après-vente'!$D$2:$D$1000="Après-vente")+('Agences &amp; Après-vente'!$D$2:$D$1000="Agences et Après-vente"))*'Agences &amp; Après-vente'!$E$2:$E$1000)),"yyyy-mm-dd"),"")))))</f>
        <v/>
      </c>
      <c r="J288" s="131" t="str">
        <f aca="false">IF($T288="✓","✓",IF(ISNUMBER($T288),TEXT($T288,"yyyy-mm-dd"),IF($A288="","",IF($D288="Lisbonne","",IF(SUMPRODUCT(('Agences &amp; Après-vente'!$A$2:$A$1000=$A288)*(('Agences &amp; Après-vente'!$D$2:$D$1000="Après-vente")+('Agences &amp; Après-vente'!$D$2:$D$1000="Agences et Après-vente"))*('Agences &amp; Après-vente'!$I$2:$I$1000="DONE"))&gt;0,"✓",IF(SUMPRODUCT(MAX(('Agences &amp; Après-vente'!$A$2:$A$1000=$A288)*(('Agences &amp; Après-vente'!$D$2:$D$1000="Après-vente")+('Agences &amp; Après-vente'!$D$2:$D$1000="Agences et Après-vente"))*'Agences &amp; Après-vente'!$E$2:$E$1000))&gt;0,TEXT(SUMPRODUCT(MAX(('Agences &amp; Après-vente'!$A$2:$A$1000=$A288)*(('Agences &amp; Après-vente'!$D$2:$D$1000="Après-vente")+('Agences &amp; Après-vente'!$D$2:$D$1000="Agences et Après-vente"))*'Agences &amp; Après-vente'!$E$2:$E$1000)),"yyyy-mm-dd"),""))))))</f>
        <v/>
      </c>
      <c r="K288" s="131" t="str">
        <f aca="false">IF($U288="✓","✓",IF(ISNUMBER($U288),TEXT($U288,"yyyy-mm-dd"),IF($D288="Lisbonne","",IF($A288="","",IF(SUMPRODUCT((Evermont!$A$2:$A$1000=$A288)*(Evermont!$Q$2:$Q$1000="Terminé"))&gt;0,"✓",IF(SUMPRODUCT(MAX((Evermont!$A$2:$A$1000=$A288)*Evermont!$F$2:$F$1000))&gt;0,TEXT(SUMPRODUCT(MAX((Evermont!$A$2:$A$1000=$A288)*Evermont!$F$2:$F$1000)),"yyyy-mm-dd"),""))))))</f>
        <v/>
      </c>
      <c r="L288" s="131" t="str">
        <f aca="false">IF($A288="","",COUNTIF(E288:K288,"✓"))</f>
        <v/>
      </c>
      <c r="M288" s="131" t="str">
        <f aca="false">IF(B288="","","Active")</f>
        <v/>
      </c>
      <c r="W288" s="120" t="str">
        <f aca="false">IF($A288="","",IF($X288&lt;&gt;"",$X288,IFERROR(INDEX('Formation Initiale'!$B$2:$B$999,MATCH($A288,'Formation Initiale'!$A$2:$A$999,0)),"Général")))</f>
        <v/>
      </c>
    </row>
    <row r="289" customFormat="false" ht="15" hidden="true" customHeight="true" outlineLevel="0" collapsed="false">
      <c r="A289" s="142" t="str">
        <f aca="false">IF(B289="","","TR"&amp;TEXT(ROW()-1,"000"))</f>
        <v/>
      </c>
      <c r="E289" s="130" t="str">
        <f aca="false">IF($O289="✓","✓",IF(ISNUMBER($O289),TEXT($O289,"yyyy-mm-dd"),IF($A289="","",IF(SUMPRODUCT(('Formation Initiale'!$A$2:$A$999=$A289)*('Formation Initiale'!$R$2:$R$999="Terminé"))&gt;0,"✓",IF(SUMPRODUCT(MAX(('Formation Initiale'!$A$2:$A$999=$A289)*'Formation Initiale'!$G$2:$G$999))&gt;0,TEXT(SUMPRODUCT(MAX(('Formation Initiale'!$A$2:$A$999=$A289)*'Formation Initiale'!$G$2:$G$999)),"yyyy-mm-dd"),"")))))</f>
        <v/>
      </c>
      <c r="F289" s="131" t="str">
        <f aca="false">IF($P289="✓","✓",IF(ISNUMBER($P289),TEXT($P289,"yyyy-mm-dd"),IF($A289="","",IF($D289="Lisbonne","",IF(SUMPRODUCT(('Formation Initiale'!$A$2:$A$999=$A289)*('Formation Initiale'!$R$2:$R$999="Terminé"))&gt;0,"✓",IF(SUMPRODUCT(MAX(('Formation Initiale'!$A$2:$A$999=$A289)*'Formation Initiale'!$G$2:$G$999))&gt;0,TEXT(SUMPRODUCT(MAX(('Formation Initiale'!$A$2:$A$999=$A289)*'Formation Initiale'!$G$2:$G$999)),"yyyy-mm-dd"),""))))))</f>
        <v/>
      </c>
      <c r="G289" s="131" t="str">
        <f aca="false">IF($Q289="✓","✓",IF(ISNUMBER($Q289),TEXT($Q289,"yyyy-mm-dd"),IF($A289="","",IF(SUMPRODUCT(('Agences &amp; Après-vente'!$A$2:$A$1000=$A289)*(('Agences &amp; Après-vente'!$D$2:$D$1000="Agences")+('Agences &amp; Après-vente'!$D$2:$D$1000="Agences et Après-vente"))*('Agences &amp; Après-vente'!$I$2:$I$1000="DONE"))&gt;0,"✓",IF(SUMPRODUCT(MAX(('Agences &amp; Après-vente'!$A$2:$A$1000=$A289)*(('Agences &amp; Après-vente'!$D$2:$D$1000="Agences")+('Agences &amp; Après-vente'!$D$2:$D$1000="Agences et Après-vente"))*'Agences &amp; Après-vente'!$E$2:$E$1000))&gt;0,TEXT(SUMPRODUCT(MAX(('Agences &amp; Après-vente'!$A$2:$A$1000=$A289)*(('Agences &amp; Après-vente'!$D$2:$D$1000="Agences")+('Agences &amp; Après-vente'!$D$2:$D$1000="Agences et Après-vente"))*'Agences &amp; Après-vente'!$E$2:$E$1000)),"yyyy-mm-dd"),"")))))</f>
        <v/>
      </c>
      <c r="H289" s="131" t="str">
        <f aca="false">IF($R289="✓","✓",IF(ISNUMBER($R289),TEXT($R289,"yyyy-mm-dd"),IF($A289="","",IF($D289="Lisbonne","",IF(SUMPRODUCT(('Agences &amp; Après-vente'!$A$2:$A$1000=$A289)*(('Agences &amp; Après-vente'!$D$2:$D$1000="Agences")+('Agences &amp; Après-vente'!$D$2:$D$1000="Agences et Après-vente"))*('Agences &amp; Après-vente'!$I$2:$I$1000="DONE"))&gt;0,"✓",IF(SUMPRODUCT(MAX(('Agences &amp; Après-vente'!$A$2:$A$1000=$A289)*(('Agences &amp; Après-vente'!$D$2:$D$1000="Agences")+('Agences &amp; Après-vente'!$D$2:$D$1000="Agences et Après-vente"))*'Agences &amp; Après-vente'!$E$2:$E$1000))&gt;0,TEXT(SUMPRODUCT(MAX(('Agences &amp; Après-vente'!$A$2:$A$1000=$A289)*(('Agences &amp; Après-vente'!$D$2:$D$1000="Agences")+('Agences &amp; Après-vente'!$D$2:$D$1000="Agences et Après-vente"))*'Agences &amp; Après-vente'!$E$2:$E$1000)),"yyyy-mm-dd"),""))))))</f>
        <v/>
      </c>
      <c r="I289" s="131" t="str">
        <f aca="false">IF($S289="✓","✓",IF(ISNUMBER($S289),TEXT($S289,"yyyy-mm-dd"),IF($A289="","",IF(SUMPRODUCT(('Agences &amp; Après-vente'!$A$2:$A$1000=$A289)*(('Agences &amp; Après-vente'!$D$2:$D$1000="Après-vente")+('Agences &amp; Après-vente'!$D$2:$D$1000="Agences et Après-vente"))*('Agences &amp; Après-vente'!$I$2:$I$1000="DONE"))&gt;0,"✓",IF(SUMPRODUCT(MAX(('Agences &amp; Après-vente'!$A$2:$A$1000=$A289)*(('Agences &amp; Après-vente'!$D$2:$D$1000="Après-vente")+('Agences &amp; Après-vente'!$D$2:$D$1000="Agences et Après-vente"))*'Agences &amp; Après-vente'!$E$2:$E$1000))&gt;0,TEXT(SUMPRODUCT(MAX(('Agences &amp; Après-vente'!$A$2:$A$1000=$A289)*(('Agences &amp; Après-vente'!$D$2:$D$1000="Après-vente")+('Agences &amp; Après-vente'!$D$2:$D$1000="Agences et Après-vente"))*'Agences &amp; Après-vente'!$E$2:$E$1000)),"yyyy-mm-dd"),"")))))</f>
        <v/>
      </c>
      <c r="J289" s="131" t="str">
        <f aca="false">IF($T289="✓","✓",IF(ISNUMBER($T289),TEXT($T289,"yyyy-mm-dd"),IF($A289="","",IF($D289="Lisbonne","",IF(SUMPRODUCT(('Agences &amp; Après-vente'!$A$2:$A$1000=$A289)*(('Agences &amp; Après-vente'!$D$2:$D$1000="Après-vente")+('Agences &amp; Après-vente'!$D$2:$D$1000="Agences et Après-vente"))*('Agences &amp; Après-vente'!$I$2:$I$1000="DONE"))&gt;0,"✓",IF(SUMPRODUCT(MAX(('Agences &amp; Après-vente'!$A$2:$A$1000=$A289)*(('Agences &amp; Après-vente'!$D$2:$D$1000="Après-vente")+('Agences &amp; Après-vente'!$D$2:$D$1000="Agences et Après-vente"))*'Agences &amp; Après-vente'!$E$2:$E$1000))&gt;0,TEXT(SUMPRODUCT(MAX(('Agences &amp; Après-vente'!$A$2:$A$1000=$A289)*(('Agences &amp; Après-vente'!$D$2:$D$1000="Après-vente")+('Agences &amp; Après-vente'!$D$2:$D$1000="Agences et Après-vente"))*'Agences &amp; Après-vente'!$E$2:$E$1000)),"yyyy-mm-dd"),""))))))</f>
        <v/>
      </c>
      <c r="K289" s="131" t="str">
        <f aca="false">IF($U289="✓","✓",IF(ISNUMBER($U289),TEXT($U289,"yyyy-mm-dd"),IF($D289="Lisbonne","",IF($A289="","",IF(SUMPRODUCT((Evermont!$A$2:$A$1000=$A289)*(Evermont!$Q$2:$Q$1000="Terminé"))&gt;0,"✓",IF(SUMPRODUCT(MAX((Evermont!$A$2:$A$1000=$A289)*Evermont!$F$2:$F$1000))&gt;0,TEXT(SUMPRODUCT(MAX((Evermont!$A$2:$A$1000=$A289)*Evermont!$F$2:$F$1000)),"yyyy-mm-dd"),""))))))</f>
        <v/>
      </c>
      <c r="L289" s="131" t="str">
        <f aca="false">IF($A289="","",COUNTIF(E289:K289,"✓"))</f>
        <v/>
      </c>
      <c r="M289" s="131" t="str">
        <f aca="false">IF(B289="","","Active")</f>
        <v/>
      </c>
      <c r="W289" s="120" t="str">
        <f aca="false">IF($A289="","",IF($X289&lt;&gt;"",$X289,IFERROR(INDEX('Formation Initiale'!$B$2:$B$999,MATCH($A289,'Formation Initiale'!$A$2:$A$999,0)),"Général")))</f>
        <v/>
      </c>
    </row>
    <row r="290" customFormat="false" ht="15" hidden="true" customHeight="true" outlineLevel="0" collapsed="false">
      <c r="A290" s="142" t="str">
        <f aca="false">IF(B290="","","TR"&amp;TEXT(ROW()-1,"000"))</f>
        <v/>
      </c>
      <c r="E290" s="130" t="str">
        <f aca="false">IF($O290="✓","✓",IF(ISNUMBER($O290),TEXT($O290,"yyyy-mm-dd"),IF($A290="","",IF(SUMPRODUCT(('Formation Initiale'!$A$2:$A$999=$A290)*('Formation Initiale'!$R$2:$R$999="Terminé"))&gt;0,"✓",IF(SUMPRODUCT(MAX(('Formation Initiale'!$A$2:$A$999=$A290)*'Formation Initiale'!$G$2:$G$999))&gt;0,TEXT(SUMPRODUCT(MAX(('Formation Initiale'!$A$2:$A$999=$A290)*'Formation Initiale'!$G$2:$G$999)),"yyyy-mm-dd"),"")))))</f>
        <v/>
      </c>
      <c r="F290" s="131" t="str">
        <f aca="false">IF($P290="✓","✓",IF(ISNUMBER($P290),TEXT($P290,"yyyy-mm-dd"),IF($A290="","",IF($D290="Lisbonne","",IF(SUMPRODUCT(('Formation Initiale'!$A$2:$A$999=$A290)*('Formation Initiale'!$R$2:$R$999="Terminé"))&gt;0,"✓",IF(SUMPRODUCT(MAX(('Formation Initiale'!$A$2:$A$999=$A290)*'Formation Initiale'!$G$2:$G$999))&gt;0,TEXT(SUMPRODUCT(MAX(('Formation Initiale'!$A$2:$A$999=$A290)*'Formation Initiale'!$G$2:$G$999)),"yyyy-mm-dd"),""))))))</f>
        <v/>
      </c>
      <c r="G290" s="131" t="str">
        <f aca="false">IF($Q290="✓","✓",IF(ISNUMBER($Q290),TEXT($Q290,"yyyy-mm-dd"),IF($A290="","",IF(SUMPRODUCT(('Agences &amp; Après-vente'!$A$2:$A$1000=$A290)*(('Agences &amp; Après-vente'!$D$2:$D$1000="Agences")+('Agences &amp; Après-vente'!$D$2:$D$1000="Agences et Après-vente"))*('Agences &amp; Après-vente'!$I$2:$I$1000="DONE"))&gt;0,"✓",IF(SUMPRODUCT(MAX(('Agences &amp; Après-vente'!$A$2:$A$1000=$A290)*(('Agences &amp; Après-vente'!$D$2:$D$1000="Agences")+('Agences &amp; Après-vente'!$D$2:$D$1000="Agences et Après-vente"))*'Agences &amp; Après-vente'!$E$2:$E$1000))&gt;0,TEXT(SUMPRODUCT(MAX(('Agences &amp; Après-vente'!$A$2:$A$1000=$A290)*(('Agences &amp; Après-vente'!$D$2:$D$1000="Agences")+('Agences &amp; Après-vente'!$D$2:$D$1000="Agences et Après-vente"))*'Agences &amp; Après-vente'!$E$2:$E$1000)),"yyyy-mm-dd"),"")))))</f>
        <v/>
      </c>
      <c r="H290" s="131" t="str">
        <f aca="false">IF($R290="✓","✓",IF(ISNUMBER($R290),TEXT($R290,"yyyy-mm-dd"),IF($A290="","",IF($D290="Lisbonne","",IF(SUMPRODUCT(('Agences &amp; Après-vente'!$A$2:$A$1000=$A290)*(('Agences &amp; Après-vente'!$D$2:$D$1000="Agences")+('Agences &amp; Après-vente'!$D$2:$D$1000="Agences et Après-vente"))*('Agences &amp; Après-vente'!$I$2:$I$1000="DONE"))&gt;0,"✓",IF(SUMPRODUCT(MAX(('Agences &amp; Après-vente'!$A$2:$A$1000=$A290)*(('Agences &amp; Après-vente'!$D$2:$D$1000="Agences")+('Agences &amp; Après-vente'!$D$2:$D$1000="Agences et Après-vente"))*'Agences &amp; Après-vente'!$E$2:$E$1000))&gt;0,TEXT(SUMPRODUCT(MAX(('Agences &amp; Après-vente'!$A$2:$A$1000=$A290)*(('Agences &amp; Après-vente'!$D$2:$D$1000="Agences")+('Agences &amp; Après-vente'!$D$2:$D$1000="Agences et Après-vente"))*'Agences &amp; Après-vente'!$E$2:$E$1000)),"yyyy-mm-dd"),""))))))</f>
        <v/>
      </c>
      <c r="I290" s="131" t="str">
        <f aca="false">IF($S290="✓","✓",IF(ISNUMBER($S290),TEXT($S290,"yyyy-mm-dd"),IF($A290="","",IF(SUMPRODUCT(('Agences &amp; Après-vente'!$A$2:$A$1000=$A290)*(('Agences &amp; Après-vente'!$D$2:$D$1000="Après-vente")+('Agences &amp; Après-vente'!$D$2:$D$1000="Agences et Après-vente"))*('Agences &amp; Après-vente'!$I$2:$I$1000="DONE"))&gt;0,"✓",IF(SUMPRODUCT(MAX(('Agences &amp; Après-vente'!$A$2:$A$1000=$A290)*(('Agences &amp; Après-vente'!$D$2:$D$1000="Après-vente")+('Agences &amp; Après-vente'!$D$2:$D$1000="Agences et Après-vente"))*'Agences &amp; Après-vente'!$E$2:$E$1000))&gt;0,TEXT(SUMPRODUCT(MAX(('Agences &amp; Après-vente'!$A$2:$A$1000=$A290)*(('Agences &amp; Après-vente'!$D$2:$D$1000="Après-vente")+('Agences &amp; Après-vente'!$D$2:$D$1000="Agences et Après-vente"))*'Agences &amp; Après-vente'!$E$2:$E$1000)),"yyyy-mm-dd"),"")))))</f>
        <v/>
      </c>
      <c r="J290" s="131" t="str">
        <f aca="false">IF($T290="✓","✓",IF(ISNUMBER($T290),TEXT($T290,"yyyy-mm-dd"),IF($A290="","",IF($D290="Lisbonne","",IF(SUMPRODUCT(('Agences &amp; Après-vente'!$A$2:$A$1000=$A290)*(('Agences &amp; Après-vente'!$D$2:$D$1000="Après-vente")+('Agences &amp; Après-vente'!$D$2:$D$1000="Agences et Après-vente"))*('Agences &amp; Après-vente'!$I$2:$I$1000="DONE"))&gt;0,"✓",IF(SUMPRODUCT(MAX(('Agences &amp; Après-vente'!$A$2:$A$1000=$A290)*(('Agences &amp; Après-vente'!$D$2:$D$1000="Après-vente")+('Agences &amp; Après-vente'!$D$2:$D$1000="Agences et Après-vente"))*'Agences &amp; Après-vente'!$E$2:$E$1000))&gt;0,TEXT(SUMPRODUCT(MAX(('Agences &amp; Après-vente'!$A$2:$A$1000=$A290)*(('Agences &amp; Après-vente'!$D$2:$D$1000="Après-vente")+('Agences &amp; Après-vente'!$D$2:$D$1000="Agences et Après-vente"))*'Agences &amp; Après-vente'!$E$2:$E$1000)),"yyyy-mm-dd"),""))))))</f>
        <v/>
      </c>
      <c r="K290" s="131" t="str">
        <f aca="false">IF($U290="✓","✓",IF(ISNUMBER($U290),TEXT($U290,"yyyy-mm-dd"),IF($D290="Lisbonne","",IF($A290="","",IF(SUMPRODUCT((Evermont!$A$2:$A$1000=$A290)*(Evermont!$Q$2:$Q$1000="Terminé"))&gt;0,"✓",IF(SUMPRODUCT(MAX((Evermont!$A$2:$A$1000=$A290)*Evermont!$F$2:$F$1000))&gt;0,TEXT(SUMPRODUCT(MAX((Evermont!$A$2:$A$1000=$A290)*Evermont!$F$2:$F$1000)),"yyyy-mm-dd"),""))))))</f>
        <v/>
      </c>
      <c r="L290" s="131" t="str">
        <f aca="false">IF($A290="","",COUNTIF(E290:K290,"✓"))</f>
        <v/>
      </c>
      <c r="M290" s="131" t="str">
        <f aca="false">IF(B290="","","Active")</f>
        <v/>
      </c>
      <c r="W290" s="120" t="str">
        <f aca="false">IF($A290="","",IF($X290&lt;&gt;"",$X290,IFERROR(INDEX('Formation Initiale'!$B$2:$B$999,MATCH($A290,'Formation Initiale'!$A$2:$A$999,0)),"Général")))</f>
        <v/>
      </c>
    </row>
    <row r="291" customFormat="false" ht="15" hidden="true" customHeight="true" outlineLevel="0" collapsed="false">
      <c r="A291" s="142" t="str">
        <f aca="false">IF(B291="","","TR"&amp;TEXT(ROW()-1,"000"))</f>
        <v/>
      </c>
      <c r="E291" s="130" t="str">
        <f aca="false">IF($O291="✓","✓",IF(ISNUMBER($O291),TEXT($O291,"yyyy-mm-dd"),IF($A291="","",IF(SUMPRODUCT(('Formation Initiale'!$A$2:$A$999=$A291)*('Formation Initiale'!$R$2:$R$999="Terminé"))&gt;0,"✓",IF(SUMPRODUCT(MAX(('Formation Initiale'!$A$2:$A$999=$A291)*'Formation Initiale'!$G$2:$G$999))&gt;0,TEXT(SUMPRODUCT(MAX(('Formation Initiale'!$A$2:$A$999=$A291)*'Formation Initiale'!$G$2:$G$999)),"yyyy-mm-dd"),"")))))</f>
        <v/>
      </c>
      <c r="F291" s="131" t="str">
        <f aca="false">IF($P291="✓","✓",IF(ISNUMBER($P291),TEXT($P291,"yyyy-mm-dd"),IF($A291="","",IF($D291="Lisbonne","",IF(SUMPRODUCT(('Formation Initiale'!$A$2:$A$999=$A291)*('Formation Initiale'!$R$2:$R$999="Terminé"))&gt;0,"✓",IF(SUMPRODUCT(MAX(('Formation Initiale'!$A$2:$A$999=$A291)*'Formation Initiale'!$G$2:$G$999))&gt;0,TEXT(SUMPRODUCT(MAX(('Formation Initiale'!$A$2:$A$999=$A291)*'Formation Initiale'!$G$2:$G$999)),"yyyy-mm-dd"),""))))))</f>
        <v/>
      </c>
      <c r="G291" s="131" t="str">
        <f aca="false">IF($Q291="✓","✓",IF(ISNUMBER($Q291),TEXT($Q291,"yyyy-mm-dd"),IF($A291="","",IF(SUMPRODUCT(('Agences &amp; Après-vente'!$A$2:$A$1000=$A291)*(('Agences &amp; Après-vente'!$D$2:$D$1000="Agences")+('Agences &amp; Après-vente'!$D$2:$D$1000="Agences et Après-vente"))*('Agences &amp; Après-vente'!$I$2:$I$1000="DONE"))&gt;0,"✓",IF(SUMPRODUCT(MAX(('Agences &amp; Après-vente'!$A$2:$A$1000=$A291)*(('Agences &amp; Après-vente'!$D$2:$D$1000="Agences")+('Agences &amp; Après-vente'!$D$2:$D$1000="Agences et Après-vente"))*'Agences &amp; Après-vente'!$E$2:$E$1000))&gt;0,TEXT(SUMPRODUCT(MAX(('Agences &amp; Après-vente'!$A$2:$A$1000=$A291)*(('Agences &amp; Après-vente'!$D$2:$D$1000="Agences")+('Agences &amp; Après-vente'!$D$2:$D$1000="Agences et Après-vente"))*'Agences &amp; Après-vente'!$E$2:$E$1000)),"yyyy-mm-dd"),"")))))</f>
        <v/>
      </c>
      <c r="H291" s="131" t="str">
        <f aca="false">IF($R291="✓","✓",IF(ISNUMBER($R291),TEXT($R291,"yyyy-mm-dd"),IF($A291="","",IF($D291="Lisbonne","",IF(SUMPRODUCT(('Agences &amp; Après-vente'!$A$2:$A$1000=$A291)*(('Agences &amp; Après-vente'!$D$2:$D$1000="Agences")+('Agences &amp; Après-vente'!$D$2:$D$1000="Agences et Après-vente"))*('Agences &amp; Après-vente'!$I$2:$I$1000="DONE"))&gt;0,"✓",IF(SUMPRODUCT(MAX(('Agences &amp; Après-vente'!$A$2:$A$1000=$A291)*(('Agences &amp; Après-vente'!$D$2:$D$1000="Agences")+('Agences &amp; Après-vente'!$D$2:$D$1000="Agences et Après-vente"))*'Agences &amp; Après-vente'!$E$2:$E$1000))&gt;0,TEXT(SUMPRODUCT(MAX(('Agences &amp; Après-vente'!$A$2:$A$1000=$A291)*(('Agences &amp; Après-vente'!$D$2:$D$1000="Agences")+('Agences &amp; Après-vente'!$D$2:$D$1000="Agences et Après-vente"))*'Agences &amp; Après-vente'!$E$2:$E$1000)),"yyyy-mm-dd"),""))))))</f>
        <v/>
      </c>
      <c r="I291" s="131" t="str">
        <f aca="false">IF($S291="✓","✓",IF(ISNUMBER($S291),TEXT($S291,"yyyy-mm-dd"),IF($A291="","",IF(SUMPRODUCT(('Agences &amp; Après-vente'!$A$2:$A$1000=$A291)*(('Agences &amp; Après-vente'!$D$2:$D$1000="Après-vente")+('Agences &amp; Après-vente'!$D$2:$D$1000="Agences et Après-vente"))*('Agences &amp; Après-vente'!$I$2:$I$1000="DONE"))&gt;0,"✓",IF(SUMPRODUCT(MAX(('Agences &amp; Après-vente'!$A$2:$A$1000=$A291)*(('Agences &amp; Après-vente'!$D$2:$D$1000="Après-vente")+('Agences &amp; Après-vente'!$D$2:$D$1000="Agences et Après-vente"))*'Agences &amp; Après-vente'!$E$2:$E$1000))&gt;0,TEXT(SUMPRODUCT(MAX(('Agences &amp; Après-vente'!$A$2:$A$1000=$A291)*(('Agences &amp; Après-vente'!$D$2:$D$1000="Après-vente")+('Agences &amp; Après-vente'!$D$2:$D$1000="Agences et Après-vente"))*'Agences &amp; Après-vente'!$E$2:$E$1000)),"yyyy-mm-dd"),"")))))</f>
        <v/>
      </c>
      <c r="J291" s="131" t="str">
        <f aca="false">IF($T291="✓","✓",IF(ISNUMBER($T291),TEXT($T291,"yyyy-mm-dd"),IF($A291="","",IF($D291="Lisbonne","",IF(SUMPRODUCT(('Agences &amp; Après-vente'!$A$2:$A$1000=$A291)*(('Agences &amp; Après-vente'!$D$2:$D$1000="Après-vente")+('Agences &amp; Après-vente'!$D$2:$D$1000="Agences et Après-vente"))*('Agences &amp; Après-vente'!$I$2:$I$1000="DONE"))&gt;0,"✓",IF(SUMPRODUCT(MAX(('Agences &amp; Après-vente'!$A$2:$A$1000=$A291)*(('Agences &amp; Après-vente'!$D$2:$D$1000="Après-vente")+('Agences &amp; Après-vente'!$D$2:$D$1000="Agences et Après-vente"))*'Agences &amp; Après-vente'!$E$2:$E$1000))&gt;0,TEXT(SUMPRODUCT(MAX(('Agences &amp; Après-vente'!$A$2:$A$1000=$A291)*(('Agences &amp; Après-vente'!$D$2:$D$1000="Après-vente")+('Agences &amp; Après-vente'!$D$2:$D$1000="Agences et Après-vente"))*'Agences &amp; Après-vente'!$E$2:$E$1000)),"yyyy-mm-dd"),""))))))</f>
        <v/>
      </c>
      <c r="K291" s="131" t="str">
        <f aca="false">IF($U291="✓","✓",IF(ISNUMBER($U291),TEXT($U291,"yyyy-mm-dd"),IF($D291="Lisbonne","",IF($A291="","",IF(SUMPRODUCT((Evermont!$A$2:$A$1000=$A291)*(Evermont!$Q$2:$Q$1000="Terminé"))&gt;0,"✓",IF(SUMPRODUCT(MAX((Evermont!$A$2:$A$1000=$A291)*Evermont!$F$2:$F$1000))&gt;0,TEXT(SUMPRODUCT(MAX((Evermont!$A$2:$A$1000=$A291)*Evermont!$F$2:$F$1000)),"yyyy-mm-dd"),""))))))</f>
        <v/>
      </c>
      <c r="L291" s="131" t="str">
        <f aca="false">IF($A291="","",COUNTIF(E291:K291,"✓"))</f>
        <v/>
      </c>
      <c r="M291" s="131" t="str">
        <f aca="false">IF(B291="","","Active")</f>
        <v/>
      </c>
      <c r="W291" s="120" t="str">
        <f aca="false">IF($A291="","",IF($X291&lt;&gt;"",$X291,IFERROR(INDEX('Formation Initiale'!$B$2:$B$999,MATCH($A291,'Formation Initiale'!$A$2:$A$999,0)),"Général")))</f>
        <v/>
      </c>
    </row>
    <row r="292" customFormat="false" ht="15" hidden="true" customHeight="true" outlineLevel="0" collapsed="false">
      <c r="A292" s="142" t="str">
        <f aca="false">IF(B292="","","TR"&amp;TEXT(ROW()-1,"000"))</f>
        <v/>
      </c>
      <c r="E292" s="130" t="str">
        <f aca="false">IF($O292="✓","✓",IF(ISNUMBER($O292),TEXT($O292,"yyyy-mm-dd"),IF($A292="","",IF(SUMPRODUCT(('Formation Initiale'!$A$2:$A$999=$A292)*('Formation Initiale'!$R$2:$R$999="Terminé"))&gt;0,"✓",IF(SUMPRODUCT(MAX(('Formation Initiale'!$A$2:$A$999=$A292)*'Formation Initiale'!$G$2:$G$999))&gt;0,TEXT(SUMPRODUCT(MAX(('Formation Initiale'!$A$2:$A$999=$A292)*'Formation Initiale'!$G$2:$G$999)),"yyyy-mm-dd"),"")))))</f>
        <v/>
      </c>
      <c r="F292" s="131" t="str">
        <f aca="false">IF($P292="✓","✓",IF(ISNUMBER($P292),TEXT($P292,"yyyy-mm-dd"),IF($A292="","",IF($D292="Lisbonne","",IF(SUMPRODUCT(('Formation Initiale'!$A$2:$A$999=$A292)*('Formation Initiale'!$R$2:$R$999="Terminé"))&gt;0,"✓",IF(SUMPRODUCT(MAX(('Formation Initiale'!$A$2:$A$999=$A292)*'Formation Initiale'!$G$2:$G$999))&gt;0,TEXT(SUMPRODUCT(MAX(('Formation Initiale'!$A$2:$A$999=$A292)*'Formation Initiale'!$G$2:$G$999)),"yyyy-mm-dd"),""))))))</f>
        <v/>
      </c>
      <c r="G292" s="131" t="str">
        <f aca="false">IF($Q292="✓","✓",IF(ISNUMBER($Q292),TEXT($Q292,"yyyy-mm-dd"),IF($A292="","",IF(SUMPRODUCT(('Agences &amp; Après-vente'!$A$2:$A$1000=$A292)*(('Agences &amp; Après-vente'!$D$2:$D$1000="Agences")+('Agences &amp; Après-vente'!$D$2:$D$1000="Agences et Après-vente"))*('Agences &amp; Après-vente'!$I$2:$I$1000="DONE"))&gt;0,"✓",IF(SUMPRODUCT(MAX(('Agences &amp; Après-vente'!$A$2:$A$1000=$A292)*(('Agences &amp; Après-vente'!$D$2:$D$1000="Agences")+('Agences &amp; Après-vente'!$D$2:$D$1000="Agences et Après-vente"))*'Agences &amp; Après-vente'!$E$2:$E$1000))&gt;0,TEXT(SUMPRODUCT(MAX(('Agences &amp; Après-vente'!$A$2:$A$1000=$A292)*(('Agences &amp; Après-vente'!$D$2:$D$1000="Agences")+('Agences &amp; Après-vente'!$D$2:$D$1000="Agences et Après-vente"))*'Agences &amp; Après-vente'!$E$2:$E$1000)),"yyyy-mm-dd"),"")))))</f>
        <v/>
      </c>
      <c r="H292" s="131" t="str">
        <f aca="false">IF($R292="✓","✓",IF(ISNUMBER($R292),TEXT($R292,"yyyy-mm-dd"),IF($A292="","",IF($D292="Lisbonne","",IF(SUMPRODUCT(('Agences &amp; Après-vente'!$A$2:$A$1000=$A292)*(('Agences &amp; Après-vente'!$D$2:$D$1000="Agences")+('Agences &amp; Après-vente'!$D$2:$D$1000="Agences et Après-vente"))*('Agences &amp; Après-vente'!$I$2:$I$1000="DONE"))&gt;0,"✓",IF(SUMPRODUCT(MAX(('Agences &amp; Après-vente'!$A$2:$A$1000=$A292)*(('Agences &amp; Après-vente'!$D$2:$D$1000="Agences")+('Agences &amp; Après-vente'!$D$2:$D$1000="Agences et Après-vente"))*'Agences &amp; Après-vente'!$E$2:$E$1000))&gt;0,TEXT(SUMPRODUCT(MAX(('Agences &amp; Après-vente'!$A$2:$A$1000=$A292)*(('Agences &amp; Après-vente'!$D$2:$D$1000="Agences")+('Agences &amp; Après-vente'!$D$2:$D$1000="Agences et Après-vente"))*'Agences &amp; Après-vente'!$E$2:$E$1000)),"yyyy-mm-dd"),""))))))</f>
        <v/>
      </c>
      <c r="I292" s="131" t="str">
        <f aca="false">IF($S292="✓","✓",IF(ISNUMBER($S292),TEXT($S292,"yyyy-mm-dd"),IF($A292="","",IF(SUMPRODUCT(('Agences &amp; Après-vente'!$A$2:$A$1000=$A292)*(('Agences &amp; Après-vente'!$D$2:$D$1000="Après-vente")+('Agences &amp; Après-vente'!$D$2:$D$1000="Agences et Après-vente"))*('Agences &amp; Après-vente'!$I$2:$I$1000="DONE"))&gt;0,"✓",IF(SUMPRODUCT(MAX(('Agences &amp; Après-vente'!$A$2:$A$1000=$A292)*(('Agences &amp; Après-vente'!$D$2:$D$1000="Après-vente")+('Agences &amp; Après-vente'!$D$2:$D$1000="Agences et Après-vente"))*'Agences &amp; Après-vente'!$E$2:$E$1000))&gt;0,TEXT(SUMPRODUCT(MAX(('Agences &amp; Après-vente'!$A$2:$A$1000=$A292)*(('Agences &amp; Après-vente'!$D$2:$D$1000="Après-vente")+('Agences &amp; Après-vente'!$D$2:$D$1000="Agences et Après-vente"))*'Agences &amp; Après-vente'!$E$2:$E$1000)),"yyyy-mm-dd"),"")))))</f>
        <v/>
      </c>
      <c r="J292" s="131" t="str">
        <f aca="false">IF($T292="✓","✓",IF(ISNUMBER($T292),TEXT($T292,"yyyy-mm-dd"),IF($A292="","",IF($D292="Lisbonne","",IF(SUMPRODUCT(('Agences &amp; Après-vente'!$A$2:$A$1000=$A292)*(('Agences &amp; Après-vente'!$D$2:$D$1000="Après-vente")+('Agences &amp; Après-vente'!$D$2:$D$1000="Agences et Après-vente"))*('Agences &amp; Après-vente'!$I$2:$I$1000="DONE"))&gt;0,"✓",IF(SUMPRODUCT(MAX(('Agences &amp; Après-vente'!$A$2:$A$1000=$A292)*(('Agences &amp; Après-vente'!$D$2:$D$1000="Après-vente")+('Agences &amp; Après-vente'!$D$2:$D$1000="Agences et Après-vente"))*'Agences &amp; Après-vente'!$E$2:$E$1000))&gt;0,TEXT(SUMPRODUCT(MAX(('Agences &amp; Après-vente'!$A$2:$A$1000=$A292)*(('Agences &amp; Après-vente'!$D$2:$D$1000="Après-vente")+('Agences &amp; Après-vente'!$D$2:$D$1000="Agences et Après-vente"))*'Agences &amp; Après-vente'!$E$2:$E$1000)),"yyyy-mm-dd"),""))))))</f>
        <v/>
      </c>
      <c r="K292" s="131" t="str">
        <f aca="false">IF($U292="✓","✓",IF(ISNUMBER($U292),TEXT($U292,"yyyy-mm-dd"),IF($D292="Lisbonne","",IF($A292="","",IF(SUMPRODUCT((Evermont!$A$2:$A$1000=$A292)*(Evermont!$Q$2:$Q$1000="Terminé"))&gt;0,"✓",IF(SUMPRODUCT(MAX((Evermont!$A$2:$A$1000=$A292)*Evermont!$F$2:$F$1000))&gt;0,TEXT(SUMPRODUCT(MAX((Evermont!$A$2:$A$1000=$A292)*Evermont!$F$2:$F$1000)),"yyyy-mm-dd"),""))))))</f>
        <v/>
      </c>
      <c r="L292" s="131" t="str">
        <f aca="false">IF($A292="","",COUNTIF(E292:K292,"✓"))</f>
        <v/>
      </c>
      <c r="M292" s="131" t="str">
        <f aca="false">IF(B292="","","Active")</f>
        <v/>
      </c>
      <c r="W292" s="120" t="str">
        <f aca="false">IF($A292="","",IF($X292&lt;&gt;"",$X292,IFERROR(INDEX('Formation Initiale'!$B$2:$B$999,MATCH($A292,'Formation Initiale'!$A$2:$A$999,0)),"Général")))</f>
        <v/>
      </c>
    </row>
    <row r="293" customFormat="false" ht="15" hidden="true" customHeight="true" outlineLevel="0" collapsed="false">
      <c r="A293" s="142" t="str">
        <f aca="false">IF(B293="","","TR"&amp;TEXT(ROW()-1,"000"))</f>
        <v/>
      </c>
      <c r="E293" s="130" t="str">
        <f aca="false">IF($O293="✓","✓",IF(ISNUMBER($O293),TEXT($O293,"yyyy-mm-dd"),IF($A293="","",IF(SUMPRODUCT(('Formation Initiale'!$A$2:$A$999=$A293)*('Formation Initiale'!$R$2:$R$999="Terminé"))&gt;0,"✓",IF(SUMPRODUCT(MAX(('Formation Initiale'!$A$2:$A$999=$A293)*'Formation Initiale'!$G$2:$G$999))&gt;0,TEXT(SUMPRODUCT(MAX(('Formation Initiale'!$A$2:$A$999=$A293)*'Formation Initiale'!$G$2:$G$999)),"yyyy-mm-dd"),"")))))</f>
        <v/>
      </c>
      <c r="F293" s="131" t="str">
        <f aca="false">IF($P293="✓","✓",IF(ISNUMBER($P293),TEXT($P293,"yyyy-mm-dd"),IF($A293="","",IF($D293="Lisbonne","",IF(SUMPRODUCT(('Formation Initiale'!$A$2:$A$999=$A293)*('Formation Initiale'!$R$2:$R$999="Terminé"))&gt;0,"✓",IF(SUMPRODUCT(MAX(('Formation Initiale'!$A$2:$A$999=$A293)*'Formation Initiale'!$G$2:$G$999))&gt;0,TEXT(SUMPRODUCT(MAX(('Formation Initiale'!$A$2:$A$999=$A293)*'Formation Initiale'!$G$2:$G$999)),"yyyy-mm-dd"),""))))))</f>
        <v/>
      </c>
      <c r="G293" s="131" t="str">
        <f aca="false">IF($Q293="✓","✓",IF(ISNUMBER($Q293),TEXT($Q293,"yyyy-mm-dd"),IF($A293="","",IF(SUMPRODUCT(('Agences &amp; Après-vente'!$A$2:$A$1000=$A293)*(('Agences &amp; Après-vente'!$D$2:$D$1000="Agences")+('Agences &amp; Après-vente'!$D$2:$D$1000="Agences et Après-vente"))*('Agences &amp; Après-vente'!$I$2:$I$1000="DONE"))&gt;0,"✓",IF(SUMPRODUCT(MAX(('Agences &amp; Après-vente'!$A$2:$A$1000=$A293)*(('Agences &amp; Après-vente'!$D$2:$D$1000="Agences")+('Agences &amp; Après-vente'!$D$2:$D$1000="Agences et Après-vente"))*'Agences &amp; Après-vente'!$E$2:$E$1000))&gt;0,TEXT(SUMPRODUCT(MAX(('Agences &amp; Après-vente'!$A$2:$A$1000=$A293)*(('Agences &amp; Après-vente'!$D$2:$D$1000="Agences")+('Agences &amp; Après-vente'!$D$2:$D$1000="Agences et Après-vente"))*'Agences &amp; Après-vente'!$E$2:$E$1000)),"yyyy-mm-dd"),"")))))</f>
        <v/>
      </c>
      <c r="H293" s="131" t="str">
        <f aca="false">IF($R293="✓","✓",IF(ISNUMBER($R293),TEXT($R293,"yyyy-mm-dd"),IF($A293="","",IF($D293="Lisbonne","",IF(SUMPRODUCT(('Agences &amp; Après-vente'!$A$2:$A$1000=$A293)*(('Agences &amp; Après-vente'!$D$2:$D$1000="Agences")+('Agences &amp; Après-vente'!$D$2:$D$1000="Agences et Après-vente"))*('Agences &amp; Après-vente'!$I$2:$I$1000="DONE"))&gt;0,"✓",IF(SUMPRODUCT(MAX(('Agences &amp; Après-vente'!$A$2:$A$1000=$A293)*(('Agences &amp; Après-vente'!$D$2:$D$1000="Agences")+('Agences &amp; Après-vente'!$D$2:$D$1000="Agences et Après-vente"))*'Agences &amp; Après-vente'!$E$2:$E$1000))&gt;0,TEXT(SUMPRODUCT(MAX(('Agences &amp; Après-vente'!$A$2:$A$1000=$A293)*(('Agences &amp; Après-vente'!$D$2:$D$1000="Agences")+('Agences &amp; Après-vente'!$D$2:$D$1000="Agences et Après-vente"))*'Agences &amp; Après-vente'!$E$2:$E$1000)),"yyyy-mm-dd"),""))))))</f>
        <v/>
      </c>
      <c r="I293" s="131" t="str">
        <f aca="false">IF($S293="✓","✓",IF(ISNUMBER($S293),TEXT($S293,"yyyy-mm-dd"),IF($A293="","",IF(SUMPRODUCT(('Agences &amp; Après-vente'!$A$2:$A$1000=$A293)*(('Agences &amp; Après-vente'!$D$2:$D$1000="Après-vente")+('Agences &amp; Après-vente'!$D$2:$D$1000="Agences et Après-vente"))*('Agences &amp; Après-vente'!$I$2:$I$1000="DONE"))&gt;0,"✓",IF(SUMPRODUCT(MAX(('Agences &amp; Après-vente'!$A$2:$A$1000=$A293)*(('Agences &amp; Après-vente'!$D$2:$D$1000="Après-vente")+('Agences &amp; Après-vente'!$D$2:$D$1000="Agences et Après-vente"))*'Agences &amp; Après-vente'!$E$2:$E$1000))&gt;0,TEXT(SUMPRODUCT(MAX(('Agences &amp; Après-vente'!$A$2:$A$1000=$A293)*(('Agences &amp; Après-vente'!$D$2:$D$1000="Après-vente")+('Agences &amp; Après-vente'!$D$2:$D$1000="Agences et Après-vente"))*'Agences &amp; Après-vente'!$E$2:$E$1000)),"yyyy-mm-dd"),"")))))</f>
        <v/>
      </c>
      <c r="J293" s="131" t="str">
        <f aca="false">IF($T293="✓","✓",IF(ISNUMBER($T293),TEXT($T293,"yyyy-mm-dd"),IF($A293="","",IF($D293="Lisbonne","",IF(SUMPRODUCT(('Agences &amp; Après-vente'!$A$2:$A$1000=$A293)*(('Agences &amp; Après-vente'!$D$2:$D$1000="Après-vente")+('Agences &amp; Après-vente'!$D$2:$D$1000="Agences et Après-vente"))*('Agences &amp; Après-vente'!$I$2:$I$1000="DONE"))&gt;0,"✓",IF(SUMPRODUCT(MAX(('Agences &amp; Après-vente'!$A$2:$A$1000=$A293)*(('Agences &amp; Après-vente'!$D$2:$D$1000="Après-vente")+('Agences &amp; Après-vente'!$D$2:$D$1000="Agences et Après-vente"))*'Agences &amp; Après-vente'!$E$2:$E$1000))&gt;0,TEXT(SUMPRODUCT(MAX(('Agences &amp; Après-vente'!$A$2:$A$1000=$A293)*(('Agences &amp; Après-vente'!$D$2:$D$1000="Après-vente")+('Agences &amp; Après-vente'!$D$2:$D$1000="Agences et Après-vente"))*'Agences &amp; Après-vente'!$E$2:$E$1000)),"yyyy-mm-dd"),""))))))</f>
        <v/>
      </c>
      <c r="K293" s="131" t="str">
        <f aca="false">IF($U293="✓","✓",IF(ISNUMBER($U293),TEXT($U293,"yyyy-mm-dd"),IF($D293="Lisbonne","",IF($A293="","",IF(SUMPRODUCT((Evermont!$A$2:$A$1000=$A293)*(Evermont!$Q$2:$Q$1000="Terminé"))&gt;0,"✓",IF(SUMPRODUCT(MAX((Evermont!$A$2:$A$1000=$A293)*Evermont!$F$2:$F$1000))&gt;0,TEXT(SUMPRODUCT(MAX((Evermont!$A$2:$A$1000=$A293)*Evermont!$F$2:$F$1000)),"yyyy-mm-dd"),""))))))</f>
        <v/>
      </c>
      <c r="L293" s="131" t="str">
        <f aca="false">IF($A293="","",COUNTIF(E293:K293,"✓"))</f>
        <v/>
      </c>
      <c r="M293" s="131" t="str">
        <f aca="false">IF(B293="","","Active")</f>
        <v/>
      </c>
      <c r="W293" s="120" t="str">
        <f aca="false">IF($A293="","",IF($X293&lt;&gt;"",$X293,IFERROR(INDEX('Formation Initiale'!$B$2:$B$999,MATCH($A293,'Formation Initiale'!$A$2:$A$999,0)),"Général")))</f>
        <v/>
      </c>
    </row>
    <row r="294" customFormat="false" ht="15" hidden="true" customHeight="true" outlineLevel="0" collapsed="false">
      <c r="A294" s="142" t="str">
        <f aca="false">IF(B294="","","TR"&amp;TEXT(ROW()-1,"000"))</f>
        <v/>
      </c>
      <c r="E294" s="130" t="str">
        <f aca="false">IF($O294="✓","✓",IF(ISNUMBER($O294),TEXT($O294,"yyyy-mm-dd"),IF($A294="","",IF(SUMPRODUCT(('Formation Initiale'!$A$2:$A$999=$A294)*('Formation Initiale'!$R$2:$R$999="Terminé"))&gt;0,"✓",IF(SUMPRODUCT(MAX(('Formation Initiale'!$A$2:$A$999=$A294)*'Formation Initiale'!$G$2:$G$999))&gt;0,TEXT(SUMPRODUCT(MAX(('Formation Initiale'!$A$2:$A$999=$A294)*'Formation Initiale'!$G$2:$G$999)),"yyyy-mm-dd"),"")))))</f>
        <v/>
      </c>
      <c r="F294" s="131" t="str">
        <f aca="false">IF($P294="✓","✓",IF(ISNUMBER($P294),TEXT($P294,"yyyy-mm-dd"),IF($A294="","",IF($D294="Lisbonne","",IF(SUMPRODUCT(('Formation Initiale'!$A$2:$A$999=$A294)*('Formation Initiale'!$R$2:$R$999="Terminé"))&gt;0,"✓",IF(SUMPRODUCT(MAX(('Formation Initiale'!$A$2:$A$999=$A294)*'Formation Initiale'!$G$2:$G$999))&gt;0,TEXT(SUMPRODUCT(MAX(('Formation Initiale'!$A$2:$A$999=$A294)*'Formation Initiale'!$G$2:$G$999)),"yyyy-mm-dd"),""))))))</f>
        <v/>
      </c>
      <c r="G294" s="131" t="str">
        <f aca="false">IF($Q294="✓","✓",IF(ISNUMBER($Q294),TEXT($Q294,"yyyy-mm-dd"),IF($A294="","",IF(SUMPRODUCT(('Agences &amp; Après-vente'!$A$2:$A$1000=$A294)*(('Agences &amp; Après-vente'!$D$2:$D$1000="Agences")+('Agences &amp; Après-vente'!$D$2:$D$1000="Agences et Après-vente"))*('Agences &amp; Après-vente'!$I$2:$I$1000="DONE"))&gt;0,"✓",IF(SUMPRODUCT(MAX(('Agences &amp; Après-vente'!$A$2:$A$1000=$A294)*(('Agences &amp; Après-vente'!$D$2:$D$1000="Agences")+('Agences &amp; Après-vente'!$D$2:$D$1000="Agences et Après-vente"))*'Agences &amp; Après-vente'!$E$2:$E$1000))&gt;0,TEXT(SUMPRODUCT(MAX(('Agences &amp; Après-vente'!$A$2:$A$1000=$A294)*(('Agences &amp; Après-vente'!$D$2:$D$1000="Agences")+('Agences &amp; Après-vente'!$D$2:$D$1000="Agences et Après-vente"))*'Agences &amp; Après-vente'!$E$2:$E$1000)),"yyyy-mm-dd"),"")))))</f>
        <v/>
      </c>
      <c r="H294" s="131" t="str">
        <f aca="false">IF($R294="✓","✓",IF(ISNUMBER($R294),TEXT($R294,"yyyy-mm-dd"),IF($A294="","",IF($D294="Lisbonne","",IF(SUMPRODUCT(('Agences &amp; Après-vente'!$A$2:$A$1000=$A294)*(('Agences &amp; Après-vente'!$D$2:$D$1000="Agences")+('Agences &amp; Après-vente'!$D$2:$D$1000="Agences et Après-vente"))*('Agences &amp; Après-vente'!$I$2:$I$1000="DONE"))&gt;0,"✓",IF(SUMPRODUCT(MAX(('Agences &amp; Après-vente'!$A$2:$A$1000=$A294)*(('Agences &amp; Après-vente'!$D$2:$D$1000="Agences")+('Agences &amp; Après-vente'!$D$2:$D$1000="Agences et Après-vente"))*'Agences &amp; Après-vente'!$E$2:$E$1000))&gt;0,TEXT(SUMPRODUCT(MAX(('Agences &amp; Après-vente'!$A$2:$A$1000=$A294)*(('Agences &amp; Après-vente'!$D$2:$D$1000="Agences")+('Agences &amp; Après-vente'!$D$2:$D$1000="Agences et Après-vente"))*'Agences &amp; Après-vente'!$E$2:$E$1000)),"yyyy-mm-dd"),""))))))</f>
        <v/>
      </c>
      <c r="I294" s="131" t="str">
        <f aca="false">IF($S294="✓","✓",IF(ISNUMBER($S294),TEXT($S294,"yyyy-mm-dd"),IF($A294="","",IF(SUMPRODUCT(('Agences &amp; Après-vente'!$A$2:$A$1000=$A294)*(('Agences &amp; Après-vente'!$D$2:$D$1000="Après-vente")+('Agences &amp; Après-vente'!$D$2:$D$1000="Agences et Après-vente"))*('Agences &amp; Après-vente'!$I$2:$I$1000="DONE"))&gt;0,"✓",IF(SUMPRODUCT(MAX(('Agences &amp; Après-vente'!$A$2:$A$1000=$A294)*(('Agences &amp; Après-vente'!$D$2:$D$1000="Après-vente")+('Agences &amp; Après-vente'!$D$2:$D$1000="Agences et Après-vente"))*'Agences &amp; Après-vente'!$E$2:$E$1000))&gt;0,TEXT(SUMPRODUCT(MAX(('Agences &amp; Après-vente'!$A$2:$A$1000=$A294)*(('Agences &amp; Après-vente'!$D$2:$D$1000="Après-vente")+('Agences &amp; Après-vente'!$D$2:$D$1000="Agences et Après-vente"))*'Agences &amp; Après-vente'!$E$2:$E$1000)),"yyyy-mm-dd"),"")))))</f>
        <v/>
      </c>
      <c r="J294" s="131" t="str">
        <f aca="false">IF($T294="✓","✓",IF(ISNUMBER($T294),TEXT($T294,"yyyy-mm-dd"),IF($A294="","",IF($D294="Lisbonne","",IF(SUMPRODUCT(('Agences &amp; Après-vente'!$A$2:$A$1000=$A294)*(('Agences &amp; Après-vente'!$D$2:$D$1000="Après-vente")+('Agences &amp; Après-vente'!$D$2:$D$1000="Agences et Après-vente"))*('Agences &amp; Après-vente'!$I$2:$I$1000="DONE"))&gt;0,"✓",IF(SUMPRODUCT(MAX(('Agences &amp; Après-vente'!$A$2:$A$1000=$A294)*(('Agences &amp; Après-vente'!$D$2:$D$1000="Après-vente")+('Agences &amp; Après-vente'!$D$2:$D$1000="Agences et Après-vente"))*'Agences &amp; Après-vente'!$E$2:$E$1000))&gt;0,TEXT(SUMPRODUCT(MAX(('Agences &amp; Après-vente'!$A$2:$A$1000=$A294)*(('Agences &amp; Après-vente'!$D$2:$D$1000="Après-vente")+('Agences &amp; Après-vente'!$D$2:$D$1000="Agences et Après-vente"))*'Agences &amp; Après-vente'!$E$2:$E$1000)),"yyyy-mm-dd"),""))))))</f>
        <v/>
      </c>
      <c r="K294" s="131" t="str">
        <f aca="false">IF($U294="✓","✓",IF(ISNUMBER($U294),TEXT($U294,"yyyy-mm-dd"),IF($D294="Lisbonne","",IF($A294="","",IF(SUMPRODUCT((Evermont!$A$2:$A$1000=$A294)*(Evermont!$Q$2:$Q$1000="Terminé"))&gt;0,"✓",IF(SUMPRODUCT(MAX((Evermont!$A$2:$A$1000=$A294)*Evermont!$F$2:$F$1000))&gt;0,TEXT(SUMPRODUCT(MAX((Evermont!$A$2:$A$1000=$A294)*Evermont!$F$2:$F$1000)),"yyyy-mm-dd"),""))))))</f>
        <v/>
      </c>
      <c r="L294" s="131" t="str">
        <f aca="false">IF($A294="","",COUNTIF(E294:K294,"✓"))</f>
        <v/>
      </c>
      <c r="M294" s="131" t="str">
        <f aca="false">IF(B294="","","Active")</f>
        <v/>
      </c>
      <c r="W294" s="120" t="str">
        <f aca="false">IF($A294="","",IF($X294&lt;&gt;"",$X294,IFERROR(INDEX('Formation Initiale'!$B$2:$B$999,MATCH($A294,'Formation Initiale'!$A$2:$A$999,0)),"Général")))</f>
        <v/>
      </c>
    </row>
    <row r="295" customFormat="false" ht="15" hidden="true" customHeight="true" outlineLevel="0" collapsed="false">
      <c r="A295" s="142" t="str">
        <f aca="false">IF(B295="","","TR"&amp;TEXT(ROW()-1,"000"))</f>
        <v/>
      </c>
      <c r="E295" s="130" t="str">
        <f aca="false">IF($O295="✓","✓",IF(ISNUMBER($O295),TEXT($O295,"yyyy-mm-dd"),IF($A295="","",IF(SUMPRODUCT(('Formation Initiale'!$A$2:$A$999=$A295)*('Formation Initiale'!$R$2:$R$999="Terminé"))&gt;0,"✓",IF(SUMPRODUCT(MAX(('Formation Initiale'!$A$2:$A$999=$A295)*'Formation Initiale'!$G$2:$G$999))&gt;0,TEXT(SUMPRODUCT(MAX(('Formation Initiale'!$A$2:$A$999=$A295)*'Formation Initiale'!$G$2:$G$999)),"yyyy-mm-dd"),"")))))</f>
        <v/>
      </c>
      <c r="F295" s="131" t="str">
        <f aca="false">IF($P295="✓","✓",IF(ISNUMBER($P295),TEXT($P295,"yyyy-mm-dd"),IF($A295="","",IF($D295="Lisbonne","",IF(SUMPRODUCT(('Formation Initiale'!$A$2:$A$999=$A295)*('Formation Initiale'!$R$2:$R$999="Terminé"))&gt;0,"✓",IF(SUMPRODUCT(MAX(('Formation Initiale'!$A$2:$A$999=$A295)*'Formation Initiale'!$G$2:$G$999))&gt;0,TEXT(SUMPRODUCT(MAX(('Formation Initiale'!$A$2:$A$999=$A295)*'Formation Initiale'!$G$2:$G$999)),"yyyy-mm-dd"),""))))))</f>
        <v/>
      </c>
      <c r="G295" s="131" t="str">
        <f aca="false">IF($Q295="✓","✓",IF(ISNUMBER($Q295),TEXT($Q295,"yyyy-mm-dd"),IF($A295="","",IF(SUMPRODUCT(('Agences &amp; Après-vente'!$A$2:$A$1000=$A295)*(('Agences &amp; Après-vente'!$D$2:$D$1000="Agences")+('Agences &amp; Après-vente'!$D$2:$D$1000="Agences et Après-vente"))*('Agences &amp; Après-vente'!$I$2:$I$1000="DONE"))&gt;0,"✓",IF(SUMPRODUCT(MAX(('Agences &amp; Après-vente'!$A$2:$A$1000=$A295)*(('Agences &amp; Après-vente'!$D$2:$D$1000="Agences")+('Agences &amp; Après-vente'!$D$2:$D$1000="Agences et Après-vente"))*'Agences &amp; Après-vente'!$E$2:$E$1000))&gt;0,TEXT(SUMPRODUCT(MAX(('Agences &amp; Après-vente'!$A$2:$A$1000=$A295)*(('Agences &amp; Après-vente'!$D$2:$D$1000="Agences")+('Agences &amp; Après-vente'!$D$2:$D$1000="Agences et Après-vente"))*'Agences &amp; Après-vente'!$E$2:$E$1000)),"yyyy-mm-dd"),"")))))</f>
        <v/>
      </c>
      <c r="H295" s="131" t="str">
        <f aca="false">IF($R295="✓","✓",IF(ISNUMBER($R295),TEXT($R295,"yyyy-mm-dd"),IF($A295="","",IF($D295="Lisbonne","",IF(SUMPRODUCT(('Agences &amp; Après-vente'!$A$2:$A$1000=$A295)*(('Agences &amp; Après-vente'!$D$2:$D$1000="Agences")+('Agences &amp; Après-vente'!$D$2:$D$1000="Agences et Après-vente"))*('Agences &amp; Après-vente'!$I$2:$I$1000="DONE"))&gt;0,"✓",IF(SUMPRODUCT(MAX(('Agences &amp; Après-vente'!$A$2:$A$1000=$A295)*(('Agences &amp; Après-vente'!$D$2:$D$1000="Agences")+('Agences &amp; Après-vente'!$D$2:$D$1000="Agences et Après-vente"))*'Agences &amp; Après-vente'!$E$2:$E$1000))&gt;0,TEXT(SUMPRODUCT(MAX(('Agences &amp; Après-vente'!$A$2:$A$1000=$A295)*(('Agences &amp; Après-vente'!$D$2:$D$1000="Agences")+('Agences &amp; Après-vente'!$D$2:$D$1000="Agences et Après-vente"))*'Agences &amp; Après-vente'!$E$2:$E$1000)),"yyyy-mm-dd"),""))))))</f>
        <v/>
      </c>
      <c r="I295" s="131" t="str">
        <f aca="false">IF($S295="✓","✓",IF(ISNUMBER($S295),TEXT($S295,"yyyy-mm-dd"),IF($A295="","",IF(SUMPRODUCT(('Agences &amp; Après-vente'!$A$2:$A$1000=$A295)*(('Agences &amp; Après-vente'!$D$2:$D$1000="Après-vente")+('Agences &amp; Après-vente'!$D$2:$D$1000="Agences et Après-vente"))*('Agences &amp; Après-vente'!$I$2:$I$1000="DONE"))&gt;0,"✓",IF(SUMPRODUCT(MAX(('Agences &amp; Après-vente'!$A$2:$A$1000=$A295)*(('Agences &amp; Après-vente'!$D$2:$D$1000="Après-vente")+('Agences &amp; Après-vente'!$D$2:$D$1000="Agences et Après-vente"))*'Agences &amp; Après-vente'!$E$2:$E$1000))&gt;0,TEXT(SUMPRODUCT(MAX(('Agences &amp; Après-vente'!$A$2:$A$1000=$A295)*(('Agences &amp; Après-vente'!$D$2:$D$1000="Après-vente")+('Agences &amp; Après-vente'!$D$2:$D$1000="Agences et Après-vente"))*'Agences &amp; Après-vente'!$E$2:$E$1000)),"yyyy-mm-dd"),"")))))</f>
        <v/>
      </c>
      <c r="J295" s="131" t="str">
        <f aca="false">IF($T295="✓","✓",IF(ISNUMBER($T295),TEXT($T295,"yyyy-mm-dd"),IF($A295="","",IF($D295="Lisbonne","",IF(SUMPRODUCT(('Agences &amp; Après-vente'!$A$2:$A$1000=$A295)*(('Agences &amp; Après-vente'!$D$2:$D$1000="Après-vente")+('Agences &amp; Après-vente'!$D$2:$D$1000="Agences et Après-vente"))*('Agences &amp; Après-vente'!$I$2:$I$1000="DONE"))&gt;0,"✓",IF(SUMPRODUCT(MAX(('Agences &amp; Après-vente'!$A$2:$A$1000=$A295)*(('Agences &amp; Après-vente'!$D$2:$D$1000="Après-vente")+('Agences &amp; Après-vente'!$D$2:$D$1000="Agences et Après-vente"))*'Agences &amp; Après-vente'!$E$2:$E$1000))&gt;0,TEXT(SUMPRODUCT(MAX(('Agences &amp; Après-vente'!$A$2:$A$1000=$A295)*(('Agences &amp; Après-vente'!$D$2:$D$1000="Après-vente")+('Agences &amp; Après-vente'!$D$2:$D$1000="Agences et Après-vente"))*'Agences &amp; Après-vente'!$E$2:$E$1000)),"yyyy-mm-dd"),""))))))</f>
        <v/>
      </c>
      <c r="K295" s="131" t="str">
        <f aca="false">IF($U295="✓","✓",IF(ISNUMBER($U295),TEXT($U295,"yyyy-mm-dd"),IF($D295="Lisbonne","",IF($A295="","",IF(SUMPRODUCT((Evermont!$A$2:$A$1000=$A295)*(Evermont!$Q$2:$Q$1000="Terminé"))&gt;0,"✓",IF(SUMPRODUCT(MAX((Evermont!$A$2:$A$1000=$A295)*Evermont!$F$2:$F$1000))&gt;0,TEXT(SUMPRODUCT(MAX((Evermont!$A$2:$A$1000=$A295)*Evermont!$F$2:$F$1000)),"yyyy-mm-dd"),""))))))</f>
        <v/>
      </c>
      <c r="L295" s="131" t="str">
        <f aca="false">IF($A295="","",COUNTIF(E295:K295,"✓"))</f>
        <v/>
      </c>
      <c r="M295" s="131" t="str">
        <f aca="false">IF(B295="","","Active")</f>
        <v/>
      </c>
      <c r="W295" s="120" t="str">
        <f aca="false">IF($A295="","",IF($X295&lt;&gt;"",$X295,IFERROR(INDEX('Formation Initiale'!$B$2:$B$999,MATCH($A295,'Formation Initiale'!$A$2:$A$999,0)),"Général")))</f>
        <v/>
      </c>
    </row>
    <row r="296" customFormat="false" ht="15" hidden="true" customHeight="true" outlineLevel="0" collapsed="false">
      <c r="A296" s="142" t="str">
        <f aca="false">IF(B296="","","TR"&amp;TEXT(ROW()-1,"000"))</f>
        <v/>
      </c>
      <c r="E296" s="130" t="str">
        <f aca="false">IF($O296="✓","✓",IF(ISNUMBER($O296),TEXT($O296,"yyyy-mm-dd"),IF($A296="","",IF(SUMPRODUCT(('Formation Initiale'!$A$2:$A$999=$A296)*('Formation Initiale'!$R$2:$R$999="Terminé"))&gt;0,"✓",IF(SUMPRODUCT(MAX(('Formation Initiale'!$A$2:$A$999=$A296)*'Formation Initiale'!$G$2:$G$999))&gt;0,TEXT(SUMPRODUCT(MAX(('Formation Initiale'!$A$2:$A$999=$A296)*'Formation Initiale'!$G$2:$G$999)),"yyyy-mm-dd"),"")))))</f>
        <v/>
      </c>
      <c r="F296" s="131" t="str">
        <f aca="false">IF($P296="✓","✓",IF(ISNUMBER($P296),TEXT($P296,"yyyy-mm-dd"),IF($A296="","",IF($D296="Lisbonne","",IF(SUMPRODUCT(('Formation Initiale'!$A$2:$A$999=$A296)*('Formation Initiale'!$R$2:$R$999="Terminé"))&gt;0,"✓",IF(SUMPRODUCT(MAX(('Formation Initiale'!$A$2:$A$999=$A296)*'Formation Initiale'!$G$2:$G$999))&gt;0,TEXT(SUMPRODUCT(MAX(('Formation Initiale'!$A$2:$A$999=$A296)*'Formation Initiale'!$G$2:$G$999)),"yyyy-mm-dd"),""))))))</f>
        <v/>
      </c>
      <c r="G296" s="131" t="str">
        <f aca="false">IF($Q296="✓","✓",IF(ISNUMBER($Q296),TEXT($Q296,"yyyy-mm-dd"),IF($A296="","",IF(SUMPRODUCT(('Agences &amp; Après-vente'!$A$2:$A$1000=$A296)*(('Agences &amp; Après-vente'!$D$2:$D$1000="Agences")+('Agences &amp; Après-vente'!$D$2:$D$1000="Agences et Après-vente"))*('Agences &amp; Après-vente'!$I$2:$I$1000="DONE"))&gt;0,"✓",IF(SUMPRODUCT(MAX(('Agences &amp; Après-vente'!$A$2:$A$1000=$A296)*(('Agences &amp; Après-vente'!$D$2:$D$1000="Agences")+('Agences &amp; Après-vente'!$D$2:$D$1000="Agences et Après-vente"))*'Agences &amp; Après-vente'!$E$2:$E$1000))&gt;0,TEXT(SUMPRODUCT(MAX(('Agences &amp; Après-vente'!$A$2:$A$1000=$A296)*(('Agences &amp; Après-vente'!$D$2:$D$1000="Agences")+('Agences &amp; Après-vente'!$D$2:$D$1000="Agences et Après-vente"))*'Agences &amp; Après-vente'!$E$2:$E$1000)),"yyyy-mm-dd"),"")))))</f>
        <v/>
      </c>
      <c r="H296" s="131" t="str">
        <f aca="false">IF($R296="✓","✓",IF(ISNUMBER($R296),TEXT($R296,"yyyy-mm-dd"),IF($A296="","",IF($D296="Lisbonne","",IF(SUMPRODUCT(('Agences &amp; Après-vente'!$A$2:$A$1000=$A296)*(('Agences &amp; Après-vente'!$D$2:$D$1000="Agences")+('Agences &amp; Après-vente'!$D$2:$D$1000="Agences et Après-vente"))*('Agences &amp; Après-vente'!$I$2:$I$1000="DONE"))&gt;0,"✓",IF(SUMPRODUCT(MAX(('Agences &amp; Après-vente'!$A$2:$A$1000=$A296)*(('Agences &amp; Après-vente'!$D$2:$D$1000="Agences")+('Agences &amp; Après-vente'!$D$2:$D$1000="Agences et Après-vente"))*'Agences &amp; Après-vente'!$E$2:$E$1000))&gt;0,TEXT(SUMPRODUCT(MAX(('Agences &amp; Après-vente'!$A$2:$A$1000=$A296)*(('Agences &amp; Après-vente'!$D$2:$D$1000="Agences")+('Agences &amp; Après-vente'!$D$2:$D$1000="Agences et Après-vente"))*'Agences &amp; Après-vente'!$E$2:$E$1000)),"yyyy-mm-dd"),""))))))</f>
        <v/>
      </c>
      <c r="I296" s="131" t="str">
        <f aca="false">IF($S296="✓","✓",IF(ISNUMBER($S296),TEXT($S296,"yyyy-mm-dd"),IF($A296="","",IF(SUMPRODUCT(('Agences &amp; Après-vente'!$A$2:$A$1000=$A296)*(('Agences &amp; Après-vente'!$D$2:$D$1000="Après-vente")+('Agences &amp; Après-vente'!$D$2:$D$1000="Agences et Après-vente"))*('Agences &amp; Après-vente'!$I$2:$I$1000="DONE"))&gt;0,"✓",IF(SUMPRODUCT(MAX(('Agences &amp; Après-vente'!$A$2:$A$1000=$A296)*(('Agences &amp; Après-vente'!$D$2:$D$1000="Après-vente")+('Agences &amp; Après-vente'!$D$2:$D$1000="Agences et Après-vente"))*'Agences &amp; Après-vente'!$E$2:$E$1000))&gt;0,TEXT(SUMPRODUCT(MAX(('Agences &amp; Après-vente'!$A$2:$A$1000=$A296)*(('Agences &amp; Après-vente'!$D$2:$D$1000="Après-vente")+('Agences &amp; Après-vente'!$D$2:$D$1000="Agences et Après-vente"))*'Agences &amp; Après-vente'!$E$2:$E$1000)),"yyyy-mm-dd"),"")))))</f>
        <v/>
      </c>
      <c r="J296" s="131" t="str">
        <f aca="false">IF($T296="✓","✓",IF(ISNUMBER($T296),TEXT($T296,"yyyy-mm-dd"),IF($A296="","",IF($D296="Lisbonne","",IF(SUMPRODUCT(('Agences &amp; Après-vente'!$A$2:$A$1000=$A296)*(('Agences &amp; Après-vente'!$D$2:$D$1000="Après-vente")+('Agences &amp; Après-vente'!$D$2:$D$1000="Agences et Après-vente"))*('Agences &amp; Après-vente'!$I$2:$I$1000="DONE"))&gt;0,"✓",IF(SUMPRODUCT(MAX(('Agences &amp; Après-vente'!$A$2:$A$1000=$A296)*(('Agences &amp; Après-vente'!$D$2:$D$1000="Après-vente")+('Agences &amp; Après-vente'!$D$2:$D$1000="Agences et Après-vente"))*'Agences &amp; Après-vente'!$E$2:$E$1000))&gt;0,TEXT(SUMPRODUCT(MAX(('Agences &amp; Après-vente'!$A$2:$A$1000=$A296)*(('Agences &amp; Après-vente'!$D$2:$D$1000="Après-vente")+('Agences &amp; Après-vente'!$D$2:$D$1000="Agences et Après-vente"))*'Agences &amp; Après-vente'!$E$2:$E$1000)),"yyyy-mm-dd"),""))))))</f>
        <v/>
      </c>
      <c r="K296" s="131" t="str">
        <f aca="false">IF($U296="✓","✓",IF(ISNUMBER($U296),TEXT($U296,"yyyy-mm-dd"),IF($D296="Lisbonne","",IF($A296="","",IF(SUMPRODUCT((Evermont!$A$2:$A$1000=$A296)*(Evermont!$Q$2:$Q$1000="Terminé"))&gt;0,"✓",IF(SUMPRODUCT(MAX((Evermont!$A$2:$A$1000=$A296)*Evermont!$F$2:$F$1000))&gt;0,TEXT(SUMPRODUCT(MAX((Evermont!$A$2:$A$1000=$A296)*Evermont!$F$2:$F$1000)),"yyyy-mm-dd"),""))))))</f>
        <v/>
      </c>
      <c r="L296" s="131" t="str">
        <f aca="false">IF($A296="","",COUNTIF(E296:K296,"✓"))</f>
        <v/>
      </c>
      <c r="M296" s="131" t="str">
        <f aca="false">IF(B296="","","Active")</f>
        <v/>
      </c>
      <c r="W296" s="120" t="str">
        <f aca="false">IF($A296="","",IF($X296&lt;&gt;"",$X296,IFERROR(INDEX('Formation Initiale'!$B$2:$B$999,MATCH($A296,'Formation Initiale'!$A$2:$A$999,0)),"Général")))</f>
        <v/>
      </c>
    </row>
    <row r="297" customFormat="false" ht="15" hidden="true" customHeight="true" outlineLevel="0" collapsed="false">
      <c r="A297" s="142" t="str">
        <f aca="false">IF(B297="","","TR"&amp;TEXT(ROW()-1,"000"))</f>
        <v/>
      </c>
      <c r="E297" s="130" t="str">
        <f aca="false">IF($O297="✓","✓",IF(ISNUMBER($O297),TEXT($O297,"yyyy-mm-dd"),IF($A297="","",IF(SUMPRODUCT(('Formation Initiale'!$A$2:$A$999=$A297)*('Formation Initiale'!$R$2:$R$999="Terminé"))&gt;0,"✓",IF(SUMPRODUCT(MAX(('Formation Initiale'!$A$2:$A$999=$A297)*'Formation Initiale'!$G$2:$G$999))&gt;0,TEXT(SUMPRODUCT(MAX(('Formation Initiale'!$A$2:$A$999=$A297)*'Formation Initiale'!$G$2:$G$999)),"yyyy-mm-dd"),"")))))</f>
        <v/>
      </c>
      <c r="F297" s="131" t="str">
        <f aca="false">IF($P297="✓","✓",IF(ISNUMBER($P297),TEXT($P297,"yyyy-mm-dd"),IF($A297="","",IF($D297="Lisbonne","",IF(SUMPRODUCT(('Formation Initiale'!$A$2:$A$999=$A297)*('Formation Initiale'!$R$2:$R$999="Terminé"))&gt;0,"✓",IF(SUMPRODUCT(MAX(('Formation Initiale'!$A$2:$A$999=$A297)*'Formation Initiale'!$G$2:$G$999))&gt;0,TEXT(SUMPRODUCT(MAX(('Formation Initiale'!$A$2:$A$999=$A297)*'Formation Initiale'!$G$2:$G$999)),"yyyy-mm-dd"),""))))))</f>
        <v/>
      </c>
      <c r="G297" s="131" t="str">
        <f aca="false">IF($Q297="✓","✓",IF(ISNUMBER($Q297),TEXT($Q297,"yyyy-mm-dd"),IF($A297="","",IF(SUMPRODUCT(('Agences &amp; Après-vente'!$A$2:$A$1000=$A297)*(('Agences &amp; Après-vente'!$D$2:$D$1000="Agences")+('Agences &amp; Après-vente'!$D$2:$D$1000="Agences et Après-vente"))*('Agences &amp; Après-vente'!$I$2:$I$1000="DONE"))&gt;0,"✓",IF(SUMPRODUCT(MAX(('Agences &amp; Après-vente'!$A$2:$A$1000=$A297)*(('Agences &amp; Après-vente'!$D$2:$D$1000="Agences")+('Agences &amp; Après-vente'!$D$2:$D$1000="Agences et Après-vente"))*'Agences &amp; Après-vente'!$E$2:$E$1000))&gt;0,TEXT(SUMPRODUCT(MAX(('Agences &amp; Après-vente'!$A$2:$A$1000=$A297)*(('Agences &amp; Après-vente'!$D$2:$D$1000="Agences")+('Agences &amp; Après-vente'!$D$2:$D$1000="Agences et Après-vente"))*'Agences &amp; Après-vente'!$E$2:$E$1000)),"yyyy-mm-dd"),"")))))</f>
        <v/>
      </c>
      <c r="H297" s="131" t="str">
        <f aca="false">IF($R297="✓","✓",IF(ISNUMBER($R297),TEXT($R297,"yyyy-mm-dd"),IF($A297="","",IF($D297="Lisbonne","",IF(SUMPRODUCT(('Agences &amp; Après-vente'!$A$2:$A$1000=$A297)*(('Agences &amp; Après-vente'!$D$2:$D$1000="Agences")+('Agences &amp; Après-vente'!$D$2:$D$1000="Agences et Après-vente"))*('Agences &amp; Après-vente'!$I$2:$I$1000="DONE"))&gt;0,"✓",IF(SUMPRODUCT(MAX(('Agences &amp; Après-vente'!$A$2:$A$1000=$A297)*(('Agences &amp; Après-vente'!$D$2:$D$1000="Agences")+('Agences &amp; Après-vente'!$D$2:$D$1000="Agences et Après-vente"))*'Agences &amp; Après-vente'!$E$2:$E$1000))&gt;0,TEXT(SUMPRODUCT(MAX(('Agences &amp; Après-vente'!$A$2:$A$1000=$A297)*(('Agences &amp; Après-vente'!$D$2:$D$1000="Agences")+('Agences &amp; Après-vente'!$D$2:$D$1000="Agences et Après-vente"))*'Agences &amp; Après-vente'!$E$2:$E$1000)),"yyyy-mm-dd"),""))))))</f>
        <v/>
      </c>
      <c r="I297" s="131" t="str">
        <f aca="false">IF($S297="✓","✓",IF(ISNUMBER($S297),TEXT($S297,"yyyy-mm-dd"),IF($A297="","",IF(SUMPRODUCT(('Agences &amp; Après-vente'!$A$2:$A$1000=$A297)*(('Agences &amp; Après-vente'!$D$2:$D$1000="Après-vente")+('Agences &amp; Après-vente'!$D$2:$D$1000="Agences et Après-vente"))*('Agences &amp; Après-vente'!$I$2:$I$1000="DONE"))&gt;0,"✓",IF(SUMPRODUCT(MAX(('Agences &amp; Après-vente'!$A$2:$A$1000=$A297)*(('Agences &amp; Après-vente'!$D$2:$D$1000="Après-vente")+('Agences &amp; Après-vente'!$D$2:$D$1000="Agences et Après-vente"))*'Agences &amp; Après-vente'!$E$2:$E$1000))&gt;0,TEXT(SUMPRODUCT(MAX(('Agences &amp; Après-vente'!$A$2:$A$1000=$A297)*(('Agences &amp; Après-vente'!$D$2:$D$1000="Après-vente")+('Agences &amp; Après-vente'!$D$2:$D$1000="Agences et Après-vente"))*'Agences &amp; Après-vente'!$E$2:$E$1000)),"yyyy-mm-dd"),"")))))</f>
        <v/>
      </c>
      <c r="J297" s="131" t="str">
        <f aca="false">IF($T297="✓","✓",IF(ISNUMBER($T297),TEXT($T297,"yyyy-mm-dd"),IF($A297="","",IF($D297="Lisbonne","",IF(SUMPRODUCT(('Agences &amp; Après-vente'!$A$2:$A$1000=$A297)*(('Agences &amp; Après-vente'!$D$2:$D$1000="Après-vente")+('Agences &amp; Après-vente'!$D$2:$D$1000="Agences et Après-vente"))*('Agences &amp; Après-vente'!$I$2:$I$1000="DONE"))&gt;0,"✓",IF(SUMPRODUCT(MAX(('Agences &amp; Après-vente'!$A$2:$A$1000=$A297)*(('Agences &amp; Après-vente'!$D$2:$D$1000="Après-vente")+('Agences &amp; Après-vente'!$D$2:$D$1000="Agences et Après-vente"))*'Agences &amp; Après-vente'!$E$2:$E$1000))&gt;0,TEXT(SUMPRODUCT(MAX(('Agences &amp; Après-vente'!$A$2:$A$1000=$A297)*(('Agences &amp; Après-vente'!$D$2:$D$1000="Après-vente")+('Agences &amp; Après-vente'!$D$2:$D$1000="Agences et Après-vente"))*'Agences &amp; Après-vente'!$E$2:$E$1000)),"yyyy-mm-dd"),""))))))</f>
        <v/>
      </c>
      <c r="K297" s="131" t="str">
        <f aca="false">IF($U297="✓","✓",IF(ISNUMBER($U297),TEXT($U297,"yyyy-mm-dd"),IF($D297="Lisbonne","",IF($A297="","",IF(SUMPRODUCT((Evermont!$A$2:$A$1000=$A297)*(Evermont!$Q$2:$Q$1000="Terminé"))&gt;0,"✓",IF(SUMPRODUCT(MAX((Evermont!$A$2:$A$1000=$A297)*Evermont!$F$2:$F$1000))&gt;0,TEXT(SUMPRODUCT(MAX((Evermont!$A$2:$A$1000=$A297)*Evermont!$F$2:$F$1000)),"yyyy-mm-dd"),""))))))</f>
        <v/>
      </c>
      <c r="L297" s="131" t="str">
        <f aca="false">IF($A297="","",COUNTIF(E297:K297,"✓"))</f>
        <v/>
      </c>
      <c r="M297" s="131" t="str">
        <f aca="false">IF(B297="","","Active")</f>
        <v/>
      </c>
      <c r="W297" s="120" t="str">
        <f aca="false">IF($A297="","",IF($X297&lt;&gt;"",$X297,IFERROR(INDEX('Formation Initiale'!$B$2:$B$999,MATCH($A297,'Formation Initiale'!$A$2:$A$999,0)),"Général")))</f>
        <v/>
      </c>
    </row>
    <row r="298" customFormat="false" ht="15" hidden="true" customHeight="true" outlineLevel="0" collapsed="false">
      <c r="A298" s="142" t="str">
        <f aca="false">IF(B298="","","TR"&amp;TEXT(ROW()-1,"000"))</f>
        <v/>
      </c>
      <c r="E298" s="130" t="str">
        <f aca="false">IF($O298="✓","✓",IF(ISNUMBER($O298),TEXT($O298,"yyyy-mm-dd"),IF($A298="","",IF(SUMPRODUCT(('Formation Initiale'!$A$2:$A$999=$A298)*('Formation Initiale'!$R$2:$R$999="Terminé"))&gt;0,"✓",IF(SUMPRODUCT(MAX(('Formation Initiale'!$A$2:$A$999=$A298)*'Formation Initiale'!$G$2:$G$999))&gt;0,TEXT(SUMPRODUCT(MAX(('Formation Initiale'!$A$2:$A$999=$A298)*'Formation Initiale'!$G$2:$G$999)),"yyyy-mm-dd"),"")))))</f>
        <v/>
      </c>
      <c r="F298" s="131" t="str">
        <f aca="false">IF($P298="✓","✓",IF(ISNUMBER($P298),TEXT($P298,"yyyy-mm-dd"),IF($A298="","",IF($D298="Lisbonne","",IF(SUMPRODUCT(('Formation Initiale'!$A$2:$A$999=$A298)*('Formation Initiale'!$R$2:$R$999="Terminé"))&gt;0,"✓",IF(SUMPRODUCT(MAX(('Formation Initiale'!$A$2:$A$999=$A298)*'Formation Initiale'!$G$2:$G$999))&gt;0,TEXT(SUMPRODUCT(MAX(('Formation Initiale'!$A$2:$A$999=$A298)*'Formation Initiale'!$G$2:$G$999)),"yyyy-mm-dd"),""))))))</f>
        <v/>
      </c>
      <c r="G298" s="131" t="str">
        <f aca="false">IF($Q298="✓","✓",IF(ISNUMBER($Q298),TEXT($Q298,"yyyy-mm-dd"),IF($A298="","",IF(SUMPRODUCT(('Agences &amp; Après-vente'!$A$2:$A$1000=$A298)*(('Agences &amp; Après-vente'!$D$2:$D$1000="Agences")+('Agences &amp; Après-vente'!$D$2:$D$1000="Agences et Après-vente"))*('Agences &amp; Après-vente'!$I$2:$I$1000="DONE"))&gt;0,"✓",IF(SUMPRODUCT(MAX(('Agences &amp; Après-vente'!$A$2:$A$1000=$A298)*(('Agences &amp; Après-vente'!$D$2:$D$1000="Agences")+('Agences &amp; Après-vente'!$D$2:$D$1000="Agences et Après-vente"))*'Agences &amp; Après-vente'!$E$2:$E$1000))&gt;0,TEXT(SUMPRODUCT(MAX(('Agences &amp; Après-vente'!$A$2:$A$1000=$A298)*(('Agences &amp; Après-vente'!$D$2:$D$1000="Agences")+('Agences &amp; Après-vente'!$D$2:$D$1000="Agences et Après-vente"))*'Agences &amp; Après-vente'!$E$2:$E$1000)),"yyyy-mm-dd"),"")))))</f>
        <v/>
      </c>
      <c r="H298" s="131" t="str">
        <f aca="false">IF($R298="✓","✓",IF(ISNUMBER($R298),TEXT($R298,"yyyy-mm-dd"),IF($A298="","",IF($D298="Lisbonne","",IF(SUMPRODUCT(('Agences &amp; Après-vente'!$A$2:$A$1000=$A298)*(('Agences &amp; Après-vente'!$D$2:$D$1000="Agences")+('Agences &amp; Après-vente'!$D$2:$D$1000="Agences et Après-vente"))*('Agences &amp; Après-vente'!$I$2:$I$1000="DONE"))&gt;0,"✓",IF(SUMPRODUCT(MAX(('Agences &amp; Après-vente'!$A$2:$A$1000=$A298)*(('Agences &amp; Après-vente'!$D$2:$D$1000="Agences")+('Agences &amp; Après-vente'!$D$2:$D$1000="Agences et Après-vente"))*'Agences &amp; Après-vente'!$E$2:$E$1000))&gt;0,TEXT(SUMPRODUCT(MAX(('Agences &amp; Après-vente'!$A$2:$A$1000=$A298)*(('Agences &amp; Après-vente'!$D$2:$D$1000="Agences")+('Agences &amp; Après-vente'!$D$2:$D$1000="Agences et Après-vente"))*'Agences &amp; Après-vente'!$E$2:$E$1000)),"yyyy-mm-dd"),""))))))</f>
        <v/>
      </c>
      <c r="I298" s="131" t="str">
        <f aca="false">IF($S298="✓","✓",IF(ISNUMBER($S298),TEXT($S298,"yyyy-mm-dd"),IF($A298="","",IF(SUMPRODUCT(('Agences &amp; Après-vente'!$A$2:$A$1000=$A298)*(('Agences &amp; Après-vente'!$D$2:$D$1000="Après-vente")+('Agences &amp; Après-vente'!$D$2:$D$1000="Agences et Après-vente"))*('Agences &amp; Après-vente'!$I$2:$I$1000="DONE"))&gt;0,"✓",IF(SUMPRODUCT(MAX(('Agences &amp; Après-vente'!$A$2:$A$1000=$A298)*(('Agences &amp; Après-vente'!$D$2:$D$1000="Après-vente")+('Agences &amp; Après-vente'!$D$2:$D$1000="Agences et Après-vente"))*'Agences &amp; Après-vente'!$E$2:$E$1000))&gt;0,TEXT(SUMPRODUCT(MAX(('Agences &amp; Après-vente'!$A$2:$A$1000=$A298)*(('Agences &amp; Après-vente'!$D$2:$D$1000="Après-vente")+('Agences &amp; Après-vente'!$D$2:$D$1000="Agences et Après-vente"))*'Agences &amp; Après-vente'!$E$2:$E$1000)),"yyyy-mm-dd"),"")))))</f>
        <v/>
      </c>
      <c r="J298" s="131" t="str">
        <f aca="false">IF($T298="✓","✓",IF(ISNUMBER($T298),TEXT($T298,"yyyy-mm-dd"),IF($A298="","",IF($D298="Lisbonne","",IF(SUMPRODUCT(('Agences &amp; Après-vente'!$A$2:$A$1000=$A298)*(('Agences &amp; Après-vente'!$D$2:$D$1000="Après-vente")+('Agences &amp; Après-vente'!$D$2:$D$1000="Agences et Après-vente"))*('Agences &amp; Après-vente'!$I$2:$I$1000="DONE"))&gt;0,"✓",IF(SUMPRODUCT(MAX(('Agences &amp; Après-vente'!$A$2:$A$1000=$A298)*(('Agences &amp; Après-vente'!$D$2:$D$1000="Après-vente")+('Agences &amp; Après-vente'!$D$2:$D$1000="Agences et Après-vente"))*'Agences &amp; Après-vente'!$E$2:$E$1000))&gt;0,TEXT(SUMPRODUCT(MAX(('Agences &amp; Après-vente'!$A$2:$A$1000=$A298)*(('Agences &amp; Après-vente'!$D$2:$D$1000="Après-vente")+('Agences &amp; Après-vente'!$D$2:$D$1000="Agences et Après-vente"))*'Agences &amp; Après-vente'!$E$2:$E$1000)),"yyyy-mm-dd"),""))))))</f>
        <v/>
      </c>
      <c r="K298" s="131" t="str">
        <f aca="false">IF($U298="✓","✓",IF(ISNUMBER($U298),TEXT($U298,"yyyy-mm-dd"),IF($D298="Lisbonne","",IF($A298="","",IF(SUMPRODUCT((Evermont!$A$2:$A$1000=$A298)*(Evermont!$Q$2:$Q$1000="Terminé"))&gt;0,"✓",IF(SUMPRODUCT(MAX((Evermont!$A$2:$A$1000=$A298)*Evermont!$F$2:$F$1000))&gt;0,TEXT(SUMPRODUCT(MAX((Evermont!$A$2:$A$1000=$A298)*Evermont!$F$2:$F$1000)),"yyyy-mm-dd"),""))))))</f>
        <v/>
      </c>
      <c r="L298" s="131" t="str">
        <f aca="false">IF($A298="","",COUNTIF(E298:K298,"✓"))</f>
        <v/>
      </c>
      <c r="M298" s="131" t="str">
        <f aca="false">IF(B298="","","Active")</f>
        <v/>
      </c>
      <c r="W298" s="120" t="str">
        <f aca="false">IF($A298="","",IF($X298&lt;&gt;"",$X298,IFERROR(INDEX('Formation Initiale'!$B$2:$B$999,MATCH($A298,'Formation Initiale'!$A$2:$A$999,0)),"Général")))</f>
        <v/>
      </c>
    </row>
    <row r="299" customFormat="false" ht="15" hidden="true" customHeight="true" outlineLevel="0" collapsed="false">
      <c r="A299" s="142" t="str">
        <f aca="false">IF(B299="","","TR"&amp;TEXT(ROW()-1,"000"))</f>
        <v/>
      </c>
      <c r="E299" s="130" t="str">
        <f aca="false">IF($O299="✓","✓",IF(ISNUMBER($O299),TEXT($O299,"yyyy-mm-dd"),IF($A299="","",IF(SUMPRODUCT(('Formation Initiale'!$A$2:$A$999=$A299)*('Formation Initiale'!$R$2:$R$999="Terminé"))&gt;0,"✓",IF(SUMPRODUCT(MAX(('Formation Initiale'!$A$2:$A$999=$A299)*'Formation Initiale'!$G$2:$G$999))&gt;0,TEXT(SUMPRODUCT(MAX(('Formation Initiale'!$A$2:$A$999=$A299)*'Formation Initiale'!$G$2:$G$999)),"yyyy-mm-dd"),"")))))</f>
        <v/>
      </c>
      <c r="F299" s="131" t="str">
        <f aca="false">IF($P299="✓","✓",IF(ISNUMBER($P299),TEXT($P299,"yyyy-mm-dd"),IF($A299="","",IF($D299="Lisbonne","",IF(SUMPRODUCT(('Formation Initiale'!$A$2:$A$999=$A299)*('Formation Initiale'!$R$2:$R$999="Terminé"))&gt;0,"✓",IF(SUMPRODUCT(MAX(('Formation Initiale'!$A$2:$A$999=$A299)*'Formation Initiale'!$G$2:$G$999))&gt;0,TEXT(SUMPRODUCT(MAX(('Formation Initiale'!$A$2:$A$999=$A299)*'Formation Initiale'!$G$2:$G$999)),"yyyy-mm-dd"),""))))))</f>
        <v/>
      </c>
      <c r="G299" s="131" t="str">
        <f aca="false">IF($Q299="✓","✓",IF(ISNUMBER($Q299),TEXT($Q299,"yyyy-mm-dd"),IF($A299="","",IF(SUMPRODUCT(('Agences &amp; Après-vente'!$A$2:$A$1000=$A299)*(('Agences &amp; Après-vente'!$D$2:$D$1000="Agences")+('Agences &amp; Après-vente'!$D$2:$D$1000="Agences et Après-vente"))*('Agences &amp; Après-vente'!$I$2:$I$1000="DONE"))&gt;0,"✓",IF(SUMPRODUCT(MAX(('Agences &amp; Après-vente'!$A$2:$A$1000=$A299)*(('Agences &amp; Après-vente'!$D$2:$D$1000="Agences")+('Agences &amp; Après-vente'!$D$2:$D$1000="Agences et Après-vente"))*'Agences &amp; Après-vente'!$E$2:$E$1000))&gt;0,TEXT(SUMPRODUCT(MAX(('Agences &amp; Après-vente'!$A$2:$A$1000=$A299)*(('Agences &amp; Après-vente'!$D$2:$D$1000="Agences")+('Agences &amp; Après-vente'!$D$2:$D$1000="Agences et Après-vente"))*'Agences &amp; Après-vente'!$E$2:$E$1000)),"yyyy-mm-dd"),"")))))</f>
        <v/>
      </c>
      <c r="H299" s="131" t="str">
        <f aca="false">IF($R299="✓","✓",IF(ISNUMBER($R299),TEXT($R299,"yyyy-mm-dd"),IF($A299="","",IF($D299="Lisbonne","",IF(SUMPRODUCT(('Agences &amp; Après-vente'!$A$2:$A$1000=$A299)*(('Agences &amp; Après-vente'!$D$2:$D$1000="Agences")+('Agences &amp; Après-vente'!$D$2:$D$1000="Agences et Après-vente"))*('Agences &amp; Après-vente'!$I$2:$I$1000="DONE"))&gt;0,"✓",IF(SUMPRODUCT(MAX(('Agences &amp; Après-vente'!$A$2:$A$1000=$A299)*(('Agences &amp; Après-vente'!$D$2:$D$1000="Agences")+('Agences &amp; Après-vente'!$D$2:$D$1000="Agences et Après-vente"))*'Agences &amp; Après-vente'!$E$2:$E$1000))&gt;0,TEXT(SUMPRODUCT(MAX(('Agences &amp; Après-vente'!$A$2:$A$1000=$A299)*(('Agences &amp; Après-vente'!$D$2:$D$1000="Agences")+('Agences &amp; Après-vente'!$D$2:$D$1000="Agences et Après-vente"))*'Agences &amp; Après-vente'!$E$2:$E$1000)),"yyyy-mm-dd"),""))))))</f>
        <v/>
      </c>
      <c r="I299" s="131" t="str">
        <f aca="false">IF($S299="✓","✓",IF(ISNUMBER($S299),TEXT($S299,"yyyy-mm-dd"),IF($A299="","",IF(SUMPRODUCT(('Agences &amp; Après-vente'!$A$2:$A$1000=$A299)*(('Agences &amp; Après-vente'!$D$2:$D$1000="Après-vente")+('Agences &amp; Après-vente'!$D$2:$D$1000="Agences et Après-vente"))*('Agences &amp; Après-vente'!$I$2:$I$1000="DONE"))&gt;0,"✓",IF(SUMPRODUCT(MAX(('Agences &amp; Après-vente'!$A$2:$A$1000=$A299)*(('Agences &amp; Après-vente'!$D$2:$D$1000="Après-vente")+('Agences &amp; Après-vente'!$D$2:$D$1000="Agences et Après-vente"))*'Agences &amp; Après-vente'!$E$2:$E$1000))&gt;0,TEXT(SUMPRODUCT(MAX(('Agences &amp; Après-vente'!$A$2:$A$1000=$A299)*(('Agences &amp; Après-vente'!$D$2:$D$1000="Après-vente")+('Agences &amp; Après-vente'!$D$2:$D$1000="Agences et Après-vente"))*'Agences &amp; Après-vente'!$E$2:$E$1000)),"yyyy-mm-dd"),"")))))</f>
        <v/>
      </c>
      <c r="J299" s="131" t="str">
        <f aca="false">IF($T299="✓","✓",IF(ISNUMBER($T299),TEXT($T299,"yyyy-mm-dd"),IF($A299="","",IF($D299="Lisbonne","",IF(SUMPRODUCT(('Agences &amp; Après-vente'!$A$2:$A$1000=$A299)*(('Agences &amp; Après-vente'!$D$2:$D$1000="Après-vente")+('Agences &amp; Après-vente'!$D$2:$D$1000="Agences et Après-vente"))*('Agences &amp; Après-vente'!$I$2:$I$1000="DONE"))&gt;0,"✓",IF(SUMPRODUCT(MAX(('Agences &amp; Après-vente'!$A$2:$A$1000=$A299)*(('Agences &amp; Après-vente'!$D$2:$D$1000="Après-vente")+('Agences &amp; Après-vente'!$D$2:$D$1000="Agences et Après-vente"))*'Agences &amp; Après-vente'!$E$2:$E$1000))&gt;0,TEXT(SUMPRODUCT(MAX(('Agences &amp; Après-vente'!$A$2:$A$1000=$A299)*(('Agences &amp; Après-vente'!$D$2:$D$1000="Après-vente")+('Agences &amp; Après-vente'!$D$2:$D$1000="Agences et Après-vente"))*'Agences &amp; Après-vente'!$E$2:$E$1000)),"yyyy-mm-dd"),""))))))</f>
        <v/>
      </c>
      <c r="K299" s="131" t="str">
        <f aca="false">IF($U299="✓","✓",IF(ISNUMBER($U299),TEXT($U299,"yyyy-mm-dd"),IF($D299="Lisbonne","",IF($A299="","",IF(SUMPRODUCT((Evermont!$A$2:$A$1000=$A299)*(Evermont!$Q$2:$Q$1000="Terminé"))&gt;0,"✓",IF(SUMPRODUCT(MAX((Evermont!$A$2:$A$1000=$A299)*Evermont!$F$2:$F$1000))&gt;0,TEXT(SUMPRODUCT(MAX((Evermont!$A$2:$A$1000=$A299)*Evermont!$F$2:$F$1000)),"yyyy-mm-dd"),""))))))</f>
        <v/>
      </c>
      <c r="L299" s="131" t="str">
        <f aca="false">IF($A299="","",COUNTIF(E299:K299,"✓"))</f>
        <v/>
      </c>
      <c r="M299" s="131" t="str">
        <f aca="false">IF(B299="","","Active")</f>
        <v/>
      </c>
      <c r="W299" s="120" t="str">
        <f aca="false">IF($A299="","",IF($X299&lt;&gt;"",$X299,IFERROR(INDEX('Formation Initiale'!$B$2:$B$999,MATCH($A299,'Formation Initiale'!$A$2:$A$999,0)),"Général")))</f>
        <v/>
      </c>
    </row>
    <row r="300" customFormat="false" ht="15" hidden="true" customHeight="true" outlineLevel="0" collapsed="false">
      <c r="A300" s="142" t="str">
        <f aca="false">IF(B300="","","TR"&amp;TEXT(ROW()-1,"000"))</f>
        <v/>
      </c>
      <c r="E300" s="130" t="str">
        <f aca="false">IF($O300="✓","✓",IF(ISNUMBER($O300),TEXT($O300,"yyyy-mm-dd"),IF($A300="","",IF(SUMPRODUCT(('Formation Initiale'!$A$2:$A$999=$A300)*('Formation Initiale'!$R$2:$R$999="Terminé"))&gt;0,"✓",IF(SUMPRODUCT(MAX(('Formation Initiale'!$A$2:$A$999=$A300)*'Formation Initiale'!$G$2:$G$999))&gt;0,TEXT(SUMPRODUCT(MAX(('Formation Initiale'!$A$2:$A$999=$A300)*'Formation Initiale'!$G$2:$G$999)),"yyyy-mm-dd"),"")))))</f>
        <v/>
      </c>
      <c r="F300" s="131" t="str">
        <f aca="false">IF($P300="✓","✓",IF(ISNUMBER($P300),TEXT($P300,"yyyy-mm-dd"),IF($A300="","",IF($D300="Lisbonne","",IF(SUMPRODUCT(('Formation Initiale'!$A$2:$A$999=$A300)*('Formation Initiale'!$R$2:$R$999="Terminé"))&gt;0,"✓",IF(SUMPRODUCT(MAX(('Formation Initiale'!$A$2:$A$999=$A300)*'Formation Initiale'!$G$2:$G$999))&gt;0,TEXT(SUMPRODUCT(MAX(('Formation Initiale'!$A$2:$A$999=$A300)*'Formation Initiale'!$G$2:$G$999)),"yyyy-mm-dd"),""))))))</f>
        <v/>
      </c>
      <c r="G300" s="131" t="str">
        <f aca="false">IF($Q300="✓","✓",IF(ISNUMBER($Q300),TEXT($Q300,"yyyy-mm-dd"),IF($A300="","",IF(SUMPRODUCT(('Agences &amp; Après-vente'!$A$2:$A$1000=$A300)*(('Agences &amp; Après-vente'!$D$2:$D$1000="Agences")+('Agences &amp; Après-vente'!$D$2:$D$1000="Agences et Après-vente"))*('Agences &amp; Après-vente'!$I$2:$I$1000="DONE"))&gt;0,"✓",IF(SUMPRODUCT(MAX(('Agences &amp; Après-vente'!$A$2:$A$1000=$A300)*(('Agences &amp; Après-vente'!$D$2:$D$1000="Agences")+('Agences &amp; Après-vente'!$D$2:$D$1000="Agences et Après-vente"))*'Agences &amp; Après-vente'!$E$2:$E$1000))&gt;0,TEXT(SUMPRODUCT(MAX(('Agences &amp; Après-vente'!$A$2:$A$1000=$A300)*(('Agences &amp; Après-vente'!$D$2:$D$1000="Agences")+('Agences &amp; Après-vente'!$D$2:$D$1000="Agences et Après-vente"))*'Agences &amp; Après-vente'!$E$2:$E$1000)),"yyyy-mm-dd"),"")))))</f>
        <v/>
      </c>
      <c r="H300" s="131" t="str">
        <f aca="false">IF($R300="✓","✓",IF(ISNUMBER($R300),TEXT($R300,"yyyy-mm-dd"),IF($A300="","",IF($D300="Lisbonne","",IF(SUMPRODUCT(('Agences &amp; Après-vente'!$A$2:$A$1000=$A300)*(('Agences &amp; Après-vente'!$D$2:$D$1000="Agences")+('Agences &amp; Après-vente'!$D$2:$D$1000="Agences et Après-vente"))*('Agences &amp; Après-vente'!$I$2:$I$1000="DONE"))&gt;0,"✓",IF(SUMPRODUCT(MAX(('Agences &amp; Après-vente'!$A$2:$A$1000=$A300)*(('Agences &amp; Après-vente'!$D$2:$D$1000="Agences")+('Agences &amp; Après-vente'!$D$2:$D$1000="Agences et Après-vente"))*'Agences &amp; Après-vente'!$E$2:$E$1000))&gt;0,TEXT(SUMPRODUCT(MAX(('Agences &amp; Après-vente'!$A$2:$A$1000=$A300)*(('Agences &amp; Après-vente'!$D$2:$D$1000="Agences")+('Agences &amp; Après-vente'!$D$2:$D$1000="Agences et Après-vente"))*'Agences &amp; Après-vente'!$E$2:$E$1000)),"yyyy-mm-dd"),""))))))</f>
        <v/>
      </c>
      <c r="I300" s="131" t="str">
        <f aca="false">IF($S300="✓","✓",IF(ISNUMBER($S300),TEXT($S300,"yyyy-mm-dd"),IF($A300="","",IF(SUMPRODUCT(('Agences &amp; Après-vente'!$A$2:$A$1000=$A300)*(('Agences &amp; Après-vente'!$D$2:$D$1000="Après-vente")+('Agences &amp; Après-vente'!$D$2:$D$1000="Agences et Après-vente"))*('Agences &amp; Après-vente'!$I$2:$I$1000="DONE"))&gt;0,"✓",IF(SUMPRODUCT(MAX(('Agences &amp; Après-vente'!$A$2:$A$1000=$A300)*(('Agences &amp; Après-vente'!$D$2:$D$1000="Après-vente")+('Agences &amp; Après-vente'!$D$2:$D$1000="Agences et Après-vente"))*'Agences &amp; Après-vente'!$E$2:$E$1000))&gt;0,TEXT(SUMPRODUCT(MAX(('Agences &amp; Après-vente'!$A$2:$A$1000=$A300)*(('Agences &amp; Après-vente'!$D$2:$D$1000="Après-vente")+('Agences &amp; Après-vente'!$D$2:$D$1000="Agences et Après-vente"))*'Agences &amp; Après-vente'!$E$2:$E$1000)),"yyyy-mm-dd"),"")))))</f>
        <v/>
      </c>
      <c r="J300" s="131" t="str">
        <f aca="false">IF($T300="✓","✓",IF(ISNUMBER($T300),TEXT($T300,"yyyy-mm-dd"),IF($A300="","",IF($D300="Lisbonne","",IF(SUMPRODUCT(('Agences &amp; Après-vente'!$A$2:$A$1000=$A300)*(('Agences &amp; Après-vente'!$D$2:$D$1000="Après-vente")+('Agences &amp; Après-vente'!$D$2:$D$1000="Agences et Après-vente"))*('Agences &amp; Après-vente'!$I$2:$I$1000="DONE"))&gt;0,"✓",IF(SUMPRODUCT(MAX(('Agences &amp; Après-vente'!$A$2:$A$1000=$A300)*(('Agences &amp; Après-vente'!$D$2:$D$1000="Après-vente")+('Agences &amp; Après-vente'!$D$2:$D$1000="Agences et Après-vente"))*'Agences &amp; Après-vente'!$E$2:$E$1000))&gt;0,TEXT(SUMPRODUCT(MAX(('Agences &amp; Après-vente'!$A$2:$A$1000=$A300)*(('Agences &amp; Après-vente'!$D$2:$D$1000="Après-vente")+('Agences &amp; Après-vente'!$D$2:$D$1000="Agences et Après-vente"))*'Agences &amp; Après-vente'!$E$2:$E$1000)),"yyyy-mm-dd"),""))))))</f>
        <v/>
      </c>
      <c r="K300" s="131" t="str">
        <f aca="false">IF($U300="✓","✓",IF(ISNUMBER($U300),TEXT($U300,"yyyy-mm-dd"),IF($D300="Lisbonne","",IF($A300="","",IF(SUMPRODUCT((Evermont!$A$2:$A$1000=$A300)*(Evermont!$Q$2:$Q$1000="Terminé"))&gt;0,"✓",IF(SUMPRODUCT(MAX((Evermont!$A$2:$A$1000=$A300)*Evermont!$F$2:$F$1000))&gt;0,TEXT(SUMPRODUCT(MAX((Evermont!$A$2:$A$1000=$A300)*Evermont!$F$2:$F$1000)),"yyyy-mm-dd"),""))))))</f>
        <v/>
      </c>
      <c r="L300" s="131" t="str">
        <f aca="false">IF($A300="","",COUNTIF(E300:K300,"✓"))</f>
        <v/>
      </c>
      <c r="M300" s="131" t="str">
        <f aca="false">IF(B300="","","Active")</f>
        <v/>
      </c>
      <c r="W300" s="120" t="str">
        <f aca="false">IF($A300="","",IF($X300&lt;&gt;"",$X300,IFERROR(INDEX('Formation Initiale'!$B$2:$B$999,MATCH($A300,'Formation Initiale'!$A$2:$A$999,0)),"Général")))</f>
        <v/>
      </c>
    </row>
    <row r="301" customFormat="false" ht="15" hidden="true" customHeight="true" outlineLevel="0" collapsed="false">
      <c r="A301" s="142" t="str">
        <f aca="false">IF(B301="","","TR"&amp;TEXT(ROW()-1,"000"))</f>
        <v/>
      </c>
      <c r="E301" s="130" t="str">
        <f aca="false">IF($O301="✓","✓",IF(ISNUMBER($O301),TEXT($O301,"yyyy-mm-dd"),IF($A301="","",IF(SUMPRODUCT(('Formation Initiale'!$A$2:$A$999=$A301)*('Formation Initiale'!$R$2:$R$999="Terminé"))&gt;0,"✓",IF(SUMPRODUCT(MAX(('Formation Initiale'!$A$2:$A$999=$A301)*'Formation Initiale'!$G$2:$G$999))&gt;0,TEXT(SUMPRODUCT(MAX(('Formation Initiale'!$A$2:$A$999=$A301)*'Formation Initiale'!$G$2:$G$999)),"yyyy-mm-dd"),"")))))</f>
        <v/>
      </c>
      <c r="F301" s="131" t="str">
        <f aca="false">IF($P301="✓","✓",IF(ISNUMBER($P301),TEXT($P301,"yyyy-mm-dd"),IF($A301="","",IF($D301="Lisbonne","",IF(SUMPRODUCT(('Formation Initiale'!$A$2:$A$999=$A301)*('Formation Initiale'!$R$2:$R$999="Terminé"))&gt;0,"✓",IF(SUMPRODUCT(MAX(('Formation Initiale'!$A$2:$A$999=$A301)*'Formation Initiale'!$G$2:$G$999))&gt;0,TEXT(SUMPRODUCT(MAX(('Formation Initiale'!$A$2:$A$999=$A301)*'Formation Initiale'!$G$2:$G$999)),"yyyy-mm-dd"),""))))))</f>
        <v/>
      </c>
      <c r="G301" s="131" t="str">
        <f aca="false">IF($Q301="✓","✓",IF(ISNUMBER($Q301),TEXT($Q301,"yyyy-mm-dd"),IF($A301="","",IF(SUMPRODUCT(('Agences &amp; Après-vente'!$A$2:$A$1000=$A301)*(('Agences &amp; Après-vente'!$D$2:$D$1000="Agences")+('Agences &amp; Après-vente'!$D$2:$D$1000="Agences et Après-vente"))*('Agences &amp; Après-vente'!$I$2:$I$1000="DONE"))&gt;0,"✓",IF(SUMPRODUCT(MAX(('Agences &amp; Après-vente'!$A$2:$A$1000=$A301)*(('Agences &amp; Après-vente'!$D$2:$D$1000="Agences")+('Agences &amp; Après-vente'!$D$2:$D$1000="Agences et Après-vente"))*'Agences &amp; Après-vente'!$E$2:$E$1000))&gt;0,TEXT(SUMPRODUCT(MAX(('Agences &amp; Après-vente'!$A$2:$A$1000=$A301)*(('Agences &amp; Après-vente'!$D$2:$D$1000="Agences")+('Agences &amp; Après-vente'!$D$2:$D$1000="Agences et Après-vente"))*'Agences &amp; Après-vente'!$E$2:$E$1000)),"yyyy-mm-dd"),"")))))</f>
        <v/>
      </c>
      <c r="H301" s="131" t="str">
        <f aca="false">IF($R301="✓","✓",IF(ISNUMBER($R301),TEXT($R301,"yyyy-mm-dd"),IF($A301="","",IF($D301="Lisbonne","",IF(SUMPRODUCT(('Agences &amp; Après-vente'!$A$2:$A$1000=$A301)*(('Agences &amp; Après-vente'!$D$2:$D$1000="Agences")+('Agences &amp; Après-vente'!$D$2:$D$1000="Agences et Après-vente"))*('Agences &amp; Après-vente'!$I$2:$I$1000="DONE"))&gt;0,"✓",IF(SUMPRODUCT(MAX(('Agences &amp; Après-vente'!$A$2:$A$1000=$A301)*(('Agences &amp; Après-vente'!$D$2:$D$1000="Agences")+('Agences &amp; Après-vente'!$D$2:$D$1000="Agences et Après-vente"))*'Agences &amp; Après-vente'!$E$2:$E$1000))&gt;0,TEXT(SUMPRODUCT(MAX(('Agences &amp; Après-vente'!$A$2:$A$1000=$A301)*(('Agences &amp; Après-vente'!$D$2:$D$1000="Agences")+('Agences &amp; Après-vente'!$D$2:$D$1000="Agences et Après-vente"))*'Agences &amp; Après-vente'!$E$2:$E$1000)),"yyyy-mm-dd"),""))))))</f>
        <v/>
      </c>
      <c r="I301" s="131" t="str">
        <f aca="false">IF($S301="✓","✓",IF(ISNUMBER($S301),TEXT($S301,"yyyy-mm-dd"),IF($A301="","",IF(SUMPRODUCT(('Agences &amp; Après-vente'!$A$2:$A$1000=$A301)*(('Agences &amp; Après-vente'!$D$2:$D$1000="Après-vente")+('Agences &amp; Après-vente'!$D$2:$D$1000="Agences et Après-vente"))*('Agences &amp; Après-vente'!$I$2:$I$1000="DONE"))&gt;0,"✓",IF(SUMPRODUCT(MAX(('Agences &amp; Après-vente'!$A$2:$A$1000=$A301)*(('Agences &amp; Après-vente'!$D$2:$D$1000="Après-vente")+('Agences &amp; Après-vente'!$D$2:$D$1000="Agences et Après-vente"))*'Agences &amp; Après-vente'!$E$2:$E$1000))&gt;0,TEXT(SUMPRODUCT(MAX(('Agences &amp; Après-vente'!$A$2:$A$1000=$A301)*(('Agences &amp; Après-vente'!$D$2:$D$1000="Après-vente")+('Agences &amp; Après-vente'!$D$2:$D$1000="Agences et Après-vente"))*'Agences &amp; Après-vente'!$E$2:$E$1000)),"yyyy-mm-dd"),"")))))</f>
        <v/>
      </c>
      <c r="J301" s="131" t="str">
        <f aca="false">IF($T301="✓","✓",IF(ISNUMBER($T301),TEXT($T301,"yyyy-mm-dd"),IF($A301="","",IF($D301="Lisbonne","",IF(SUMPRODUCT(('Agences &amp; Après-vente'!$A$2:$A$1000=$A301)*(('Agences &amp; Après-vente'!$D$2:$D$1000="Après-vente")+('Agences &amp; Après-vente'!$D$2:$D$1000="Agences et Après-vente"))*('Agences &amp; Après-vente'!$I$2:$I$1000="DONE"))&gt;0,"✓",IF(SUMPRODUCT(MAX(('Agences &amp; Après-vente'!$A$2:$A$1000=$A301)*(('Agences &amp; Après-vente'!$D$2:$D$1000="Après-vente")+('Agences &amp; Après-vente'!$D$2:$D$1000="Agences et Après-vente"))*'Agences &amp; Après-vente'!$E$2:$E$1000))&gt;0,TEXT(SUMPRODUCT(MAX(('Agences &amp; Après-vente'!$A$2:$A$1000=$A301)*(('Agences &amp; Après-vente'!$D$2:$D$1000="Après-vente")+('Agences &amp; Après-vente'!$D$2:$D$1000="Agences et Après-vente"))*'Agences &amp; Après-vente'!$E$2:$E$1000)),"yyyy-mm-dd"),""))))))</f>
        <v/>
      </c>
      <c r="K301" s="131" t="str">
        <f aca="false">IF($U301="✓","✓",IF(ISNUMBER($U301),TEXT($U301,"yyyy-mm-dd"),IF($D301="Lisbonne","",IF($A301="","",IF(SUMPRODUCT((Evermont!$A$2:$A$1000=$A301)*(Evermont!$Q$2:$Q$1000="Terminé"))&gt;0,"✓",IF(SUMPRODUCT(MAX((Evermont!$A$2:$A$1000=$A301)*Evermont!$F$2:$F$1000))&gt;0,TEXT(SUMPRODUCT(MAX((Evermont!$A$2:$A$1000=$A301)*Evermont!$F$2:$F$1000)),"yyyy-mm-dd"),""))))))</f>
        <v/>
      </c>
      <c r="L301" s="131" t="str">
        <f aca="false">IF($A301="","",COUNTIF(E301:K301,"✓"))</f>
        <v/>
      </c>
      <c r="M301" s="131" t="str">
        <f aca="false">IF(B301="","","Active")</f>
        <v/>
      </c>
      <c r="W301" s="120" t="str">
        <f aca="false">IF($A301="","",IF($X301&lt;&gt;"",$X301,IFERROR(INDEX('Formation Initiale'!$B$2:$B$999,MATCH($A301,'Formation Initiale'!$A$2:$A$999,0)),"Général")))</f>
        <v/>
      </c>
    </row>
    <row r="302" customFormat="false" ht="15" hidden="true" customHeight="true" outlineLevel="0" collapsed="false">
      <c r="A302" s="142" t="str">
        <f aca="false">IF(B302="","","TR"&amp;TEXT(ROW()-1,"000"))</f>
        <v/>
      </c>
      <c r="E302" s="130" t="str">
        <f aca="false">IF($O302="✓","✓",IF(ISNUMBER($O302),TEXT($O302,"yyyy-mm-dd"),IF($A302="","",IF(SUMPRODUCT(('Formation Initiale'!$A$2:$A$999=$A302)*('Formation Initiale'!$R$2:$R$999="Terminé"))&gt;0,"✓",IF(SUMPRODUCT(MAX(('Formation Initiale'!$A$2:$A$999=$A302)*'Formation Initiale'!$G$2:$G$999))&gt;0,TEXT(SUMPRODUCT(MAX(('Formation Initiale'!$A$2:$A$999=$A302)*'Formation Initiale'!$G$2:$G$999)),"yyyy-mm-dd"),"")))))</f>
        <v/>
      </c>
      <c r="F302" s="131" t="str">
        <f aca="false">IF($P302="✓","✓",IF(ISNUMBER($P302),TEXT($P302,"yyyy-mm-dd"),IF($A302="","",IF($D302="Lisbonne","",IF(SUMPRODUCT(('Formation Initiale'!$A$2:$A$999=$A302)*('Formation Initiale'!$R$2:$R$999="Terminé"))&gt;0,"✓",IF(SUMPRODUCT(MAX(('Formation Initiale'!$A$2:$A$999=$A302)*'Formation Initiale'!$G$2:$G$999))&gt;0,TEXT(SUMPRODUCT(MAX(('Formation Initiale'!$A$2:$A$999=$A302)*'Formation Initiale'!$G$2:$G$999)),"yyyy-mm-dd"),""))))))</f>
        <v/>
      </c>
      <c r="G302" s="131" t="str">
        <f aca="false">IF($Q302="✓","✓",IF(ISNUMBER($Q302),TEXT($Q302,"yyyy-mm-dd"),IF($A302="","",IF(SUMPRODUCT(('Agences &amp; Après-vente'!$A$2:$A$1000=$A302)*(('Agences &amp; Après-vente'!$D$2:$D$1000="Agences")+('Agences &amp; Après-vente'!$D$2:$D$1000="Agences et Après-vente"))*('Agences &amp; Après-vente'!$I$2:$I$1000="DONE"))&gt;0,"✓",IF(SUMPRODUCT(MAX(('Agences &amp; Après-vente'!$A$2:$A$1000=$A302)*(('Agences &amp; Après-vente'!$D$2:$D$1000="Agences")+('Agences &amp; Après-vente'!$D$2:$D$1000="Agences et Après-vente"))*'Agences &amp; Après-vente'!$E$2:$E$1000))&gt;0,TEXT(SUMPRODUCT(MAX(('Agences &amp; Après-vente'!$A$2:$A$1000=$A302)*(('Agences &amp; Après-vente'!$D$2:$D$1000="Agences")+('Agences &amp; Après-vente'!$D$2:$D$1000="Agences et Après-vente"))*'Agences &amp; Après-vente'!$E$2:$E$1000)),"yyyy-mm-dd"),"")))))</f>
        <v/>
      </c>
      <c r="H302" s="131" t="str">
        <f aca="false">IF($R302="✓","✓",IF(ISNUMBER($R302),TEXT($R302,"yyyy-mm-dd"),IF($A302="","",IF($D302="Lisbonne","",IF(SUMPRODUCT(('Agences &amp; Après-vente'!$A$2:$A$1000=$A302)*(('Agences &amp; Après-vente'!$D$2:$D$1000="Agences")+('Agences &amp; Après-vente'!$D$2:$D$1000="Agences et Après-vente"))*('Agences &amp; Après-vente'!$I$2:$I$1000="DONE"))&gt;0,"✓",IF(SUMPRODUCT(MAX(('Agences &amp; Après-vente'!$A$2:$A$1000=$A302)*(('Agences &amp; Après-vente'!$D$2:$D$1000="Agences")+('Agences &amp; Après-vente'!$D$2:$D$1000="Agences et Après-vente"))*'Agences &amp; Après-vente'!$E$2:$E$1000))&gt;0,TEXT(SUMPRODUCT(MAX(('Agences &amp; Après-vente'!$A$2:$A$1000=$A302)*(('Agences &amp; Après-vente'!$D$2:$D$1000="Agences")+('Agences &amp; Après-vente'!$D$2:$D$1000="Agences et Après-vente"))*'Agences &amp; Après-vente'!$E$2:$E$1000)),"yyyy-mm-dd"),""))))))</f>
        <v/>
      </c>
      <c r="I302" s="131" t="str">
        <f aca="false">IF($S302="✓","✓",IF(ISNUMBER($S302),TEXT($S302,"yyyy-mm-dd"),IF($A302="","",IF(SUMPRODUCT(('Agences &amp; Après-vente'!$A$2:$A$1000=$A302)*(('Agences &amp; Après-vente'!$D$2:$D$1000="Après-vente")+('Agences &amp; Après-vente'!$D$2:$D$1000="Agences et Après-vente"))*('Agences &amp; Après-vente'!$I$2:$I$1000="DONE"))&gt;0,"✓",IF(SUMPRODUCT(MAX(('Agences &amp; Après-vente'!$A$2:$A$1000=$A302)*(('Agences &amp; Après-vente'!$D$2:$D$1000="Après-vente")+('Agences &amp; Après-vente'!$D$2:$D$1000="Agences et Après-vente"))*'Agences &amp; Après-vente'!$E$2:$E$1000))&gt;0,TEXT(SUMPRODUCT(MAX(('Agences &amp; Après-vente'!$A$2:$A$1000=$A302)*(('Agences &amp; Après-vente'!$D$2:$D$1000="Après-vente")+('Agences &amp; Après-vente'!$D$2:$D$1000="Agences et Après-vente"))*'Agences &amp; Après-vente'!$E$2:$E$1000)),"yyyy-mm-dd"),"")))))</f>
        <v/>
      </c>
      <c r="J302" s="131" t="str">
        <f aca="false">IF($T302="✓","✓",IF(ISNUMBER($T302),TEXT($T302,"yyyy-mm-dd"),IF($A302="","",IF($D302="Lisbonne","",IF(SUMPRODUCT(('Agences &amp; Après-vente'!$A$2:$A$1000=$A302)*(('Agences &amp; Après-vente'!$D$2:$D$1000="Après-vente")+('Agences &amp; Après-vente'!$D$2:$D$1000="Agences et Après-vente"))*('Agences &amp; Après-vente'!$I$2:$I$1000="DONE"))&gt;0,"✓",IF(SUMPRODUCT(MAX(('Agences &amp; Après-vente'!$A$2:$A$1000=$A302)*(('Agences &amp; Après-vente'!$D$2:$D$1000="Après-vente")+('Agences &amp; Après-vente'!$D$2:$D$1000="Agences et Après-vente"))*'Agences &amp; Après-vente'!$E$2:$E$1000))&gt;0,TEXT(SUMPRODUCT(MAX(('Agences &amp; Après-vente'!$A$2:$A$1000=$A302)*(('Agences &amp; Après-vente'!$D$2:$D$1000="Après-vente")+('Agences &amp; Après-vente'!$D$2:$D$1000="Agences et Après-vente"))*'Agences &amp; Après-vente'!$E$2:$E$1000)),"yyyy-mm-dd"),""))))))</f>
        <v/>
      </c>
      <c r="K302" s="131" t="str">
        <f aca="false">IF($U302="✓","✓",IF(ISNUMBER($U302),TEXT($U302,"yyyy-mm-dd"),IF($D302="Lisbonne","",IF($A302="","",IF(SUMPRODUCT((Evermont!$A$2:$A$1000=$A302)*(Evermont!$Q$2:$Q$1000="Terminé"))&gt;0,"✓",IF(SUMPRODUCT(MAX((Evermont!$A$2:$A$1000=$A302)*Evermont!$F$2:$F$1000))&gt;0,TEXT(SUMPRODUCT(MAX((Evermont!$A$2:$A$1000=$A302)*Evermont!$F$2:$F$1000)),"yyyy-mm-dd"),""))))))</f>
        <v/>
      </c>
      <c r="L302" s="131" t="str">
        <f aca="false">IF($A302="","",COUNTIF(E302:K302,"✓"))</f>
        <v/>
      </c>
      <c r="M302" s="131" t="str">
        <f aca="false">IF(B302="","","Active")</f>
        <v/>
      </c>
      <c r="W302" s="120" t="str">
        <f aca="false">IF($A302="","",IF($X302&lt;&gt;"",$X302,IFERROR(INDEX('Formation Initiale'!$B$2:$B$999,MATCH($A302,'Formation Initiale'!$A$2:$A$999,0)),"Général")))</f>
        <v/>
      </c>
    </row>
    <row r="303" customFormat="false" ht="15" hidden="true" customHeight="true" outlineLevel="0" collapsed="false">
      <c r="A303" s="142" t="str">
        <f aca="false">IF(B303="","","TR"&amp;TEXT(ROW()-1,"000"))</f>
        <v/>
      </c>
      <c r="E303" s="130" t="str">
        <f aca="false">IF($O303="✓","✓",IF(ISNUMBER($O303),TEXT($O303,"yyyy-mm-dd"),IF($A303="","",IF(SUMPRODUCT(('Formation Initiale'!$A$2:$A$999=$A303)*('Formation Initiale'!$R$2:$R$999="Terminé"))&gt;0,"✓",IF(SUMPRODUCT(MAX(('Formation Initiale'!$A$2:$A$999=$A303)*'Formation Initiale'!$G$2:$G$999))&gt;0,TEXT(SUMPRODUCT(MAX(('Formation Initiale'!$A$2:$A$999=$A303)*'Formation Initiale'!$G$2:$G$999)),"yyyy-mm-dd"),"")))))</f>
        <v/>
      </c>
      <c r="F303" s="131" t="str">
        <f aca="false">IF($P303="✓","✓",IF(ISNUMBER($P303),TEXT($P303,"yyyy-mm-dd"),IF($A303="","",IF($D303="Lisbonne","",IF(SUMPRODUCT(('Formation Initiale'!$A$2:$A$999=$A303)*('Formation Initiale'!$R$2:$R$999="Terminé"))&gt;0,"✓",IF(SUMPRODUCT(MAX(('Formation Initiale'!$A$2:$A$999=$A303)*'Formation Initiale'!$G$2:$G$999))&gt;0,TEXT(SUMPRODUCT(MAX(('Formation Initiale'!$A$2:$A$999=$A303)*'Formation Initiale'!$G$2:$G$999)),"yyyy-mm-dd"),""))))))</f>
        <v/>
      </c>
      <c r="G303" s="131" t="str">
        <f aca="false">IF($Q303="✓","✓",IF(ISNUMBER($Q303),TEXT($Q303,"yyyy-mm-dd"),IF($A303="","",IF(SUMPRODUCT(('Agences &amp; Après-vente'!$A$2:$A$1000=$A303)*(('Agences &amp; Après-vente'!$D$2:$D$1000="Agences")+('Agences &amp; Après-vente'!$D$2:$D$1000="Agences et Après-vente"))*('Agences &amp; Après-vente'!$I$2:$I$1000="DONE"))&gt;0,"✓",IF(SUMPRODUCT(MAX(('Agences &amp; Après-vente'!$A$2:$A$1000=$A303)*(('Agences &amp; Après-vente'!$D$2:$D$1000="Agences")+('Agences &amp; Après-vente'!$D$2:$D$1000="Agences et Après-vente"))*'Agences &amp; Après-vente'!$E$2:$E$1000))&gt;0,TEXT(SUMPRODUCT(MAX(('Agences &amp; Après-vente'!$A$2:$A$1000=$A303)*(('Agences &amp; Après-vente'!$D$2:$D$1000="Agences")+('Agences &amp; Après-vente'!$D$2:$D$1000="Agences et Après-vente"))*'Agences &amp; Après-vente'!$E$2:$E$1000)),"yyyy-mm-dd"),"")))))</f>
        <v/>
      </c>
      <c r="H303" s="131" t="str">
        <f aca="false">IF($R303="✓","✓",IF(ISNUMBER($R303),TEXT($R303,"yyyy-mm-dd"),IF($A303="","",IF($D303="Lisbonne","",IF(SUMPRODUCT(('Agences &amp; Après-vente'!$A$2:$A$1000=$A303)*(('Agences &amp; Après-vente'!$D$2:$D$1000="Agences")+('Agences &amp; Après-vente'!$D$2:$D$1000="Agences et Après-vente"))*('Agences &amp; Après-vente'!$I$2:$I$1000="DONE"))&gt;0,"✓",IF(SUMPRODUCT(MAX(('Agences &amp; Après-vente'!$A$2:$A$1000=$A303)*(('Agences &amp; Après-vente'!$D$2:$D$1000="Agences")+('Agences &amp; Après-vente'!$D$2:$D$1000="Agences et Après-vente"))*'Agences &amp; Après-vente'!$E$2:$E$1000))&gt;0,TEXT(SUMPRODUCT(MAX(('Agences &amp; Après-vente'!$A$2:$A$1000=$A303)*(('Agences &amp; Après-vente'!$D$2:$D$1000="Agences")+('Agences &amp; Après-vente'!$D$2:$D$1000="Agences et Après-vente"))*'Agences &amp; Après-vente'!$E$2:$E$1000)),"yyyy-mm-dd"),""))))))</f>
        <v/>
      </c>
      <c r="I303" s="131" t="str">
        <f aca="false">IF($S303="✓","✓",IF(ISNUMBER($S303),TEXT($S303,"yyyy-mm-dd"),IF($A303="","",IF(SUMPRODUCT(('Agences &amp; Après-vente'!$A$2:$A$1000=$A303)*(('Agences &amp; Après-vente'!$D$2:$D$1000="Après-vente")+('Agences &amp; Après-vente'!$D$2:$D$1000="Agences et Après-vente"))*('Agences &amp; Après-vente'!$I$2:$I$1000="DONE"))&gt;0,"✓",IF(SUMPRODUCT(MAX(('Agences &amp; Après-vente'!$A$2:$A$1000=$A303)*(('Agences &amp; Après-vente'!$D$2:$D$1000="Après-vente")+('Agences &amp; Après-vente'!$D$2:$D$1000="Agences et Après-vente"))*'Agences &amp; Après-vente'!$E$2:$E$1000))&gt;0,TEXT(SUMPRODUCT(MAX(('Agences &amp; Après-vente'!$A$2:$A$1000=$A303)*(('Agences &amp; Après-vente'!$D$2:$D$1000="Après-vente")+('Agences &amp; Après-vente'!$D$2:$D$1000="Agences et Après-vente"))*'Agences &amp; Après-vente'!$E$2:$E$1000)),"yyyy-mm-dd"),"")))))</f>
        <v/>
      </c>
      <c r="J303" s="131" t="str">
        <f aca="false">IF($T303="✓","✓",IF(ISNUMBER($T303),TEXT($T303,"yyyy-mm-dd"),IF($A303="","",IF($D303="Lisbonne","",IF(SUMPRODUCT(('Agences &amp; Après-vente'!$A$2:$A$1000=$A303)*(('Agences &amp; Après-vente'!$D$2:$D$1000="Après-vente")+('Agences &amp; Après-vente'!$D$2:$D$1000="Agences et Après-vente"))*('Agences &amp; Après-vente'!$I$2:$I$1000="DONE"))&gt;0,"✓",IF(SUMPRODUCT(MAX(('Agences &amp; Après-vente'!$A$2:$A$1000=$A303)*(('Agences &amp; Après-vente'!$D$2:$D$1000="Après-vente")+('Agences &amp; Après-vente'!$D$2:$D$1000="Agences et Après-vente"))*'Agences &amp; Après-vente'!$E$2:$E$1000))&gt;0,TEXT(SUMPRODUCT(MAX(('Agences &amp; Après-vente'!$A$2:$A$1000=$A303)*(('Agences &amp; Après-vente'!$D$2:$D$1000="Après-vente")+('Agences &amp; Après-vente'!$D$2:$D$1000="Agences et Après-vente"))*'Agences &amp; Après-vente'!$E$2:$E$1000)),"yyyy-mm-dd"),""))))))</f>
        <v/>
      </c>
      <c r="K303" s="131" t="str">
        <f aca="false">IF($U303="✓","✓",IF(ISNUMBER($U303),TEXT($U303,"yyyy-mm-dd"),IF($D303="Lisbonne","",IF($A303="","",IF(SUMPRODUCT((Evermont!$A$2:$A$1000=$A303)*(Evermont!$Q$2:$Q$1000="Terminé"))&gt;0,"✓",IF(SUMPRODUCT(MAX((Evermont!$A$2:$A$1000=$A303)*Evermont!$F$2:$F$1000))&gt;0,TEXT(SUMPRODUCT(MAX((Evermont!$A$2:$A$1000=$A303)*Evermont!$F$2:$F$1000)),"yyyy-mm-dd"),""))))))</f>
        <v/>
      </c>
      <c r="L303" s="131" t="str">
        <f aca="false">IF($A303="","",COUNTIF(E303:K303,"✓"))</f>
        <v/>
      </c>
      <c r="M303" s="131" t="str">
        <f aca="false">IF(B303="","","Active")</f>
        <v/>
      </c>
      <c r="W303" s="120" t="str">
        <f aca="false">IF($A303="","",IF($X303&lt;&gt;"",$X303,IFERROR(INDEX('Formation Initiale'!$B$2:$B$999,MATCH($A303,'Formation Initiale'!$A$2:$A$999,0)),"Général")))</f>
        <v/>
      </c>
    </row>
    <row r="304" customFormat="false" ht="15" hidden="true" customHeight="true" outlineLevel="0" collapsed="false">
      <c r="A304" s="142" t="str">
        <f aca="false">IF(B304="","","TR"&amp;TEXT(ROW()-1,"000"))</f>
        <v/>
      </c>
      <c r="E304" s="130" t="str">
        <f aca="false">IF($O304="✓","✓",IF(ISNUMBER($O304),TEXT($O304,"yyyy-mm-dd"),IF($A304="","",IF(SUMPRODUCT(('Formation Initiale'!$A$2:$A$999=$A304)*('Formation Initiale'!$R$2:$R$999="Terminé"))&gt;0,"✓",IF(SUMPRODUCT(MAX(('Formation Initiale'!$A$2:$A$999=$A304)*'Formation Initiale'!$G$2:$G$999))&gt;0,TEXT(SUMPRODUCT(MAX(('Formation Initiale'!$A$2:$A$999=$A304)*'Formation Initiale'!$G$2:$G$999)),"yyyy-mm-dd"),"")))))</f>
        <v/>
      </c>
      <c r="F304" s="131" t="str">
        <f aca="false">IF($P304="✓","✓",IF(ISNUMBER($P304),TEXT($P304,"yyyy-mm-dd"),IF($A304="","",IF($D304="Lisbonne","",IF(SUMPRODUCT(('Formation Initiale'!$A$2:$A$999=$A304)*('Formation Initiale'!$R$2:$R$999="Terminé"))&gt;0,"✓",IF(SUMPRODUCT(MAX(('Formation Initiale'!$A$2:$A$999=$A304)*'Formation Initiale'!$G$2:$G$999))&gt;0,TEXT(SUMPRODUCT(MAX(('Formation Initiale'!$A$2:$A$999=$A304)*'Formation Initiale'!$G$2:$G$999)),"yyyy-mm-dd"),""))))))</f>
        <v/>
      </c>
      <c r="G304" s="131" t="str">
        <f aca="false">IF($Q304="✓","✓",IF(ISNUMBER($Q304),TEXT($Q304,"yyyy-mm-dd"),IF($A304="","",IF(SUMPRODUCT(('Agences &amp; Après-vente'!$A$2:$A$1000=$A304)*(('Agences &amp; Après-vente'!$D$2:$D$1000="Agences")+('Agences &amp; Après-vente'!$D$2:$D$1000="Agences et Après-vente"))*('Agences &amp; Après-vente'!$I$2:$I$1000="DONE"))&gt;0,"✓",IF(SUMPRODUCT(MAX(('Agences &amp; Après-vente'!$A$2:$A$1000=$A304)*(('Agences &amp; Après-vente'!$D$2:$D$1000="Agences")+('Agences &amp; Après-vente'!$D$2:$D$1000="Agences et Après-vente"))*'Agences &amp; Après-vente'!$E$2:$E$1000))&gt;0,TEXT(SUMPRODUCT(MAX(('Agences &amp; Après-vente'!$A$2:$A$1000=$A304)*(('Agences &amp; Après-vente'!$D$2:$D$1000="Agences")+('Agences &amp; Après-vente'!$D$2:$D$1000="Agences et Après-vente"))*'Agences &amp; Après-vente'!$E$2:$E$1000)),"yyyy-mm-dd"),"")))))</f>
        <v/>
      </c>
      <c r="H304" s="131" t="str">
        <f aca="false">IF($R304="✓","✓",IF(ISNUMBER($R304),TEXT($R304,"yyyy-mm-dd"),IF($A304="","",IF($D304="Lisbonne","",IF(SUMPRODUCT(('Agences &amp; Après-vente'!$A$2:$A$1000=$A304)*(('Agences &amp; Après-vente'!$D$2:$D$1000="Agences")+('Agences &amp; Après-vente'!$D$2:$D$1000="Agences et Après-vente"))*('Agences &amp; Après-vente'!$I$2:$I$1000="DONE"))&gt;0,"✓",IF(SUMPRODUCT(MAX(('Agences &amp; Après-vente'!$A$2:$A$1000=$A304)*(('Agences &amp; Après-vente'!$D$2:$D$1000="Agences")+('Agences &amp; Après-vente'!$D$2:$D$1000="Agences et Après-vente"))*'Agences &amp; Après-vente'!$E$2:$E$1000))&gt;0,TEXT(SUMPRODUCT(MAX(('Agences &amp; Après-vente'!$A$2:$A$1000=$A304)*(('Agences &amp; Après-vente'!$D$2:$D$1000="Agences")+('Agences &amp; Après-vente'!$D$2:$D$1000="Agences et Après-vente"))*'Agences &amp; Après-vente'!$E$2:$E$1000)),"yyyy-mm-dd"),""))))))</f>
        <v/>
      </c>
      <c r="I304" s="131" t="str">
        <f aca="false">IF($S304="✓","✓",IF(ISNUMBER($S304),TEXT($S304,"yyyy-mm-dd"),IF($A304="","",IF(SUMPRODUCT(('Agences &amp; Après-vente'!$A$2:$A$1000=$A304)*(('Agences &amp; Après-vente'!$D$2:$D$1000="Après-vente")+('Agences &amp; Après-vente'!$D$2:$D$1000="Agences et Après-vente"))*('Agences &amp; Après-vente'!$I$2:$I$1000="DONE"))&gt;0,"✓",IF(SUMPRODUCT(MAX(('Agences &amp; Après-vente'!$A$2:$A$1000=$A304)*(('Agences &amp; Après-vente'!$D$2:$D$1000="Après-vente")+('Agences &amp; Après-vente'!$D$2:$D$1000="Agences et Après-vente"))*'Agences &amp; Après-vente'!$E$2:$E$1000))&gt;0,TEXT(SUMPRODUCT(MAX(('Agences &amp; Après-vente'!$A$2:$A$1000=$A304)*(('Agences &amp; Après-vente'!$D$2:$D$1000="Après-vente")+('Agences &amp; Après-vente'!$D$2:$D$1000="Agences et Après-vente"))*'Agences &amp; Après-vente'!$E$2:$E$1000)),"yyyy-mm-dd"),"")))))</f>
        <v/>
      </c>
      <c r="J304" s="131" t="str">
        <f aca="false">IF($T304="✓","✓",IF(ISNUMBER($T304),TEXT($T304,"yyyy-mm-dd"),IF($A304="","",IF($D304="Lisbonne","",IF(SUMPRODUCT(('Agences &amp; Après-vente'!$A$2:$A$1000=$A304)*(('Agences &amp; Après-vente'!$D$2:$D$1000="Après-vente")+('Agences &amp; Après-vente'!$D$2:$D$1000="Agences et Après-vente"))*('Agences &amp; Après-vente'!$I$2:$I$1000="DONE"))&gt;0,"✓",IF(SUMPRODUCT(MAX(('Agences &amp; Après-vente'!$A$2:$A$1000=$A304)*(('Agences &amp; Après-vente'!$D$2:$D$1000="Après-vente")+('Agences &amp; Après-vente'!$D$2:$D$1000="Agences et Après-vente"))*'Agences &amp; Après-vente'!$E$2:$E$1000))&gt;0,TEXT(SUMPRODUCT(MAX(('Agences &amp; Après-vente'!$A$2:$A$1000=$A304)*(('Agences &amp; Après-vente'!$D$2:$D$1000="Après-vente")+('Agences &amp; Après-vente'!$D$2:$D$1000="Agences et Après-vente"))*'Agences &amp; Après-vente'!$E$2:$E$1000)),"yyyy-mm-dd"),""))))))</f>
        <v/>
      </c>
      <c r="K304" s="131" t="str">
        <f aca="false">IF($U304="✓","✓",IF(ISNUMBER($U304),TEXT($U304,"yyyy-mm-dd"),IF($D304="Lisbonne","",IF($A304="","",IF(SUMPRODUCT((Evermont!$A$2:$A$1000=$A304)*(Evermont!$Q$2:$Q$1000="Terminé"))&gt;0,"✓",IF(SUMPRODUCT(MAX((Evermont!$A$2:$A$1000=$A304)*Evermont!$F$2:$F$1000))&gt;0,TEXT(SUMPRODUCT(MAX((Evermont!$A$2:$A$1000=$A304)*Evermont!$F$2:$F$1000)),"yyyy-mm-dd"),""))))))</f>
        <v/>
      </c>
      <c r="L304" s="131" t="str">
        <f aca="false">IF($A304="","",COUNTIF(E304:K304,"✓"))</f>
        <v/>
      </c>
      <c r="M304" s="131" t="str">
        <f aca="false">IF(B304="","","Active")</f>
        <v/>
      </c>
      <c r="W304" s="120" t="str">
        <f aca="false">IF($A304="","",IF($X304&lt;&gt;"",$X304,IFERROR(INDEX('Formation Initiale'!$B$2:$B$999,MATCH($A304,'Formation Initiale'!$A$2:$A$999,0)),"Général")))</f>
        <v/>
      </c>
    </row>
    <row r="305" customFormat="false" ht="15" hidden="true" customHeight="true" outlineLevel="0" collapsed="false">
      <c r="A305" s="142" t="str">
        <f aca="false">IF(B305="","","TR"&amp;TEXT(ROW()-1,"000"))</f>
        <v/>
      </c>
      <c r="E305" s="130" t="str">
        <f aca="false">IF($O305="✓","✓",IF(ISNUMBER($O305),TEXT($O305,"yyyy-mm-dd"),IF($A305="","",IF(SUMPRODUCT(('Formation Initiale'!$A$2:$A$999=$A305)*('Formation Initiale'!$R$2:$R$999="Terminé"))&gt;0,"✓",IF(SUMPRODUCT(MAX(('Formation Initiale'!$A$2:$A$999=$A305)*'Formation Initiale'!$G$2:$G$999))&gt;0,TEXT(SUMPRODUCT(MAX(('Formation Initiale'!$A$2:$A$999=$A305)*'Formation Initiale'!$G$2:$G$999)),"yyyy-mm-dd"),"")))))</f>
        <v/>
      </c>
      <c r="F305" s="131" t="str">
        <f aca="false">IF($P305="✓","✓",IF(ISNUMBER($P305),TEXT($P305,"yyyy-mm-dd"),IF($A305="","",IF($D305="Lisbonne","",IF(SUMPRODUCT(('Formation Initiale'!$A$2:$A$999=$A305)*('Formation Initiale'!$R$2:$R$999="Terminé"))&gt;0,"✓",IF(SUMPRODUCT(MAX(('Formation Initiale'!$A$2:$A$999=$A305)*'Formation Initiale'!$G$2:$G$999))&gt;0,TEXT(SUMPRODUCT(MAX(('Formation Initiale'!$A$2:$A$999=$A305)*'Formation Initiale'!$G$2:$G$999)),"yyyy-mm-dd"),""))))))</f>
        <v/>
      </c>
      <c r="G305" s="131" t="str">
        <f aca="false">IF($Q305="✓","✓",IF(ISNUMBER($Q305),TEXT($Q305,"yyyy-mm-dd"),IF($A305="","",IF(SUMPRODUCT(('Agences &amp; Après-vente'!$A$2:$A$1000=$A305)*(('Agences &amp; Après-vente'!$D$2:$D$1000="Agences")+('Agences &amp; Après-vente'!$D$2:$D$1000="Agences et Après-vente"))*('Agences &amp; Après-vente'!$I$2:$I$1000="DONE"))&gt;0,"✓",IF(SUMPRODUCT(MAX(('Agences &amp; Après-vente'!$A$2:$A$1000=$A305)*(('Agences &amp; Après-vente'!$D$2:$D$1000="Agences")+('Agences &amp; Après-vente'!$D$2:$D$1000="Agences et Après-vente"))*'Agences &amp; Après-vente'!$E$2:$E$1000))&gt;0,TEXT(SUMPRODUCT(MAX(('Agences &amp; Après-vente'!$A$2:$A$1000=$A305)*(('Agences &amp; Après-vente'!$D$2:$D$1000="Agences")+('Agences &amp; Après-vente'!$D$2:$D$1000="Agences et Après-vente"))*'Agences &amp; Après-vente'!$E$2:$E$1000)),"yyyy-mm-dd"),"")))))</f>
        <v/>
      </c>
      <c r="H305" s="131" t="str">
        <f aca="false">IF($R305="✓","✓",IF(ISNUMBER($R305),TEXT($R305,"yyyy-mm-dd"),IF($A305="","",IF($D305="Lisbonne","",IF(SUMPRODUCT(('Agences &amp; Après-vente'!$A$2:$A$1000=$A305)*(('Agences &amp; Après-vente'!$D$2:$D$1000="Agences")+('Agences &amp; Après-vente'!$D$2:$D$1000="Agences et Après-vente"))*('Agences &amp; Après-vente'!$I$2:$I$1000="DONE"))&gt;0,"✓",IF(SUMPRODUCT(MAX(('Agences &amp; Après-vente'!$A$2:$A$1000=$A305)*(('Agences &amp; Après-vente'!$D$2:$D$1000="Agences")+('Agences &amp; Après-vente'!$D$2:$D$1000="Agences et Après-vente"))*'Agences &amp; Après-vente'!$E$2:$E$1000))&gt;0,TEXT(SUMPRODUCT(MAX(('Agences &amp; Après-vente'!$A$2:$A$1000=$A305)*(('Agences &amp; Après-vente'!$D$2:$D$1000="Agences")+('Agences &amp; Après-vente'!$D$2:$D$1000="Agences et Après-vente"))*'Agences &amp; Après-vente'!$E$2:$E$1000)),"yyyy-mm-dd"),""))))))</f>
        <v/>
      </c>
      <c r="I305" s="131" t="str">
        <f aca="false">IF($S305="✓","✓",IF(ISNUMBER($S305),TEXT($S305,"yyyy-mm-dd"),IF($A305="","",IF(SUMPRODUCT(('Agences &amp; Après-vente'!$A$2:$A$1000=$A305)*(('Agences &amp; Après-vente'!$D$2:$D$1000="Après-vente")+('Agences &amp; Après-vente'!$D$2:$D$1000="Agences et Après-vente"))*('Agences &amp; Après-vente'!$I$2:$I$1000="DONE"))&gt;0,"✓",IF(SUMPRODUCT(MAX(('Agences &amp; Après-vente'!$A$2:$A$1000=$A305)*(('Agences &amp; Après-vente'!$D$2:$D$1000="Après-vente")+('Agences &amp; Après-vente'!$D$2:$D$1000="Agences et Après-vente"))*'Agences &amp; Après-vente'!$E$2:$E$1000))&gt;0,TEXT(SUMPRODUCT(MAX(('Agences &amp; Après-vente'!$A$2:$A$1000=$A305)*(('Agences &amp; Après-vente'!$D$2:$D$1000="Après-vente")+('Agences &amp; Après-vente'!$D$2:$D$1000="Agences et Après-vente"))*'Agences &amp; Après-vente'!$E$2:$E$1000)),"yyyy-mm-dd"),"")))))</f>
        <v/>
      </c>
      <c r="J305" s="131" t="str">
        <f aca="false">IF($T305="✓","✓",IF(ISNUMBER($T305),TEXT($T305,"yyyy-mm-dd"),IF($A305="","",IF($D305="Lisbonne","",IF(SUMPRODUCT(('Agences &amp; Après-vente'!$A$2:$A$1000=$A305)*(('Agences &amp; Après-vente'!$D$2:$D$1000="Après-vente")+('Agences &amp; Après-vente'!$D$2:$D$1000="Agences et Après-vente"))*('Agences &amp; Après-vente'!$I$2:$I$1000="DONE"))&gt;0,"✓",IF(SUMPRODUCT(MAX(('Agences &amp; Après-vente'!$A$2:$A$1000=$A305)*(('Agences &amp; Après-vente'!$D$2:$D$1000="Après-vente")+('Agences &amp; Après-vente'!$D$2:$D$1000="Agences et Après-vente"))*'Agences &amp; Après-vente'!$E$2:$E$1000))&gt;0,TEXT(SUMPRODUCT(MAX(('Agences &amp; Après-vente'!$A$2:$A$1000=$A305)*(('Agences &amp; Après-vente'!$D$2:$D$1000="Après-vente")+('Agences &amp; Après-vente'!$D$2:$D$1000="Agences et Après-vente"))*'Agences &amp; Après-vente'!$E$2:$E$1000)),"yyyy-mm-dd"),""))))))</f>
        <v/>
      </c>
      <c r="K305" s="131" t="str">
        <f aca="false">IF($U305="✓","✓",IF(ISNUMBER($U305),TEXT($U305,"yyyy-mm-dd"),IF($D305="Lisbonne","",IF($A305="","",IF(SUMPRODUCT((Evermont!$A$2:$A$1000=$A305)*(Evermont!$Q$2:$Q$1000="Terminé"))&gt;0,"✓",IF(SUMPRODUCT(MAX((Evermont!$A$2:$A$1000=$A305)*Evermont!$F$2:$F$1000))&gt;0,TEXT(SUMPRODUCT(MAX((Evermont!$A$2:$A$1000=$A305)*Evermont!$F$2:$F$1000)),"yyyy-mm-dd"),""))))))</f>
        <v/>
      </c>
      <c r="L305" s="131" t="str">
        <f aca="false">IF($A305="","",COUNTIF(E305:K305,"✓"))</f>
        <v/>
      </c>
      <c r="M305" s="131" t="str">
        <f aca="false">IF(B305="","","Active")</f>
        <v/>
      </c>
      <c r="W305" s="120" t="str">
        <f aca="false">IF($A305="","",IF($X305&lt;&gt;"",$X305,IFERROR(INDEX('Formation Initiale'!$B$2:$B$999,MATCH($A305,'Formation Initiale'!$A$2:$A$999,0)),"Général")))</f>
        <v/>
      </c>
    </row>
    <row r="306" customFormat="false" ht="15" hidden="true" customHeight="true" outlineLevel="0" collapsed="false">
      <c r="A306" s="142" t="str">
        <f aca="false">IF(B306="","","TR"&amp;TEXT(ROW()-1,"000"))</f>
        <v/>
      </c>
      <c r="E306" s="130" t="str">
        <f aca="false">IF($O306="✓","✓",IF(ISNUMBER($O306),TEXT($O306,"yyyy-mm-dd"),IF($A306="","",IF(SUMPRODUCT(('Formation Initiale'!$A$2:$A$999=$A306)*('Formation Initiale'!$R$2:$R$999="Terminé"))&gt;0,"✓",IF(SUMPRODUCT(MAX(('Formation Initiale'!$A$2:$A$999=$A306)*'Formation Initiale'!$G$2:$G$999))&gt;0,TEXT(SUMPRODUCT(MAX(('Formation Initiale'!$A$2:$A$999=$A306)*'Formation Initiale'!$G$2:$G$999)),"yyyy-mm-dd"),"")))))</f>
        <v/>
      </c>
      <c r="F306" s="131" t="str">
        <f aca="false">IF($P306="✓","✓",IF(ISNUMBER($P306),TEXT($P306,"yyyy-mm-dd"),IF($A306="","",IF($D306="Lisbonne","",IF(SUMPRODUCT(('Formation Initiale'!$A$2:$A$999=$A306)*('Formation Initiale'!$R$2:$R$999="Terminé"))&gt;0,"✓",IF(SUMPRODUCT(MAX(('Formation Initiale'!$A$2:$A$999=$A306)*'Formation Initiale'!$G$2:$G$999))&gt;0,TEXT(SUMPRODUCT(MAX(('Formation Initiale'!$A$2:$A$999=$A306)*'Formation Initiale'!$G$2:$G$999)),"yyyy-mm-dd"),""))))))</f>
        <v/>
      </c>
      <c r="G306" s="131" t="str">
        <f aca="false">IF($Q306="✓","✓",IF(ISNUMBER($Q306),TEXT($Q306,"yyyy-mm-dd"),IF($A306="","",IF(SUMPRODUCT(('Agences &amp; Après-vente'!$A$2:$A$1000=$A306)*(('Agences &amp; Après-vente'!$D$2:$D$1000="Agences")+('Agences &amp; Après-vente'!$D$2:$D$1000="Agences et Après-vente"))*('Agences &amp; Après-vente'!$I$2:$I$1000="DONE"))&gt;0,"✓",IF(SUMPRODUCT(MAX(('Agences &amp; Après-vente'!$A$2:$A$1000=$A306)*(('Agences &amp; Après-vente'!$D$2:$D$1000="Agences")+('Agences &amp; Après-vente'!$D$2:$D$1000="Agences et Après-vente"))*'Agences &amp; Après-vente'!$E$2:$E$1000))&gt;0,TEXT(SUMPRODUCT(MAX(('Agences &amp; Après-vente'!$A$2:$A$1000=$A306)*(('Agences &amp; Après-vente'!$D$2:$D$1000="Agences")+('Agences &amp; Après-vente'!$D$2:$D$1000="Agences et Après-vente"))*'Agences &amp; Après-vente'!$E$2:$E$1000)),"yyyy-mm-dd"),"")))))</f>
        <v/>
      </c>
      <c r="H306" s="131" t="str">
        <f aca="false">IF($R306="✓","✓",IF(ISNUMBER($R306),TEXT($R306,"yyyy-mm-dd"),IF($A306="","",IF($D306="Lisbonne","",IF(SUMPRODUCT(('Agences &amp; Après-vente'!$A$2:$A$1000=$A306)*(('Agences &amp; Après-vente'!$D$2:$D$1000="Agences")+('Agences &amp; Après-vente'!$D$2:$D$1000="Agences et Après-vente"))*('Agences &amp; Après-vente'!$I$2:$I$1000="DONE"))&gt;0,"✓",IF(SUMPRODUCT(MAX(('Agences &amp; Après-vente'!$A$2:$A$1000=$A306)*(('Agences &amp; Après-vente'!$D$2:$D$1000="Agences")+('Agences &amp; Après-vente'!$D$2:$D$1000="Agences et Après-vente"))*'Agences &amp; Après-vente'!$E$2:$E$1000))&gt;0,TEXT(SUMPRODUCT(MAX(('Agences &amp; Après-vente'!$A$2:$A$1000=$A306)*(('Agences &amp; Après-vente'!$D$2:$D$1000="Agences")+('Agences &amp; Après-vente'!$D$2:$D$1000="Agences et Après-vente"))*'Agences &amp; Après-vente'!$E$2:$E$1000)),"yyyy-mm-dd"),""))))))</f>
        <v/>
      </c>
      <c r="I306" s="131" t="str">
        <f aca="false">IF($S306="✓","✓",IF(ISNUMBER($S306),TEXT($S306,"yyyy-mm-dd"),IF($A306="","",IF(SUMPRODUCT(('Agences &amp; Après-vente'!$A$2:$A$1000=$A306)*(('Agences &amp; Après-vente'!$D$2:$D$1000="Après-vente")+('Agences &amp; Après-vente'!$D$2:$D$1000="Agences et Après-vente"))*('Agences &amp; Après-vente'!$I$2:$I$1000="DONE"))&gt;0,"✓",IF(SUMPRODUCT(MAX(('Agences &amp; Après-vente'!$A$2:$A$1000=$A306)*(('Agences &amp; Après-vente'!$D$2:$D$1000="Après-vente")+('Agences &amp; Après-vente'!$D$2:$D$1000="Agences et Après-vente"))*'Agences &amp; Après-vente'!$E$2:$E$1000))&gt;0,TEXT(SUMPRODUCT(MAX(('Agences &amp; Après-vente'!$A$2:$A$1000=$A306)*(('Agences &amp; Après-vente'!$D$2:$D$1000="Après-vente")+('Agences &amp; Après-vente'!$D$2:$D$1000="Agences et Après-vente"))*'Agences &amp; Après-vente'!$E$2:$E$1000)),"yyyy-mm-dd"),"")))))</f>
        <v/>
      </c>
      <c r="J306" s="131" t="str">
        <f aca="false">IF($T306="✓","✓",IF(ISNUMBER($T306),TEXT($T306,"yyyy-mm-dd"),IF($A306="","",IF($D306="Lisbonne","",IF(SUMPRODUCT(('Agences &amp; Après-vente'!$A$2:$A$1000=$A306)*(('Agences &amp; Après-vente'!$D$2:$D$1000="Après-vente")+('Agences &amp; Après-vente'!$D$2:$D$1000="Agences et Après-vente"))*('Agences &amp; Après-vente'!$I$2:$I$1000="DONE"))&gt;0,"✓",IF(SUMPRODUCT(MAX(('Agences &amp; Après-vente'!$A$2:$A$1000=$A306)*(('Agences &amp; Après-vente'!$D$2:$D$1000="Après-vente")+('Agences &amp; Après-vente'!$D$2:$D$1000="Agences et Après-vente"))*'Agences &amp; Après-vente'!$E$2:$E$1000))&gt;0,TEXT(SUMPRODUCT(MAX(('Agences &amp; Après-vente'!$A$2:$A$1000=$A306)*(('Agences &amp; Après-vente'!$D$2:$D$1000="Après-vente")+('Agences &amp; Après-vente'!$D$2:$D$1000="Agences et Après-vente"))*'Agences &amp; Après-vente'!$E$2:$E$1000)),"yyyy-mm-dd"),""))))))</f>
        <v/>
      </c>
      <c r="K306" s="131" t="str">
        <f aca="false">IF($U306="✓","✓",IF(ISNUMBER($U306),TEXT($U306,"yyyy-mm-dd"),IF($D306="Lisbonne","",IF($A306="","",IF(SUMPRODUCT((Evermont!$A$2:$A$1000=$A306)*(Evermont!$Q$2:$Q$1000="Terminé"))&gt;0,"✓",IF(SUMPRODUCT(MAX((Evermont!$A$2:$A$1000=$A306)*Evermont!$F$2:$F$1000))&gt;0,TEXT(SUMPRODUCT(MAX((Evermont!$A$2:$A$1000=$A306)*Evermont!$F$2:$F$1000)),"yyyy-mm-dd"),""))))))</f>
        <v/>
      </c>
      <c r="L306" s="131" t="str">
        <f aca="false">IF($A306="","",COUNTIF(E306:K306,"✓"))</f>
        <v/>
      </c>
      <c r="M306" s="131" t="str">
        <f aca="false">IF(B306="","","Active")</f>
        <v/>
      </c>
      <c r="W306" s="120" t="str">
        <f aca="false">IF($A306="","",IF($X306&lt;&gt;"",$X306,IFERROR(INDEX('Formation Initiale'!$B$2:$B$999,MATCH($A306,'Formation Initiale'!$A$2:$A$999,0)),"Général")))</f>
        <v/>
      </c>
    </row>
    <row r="307" customFormat="false" ht="15" hidden="true" customHeight="true" outlineLevel="0" collapsed="false">
      <c r="A307" s="142" t="str">
        <f aca="false">IF(B307="","","TR"&amp;TEXT(ROW()-1,"000"))</f>
        <v/>
      </c>
      <c r="E307" s="130" t="str">
        <f aca="false">IF($O307="✓","✓",IF(ISNUMBER($O307),TEXT($O307,"yyyy-mm-dd"),IF($A307="","",IF(SUMPRODUCT(('Formation Initiale'!$A$2:$A$999=$A307)*('Formation Initiale'!$R$2:$R$999="Terminé"))&gt;0,"✓",IF(SUMPRODUCT(MAX(('Formation Initiale'!$A$2:$A$999=$A307)*'Formation Initiale'!$G$2:$G$999))&gt;0,TEXT(SUMPRODUCT(MAX(('Formation Initiale'!$A$2:$A$999=$A307)*'Formation Initiale'!$G$2:$G$999)),"yyyy-mm-dd"),"")))))</f>
        <v/>
      </c>
      <c r="F307" s="131" t="str">
        <f aca="false">IF($P307="✓","✓",IF(ISNUMBER($P307),TEXT($P307,"yyyy-mm-dd"),IF($A307="","",IF($D307="Lisbonne","",IF(SUMPRODUCT(('Formation Initiale'!$A$2:$A$999=$A307)*('Formation Initiale'!$R$2:$R$999="Terminé"))&gt;0,"✓",IF(SUMPRODUCT(MAX(('Formation Initiale'!$A$2:$A$999=$A307)*'Formation Initiale'!$G$2:$G$999))&gt;0,TEXT(SUMPRODUCT(MAX(('Formation Initiale'!$A$2:$A$999=$A307)*'Formation Initiale'!$G$2:$G$999)),"yyyy-mm-dd"),""))))))</f>
        <v/>
      </c>
      <c r="G307" s="131" t="str">
        <f aca="false">IF($Q307="✓","✓",IF(ISNUMBER($Q307),TEXT($Q307,"yyyy-mm-dd"),IF($A307="","",IF(SUMPRODUCT(('Agences &amp; Après-vente'!$A$2:$A$1000=$A307)*(('Agences &amp; Après-vente'!$D$2:$D$1000="Agences")+('Agences &amp; Après-vente'!$D$2:$D$1000="Agences et Après-vente"))*('Agences &amp; Après-vente'!$I$2:$I$1000="DONE"))&gt;0,"✓",IF(SUMPRODUCT(MAX(('Agences &amp; Après-vente'!$A$2:$A$1000=$A307)*(('Agences &amp; Après-vente'!$D$2:$D$1000="Agences")+('Agences &amp; Après-vente'!$D$2:$D$1000="Agences et Après-vente"))*'Agences &amp; Après-vente'!$E$2:$E$1000))&gt;0,TEXT(SUMPRODUCT(MAX(('Agences &amp; Après-vente'!$A$2:$A$1000=$A307)*(('Agences &amp; Après-vente'!$D$2:$D$1000="Agences")+('Agences &amp; Après-vente'!$D$2:$D$1000="Agences et Après-vente"))*'Agences &amp; Après-vente'!$E$2:$E$1000)),"yyyy-mm-dd"),"")))))</f>
        <v/>
      </c>
      <c r="H307" s="131" t="str">
        <f aca="false">IF($R307="✓","✓",IF(ISNUMBER($R307),TEXT($R307,"yyyy-mm-dd"),IF($A307="","",IF($D307="Lisbonne","",IF(SUMPRODUCT(('Agences &amp; Après-vente'!$A$2:$A$1000=$A307)*(('Agences &amp; Après-vente'!$D$2:$D$1000="Agences")+('Agences &amp; Après-vente'!$D$2:$D$1000="Agences et Après-vente"))*('Agences &amp; Après-vente'!$I$2:$I$1000="DONE"))&gt;0,"✓",IF(SUMPRODUCT(MAX(('Agences &amp; Après-vente'!$A$2:$A$1000=$A307)*(('Agences &amp; Après-vente'!$D$2:$D$1000="Agences")+('Agences &amp; Après-vente'!$D$2:$D$1000="Agences et Après-vente"))*'Agences &amp; Après-vente'!$E$2:$E$1000))&gt;0,TEXT(SUMPRODUCT(MAX(('Agences &amp; Après-vente'!$A$2:$A$1000=$A307)*(('Agences &amp; Après-vente'!$D$2:$D$1000="Agences")+('Agences &amp; Après-vente'!$D$2:$D$1000="Agences et Après-vente"))*'Agences &amp; Après-vente'!$E$2:$E$1000)),"yyyy-mm-dd"),""))))))</f>
        <v/>
      </c>
      <c r="I307" s="131" t="str">
        <f aca="false">IF($S307="✓","✓",IF(ISNUMBER($S307),TEXT($S307,"yyyy-mm-dd"),IF($A307="","",IF(SUMPRODUCT(('Agences &amp; Après-vente'!$A$2:$A$1000=$A307)*(('Agences &amp; Après-vente'!$D$2:$D$1000="Après-vente")+('Agences &amp; Après-vente'!$D$2:$D$1000="Agences et Après-vente"))*('Agences &amp; Après-vente'!$I$2:$I$1000="DONE"))&gt;0,"✓",IF(SUMPRODUCT(MAX(('Agences &amp; Après-vente'!$A$2:$A$1000=$A307)*(('Agences &amp; Après-vente'!$D$2:$D$1000="Après-vente")+('Agences &amp; Après-vente'!$D$2:$D$1000="Agences et Après-vente"))*'Agences &amp; Après-vente'!$E$2:$E$1000))&gt;0,TEXT(SUMPRODUCT(MAX(('Agences &amp; Après-vente'!$A$2:$A$1000=$A307)*(('Agences &amp; Après-vente'!$D$2:$D$1000="Après-vente")+('Agences &amp; Après-vente'!$D$2:$D$1000="Agences et Après-vente"))*'Agences &amp; Après-vente'!$E$2:$E$1000)),"yyyy-mm-dd"),"")))))</f>
        <v/>
      </c>
      <c r="J307" s="131" t="str">
        <f aca="false">IF($T307="✓","✓",IF(ISNUMBER($T307),TEXT($T307,"yyyy-mm-dd"),IF($A307="","",IF($D307="Lisbonne","",IF(SUMPRODUCT(('Agences &amp; Après-vente'!$A$2:$A$1000=$A307)*(('Agences &amp; Après-vente'!$D$2:$D$1000="Après-vente")+('Agences &amp; Après-vente'!$D$2:$D$1000="Agences et Après-vente"))*('Agences &amp; Après-vente'!$I$2:$I$1000="DONE"))&gt;0,"✓",IF(SUMPRODUCT(MAX(('Agences &amp; Après-vente'!$A$2:$A$1000=$A307)*(('Agences &amp; Après-vente'!$D$2:$D$1000="Après-vente")+('Agences &amp; Après-vente'!$D$2:$D$1000="Agences et Après-vente"))*'Agences &amp; Après-vente'!$E$2:$E$1000))&gt;0,TEXT(SUMPRODUCT(MAX(('Agences &amp; Après-vente'!$A$2:$A$1000=$A307)*(('Agences &amp; Après-vente'!$D$2:$D$1000="Après-vente")+('Agences &amp; Après-vente'!$D$2:$D$1000="Agences et Après-vente"))*'Agences &amp; Après-vente'!$E$2:$E$1000)),"yyyy-mm-dd"),""))))))</f>
        <v/>
      </c>
      <c r="K307" s="131" t="str">
        <f aca="false">IF($U307="✓","✓",IF(ISNUMBER($U307),TEXT($U307,"yyyy-mm-dd"),IF($D307="Lisbonne","",IF($A307="","",IF(SUMPRODUCT((Evermont!$A$2:$A$1000=$A307)*(Evermont!$Q$2:$Q$1000="Terminé"))&gt;0,"✓",IF(SUMPRODUCT(MAX((Evermont!$A$2:$A$1000=$A307)*Evermont!$F$2:$F$1000))&gt;0,TEXT(SUMPRODUCT(MAX((Evermont!$A$2:$A$1000=$A307)*Evermont!$F$2:$F$1000)),"yyyy-mm-dd"),""))))))</f>
        <v/>
      </c>
      <c r="L307" s="131" t="str">
        <f aca="false">IF($A307="","",COUNTIF(E307:K307,"✓"))</f>
        <v/>
      </c>
      <c r="M307" s="131" t="str">
        <f aca="false">IF(B307="","","Active")</f>
        <v/>
      </c>
      <c r="W307" s="120" t="str">
        <f aca="false">IF($A307="","",IF($X307&lt;&gt;"",$X307,IFERROR(INDEX('Formation Initiale'!$B$2:$B$999,MATCH($A307,'Formation Initiale'!$A$2:$A$999,0)),"Général")))</f>
        <v/>
      </c>
    </row>
    <row r="308" customFormat="false" ht="15" hidden="true" customHeight="true" outlineLevel="0" collapsed="false">
      <c r="A308" s="142" t="str">
        <f aca="false">IF(B308="","","TR"&amp;TEXT(ROW()-1,"000"))</f>
        <v/>
      </c>
      <c r="E308" s="130" t="str">
        <f aca="false">IF($O308="✓","✓",IF(ISNUMBER($O308),TEXT($O308,"yyyy-mm-dd"),IF($A308="","",IF(SUMPRODUCT(('Formation Initiale'!$A$2:$A$999=$A308)*('Formation Initiale'!$R$2:$R$999="Terminé"))&gt;0,"✓",IF(SUMPRODUCT(MAX(('Formation Initiale'!$A$2:$A$999=$A308)*'Formation Initiale'!$G$2:$G$999))&gt;0,TEXT(SUMPRODUCT(MAX(('Formation Initiale'!$A$2:$A$999=$A308)*'Formation Initiale'!$G$2:$G$999)),"yyyy-mm-dd"),"")))))</f>
        <v/>
      </c>
      <c r="F308" s="131" t="str">
        <f aca="false">IF($P308="✓","✓",IF(ISNUMBER($P308),TEXT($P308,"yyyy-mm-dd"),IF($A308="","",IF($D308="Lisbonne","",IF(SUMPRODUCT(('Formation Initiale'!$A$2:$A$999=$A308)*('Formation Initiale'!$R$2:$R$999="Terminé"))&gt;0,"✓",IF(SUMPRODUCT(MAX(('Formation Initiale'!$A$2:$A$999=$A308)*'Formation Initiale'!$G$2:$G$999))&gt;0,TEXT(SUMPRODUCT(MAX(('Formation Initiale'!$A$2:$A$999=$A308)*'Formation Initiale'!$G$2:$G$999)),"yyyy-mm-dd"),""))))))</f>
        <v/>
      </c>
      <c r="G308" s="131" t="str">
        <f aca="false">IF($Q308="✓","✓",IF(ISNUMBER($Q308),TEXT($Q308,"yyyy-mm-dd"),IF($A308="","",IF(SUMPRODUCT(('Agences &amp; Après-vente'!$A$2:$A$1000=$A308)*(('Agences &amp; Après-vente'!$D$2:$D$1000="Agences")+('Agences &amp; Après-vente'!$D$2:$D$1000="Agences et Après-vente"))*('Agences &amp; Après-vente'!$I$2:$I$1000="DONE"))&gt;0,"✓",IF(SUMPRODUCT(MAX(('Agences &amp; Après-vente'!$A$2:$A$1000=$A308)*(('Agences &amp; Après-vente'!$D$2:$D$1000="Agences")+('Agences &amp; Après-vente'!$D$2:$D$1000="Agences et Après-vente"))*'Agences &amp; Après-vente'!$E$2:$E$1000))&gt;0,TEXT(SUMPRODUCT(MAX(('Agences &amp; Après-vente'!$A$2:$A$1000=$A308)*(('Agences &amp; Après-vente'!$D$2:$D$1000="Agences")+('Agences &amp; Après-vente'!$D$2:$D$1000="Agences et Après-vente"))*'Agences &amp; Après-vente'!$E$2:$E$1000)),"yyyy-mm-dd"),"")))))</f>
        <v/>
      </c>
      <c r="H308" s="131" t="str">
        <f aca="false">IF($R308="✓","✓",IF(ISNUMBER($R308),TEXT($R308,"yyyy-mm-dd"),IF($A308="","",IF($D308="Lisbonne","",IF(SUMPRODUCT(('Agences &amp; Après-vente'!$A$2:$A$1000=$A308)*(('Agences &amp; Après-vente'!$D$2:$D$1000="Agences")+('Agences &amp; Après-vente'!$D$2:$D$1000="Agences et Après-vente"))*('Agences &amp; Après-vente'!$I$2:$I$1000="DONE"))&gt;0,"✓",IF(SUMPRODUCT(MAX(('Agences &amp; Après-vente'!$A$2:$A$1000=$A308)*(('Agences &amp; Après-vente'!$D$2:$D$1000="Agences")+('Agences &amp; Après-vente'!$D$2:$D$1000="Agences et Après-vente"))*'Agences &amp; Après-vente'!$E$2:$E$1000))&gt;0,TEXT(SUMPRODUCT(MAX(('Agences &amp; Après-vente'!$A$2:$A$1000=$A308)*(('Agences &amp; Après-vente'!$D$2:$D$1000="Agences")+('Agences &amp; Après-vente'!$D$2:$D$1000="Agences et Après-vente"))*'Agences &amp; Après-vente'!$E$2:$E$1000)),"yyyy-mm-dd"),""))))))</f>
        <v/>
      </c>
      <c r="I308" s="131" t="str">
        <f aca="false">IF($S308="✓","✓",IF(ISNUMBER($S308),TEXT($S308,"yyyy-mm-dd"),IF($A308="","",IF(SUMPRODUCT(('Agences &amp; Après-vente'!$A$2:$A$1000=$A308)*(('Agences &amp; Après-vente'!$D$2:$D$1000="Après-vente")+('Agences &amp; Après-vente'!$D$2:$D$1000="Agences et Après-vente"))*('Agences &amp; Après-vente'!$I$2:$I$1000="DONE"))&gt;0,"✓",IF(SUMPRODUCT(MAX(('Agences &amp; Après-vente'!$A$2:$A$1000=$A308)*(('Agences &amp; Après-vente'!$D$2:$D$1000="Après-vente")+('Agences &amp; Après-vente'!$D$2:$D$1000="Agences et Après-vente"))*'Agences &amp; Après-vente'!$E$2:$E$1000))&gt;0,TEXT(SUMPRODUCT(MAX(('Agences &amp; Après-vente'!$A$2:$A$1000=$A308)*(('Agences &amp; Après-vente'!$D$2:$D$1000="Après-vente")+('Agences &amp; Après-vente'!$D$2:$D$1000="Agences et Après-vente"))*'Agences &amp; Après-vente'!$E$2:$E$1000)),"yyyy-mm-dd"),"")))))</f>
        <v/>
      </c>
      <c r="J308" s="131" t="str">
        <f aca="false">IF($T308="✓","✓",IF(ISNUMBER($T308),TEXT($T308,"yyyy-mm-dd"),IF($A308="","",IF($D308="Lisbonne","",IF(SUMPRODUCT(('Agences &amp; Après-vente'!$A$2:$A$1000=$A308)*(('Agences &amp; Après-vente'!$D$2:$D$1000="Après-vente")+('Agences &amp; Après-vente'!$D$2:$D$1000="Agences et Après-vente"))*('Agences &amp; Après-vente'!$I$2:$I$1000="DONE"))&gt;0,"✓",IF(SUMPRODUCT(MAX(('Agences &amp; Après-vente'!$A$2:$A$1000=$A308)*(('Agences &amp; Après-vente'!$D$2:$D$1000="Après-vente")+('Agences &amp; Après-vente'!$D$2:$D$1000="Agences et Après-vente"))*'Agences &amp; Après-vente'!$E$2:$E$1000))&gt;0,TEXT(SUMPRODUCT(MAX(('Agences &amp; Après-vente'!$A$2:$A$1000=$A308)*(('Agences &amp; Après-vente'!$D$2:$D$1000="Après-vente")+('Agences &amp; Après-vente'!$D$2:$D$1000="Agences et Après-vente"))*'Agences &amp; Après-vente'!$E$2:$E$1000)),"yyyy-mm-dd"),""))))))</f>
        <v/>
      </c>
      <c r="K308" s="131" t="str">
        <f aca="false">IF($U308="✓","✓",IF(ISNUMBER($U308),TEXT($U308,"yyyy-mm-dd"),IF($D308="Lisbonne","",IF($A308="","",IF(SUMPRODUCT((Evermont!$A$2:$A$1000=$A308)*(Evermont!$Q$2:$Q$1000="Terminé"))&gt;0,"✓",IF(SUMPRODUCT(MAX((Evermont!$A$2:$A$1000=$A308)*Evermont!$F$2:$F$1000))&gt;0,TEXT(SUMPRODUCT(MAX((Evermont!$A$2:$A$1000=$A308)*Evermont!$F$2:$F$1000)),"yyyy-mm-dd"),""))))))</f>
        <v/>
      </c>
      <c r="L308" s="131" t="str">
        <f aca="false">IF($A308="","",COUNTIF(E308:K308,"✓"))</f>
        <v/>
      </c>
      <c r="M308" s="131" t="str">
        <f aca="false">IF(B308="","","Active")</f>
        <v/>
      </c>
      <c r="W308" s="120" t="str">
        <f aca="false">IF($A308="","",IF($X308&lt;&gt;"",$X308,IFERROR(INDEX('Formation Initiale'!$B$2:$B$999,MATCH($A308,'Formation Initiale'!$A$2:$A$999,0)),"Général")))</f>
        <v/>
      </c>
    </row>
    <row r="309" customFormat="false" ht="15" hidden="true" customHeight="true" outlineLevel="0" collapsed="false">
      <c r="A309" s="142" t="str">
        <f aca="false">IF(B309="","","TR"&amp;TEXT(ROW()-1,"000"))</f>
        <v/>
      </c>
      <c r="E309" s="130" t="str">
        <f aca="false">IF($O309="✓","✓",IF(ISNUMBER($O309),TEXT($O309,"yyyy-mm-dd"),IF($A309="","",IF(SUMPRODUCT(('Formation Initiale'!$A$2:$A$999=$A309)*('Formation Initiale'!$R$2:$R$999="Terminé"))&gt;0,"✓",IF(SUMPRODUCT(MAX(('Formation Initiale'!$A$2:$A$999=$A309)*'Formation Initiale'!$G$2:$G$999))&gt;0,TEXT(SUMPRODUCT(MAX(('Formation Initiale'!$A$2:$A$999=$A309)*'Formation Initiale'!$G$2:$G$999)),"yyyy-mm-dd"),"")))))</f>
        <v/>
      </c>
      <c r="F309" s="131" t="str">
        <f aca="false">IF($P309="✓","✓",IF(ISNUMBER($P309),TEXT($P309,"yyyy-mm-dd"),IF($A309="","",IF($D309="Lisbonne","",IF(SUMPRODUCT(('Formation Initiale'!$A$2:$A$999=$A309)*('Formation Initiale'!$R$2:$R$999="Terminé"))&gt;0,"✓",IF(SUMPRODUCT(MAX(('Formation Initiale'!$A$2:$A$999=$A309)*'Formation Initiale'!$G$2:$G$999))&gt;0,TEXT(SUMPRODUCT(MAX(('Formation Initiale'!$A$2:$A$999=$A309)*'Formation Initiale'!$G$2:$G$999)),"yyyy-mm-dd"),""))))))</f>
        <v/>
      </c>
      <c r="G309" s="131" t="str">
        <f aca="false">IF($Q309="✓","✓",IF(ISNUMBER($Q309),TEXT($Q309,"yyyy-mm-dd"),IF($A309="","",IF(SUMPRODUCT(('Agences &amp; Après-vente'!$A$2:$A$1000=$A309)*(('Agences &amp; Après-vente'!$D$2:$D$1000="Agences")+('Agences &amp; Après-vente'!$D$2:$D$1000="Agences et Après-vente"))*('Agences &amp; Après-vente'!$I$2:$I$1000="DONE"))&gt;0,"✓",IF(SUMPRODUCT(MAX(('Agences &amp; Après-vente'!$A$2:$A$1000=$A309)*(('Agences &amp; Après-vente'!$D$2:$D$1000="Agences")+('Agences &amp; Après-vente'!$D$2:$D$1000="Agences et Après-vente"))*'Agences &amp; Après-vente'!$E$2:$E$1000))&gt;0,TEXT(SUMPRODUCT(MAX(('Agences &amp; Après-vente'!$A$2:$A$1000=$A309)*(('Agences &amp; Après-vente'!$D$2:$D$1000="Agences")+('Agences &amp; Après-vente'!$D$2:$D$1000="Agences et Après-vente"))*'Agences &amp; Après-vente'!$E$2:$E$1000)),"yyyy-mm-dd"),"")))))</f>
        <v/>
      </c>
      <c r="H309" s="131" t="str">
        <f aca="false">IF($R309="✓","✓",IF(ISNUMBER($R309),TEXT($R309,"yyyy-mm-dd"),IF($A309="","",IF($D309="Lisbonne","",IF(SUMPRODUCT(('Agences &amp; Après-vente'!$A$2:$A$1000=$A309)*(('Agences &amp; Après-vente'!$D$2:$D$1000="Agences")+('Agences &amp; Après-vente'!$D$2:$D$1000="Agences et Après-vente"))*('Agences &amp; Après-vente'!$I$2:$I$1000="DONE"))&gt;0,"✓",IF(SUMPRODUCT(MAX(('Agences &amp; Après-vente'!$A$2:$A$1000=$A309)*(('Agences &amp; Après-vente'!$D$2:$D$1000="Agences")+('Agences &amp; Après-vente'!$D$2:$D$1000="Agences et Après-vente"))*'Agences &amp; Après-vente'!$E$2:$E$1000))&gt;0,TEXT(SUMPRODUCT(MAX(('Agences &amp; Après-vente'!$A$2:$A$1000=$A309)*(('Agences &amp; Après-vente'!$D$2:$D$1000="Agences")+('Agences &amp; Après-vente'!$D$2:$D$1000="Agences et Après-vente"))*'Agences &amp; Après-vente'!$E$2:$E$1000)),"yyyy-mm-dd"),""))))))</f>
        <v/>
      </c>
      <c r="I309" s="131" t="str">
        <f aca="false">IF($S309="✓","✓",IF(ISNUMBER($S309),TEXT($S309,"yyyy-mm-dd"),IF($A309="","",IF(SUMPRODUCT(('Agences &amp; Après-vente'!$A$2:$A$1000=$A309)*(('Agences &amp; Après-vente'!$D$2:$D$1000="Après-vente")+('Agences &amp; Après-vente'!$D$2:$D$1000="Agences et Après-vente"))*('Agences &amp; Après-vente'!$I$2:$I$1000="DONE"))&gt;0,"✓",IF(SUMPRODUCT(MAX(('Agences &amp; Après-vente'!$A$2:$A$1000=$A309)*(('Agences &amp; Après-vente'!$D$2:$D$1000="Après-vente")+('Agences &amp; Après-vente'!$D$2:$D$1000="Agences et Après-vente"))*'Agences &amp; Après-vente'!$E$2:$E$1000))&gt;0,TEXT(SUMPRODUCT(MAX(('Agences &amp; Après-vente'!$A$2:$A$1000=$A309)*(('Agences &amp; Après-vente'!$D$2:$D$1000="Après-vente")+('Agences &amp; Après-vente'!$D$2:$D$1000="Agences et Après-vente"))*'Agences &amp; Après-vente'!$E$2:$E$1000)),"yyyy-mm-dd"),"")))))</f>
        <v/>
      </c>
      <c r="J309" s="131" t="str">
        <f aca="false">IF($T309="✓","✓",IF(ISNUMBER($T309),TEXT($T309,"yyyy-mm-dd"),IF($A309="","",IF($D309="Lisbonne","",IF(SUMPRODUCT(('Agences &amp; Après-vente'!$A$2:$A$1000=$A309)*(('Agences &amp; Après-vente'!$D$2:$D$1000="Après-vente")+('Agences &amp; Après-vente'!$D$2:$D$1000="Agences et Après-vente"))*('Agences &amp; Après-vente'!$I$2:$I$1000="DONE"))&gt;0,"✓",IF(SUMPRODUCT(MAX(('Agences &amp; Après-vente'!$A$2:$A$1000=$A309)*(('Agences &amp; Après-vente'!$D$2:$D$1000="Après-vente")+('Agences &amp; Après-vente'!$D$2:$D$1000="Agences et Après-vente"))*'Agences &amp; Après-vente'!$E$2:$E$1000))&gt;0,TEXT(SUMPRODUCT(MAX(('Agences &amp; Après-vente'!$A$2:$A$1000=$A309)*(('Agences &amp; Après-vente'!$D$2:$D$1000="Après-vente")+('Agences &amp; Après-vente'!$D$2:$D$1000="Agences et Après-vente"))*'Agences &amp; Après-vente'!$E$2:$E$1000)),"yyyy-mm-dd"),""))))))</f>
        <v/>
      </c>
      <c r="K309" s="131" t="str">
        <f aca="false">IF($U309="✓","✓",IF(ISNUMBER($U309),TEXT($U309,"yyyy-mm-dd"),IF($D309="Lisbonne","",IF($A309="","",IF(SUMPRODUCT((Evermont!$A$2:$A$1000=$A309)*(Evermont!$Q$2:$Q$1000="Terminé"))&gt;0,"✓",IF(SUMPRODUCT(MAX((Evermont!$A$2:$A$1000=$A309)*Evermont!$F$2:$F$1000))&gt;0,TEXT(SUMPRODUCT(MAX((Evermont!$A$2:$A$1000=$A309)*Evermont!$F$2:$F$1000)),"yyyy-mm-dd"),""))))))</f>
        <v/>
      </c>
      <c r="L309" s="131" t="str">
        <f aca="false">IF($A309="","",COUNTIF(E309:K309,"✓"))</f>
        <v/>
      </c>
      <c r="M309" s="131" t="str">
        <f aca="false">IF(B309="","","Active")</f>
        <v/>
      </c>
      <c r="W309" s="120" t="str">
        <f aca="false">IF($A309="","",IF($X309&lt;&gt;"",$X309,IFERROR(INDEX('Formation Initiale'!$B$2:$B$999,MATCH($A309,'Formation Initiale'!$A$2:$A$999,0)),"Général")))</f>
        <v/>
      </c>
    </row>
    <row r="310" customFormat="false" ht="15" hidden="true" customHeight="true" outlineLevel="0" collapsed="false">
      <c r="A310" s="142" t="str">
        <f aca="false">IF(B310="","","TR"&amp;TEXT(ROW()-1,"000"))</f>
        <v/>
      </c>
      <c r="E310" s="130" t="str">
        <f aca="false">IF($O310="✓","✓",IF(ISNUMBER($O310),TEXT($O310,"yyyy-mm-dd"),IF($A310="","",IF(SUMPRODUCT(('Formation Initiale'!$A$2:$A$999=$A310)*('Formation Initiale'!$R$2:$R$999="Terminé"))&gt;0,"✓",IF(SUMPRODUCT(MAX(('Formation Initiale'!$A$2:$A$999=$A310)*'Formation Initiale'!$G$2:$G$999))&gt;0,TEXT(SUMPRODUCT(MAX(('Formation Initiale'!$A$2:$A$999=$A310)*'Formation Initiale'!$G$2:$G$999)),"yyyy-mm-dd"),"")))))</f>
        <v/>
      </c>
      <c r="F310" s="131" t="str">
        <f aca="false">IF($P310="✓","✓",IF(ISNUMBER($P310),TEXT($P310,"yyyy-mm-dd"),IF($A310="","",IF($D310="Lisbonne","",IF(SUMPRODUCT(('Formation Initiale'!$A$2:$A$999=$A310)*('Formation Initiale'!$R$2:$R$999="Terminé"))&gt;0,"✓",IF(SUMPRODUCT(MAX(('Formation Initiale'!$A$2:$A$999=$A310)*'Formation Initiale'!$G$2:$G$999))&gt;0,TEXT(SUMPRODUCT(MAX(('Formation Initiale'!$A$2:$A$999=$A310)*'Formation Initiale'!$G$2:$G$999)),"yyyy-mm-dd"),""))))))</f>
        <v/>
      </c>
      <c r="G310" s="131" t="str">
        <f aca="false">IF($Q310="✓","✓",IF(ISNUMBER($Q310),TEXT($Q310,"yyyy-mm-dd"),IF($A310="","",IF(SUMPRODUCT(('Agences &amp; Après-vente'!$A$2:$A$1000=$A310)*(('Agences &amp; Après-vente'!$D$2:$D$1000="Agences")+('Agences &amp; Après-vente'!$D$2:$D$1000="Agences et Après-vente"))*('Agences &amp; Après-vente'!$I$2:$I$1000="DONE"))&gt;0,"✓",IF(SUMPRODUCT(MAX(('Agences &amp; Après-vente'!$A$2:$A$1000=$A310)*(('Agences &amp; Après-vente'!$D$2:$D$1000="Agences")+('Agences &amp; Après-vente'!$D$2:$D$1000="Agences et Après-vente"))*'Agences &amp; Après-vente'!$E$2:$E$1000))&gt;0,TEXT(SUMPRODUCT(MAX(('Agences &amp; Après-vente'!$A$2:$A$1000=$A310)*(('Agences &amp; Après-vente'!$D$2:$D$1000="Agences")+('Agences &amp; Après-vente'!$D$2:$D$1000="Agences et Après-vente"))*'Agences &amp; Après-vente'!$E$2:$E$1000)),"yyyy-mm-dd"),"")))))</f>
        <v/>
      </c>
      <c r="H310" s="131" t="str">
        <f aca="false">IF($R310="✓","✓",IF(ISNUMBER($R310),TEXT($R310,"yyyy-mm-dd"),IF($A310="","",IF($D310="Lisbonne","",IF(SUMPRODUCT(('Agences &amp; Après-vente'!$A$2:$A$1000=$A310)*(('Agences &amp; Après-vente'!$D$2:$D$1000="Agences")+('Agences &amp; Après-vente'!$D$2:$D$1000="Agences et Après-vente"))*('Agences &amp; Après-vente'!$I$2:$I$1000="DONE"))&gt;0,"✓",IF(SUMPRODUCT(MAX(('Agences &amp; Après-vente'!$A$2:$A$1000=$A310)*(('Agences &amp; Après-vente'!$D$2:$D$1000="Agences")+('Agences &amp; Après-vente'!$D$2:$D$1000="Agences et Après-vente"))*'Agences &amp; Après-vente'!$E$2:$E$1000))&gt;0,TEXT(SUMPRODUCT(MAX(('Agences &amp; Après-vente'!$A$2:$A$1000=$A310)*(('Agences &amp; Après-vente'!$D$2:$D$1000="Agences")+('Agences &amp; Après-vente'!$D$2:$D$1000="Agences et Après-vente"))*'Agences &amp; Après-vente'!$E$2:$E$1000)),"yyyy-mm-dd"),""))))))</f>
        <v/>
      </c>
      <c r="I310" s="131" t="str">
        <f aca="false">IF($S310="✓","✓",IF(ISNUMBER($S310),TEXT($S310,"yyyy-mm-dd"),IF($A310="","",IF(SUMPRODUCT(('Agences &amp; Après-vente'!$A$2:$A$1000=$A310)*(('Agences &amp; Après-vente'!$D$2:$D$1000="Après-vente")+('Agences &amp; Après-vente'!$D$2:$D$1000="Agences et Après-vente"))*('Agences &amp; Après-vente'!$I$2:$I$1000="DONE"))&gt;0,"✓",IF(SUMPRODUCT(MAX(('Agences &amp; Après-vente'!$A$2:$A$1000=$A310)*(('Agences &amp; Après-vente'!$D$2:$D$1000="Après-vente")+('Agences &amp; Après-vente'!$D$2:$D$1000="Agences et Après-vente"))*'Agences &amp; Après-vente'!$E$2:$E$1000))&gt;0,TEXT(SUMPRODUCT(MAX(('Agences &amp; Après-vente'!$A$2:$A$1000=$A310)*(('Agences &amp; Après-vente'!$D$2:$D$1000="Après-vente")+('Agences &amp; Après-vente'!$D$2:$D$1000="Agences et Après-vente"))*'Agences &amp; Après-vente'!$E$2:$E$1000)),"yyyy-mm-dd"),"")))))</f>
        <v/>
      </c>
      <c r="J310" s="131" t="str">
        <f aca="false">IF($T310="✓","✓",IF(ISNUMBER($T310),TEXT($T310,"yyyy-mm-dd"),IF($A310="","",IF($D310="Lisbonne","",IF(SUMPRODUCT(('Agences &amp; Après-vente'!$A$2:$A$1000=$A310)*(('Agences &amp; Après-vente'!$D$2:$D$1000="Après-vente")+('Agences &amp; Après-vente'!$D$2:$D$1000="Agences et Après-vente"))*('Agences &amp; Après-vente'!$I$2:$I$1000="DONE"))&gt;0,"✓",IF(SUMPRODUCT(MAX(('Agences &amp; Après-vente'!$A$2:$A$1000=$A310)*(('Agences &amp; Après-vente'!$D$2:$D$1000="Après-vente")+('Agences &amp; Après-vente'!$D$2:$D$1000="Agences et Après-vente"))*'Agences &amp; Après-vente'!$E$2:$E$1000))&gt;0,TEXT(SUMPRODUCT(MAX(('Agences &amp; Après-vente'!$A$2:$A$1000=$A310)*(('Agences &amp; Après-vente'!$D$2:$D$1000="Après-vente")+('Agences &amp; Après-vente'!$D$2:$D$1000="Agences et Après-vente"))*'Agences &amp; Après-vente'!$E$2:$E$1000)),"yyyy-mm-dd"),""))))))</f>
        <v/>
      </c>
      <c r="K310" s="131" t="str">
        <f aca="false">IF($U310="✓","✓",IF(ISNUMBER($U310),TEXT($U310,"yyyy-mm-dd"),IF($D310="Lisbonne","",IF($A310="","",IF(SUMPRODUCT((Evermont!$A$2:$A$1000=$A310)*(Evermont!$Q$2:$Q$1000="Terminé"))&gt;0,"✓",IF(SUMPRODUCT(MAX((Evermont!$A$2:$A$1000=$A310)*Evermont!$F$2:$F$1000))&gt;0,TEXT(SUMPRODUCT(MAX((Evermont!$A$2:$A$1000=$A310)*Evermont!$F$2:$F$1000)),"yyyy-mm-dd"),""))))))</f>
        <v/>
      </c>
      <c r="L310" s="131" t="str">
        <f aca="false">IF($A310="","",COUNTIF(E310:K310,"✓"))</f>
        <v/>
      </c>
      <c r="M310" s="131" t="str">
        <f aca="false">IF(B310="","","Active")</f>
        <v/>
      </c>
      <c r="W310" s="120" t="str">
        <f aca="false">IF($A310="","",IF($X310&lt;&gt;"",$X310,IFERROR(INDEX('Formation Initiale'!$B$2:$B$999,MATCH($A310,'Formation Initiale'!$A$2:$A$999,0)),"Général")))</f>
        <v/>
      </c>
    </row>
    <row r="311" customFormat="false" ht="15" hidden="true" customHeight="true" outlineLevel="0" collapsed="false">
      <c r="A311" s="142" t="str">
        <f aca="false">IF(B311="","","TR"&amp;TEXT(ROW()-1,"000"))</f>
        <v/>
      </c>
      <c r="E311" s="130" t="str">
        <f aca="false">IF($O311="✓","✓",IF(ISNUMBER($O311),TEXT($O311,"yyyy-mm-dd"),IF($A311="","",IF(SUMPRODUCT(('Formation Initiale'!$A$2:$A$999=$A311)*('Formation Initiale'!$R$2:$R$999="Terminé"))&gt;0,"✓",IF(SUMPRODUCT(MAX(('Formation Initiale'!$A$2:$A$999=$A311)*'Formation Initiale'!$G$2:$G$999))&gt;0,TEXT(SUMPRODUCT(MAX(('Formation Initiale'!$A$2:$A$999=$A311)*'Formation Initiale'!$G$2:$G$999)),"yyyy-mm-dd"),"")))))</f>
        <v/>
      </c>
      <c r="F311" s="131" t="str">
        <f aca="false">IF($P311="✓","✓",IF(ISNUMBER($P311),TEXT($P311,"yyyy-mm-dd"),IF($A311="","",IF($D311="Lisbonne","",IF(SUMPRODUCT(('Formation Initiale'!$A$2:$A$999=$A311)*('Formation Initiale'!$R$2:$R$999="Terminé"))&gt;0,"✓",IF(SUMPRODUCT(MAX(('Formation Initiale'!$A$2:$A$999=$A311)*'Formation Initiale'!$G$2:$G$999))&gt;0,TEXT(SUMPRODUCT(MAX(('Formation Initiale'!$A$2:$A$999=$A311)*'Formation Initiale'!$G$2:$G$999)),"yyyy-mm-dd"),""))))))</f>
        <v/>
      </c>
      <c r="G311" s="131" t="str">
        <f aca="false">IF($Q311="✓","✓",IF(ISNUMBER($Q311),TEXT($Q311,"yyyy-mm-dd"),IF($A311="","",IF(SUMPRODUCT(('Agences &amp; Après-vente'!$A$2:$A$1000=$A311)*(('Agences &amp; Après-vente'!$D$2:$D$1000="Agences")+('Agences &amp; Après-vente'!$D$2:$D$1000="Agences et Après-vente"))*('Agences &amp; Après-vente'!$I$2:$I$1000="DONE"))&gt;0,"✓",IF(SUMPRODUCT(MAX(('Agences &amp; Après-vente'!$A$2:$A$1000=$A311)*(('Agences &amp; Après-vente'!$D$2:$D$1000="Agences")+('Agences &amp; Après-vente'!$D$2:$D$1000="Agences et Après-vente"))*'Agences &amp; Après-vente'!$E$2:$E$1000))&gt;0,TEXT(SUMPRODUCT(MAX(('Agences &amp; Après-vente'!$A$2:$A$1000=$A311)*(('Agences &amp; Après-vente'!$D$2:$D$1000="Agences")+('Agences &amp; Après-vente'!$D$2:$D$1000="Agences et Après-vente"))*'Agences &amp; Après-vente'!$E$2:$E$1000)),"yyyy-mm-dd"),"")))))</f>
        <v/>
      </c>
      <c r="H311" s="131" t="str">
        <f aca="false">IF($R311="✓","✓",IF(ISNUMBER($R311),TEXT($R311,"yyyy-mm-dd"),IF($A311="","",IF($D311="Lisbonne","",IF(SUMPRODUCT(('Agences &amp; Après-vente'!$A$2:$A$1000=$A311)*(('Agences &amp; Après-vente'!$D$2:$D$1000="Agences")+('Agences &amp; Après-vente'!$D$2:$D$1000="Agences et Après-vente"))*('Agences &amp; Après-vente'!$I$2:$I$1000="DONE"))&gt;0,"✓",IF(SUMPRODUCT(MAX(('Agences &amp; Après-vente'!$A$2:$A$1000=$A311)*(('Agences &amp; Après-vente'!$D$2:$D$1000="Agences")+('Agences &amp; Après-vente'!$D$2:$D$1000="Agences et Après-vente"))*'Agences &amp; Après-vente'!$E$2:$E$1000))&gt;0,TEXT(SUMPRODUCT(MAX(('Agences &amp; Après-vente'!$A$2:$A$1000=$A311)*(('Agences &amp; Après-vente'!$D$2:$D$1000="Agences")+('Agences &amp; Après-vente'!$D$2:$D$1000="Agences et Après-vente"))*'Agences &amp; Après-vente'!$E$2:$E$1000)),"yyyy-mm-dd"),""))))))</f>
        <v/>
      </c>
      <c r="I311" s="131" t="str">
        <f aca="false">IF($S311="✓","✓",IF(ISNUMBER($S311),TEXT($S311,"yyyy-mm-dd"),IF($A311="","",IF(SUMPRODUCT(('Agences &amp; Après-vente'!$A$2:$A$1000=$A311)*(('Agences &amp; Après-vente'!$D$2:$D$1000="Après-vente")+('Agences &amp; Après-vente'!$D$2:$D$1000="Agences et Après-vente"))*('Agences &amp; Après-vente'!$I$2:$I$1000="DONE"))&gt;0,"✓",IF(SUMPRODUCT(MAX(('Agences &amp; Après-vente'!$A$2:$A$1000=$A311)*(('Agences &amp; Après-vente'!$D$2:$D$1000="Après-vente")+('Agences &amp; Après-vente'!$D$2:$D$1000="Agences et Après-vente"))*'Agences &amp; Après-vente'!$E$2:$E$1000))&gt;0,TEXT(SUMPRODUCT(MAX(('Agences &amp; Après-vente'!$A$2:$A$1000=$A311)*(('Agences &amp; Après-vente'!$D$2:$D$1000="Après-vente")+('Agences &amp; Après-vente'!$D$2:$D$1000="Agences et Après-vente"))*'Agences &amp; Après-vente'!$E$2:$E$1000)),"yyyy-mm-dd"),"")))))</f>
        <v/>
      </c>
      <c r="J311" s="131" t="str">
        <f aca="false">IF($T311="✓","✓",IF(ISNUMBER($T311),TEXT($T311,"yyyy-mm-dd"),IF($A311="","",IF($D311="Lisbonne","",IF(SUMPRODUCT(('Agences &amp; Après-vente'!$A$2:$A$1000=$A311)*(('Agences &amp; Après-vente'!$D$2:$D$1000="Après-vente")+('Agences &amp; Après-vente'!$D$2:$D$1000="Agences et Après-vente"))*('Agences &amp; Après-vente'!$I$2:$I$1000="DONE"))&gt;0,"✓",IF(SUMPRODUCT(MAX(('Agences &amp; Après-vente'!$A$2:$A$1000=$A311)*(('Agences &amp; Après-vente'!$D$2:$D$1000="Après-vente")+('Agences &amp; Après-vente'!$D$2:$D$1000="Agences et Après-vente"))*'Agences &amp; Après-vente'!$E$2:$E$1000))&gt;0,TEXT(SUMPRODUCT(MAX(('Agences &amp; Après-vente'!$A$2:$A$1000=$A311)*(('Agences &amp; Après-vente'!$D$2:$D$1000="Après-vente")+('Agences &amp; Après-vente'!$D$2:$D$1000="Agences et Après-vente"))*'Agences &amp; Après-vente'!$E$2:$E$1000)),"yyyy-mm-dd"),""))))))</f>
        <v/>
      </c>
      <c r="K311" s="131" t="str">
        <f aca="false">IF($U311="✓","✓",IF(ISNUMBER($U311),TEXT($U311,"yyyy-mm-dd"),IF($D311="Lisbonne","",IF($A311="","",IF(SUMPRODUCT((Evermont!$A$2:$A$1000=$A311)*(Evermont!$Q$2:$Q$1000="Terminé"))&gt;0,"✓",IF(SUMPRODUCT(MAX((Evermont!$A$2:$A$1000=$A311)*Evermont!$F$2:$F$1000))&gt;0,TEXT(SUMPRODUCT(MAX((Evermont!$A$2:$A$1000=$A311)*Evermont!$F$2:$F$1000)),"yyyy-mm-dd"),""))))))</f>
        <v/>
      </c>
      <c r="L311" s="131" t="str">
        <f aca="false">IF($A311="","",COUNTIF(E311:K311,"✓"))</f>
        <v/>
      </c>
      <c r="M311" s="131" t="str">
        <f aca="false">IF(B311="","","Active")</f>
        <v/>
      </c>
      <c r="W311" s="120" t="str">
        <f aca="false">IF($A311="","",IF($X311&lt;&gt;"",$X311,IFERROR(INDEX('Formation Initiale'!$B$2:$B$999,MATCH($A311,'Formation Initiale'!$A$2:$A$999,0)),"Général")))</f>
        <v/>
      </c>
    </row>
    <row r="312" customFormat="false" ht="15" hidden="true" customHeight="true" outlineLevel="0" collapsed="false">
      <c r="A312" s="142" t="str">
        <f aca="false">IF(B312="","","TR"&amp;TEXT(ROW()-1,"000"))</f>
        <v/>
      </c>
      <c r="E312" s="130" t="str">
        <f aca="false">IF($O312="✓","✓",IF(ISNUMBER($O312),TEXT($O312,"yyyy-mm-dd"),IF($A312="","",IF(SUMPRODUCT(('Formation Initiale'!$A$2:$A$999=$A312)*('Formation Initiale'!$R$2:$R$999="Terminé"))&gt;0,"✓",IF(SUMPRODUCT(MAX(('Formation Initiale'!$A$2:$A$999=$A312)*'Formation Initiale'!$G$2:$G$999))&gt;0,TEXT(SUMPRODUCT(MAX(('Formation Initiale'!$A$2:$A$999=$A312)*'Formation Initiale'!$G$2:$G$999)),"yyyy-mm-dd"),"")))))</f>
        <v/>
      </c>
      <c r="F312" s="131" t="str">
        <f aca="false">IF($P312="✓","✓",IF(ISNUMBER($P312),TEXT($P312,"yyyy-mm-dd"),IF($A312="","",IF($D312="Lisbonne","",IF(SUMPRODUCT(('Formation Initiale'!$A$2:$A$999=$A312)*('Formation Initiale'!$R$2:$R$999="Terminé"))&gt;0,"✓",IF(SUMPRODUCT(MAX(('Formation Initiale'!$A$2:$A$999=$A312)*'Formation Initiale'!$G$2:$G$999))&gt;0,TEXT(SUMPRODUCT(MAX(('Formation Initiale'!$A$2:$A$999=$A312)*'Formation Initiale'!$G$2:$G$999)),"yyyy-mm-dd"),""))))))</f>
        <v/>
      </c>
      <c r="G312" s="131" t="str">
        <f aca="false">IF($Q312="✓","✓",IF(ISNUMBER($Q312),TEXT($Q312,"yyyy-mm-dd"),IF($A312="","",IF(SUMPRODUCT(('Agences &amp; Après-vente'!$A$2:$A$1000=$A312)*(('Agences &amp; Après-vente'!$D$2:$D$1000="Agences")+('Agences &amp; Après-vente'!$D$2:$D$1000="Agences et Après-vente"))*('Agences &amp; Après-vente'!$I$2:$I$1000="DONE"))&gt;0,"✓",IF(SUMPRODUCT(MAX(('Agences &amp; Après-vente'!$A$2:$A$1000=$A312)*(('Agences &amp; Après-vente'!$D$2:$D$1000="Agences")+('Agences &amp; Après-vente'!$D$2:$D$1000="Agences et Après-vente"))*'Agences &amp; Après-vente'!$E$2:$E$1000))&gt;0,TEXT(SUMPRODUCT(MAX(('Agences &amp; Après-vente'!$A$2:$A$1000=$A312)*(('Agences &amp; Après-vente'!$D$2:$D$1000="Agences")+('Agences &amp; Après-vente'!$D$2:$D$1000="Agences et Après-vente"))*'Agences &amp; Après-vente'!$E$2:$E$1000)),"yyyy-mm-dd"),"")))))</f>
        <v/>
      </c>
      <c r="H312" s="131" t="str">
        <f aca="false">IF($R312="✓","✓",IF(ISNUMBER($R312),TEXT($R312,"yyyy-mm-dd"),IF($A312="","",IF($D312="Lisbonne","",IF(SUMPRODUCT(('Agences &amp; Après-vente'!$A$2:$A$1000=$A312)*(('Agences &amp; Après-vente'!$D$2:$D$1000="Agences")+('Agences &amp; Après-vente'!$D$2:$D$1000="Agences et Après-vente"))*('Agences &amp; Après-vente'!$I$2:$I$1000="DONE"))&gt;0,"✓",IF(SUMPRODUCT(MAX(('Agences &amp; Après-vente'!$A$2:$A$1000=$A312)*(('Agences &amp; Après-vente'!$D$2:$D$1000="Agences")+('Agences &amp; Après-vente'!$D$2:$D$1000="Agences et Après-vente"))*'Agences &amp; Après-vente'!$E$2:$E$1000))&gt;0,TEXT(SUMPRODUCT(MAX(('Agences &amp; Après-vente'!$A$2:$A$1000=$A312)*(('Agences &amp; Après-vente'!$D$2:$D$1000="Agences")+('Agences &amp; Après-vente'!$D$2:$D$1000="Agences et Après-vente"))*'Agences &amp; Après-vente'!$E$2:$E$1000)),"yyyy-mm-dd"),""))))))</f>
        <v/>
      </c>
      <c r="I312" s="131" t="str">
        <f aca="false">IF($S312="✓","✓",IF(ISNUMBER($S312),TEXT($S312,"yyyy-mm-dd"),IF($A312="","",IF(SUMPRODUCT(('Agences &amp; Après-vente'!$A$2:$A$1000=$A312)*(('Agences &amp; Après-vente'!$D$2:$D$1000="Après-vente")+('Agences &amp; Après-vente'!$D$2:$D$1000="Agences et Après-vente"))*('Agences &amp; Après-vente'!$I$2:$I$1000="DONE"))&gt;0,"✓",IF(SUMPRODUCT(MAX(('Agences &amp; Après-vente'!$A$2:$A$1000=$A312)*(('Agences &amp; Après-vente'!$D$2:$D$1000="Après-vente")+('Agences &amp; Après-vente'!$D$2:$D$1000="Agences et Après-vente"))*'Agences &amp; Après-vente'!$E$2:$E$1000))&gt;0,TEXT(SUMPRODUCT(MAX(('Agences &amp; Après-vente'!$A$2:$A$1000=$A312)*(('Agences &amp; Après-vente'!$D$2:$D$1000="Après-vente")+('Agences &amp; Après-vente'!$D$2:$D$1000="Agences et Après-vente"))*'Agences &amp; Après-vente'!$E$2:$E$1000)),"yyyy-mm-dd"),"")))))</f>
        <v/>
      </c>
      <c r="J312" s="131" t="str">
        <f aca="false">IF($T312="✓","✓",IF(ISNUMBER($T312),TEXT($T312,"yyyy-mm-dd"),IF($A312="","",IF($D312="Lisbonne","",IF(SUMPRODUCT(('Agences &amp; Après-vente'!$A$2:$A$1000=$A312)*(('Agences &amp; Après-vente'!$D$2:$D$1000="Après-vente")+('Agences &amp; Après-vente'!$D$2:$D$1000="Agences et Après-vente"))*('Agences &amp; Après-vente'!$I$2:$I$1000="DONE"))&gt;0,"✓",IF(SUMPRODUCT(MAX(('Agences &amp; Après-vente'!$A$2:$A$1000=$A312)*(('Agences &amp; Après-vente'!$D$2:$D$1000="Après-vente")+('Agences &amp; Après-vente'!$D$2:$D$1000="Agences et Après-vente"))*'Agences &amp; Après-vente'!$E$2:$E$1000))&gt;0,TEXT(SUMPRODUCT(MAX(('Agences &amp; Après-vente'!$A$2:$A$1000=$A312)*(('Agences &amp; Après-vente'!$D$2:$D$1000="Après-vente")+('Agences &amp; Après-vente'!$D$2:$D$1000="Agences et Après-vente"))*'Agences &amp; Après-vente'!$E$2:$E$1000)),"yyyy-mm-dd"),""))))))</f>
        <v/>
      </c>
      <c r="K312" s="131" t="str">
        <f aca="false">IF($U312="✓","✓",IF(ISNUMBER($U312),TEXT($U312,"yyyy-mm-dd"),IF($D312="Lisbonne","",IF($A312="","",IF(SUMPRODUCT((Evermont!$A$2:$A$1000=$A312)*(Evermont!$Q$2:$Q$1000="Terminé"))&gt;0,"✓",IF(SUMPRODUCT(MAX((Evermont!$A$2:$A$1000=$A312)*Evermont!$F$2:$F$1000))&gt;0,TEXT(SUMPRODUCT(MAX((Evermont!$A$2:$A$1000=$A312)*Evermont!$F$2:$F$1000)),"yyyy-mm-dd"),""))))))</f>
        <v/>
      </c>
      <c r="L312" s="131" t="str">
        <f aca="false">IF($A312="","",COUNTIF(E312:K312,"✓"))</f>
        <v/>
      </c>
      <c r="M312" s="131" t="str">
        <f aca="false">IF(B312="","","Active")</f>
        <v/>
      </c>
      <c r="W312" s="120" t="str">
        <f aca="false">IF($A312="","",IF($X312&lt;&gt;"",$X312,IFERROR(INDEX('Formation Initiale'!$B$2:$B$999,MATCH($A312,'Formation Initiale'!$A$2:$A$999,0)),"Général")))</f>
        <v/>
      </c>
    </row>
    <row r="313" customFormat="false" ht="15" hidden="true" customHeight="true" outlineLevel="0" collapsed="false">
      <c r="A313" s="142" t="str">
        <f aca="false">IF(B313="","","TR"&amp;TEXT(ROW()-1,"000"))</f>
        <v/>
      </c>
      <c r="E313" s="130" t="str">
        <f aca="false">IF($O313="✓","✓",IF(ISNUMBER($O313),TEXT($O313,"yyyy-mm-dd"),IF($A313="","",IF(SUMPRODUCT(('Formation Initiale'!$A$2:$A$999=$A313)*('Formation Initiale'!$R$2:$R$999="Terminé"))&gt;0,"✓",IF(SUMPRODUCT(MAX(('Formation Initiale'!$A$2:$A$999=$A313)*'Formation Initiale'!$G$2:$G$999))&gt;0,TEXT(SUMPRODUCT(MAX(('Formation Initiale'!$A$2:$A$999=$A313)*'Formation Initiale'!$G$2:$G$999)),"yyyy-mm-dd"),"")))))</f>
        <v/>
      </c>
      <c r="F313" s="131" t="str">
        <f aca="false">IF($P313="✓","✓",IF(ISNUMBER($P313),TEXT($P313,"yyyy-mm-dd"),IF($A313="","",IF($D313="Lisbonne","",IF(SUMPRODUCT(('Formation Initiale'!$A$2:$A$999=$A313)*('Formation Initiale'!$R$2:$R$999="Terminé"))&gt;0,"✓",IF(SUMPRODUCT(MAX(('Formation Initiale'!$A$2:$A$999=$A313)*'Formation Initiale'!$G$2:$G$999))&gt;0,TEXT(SUMPRODUCT(MAX(('Formation Initiale'!$A$2:$A$999=$A313)*'Formation Initiale'!$G$2:$G$999)),"yyyy-mm-dd"),""))))))</f>
        <v/>
      </c>
      <c r="G313" s="131" t="str">
        <f aca="false">IF($Q313="✓","✓",IF(ISNUMBER($Q313),TEXT($Q313,"yyyy-mm-dd"),IF($A313="","",IF(SUMPRODUCT(('Agences &amp; Après-vente'!$A$2:$A$1000=$A313)*(('Agences &amp; Après-vente'!$D$2:$D$1000="Agences")+('Agences &amp; Après-vente'!$D$2:$D$1000="Agences et Après-vente"))*('Agences &amp; Après-vente'!$I$2:$I$1000="DONE"))&gt;0,"✓",IF(SUMPRODUCT(MAX(('Agences &amp; Après-vente'!$A$2:$A$1000=$A313)*(('Agences &amp; Après-vente'!$D$2:$D$1000="Agences")+('Agences &amp; Après-vente'!$D$2:$D$1000="Agences et Après-vente"))*'Agences &amp; Après-vente'!$E$2:$E$1000))&gt;0,TEXT(SUMPRODUCT(MAX(('Agences &amp; Après-vente'!$A$2:$A$1000=$A313)*(('Agences &amp; Après-vente'!$D$2:$D$1000="Agences")+('Agences &amp; Après-vente'!$D$2:$D$1000="Agences et Après-vente"))*'Agences &amp; Après-vente'!$E$2:$E$1000)),"yyyy-mm-dd"),"")))))</f>
        <v/>
      </c>
      <c r="H313" s="131" t="str">
        <f aca="false">IF($R313="✓","✓",IF(ISNUMBER($R313),TEXT($R313,"yyyy-mm-dd"),IF($A313="","",IF($D313="Lisbonne","",IF(SUMPRODUCT(('Agences &amp; Après-vente'!$A$2:$A$1000=$A313)*(('Agences &amp; Après-vente'!$D$2:$D$1000="Agences")+('Agences &amp; Après-vente'!$D$2:$D$1000="Agences et Après-vente"))*('Agences &amp; Après-vente'!$I$2:$I$1000="DONE"))&gt;0,"✓",IF(SUMPRODUCT(MAX(('Agences &amp; Après-vente'!$A$2:$A$1000=$A313)*(('Agences &amp; Après-vente'!$D$2:$D$1000="Agences")+('Agences &amp; Après-vente'!$D$2:$D$1000="Agences et Après-vente"))*'Agences &amp; Après-vente'!$E$2:$E$1000))&gt;0,TEXT(SUMPRODUCT(MAX(('Agences &amp; Après-vente'!$A$2:$A$1000=$A313)*(('Agences &amp; Après-vente'!$D$2:$D$1000="Agences")+('Agences &amp; Après-vente'!$D$2:$D$1000="Agences et Après-vente"))*'Agences &amp; Après-vente'!$E$2:$E$1000)),"yyyy-mm-dd"),""))))))</f>
        <v/>
      </c>
      <c r="I313" s="131" t="str">
        <f aca="false">IF($S313="✓","✓",IF(ISNUMBER($S313),TEXT($S313,"yyyy-mm-dd"),IF($A313="","",IF(SUMPRODUCT(('Agences &amp; Après-vente'!$A$2:$A$1000=$A313)*(('Agences &amp; Après-vente'!$D$2:$D$1000="Après-vente")+('Agences &amp; Après-vente'!$D$2:$D$1000="Agences et Après-vente"))*('Agences &amp; Après-vente'!$I$2:$I$1000="DONE"))&gt;0,"✓",IF(SUMPRODUCT(MAX(('Agences &amp; Après-vente'!$A$2:$A$1000=$A313)*(('Agences &amp; Après-vente'!$D$2:$D$1000="Après-vente")+('Agences &amp; Après-vente'!$D$2:$D$1000="Agences et Après-vente"))*'Agences &amp; Après-vente'!$E$2:$E$1000))&gt;0,TEXT(SUMPRODUCT(MAX(('Agences &amp; Après-vente'!$A$2:$A$1000=$A313)*(('Agences &amp; Après-vente'!$D$2:$D$1000="Après-vente")+('Agences &amp; Après-vente'!$D$2:$D$1000="Agences et Après-vente"))*'Agences &amp; Après-vente'!$E$2:$E$1000)),"yyyy-mm-dd"),"")))))</f>
        <v/>
      </c>
      <c r="J313" s="131" t="str">
        <f aca="false">IF($T313="✓","✓",IF(ISNUMBER($T313),TEXT($T313,"yyyy-mm-dd"),IF($A313="","",IF($D313="Lisbonne","",IF(SUMPRODUCT(('Agences &amp; Après-vente'!$A$2:$A$1000=$A313)*(('Agences &amp; Après-vente'!$D$2:$D$1000="Après-vente")+('Agences &amp; Après-vente'!$D$2:$D$1000="Agences et Après-vente"))*('Agences &amp; Après-vente'!$I$2:$I$1000="DONE"))&gt;0,"✓",IF(SUMPRODUCT(MAX(('Agences &amp; Après-vente'!$A$2:$A$1000=$A313)*(('Agences &amp; Après-vente'!$D$2:$D$1000="Après-vente")+('Agences &amp; Après-vente'!$D$2:$D$1000="Agences et Après-vente"))*'Agences &amp; Après-vente'!$E$2:$E$1000))&gt;0,TEXT(SUMPRODUCT(MAX(('Agences &amp; Après-vente'!$A$2:$A$1000=$A313)*(('Agences &amp; Après-vente'!$D$2:$D$1000="Après-vente")+('Agences &amp; Après-vente'!$D$2:$D$1000="Agences et Après-vente"))*'Agences &amp; Après-vente'!$E$2:$E$1000)),"yyyy-mm-dd"),""))))))</f>
        <v/>
      </c>
      <c r="K313" s="131" t="str">
        <f aca="false">IF($U313="✓","✓",IF(ISNUMBER($U313),TEXT($U313,"yyyy-mm-dd"),IF($D313="Lisbonne","",IF($A313="","",IF(SUMPRODUCT((Evermont!$A$2:$A$1000=$A313)*(Evermont!$Q$2:$Q$1000="Terminé"))&gt;0,"✓",IF(SUMPRODUCT(MAX((Evermont!$A$2:$A$1000=$A313)*Evermont!$F$2:$F$1000))&gt;0,TEXT(SUMPRODUCT(MAX((Evermont!$A$2:$A$1000=$A313)*Evermont!$F$2:$F$1000)),"yyyy-mm-dd"),""))))))</f>
        <v/>
      </c>
      <c r="L313" s="131" t="str">
        <f aca="false">IF($A313="","",COUNTIF(E313:K313,"✓"))</f>
        <v/>
      </c>
      <c r="M313" s="131" t="str">
        <f aca="false">IF(B313="","","Active")</f>
        <v/>
      </c>
      <c r="W313" s="120" t="str">
        <f aca="false">IF($A313="","",IF($X313&lt;&gt;"",$X313,IFERROR(INDEX('Formation Initiale'!$B$2:$B$999,MATCH($A313,'Formation Initiale'!$A$2:$A$999,0)),"Général")))</f>
        <v/>
      </c>
    </row>
    <row r="314" customFormat="false" ht="15" hidden="true" customHeight="true" outlineLevel="0" collapsed="false">
      <c r="A314" s="142" t="str">
        <f aca="false">IF(B314="","","TR"&amp;TEXT(ROW()-1,"000"))</f>
        <v/>
      </c>
      <c r="E314" s="130" t="str">
        <f aca="false">IF($O314="✓","✓",IF(ISNUMBER($O314),TEXT($O314,"yyyy-mm-dd"),IF($A314="","",IF(SUMPRODUCT(('Formation Initiale'!$A$2:$A$999=$A314)*('Formation Initiale'!$R$2:$R$999="Terminé"))&gt;0,"✓",IF(SUMPRODUCT(MAX(('Formation Initiale'!$A$2:$A$999=$A314)*'Formation Initiale'!$G$2:$G$999))&gt;0,TEXT(SUMPRODUCT(MAX(('Formation Initiale'!$A$2:$A$999=$A314)*'Formation Initiale'!$G$2:$G$999)),"yyyy-mm-dd"),"")))))</f>
        <v/>
      </c>
      <c r="F314" s="131" t="str">
        <f aca="false">IF($P314="✓","✓",IF(ISNUMBER($P314),TEXT($P314,"yyyy-mm-dd"),IF($A314="","",IF($D314="Lisbonne","",IF(SUMPRODUCT(('Formation Initiale'!$A$2:$A$999=$A314)*('Formation Initiale'!$R$2:$R$999="Terminé"))&gt;0,"✓",IF(SUMPRODUCT(MAX(('Formation Initiale'!$A$2:$A$999=$A314)*'Formation Initiale'!$G$2:$G$999))&gt;0,TEXT(SUMPRODUCT(MAX(('Formation Initiale'!$A$2:$A$999=$A314)*'Formation Initiale'!$G$2:$G$999)),"yyyy-mm-dd"),""))))))</f>
        <v/>
      </c>
      <c r="G314" s="131" t="str">
        <f aca="false">IF($Q314="✓","✓",IF(ISNUMBER($Q314),TEXT($Q314,"yyyy-mm-dd"),IF($A314="","",IF(SUMPRODUCT(('Agences &amp; Après-vente'!$A$2:$A$1000=$A314)*(('Agences &amp; Après-vente'!$D$2:$D$1000="Agences")+('Agences &amp; Après-vente'!$D$2:$D$1000="Agences et Après-vente"))*('Agences &amp; Après-vente'!$I$2:$I$1000="DONE"))&gt;0,"✓",IF(SUMPRODUCT(MAX(('Agences &amp; Après-vente'!$A$2:$A$1000=$A314)*(('Agences &amp; Après-vente'!$D$2:$D$1000="Agences")+('Agences &amp; Après-vente'!$D$2:$D$1000="Agences et Après-vente"))*'Agences &amp; Après-vente'!$E$2:$E$1000))&gt;0,TEXT(SUMPRODUCT(MAX(('Agences &amp; Après-vente'!$A$2:$A$1000=$A314)*(('Agences &amp; Après-vente'!$D$2:$D$1000="Agences")+('Agences &amp; Après-vente'!$D$2:$D$1000="Agences et Après-vente"))*'Agences &amp; Après-vente'!$E$2:$E$1000)),"yyyy-mm-dd"),"")))))</f>
        <v/>
      </c>
      <c r="H314" s="131" t="str">
        <f aca="false">IF($R314="✓","✓",IF(ISNUMBER($R314),TEXT($R314,"yyyy-mm-dd"),IF($A314="","",IF($D314="Lisbonne","",IF(SUMPRODUCT(('Agences &amp; Après-vente'!$A$2:$A$1000=$A314)*(('Agences &amp; Après-vente'!$D$2:$D$1000="Agences")+('Agences &amp; Après-vente'!$D$2:$D$1000="Agences et Après-vente"))*('Agences &amp; Après-vente'!$I$2:$I$1000="DONE"))&gt;0,"✓",IF(SUMPRODUCT(MAX(('Agences &amp; Après-vente'!$A$2:$A$1000=$A314)*(('Agences &amp; Après-vente'!$D$2:$D$1000="Agences")+('Agences &amp; Après-vente'!$D$2:$D$1000="Agences et Après-vente"))*'Agences &amp; Après-vente'!$E$2:$E$1000))&gt;0,TEXT(SUMPRODUCT(MAX(('Agences &amp; Après-vente'!$A$2:$A$1000=$A314)*(('Agences &amp; Après-vente'!$D$2:$D$1000="Agences")+('Agences &amp; Après-vente'!$D$2:$D$1000="Agences et Après-vente"))*'Agences &amp; Après-vente'!$E$2:$E$1000)),"yyyy-mm-dd"),""))))))</f>
        <v/>
      </c>
      <c r="I314" s="131" t="str">
        <f aca="false">IF($S314="✓","✓",IF(ISNUMBER($S314),TEXT($S314,"yyyy-mm-dd"),IF($A314="","",IF(SUMPRODUCT(('Agences &amp; Après-vente'!$A$2:$A$1000=$A314)*(('Agences &amp; Après-vente'!$D$2:$D$1000="Après-vente")+('Agences &amp; Après-vente'!$D$2:$D$1000="Agences et Après-vente"))*('Agences &amp; Après-vente'!$I$2:$I$1000="DONE"))&gt;0,"✓",IF(SUMPRODUCT(MAX(('Agences &amp; Après-vente'!$A$2:$A$1000=$A314)*(('Agences &amp; Après-vente'!$D$2:$D$1000="Après-vente")+('Agences &amp; Après-vente'!$D$2:$D$1000="Agences et Après-vente"))*'Agences &amp; Après-vente'!$E$2:$E$1000))&gt;0,TEXT(SUMPRODUCT(MAX(('Agences &amp; Après-vente'!$A$2:$A$1000=$A314)*(('Agences &amp; Après-vente'!$D$2:$D$1000="Après-vente")+('Agences &amp; Après-vente'!$D$2:$D$1000="Agences et Après-vente"))*'Agences &amp; Après-vente'!$E$2:$E$1000)),"yyyy-mm-dd"),"")))))</f>
        <v/>
      </c>
      <c r="J314" s="131" t="str">
        <f aca="false">IF($T314="✓","✓",IF(ISNUMBER($T314),TEXT($T314,"yyyy-mm-dd"),IF($A314="","",IF($D314="Lisbonne","",IF(SUMPRODUCT(('Agences &amp; Après-vente'!$A$2:$A$1000=$A314)*(('Agences &amp; Après-vente'!$D$2:$D$1000="Après-vente")+('Agences &amp; Après-vente'!$D$2:$D$1000="Agences et Après-vente"))*('Agences &amp; Après-vente'!$I$2:$I$1000="DONE"))&gt;0,"✓",IF(SUMPRODUCT(MAX(('Agences &amp; Après-vente'!$A$2:$A$1000=$A314)*(('Agences &amp; Après-vente'!$D$2:$D$1000="Après-vente")+('Agences &amp; Après-vente'!$D$2:$D$1000="Agences et Après-vente"))*'Agences &amp; Après-vente'!$E$2:$E$1000))&gt;0,TEXT(SUMPRODUCT(MAX(('Agences &amp; Après-vente'!$A$2:$A$1000=$A314)*(('Agences &amp; Après-vente'!$D$2:$D$1000="Après-vente")+('Agences &amp; Après-vente'!$D$2:$D$1000="Agences et Après-vente"))*'Agences &amp; Après-vente'!$E$2:$E$1000)),"yyyy-mm-dd"),""))))))</f>
        <v/>
      </c>
      <c r="K314" s="131" t="str">
        <f aca="false">IF($U314="✓","✓",IF(ISNUMBER($U314),TEXT($U314,"yyyy-mm-dd"),IF($D314="Lisbonne","",IF($A314="","",IF(SUMPRODUCT((Evermont!$A$2:$A$1000=$A314)*(Evermont!$Q$2:$Q$1000="Terminé"))&gt;0,"✓",IF(SUMPRODUCT(MAX((Evermont!$A$2:$A$1000=$A314)*Evermont!$F$2:$F$1000))&gt;0,TEXT(SUMPRODUCT(MAX((Evermont!$A$2:$A$1000=$A314)*Evermont!$F$2:$F$1000)),"yyyy-mm-dd"),""))))))</f>
        <v/>
      </c>
      <c r="L314" s="131" t="str">
        <f aca="false">IF($A314="","",COUNTIF(E314:K314,"✓"))</f>
        <v/>
      </c>
      <c r="M314" s="131" t="str">
        <f aca="false">IF(B314="","","Active")</f>
        <v/>
      </c>
      <c r="W314" s="120" t="str">
        <f aca="false">IF($A314="","",IF($X314&lt;&gt;"",$X314,IFERROR(INDEX('Formation Initiale'!$B$2:$B$999,MATCH($A314,'Formation Initiale'!$A$2:$A$999,0)),"Général")))</f>
        <v/>
      </c>
    </row>
    <row r="315" customFormat="false" ht="15" hidden="true" customHeight="true" outlineLevel="0" collapsed="false">
      <c r="A315" s="142" t="str">
        <f aca="false">IF(B315="","","TR"&amp;TEXT(ROW()-1,"000"))</f>
        <v/>
      </c>
      <c r="E315" s="130" t="str">
        <f aca="false">IF($O315="✓","✓",IF(ISNUMBER($O315),TEXT($O315,"yyyy-mm-dd"),IF($A315="","",IF(SUMPRODUCT(('Formation Initiale'!$A$2:$A$999=$A315)*('Formation Initiale'!$R$2:$R$999="Terminé"))&gt;0,"✓",IF(SUMPRODUCT(MAX(('Formation Initiale'!$A$2:$A$999=$A315)*'Formation Initiale'!$G$2:$G$999))&gt;0,TEXT(SUMPRODUCT(MAX(('Formation Initiale'!$A$2:$A$999=$A315)*'Formation Initiale'!$G$2:$G$999)),"yyyy-mm-dd"),"")))))</f>
        <v/>
      </c>
      <c r="F315" s="131" t="str">
        <f aca="false">IF($P315="✓","✓",IF(ISNUMBER($P315),TEXT($P315,"yyyy-mm-dd"),IF($A315="","",IF($D315="Lisbonne","",IF(SUMPRODUCT(('Formation Initiale'!$A$2:$A$999=$A315)*('Formation Initiale'!$R$2:$R$999="Terminé"))&gt;0,"✓",IF(SUMPRODUCT(MAX(('Formation Initiale'!$A$2:$A$999=$A315)*'Formation Initiale'!$G$2:$G$999))&gt;0,TEXT(SUMPRODUCT(MAX(('Formation Initiale'!$A$2:$A$999=$A315)*'Formation Initiale'!$G$2:$G$999)),"yyyy-mm-dd"),""))))))</f>
        <v/>
      </c>
      <c r="G315" s="131" t="str">
        <f aca="false">IF($Q315="✓","✓",IF(ISNUMBER($Q315),TEXT($Q315,"yyyy-mm-dd"),IF($A315="","",IF(SUMPRODUCT(('Agences &amp; Après-vente'!$A$2:$A$1000=$A315)*(('Agences &amp; Après-vente'!$D$2:$D$1000="Agences")+('Agences &amp; Après-vente'!$D$2:$D$1000="Agences et Après-vente"))*('Agences &amp; Après-vente'!$I$2:$I$1000="DONE"))&gt;0,"✓",IF(SUMPRODUCT(MAX(('Agences &amp; Après-vente'!$A$2:$A$1000=$A315)*(('Agences &amp; Après-vente'!$D$2:$D$1000="Agences")+('Agences &amp; Après-vente'!$D$2:$D$1000="Agences et Après-vente"))*'Agences &amp; Après-vente'!$E$2:$E$1000))&gt;0,TEXT(SUMPRODUCT(MAX(('Agences &amp; Après-vente'!$A$2:$A$1000=$A315)*(('Agences &amp; Après-vente'!$D$2:$D$1000="Agences")+('Agences &amp; Après-vente'!$D$2:$D$1000="Agences et Après-vente"))*'Agences &amp; Après-vente'!$E$2:$E$1000)),"yyyy-mm-dd"),"")))))</f>
        <v/>
      </c>
      <c r="H315" s="131" t="str">
        <f aca="false">IF($R315="✓","✓",IF(ISNUMBER($R315),TEXT($R315,"yyyy-mm-dd"),IF($A315="","",IF($D315="Lisbonne","",IF(SUMPRODUCT(('Agences &amp; Après-vente'!$A$2:$A$1000=$A315)*(('Agences &amp; Après-vente'!$D$2:$D$1000="Agences")+('Agences &amp; Après-vente'!$D$2:$D$1000="Agences et Après-vente"))*('Agences &amp; Après-vente'!$I$2:$I$1000="DONE"))&gt;0,"✓",IF(SUMPRODUCT(MAX(('Agences &amp; Après-vente'!$A$2:$A$1000=$A315)*(('Agences &amp; Après-vente'!$D$2:$D$1000="Agences")+('Agences &amp; Après-vente'!$D$2:$D$1000="Agences et Après-vente"))*'Agences &amp; Après-vente'!$E$2:$E$1000))&gt;0,TEXT(SUMPRODUCT(MAX(('Agences &amp; Après-vente'!$A$2:$A$1000=$A315)*(('Agences &amp; Après-vente'!$D$2:$D$1000="Agences")+('Agences &amp; Après-vente'!$D$2:$D$1000="Agences et Après-vente"))*'Agences &amp; Après-vente'!$E$2:$E$1000)),"yyyy-mm-dd"),""))))))</f>
        <v/>
      </c>
      <c r="I315" s="131" t="str">
        <f aca="false">IF($S315="✓","✓",IF(ISNUMBER($S315),TEXT($S315,"yyyy-mm-dd"),IF($A315="","",IF(SUMPRODUCT(('Agences &amp; Après-vente'!$A$2:$A$1000=$A315)*(('Agences &amp; Après-vente'!$D$2:$D$1000="Après-vente")+('Agences &amp; Après-vente'!$D$2:$D$1000="Agences et Après-vente"))*('Agences &amp; Après-vente'!$I$2:$I$1000="DONE"))&gt;0,"✓",IF(SUMPRODUCT(MAX(('Agences &amp; Après-vente'!$A$2:$A$1000=$A315)*(('Agences &amp; Après-vente'!$D$2:$D$1000="Après-vente")+('Agences &amp; Après-vente'!$D$2:$D$1000="Agences et Après-vente"))*'Agences &amp; Après-vente'!$E$2:$E$1000))&gt;0,TEXT(SUMPRODUCT(MAX(('Agences &amp; Après-vente'!$A$2:$A$1000=$A315)*(('Agences &amp; Après-vente'!$D$2:$D$1000="Après-vente")+('Agences &amp; Après-vente'!$D$2:$D$1000="Agences et Après-vente"))*'Agences &amp; Après-vente'!$E$2:$E$1000)),"yyyy-mm-dd"),"")))))</f>
        <v/>
      </c>
      <c r="J315" s="131" t="str">
        <f aca="false">IF($T315="✓","✓",IF(ISNUMBER($T315),TEXT($T315,"yyyy-mm-dd"),IF($A315="","",IF($D315="Lisbonne","",IF(SUMPRODUCT(('Agences &amp; Après-vente'!$A$2:$A$1000=$A315)*(('Agences &amp; Après-vente'!$D$2:$D$1000="Après-vente")+('Agences &amp; Après-vente'!$D$2:$D$1000="Agences et Après-vente"))*('Agences &amp; Après-vente'!$I$2:$I$1000="DONE"))&gt;0,"✓",IF(SUMPRODUCT(MAX(('Agences &amp; Après-vente'!$A$2:$A$1000=$A315)*(('Agences &amp; Après-vente'!$D$2:$D$1000="Après-vente")+('Agences &amp; Après-vente'!$D$2:$D$1000="Agences et Après-vente"))*'Agences &amp; Après-vente'!$E$2:$E$1000))&gt;0,TEXT(SUMPRODUCT(MAX(('Agences &amp; Après-vente'!$A$2:$A$1000=$A315)*(('Agences &amp; Après-vente'!$D$2:$D$1000="Après-vente")+('Agences &amp; Après-vente'!$D$2:$D$1000="Agences et Après-vente"))*'Agences &amp; Après-vente'!$E$2:$E$1000)),"yyyy-mm-dd"),""))))))</f>
        <v/>
      </c>
      <c r="K315" s="131" t="str">
        <f aca="false">IF($U315="✓","✓",IF(ISNUMBER($U315),TEXT($U315,"yyyy-mm-dd"),IF($D315="Lisbonne","",IF($A315="","",IF(SUMPRODUCT((Evermont!$A$2:$A$1000=$A315)*(Evermont!$Q$2:$Q$1000="Terminé"))&gt;0,"✓",IF(SUMPRODUCT(MAX((Evermont!$A$2:$A$1000=$A315)*Evermont!$F$2:$F$1000))&gt;0,TEXT(SUMPRODUCT(MAX((Evermont!$A$2:$A$1000=$A315)*Evermont!$F$2:$F$1000)),"yyyy-mm-dd"),""))))))</f>
        <v/>
      </c>
      <c r="L315" s="131" t="str">
        <f aca="false">IF($A315="","",COUNTIF(E315:K315,"✓"))</f>
        <v/>
      </c>
      <c r="M315" s="131" t="str">
        <f aca="false">IF(B315="","","Active")</f>
        <v/>
      </c>
      <c r="W315" s="120" t="str">
        <f aca="false">IF($A315="","",IF($X315&lt;&gt;"",$X315,IFERROR(INDEX('Formation Initiale'!$B$2:$B$999,MATCH($A315,'Formation Initiale'!$A$2:$A$999,0)),"Général")))</f>
        <v/>
      </c>
    </row>
    <row r="316" customFormat="false" ht="15" hidden="true" customHeight="true" outlineLevel="0" collapsed="false">
      <c r="A316" s="142" t="str">
        <f aca="false">IF(B316="","","TR"&amp;TEXT(ROW()-1,"000"))</f>
        <v/>
      </c>
      <c r="E316" s="130" t="str">
        <f aca="false">IF($O316="✓","✓",IF(ISNUMBER($O316),TEXT($O316,"yyyy-mm-dd"),IF($A316="","",IF(SUMPRODUCT(('Formation Initiale'!$A$2:$A$999=$A316)*('Formation Initiale'!$R$2:$R$999="Terminé"))&gt;0,"✓",IF(SUMPRODUCT(MAX(('Formation Initiale'!$A$2:$A$999=$A316)*'Formation Initiale'!$G$2:$G$999))&gt;0,TEXT(SUMPRODUCT(MAX(('Formation Initiale'!$A$2:$A$999=$A316)*'Formation Initiale'!$G$2:$G$999)),"yyyy-mm-dd"),"")))))</f>
        <v/>
      </c>
      <c r="F316" s="131" t="str">
        <f aca="false">IF($P316="✓","✓",IF(ISNUMBER($P316),TEXT($P316,"yyyy-mm-dd"),IF($A316="","",IF($D316="Lisbonne","",IF(SUMPRODUCT(('Formation Initiale'!$A$2:$A$999=$A316)*('Formation Initiale'!$R$2:$R$999="Terminé"))&gt;0,"✓",IF(SUMPRODUCT(MAX(('Formation Initiale'!$A$2:$A$999=$A316)*'Formation Initiale'!$G$2:$G$999))&gt;0,TEXT(SUMPRODUCT(MAX(('Formation Initiale'!$A$2:$A$999=$A316)*'Formation Initiale'!$G$2:$G$999)),"yyyy-mm-dd"),""))))))</f>
        <v/>
      </c>
      <c r="G316" s="131" t="str">
        <f aca="false">IF($Q316="✓","✓",IF(ISNUMBER($Q316),TEXT($Q316,"yyyy-mm-dd"),IF($A316="","",IF(SUMPRODUCT(('Agences &amp; Après-vente'!$A$2:$A$1000=$A316)*(('Agences &amp; Après-vente'!$D$2:$D$1000="Agences")+('Agences &amp; Après-vente'!$D$2:$D$1000="Agences et Après-vente"))*('Agences &amp; Après-vente'!$I$2:$I$1000="DONE"))&gt;0,"✓",IF(SUMPRODUCT(MAX(('Agences &amp; Après-vente'!$A$2:$A$1000=$A316)*(('Agences &amp; Après-vente'!$D$2:$D$1000="Agences")+('Agences &amp; Après-vente'!$D$2:$D$1000="Agences et Après-vente"))*'Agences &amp; Après-vente'!$E$2:$E$1000))&gt;0,TEXT(SUMPRODUCT(MAX(('Agences &amp; Après-vente'!$A$2:$A$1000=$A316)*(('Agences &amp; Après-vente'!$D$2:$D$1000="Agences")+('Agences &amp; Après-vente'!$D$2:$D$1000="Agences et Après-vente"))*'Agences &amp; Après-vente'!$E$2:$E$1000)),"yyyy-mm-dd"),"")))))</f>
        <v/>
      </c>
      <c r="H316" s="131" t="str">
        <f aca="false">IF($R316="✓","✓",IF(ISNUMBER($R316),TEXT($R316,"yyyy-mm-dd"),IF($A316="","",IF($D316="Lisbonne","",IF(SUMPRODUCT(('Agences &amp; Après-vente'!$A$2:$A$1000=$A316)*(('Agences &amp; Après-vente'!$D$2:$D$1000="Agences")+('Agences &amp; Après-vente'!$D$2:$D$1000="Agences et Après-vente"))*('Agences &amp; Après-vente'!$I$2:$I$1000="DONE"))&gt;0,"✓",IF(SUMPRODUCT(MAX(('Agences &amp; Après-vente'!$A$2:$A$1000=$A316)*(('Agences &amp; Après-vente'!$D$2:$D$1000="Agences")+('Agences &amp; Après-vente'!$D$2:$D$1000="Agences et Après-vente"))*'Agences &amp; Après-vente'!$E$2:$E$1000))&gt;0,TEXT(SUMPRODUCT(MAX(('Agences &amp; Après-vente'!$A$2:$A$1000=$A316)*(('Agences &amp; Après-vente'!$D$2:$D$1000="Agences")+('Agences &amp; Après-vente'!$D$2:$D$1000="Agences et Après-vente"))*'Agences &amp; Après-vente'!$E$2:$E$1000)),"yyyy-mm-dd"),""))))))</f>
        <v/>
      </c>
      <c r="I316" s="131" t="str">
        <f aca="false">IF($S316="✓","✓",IF(ISNUMBER($S316),TEXT($S316,"yyyy-mm-dd"),IF($A316="","",IF(SUMPRODUCT(('Agences &amp; Après-vente'!$A$2:$A$1000=$A316)*(('Agences &amp; Après-vente'!$D$2:$D$1000="Après-vente")+('Agences &amp; Après-vente'!$D$2:$D$1000="Agences et Après-vente"))*('Agences &amp; Après-vente'!$I$2:$I$1000="DONE"))&gt;0,"✓",IF(SUMPRODUCT(MAX(('Agences &amp; Après-vente'!$A$2:$A$1000=$A316)*(('Agences &amp; Après-vente'!$D$2:$D$1000="Après-vente")+('Agences &amp; Après-vente'!$D$2:$D$1000="Agences et Après-vente"))*'Agences &amp; Après-vente'!$E$2:$E$1000))&gt;0,TEXT(SUMPRODUCT(MAX(('Agences &amp; Après-vente'!$A$2:$A$1000=$A316)*(('Agences &amp; Après-vente'!$D$2:$D$1000="Après-vente")+('Agences &amp; Après-vente'!$D$2:$D$1000="Agences et Après-vente"))*'Agences &amp; Après-vente'!$E$2:$E$1000)),"yyyy-mm-dd"),"")))))</f>
        <v/>
      </c>
      <c r="J316" s="131" t="str">
        <f aca="false">IF($T316="✓","✓",IF(ISNUMBER($T316),TEXT($T316,"yyyy-mm-dd"),IF($A316="","",IF($D316="Lisbonne","",IF(SUMPRODUCT(('Agences &amp; Après-vente'!$A$2:$A$1000=$A316)*(('Agences &amp; Après-vente'!$D$2:$D$1000="Après-vente")+('Agences &amp; Après-vente'!$D$2:$D$1000="Agences et Après-vente"))*('Agences &amp; Après-vente'!$I$2:$I$1000="DONE"))&gt;0,"✓",IF(SUMPRODUCT(MAX(('Agences &amp; Après-vente'!$A$2:$A$1000=$A316)*(('Agences &amp; Après-vente'!$D$2:$D$1000="Après-vente")+('Agences &amp; Après-vente'!$D$2:$D$1000="Agences et Après-vente"))*'Agences &amp; Après-vente'!$E$2:$E$1000))&gt;0,TEXT(SUMPRODUCT(MAX(('Agences &amp; Après-vente'!$A$2:$A$1000=$A316)*(('Agences &amp; Après-vente'!$D$2:$D$1000="Après-vente")+('Agences &amp; Après-vente'!$D$2:$D$1000="Agences et Après-vente"))*'Agences &amp; Après-vente'!$E$2:$E$1000)),"yyyy-mm-dd"),""))))))</f>
        <v/>
      </c>
      <c r="K316" s="131" t="str">
        <f aca="false">IF($U316="✓","✓",IF(ISNUMBER($U316),TEXT($U316,"yyyy-mm-dd"),IF($D316="Lisbonne","",IF($A316="","",IF(SUMPRODUCT((Evermont!$A$2:$A$1000=$A316)*(Evermont!$Q$2:$Q$1000="Terminé"))&gt;0,"✓",IF(SUMPRODUCT(MAX((Evermont!$A$2:$A$1000=$A316)*Evermont!$F$2:$F$1000))&gt;0,TEXT(SUMPRODUCT(MAX((Evermont!$A$2:$A$1000=$A316)*Evermont!$F$2:$F$1000)),"yyyy-mm-dd"),""))))))</f>
        <v/>
      </c>
      <c r="L316" s="131" t="str">
        <f aca="false">IF($A316="","",COUNTIF(E316:K316,"✓"))</f>
        <v/>
      </c>
      <c r="M316" s="131" t="str">
        <f aca="false">IF(B316="","","Active")</f>
        <v/>
      </c>
      <c r="W316" s="120" t="str">
        <f aca="false">IF($A316="","",IF($X316&lt;&gt;"",$X316,IFERROR(INDEX('Formation Initiale'!$B$2:$B$999,MATCH($A316,'Formation Initiale'!$A$2:$A$999,0)),"Général")))</f>
        <v/>
      </c>
    </row>
    <row r="317" customFormat="false" ht="15" hidden="true" customHeight="true" outlineLevel="0" collapsed="false">
      <c r="A317" s="142" t="str">
        <f aca="false">IF(B317="","","TR"&amp;TEXT(ROW()-1,"000"))</f>
        <v/>
      </c>
      <c r="E317" s="130" t="str">
        <f aca="false">IF($O317="✓","✓",IF(ISNUMBER($O317),TEXT($O317,"yyyy-mm-dd"),IF($A317="","",IF(SUMPRODUCT(('Formation Initiale'!$A$2:$A$999=$A317)*('Formation Initiale'!$R$2:$R$999="Terminé"))&gt;0,"✓",IF(SUMPRODUCT(MAX(('Formation Initiale'!$A$2:$A$999=$A317)*'Formation Initiale'!$G$2:$G$999))&gt;0,TEXT(SUMPRODUCT(MAX(('Formation Initiale'!$A$2:$A$999=$A317)*'Formation Initiale'!$G$2:$G$999)),"yyyy-mm-dd"),"")))))</f>
        <v/>
      </c>
      <c r="F317" s="131" t="str">
        <f aca="false">IF($P317="✓","✓",IF(ISNUMBER($P317),TEXT($P317,"yyyy-mm-dd"),IF($A317="","",IF($D317="Lisbonne","",IF(SUMPRODUCT(('Formation Initiale'!$A$2:$A$999=$A317)*('Formation Initiale'!$R$2:$R$999="Terminé"))&gt;0,"✓",IF(SUMPRODUCT(MAX(('Formation Initiale'!$A$2:$A$999=$A317)*'Formation Initiale'!$G$2:$G$999))&gt;0,TEXT(SUMPRODUCT(MAX(('Formation Initiale'!$A$2:$A$999=$A317)*'Formation Initiale'!$G$2:$G$999)),"yyyy-mm-dd"),""))))))</f>
        <v/>
      </c>
      <c r="G317" s="131" t="str">
        <f aca="false">IF($Q317="✓","✓",IF(ISNUMBER($Q317),TEXT($Q317,"yyyy-mm-dd"),IF($A317="","",IF(SUMPRODUCT(('Agences &amp; Après-vente'!$A$2:$A$1000=$A317)*(('Agences &amp; Après-vente'!$D$2:$D$1000="Agences")+('Agences &amp; Après-vente'!$D$2:$D$1000="Agences et Après-vente"))*('Agences &amp; Après-vente'!$I$2:$I$1000="DONE"))&gt;0,"✓",IF(SUMPRODUCT(MAX(('Agences &amp; Après-vente'!$A$2:$A$1000=$A317)*(('Agences &amp; Après-vente'!$D$2:$D$1000="Agences")+('Agences &amp; Après-vente'!$D$2:$D$1000="Agences et Après-vente"))*'Agences &amp; Après-vente'!$E$2:$E$1000))&gt;0,TEXT(SUMPRODUCT(MAX(('Agences &amp; Après-vente'!$A$2:$A$1000=$A317)*(('Agences &amp; Après-vente'!$D$2:$D$1000="Agences")+('Agences &amp; Après-vente'!$D$2:$D$1000="Agences et Après-vente"))*'Agences &amp; Après-vente'!$E$2:$E$1000)),"yyyy-mm-dd"),"")))))</f>
        <v/>
      </c>
      <c r="H317" s="131" t="str">
        <f aca="false">IF($R317="✓","✓",IF(ISNUMBER($R317),TEXT($R317,"yyyy-mm-dd"),IF($A317="","",IF($D317="Lisbonne","",IF(SUMPRODUCT(('Agences &amp; Après-vente'!$A$2:$A$1000=$A317)*(('Agences &amp; Après-vente'!$D$2:$D$1000="Agences")+('Agences &amp; Après-vente'!$D$2:$D$1000="Agences et Après-vente"))*('Agences &amp; Après-vente'!$I$2:$I$1000="DONE"))&gt;0,"✓",IF(SUMPRODUCT(MAX(('Agences &amp; Après-vente'!$A$2:$A$1000=$A317)*(('Agences &amp; Après-vente'!$D$2:$D$1000="Agences")+('Agences &amp; Après-vente'!$D$2:$D$1000="Agences et Après-vente"))*'Agences &amp; Après-vente'!$E$2:$E$1000))&gt;0,TEXT(SUMPRODUCT(MAX(('Agences &amp; Après-vente'!$A$2:$A$1000=$A317)*(('Agences &amp; Après-vente'!$D$2:$D$1000="Agences")+('Agences &amp; Après-vente'!$D$2:$D$1000="Agences et Après-vente"))*'Agences &amp; Après-vente'!$E$2:$E$1000)),"yyyy-mm-dd"),""))))))</f>
        <v/>
      </c>
      <c r="I317" s="131" t="str">
        <f aca="false">IF($S317="✓","✓",IF(ISNUMBER($S317),TEXT($S317,"yyyy-mm-dd"),IF($A317="","",IF(SUMPRODUCT(('Agences &amp; Après-vente'!$A$2:$A$1000=$A317)*(('Agences &amp; Après-vente'!$D$2:$D$1000="Après-vente")+('Agences &amp; Après-vente'!$D$2:$D$1000="Agences et Après-vente"))*('Agences &amp; Après-vente'!$I$2:$I$1000="DONE"))&gt;0,"✓",IF(SUMPRODUCT(MAX(('Agences &amp; Après-vente'!$A$2:$A$1000=$A317)*(('Agences &amp; Après-vente'!$D$2:$D$1000="Après-vente")+('Agences &amp; Après-vente'!$D$2:$D$1000="Agences et Après-vente"))*'Agences &amp; Après-vente'!$E$2:$E$1000))&gt;0,TEXT(SUMPRODUCT(MAX(('Agences &amp; Après-vente'!$A$2:$A$1000=$A317)*(('Agences &amp; Après-vente'!$D$2:$D$1000="Après-vente")+('Agences &amp; Après-vente'!$D$2:$D$1000="Agences et Après-vente"))*'Agences &amp; Après-vente'!$E$2:$E$1000)),"yyyy-mm-dd"),"")))))</f>
        <v/>
      </c>
      <c r="J317" s="131" t="str">
        <f aca="false">IF($T317="✓","✓",IF(ISNUMBER($T317),TEXT($T317,"yyyy-mm-dd"),IF($A317="","",IF($D317="Lisbonne","",IF(SUMPRODUCT(('Agences &amp; Après-vente'!$A$2:$A$1000=$A317)*(('Agences &amp; Après-vente'!$D$2:$D$1000="Après-vente")+('Agences &amp; Après-vente'!$D$2:$D$1000="Agences et Après-vente"))*('Agences &amp; Après-vente'!$I$2:$I$1000="DONE"))&gt;0,"✓",IF(SUMPRODUCT(MAX(('Agences &amp; Après-vente'!$A$2:$A$1000=$A317)*(('Agences &amp; Après-vente'!$D$2:$D$1000="Après-vente")+('Agences &amp; Après-vente'!$D$2:$D$1000="Agences et Après-vente"))*'Agences &amp; Après-vente'!$E$2:$E$1000))&gt;0,TEXT(SUMPRODUCT(MAX(('Agences &amp; Après-vente'!$A$2:$A$1000=$A317)*(('Agences &amp; Après-vente'!$D$2:$D$1000="Après-vente")+('Agences &amp; Après-vente'!$D$2:$D$1000="Agences et Après-vente"))*'Agences &amp; Après-vente'!$E$2:$E$1000)),"yyyy-mm-dd"),""))))))</f>
        <v/>
      </c>
      <c r="K317" s="131" t="str">
        <f aca="false">IF($U317="✓","✓",IF(ISNUMBER($U317),TEXT($U317,"yyyy-mm-dd"),IF($D317="Lisbonne","",IF($A317="","",IF(SUMPRODUCT((Evermont!$A$2:$A$1000=$A317)*(Evermont!$Q$2:$Q$1000="Terminé"))&gt;0,"✓",IF(SUMPRODUCT(MAX((Evermont!$A$2:$A$1000=$A317)*Evermont!$F$2:$F$1000))&gt;0,TEXT(SUMPRODUCT(MAX((Evermont!$A$2:$A$1000=$A317)*Evermont!$F$2:$F$1000)),"yyyy-mm-dd"),""))))))</f>
        <v/>
      </c>
      <c r="L317" s="131" t="str">
        <f aca="false">IF($A317="","",COUNTIF(E317:K317,"✓"))</f>
        <v/>
      </c>
      <c r="M317" s="131" t="str">
        <f aca="false">IF(B317="","","Active")</f>
        <v/>
      </c>
      <c r="W317" s="120" t="str">
        <f aca="false">IF($A317="","",IF($X317&lt;&gt;"",$X317,IFERROR(INDEX('Formation Initiale'!$B$2:$B$999,MATCH($A317,'Formation Initiale'!$A$2:$A$999,0)),"Général")))</f>
        <v/>
      </c>
    </row>
    <row r="318" customFormat="false" ht="15" hidden="true" customHeight="true" outlineLevel="0" collapsed="false">
      <c r="A318" s="142" t="str">
        <f aca="false">IF(B318="","","TR"&amp;TEXT(ROW()-1,"000"))</f>
        <v/>
      </c>
      <c r="E318" s="130" t="str">
        <f aca="false">IF($O318="✓","✓",IF(ISNUMBER($O318),TEXT($O318,"yyyy-mm-dd"),IF($A318="","",IF(SUMPRODUCT(('Formation Initiale'!$A$2:$A$999=$A318)*('Formation Initiale'!$R$2:$R$999="Terminé"))&gt;0,"✓",IF(SUMPRODUCT(MAX(('Formation Initiale'!$A$2:$A$999=$A318)*'Formation Initiale'!$G$2:$G$999))&gt;0,TEXT(SUMPRODUCT(MAX(('Formation Initiale'!$A$2:$A$999=$A318)*'Formation Initiale'!$G$2:$G$999)),"yyyy-mm-dd"),"")))))</f>
        <v/>
      </c>
      <c r="F318" s="131" t="str">
        <f aca="false">IF($P318="✓","✓",IF(ISNUMBER($P318),TEXT($P318,"yyyy-mm-dd"),IF($A318="","",IF($D318="Lisbonne","",IF(SUMPRODUCT(('Formation Initiale'!$A$2:$A$999=$A318)*('Formation Initiale'!$R$2:$R$999="Terminé"))&gt;0,"✓",IF(SUMPRODUCT(MAX(('Formation Initiale'!$A$2:$A$999=$A318)*'Formation Initiale'!$G$2:$G$999))&gt;0,TEXT(SUMPRODUCT(MAX(('Formation Initiale'!$A$2:$A$999=$A318)*'Formation Initiale'!$G$2:$G$999)),"yyyy-mm-dd"),""))))))</f>
        <v/>
      </c>
      <c r="G318" s="131" t="str">
        <f aca="false">IF($Q318="✓","✓",IF(ISNUMBER($Q318),TEXT($Q318,"yyyy-mm-dd"),IF($A318="","",IF(SUMPRODUCT(('Agences &amp; Après-vente'!$A$2:$A$1000=$A318)*(('Agences &amp; Après-vente'!$D$2:$D$1000="Agences")+('Agences &amp; Après-vente'!$D$2:$D$1000="Agences et Après-vente"))*('Agences &amp; Après-vente'!$I$2:$I$1000="DONE"))&gt;0,"✓",IF(SUMPRODUCT(MAX(('Agences &amp; Après-vente'!$A$2:$A$1000=$A318)*(('Agences &amp; Après-vente'!$D$2:$D$1000="Agences")+('Agences &amp; Après-vente'!$D$2:$D$1000="Agences et Après-vente"))*'Agences &amp; Après-vente'!$E$2:$E$1000))&gt;0,TEXT(SUMPRODUCT(MAX(('Agences &amp; Après-vente'!$A$2:$A$1000=$A318)*(('Agences &amp; Après-vente'!$D$2:$D$1000="Agences")+('Agences &amp; Après-vente'!$D$2:$D$1000="Agences et Après-vente"))*'Agences &amp; Après-vente'!$E$2:$E$1000)),"yyyy-mm-dd"),"")))))</f>
        <v/>
      </c>
      <c r="H318" s="131" t="str">
        <f aca="false">IF($R318="✓","✓",IF(ISNUMBER($R318),TEXT($R318,"yyyy-mm-dd"),IF($A318="","",IF($D318="Lisbonne","",IF(SUMPRODUCT(('Agences &amp; Après-vente'!$A$2:$A$1000=$A318)*(('Agences &amp; Après-vente'!$D$2:$D$1000="Agences")+('Agences &amp; Après-vente'!$D$2:$D$1000="Agences et Après-vente"))*('Agences &amp; Après-vente'!$I$2:$I$1000="DONE"))&gt;0,"✓",IF(SUMPRODUCT(MAX(('Agences &amp; Après-vente'!$A$2:$A$1000=$A318)*(('Agences &amp; Après-vente'!$D$2:$D$1000="Agences")+('Agences &amp; Après-vente'!$D$2:$D$1000="Agences et Après-vente"))*'Agences &amp; Après-vente'!$E$2:$E$1000))&gt;0,TEXT(SUMPRODUCT(MAX(('Agences &amp; Après-vente'!$A$2:$A$1000=$A318)*(('Agences &amp; Après-vente'!$D$2:$D$1000="Agences")+('Agences &amp; Après-vente'!$D$2:$D$1000="Agences et Après-vente"))*'Agences &amp; Après-vente'!$E$2:$E$1000)),"yyyy-mm-dd"),""))))))</f>
        <v/>
      </c>
      <c r="I318" s="131" t="str">
        <f aca="false">IF($S318="✓","✓",IF(ISNUMBER($S318),TEXT($S318,"yyyy-mm-dd"),IF($A318="","",IF(SUMPRODUCT(('Agences &amp; Après-vente'!$A$2:$A$1000=$A318)*(('Agences &amp; Après-vente'!$D$2:$D$1000="Après-vente")+('Agences &amp; Après-vente'!$D$2:$D$1000="Agences et Après-vente"))*('Agences &amp; Après-vente'!$I$2:$I$1000="DONE"))&gt;0,"✓",IF(SUMPRODUCT(MAX(('Agences &amp; Après-vente'!$A$2:$A$1000=$A318)*(('Agences &amp; Après-vente'!$D$2:$D$1000="Après-vente")+('Agences &amp; Après-vente'!$D$2:$D$1000="Agences et Après-vente"))*'Agences &amp; Après-vente'!$E$2:$E$1000))&gt;0,TEXT(SUMPRODUCT(MAX(('Agences &amp; Après-vente'!$A$2:$A$1000=$A318)*(('Agences &amp; Après-vente'!$D$2:$D$1000="Après-vente")+('Agences &amp; Après-vente'!$D$2:$D$1000="Agences et Après-vente"))*'Agences &amp; Après-vente'!$E$2:$E$1000)),"yyyy-mm-dd"),"")))))</f>
        <v/>
      </c>
      <c r="J318" s="131" t="str">
        <f aca="false">IF($T318="✓","✓",IF(ISNUMBER($T318),TEXT($T318,"yyyy-mm-dd"),IF($A318="","",IF($D318="Lisbonne","",IF(SUMPRODUCT(('Agences &amp; Après-vente'!$A$2:$A$1000=$A318)*(('Agences &amp; Après-vente'!$D$2:$D$1000="Après-vente")+('Agences &amp; Après-vente'!$D$2:$D$1000="Agences et Après-vente"))*('Agences &amp; Après-vente'!$I$2:$I$1000="DONE"))&gt;0,"✓",IF(SUMPRODUCT(MAX(('Agences &amp; Après-vente'!$A$2:$A$1000=$A318)*(('Agences &amp; Après-vente'!$D$2:$D$1000="Après-vente")+('Agences &amp; Après-vente'!$D$2:$D$1000="Agences et Après-vente"))*'Agences &amp; Après-vente'!$E$2:$E$1000))&gt;0,TEXT(SUMPRODUCT(MAX(('Agences &amp; Après-vente'!$A$2:$A$1000=$A318)*(('Agences &amp; Après-vente'!$D$2:$D$1000="Après-vente")+('Agences &amp; Après-vente'!$D$2:$D$1000="Agences et Après-vente"))*'Agences &amp; Après-vente'!$E$2:$E$1000)),"yyyy-mm-dd"),""))))))</f>
        <v/>
      </c>
      <c r="K318" s="131" t="str">
        <f aca="false">IF($U318="✓","✓",IF(ISNUMBER($U318),TEXT($U318,"yyyy-mm-dd"),IF($D318="Lisbonne","",IF($A318="","",IF(SUMPRODUCT((Evermont!$A$2:$A$1000=$A318)*(Evermont!$Q$2:$Q$1000="Terminé"))&gt;0,"✓",IF(SUMPRODUCT(MAX((Evermont!$A$2:$A$1000=$A318)*Evermont!$F$2:$F$1000))&gt;0,TEXT(SUMPRODUCT(MAX((Evermont!$A$2:$A$1000=$A318)*Evermont!$F$2:$F$1000)),"yyyy-mm-dd"),""))))))</f>
        <v/>
      </c>
      <c r="L318" s="131" t="str">
        <f aca="false">IF($A318="","",COUNTIF(E318:K318,"✓"))</f>
        <v/>
      </c>
      <c r="M318" s="131" t="str">
        <f aca="false">IF(B318="","","Active")</f>
        <v/>
      </c>
      <c r="W318" s="120" t="str">
        <f aca="false">IF($A318="","",IF($X318&lt;&gt;"",$X318,IFERROR(INDEX('Formation Initiale'!$B$2:$B$999,MATCH($A318,'Formation Initiale'!$A$2:$A$999,0)),"Général")))</f>
        <v/>
      </c>
    </row>
    <row r="319" customFormat="false" ht="15" hidden="true" customHeight="true" outlineLevel="0" collapsed="false">
      <c r="A319" s="142" t="str">
        <f aca="false">IF(B319="","","TR"&amp;TEXT(ROW()-1,"000"))</f>
        <v/>
      </c>
      <c r="E319" s="130" t="str">
        <f aca="false">IF($O319="✓","✓",IF(ISNUMBER($O319),TEXT($O319,"yyyy-mm-dd"),IF($A319="","",IF(SUMPRODUCT(('Formation Initiale'!$A$2:$A$999=$A319)*('Formation Initiale'!$R$2:$R$999="Terminé"))&gt;0,"✓",IF(SUMPRODUCT(MAX(('Formation Initiale'!$A$2:$A$999=$A319)*'Formation Initiale'!$G$2:$G$999))&gt;0,TEXT(SUMPRODUCT(MAX(('Formation Initiale'!$A$2:$A$999=$A319)*'Formation Initiale'!$G$2:$G$999)),"yyyy-mm-dd"),"")))))</f>
        <v/>
      </c>
      <c r="F319" s="131" t="str">
        <f aca="false">IF($P319="✓","✓",IF(ISNUMBER($P319),TEXT($P319,"yyyy-mm-dd"),IF($A319="","",IF($D319="Lisbonne","",IF(SUMPRODUCT(('Formation Initiale'!$A$2:$A$999=$A319)*('Formation Initiale'!$R$2:$R$999="Terminé"))&gt;0,"✓",IF(SUMPRODUCT(MAX(('Formation Initiale'!$A$2:$A$999=$A319)*'Formation Initiale'!$G$2:$G$999))&gt;0,TEXT(SUMPRODUCT(MAX(('Formation Initiale'!$A$2:$A$999=$A319)*'Formation Initiale'!$G$2:$G$999)),"yyyy-mm-dd"),""))))))</f>
        <v/>
      </c>
      <c r="G319" s="131" t="str">
        <f aca="false">IF($Q319="✓","✓",IF(ISNUMBER($Q319),TEXT($Q319,"yyyy-mm-dd"),IF($A319="","",IF(SUMPRODUCT(('Agences &amp; Après-vente'!$A$2:$A$1000=$A319)*(('Agences &amp; Après-vente'!$D$2:$D$1000="Agences")+('Agences &amp; Après-vente'!$D$2:$D$1000="Agences et Après-vente"))*('Agences &amp; Après-vente'!$I$2:$I$1000="DONE"))&gt;0,"✓",IF(SUMPRODUCT(MAX(('Agences &amp; Après-vente'!$A$2:$A$1000=$A319)*(('Agences &amp; Après-vente'!$D$2:$D$1000="Agences")+('Agences &amp; Après-vente'!$D$2:$D$1000="Agences et Après-vente"))*'Agences &amp; Après-vente'!$E$2:$E$1000))&gt;0,TEXT(SUMPRODUCT(MAX(('Agences &amp; Après-vente'!$A$2:$A$1000=$A319)*(('Agences &amp; Après-vente'!$D$2:$D$1000="Agences")+('Agences &amp; Après-vente'!$D$2:$D$1000="Agences et Après-vente"))*'Agences &amp; Après-vente'!$E$2:$E$1000)),"yyyy-mm-dd"),"")))))</f>
        <v/>
      </c>
      <c r="H319" s="131" t="str">
        <f aca="false">IF($R319="✓","✓",IF(ISNUMBER($R319),TEXT($R319,"yyyy-mm-dd"),IF($A319="","",IF($D319="Lisbonne","",IF(SUMPRODUCT(('Agences &amp; Après-vente'!$A$2:$A$1000=$A319)*(('Agences &amp; Après-vente'!$D$2:$D$1000="Agences")+('Agences &amp; Après-vente'!$D$2:$D$1000="Agences et Après-vente"))*('Agences &amp; Après-vente'!$I$2:$I$1000="DONE"))&gt;0,"✓",IF(SUMPRODUCT(MAX(('Agences &amp; Après-vente'!$A$2:$A$1000=$A319)*(('Agences &amp; Après-vente'!$D$2:$D$1000="Agences")+('Agences &amp; Après-vente'!$D$2:$D$1000="Agences et Après-vente"))*'Agences &amp; Après-vente'!$E$2:$E$1000))&gt;0,TEXT(SUMPRODUCT(MAX(('Agences &amp; Après-vente'!$A$2:$A$1000=$A319)*(('Agences &amp; Après-vente'!$D$2:$D$1000="Agences")+('Agences &amp; Après-vente'!$D$2:$D$1000="Agences et Après-vente"))*'Agences &amp; Après-vente'!$E$2:$E$1000)),"yyyy-mm-dd"),""))))))</f>
        <v/>
      </c>
      <c r="I319" s="131" t="str">
        <f aca="false">IF($S319="✓","✓",IF(ISNUMBER($S319),TEXT($S319,"yyyy-mm-dd"),IF($A319="","",IF(SUMPRODUCT(('Agences &amp; Après-vente'!$A$2:$A$1000=$A319)*(('Agences &amp; Après-vente'!$D$2:$D$1000="Après-vente")+('Agences &amp; Après-vente'!$D$2:$D$1000="Agences et Après-vente"))*('Agences &amp; Après-vente'!$I$2:$I$1000="DONE"))&gt;0,"✓",IF(SUMPRODUCT(MAX(('Agences &amp; Après-vente'!$A$2:$A$1000=$A319)*(('Agences &amp; Après-vente'!$D$2:$D$1000="Après-vente")+('Agences &amp; Après-vente'!$D$2:$D$1000="Agences et Après-vente"))*'Agences &amp; Après-vente'!$E$2:$E$1000))&gt;0,TEXT(SUMPRODUCT(MAX(('Agences &amp; Après-vente'!$A$2:$A$1000=$A319)*(('Agences &amp; Après-vente'!$D$2:$D$1000="Après-vente")+('Agences &amp; Après-vente'!$D$2:$D$1000="Agences et Après-vente"))*'Agences &amp; Après-vente'!$E$2:$E$1000)),"yyyy-mm-dd"),"")))))</f>
        <v/>
      </c>
      <c r="J319" s="131" t="str">
        <f aca="false">IF($T319="✓","✓",IF(ISNUMBER($T319),TEXT($T319,"yyyy-mm-dd"),IF($A319="","",IF($D319="Lisbonne","",IF(SUMPRODUCT(('Agences &amp; Après-vente'!$A$2:$A$1000=$A319)*(('Agences &amp; Après-vente'!$D$2:$D$1000="Après-vente")+('Agences &amp; Après-vente'!$D$2:$D$1000="Agences et Après-vente"))*('Agences &amp; Après-vente'!$I$2:$I$1000="DONE"))&gt;0,"✓",IF(SUMPRODUCT(MAX(('Agences &amp; Après-vente'!$A$2:$A$1000=$A319)*(('Agences &amp; Après-vente'!$D$2:$D$1000="Après-vente")+('Agences &amp; Après-vente'!$D$2:$D$1000="Agences et Après-vente"))*'Agences &amp; Après-vente'!$E$2:$E$1000))&gt;0,TEXT(SUMPRODUCT(MAX(('Agences &amp; Après-vente'!$A$2:$A$1000=$A319)*(('Agences &amp; Après-vente'!$D$2:$D$1000="Après-vente")+('Agences &amp; Après-vente'!$D$2:$D$1000="Agences et Après-vente"))*'Agences &amp; Après-vente'!$E$2:$E$1000)),"yyyy-mm-dd"),""))))))</f>
        <v/>
      </c>
      <c r="K319" s="131" t="str">
        <f aca="false">IF($U319="✓","✓",IF(ISNUMBER($U319),TEXT($U319,"yyyy-mm-dd"),IF($D319="Lisbonne","",IF($A319="","",IF(SUMPRODUCT((Evermont!$A$2:$A$1000=$A319)*(Evermont!$Q$2:$Q$1000="Terminé"))&gt;0,"✓",IF(SUMPRODUCT(MAX((Evermont!$A$2:$A$1000=$A319)*Evermont!$F$2:$F$1000))&gt;0,TEXT(SUMPRODUCT(MAX((Evermont!$A$2:$A$1000=$A319)*Evermont!$F$2:$F$1000)),"yyyy-mm-dd"),""))))))</f>
        <v/>
      </c>
      <c r="L319" s="131" t="str">
        <f aca="false">IF($A319="","",COUNTIF(E319:K319,"✓"))</f>
        <v/>
      </c>
      <c r="M319" s="131" t="str">
        <f aca="false">IF(B319="","","Active")</f>
        <v/>
      </c>
      <c r="W319" s="120" t="str">
        <f aca="false">IF($A319="","",IF($X319&lt;&gt;"",$X319,IFERROR(INDEX('Formation Initiale'!$B$2:$B$999,MATCH($A319,'Formation Initiale'!$A$2:$A$999,0)),"Général")))</f>
        <v/>
      </c>
    </row>
    <row r="320" customFormat="false" ht="15" hidden="true" customHeight="true" outlineLevel="0" collapsed="false">
      <c r="A320" s="142" t="str">
        <f aca="false">IF(B320="","","TR"&amp;TEXT(ROW()-1,"000"))</f>
        <v/>
      </c>
      <c r="E320" s="130" t="str">
        <f aca="false">IF($O320="✓","✓",IF(ISNUMBER($O320),TEXT($O320,"yyyy-mm-dd"),IF($A320="","",IF(SUMPRODUCT(('Formation Initiale'!$A$2:$A$999=$A320)*('Formation Initiale'!$R$2:$R$999="Terminé"))&gt;0,"✓",IF(SUMPRODUCT(MAX(('Formation Initiale'!$A$2:$A$999=$A320)*'Formation Initiale'!$G$2:$G$999))&gt;0,TEXT(SUMPRODUCT(MAX(('Formation Initiale'!$A$2:$A$999=$A320)*'Formation Initiale'!$G$2:$G$999)),"yyyy-mm-dd"),"")))))</f>
        <v/>
      </c>
      <c r="F320" s="131" t="str">
        <f aca="false">IF($P320="✓","✓",IF(ISNUMBER($P320),TEXT($P320,"yyyy-mm-dd"),IF($A320="","",IF($D320="Lisbonne","",IF(SUMPRODUCT(('Formation Initiale'!$A$2:$A$999=$A320)*('Formation Initiale'!$R$2:$R$999="Terminé"))&gt;0,"✓",IF(SUMPRODUCT(MAX(('Formation Initiale'!$A$2:$A$999=$A320)*'Formation Initiale'!$G$2:$G$999))&gt;0,TEXT(SUMPRODUCT(MAX(('Formation Initiale'!$A$2:$A$999=$A320)*'Formation Initiale'!$G$2:$G$999)),"yyyy-mm-dd"),""))))))</f>
        <v/>
      </c>
      <c r="G320" s="131" t="str">
        <f aca="false">IF($Q320="✓","✓",IF(ISNUMBER($Q320),TEXT($Q320,"yyyy-mm-dd"),IF($A320="","",IF(SUMPRODUCT(('Agences &amp; Après-vente'!$A$2:$A$1000=$A320)*(('Agences &amp; Après-vente'!$D$2:$D$1000="Agences")+('Agences &amp; Après-vente'!$D$2:$D$1000="Agences et Après-vente"))*('Agences &amp; Après-vente'!$I$2:$I$1000="DONE"))&gt;0,"✓",IF(SUMPRODUCT(MAX(('Agences &amp; Après-vente'!$A$2:$A$1000=$A320)*(('Agences &amp; Après-vente'!$D$2:$D$1000="Agences")+('Agences &amp; Après-vente'!$D$2:$D$1000="Agences et Après-vente"))*'Agences &amp; Après-vente'!$E$2:$E$1000))&gt;0,TEXT(SUMPRODUCT(MAX(('Agences &amp; Après-vente'!$A$2:$A$1000=$A320)*(('Agences &amp; Après-vente'!$D$2:$D$1000="Agences")+('Agences &amp; Après-vente'!$D$2:$D$1000="Agences et Après-vente"))*'Agences &amp; Après-vente'!$E$2:$E$1000)),"yyyy-mm-dd"),"")))))</f>
        <v/>
      </c>
      <c r="H320" s="131" t="str">
        <f aca="false">IF($R320="✓","✓",IF(ISNUMBER($R320),TEXT($R320,"yyyy-mm-dd"),IF($A320="","",IF($D320="Lisbonne","",IF(SUMPRODUCT(('Agences &amp; Après-vente'!$A$2:$A$1000=$A320)*(('Agences &amp; Après-vente'!$D$2:$D$1000="Agences")+('Agences &amp; Après-vente'!$D$2:$D$1000="Agences et Après-vente"))*('Agences &amp; Après-vente'!$I$2:$I$1000="DONE"))&gt;0,"✓",IF(SUMPRODUCT(MAX(('Agences &amp; Après-vente'!$A$2:$A$1000=$A320)*(('Agences &amp; Après-vente'!$D$2:$D$1000="Agences")+('Agences &amp; Après-vente'!$D$2:$D$1000="Agences et Après-vente"))*'Agences &amp; Après-vente'!$E$2:$E$1000))&gt;0,TEXT(SUMPRODUCT(MAX(('Agences &amp; Après-vente'!$A$2:$A$1000=$A320)*(('Agences &amp; Après-vente'!$D$2:$D$1000="Agences")+('Agences &amp; Après-vente'!$D$2:$D$1000="Agences et Après-vente"))*'Agences &amp; Après-vente'!$E$2:$E$1000)),"yyyy-mm-dd"),""))))))</f>
        <v/>
      </c>
      <c r="I320" s="131" t="str">
        <f aca="false">IF($S320="✓","✓",IF(ISNUMBER($S320),TEXT($S320,"yyyy-mm-dd"),IF($A320="","",IF(SUMPRODUCT(('Agences &amp; Après-vente'!$A$2:$A$1000=$A320)*(('Agences &amp; Après-vente'!$D$2:$D$1000="Après-vente")+('Agences &amp; Après-vente'!$D$2:$D$1000="Agences et Après-vente"))*('Agences &amp; Après-vente'!$I$2:$I$1000="DONE"))&gt;0,"✓",IF(SUMPRODUCT(MAX(('Agences &amp; Après-vente'!$A$2:$A$1000=$A320)*(('Agences &amp; Après-vente'!$D$2:$D$1000="Après-vente")+('Agences &amp; Après-vente'!$D$2:$D$1000="Agences et Après-vente"))*'Agences &amp; Après-vente'!$E$2:$E$1000))&gt;0,TEXT(SUMPRODUCT(MAX(('Agences &amp; Après-vente'!$A$2:$A$1000=$A320)*(('Agences &amp; Après-vente'!$D$2:$D$1000="Après-vente")+('Agences &amp; Après-vente'!$D$2:$D$1000="Agences et Après-vente"))*'Agences &amp; Après-vente'!$E$2:$E$1000)),"yyyy-mm-dd"),"")))))</f>
        <v/>
      </c>
      <c r="J320" s="131" t="str">
        <f aca="false">IF($T320="✓","✓",IF(ISNUMBER($T320),TEXT($T320,"yyyy-mm-dd"),IF($A320="","",IF($D320="Lisbonne","",IF(SUMPRODUCT(('Agences &amp; Après-vente'!$A$2:$A$1000=$A320)*(('Agences &amp; Après-vente'!$D$2:$D$1000="Après-vente")+('Agences &amp; Après-vente'!$D$2:$D$1000="Agences et Après-vente"))*('Agences &amp; Après-vente'!$I$2:$I$1000="DONE"))&gt;0,"✓",IF(SUMPRODUCT(MAX(('Agences &amp; Après-vente'!$A$2:$A$1000=$A320)*(('Agences &amp; Après-vente'!$D$2:$D$1000="Après-vente")+('Agences &amp; Après-vente'!$D$2:$D$1000="Agences et Après-vente"))*'Agences &amp; Après-vente'!$E$2:$E$1000))&gt;0,TEXT(SUMPRODUCT(MAX(('Agences &amp; Après-vente'!$A$2:$A$1000=$A320)*(('Agences &amp; Après-vente'!$D$2:$D$1000="Après-vente")+('Agences &amp; Après-vente'!$D$2:$D$1000="Agences et Après-vente"))*'Agences &amp; Après-vente'!$E$2:$E$1000)),"yyyy-mm-dd"),""))))))</f>
        <v/>
      </c>
      <c r="K320" s="131" t="str">
        <f aca="false">IF($U320="✓","✓",IF(ISNUMBER($U320),TEXT($U320,"yyyy-mm-dd"),IF($D320="Lisbonne","",IF($A320="","",IF(SUMPRODUCT((Evermont!$A$2:$A$1000=$A320)*(Evermont!$Q$2:$Q$1000="Terminé"))&gt;0,"✓",IF(SUMPRODUCT(MAX((Evermont!$A$2:$A$1000=$A320)*Evermont!$F$2:$F$1000))&gt;0,TEXT(SUMPRODUCT(MAX((Evermont!$A$2:$A$1000=$A320)*Evermont!$F$2:$F$1000)),"yyyy-mm-dd"),""))))))</f>
        <v/>
      </c>
      <c r="L320" s="131" t="str">
        <f aca="false">IF($A320="","",COUNTIF(E320:K320,"✓"))</f>
        <v/>
      </c>
      <c r="M320" s="131" t="str">
        <f aca="false">IF(B320="","","Active")</f>
        <v/>
      </c>
      <c r="W320" s="120" t="str">
        <f aca="false">IF($A320="","",IF($X320&lt;&gt;"",$X320,IFERROR(INDEX('Formation Initiale'!$B$2:$B$999,MATCH($A320,'Formation Initiale'!$A$2:$A$999,0)),"Général")))</f>
        <v/>
      </c>
    </row>
    <row r="321" customFormat="false" ht="15" hidden="true" customHeight="true" outlineLevel="0" collapsed="false">
      <c r="A321" s="142" t="str">
        <f aca="false">IF(B321="","","TR"&amp;TEXT(ROW()-1,"000"))</f>
        <v/>
      </c>
      <c r="E321" s="130" t="str">
        <f aca="false">IF($O321="✓","✓",IF(ISNUMBER($O321),TEXT($O321,"yyyy-mm-dd"),IF($A321="","",IF(SUMPRODUCT(('Formation Initiale'!$A$2:$A$999=$A321)*('Formation Initiale'!$R$2:$R$999="Terminé"))&gt;0,"✓",IF(SUMPRODUCT(MAX(('Formation Initiale'!$A$2:$A$999=$A321)*'Formation Initiale'!$G$2:$G$999))&gt;0,TEXT(SUMPRODUCT(MAX(('Formation Initiale'!$A$2:$A$999=$A321)*'Formation Initiale'!$G$2:$G$999)),"yyyy-mm-dd"),"")))))</f>
        <v/>
      </c>
      <c r="F321" s="131" t="str">
        <f aca="false">IF($P321="✓","✓",IF(ISNUMBER($P321),TEXT($P321,"yyyy-mm-dd"),IF($A321="","",IF($D321="Lisbonne","",IF(SUMPRODUCT(('Formation Initiale'!$A$2:$A$999=$A321)*('Formation Initiale'!$R$2:$R$999="Terminé"))&gt;0,"✓",IF(SUMPRODUCT(MAX(('Formation Initiale'!$A$2:$A$999=$A321)*'Formation Initiale'!$G$2:$G$999))&gt;0,TEXT(SUMPRODUCT(MAX(('Formation Initiale'!$A$2:$A$999=$A321)*'Formation Initiale'!$G$2:$G$999)),"yyyy-mm-dd"),""))))))</f>
        <v/>
      </c>
      <c r="G321" s="131" t="str">
        <f aca="false">IF($Q321="✓","✓",IF(ISNUMBER($Q321),TEXT($Q321,"yyyy-mm-dd"),IF($A321="","",IF(SUMPRODUCT(('Agences &amp; Après-vente'!$A$2:$A$1000=$A321)*(('Agences &amp; Après-vente'!$D$2:$D$1000="Agences")+('Agences &amp; Après-vente'!$D$2:$D$1000="Agences et Après-vente"))*('Agences &amp; Après-vente'!$I$2:$I$1000="DONE"))&gt;0,"✓",IF(SUMPRODUCT(MAX(('Agences &amp; Après-vente'!$A$2:$A$1000=$A321)*(('Agences &amp; Après-vente'!$D$2:$D$1000="Agences")+('Agences &amp; Après-vente'!$D$2:$D$1000="Agences et Après-vente"))*'Agences &amp; Après-vente'!$E$2:$E$1000))&gt;0,TEXT(SUMPRODUCT(MAX(('Agences &amp; Après-vente'!$A$2:$A$1000=$A321)*(('Agences &amp; Après-vente'!$D$2:$D$1000="Agences")+('Agences &amp; Après-vente'!$D$2:$D$1000="Agences et Après-vente"))*'Agences &amp; Après-vente'!$E$2:$E$1000)),"yyyy-mm-dd"),"")))))</f>
        <v/>
      </c>
      <c r="H321" s="131" t="str">
        <f aca="false">IF($R321="✓","✓",IF(ISNUMBER($R321),TEXT($R321,"yyyy-mm-dd"),IF($A321="","",IF($D321="Lisbonne","",IF(SUMPRODUCT(('Agences &amp; Après-vente'!$A$2:$A$1000=$A321)*(('Agences &amp; Après-vente'!$D$2:$D$1000="Agences")+('Agences &amp; Après-vente'!$D$2:$D$1000="Agences et Après-vente"))*('Agences &amp; Après-vente'!$I$2:$I$1000="DONE"))&gt;0,"✓",IF(SUMPRODUCT(MAX(('Agences &amp; Après-vente'!$A$2:$A$1000=$A321)*(('Agences &amp; Après-vente'!$D$2:$D$1000="Agences")+('Agences &amp; Après-vente'!$D$2:$D$1000="Agences et Après-vente"))*'Agences &amp; Après-vente'!$E$2:$E$1000))&gt;0,TEXT(SUMPRODUCT(MAX(('Agences &amp; Après-vente'!$A$2:$A$1000=$A321)*(('Agences &amp; Après-vente'!$D$2:$D$1000="Agences")+('Agences &amp; Après-vente'!$D$2:$D$1000="Agences et Après-vente"))*'Agences &amp; Après-vente'!$E$2:$E$1000)),"yyyy-mm-dd"),""))))))</f>
        <v/>
      </c>
      <c r="I321" s="131" t="str">
        <f aca="false">IF($S321="✓","✓",IF(ISNUMBER($S321),TEXT($S321,"yyyy-mm-dd"),IF($A321="","",IF(SUMPRODUCT(('Agences &amp; Après-vente'!$A$2:$A$1000=$A321)*(('Agences &amp; Après-vente'!$D$2:$D$1000="Après-vente")+('Agences &amp; Après-vente'!$D$2:$D$1000="Agences et Après-vente"))*('Agences &amp; Après-vente'!$I$2:$I$1000="DONE"))&gt;0,"✓",IF(SUMPRODUCT(MAX(('Agences &amp; Après-vente'!$A$2:$A$1000=$A321)*(('Agences &amp; Après-vente'!$D$2:$D$1000="Après-vente")+('Agences &amp; Après-vente'!$D$2:$D$1000="Agences et Après-vente"))*'Agences &amp; Après-vente'!$E$2:$E$1000))&gt;0,TEXT(SUMPRODUCT(MAX(('Agences &amp; Après-vente'!$A$2:$A$1000=$A321)*(('Agences &amp; Après-vente'!$D$2:$D$1000="Après-vente")+('Agences &amp; Après-vente'!$D$2:$D$1000="Agences et Après-vente"))*'Agences &amp; Après-vente'!$E$2:$E$1000)),"yyyy-mm-dd"),"")))))</f>
        <v/>
      </c>
      <c r="J321" s="131" t="str">
        <f aca="false">IF($T321="✓","✓",IF(ISNUMBER($T321),TEXT($T321,"yyyy-mm-dd"),IF($A321="","",IF($D321="Lisbonne","",IF(SUMPRODUCT(('Agences &amp; Après-vente'!$A$2:$A$1000=$A321)*(('Agences &amp; Après-vente'!$D$2:$D$1000="Après-vente")+('Agences &amp; Après-vente'!$D$2:$D$1000="Agences et Après-vente"))*('Agences &amp; Après-vente'!$I$2:$I$1000="DONE"))&gt;0,"✓",IF(SUMPRODUCT(MAX(('Agences &amp; Après-vente'!$A$2:$A$1000=$A321)*(('Agences &amp; Après-vente'!$D$2:$D$1000="Après-vente")+('Agences &amp; Après-vente'!$D$2:$D$1000="Agences et Après-vente"))*'Agences &amp; Après-vente'!$E$2:$E$1000))&gt;0,TEXT(SUMPRODUCT(MAX(('Agences &amp; Après-vente'!$A$2:$A$1000=$A321)*(('Agences &amp; Après-vente'!$D$2:$D$1000="Après-vente")+('Agences &amp; Après-vente'!$D$2:$D$1000="Agences et Après-vente"))*'Agences &amp; Après-vente'!$E$2:$E$1000)),"yyyy-mm-dd"),""))))))</f>
        <v/>
      </c>
      <c r="K321" s="131" t="str">
        <f aca="false">IF($U321="✓","✓",IF(ISNUMBER($U321),TEXT($U321,"yyyy-mm-dd"),IF($D321="Lisbonne","",IF($A321="","",IF(SUMPRODUCT((Evermont!$A$2:$A$1000=$A321)*(Evermont!$Q$2:$Q$1000="Terminé"))&gt;0,"✓",IF(SUMPRODUCT(MAX((Evermont!$A$2:$A$1000=$A321)*Evermont!$F$2:$F$1000))&gt;0,TEXT(SUMPRODUCT(MAX((Evermont!$A$2:$A$1000=$A321)*Evermont!$F$2:$F$1000)),"yyyy-mm-dd"),""))))))</f>
        <v/>
      </c>
      <c r="L321" s="131" t="str">
        <f aca="false">IF($A321="","",COUNTIF(E321:K321,"✓"))</f>
        <v/>
      </c>
      <c r="M321" s="131" t="str">
        <f aca="false">IF(B321="","","Active")</f>
        <v/>
      </c>
      <c r="W321" s="120" t="str">
        <f aca="false">IF($A321="","",IF($X321&lt;&gt;"",$X321,IFERROR(INDEX('Formation Initiale'!$B$2:$B$999,MATCH($A321,'Formation Initiale'!$A$2:$A$999,0)),"Général")))</f>
        <v/>
      </c>
    </row>
    <row r="322" customFormat="false" ht="15" hidden="true" customHeight="true" outlineLevel="0" collapsed="false">
      <c r="A322" s="142" t="str">
        <f aca="false">IF(B322="","","TR"&amp;TEXT(ROW()-1,"000"))</f>
        <v/>
      </c>
      <c r="E322" s="130" t="str">
        <f aca="false">IF($O322="✓","✓",IF(ISNUMBER($O322),TEXT($O322,"yyyy-mm-dd"),IF($A322="","",IF(SUMPRODUCT(('Formation Initiale'!$A$2:$A$999=$A322)*('Formation Initiale'!$R$2:$R$999="Terminé"))&gt;0,"✓",IF(SUMPRODUCT(MAX(('Formation Initiale'!$A$2:$A$999=$A322)*'Formation Initiale'!$G$2:$G$999))&gt;0,TEXT(SUMPRODUCT(MAX(('Formation Initiale'!$A$2:$A$999=$A322)*'Formation Initiale'!$G$2:$G$999)),"yyyy-mm-dd"),"")))))</f>
        <v/>
      </c>
      <c r="F322" s="131" t="str">
        <f aca="false">IF($P322="✓","✓",IF(ISNUMBER($P322),TEXT($P322,"yyyy-mm-dd"),IF($A322="","",IF($D322="Lisbonne","",IF(SUMPRODUCT(('Formation Initiale'!$A$2:$A$999=$A322)*('Formation Initiale'!$R$2:$R$999="Terminé"))&gt;0,"✓",IF(SUMPRODUCT(MAX(('Formation Initiale'!$A$2:$A$999=$A322)*'Formation Initiale'!$G$2:$G$999))&gt;0,TEXT(SUMPRODUCT(MAX(('Formation Initiale'!$A$2:$A$999=$A322)*'Formation Initiale'!$G$2:$G$999)),"yyyy-mm-dd"),""))))))</f>
        <v/>
      </c>
      <c r="G322" s="131" t="str">
        <f aca="false">IF($Q322="✓","✓",IF(ISNUMBER($Q322),TEXT($Q322,"yyyy-mm-dd"),IF($A322="","",IF(SUMPRODUCT(('Agences &amp; Après-vente'!$A$2:$A$1000=$A322)*(('Agences &amp; Après-vente'!$D$2:$D$1000="Agences")+('Agences &amp; Après-vente'!$D$2:$D$1000="Agences et Après-vente"))*('Agences &amp; Après-vente'!$I$2:$I$1000="DONE"))&gt;0,"✓",IF(SUMPRODUCT(MAX(('Agences &amp; Après-vente'!$A$2:$A$1000=$A322)*(('Agences &amp; Après-vente'!$D$2:$D$1000="Agences")+('Agences &amp; Après-vente'!$D$2:$D$1000="Agences et Après-vente"))*'Agences &amp; Après-vente'!$E$2:$E$1000))&gt;0,TEXT(SUMPRODUCT(MAX(('Agences &amp; Après-vente'!$A$2:$A$1000=$A322)*(('Agences &amp; Après-vente'!$D$2:$D$1000="Agences")+('Agences &amp; Après-vente'!$D$2:$D$1000="Agences et Après-vente"))*'Agences &amp; Après-vente'!$E$2:$E$1000)),"yyyy-mm-dd"),"")))))</f>
        <v/>
      </c>
      <c r="H322" s="131" t="str">
        <f aca="false">IF($R322="✓","✓",IF(ISNUMBER($R322),TEXT($R322,"yyyy-mm-dd"),IF($A322="","",IF($D322="Lisbonne","",IF(SUMPRODUCT(('Agences &amp; Après-vente'!$A$2:$A$1000=$A322)*(('Agences &amp; Après-vente'!$D$2:$D$1000="Agences")+('Agences &amp; Après-vente'!$D$2:$D$1000="Agences et Après-vente"))*('Agences &amp; Après-vente'!$I$2:$I$1000="DONE"))&gt;0,"✓",IF(SUMPRODUCT(MAX(('Agences &amp; Après-vente'!$A$2:$A$1000=$A322)*(('Agences &amp; Après-vente'!$D$2:$D$1000="Agences")+('Agences &amp; Après-vente'!$D$2:$D$1000="Agences et Après-vente"))*'Agences &amp; Après-vente'!$E$2:$E$1000))&gt;0,TEXT(SUMPRODUCT(MAX(('Agences &amp; Après-vente'!$A$2:$A$1000=$A322)*(('Agences &amp; Après-vente'!$D$2:$D$1000="Agences")+('Agences &amp; Après-vente'!$D$2:$D$1000="Agences et Après-vente"))*'Agences &amp; Après-vente'!$E$2:$E$1000)),"yyyy-mm-dd"),""))))))</f>
        <v/>
      </c>
      <c r="I322" s="131" t="str">
        <f aca="false">IF($S322="✓","✓",IF(ISNUMBER($S322),TEXT($S322,"yyyy-mm-dd"),IF($A322="","",IF(SUMPRODUCT(('Agences &amp; Après-vente'!$A$2:$A$1000=$A322)*(('Agences &amp; Après-vente'!$D$2:$D$1000="Après-vente")+('Agences &amp; Après-vente'!$D$2:$D$1000="Agences et Après-vente"))*('Agences &amp; Après-vente'!$I$2:$I$1000="DONE"))&gt;0,"✓",IF(SUMPRODUCT(MAX(('Agences &amp; Après-vente'!$A$2:$A$1000=$A322)*(('Agences &amp; Après-vente'!$D$2:$D$1000="Après-vente")+('Agences &amp; Après-vente'!$D$2:$D$1000="Agences et Après-vente"))*'Agences &amp; Après-vente'!$E$2:$E$1000))&gt;0,TEXT(SUMPRODUCT(MAX(('Agences &amp; Après-vente'!$A$2:$A$1000=$A322)*(('Agences &amp; Après-vente'!$D$2:$D$1000="Après-vente")+('Agences &amp; Après-vente'!$D$2:$D$1000="Agences et Après-vente"))*'Agences &amp; Après-vente'!$E$2:$E$1000)),"yyyy-mm-dd"),"")))))</f>
        <v/>
      </c>
      <c r="J322" s="131" t="str">
        <f aca="false">IF($T322="✓","✓",IF(ISNUMBER($T322),TEXT($T322,"yyyy-mm-dd"),IF($A322="","",IF($D322="Lisbonne","",IF(SUMPRODUCT(('Agences &amp; Après-vente'!$A$2:$A$1000=$A322)*(('Agences &amp; Après-vente'!$D$2:$D$1000="Après-vente")+('Agences &amp; Après-vente'!$D$2:$D$1000="Agences et Après-vente"))*('Agences &amp; Après-vente'!$I$2:$I$1000="DONE"))&gt;0,"✓",IF(SUMPRODUCT(MAX(('Agences &amp; Après-vente'!$A$2:$A$1000=$A322)*(('Agences &amp; Après-vente'!$D$2:$D$1000="Après-vente")+('Agences &amp; Après-vente'!$D$2:$D$1000="Agences et Après-vente"))*'Agences &amp; Après-vente'!$E$2:$E$1000))&gt;0,TEXT(SUMPRODUCT(MAX(('Agences &amp; Après-vente'!$A$2:$A$1000=$A322)*(('Agences &amp; Après-vente'!$D$2:$D$1000="Après-vente")+('Agences &amp; Après-vente'!$D$2:$D$1000="Agences et Après-vente"))*'Agences &amp; Après-vente'!$E$2:$E$1000)),"yyyy-mm-dd"),""))))))</f>
        <v/>
      </c>
      <c r="K322" s="131" t="str">
        <f aca="false">IF($U322="✓","✓",IF(ISNUMBER($U322),TEXT($U322,"yyyy-mm-dd"),IF($D322="Lisbonne","",IF($A322="","",IF(SUMPRODUCT((Evermont!$A$2:$A$1000=$A322)*(Evermont!$Q$2:$Q$1000="Terminé"))&gt;0,"✓",IF(SUMPRODUCT(MAX((Evermont!$A$2:$A$1000=$A322)*Evermont!$F$2:$F$1000))&gt;0,TEXT(SUMPRODUCT(MAX((Evermont!$A$2:$A$1000=$A322)*Evermont!$F$2:$F$1000)),"yyyy-mm-dd"),""))))))</f>
        <v/>
      </c>
      <c r="L322" s="131" t="str">
        <f aca="false">IF($A322="","",COUNTIF(E322:K322,"✓"))</f>
        <v/>
      </c>
      <c r="M322" s="131" t="str">
        <f aca="false">IF(B322="","","Active")</f>
        <v/>
      </c>
      <c r="W322" s="120" t="str">
        <f aca="false">IF($A322="","",IF($X322&lt;&gt;"",$X322,IFERROR(INDEX('Formation Initiale'!$B$2:$B$999,MATCH($A322,'Formation Initiale'!$A$2:$A$999,0)),"Général")))</f>
        <v/>
      </c>
    </row>
    <row r="323" customFormat="false" ht="15" hidden="true" customHeight="true" outlineLevel="0" collapsed="false">
      <c r="A323" s="142" t="str">
        <f aca="false">IF(B323="","","TR"&amp;TEXT(ROW()-1,"000"))</f>
        <v/>
      </c>
      <c r="E323" s="130" t="str">
        <f aca="false">IF($O323="✓","✓",IF(ISNUMBER($O323),TEXT($O323,"yyyy-mm-dd"),IF($A323="","",IF(SUMPRODUCT(('Formation Initiale'!$A$2:$A$999=$A323)*('Formation Initiale'!$R$2:$R$999="Terminé"))&gt;0,"✓",IF(SUMPRODUCT(MAX(('Formation Initiale'!$A$2:$A$999=$A323)*'Formation Initiale'!$G$2:$G$999))&gt;0,TEXT(SUMPRODUCT(MAX(('Formation Initiale'!$A$2:$A$999=$A323)*'Formation Initiale'!$G$2:$G$999)),"yyyy-mm-dd"),"")))))</f>
        <v/>
      </c>
      <c r="F323" s="131" t="str">
        <f aca="false">IF($P323="✓","✓",IF(ISNUMBER($P323),TEXT($P323,"yyyy-mm-dd"),IF($A323="","",IF($D323="Lisbonne","",IF(SUMPRODUCT(('Formation Initiale'!$A$2:$A$999=$A323)*('Formation Initiale'!$R$2:$R$999="Terminé"))&gt;0,"✓",IF(SUMPRODUCT(MAX(('Formation Initiale'!$A$2:$A$999=$A323)*'Formation Initiale'!$G$2:$G$999))&gt;0,TEXT(SUMPRODUCT(MAX(('Formation Initiale'!$A$2:$A$999=$A323)*'Formation Initiale'!$G$2:$G$999)),"yyyy-mm-dd"),""))))))</f>
        <v/>
      </c>
      <c r="G323" s="131" t="str">
        <f aca="false">IF($Q323="✓","✓",IF(ISNUMBER($Q323),TEXT($Q323,"yyyy-mm-dd"),IF($A323="","",IF(SUMPRODUCT(('Agences &amp; Après-vente'!$A$2:$A$1000=$A323)*(('Agences &amp; Après-vente'!$D$2:$D$1000="Agences")+('Agences &amp; Après-vente'!$D$2:$D$1000="Agences et Après-vente"))*('Agences &amp; Après-vente'!$I$2:$I$1000="DONE"))&gt;0,"✓",IF(SUMPRODUCT(MAX(('Agences &amp; Après-vente'!$A$2:$A$1000=$A323)*(('Agences &amp; Après-vente'!$D$2:$D$1000="Agences")+('Agences &amp; Après-vente'!$D$2:$D$1000="Agences et Après-vente"))*'Agences &amp; Après-vente'!$E$2:$E$1000))&gt;0,TEXT(SUMPRODUCT(MAX(('Agences &amp; Après-vente'!$A$2:$A$1000=$A323)*(('Agences &amp; Après-vente'!$D$2:$D$1000="Agences")+('Agences &amp; Après-vente'!$D$2:$D$1000="Agences et Après-vente"))*'Agences &amp; Après-vente'!$E$2:$E$1000)),"yyyy-mm-dd"),"")))))</f>
        <v/>
      </c>
      <c r="H323" s="131" t="str">
        <f aca="false">IF($R323="✓","✓",IF(ISNUMBER($R323),TEXT($R323,"yyyy-mm-dd"),IF($A323="","",IF($D323="Lisbonne","",IF(SUMPRODUCT(('Agences &amp; Après-vente'!$A$2:$A$1000=$A323)*(('Agences &amp; Après-vente'!$D$2:$D$1000="Agences")+('Agences &amp; Après-vente'!$D$2:$D$1000="Agences et Après-vente"))*('Agences &amp; Après-vente'!$I$2:$I$1000="DONE"))&gt;0,"✓",IF(SUMPRODUCT(MAX(('Agences &amp; Après-vente'!$A$2:$A$1000=$A323)*(('Agences &amp; Après-vente'!$D$2:$D$1000="Agences")+('Agences &amp; Après-vente'!$D$2:$D$1000="Agences et Après-vente"))*'Agences &amp; Après-vente'!$E$2:$E$1000))&gt;0,TEXT(SUMPRODUCT(MAX(('Agences &amp; Après-vente'!$A$2:$A$1000=$A323)*(('Agences &amp; Après-vente'!$D$2:$D$1000="Agences")+('Agences &amp; Après-vente'!$D$2:$D$1000="Agences et Après-vente"))*'Agences &amp; Après-vente'!$E$2:$E$1000)),"yyyy-mm-dd"),""))))))</f>
        <v/>
      </c>
      <c r="I323" s="131" t="str">
        <f aca="false">IF($S323="✓","✓",IF(ISNUMBER($S323),TEXT($S323,"yyyy-mm-dd"),IF($A323="","",IF(SUMPRODUCT(('Agences &amp; Après-vente'!$A$2:$A$1000=$A323)*(('Agences &amp; Après-vente'!$D$2:$D$1000="Après-vente")+('Agences &amp; Après-vente'!$D$2:$D$1000="Agences et Après-vente"))*('Agences &amp; Après-vente'!$I$2:$I$1000="DONE"))&gt;0,"✓",IF(SUMPRODUCT(MAX(('Agences &amp; Après-vente'!$A$2:$A$1000=$A323)*(('Agences &amp; Après-vente'!$D$2:$D$1000="Après-vente")+('Agences &amp; Après-vente'!$D$2:$D$1000="Agences et Après-vente"))*'Agences &amp; Après-vente'!$E$2:$E$1000))&gt;0,TEXT(SUMPRODUCT(MAX(('Agences &amp; Après-vente'!$A$2:$A$1000=$A323)*(('Agences &amp; Après-vente'!$D$2:$D$1000="Après-vente")+('Agences &amp; Après-vente'!$D$2:$D$1000="Agences et Après-vente"))*'Agences &amp; Après-vente'!$E$2:$E$1000)),"yyyy-mm-dd"),"")))))</f>
        <v/>
      </c>
      <c r="J323" s="131" t="str">
        <f aca="false">IF($T323="✓","✓",IF(ISNUMBER($T323),TEXT($T323,"yyyy-mm-dd"),IF($A323="","",IF($D323="Lisbonne","",IF(SUMPRODUCT(('Agences &amp; Après-vente'!$A$2:$A$1000=$A323)*(('Agences &amp; Après-vente'!$D$2:$D$1000="Après-vente")+('Agences &amp; Après-vente'!$D$2:$D$1000="Agences et Après-vente"))*('Agences &amp; Après-vente'!$I$2:$I$1000="DONE"))&gt;0,"✓",IF(SUMPRODUCT(MAX(('Agences &amp; Après-vente'!$A$2:$A$1000=$A323)*(('Agences &amp; Après-vente'!$D$2:$D$1000="Après-vente")+('Agences &amp; Après-vente'!$D$2:$D$1000="Agences et Après-vente"))*'Agences &amp; Après-vente'!$E$2:$E$1000))&gt;0,TEXT(SUMPRODUCT(MAX(('Agences &amp; Après-vente'!$A$2:$A$1000=$A323)*(('Agences &amp; Après-vente'!$D$2:$D$1000="Après-vente")+('Agences &amp; Après-vente'!$D$2:$D$1000="Agences et Après-vente"))*'Agences &amp; Après-vente'!$E$2:$E$1000)),"yyyy-mm-dd"),""))))))</f>
        <v/>
      </c>
      <c r="K323" s="131" t="str">
        <f aca="false">IF($U323="✓","✓",IF(ISNUMBER($U323),TEXT($U323,"yyyy-mm-dd"),IF($D323="Lisbonne","",IF($A323="","",IF(SUMPRODUCT((Evermont!$A$2:$A$1000=$A323)*(Evermont!$Q$2:$Q$1000="Terminé"))&gt;0,"✓",IF(SUMPRODUCT(MAX((Evermont!$A$2:$A$1000=$A323)*Evermont!$F$2:$F$1000))&gt;0,TEXT(SUMPRODUCT(MAX((Evermont!$A$2:$A$1000=$A323)*Evermont!$F$2:$F$1000)),"yyyy-mm-dd"),""))))))</f>
        <v/>
      </c>
      <c r="L323" s="131" t="str">
        <f aca="false">IF($A323="","",COUNTIF(E323:K323,"✓"))</f>
        <v/>
      </c>
      <c r="M323" s="131" t="str">
        <f aca="false">IF(B323="","","Active")</f>
        <v/>
      </c>
      <c r="W323" s="120" t="str">
        <f aca="false">IF($A323="","",IF($X323&lt;&gt;"",$X323,IFERROR(INDEX('Formation Initiale'!$B$2:$B$999,MATCH($A323,'Formation Initiale'!$A$2:$A$999,0)),"Général")))</f>
        <v/>
      </c>
    </row>
    <row r="324" customFormat="false" ht="15" hidden="true" customHeight="true" outlineLevel="0" collapsed="false">
      <c r="A324" s="142" t="str">
        <f aca="false">IF(B324="","","TR"&amp;TEXT(ROW()-1,"000"))</f>
        <v/>
      </c>
      <c r="E324" s="130" t="str">
        <f aca="false">IF($O324="✓","✓",IF(ISNUMBER($O324),TEXT($O324,"yyyy-mm-dd"),IF($A324="","",IF(SUMPRODUCT(('Formation Initiale'!$A$2:$A$999=$A324)*('Formation Initiale'!$R$2:$R$999="Terminé"))&gt;0,"✓",IF(SUMPRODUCT(MAX(('Formation Initiale'!$A$2:$A$999=$A324)*'Formation Initiale'!$G$2:$G$999))&gt;0,TEXT(SUMPRODUCT(MAX(('Formation Initiale'!$A$2:$A$999=$A324)*'Formation Initiale'!$G$2:$G$999)),"yyyy-mm-dd"),"")))))</f>
        <v/>
      </c>
      <c r="F324" s="131" t="str">
        <f aca="false">IF($P324="✓","✓",IF(ISNUMBER($P324),TEXT($P324,"yyyy-mm-dd"),IF($A324="","",IF($D324="Lisbonne","",IF(SUMPRODUCT(('Formation Initiale'!$A$2:$A$999=$A324)*('Formation Initiale'!$R$2:$R$999="Terminé"))&gt;0,"✓",IF(SUMPRODUCT(MAX(('Formation Initiale'!$A$2:$A$999=$A324)*'Formation Initiale'!$G$2:$G$999))&gt;0,TEXT(SUMPRODUCT(MAX(('Formation Initiale'!$A$2:$A$999=$A324)*'Formation Initiale'!$G$2:$G$999)),"yyyy-mm-dd"),""))))))</f>
        <v/>
      </c>
      <c r="G324" s="131" t="str">
        <f aca="false">IF($Q324="✓","✓",IF(ISNUMBER($Q324),TEXT($Q324,"yyyy-mm-dd"),IF($A324="","",IF(SUMPRODUCT(('Agences &amp; Après-vente'!$A$2:$A$1000=$A324)*(('Agences &amp; Après-vente'!$D$2:$D$1000="Agences")+('Agences &amp; Après-vente'!$D$2:$D$1000="Agences et Après-vente"))*('Agences &amp; Après-vente'!$I$2:$I$1000="DONE"))&gt;0,"✓",IF(SUMPRODUCT(MAX(('Agences &amp; Après-vente'!$A$2:$A$1000=$A324)*(('Agences &amp; Après-vente'!$D$2:$D$1000="Agences")+('Agences &amp; Après-vente'!$D$2:$D$1000="Agences et Après-vente"))*'Agences &amp; Après-vente'!$E$2:$E$1000))&gt;0,TEXT(SUMPRODUCT(MAX(('Agences &amp; Après-vente'!$A$2:$A$1000=$A324)*(('Agences &amp; Après-vente'!$D$2:$D$1000="Agences")+('Agences &amp; Après-vente'!$D$2:$D$1000="Agences et Après-vente"))*'Agences &amp; Après-vente'!$E$2:$E$1000)),"yyyy-mm-dd"),"")))))</f>
        <v/>
      </c>
      <c r="H324" s="131" t="str">
        <f aca="false">IF($R324="✓","✓",IF(ISNUMBER($R324),TEXT($R324,"yyyy-mm-dd"),IF($A324="","",IF($D324="Lisbonne","",IF(SUMPRODUCT(('Agences &amp; Après-vente'!$A$2:$A$1000=$A324)*(('Agences &amp; Après-vente'!$D$2:$D$1000="Agences")+('Agences &amp; Après-vente'!$D$2:$D$1000="Agences et Après-vente"))*('Agences &amp; Après-vente'!$I$2:$I$1000="DONE"))&gt;0,"✓",IF(SUMPRODUCT(MAX(('Agences &amp; Après-vente'!$A$2:$A$1000=$A324)*(('Agences &amp; Après-vente'!$D$2:$D$1000="Agences")+('Agences &amp; Après-vente'!$D$2:$D$1000="Agences et Après-vente"))*'Agences &amp; Après-vente'!$E$2:$E$1000))&gt;0,TEXT(SUMPRODUCT(MAX(('Agences &amp; Après-vente'!$A$2:$A$1000=$A324)*(('Agences &amp; Après-vente'!$D$2:$D$1000="Agences")+('Agences &amp; Après-vente'!$D$2:$D$1000="Agences et Après-vente"))*'Agences &amp; Après-vente'!$E$2:$E$1000)),"yyyy-mm-dd"),""))))))</f>
        <v/>
      </c>
      <c r="I324" s="131" t="str">
        <f aca="false">IF($S324="✓","✓",IF(ISNUMBER($S324),TEXT($S324,"yyyy-mm-dd"),IF($A324="","",IF(SUMPRODUCT(('Agences &amp; Après-vente'!$A$2:$A$1000=$A324)*(('Agences &amp; Après-vente'!$D$2:$D$1000="Après-vente")+('Agences &amp; Après-vente'!$D$2:$D$1000="Agences et Après-vente"))*('Agences &amp; Après-vente'!$I$2:$I$1000="DONE"))&gt;0,"✓",IF(SUMPRODUCT(MAX(('Agences &amp; Après-vente'!$A$2:$A$1000=$A324)*(('Agences &amp; Après-vente'!$D$2:$D$1000="Après-vente")+('Agences &amp; Après-vente'!$D$2:$D$1000="Agences et Après-vente"))*'Agences &amp; Après-vente'!$E$2:$E$1000))&gt;0,TEXT(SUMPRODUCT(MAX(('Agences &amp; Après-vente'!$A$2:$A$1000=$A324)*(('Agences &amp; Après-vente'!$D$2:$D$1000="Après-vente")+('Agences &amp; Après-vente'!$D$2:$D$1000="Agences et Après-vente"))*'Agences &amp; Après-vente'!$E$2:$E$1000)),"yyyy-mm-dd"),"")))))</f>
        <v/>
      </c>
      <c r="J324" s="131" t="str">
        <f aca="false">IF($T324="✓","✓",IF(ISNUMBER($T324),TEXT($T324,"yyyy-mm-dd"),IF($A324="","",IF($D324="Lisbonne","",IF(SUMPRODUCT(('Agences &amp; Après-vente'!$A$2:$A$1000=$A324)*(('Agences &amp; Après-vente'!$D$2:$D$1000="Après-vente")+('Agences &amp; Après-vente'!$D$2:$D$1000="Agences et Après-vente"))*('Agences &amp; Après-vente'!$I$2:$I$1000="DONE"))&gt;0,"✓",IF(SUMPRODUCT(MAX(('Agences &amp; Après-vente'!$A$2:$A$1000=$A324)*(('Agences &amp; Après-vente'!$D$2:$D$1000="Après-vente")+('Agences &amp; Après-vente'!$D$2:$D$1000="Agences et Après-vente"))*'Agences &amp; Après-vente'!$E$2:$E$1000))&gt;0,TEXT(SUMPRODUCT(MAX(('Agences &amp; Après-vente'!$A$2:$A$1000=$A324)*(('Agences &amp; Après-vente'!$D$2:$D$1000="Après-vente")+('Agences &amp; Après-vente'!$D$2:$D$1000="Agences et Après-vente"))*'Agences &amp; Après-vente'!$E$2:$E$1000)),"yyyy-mm-dd"),""))))))</f>
        <v/>
      </c>
      <c r="K324" s="131" t="str">
        <f aca="false">IF($U324="✓","✓",IF(ISNUMBER($U324),TEXT($U324,"yyyy-mm-dd"),IF($D324="Lisbonne","",IF($A324="","",IF(SUMPRODUCT((Evermont!$A$2:$A$1000=$A324)*(Evermont!$Q$2:$Q$1000="Terminé"))&gt;0,"✓",IF(SUMPRODUCT(MAX((Evermont!$A$2:$A$1000=$A324)*Evermont!$F$2:$F$1000))&gt;0,TEXT(SUMPRODUCT(MAX((Evermont!$A$2:$A$1000=$A324)*Evermont!$F$2:$F$1000)),"yyyy-mm-dd"),""))))))</f>
        <v/>
      </c>
      <c r="L324" s="131" t="str">
        <f aca="false">IF($A324="","",COUNTIF(E324:K324,"✓"))</f>
        <v/>
      </c>
      <c r="M324" s="131" t="str">
        <f aca="false">IF(B324="","","Active")</f>
        <v/>
      </c>
      <c r="W324" s="120" t="str">
        <f aca="false">IF($A324="","",IF($X324&lt;&gt;"",$X324,IFERROR(INDEX('Formation Initiale'!$B$2:$B$999,MATCH($A324,'Formation Initiale'!$A$2:$A$999,0)),"Général")))</f>
        <v/>
      </c>
    </row>
    <row r="325" customFormat="false" ht="15" hidden="true" customHeight="true" outlineLevel="0" collapsed="false">
      <c r="A325" s="142" t="str">
        <f aca="false">IF(B325="","","TR"&amp;TEXT(ROW()-1,"000"))</f>
        <v/>
      </c>
      <c r="E325" s="130" t="str">
        <f aca="false">IF($O325="✓","✓",IF(ISNUMBER($O325),TEXT($O325,"yyyy-mm-dd"),IF($A325="","",IF(SUMPRODUCT(('Formation Initiale'!$A$2:$A$999=$A325)*('Formation Initiale'!$R$2:$R$999="Terminé"))&gt;0,"✓",IF(SUMPRODUCT(MAX(('Formation Initiale'!$A$2:$A$999=$A325)*'Formation Initiale'!$G$2:$G$999))&gt;0,TEXT(SUMPRODUCT(MAX(('Formation Initiale'!$A$2:$A$999=$A325)*'Formation Initiale'!$G$2:$G$999)),"yyyy-mm-dd"),"")))))</f>
        <v/>
      </c>
      <c r="F325" s="131" t="str">
        <f aca="false">IF($P325="✓","✓",IF(ISNUMBER($P325),TEXT($P325,"yyyy-mm-dd"),IF($A325="","",IF($D325="Lisbonne","",IF(SUMPRODUCT(('Formation Initiale'!$A$2:$A$999=$A325)*('Formation Initiale'!$R$2:$R$999="Terminé"))&gt;0,"✓",IF(SUMPRODUCT(MAX(('Formation Initiale'!$A$2:$A$999=$A325)*'Formation Initiale'!$G$2:$G$999))&gt;0,TEXT(SUMPRODUCT(MAX(('Formation Initiale'!$A$2:$A$999=$A325)*'Formation Initiale'!$G$2:$G$999)),"yyyy-mm-dd"),""))))))</f>
        <v/>
      </c>
      <c r="G325" s="131" t="str">
        <f aca="false">IF($Q325="✓","✓",IF(ISNUMBER($Q325),TEXT($Q325,"yyyy-mm-dd"),IF($A325="","",IF(SUMPRODUCT(('Agences &amp; Après-vente'!$A$2:$A$1000=$A325)*(('Agences &amp; Après-vente'!$D$2:$D$1000="Agences")+('Agences &amp; Après-vente'!$D$2:$D$1000="Agences et Après-vente"))*('Agences &amp; Après-vente'!$I$2:$I$1000="DONE"))&gt;0,"✓",IF(SUMPRODUCT(MAX(('Agences &amp; Après-vente'!$A$2:$A$1000=$A325)*(('Agences &amp; Après-vente'!$D$2:$D$1000="Agences")+('Agences &amp; Après-vente'!$D$2:$D$1000="Agences et Après-vente"))*'Agences &amp; Après-vente'!$E$2:$E$1000))&gt;0,TEXT(SUMPRODUCT(MAX(('Agences &amp; Après-vente'!$A$2:$A$1000=$A325)*(('Agences &amp; Après-vente'!$D$2:$D$1000="Agences")+('Agences &amp; Après-vente'!$D$2:$D$1000="Agences et Après-vente"))*'Agences &amp; Après-vente'!$E$2:$E$1000)),"yyyy-mm-dd"),"")))))</f>
        <v/>
      </c>
      <c r="H325" s="131" t="str">
        <f aca="false">IF($R325="✓","✓",IF(ISNUMBER($R325),TEXT($R325,"yyyy-mm-dd"),IF($A325="","",IF($D325="Lisbonne","",IF(SUMPRODUCT(('Agences &amp; Après-vente'!$A$2:$A$1000=$A325)*(('Agences &amp; Après-vente'!$D$2:$D$1000="Agences")+('Agences &amp; Après-vente'!$D$2:$D$1000="Agences et Après-vente"))*('Agences &amp; Après-vente'!$I$2:$I$1000="DONE"))&gt;0,"✓",IF(SUMPRODUCT(MAX(('Agences &amp; Après-vente'!$A$2:$A$1000=$A325)*(('Agences &amp; Après-vente'!$D$2:$D$1000="Agences")+('Agences &amp; Après-vente'!$D$2:$D$1000="Agences et Après-vente"))*'Agences &amp; Après-vente'!$E$2:$E$1000))&gt;0,TEXT(SUMPRODUCT(MAX(('Agences &amp; Après-vente'!$A$2:$A$1000=$A325)*(('Agences &amp; Après-vente'!$D$2:$D$1000="Agences")+('Agences &amp; Après-vente'!$D$2:$D$1000="Agences et Après-vente"))*'Agences &amp; Après-vente'!$E$2:$E$1000)),"yyyy-mm-dd"),""))))))</f>
        <v/>
      </c>
      <c r="I325" s="131" t="str">
        <f aca="false">IF($S325="✓","✓",IF(ISNUMBER($S325),TEXT($S325,"yyyy-mm-dd"),IF($A325="","",IF(SUMPRODUCT(('Agences &amp; Après-vente'!$A$2:$A$1000=$A325)*(('Agences &amp; Après-vente'!$D$2:$D$1000="Après-vente")+('Agences &amp; Après-vente'!$D$2:$D$1000="Agences et Après-vente"))*('Agences &amp; Après-vente'!$I$2:$I$1000="DONE"))&gt;0,"✓",IF(SUMPRODUCT(MAX(('Agences &amp; Après-vente'!$A$2:$A$1000=$A325)*(('Agences &amp; Après-vente'!$D$2:$D$1000="Après-vente")+('Agences &amp; Après-vente'!$D$2:$D$1000="Agences et Après-vente"))*'Agences &amp; Après-vente'!$E$2:$E$1000))&gt;0,TEXT(SUMPRODUCT(MAX(('Agences &amp; Après-vente'!$A$2:$A$1000=$A325)*(('Agences &amp; Après-vente'!$D$2:$D$1000="Après-vente")+('Agences &amp; Après-vente'!$D$2:$D$1000="Agences et Après-vente"))*'Agences &amp; Après-vente'!$E$2:$E$1000)),"yyyy-mm-dd"),"")))))</f>
        <v/>
      </c>
      <c r="J325" s="131" t="str">
        <f aca="false">IF($T325="✓","✓",IF(ISNUMBER($T325),TEXT($T325,"yyyy-mm-dd"),IF($A325="","",IF($D325="Lisbonne","",IF(SUMPRODUCT(('Agences &amp; Après-vente'!$A$2:$A$1000=$A325)*(('Agences &amp; Après-vente'!$D$2:$D$1000="Après-vente")+('Agences &amp; Après-vente'!$D$2:$D$1000="Agences et Après-vente"))*('Agences &amp; Après-vente'!$I$2:$I$1000="DONE"))&gt;0,"✓",IF(SUMPRODUCT(MAX(('Agences &amp; Après-vente'!$A$2:$A$1000=$A325)*(('Agences &amp; Après-vente'!$D$2:$D$1000="Après-vente")+('Agences &amp; Après-vente'!$D$2:$D$1000="Agences et Après-vente"))*'Agences &amp; Après-vente'!$E$2:$E$1000))&gt;0,TEXT(SUMPRODUCT(MAX(('Agences &amp; Après-vente'!$A$2:$A$1000=$A325)*(('Agences &amp; Après-vente'!$D$2:$D$1000="Après-vente")+('Agences &amp; Après-vente'!$D$2:$D$1000="Agences et Après-vente"))*'Agences &amp; Après-vente'!$E$2:$E$1000)),"yyyy-mm-dd"),""))))))</f>
        <v/>
      </c>
      <c r="K325" s="131" t="str">
        <f aca="false">IF($U325="✓","✓",IF(ISNUMBER($U325),TEXT($U325,"yyyy-mm-dd"),IF($D325="Lisbonne","",IF($A325="","",IF(SUMPRODUCT((Evermont!$A$2:$A$1000=$A325)*(Evermont!$Q$2:$Q$1000="Terminé"))&gt;0,"✓",IF(SUMPRODUCT(MAX((Evermont!$A$2:$A$1000=$A325)*Evermont!$F$2:$F$1000))&gt;0,TEXT(SUMPRODUCT(MAX((Evermont!$A$2:$A$1000=$A325)*Evermont!$F$2:$F$1000)),"yyyy-mm-dd"),""))))))</f>
        <v/>
      </c>
      <c r="L325" s="131" t="str">
        <f aca="false">IF($A325="","",COUNTIF(E325:K325,"✓"))</f>
        <v/>
      </c>
      <c r="M325" s="131" t="str">
        <f aca="false">IF(B325="","","Active")</f>
        <v/>
      </c>
      <c r="W325" s="120" t="str">
        <f aca="false">IF($A325="","",IF($X325&lt;&gt;"",$X325,IFERROR(INDEX('Formation Initiale'!$B$2:$B$999,MATCH($A325,'Formation Initiale'!$A$2:$A$999,0)),"Général")))</f>
        <v/>
      </c>
    </row>
    <row r="326" customFormat="false" ht="15" hidden="true" customHeight="true" outlineLevel="0" collapsed="false">
      <c r="A326" s="142" t="str">
        <f aca="false">IF(B326="","","TR"&amp;TEXT(ROW()-1,"000"))</f>
        <v/>
      </c>
      <c r="E326" s="130" t="str">
        <f aca="false">IF($O326="✓","✓",IF(ISNUMBER($O326),TEXT($O326,"yyyy-mm-dd"),IF($A326="","",IF(SUMPRODUCT(('Formation Initiale'!$A$2:$A$999=$A326)*('Formation Initiale'!$R$2:$R$999="Terminé"))&gt;0,"✓",IF(SUMPRODUCT(MAX(('Formation Initiale'!$A$2:$A$999=$A326)*'Formation Initiale'!$G$2:$G$999))&gt;0,TEXT(SUMPRODUCT(MAX(('Formation Initiale'!$A$2:$A$999=$A326)*'Formation Initiale'!$G$2:$G$999)),"yyyy-mm-dd"),"")))))</f>
        <v/>
      </c>
      <c r="F326" s="131" t="str">
        <f aca="false">IF($P326="✓","✓",IF(ISNUMBER($P326),TEXT($P326,"yyyy-mm-dd"),IF($A326="","",IF($D326="Lisbonne","",IF(SUMPRODUCT(('Formation Initiale'!$A$2:$A$999=$A326)*('Formation Initiale'!$R$2:$R$999="Terminé"))&gt;0,"✓",IF(SUMPRODUCT(MAX(('Formation Initiale'!$A$2:$A$999=$A326)*'Formation Initiale'!$G$2:$G$999))&gt;0,TEXT(SUMPRODUCT(MAX(('Formation Initiale'!$A$2:$A$999=$A326)*'Formation Initiale'!$G$2:$G$999)),"yyyy-mm-dd"),""))))))</f>
        <v/>
      </c>
      <c r="G326" s="131" t="str">
        <f aca="false">IF($Q326="✓","✓",IF(ISNUMBER($Q326),TEXT($Q326,"yyyy-mm-dd"),IF($A326="","",IF(SUMPRODUCT(('Agences &amp; Après-vente'!$A$2:$A$1000=$A326)*(('Agences &amp; Après-vente'!$D$2:$D$1000="Agences")+('Agences &amp; Après-vente'!$D$2:$D$1000="Agences et Après-vente"))*('Agences &amp; Après-vente'!$I$2:$I$1000="DONE"))&gt;0,"✓",IF(SUMPRODUCT(MAX(('Agences &amp; Après-vente'!$A$2:$A$1000=$A326)*(('Agences &amp; Après-vente'!$D$2:$D$1000="Agences")+('Agences &amp; Après-vente'!$D$2:$D$1000="Agences et Après-vente"))*'Agences &amp; Après-vente'!$E$2:$E$1000))&gt;0,TEXT(SUMPRODUCT(MAX(('Agences &amp; Après-vente'!$A$2:$A$1000=$A326)*(('Agences &amp; Après-vente'!$D$2:$D$1000="Agences")+('Agences &amp; Après-vente'!$D$2:$D$1000="Agences et Après-vente"))*'Agences &amp; Après-vente'!$E$2:$E$1000)),"yyyy-mm-dd"),"")))))</f>
        <v/>
      </c>
      <c r="H326" s="131" t="str">
        <f aca="false">IF($R326="✓","✓",IF(ISNUMBER($R326),TEXT($R326,"yyyy-mm-dd"),IF($A326="","",IF($D326="Lisbonne","",IF(SUMPRODUCT(('Agences &amp; Après-vente'!$A$2:$A$1000=$A326)*(('Agences &amp; Après-vente'!$D$2:$D$1000="Agences")+('Agences &amp; Après-vente'!$D$2:$D$1000="Agences et Après-vente"))*('Agences &amp; Après-vente'!$I$2:$I$1000="DONE"))&gt;0,"✓",IF(SUMPRODUCT(MAX(('Agences &amp; Après-vente'!$A$2:$A$1000=$A326)*(('Agences &amp; Après-vente'!$D$2:$D$1000="Agences")+('Agences &amp; Après-vente'!$D$2:$D$1000="Agences et Après-vente"))*'Agences &amp; Après-vente'!$E$2:$E$1000))&gt;0,TEXT(SUMPRODUCT(MAX(('Agences &amp; Après-vente'!$A$2:$A$1000=$A326)*(('Agences &amp; Après-vente'!$D$2:$D$1000="Agences")+('Agences &amp; Après-vente'!$D$2:$D$1000="Agences et Après-vente"))*'Agences &amp; Après-vente'!$E$2:$E$1000)),"yyyy-mm-dd"),""))))))</f>
        <v/>
      </c>
      <c r="I326" s="131" t="str">
        <f aca="false">IF($S326="✓","✓",IF(ISNUMBER($S326),TEXT($S326,"yyyy-mm-dd"),IF($A326="","",IF(SUMPRODUCT(('Agences &amp; Après-vente'!$A$2:$A$1000=$A326)*(('Agences &amp; Après-vente'!$D$2:$D$1000="Après-vente")+('Agences &amp; Après-vente'!$D$2:$D$1000="Agences et Après-vente"))*('Agences &amp; Après-vente'!$I$2:$I$1000="DONE"))&gt;0,"✓",IF(SUMPRODUCT(MAX(('Agences &amp; Après-vente'!$A$2:$A$1000=$A326)*(('Agences &amp; Après-vente'!$D$2:$D$1000="Après-vente")+('Agences &amp; Après-vente'!$D$2:$D$1000="Agences et Après-vente"))*'Agences &amp; Après-vente'!$E$2:$E$1000))&gt;0,TEXT(SUMPRODUCT(MAX(('Agences &amp; Après-vente'!$A$2:$A$1000=$A326)*(('Agences &amp; Après-vente'!$D$2:$D$1000="Après-vente")+('Agences &amp; Après-vente'!$D$2:$D$1000="Agences et Après-vente"))*'Agences &amp; Après-vente'!$E$2:$E$1000)),"yyyy-mm-dd"),"")))))</f>
        <v/>
      </c>
      <c r="J326" s="131" t="str">
        <f aca="false">IF($T326="✓","✓",IF(ISNUMBER($T326),TEXT($T326,"yyyy-mm-dd"),IF($A326="","",IF($D326="Lisbonne","",IF(SUMPRODUCT(('Agences &amp; Après-vente'!$A$2:$A$1000=$A326)*(('Agences &amp; Après-vente'!$D$2:$D$1000="Après-vente")+('Agences &amp; Après-vente'!$D$2:$D$1000="Agences et Après-vente"))*('Agences &amp; Après-vente'!$I$2:$I$1000="DONE"))&gt;0,"✓",IF(SUMPRODUCT(MAX(('Agences &amp; Après-vente'!$A$2:$A$1000=$A326)*(('Agences &amp; Après-vente'!$D$2:$D$1000="Après-vente")+('Agences &amp; Après-vente'!$D$2:$D$1000="Agences et Après-vente"))*'Agences &amp; Après-vente'!$E$2:$E$1000))&gt;0,TEXT(SUMPRODUCT(MAX(('Agences &amp; Après-vente'!$A$2:$A$1000=$A326)*(('Agences &amp; Après-vente'!$D$2:$D$1000="Après-vente")+('Agences &amp; Après-vente'!$D$2:$D$1000="Agences et Après-vente"))*'Agences &amp; Après-vente'!$E$2:$E$1000)),"yyyy-mm-dd"),""))))))</f>
        <v/>
      </c>
      <c r="K326" s="131" t="str">
        <f aca="false">IF($U326="✓","✓",IF(ISNUMBER($U326),TEXT($U326,"yyyy-mm-dd"),IF($D326="Lisbonne","",IF($A326="","",IF(SUMPRODUCT((Evermont!$A$2:$A$1000=$A326)*(Evermont!$Q$2:$Q$1000="Terminé"))&gt;0,"✓",IF(SUMPRODUCT(MAX((Evermont!$A$2:$A$1000=$A326)*Evermont!$F$2:$F$1000))&gt;0,TEXT(SUMPRODUCT(MAX((Evermont!$A$2:$A$1000=$A326)*Evermont!$F$2:$F$1000)),"yyyy-mm-dd"),""))))))</f>
        <v/>
      </c>
      <c r="L326" s="131" t="str">
        <f aca="false">IF($A326="","",COUNTIF(E326:K326,"✓"))</f>
        <v/>
      </c>
      <c r="M326" s="131" t="str">
        <f aca="false">IF(B326="","","Active")</f>
        <v/>
      </c>
      <c r="W326" s="120" t="str">
        <f aca="false">IF($A326="","",IF($X326&lt;&gt;"",$X326,IFERROR(INDEX('Formation Initiale'!$B$2:$B$999,MATCH($A326,'Formation Initiale'!$A$2:$A$999,0)),"Général")))</f>
        <v/>
      </c>
    </row>
    <row r="327" customFormat="false" ht="15" hidden="true" customHeight="true" outlineLevel="0" collapsed="false">
      <c r="A327" s="142" t="str">
        <f aca="false">IF(B327="","","TR"&amp;TEXT(ROW()-1,"000"))</f>
        <v/>
      </c>
      <c r="E327" s="130" t="str">
        <f aca="false">IF($O327="✓","✓",IF(ISNUMBER($O327),TEXT($O327,"yyyy-mm-dd"),IF($A327="","",IF(SUMPRODUCT(('Formation Initiale'!$A$2:$A$999=$A327)*('Formation Initiale'!$R$2:$R$999="Terminé"))&gt;0,"✓",IF(SUMPRODUCT(MAX(('Formation Initiale'!$A$2:$A$999=$A327)*'Formation Initiale'!$G$2:$G$999))&gt;0,TEXT(SUMPRODUCT(MAX(('Formation Initiale'!$A$2:$A$999=$A327)*'Formation Initiale'!$G$2:$G$999)),"yyyy-mm-dd"),"")))))</f>
        <v/>
      </c>
      <c r="F327" s="131" t="str">
        <f aca="false">IF($P327="✓","✓",IF(ISNUMBER($P327),TEXT($P327,"yyyy-mm-dd"),IF($A327="","",IF($D327="Lisbonne","",IF(SUMPRODUCT(('Formation Initiale'!$A$2:$A$999=$A327)*('Formation Initiale'!$R$2:$R$999="Terminé"))&gt;0,"✓",IF(SUMPRODUCT(MAX(('Formation Initiale'!$A$2:$A$999=$A327)*'Formation Initiale'!$G$2:$G$999))&gt;0,TEXT(SUMPRODUCT(MAX(('Formation Initiale'!$A$2:$A$999=$A327)*'Formation Initiale'!$G$2:$G$999)),"yyyy-mm-dd"),""))))))</f>
        <v/>
      </c>
      <c r="G327" s="131" t="str">
        <f aca="false">IF($Q327="✓","✓",IF(ISNUMBER($Q327),TEXT($Q327,"yyyy-mm-dd"),IF($A327="","",IF(SUMPRODUCT(('Agences &amp; Après-vente'!$A$2:$A$1000=$A327)*(('Agences &amp; Après-vente'!$D$2:$D$1000="Agences")+('Agences &amp; Après-vente'!$D$2:$D$1000="Agences et Après-vente"))*('Agences &amp; Après-vente'!$I$2:$I$1000="DONE"))&gt;0,"✓",IF(SUMPRODUCT(MAX(('Agences &amp; Après-vente'!$A$2:$A$1000=$A327)*(('Agences &amp; Après-vente'!$D$2:$D$1000="Agences")+('Agences &amp; Après-vente'!$D$2:$D$1000="Agences et Après-vente"))*'Agences &amp; Après-vente'!$E$2:$E$1000))&gt;0,TEXT(SUMPRODUCT(MAX(('Agences &amp; Après-vente'!$A$2:$A$1000=$A327)*(('Agences &amp; Après-vente'!$D$2:$D$1000="Agences")+('Agences &amp; Après-vente'!$D$2:$D$1000="Agences et Après-vente"))*'Agences &amp; Après-vente'!$E$2:$E$1000)),"yyyy-mm-dd"),"")))))</f>
        <v/>
      </c>
      <c r="H327" s="131" t="str">
        <f aca="false">IF($R327="✓","✓",IF(ISNUMBER($R327),TEXT($R327,"yyyy-mm-dd"),IF($A327="","",IF($D327="Lisbonne","",IF(SUMPRODUCT(('Agences &amp; Après-vente'!$A$2:$A$1000=$A327)*(('Agences &amp; Après-vente'!$D$2:$D$1000="Agences")+('Agences &amp; Après-vente'!$D$2:$D$1000="Agences et Après-vente"))*('Agences &amp; Après-vente'!$I$2:$I$1000="DONE"))&gt;0,"✓",IF(SUMPRODUCT(MAX(('Agences &amp; Après-vente'!$A$2:$A$1000=$A327)*(('Agences &amp; Après-vente'!$D$2:$D$1000="Agences")+('Agences &amp; Après-vente'!$D$2:$D$1000="Agences et Après-vente"))*'Agences &amp; Après-vente'!$E$2:$E$1000))&gt;0,TEXT(SUMPRODUCT(MAX(('Agences &amp; Après-vente'!$A$2:$A$1000=$A327)*(('Agences &amp; Après-vente'!$D$2:$D$1000="Agences")+('Agences &amp; Après-vente'!$D$2:$D$1000="Agences et Après-vente"))*'Agences &amp; Après-vente'!$E$2:$E$1000)),"yyyy-mm-dd"),""))))))</f>
        <v/>
      </c>
      <c r="I327" s="131" t="str">
        <f aca="false">IF($S327="✓","✓",IF(ISNUMBER($S327),TEXT($S327,"yyyy-mm-dd"),IF($A327="","",IF(SUMPRODUCT(('Agences &amp; Après-vente'!$A$2:$A$1000=$A327)*(('Agences &amp; Après-vente'!$D$2:$D$1000="Après-vente")+('Agences &amp; Après-vente'!$D$2:$D$1000="Agences et Après-vente"))*('Agences &amp; Après-vente'!$I$2:$I$1000="DONE"))&gt;0,"✓",IF(SUMPRODUCT(MAX(('Agences &amp; Après-vente'!$A$2:$A$1000=$A327)*(('Agences &amp; Après-vente'!$D$2:$D$1000="Après-vente")+('Agences &amp; Après-vente'!$D$2:$D$1000="Agences et Après-vente"))*'Agences &amp; Après-vente'!$E$2:$E$1000))&gt;0,TEXT(SUMPRODUCT(MAX(('Agences &amp; Après-vente'!$A$2:$A$1000=$A327)*(('Agences &amp; Après-vente'!$D$2:$D$1000="Après-vente")+('Agences &amp; Après-vente'!$D$2:$D$1000="Agences et Après-vente"))*'Agences &amp; Après-vente'!$E$2:$E$1000)),"yyyy-mm-dd"),"")))))</f>
        <v/>
      </c>
      <c r="J327" s="131" t="str">
        <f aca="false">IF($T327="✓","✓",IF(ISNUMBER($T327),TEXT($T327,"yyyy-mm-dd"),IF($A327="","",IF($D327="Lisbonne","",IF(SUMPRODUCT(('Agences &amp; Après-vente'!$A$2:$A$1000=$A327)*(('Agences &amp; Après-vente'!$D$2:$D$1000="Après-vente")+('Agences &amp; Après-vente'!$D$2:$D$1000="Agences et Après-vente"))*('Agences &amp; Après-vente'!$I$2:$I$1000="DONE"))&gt;0,"✓",IF(SUMPRODUCT(MAX(('Agences &amp; Après-vente'!$A$2:$A$1000=$A327)*(('Agences &amp; Après-vente'!$D$2:$D$1000="Après-vente")+('Agences &amp; Après-vente'!$D$2:$D$1000="Agences et Après-vente"))*'Agences &amp; Après-vente'!$E$2:$E$1000))&gt;0,TEXT(SUMPRODUCT(MAX(('Agences &amp; Après-vente'!$A$2:$A$1000=$A327)*(('Agences &amp; Après-vente'!$D$2:$D$1000="Après-vente")+('Agences &amp; Après-vente'!$D$2:$D$1000="Agences et Après-vente"))*'Agences &amp; Après-vente'!$E$2:$E$1000)),"yyyy-mm-dd"),""))))))</f>
        <v/>
      </c>
      <c r="K327" s="131" t="str">
        <f aca="false">IF($U327="✓","✓",IF(ISNUMBER($U327),TEXT($U327,"yyyy-mm-dd"),IF($D327="Lisbonne","",IF($A327="","",IF(SUMPRODUCT((Evermont!$A$2:$A$1000=$A327)*(Evermont!$Q$2:$Q$1000="Terminé"))&gt;0,"✓",IF(SUMPRODUCT(MAX((Evermont!$A$2:$A$1000=$A327)*Evermont!$F$2:$F$1000))&gt;0,TEXT(SUMPRODUCT(MAX((Evermont!$A$2:$A$1000=$A327)*Evermont!$F$2:$F$1000)),"yyyy-mm-dd"),""))))))</f>
        <v/>
      </c>
      <c r="L327" s="131" t="str">
        <f aca="false">IF($A327="","",COUNTIF(E327:K327,"✓"))</f>
        <v/>
      </c>
      <c r="M327" s="131" t="str">
        <f aca="false">IF(B327="","","Active")</f>
        <v/>
      </c>
      <c r="W327" s="120" t="str">
        <f aca="false">IF($A327="","",IF($X327&lt;&gt;"",$X327,IFERROR(INDEX('Formation Initiale'!$B$2:$B$999,MATCH($A327,'Formation Initiale'!$A$2:$A$999,0)),"Général")))</f>
        <v/>
      </c>
    </row>
    <row r="328" customFormat="false" ht="15" hidden="true" customHeight="true" outlineLevel="0" collapsed="false">
      <c r="A328" s="142" t="str">
        <f aca="false">IF(B328="","","TR"&amp;TEXT(ROW()-1,"000"))</f>
        <v/>
      </c>
      <c r="E328" s="130" t="str">
        <f aca="false">IF($O328="✓","✓",IF(ISNUMBER($O328),TEXT($O328,"yyyy-mm-dd"),IF($A328="","",IF(SUMPRODUCT(('Formation Initiale'!$A$2:$A$999=$A328)*('Formation Initiale'!$R$2:$R$999="Terminé"))&gt;0,"✓",IF(SUMPRODUCT(MAX(('Formation Initiale'!$A$2:$A$999=$A328)*'Formation Initiale'!$G$2:$G$999))&gt;0,TEXT(SUMPRODUCT(MAX(('Formation Initiale'!$A$2:$A$999=$A328)*'Formation Initiale'!$G$2:$G$999)),"yyyy-mm-dd"),"")))))</f>
        <v/>
      </c>
      <c r="F328" s="131" t="str">
        <f aca="false">IF($P328="✓","✓",IF(ISNUMBER($P328),TEXT($P328,"yyyy-mm-dd"),IF($A328="","",IF($D328="Lisbonne","",IF(SUMPRODUCT(('Formation Initiale'!$A$2:$A$999=$A328)*('Formation Initiale'!$R$2:$R$999="Terminé"))&gt;0,"✓",IF(SUMPRODUCT(MAX(('Formation Initiale'!$A$2:$A$999=$A328)*'Formation Initiale'!$G$2:$G$999))&gt;0,TEXT(SUMPRODUCT(MAX(('Formation Initiale'!$A$2:$A$999=$A328)*'Formation Initiale'!$G$2:$G$999)),"yyyy-mm-dd"),""))))))</f>
        <v/>
      </c>
      <c r="G328" s="131" t="str">
        <f aca="false">IF($Q328="✓","✓",IF(ISNUMBER($Q328),TEXT($Q328,"yyyy-mm-dd"),IF($A328="","",IF(SUMPRODUCT(('Agences &amp; Après-vente'!$A$2:$A$1000=$A328)*(('Agences &amp; Après-vente'!$D$2:$D$1000="Agences")+('Agences &amp; Après-vente'!$D$2:$D$1000="Agences et Après-vente"))*('Agences &amp; Après-vente'!$I$2:$I$1000="DONE"))&gt;0,"✓",IF(SUMPRODUCT(MAX(('Agences &amp; Après-vente'!$A$2:$A$1000=$A328)*(('Agences &amp; Après-vente'!$D$2:$D$1000="Agences")+('Agences &amp; Après-vente'!$D$2:$D$1000="Agences et Après-vente"))*'Agences &amp; Après-vente'!$E$2:$E$1000))&gt;0,TEXT(SUMPRODUCT(MAX(('Agences &amp; Après-vente'!$A$2:$A$1000=$A328)*(('Agences &amp; Après-vente'!$D$2:$D$1000="Agences")+('Agences &amp; Après-vente'!$D$2:$D$1000="Agences et Après-vente"))*'Agences &amp; Après-vente'!$E$2:$E$1000)),"yyyy-mm-dd"),"")))))</f>
        <v/>
      </c>
      <c r="H328" s="131" t="str">
        <f aca="false">IF($R328="✓","✓",IF(ISNUMBER($R328),TEXT($R328,"yyyy-mm-dd"),IF($A328="","",IF($D328="Lisbonne","",IF(SUMPRODUCT(('Agences &amp; Après-vente'!$A$2:$A$1000=$A328)*(('Agences &amp; Après-vente'!$D$2:$D$1000="Agences")+('Agences &amp; Après-vente'!$D$2:$D$1000="Agences et Après-vente"))*('Agences &amp; Après-vente'!$I$2:$I$1000="DONE"))&gt;0,"✓",IF(SUMPRODUCT(MAX(('Agences &amp; Après-vente'!$A$2:$A$1000=$A328)*(('Agences &amp; Après-vente'!$D$2:$D$1000="Agences")+('Agences &amp; Après-vente'!$D$2:$D$1000="Agences et Après-vente"))*'Agences &amp; Après-vente'!$E$2:$E$1000))&gt;0,TEXT(SUMPRODUCT(MAX(('Agences &amp; Après-vente'!$A$2:$A$1000=$A328)*(('Agences &amp; Après-vente'!$D$2:$D$1000="Agences")+('Agences &amp; Après-vente'!$D$2:$D$1000="Agences et Après-vente"))*'Agences &amp; Après-vente'!$E$2:$E$1000)),"yyyy-mm-dd"),""))))))</f>
        <v/>
      </c>
      <c r="I328" s="131" t="str">
        <f aca="false">IF($S328="✓","✓",IF(ISNUMBER($S328),TEXT($S328,"yyyy-mm-dd"),IF($A328="","",IF(SUMPRODUCT(('Agences &amp; Après-vente'!$A$2:$A$1000=$A328)*(('Agences &amp; Après-vente'!$D$2:$D$1000="Après-vente")+('Agences &amp; Après-vente'!$D$2:$D$1000="Agences et Après-vente"))*('Agences &amp; Après-vente'!$I$2:$I$1000="DONE"))&gt;0,"✓",IF(SUMPRODUCT(MAX(('Agences &amp; Après-vente'!$A$2:$A$1000=$A328)*(('Agences &amp; Après-vente'!$D$2:$D$1000="Après-vente")+('Agences &amp; Après-vente'!$D$2:$D$1000="Agences et Après-vente"))*'Agences &amp; Après-vente'!$E$2:$E$1000))&gt;0,TEXT(SUMPRODUCT(MAX(('Agences &amp; Après-vente'!$A$2:$A$1000=$A328)*(('Agences &amp; Après-vente'!$D$2:$D$1000="Après-vente")+('Agences &amp; Après-vente'!$D$2:$D$1000="Agences et Après-vente"))*'Agences &amp; Après-vente'!$E$2:$E$1000)),"yyyy-mm-dd"),"")))))</f>
        <v/>
      </c>
      <c r="J328" s="131" t="str">
        <f aca="false">IF($T328="✓","✓",IF(ISNUMBER($T328),TEXT($T328,"yyyy-mm-dd"),IF($A328="","",IF($D328="Lisbonne","",IF(SUMPRODUCT(('Agences &amp; Après-vente'!$A$2:$A$1000=$A328)*(('Agences &amp; Après-vente'!$D$2:$D$1000="Après-vente")+('Agences &amp; Après-vente'!$D$2:$D$1000="Agences et Après-vente"))*('Agences &amp; Après-vente'!$I$2:$I$1000="DONE"))&gt;0,"✓",IF(SUMPRODUCT(MAX(('Agences &amp; Après-vente'!$A$2:$A$1000=$A328)*(('Agences &amp; Après-vente'!$D$2:$D$1000="Après-vente")+('Agences &amp; Après-vente'!$D$2:$D$1000="Agences et Après-vente"))*'Agences &amp; Après-vente'!$E$2:$E$1000))&gt;0,TEXT(SUMPRODUCT(MAX(('Agences &amp; Après-vente'!$A$2:$A$1000=$A328)*(('Agences &amp; Après-vente'!$D$2:$D$1000="Après-vente")+('Agences &amp; Après-vente'!$D$2:$D$1000="Agences et Après-vente"))*'Agences &amp; Après-vente'!$E$2:$E$1000)),"yyyy-mm-dd"),""))))))</f>
        <v/>
      </c>
      <c r="K328" s="131" t="str">
        <f aca="false">IF($U328="✓","✓",IF(ISNUMBER($U328),TEXT($U328,"yyyy-mm-dd"),IF($D328="Lisbonne","",IF($A328="","",IF(SUMPRODUCT((Evermont!$A$2:$A$1000=$A328)*(Evermont!$Q$2:$Q$1000="Terminé"))&gt;0,"✓",IF(SUMPRODUCT(MAX((Evermont!$A$2:$A$1000=$A328)*Evermont!$F$2:$F$1000))&gt;0,TEXT(SUMPRODUCT(MAX((Evermont!$A$2:$A$1000=$A328)*Evermont!$F$2:$F$1000)),"yyyy-mm-dd"),""))))))</f>
        <v/>
      </c>
      <c r="L328" s="131" t="str">
        <f aca="false">IF($A328="","",COUNTIF(E328:K328,"✓"))</f>
        <v/>
      </c>
      <c r="M328" s="131" t="str">
        <f aca="false">IF(B328="","","Active")</f>
        <v/>
      </c>
      <c r="W328" s="120" t="str">
        <f aca="false">IF($A328="","",IF($X328&lt;&gt;"",$X328,IFERROR(INDEX('Formation Initiale'!$B$2:$B$999,MATCH($A328,'Formation Initiale'!$A$2:$A$999,0)),"Général")))</f>
        <v/>
      </c>
    </row>
    <row r="329" customFormat="false" ht="15" hidden="true" customHeight="true" outlineLevel="0" collapsed="false">
      <c r="A329" s="142" t="str">
        <f aca="false">IF(B329="","","TR"&amp;TEXT(ROW()-1,"000"))</f>
        <v/>
      </c>
      <c r="E329" s="130" t="str">
        <f aca="false">IF($O329="✓","✓",IF(ISNUMBER($O329),TEXT($O329,"yyyy-mm-dd"),IF($A329="","",IF(SUMPRODUCT(('Formation Initiale'!$A$2:$A$999=$A329)*('Formation Initiale'!$R$2:$R$999="Terminé"))&gt;0,"✓",IF(SUMPRODUCT(MAX(('Formation Initiale'!$A$2:$A$999=$A329)*'Formation Initiale'!$G$2:$G$999))&gt;0,TEXT(SUMPRODUCT(MAX(('Formation Initiale'!$A$2:$A$999=$A329)*'Formation Initiale'!$G$2:$G$999)),"yyyy-mm-dd"),"")))))</f>
        <v/>
      </c>
      <c r="F329" s="131" t="str">
        <f aca="false">IF($P329="✓","✓",IF(ISNUMBER($P329),TEXT($P329,"yyyy-mm-dd"),IF($A329="","",IF($D329="Lisbonne","",IF(SUMPRODUCT(('Formation Initiale'!$A$2:$A$999=$A329)*('Formation Initiale'!$R$2:$R$999="Terminé"))&gt;0,"✓",IF(SUMPRODUCT(MAX(('Formation Initiale'!$A$2:$A$999=$A329)*'Formation Initiale'!$G$2:$G$999))&gt;0,TEXT(SUMPRODUCT(MAX(('Formation Initiale'!$A$2:$A$999=$A329)*'Formation Initiale'!$G$2:$G$999)),"yyyy-mm-dd"),""))))))</f>
        <v/>
      </c>
      <c r="G329" s="131" t="str">
        <f aca="false">IF($Q329="✓","✓",IF(ISNUMBER($Q329),TEXT($Q329,"yyyy-mm-dd"),IF($A329="","",IF(SUMPRODUCT(('Agences &amp; Après-vente'!$A$2:$A$1000=$A329)*(('Agences &amp; Après-vente'!$D$2:$D$1000="Agences")+('Agences &amp; Après-vente'!$D$2:$D$1000="Agences et Après-vente"))*('Agences &amp; Après-vente'!$I$2:$I$1000="DONE"))&gt;0,"✓",IF(SUMPRODUCT(MAX(('Agences &amp; Après-vente'!$A$2:$A$1000=$A329)*(('Agences &amp; Après-vente'!$D$2:$D$1000="Agences")+('Agences &amp; Après-vente'!$D$2:$D$1000="Agences et Après-vente"))*'Agences &amp; Après-vente'!$E$2:$E$1000))&gt;0,TEXT(SUMPRODUCT(MAX(('Agences &amp; Après-vente'!$A$2:$A$1000=$A329)*(('Agences &amp; Après-vente'!$D$2:$D$1000="Agences")+('Agences &amp; Après-vente'!$D$2:$D$1000="Agences et Après-vente"))*'Agences &amp; Après-vente'!$E$2:$E$1000)),"yyyy-mm-dd"),"")))))</f>
        <v/>
      </c>
      <c r="H329" s="131" t="str">
        <f aca="false">IF($R329="✓","✓",IF(ISNUMBER($R329),TEXT($R329,"yyyy-mm-dd"),IF($A329="","",IF($D329="Lisbonne","",IF(SUMPRODUCT(('Agences &amp; Après-vente'!$A$2:$A$1000=$A329)*(('Agences &amp; Après-vente'!$D$2:$D$1000="Agences")+('Agences &amp; Après-vente'!$D$2:$D$1000="Agences et Après-vente"))*('Agences &amp; Après-vente'!$I$2:$I$1000="DONE"))&gt;0,"✓",IF(SUMPRODUCT(MAX(('Agences &amp; Après-vente'!$A$2:$A$1000=$A329)*(('Agences &amp; Après-vente'!$D$2:$D$1000="Agences")+('Agences &amp; Après-vente'!$D$2:$D$1000="Agences et Après-vente"))*'Agences &amp; Après-vente'!$E$2:$E$1000))&gt;0,TEXT(SUMPRODUCT(MAX(('Agences &amp; Après-vente'!$A$2:$A$1000=$A329)*(('Agences &amp; Après-vente'!$D$2:$D$1000="Agences")+('Agences &amp; Après-vente'!$D$2:$D$1000="Agences et Après-vente"))*'Agences &amp; Après-vente'!$E$2:$E$1000)),"yyyy-mm-dd"),""))))))</f>
        <v/>
      </c>
      <c r="I329" s="131" t="str">
        <f aca="false">IF($S329="✓","✓",IF(ISNUMBER($S329),TEXT($S329,"yyyy-mm-dd"),IF($A329="","",IF(SUMPRODUCT(('Agences &amp; Après-vente'!$A$2:$A$1000=$A329)*(('Agences &amp; Après-vente'!$D$2:$D$1000="Après-vente")+('Agences &amp; Après-vente'!$D$2:$D$1000="Agences et Après-vente"))*('Agences &amp; Après-vente'!$I$2:$I$1000="DONE"))&gt;0,"✓",IF(SUMPRODUCT(MAX(('Agences &amp; Après-vente'!$A$2:$A$1000=$A329)*(('Agences &amp; Après-vente'!$D$2:$D$1000="Après-vente")+('Agences &amp; Après-vente'!$D$2:$D$1000="Agences et Après-vente"))*'Agences &amp; Après-vente'!$E$2:$E$1000))&gt;0,TEXT(SUMPRODUCT(MAX(('Agences &amp; Après-vente'!$A$2:$A$1000=$A329)*(('Agences &amp; Après-vente'!$D$2:$D$1000="Après-vente")+('Agences &amp; Après-vente'!$D$2:$D$1000="Agences et Après-vente"))*'Agences &amp; Après-vente'!$E$2:$E$1000)),"yyyy-mm-dd"),"")))))</f>
        <v/>
      </c>
      <c r="J329" s="131" t="str">
        <f aca="false">IF($T329="✓","✓",IF(ISNUMBER($T329),TEXT($T329,"yyyy-mm-dd"),IF($A329="","",IF($D329="Lisbonne","",IF(SUMPRODUCT(('Agences &amp; Après-vente'!$A$2:$A$1000=$A329)*(('Agences &amp; Après-vente'!$D$2:$D$1000="Après-vente")+('Agences &amp; Après-vente'!$D$2:$D$1000="Agences et Après-vente"))*('Agences &amp; Après-vente'!$I$2:$I$1000="DONE"))&gt;0,"✓",IF(SUMPRODUCT(MAX(('Agences &amp; Après-vente'!$A$2:$A$1000=$A329)*(('Agences &amp; Après-vente'!$D$2:$D$1000="Après-vente")+('Agences &amp; Après-vente'!$D$2:$D$1000="Agences et Après-vente"))*'Agences &amp; Après-vente'!$E$2:$E$1000))&gt;0,TEXT(SUMPRODUCT(MAX(('Agences &amp; Après-vente'!$A$2:$A$1000=$A329)*(('Agences &amp; Après-vente'!$D$2:$D$1000="Après-vente")+('Agences &amp; Après-vente'!$D$2:$D$1000="Agences et Après-vente"))*'Agences &amp; Après-vente'!$E$2:$E$1000)),"yyyy-mm-dd"),""))))))</f>
        <v/>
      </c>
      <c r="K329" s="131" t="str">
        <f aca="false">IF($U329="✓","✓",IF(ISNUMBER($U329),TEXT($U329,"yyyy-mm-dd"),IF($D329="Lisbonne","",IF($A329="","",IF(SUMPRODUCT((Evermont!$A$2:$A$1000=$A329)*(Evermont!$Q$2:$Q$1000="Terminé"))&gt;0,"✓",IF(SUMPRODUCT(MAX((Evermont!$A$2:$A$1000=$A329)*Evermont!$F$2:$F$1000))&gt;0,TEXT(SUMPRODUCT(MAX((Evermont!$A$2:$A$1000=$A329)*Evermont!$F$2:$F$1000)),"yyyy-mm-dd"),""))))))</f>
        <v/>
      </c>
      <c r="L329" s="131" t="str">
        <f aca="false">IF($A329="","",COUNTIF(E329:K329,"✓"))</f>
        <v/>
      </c>
      <c r="M329" s="131" t="str">
        <f aca="false">IF(B329="","","Active")</f>
        <v/>
      </c>
      <c r="W329" s="120" t="str">
        <f aca="false">IF($A329="","",IF($X329&lt;&gt;"",$X329,IFERROR(INDEX('Formation Initiale'!$B$2:$B$999,MATCH($A329,'Formation Initiale'!$A$2:$A$999,0)),"Général")))</f>
        <v/>
      </c>
    </row>
    <row r="330" customFormat="false" ht="15" hidden="true" customHeight="true" outlineLevel="0" collapsed="false">
      <c r="A330" s="142" t="str">
        <f aca="false">IF(B330="","","TR"&amp;TEXT(ROW()-1,"000"))</f>
        <v/>
      </c>
      <c r="E330" s="130" t="str">
        <f aca="false">IF($O330="✓","✓",IF(ISNUMBER($O330),TEXT($O330,"yyyy-mm-dd"),IF($A330="","",IF(SUMPRODUCT(('Formation Initiale'!$A$2:$A$999=$A330)*('Formation Initiale'!$R$2:$R$999="Terminé"))&gt;0,"✓",IF(SUMPRODUCT(MAX(('Formation Initiale'!$A$2:$A$999=$A330)*'Formation Initiale'!$G$2:$G$999))&gt;0,TEXT(SUMPRODUCT(MAX(('Formation Initiale'!$A$2:$A$999=$A330)*'Formation Initiale'!$G$2:$G$999)),"yyyy-mm-dd"),"")))))</f>
        <v/>
      </c>
      <c r="F330" s="131" t="str">
        <f aca="false">IF($P330="✓","✓",IF(ISNUMBER($P330),TEXT($P330,"yyyy-mm-dd"),IF($A330="","",IF($D330="Lisbonne","",IF(SUMPRODUCT(('Formation Initiale'!$A$2:$A$999=$A330)*('Formation Initiale'!$R$2:$R$999="Terminé"))&gt;0,"✓",IF(SUMPRODUCT(MAX(('Formation Initiale'!$A$2:$A$999=$A330)*'Formation Initiale'!$G$2:$G$999))&gt;0,TEXT(SUMPRODUCT(MAX(('Formation Initiale'!$A$2:$A$999=$A330)*'Formation Initiale'!$G$2:$G$999)),"yyyy-mm-dd"),""))))))</f>
        <v/>
      </c>
      <c r="G330" s="131" t="str">
        <f aca="false">IF($Q330="✓","✓",IF(ISNUMBER($Q330),TEXT($Q330,"yyyy-mm-dd"),IF($A330="","",IF(SUMPRODUCT(('Agences &amp; Après-vente'!$A$2:$A$1000=$A330)*(('Agences &amp; Après-vente'!$D$2:$D$1000="Agences")+('Agences &amp; Après-vente'!$D$2:$D$1000="Agences et Après-vente"))*('Agences &amp; Après-vente'!$I$2:$I$1000="DONE"))&gt;0,"✓",IF(SUMPRODUCT(MAX(('Agences &amp; Après-vente'!$A$2:$A$1000=$A330)*(('Agences &amp; Après-vente'!$D$2:$D$1000="Agences")+('Agences &amp; Après-vente'!$D$2:$D$1000="Agences et Après-vente"))*'Agences &amp; Après-vente'!$E$2:$E$1000))&gt;0,TEXT(SUMPRODUCT(MAX(('Agences &amp; Après-vente'!$A$2:$A$1000=$A330)*(('Agences &amp; Après-vente'!$D$2:$D$1000="Agences")+('Agences &amp; Après-vente'!$D$2:$D$1000="Agences et Après-vente"))*'Agences &amp; Après-vente'!$E$2:$E$1000)),"yyyy-mm-dd"),"")))))</f>
        <v/>
      </c>
      <c r="H330" s="131" t="str">
        <f aca="false">IF($R330="✓","✓",IF(ISNUMBER($R330),TEXT($R330,"yyyy-mm-dd"),IF($A330="","",IF($D330="Lisbonne","",IF(SUMPRODUCT(('Agences &amp; Après-vente'!$A$2:$A$1000=$A330)*(('Agences &amp; Après-vente'!$D$2:$D$1000="Agences")+('Agences &amp; Après-vente'!$D$2:$D$1000="Agences et Après-vente"))*('Agences &amp; Après-vente'!$I$2:$I$1000="DONE"))&gt;0,"✓",IF(SUMPRODUCT(MAX(('Agences &amp; Après-vente'!$A$2:$A$1000=$A330)*(('Agences &amp; Après-vente'!$D$2:$D$1000="Agences")+('Agences &amp; Après-vente'!$D$2:$D$1000="Agences et Après-vente"))*'Agences &amp; Après-vente'!$E$2:$E$1000))&gt;0,TEXT(SUMPRODUCT(MAX(('Agences &amp; Après-vente'!$A$2:$A$1000=$A330)*(('Agences &amp; Après-vente'!$D$2:$D$1000="Agences")+('Agences &amp; Après-vente'!$D$2:$D$1000="Agences et Après-vente"))*'Agences &amp; Après-vente'!$E$2:$E$1000)),"yyyy-mm-dd"),""))))))</f>
        <v/>
      </c>
      <c r="I330" s="131" t="str">
        <f aca="false">IF($S330="✓","✓",IF(ISNUMBER($S330),TEXT($S330,"yyyy-mm-dd"),IF($A330="","",IF(SUMPRODUCT(('Agences &amp; Après-vente'!$A$2:$A$1000=$A330)*(('Agences &amp; Après-vente'!$D$2:$D$1000="Après-vente")+('Agences &amp; Après-vente'!$D$2:$D$1000="Agences et Après-vente"))*('Agences &amp; Après-vente'!$I$2:$I$1000="DONE"))&gt;0,"✓",IF(SUMPRODUCT(MAX(('Agences &amp; Après-vente'!$A$2:$A$1000=$A330)*(('Agences &amp; Après-vente'!$D$2:$D$1000="Après-vente")+('Agences &amp; Après-vente'!$D$2:$D$1000="Agences et Après-vente"))*'Agences &amp; Après-vente'!$E$2:$E$1000))&gt;0,TEXT(SUMPRODUCT(MAX(('Agences &amp; Après-vente'!$A$2:$A$1000=$A330)*(('Agences &amp; Après-vente'!$D$2:$D$1000="Après-vente")+('Agences &amp; Après-vente'!$D$2:$D$1000="Agences et Après-vente"))*'Agences &amp; Après-vente'!$E$2:$E$1000)),"yyyy-mm-dd"),"")))))</f>
        <v/>
      </c>
      <c r="J330" s="131" t="str">
        <f aca="false">IF($T330="✓","✓",IF(ISNUMBER($T330),TEXT($T330,"yyyy-mm-dd"),IF($A330="","",IF($D330="Lisbonne","",IF(SUMPRODUCT(('Agences &amp; Après-vente'!$A$2:$A$1000=$A330)*(('Agences &amp; Après-vente'!$D$2:$D$1000="Après-vente")+('Agences &amp; Après-vente'!$D$2:$D$1000="Agences et Après-vente"))*('Agences &amp; Après-vente'!$I$2:$I$1000="DONE"))&gt;0,"✓",IF(SUMPRODUCT(MAX(('Agences &amp; Après-vente'!$A$2:$A$1000=$A330)*(('Agences &amp; Après-vente'!$D$2:$D$1000="Après-vente")+('Agences &amp; Après-vente'!$D$2:$D$1000="Agences et Après-vente"))*'Agences &amp; Après-vente'!$E$2:$E$1000))&gt;0,TEXT(SUMPRODUCT(MAX(('Agences &amp; Après-vente'!$A$2:$A$1000=$A330)*(('Agences &amp; Après-vente'!$D$2:$D$1000="Après-vente")+('Agences &amp; Après-vente'!$D$2:$D$1000="Agences et Après-vente"))*'Agences &amp; Après-vente'!$E$2:$E$1000)),"yyyy-mm-dd"),""))))))</f>
        <v/>
      </c>
      <c r="K330" s="131" t="str">
        <f aca="false">IF($U330="✓","✓",IF(ISNUMBER($U330),TEXT($U330,"yyyy-mm-dd"),IF($D330="Lisbonne","",IF($A330="","",IF(SUMPRODUCT((Evermont!$A$2:$A$1000=$A330)*(Evermont!$Q$2:$Q$1000="Terminé"))&gt;0,"✓",IF(SUMPRODUCT(MAX((Evermont!$A$2:$A$1000=$A330)*Evermont!$F$2:$F$1000))&gt;0,TEXT(SUMPRODUCT(MAX((Evermont!$A$2:$A$1000=$A330)*Evermont!$F$2:$F$1000)),"yyyy-mm-dd"),""))))))</f>
        <v/>
      </c>
      <c r="L330" s="131" t="str">
        <f aca="false">IF($A330="","",COUNTIF(E330:K330,"✓"))</f>
        <v/>
      </c>
      <c r="M330" s="131" t="str">
        <f aca="false">IF(B330="","","Active")</f>
        <v/>
      </c>
      <c r="W330" s="120" t="str">
        <f aca="false">IF($A330="","",IF($X330&lt;&gt;"",$X330,IFERROR(INDEX('Formation Initiale'!$B$2:$B$999,MATCH($A330,'Formation Initiale'!$A$2:$A$999,0)),"Général")))</f>
        <v/>
      </c>
    </row>
    <row r="331" customFormat="false" ht="15" hidden="true" customHeight="true" outlineLevel="0" collapsed="false">
      <c r="A331" s="142" t="str">
        <f aca="false">IF(B331="","","TR"&amp;TEXT(ROW()-1,"000"))</f>
        <v/>
      </c>
      <c r="E331" s="130" t="str">
        <f aca="false">IF($O331="✓","✓",IF(ISNUMBER($O331),TEXT($O331,"yyyy-mm-dd"),IF($A331="","",IF(SUMPRODUCT(('Formation Initiale'!$A$2:$A$999=$A331)*('Formation Initiale'!$R$2:$R$999="Terminé"))&gt;0,"✓",IF(SUMPRODUCT(MAX(('Formation Initiale'!$A$2:$A$999=$A331)*'Formation Initiale'!$G$2:$G$999))&gt;0,TEXT(SUMPRODUCT(MAX(('Formation Initiale'!$A$2:$A$999=$A331)*'Formation Initiale'!$G$2:$G$999)),"yyyy-mm-dd"),"")))))</f>
        <v/>
      </c>
      <c r="F331" s="131" t="str">
        <f aca="false">IF($P331="✓","✓",IF(ISNUMBER($P331),TEXT($P331,"yyyy-mm-dd"),IF($A331="","",IF($D331="Lisbonne","",IF(SUMPRODUCT(('Formation Initiale'!$A$2:$A$999=$A331)*('Formation Initiale'!$R$2:$R$999="Terminé"))&gt;0,"✓",IF(SUMPRODUCT(MAX(('Formation Initiale'!$A$2:$A$999=$A331)*'Formation Initiale'!$G$2:$G$999))&gt;0,TEXT(SUMPRODUCT(MAX(('Formation Initiale'!$A$2:$A$999=$A331)*'Formation Initiale'!$G$2:$G$999)),"yyyy-mm-dd"),""))))))</f>
        <v/>
      </c>
      <c r="G331" s="131" t="str">
        <f aca="false">IF($Q331="✓","✓",IF(ISNUMBER($Q331),TEXT($Q331,"yyyy-mm-dd"),IF($A331="","",IF(SUMPRODUCT(('Agences &amp; Après-vente'!$A$2:$A$1000=$A331)*(('Agences &amp; Après-vente'!$D$2:$D$1000="Agences")+('Agences &amp; Après-vente'!$D$2:$D$1000="Agences et Après-vente"))*('Agences &amp; Après-vente'!$I$2:$I$1000="DONE"))&gt;0,"✓",IF(SUMPRODUCT(MAX(('Agences &amp; Après-vente'!$A$2:$A$1000=$A331)*(('Agences &amp; Après-vente'!$D$2:$D$1000="Agences")+('Agences &amp; Après-vente'!$D$2:$D$1000="Agences et Après-vente"))*'Agences &amp; Après-vente'!$E$2:$E$1000))&gt;0,TEXT(SUMPRODUCT(MAX(('Agences &amp; Après-vente'!$A$2:$A$1000=$A331)*(('Agences &amp; Après-vente'!$D$2:$D$1000="Agences")+('Agences &amp; Après-vente'!$D$2:$D$1000="Agences et Après-vente"))*'Agences &amp; Après-vente'!$E$2:$E$1000)),"yyyy-mm-dd"),"")))))</f>
        <v/>
      </c>
      <c r="H331" s="131" t="str">
        <f aca="false">IF($R331="✓","✓",IF(ISNUMBER($R331),TEXT($R331,"yyyy-mm-dd"),IF($A331="","",IF($D331="Lisbonne","",IF(SUMPRODUCT(('Agences &amp; Après-vente'!$A$2:$A$1000=$A331)*(('Agences &amp; Après-vente'!$D$2:$D$1000="Agences")+('Agences &amp; Après-vente'!$D$2:$D$1000="Agences et Après-vente"))*('Agences &amp; Après-vente'!$I$2:$I$1000="DONE"))&gt;0,"✓",IF(SUMPRODUCT(MAX(('Agences &amp; Après-vente'!$A$2:$A$1000=$A331)*(('Agences &amp; Après-vente'!$D$2:$D$1000="Agences")+('Agences &amp; Après-vente'!$D$2:$D$1000="Agences et Après-vente"))*'Agences &amp; Après-vente'!$E$2:$E$1000))&gt;0,TEXT(SUMPRODUCT(MAX(('Agences &amp; Après-vente'!$A$2:$A$1000=$A331)*(('Agences &amp; Après-vente'!$D$2:$D$1000="Agences")+('Agences &amp; Après-vente'!$D$2:$D$1000="Agences et Après-vente"))*'Agences &amp; Après-vente'!$E$2:$E$1000)),"yyyy-mm-dd"),""))))))</f>
        <v/>
      </c>
      <c r="I331" s="131" t="str">
        <f aca="false">IF($S331="✓","✓",IF(ISNUMBER($S331),TEXT($S331,"yyyy-mm-dd"),IF($A331="","",IF(SUMPRODUCT(('Agences &amp; Après-vente'!$A$2:$A$1000=$A331)*(('Agences &amp; Après-vente'!$D$2:$D$1000="Après-vente")+('Agences &amp; Après-vente'!$D$2:$D$1000="Agences et Après-vente"))*('Agences &amp; Après-vente'!$I$2:$I$1000="DONE"))&gt;0,"✓",IF(SUMPRODUCT(MAX(('Agences &amp; Après-vente'!$A$2:$A$1000=$A331)*(('Agences &amp; Après-vente'!$D$2:$D$1000="Après-vente")+('Agences &amp; Après-vente'!$D$2:$D$1000="Agences et Après-vente"))*'Agences &amp; Après-vente'!$E$2:$E$1000))&gt;0,TEXT(SUMPRODUCT(MAX(('Agences &amp; Après-vente'!$A$2:$A$1000=$A331)*(('Agences &amp; Après-vente'!$D$2:$D$1000="Après-vente")+('Agences &amp; Après-vente'!$D$2:$D$1000="Agences et Après-vente"))*'Agences &amp; Après-vente'!$E$2:$E$1000)),"yyyy-mm-dd"),"")))))</f>
        <v/>
      </c>
      <c r="J331" s="131" t="str">
        <f aca="false">IF($T331="✓","✓",IF(ISNUMBER($T331),TEXT($T331,"yyyy-mm-dd"),IF($A331="","",IF($D331="Lisbonne","",IF(SUMPRODUCT(('Agences &amp; Après-vente'!$A$2:$A$1000=$A331)*(('Agences &amp; Après-vente'!$D$2:$D$1000="Après-vente")+('Agences &amp; Après-vente'!$D$2:$D$1000="Agences et Après-vente"))*('Agences &amp; Après-vente'!$I$2:$I$1000="DONE"))&gt;0,"✓",IF(SUMPRODUCT(MAX(('Agences &amp; Après-vente'!$A$2:$A$1000=$A331)*(('Agences &amp; Après-vente'!$D$2:$D$1000="Après-vente")+('Agences &amp; Après-vente'!$D$2:$D$1000="Agences et Après-vente"))*'Agences &amp; Après-vente'!$E$2:$E$1000))&gt;0,TEXT(SUMPRODUCT(MAX(('Agences &amp; Après-vente'!$A$2:$A$1000=$A331)*(('Agences &amp; Après-vente'!$D$2:$D$1000="Après-vente")+('Agences &amp; Après-vente'!$D$2:$D$1000="Agences et Après-vente"))*'Agences &amp; Après-vente'!$E$2:$E$1000)),"yyyy-mm-dd"),""))))))</f>
        <v/>
      </c>
      <c r="K331" s="131" t="str">
        <f aca="false">IF($U331="✓","✓",IF(ISNUMBER($U331),TEXT($U331,"yyyy-mm-dd"),IF($D331="Lisbonne","",IF($A331="","",IF(SUMPRODUCT((Evermont!$A$2:$A$1000=$A331)*(Evermont!$Q$2:$Q$1000="Terminé"))&gt;0,"✓",IF(SUMPRODUCT(MAX((Evermont!$A$2:$A$1000=$A331)*Evermont!$F$2:$F$1000))&gt;0,TEXT(SUMPRODUCT(MAX((Evermont!$A$2:$A$1000=$A331)*Evermont!$F$2:$F$1000)),"yyyy-mm-dd"),""))))))</f>
        <v/>
      </c>
      <c r="L331" s="131" t="str">
        <f aca="false">IF($A331="","",COUNTIF(E331:K331,"✓"))</f>
        <v/>
      </c>
      <c r="M331" s="131" t="str">
        <f aca="false">IF(B331="","","Active")</f>
        <v/>
      </c>
      <c r="W331" s="120" t="str">
        <f aca="false">IF($A331="","",IF($X331&lt;&gt;"",$X331,IFERROR(INDEX('Formation Initiale'!$B$2:$B$999,MATCH($A331,'Formation Initiale'!$A$2:$A$999,0)),"Général")))</f>
        <v/>
      </c>
    </row>
    <row r="332" customFormat="false" ht="15" hidden="true" customHeight="true" outlineLevel="0" collapsed="false">
      <c r="A332" s="142" t="str">
        <f aca="false">IF(B332="","","TR"&amp;TEXT(ROW()-1,"000"))</f>
        <v/>
      </c>
      <c r="E332" s="130" t="str">
        <f aca="false">IF($O332="✓","✓",IF(ISNUMBER($O332),TEXT($O332,"yyyy-mm-dd"),IF($A332="","",IF(SUMPRODUCT(('Formation Initiale'!$A$2:$A$999=$A332)*('Formation Initiale'!$R$2:$R$999="Terminé"))&gt;0,"✓",IF(SUMPRODUCT(MAX(('Formation Initiale'!$A$2:$A$999=$A332)*'Formation Initiale'!$G$2:$G$999))&gt;0,TEXT(SUMPRODUCT(MAX(('Formation Initiale'!$A$2:$A$999=$A332)*'Formation Initiale'!$G$2:$G$999)),"yyyy-mm-dd"),"")))))</f>
        <v/>
      </c>
      <c r="F332" s="131" t="str">
        <f aca="false">IF($P332="✓","✓",IF(ISNUMBER($P332),TEXT($P332,"yyyy-mm-dd"),IF($A332="","",IF($D332="Lisbonne","",IF(SUMPRODUCT(('Formation Initiale'!$A$2:$A$999=$A332)*('Formation Initiale'!$R$2:$R$999="Terminé"))&gt;0,"✓",IF(SUMPRODUCT(MAX(('Formation Initiale'!$A$2:$A$999=$A332)*'Formation Initiale'!$G$2:$G$999))&gt;0,TEXT(SUMPRODUCT(MAX(('Formation Initiale'!$A$2:$A$999=$A332)*'Formation Initiale'!$G$2:$G$999)),"yyyy-mm-dd"),""))))))</f>
        <v/>
      </c>
      <c r="G332" s="131" t="str">
        <f aca="false">IF($Q332="✓","✓",IF(ISNUMBER($Q332),TEXT($Q332,"yyyy-mm-dd"),IF($A332="","",IF(SUMPRODUCT(('Agences &amp; Après-vente'!$A$2:$A$1000=$A332)*(('Agences &amp; Après-vente'!$D$2:$D$1000="Agences")+('Agences &amp; Après-vente'!$D$2:$D$1000="Agences et Après-vente"))*('Agences &amp; Après-vente'!$I$2:$I$1000="DONE"))&gt;0,"✓",IF(SUMPRODUCT(MAX(('Agences &amp; Après-vente'!$A$2:$A$1000=$A332)*(('Agences &amp; Après-vente'!$D$2:$D$1000="Agences")+('Agences &amp; Après-vente'!$D$2:$D$1000="Agences et Après-vente"))*'Agences &amp; Après-vente'!$E$2:$E$1000))&gt;0,TEXT(SUMPRODUCT(MAX(('Agences &amp; Après-vente'!$A$2:$A$1000=$A332)*(('Agences &amp; Après-vente'!$D$2:$D$1000="Agences")+('Agences &amp; Après-vente'!$D$2:$D$1000="Agences et Après-vente"))*'Agences &amp; Après-vente'!$E$2:$E$1000)),"yyyy-mm-dd"),"")))))</f>
        <v/>
      </c>
      <c r="H332" s="131" t="str">
        <f aca="false">IF($R332="✓","✓",IF(ISNUMBER($R332),TEXT($R332,"yyyy-mm-dd"),IF($A332="","",IF($D332="Lisbonne","",IF(SUMPRODUCT(('Agences &amp; Après-vente'!$A$2:$A$1000=$A332)*(('Agences &amp; Après-vente'!$D$2:$D$1000="Agences")+('Agences &amp; Après-vente'!$D$2:$D$1000="Agences et Après-vente"))*('Agences &amp; Après-vente'!$I$2:$I$1000="DONE"))&gt;0,"✓",IF(SUMPRODUCT(MAX(('Agences &amp; Après-vente'!$A$2:$A$1000=$A332)*(('Agences &amp; Après-vente'!$D$2:$D$1000="Agences")+('Agences &amp; Après-vente'!$D$2:$D$1000="Agences et Après-vente"))*'Agences &amp; Après-vente'!$E$2:$E$1000))&gt;0,TEXT(SUMPRODUCT(MAX(('Agences &amp; Après-vente'!$A$2:$A$1000=$A332)*(('Agences &amp; Après-vente'!$D$2:$D$1000="Agences")+('Agences &amp; Après-vente'!$D$2:$D$1000="Agences et Après-vente"))*'Agences &amp; Après-vente'!$E$2:$E$1000)),"yyyy-mm-dd"),""))))))</f>
        <v/>
      </c>
      <c r="I332" s="131" t="str">
        <f aca="false">IF($S332="✓","✓",IF(ISNUMBER($S332),TEXT($S332,"yyyy-mm-dd"),IF($A332="","",IF(SUMPRODUCT(('Agences &amp; Après-vente'!$A$2:$A$1000=$A332)*(('Agences &amp; Après-vente'!$D$2:$D$1000="Après-vente")+('Agences &amp; Après-vente'!$D$2:$D$1000="Agences et Après-vente"))*('Agences &amp; Après-vente'!$I$2:$I$1000="DONE"))&gt;0,"✓",IF(SUMPRODUCT(MAX(('Agences &amp; Après-vente'!$A$2:$A$1000=$A332)*(('Agences &amp; Après-vente'!$D$2:$D$1000="Après-vente")+('Agences &amp; Après-vente'!$D$2:$D$1000="Agences et Après-vente"))*'Agences &amp; Après-vente'!$E$2:$E$1000))&gt;0,TEXT(SUMPRODUCT(MAX(('Agences &amp; Après-vente'!$A$2:$A$1000=$A332)*(('Agences &amp; Après-vente'!$D$2:$D$1000="Après-vente")+('Agences &amp; Après-vente'!$D$2:$D$1000="Agences et Après-vente"))*'Agences &amp; Après-vente'!$E$2:$E$1000)),"yyyy-mm-dd"),"")))))</f>
        <v/>
      </c>
      <c r="J332" s="131" t="str">
        <f aca="false">IF($T332="✓","✓",IF(ISNUMBER($T332),TEXT($T332,"yyyy-mm-dd"),IF($A332="","",IF($D332="Lisbonne","",IF(SUMPRODUCT(('Agences &amp; Après-vente'!$A$2:$A$1000=$A332)*(('Agences &amp; Après-vente'!$D$2:$D$1000="Après-vente")+('Agences &amp; Après-vente'!$D$2:$D$1000="Agences et Après-vente"))*('Agences &amp; Après-vente'!$I$2:$I$1000="DONE"))&gt;0,"✓",IF(SUMPRODUCT(MAX(('Agences &amp; Après-vente'!$A$2:$A$1000=$A332)*(('Agences &amp; Après-vente'!$D$2:$D$1000="Après-vente")+('Agences &amp; Après-vente'!$D$2:$D$1000="Agences et Après-vente"))*'Agences &amp; Après-vente'!$E$2:$E$1000))&gt;0,TEXT(SUMPRODUCT(MAX(('Agences &amp; Après-vente'!$A$2:$A$1000=$A332)*(('Agences &amp; Après-vente'!$D$2:$D$1000="Après-vente")+('Agences &amp; Après-vente'!$D$2:$D$1000="Agences et Après-vente"))*'Agences &amp; Après-vente'!$E$2:$E$1000)),"yyyy-mm-dd"),""))))))</f>
        <v/>
      </c>
      <c r="K332" s="131" t="str">
        <f aca="false">IF($U332="✓","✓",IF(ISNUMBER($U332),TEXT($U332,"yyyy-mm-dd"),IF($D332="Lisbonne","",IF($A332="","",IF(SUMPRODUCT((Evermont!$A$2:$A$1000=$A332)*(Evermont!$Q$2:$Q$1000="Terminé"))&gt;0,"✓",IF(SUMPRODUCT(MAX((Evermont!$A$2:$A$1000=$A332)*Evermont!$F$2:$F$1000))&gt;0,TEXT(SUMPRODUCT(MAX((Evermont!$A$2:$A$1000=$A332)*Evermont!$F$2:$F$1000)),"yyyy-mm-dd"),""))))))</f>
        <v/>
      </c>
      <c r="L332" s="131" t="str">
        <f aca="false">IF($A332="","",COUNTIF(E332:K332,"✓"))</f>
        <v/>
      </c>
      <c r="M332" s="131" t="str">
        <f aca="false">IF(B332="","","Active")</f>
        <v/>
      </c>
      <c r="W332" s="120" t="str">
        <f aca="false">IF($A332="","",IF($X332&lt;&gt;"",$X332,IFERROR(INDEX('Formation Initiale'!$B$2:$B$999,MATCH($A332,'Formation Initiale'!$A$2:$A$999,0)),"Général")))</f>
        <v/>
      </c>
    </row>
    <row r="333" customFormat="false" ht="15" hidden="true" customHeight="true" outlineLevel="0" collapsed="false">
      <c r="A333" s="142" t="str">
        <f aca="false">IF(B333="","","TR"&amp;TEXT(ROW()-1,"000"))</f>
        <v/>
      </c>
      <c r="E333" s="130" t="str">
        <f aca="false">IF($O333="✓","✓",IF(ISNUMBER($O333),TEXT($O333,"yyyy-mm-dd"),IF($A333="","",IF(SUMPRODUCT(('Formation Initiale'!$A$2:$A$999=$A333)*('Formation Initiale'!$R$2:$R$999="Terminé"))&gt;0,"✓",IF(SUMPRODUCT(MAX(('Formation Initiale'!$A$2:$A$999=$A333)*'Formation Initiale'!$G$2:$G$999))&gt;0,TEXT(SUMPRODUCT(MAX(('Formation Initiale'!$A$2:$A$999=$A333)*'Formation Initiale'!$G$2:$G$999)),"yyyy-mm-dd"),"")))))</f>
        <v/>
      </c>
      <c r="F333" s="131" t="str">
        <f aca="false">IF($P333="✓","✓",IF(ISNUMBER($P333),TEXT($P333,"yyyy-mm-dd"),IF($A333="","",IF($D333="Lisbonne","",IF(SUMPRODUCT(('Formation Initiale'!$A$2:$A$999=$A333)*('Formation Initiale'!$R$2:$R$999="Terminé"))&gt;0,"✓",IF(SUMPRODUCT(MAX(('Formation Initiale'!$A$2:$A$999=$A333)*'Formation Initiale'!$G$2:$G$999))&gt;0,TEXT(SUMPRODUCT(MAX(('Formation Initiale'!$A$2:$A$999=$A333)*'Formation Initiale'!$G$2:$G$999)),"yyyy-mm-dd"),""))))))</f>
        <v/>
      </c>
      <c r="G333" s="131" t="str">
        <f aca="false">IF($Q333="✓","✓",IF(ISNUMBER($Q333),TEXT($Q333,"yyyy-mm-dd"),IF($A333="","",IF(SUMPRODUCT(('Agences &amp; Après-vente'!$A$2:$A$1000=$A333)*(('Agences &amp; Après-vente'!$D$2:$D$1000="Agences")+('Agences &amp; Après-vente'!$D$2:$D$1000="Agences et Après-vente"))*('Agences &amp; Après-vente'!$I$2:$I$1000="DONE"))&gt;0,"✓",IF(SUMPRODUCT(MAX(('Agences &amp; Après-vente'!$A$2:$A$1000=$A333)*(('Agences &amp; Après-vente'!$D$2:$D$1000="Agences")+('Agences &amp; Après-vente'!$D$2:$D$1000="Agences et Après-vente"))*'Agences &amp; Après-vente'!$E$2:$E$1000))&gt;0,TEXT(SUMPRODUCT(MAX(('Agences &amp; Après-vente'!$A$2:$A$1000=$A333)*(('Agences &amp; Après-vente'!$D$2:$D$1000="Agences")+('Agences &amp; Après-vente'!$D$2:$D$1000="Agences et Après-vente"))*'Agences &amp; Après-vente'!$E$2:$E$1000)),"yyyy-mm-dd"),"")))))</f>
        <v/>
      </c>
      <c r="H333" s="131" t="str">
        <f aca="false">IF($R333="✓","✓",IF(ISNUMBER($R333),TEXT($R333,"yyyy-mm-dd"),IF($A333="","",IF($D333="Lisbonne","",IF(SUMPRODUCT(('Agences &amp; Après-vente'!$A$2:$A$1000=$A333)*(('Agences &amp; Après-vente'!$D$2:$D$1000="Agences")+('Agences &amp; Après-vente'!$D$2:$D$1000="Agences et Après-vente"))*('Agences &amp; Après-vente'!$I$2:$I$1000="DONE"))&gt;0,"✓",IF(SUMPRODUCT(MAX(('Agences &amp; Après-vente'!$A$2:$A$1000=$A333)*(('Agences &amp; Après-vente'!$D$2:$D$1000="Agences")+('Agences &amp; Après-vente'!$D$2:$D$1000="Agences et Après-vente"))*'Agences &amp; Après-vente'!$E$2:$E$1000))&gt;0,TEXT(SUMPRODUCT(MAX(('Agences &amp; Après-vente'!$A$2:$A$1000=$A333)*(('Agences &amp; Après-vente'!$D$2:$D$1000="Agences")+('Agences &amp; Après-vente'!$D$2:$D$1000="Agences et Après-vente"))*'Agences &amp; Après-vente'!$E$2:$E$1000)),"yyyy-mm-dd"),""))))))</f>
        <v/>
      </c>
      <c r="I333" s="131" t="str">
        <f aca="false">IF($S333="✓","✓",IF(ISNUMBER($S333),TEXT($S333,"yyyy-mm-dd"),IF($A333="","",IF(SUMPRODUCT(('Agences &amp; Après-vente'!$A$2:$A$1000=$A333)*(('Agences &amp; Après-vente'!$D$2:$D$1000="Après-vente")+('Agences &amp; Après-vente'!$D$2:$D$1000="Agences et Après-vente"))*('Agences &amp; Après-vente'!$I$2:$I$1000="DONE"))&gt;0,"✓",IF(SUMPRODUCT(MAX(('Agences &amp; Après-vente'!$A$2:$A$1000=$A333)*(('Agences &amp; Après-vente'!$D$2:$D$1000="Après-vente")+('Agences &amp; Après-vente'!$D$2:$D$1000="Agences et Après-vente"))*'Agences &amp; Après-vente'!$E$2:$E$1000))&gt;0,TEXT(SUMPRODUCT(MAX(('Agences &amp; Après-vente'!$A$2:$A$1000=$A333)*(('Agences &amp; Après-vente'!$D$2:$D$1000="Après-vente")+('Agences &amp; Après-vente'!$D$2:$D$1000="Agences et Après-vente"))*'Agences &amp; Après-vente'!$E$2:$E$1000)),"yyyy-mm-dd"),"")))))</f>
        <v/>
      </c>
      <c r="J333" s="131" t="str">
        <f aca="false">IF($T333="✓","✓",IF(ISNUMBER($T333),TEXT($T333,"yyyy-mm-dd"),IF($A333="","",IF($D333="Lisbonne","",IF(SUMPRODUCT(('Agences &amp; Après-vente'!$A$2:$A$1000=$A333)*(('Agences &amp; Après-vente'!$D$2:$D$1000="Après-vente")+('Agences &amp; Après-vente'!$D$2:$D$1000="Agences et Après-vente"))*('Agences &amp; Après-vente'!$I$2:$I$1000="DONE"))&gt;0,"✓",IF(SUMPRODUCT(MAX(('Agences &amp; Après-vente'!$A$2:$A$1000=$A333)*(('Agences &amp; Après-vente'!$D$2:$D$1000="Après-vente")+('Agences &amp; Après-vente'!$D$2:$D$1000="Agences et Après-vente"))*'Agences &amp; Après-vente'!$E$2:$E$1000))&gt;0,TEXT(SUMPRODUCT(MAX(('Agences &amp; Après-vente'!$A$2:$A$1000=$A333)*(('Agences &amp; Après-vente'!$D$2:$D$1000="Après-vente")+('Agences &amp; Après-vente'!$D$2:$D$1000="Agences et Après-vente"))*'Agences &amp; Après-vente'!$E$2:$E$1000)),"yyyy-mm-dd"),""))))))</f>
        <v/>
      </c>
      <c r="K333" s="131" t="str">
        <f aca="false">IF($U333="✓","✓",IF(ISNUMBER($U333),TEXT($U333,"yyyy-mm-dd"),IF($D333="Lisbonne","",IF($A333="","",IF(SUMPRODUCT((Evermont!$A$2:$A$1000=$A333)*(Evermont!$Q$2:$Q$1000="Terminé"))&gt;0,"✓",IF(SUMPRODUCT(MAX((Evermont!$A$2:$A$1000=$A333)*Evermont!$F$2:$F$1000))&gt;0,TEXT(SUMPRODUCT(MAX((Evermont!$A$2:$A$1000=$A333)*Evermont!$F$2:$F$1000)),"yyyy-mm-dd"),""))))))</f>
        <v/>
      </c>
      <c r="L333" s="131" t="str">
        <f aca="false">IF($A333="","",COUNTIF(E333:K333,"✓"))</f>
        <v/>
      </c>
      <c r="M333" s="131" t="str">
        <f aca="false">IF(B333="","","Active")</f>
        <v/>
      </c>
      <c r="W333" s="120" t="str">
        <f aca="false">IF($A333="","",IF($X333&lt;&gt;"",$X333,IFERROR(INDEX('Formation Initiale'!$B$2:$B$999,MATCH($A333,'Formation Initiale'!$A$2:$A$999,0)),"Général")))</f>
        <v/>
      </c>
    </row>
    <row r="334" customFormat="false" ht="15" hidden="true" customHeight="true" outlineLevel="0" collapsed="false">
      <c r="A334" s="142" t="str">
        <f aca="false">IF(B334="","","TR"&amp;TEXT(ROW()-1,"000"))</f>
        <v/>
      </c>
      <c r="E334" s="130" t="str">
        <f aca="false">IF($O334="✓","✓",IF(ISNUMBER($O334),TEXT($O334,"yyyy-mm-dd"),IF($A334="","",IF(SUMPRODUCT(('Formation Initiale'!$A$2:$A$999=$A334)*('Formation Initiale'!$R$2:$R$999="Terminé"))&gt;0,"✓",IF(SUMPRODUCT(MAX(('Formation Initiale'!$A$2:$A$999=$A334)*'Formation Initiale'!$G$2:$G$999))&gt;0,TEXT(SUMPRODUCT(MAX(('Formation Initiale'!$A$2:$A$999=$A334)*'Formation Initiale'!$G$2:$G$999)),"yyyy-mm-dd"),"")))))</f>
        <v/>
      </c>
      <c r="F334" s="131" t="str">
        <f aca="false">IF($P334="✓","✓",IF(ISNUMBER($P334),TEXT($P334,"yyyy-mm-dd"),IF($A334="","",IF($D334="Lisbonne","",IF(SUMPRODUCT(('Formation Initiale'!$A$2:$A$999=$A334)*('Formation Initiale'!$R$2:$R$999="Terminé"))&gt;0,"✓",IF(SUMPRODUCT(MAX(('Formation Initiale'!$A$2:$A$999=$A334)*'Formation Initiale'!$G$2:$G$999))&gt;0,TEXT(SUMPRODUCT(MAX(('Formation Initiale'!$A$2:$A$999=$A334)*'Formation Initiale'!$G$2:$G$999)),"yyyy-mm-dd"),""))))))</f>
        <v/>
      </c>
      <c r="G334" s="131" t="str">
        <f aca="false">IF($Q334="✓","✓",IF(ISNUMBER($Q334),TEXT($Q334,"yyyy-mm-dd"),IF($A334="","",IF(SUMPRODUCT(('Agences &amp; Après-vente'!$A$2:$A$1000=$A334)*(('Agences &amp; Après-vente'!$D$2:$D$1000="Agences")+('Agences &amp; Après-vente'!$D$2:$D$1000="Agences et Après-vente"))*('Agences &amp; Après-vente'!$I$2:$I$1000="DONE"))&gt;0,"✓",IF(SUMPRODUCT(MAX(('Agences &amp; Après-vente'!$A$2:$A$1000=$A334)*(('Agences &amp; Après-vente'!$D$2:$D$1000="Agences")+('Agences &amp; Après-vente'!$D$2:$D$1000="Agences et Après-vente"))*'Agences &amp; Après-vente'!$E$2:$E$1000))&gt;0,TEXT(SUMPRODUCT(MAX(('Agences &amp; Après-vente'!$A$2:$A$1000=$A334)*(('Agences &amp; Après-vente'!$D$2:$D$1000="Agences")+('Agences &amp; Après-vente'!$D$2:$D$1000="Agences et Après-vente"))*'Agences &amp; Après-vente'!$E$2:$E$1000)),"yyyy-mm-dd"),"")))))</f>
        <v/>
      </c>
      <c r="H334" s="131" t="str">
        <f aca="false">IF($R334="✓","✓",IF(ISNUMBER($R334),TEXT($R334,"yyyy-mm-dd"),IF($A334="","",IF($D334="Lisbonne","",IF(SUMPRODUCT(('Agences &amp; Après-vente'!$A$2:$A$1000=$A334)*(('Agences &amp; Après-vente'!$D$2:$D$1000="Agences")+('Agences &amp; Après-vente'!$D$2:$D$1000="Agences et Après-vente"))*('Agences &amp; Après-vente'!$I$2:$I$1000="DONE"))&gt;0,"✓",IF(SUMPRODUCT(MAX(('Agences &amp; Après-vente'!$A$2:$A$1000=$A334)*(('Agences &amp; Après-vente'!$D$2:$D$1000="Agences")+('Agences &amp; Après-vente'!$D$2:$D$1000="Agences et Après-vente"))*'Agences &amp; Après-vente'!$E$2:$E$1000))&gt;0,TEXT(SUMPRODUCT(MAX(('Agences &amp; Après-vente'!$A$2:$A$1000=$A334)*(('Agences &amp; Après-vente'!$D$2:$D$1000="Agences")+('Agences &amp; Après-vente'!$D$2:$D$1000="Agences et Après-vente"))*'Agences &amp; Après-vente'!$E$2:$E$1000)),"yyyy-mm-dd"),""))))))</f>
        <v/>
      </c>
      <c r="I334" s="131" t="str">
        <f aca="false">IF($S334="✓","✓",IF(ISNUMBER($S334),TEXT($S334,"yyyy-mm-dd"),IF($A334="","",IF(SUMPRODUCT(('Agences &amp; Après-vente'!$A$2:$A$1000=$A334)*(('Agences &amp; Après-vente'!$D$2:$D$1000="Après-vente")+('Agences &amp; Après-vente'!$D$2:$D$1000="Agences et Après-vente"))*('Agences &amp; Après-vente'!$I$2:$I$1000="DONE"))&gt;0,"✓",IF(SUMPRODUCT(MAX(('Agences &amp; Après-vente'!$A$2:$A$1000=$A334)*(('Agences &amp; Après-vente'!$D$2:$D$1000="Après-vente")+('Agences &amp; Après-vente'!$D$2:$D$1000="Agences et Après-vente"))*'Agences &amp; Après-vente'!$E$2:$E$1000))&gt;0,TEXT(SUMPRODUCT(MAX(('Agences &amp; Après-vente'!$A$2:$A$1000=$A334)*(('Agences &amp; Après-vente'!$D$2:$D$1000="Après-vente")+('Agences &amp; Après-vente'!$D$2:$D$1000="Agences et Après-vente"))*'Agences &amp; Après-vente'!$E$2:$E$1000)),"yyyy-mm-dd"),"")))))</f>
        <v/>
      </c>
      <c r="J334" s="131" t="str">
        <f aca="false">IF($T334="✓","✓",IF(ISNUMBER($T334),TEXT($T334,"yyyy-mm-dd"),IF($A334="","",IF($D334="Lisbonne","",IF(SUMPRODUCT(('Agences &amp; Après-vente'!$A$2:$A$1000=$A334)*(('Agences &amp; Après-vente'!$D$2:$D$1000="Après-vente")+('Agences &amp; Après-vente'!$D$2:$D$1000="Agences et Après-vente"))*('Agences &amp; Après-vente'!$I$2:$I$1000="DONE"))&gt;0,"✓",IF(SUMPRODUCT(MAX(('Agences &amp; Après-vente'!$A$2:$A$1000=$A334)*(('Agences &amp; Après-vente'!$D$2:$D$1000="Après-vente")+('Agences &amp; Après-vente'!$D$2:$D$1000="Agences et Après-vente"))*'Agences &amp; Après-vente'!$E$2:$E$1000))&gt;0,TEXT(SUMPRODUCT(MAX(('Agences &amp; Après-vente'!$A$2:$A$1000=$A334)*(('Agences &amp; Après-vente'!$D$2:$D$1000="Après-vente")+('Agences &amp; Après-vente'!$D$2:$D$1000="Agences et Après-vente"))*'Agences &amp; Après-vente'!$E$2:$E$1000)),"yyyy-mm-dd"),""))))))</f>
        <v/>
      </c>
      <c r="K334" s="131" t="str">
        <f aca="false">IF($U334="✓","✓",IF(ISNUMBER($U334),TEXT($U334,"yyyy-mm-dd"),IF($D334="Lisbonne","",IF($A334="","",IF(SUMPRODUCT((Evermont!$A$2:$A$1000=$A334)*(Evermont!$Q$2:$Q$1000="Terminé"))&gt;0,"✓",IF(SUMPRODUCT(MAX((Evermont!$A$2:$A$1000=$A334)*Evermont!$F$2:$F$1000))&gt;0,TEXT(SUMPRODUCT(MAX((Evermont!$A$2:$A$1000=$A334)*Evermont!$F$2:$F$1000)),"yyyy-mm-dd"),""))))))</f>
        <v/>
      </c>
      <c r="L334" s="131" t="str">
        <f aca="false">IF($A334="","",COUNTIF(E334:K334,"✓"))</f>
        <v/>
      </c>
      <c r="M334" s="131" t="str">
        <f aca="false">IF(B334="","","Active")</f>
        <v/>
      </c>
      <c r="W334" s="120" t="str">
        <f aca="false">IF($A334="","",IF($X334&lt;&gt;"",$X334,IFERROR(INDEX('Formation Initiale'!$B$2:$B$999,MATCH($A334,'Formation Initiale'!$A$2:$A$999,0)),"Général")))</f>
        <v/>
      </c>
    </row>
    <row r="335" customFormat="false" ht="15" hidden="true" customHeight="true" outlineLevel="0" collapsed="false">
      <c r="A335" s="142" t="str">
        <f aca="false">IF(B335="","","TR"&amp;TEXT(ROW()-1,"000"))</f>
        <v/>
      </c>
      <c r="E335" s="130" t="str">
        <f aca="false">IF($O335="✓","✓",IF(ISNUMBER($O335),TEXT($O335,"yyyy-mm-dd"),IF($A335="","",IF(SUMPRODUCT(('Formation Initiale'!$A$2:$A$999=$A335)*('Formation Initiale'!$R$2:$R$999="Terminé"))&gt;0,"✓",IF(SUMPRODUCT(MAX(('Formation Initiale'!$A$2:$A$999=$A335)*'Formation Initiale'!$G$2:$G$999))&gt;0,TEXT(SUMPRODUCT(MAX(('Formation Initiale'!$A$2:$A$999=$A335)*'Formation Initiale'!$G$2:$G$999)),"yyyy-mm-dd"),"")))))</f>
        <v/>
      </c>
      <c r="F335" s="131" t="str">
        <f aca="false">IF($P335="✓","✓",IF(ISNUMBER($P335),TEXT($P335,"yyyy-mm-dd"),IF($A335="","",IF($D335="Lisbonne","",IF(SUMPRODUCT(('Formation Initiale'!$A$2:$A$999=$A335)*('Formation Initiale'!$R$2:$R$999="Terminé"))&gt;0,"✓",IF(SUMPRODUCT(MAX(('Formation Initiale'!$A$2:$A$999=$A335)*'Formation Initiale'!$G$2:$G$999))&gt;0,TEXT(SUMPRODUCT(MAX(('Formation Initiale'!$A$2:$A$999=$A335)*'Formation Initiale'!$G$2:$G$999)),"yyyy-mm-dd"),""))))))</f>
        <v/>
      </c>
      <c r="G335" s="131" t="str">
        <f aca="false">IF($Q335="✓","✓",IF(ISNUMBER($Q335),TEXT($Q335,"yyyy-mm-dd"),IF($A335="","",IF(SUMPRODUCT(('Agences &amp; Après-vente'!$A$2:$A$1000=$A335)*(('Agences &amp; Après-vente'!$D$2:$D$1000="Agences")+('Agences &amp; Après-vente'!$D$2:$D$1000="Agences et Après-vente"))*('Agences &amp; Après-vente'!$I$2:$I$1000="DONE"))&gt;0,"✓",IF(SUMPRODUCT(MAX(('Agences &amp; Après-vente'!$A$2:$A$1000=$A335)*(('Agences &amp; Après-vente'!$D$2:$D$1000="Agences")+('Agences &amp; Après-vente'!$D$2:$D$1000="Agences et Après-vente"))*'Agences &amp; Après-vente'!$E$2:$E$1000))&gt;0,TEXT(SUMPRODUCT(MAX(('Agences &amp; Après-vente'!$A$2:$A$1000=$A335)*(('Agences &amp; Après-vente'!$D$2:$D$1000="Agences")+('Agences &amp; Après-vente'!$D$2:$D$1000="Agences et Après-vente"))*'Agences &amp; Après-vente'!$E$2:$E$1000)),"yyyy-mm-dd"),"")))))</f>
        <v/>
      </c>
      <c r="H335" s="131" t="str">
        <f aca="false">IF($R335="✓","✓",IF(ISNUMBER($R335),TEXT($R335,"yyyy-mm-dd"),IF($A335="","",IF($D335="Lisbonne","",IF(SUMPRODUCT(('Agences &amp; Après-vente'!$A$2:$A$1000=$A335)*(('Agences &amp; Après-vente'!$D$2:$D$1000="Agences")+('Agences &amp; Après-vente'!$D$2:$D$1000="Agences et Après-vente"))*('Agences &amp; Après-vente'!$I$2:$I$1000="DONE"))&gt;0,"✓",IF(SUMPRODUCT(MAX(('Agences &amp; Après-vente'!$A$2:$A$1000=$A335)*(('Agences &amp; Après-vente'!$D$2:$D$1000="Agences")+('Agences &amp; Après-vente'!$D$2:$D$1000="Agences et Après-vente"))*'Agences &amp; Après-vente'!$E$2:$E$1000))&gt;0,TEXT(SUMPRODUCT(MAX(('Agences &amp; Après-vente'!$A$2:$A$1000=$A335)*(('Agences &amp; Après-vente'!$D$2:$D$1000="Agences")+('Agences &amp; Après-vente'!$D$2:$D$1000="Agences et Après-vente"))*'Agences &amp; Après-vente'!$E$2:$E$1000)),"yyyy-mm-dd"),""))))))</f>
        <v/>
      </c>
      <c r="I335" s="131" t="str">
        <f aca="false">IF($S335="✓","✓",IF(ISNUMBER($S335),TEXT($S335,"yyyy-mm-dd"),IF($A335="","",IF(SUMPRODUCT(('Agences &amp; Après-vente'!$A$2:$A$1000=$A335)*(('Agences &amp; Après-vente'!$D$2:$D$1000="Après-vente")+('Agences &amp; Après-vente'!$D$2:$D$1000="Agences et Après-vente"))*('Agences &amp; Après-vente'!$I$2:$I$1000="DONE"))&gt;0,"✓",IF(SUMPRODUCT(MAX(('Agences &amp; Après-vente'!$A$2:$A$1000=$A335)*(('Agences &amp; Après-vente'!$D$2:$D$1000="Après-vente")+('Agences &amp; Après-vente'!$D$2:$D$1000="Agences et Après-vente"))*'Agences &amp; Après-vente'!$E$2:$E$1000))&gt;0,TEXT(SUMPRODUCT(MAX(('Agences &amp; Après-vente'!$A$2:$A$1000=$A335)*(('Agences &amp; Après-vente'!$D$2:$D$1000="Après-vente")+('Agences &amp; Après-vente'!$D$2:$D$1000="Agences et Après-vente"))*'Agences &amp; Après-vente'!$E$2:$E$1000)),"yyyy-mm-dd"),"")))))</f>
        <v/>
      </c>
      <c r="J335" s="131" t="str">
        <f aca="false">IF($T335="✓","✓",IF(ISNUMBER($T335),TEXT($T335,"yyyy-mm-dd"),IF($A335="","",IF($D335="Lisbonne","",IF(SUMPRODUCT(('Agences &amp; Après-vente'!$A$2:$A$1000=$A335)*(('Agences &amp; Après-vente'!$D$2:$D$1000="Après-vente")+('Agences &amp; Après-vente'!$D$2:$D$1000="Agences et Après-vente"))*('Agences &amp; Après-vente'!$I$2:$I$1000="DONE"))&gt;0,"✓",IF(SUMPRODUCT(MAX(('Agences &amp; Après-vente'!$A$2:$A$1000=$A335)*(('Agences &amp; Après-vente'!$D$2:$D$1000="Après-vente")+('Agences &amp; Après-vente'!$D$2:$D$1000="Agences et Après-vente"))*'Agences &amp; Après-vente'!$E$2:$E$1000))&gt;0,TEXT(SUMPRODUCT(MAX(('Agences &amp; Après-vente'!$A$2:$A$1000=$A335)*(('Agences &amp; Après-vente'!$D$2:$D$1000="Après-vente")+('Agences &amp; Après-vente'!$D$2:$D$1000="Agences et Après-vente"))*'Agences &amp; Après-vente'!$E$2:$E$1000)),"yyyy-mm-dd"),""))))))</f>
        <v/>
      </c>
      <c r="K335" s="131" t="str">
        <f aca="false">IF($U335="✓","✓",IF(ISNUMBER($U335),TEXT($U335,"yyyy-mm-dd"),IF($D335="Lisbonne","",IF($A335="","",IF(SUMPRODUCT((Evermont!$A$2:$A$1000=$A335)*(Evermont!$Q$2:$Q$1000="Terminé"))&gt;0,"✓",IF(SUMPRODUCT(MAX((Evermont!$A$2:$A$1000=$A335)*Evermont!$F$2:$F$1000))&gt;0,TEXT(SUMPRODUCT(MAX((Evermont!$A$2:$A$1000=$A335)*Evermont!$F$2:$F$1000)),"yyyy-mm-dd"),""))))))</f>
        <v/>
      </c>
      <c r="L335" s="131" t="str">
        <f aca="false">IF($A335="","",COUNTIF(E335:K335,"✓"))</f>
        <v/>
      </c>
      <c r="M335" s="131" t="str">
        <f aca="false">IF(B335="","","Active")</f>
        <v/>
      </c>
      <c r="W335" s="120" t="str">
        <f aca="false">IF($A335="","",IF($X335&lt;&gt;"",$X335,IFERROR(INDEX('Formation Initiale'!$B$2:$B$999,MATCH($A335,'Formation Initiale'!$A$2:$A$999,0)),"Général")))</f>
        <v/>
      </c>
    </row>
    <row r="336" customFormat="false" ht="15" hidden="true" customHeight="true" outlineLevel="0" collapsed="false">
      <c r="A336" s="142" t="str">
        <f aca="false">IF(B336="","","TR"&amp;TEXT(ROW()-1,"000"))</f>
        <v/>
      </c>
      <c r="E336" s="130" t="str">
        <f aca="false">IF($O336="✓","✓",IF(ISNUMBER($O336),TEXT($O336,"yyyy-mm-dd"),IF($A336="","",IF(SUMPRODUCT(('Formation Initiale'!$A$2:$A$999=$A336)*('Formation Initiale'!$R$2:$R$999="Terminé"))&gt;0,"✓",IF(SUMPRODUCT(MAX(('Formation Initiale'!$A$2:$A$999=$A336)*'Formation Initiale'!$G$2:$G$999))&gt;0,TEXT(SUMPRODUCT(MAX(('Formation Initiale'!$A$2:$A$999=$A336)*'Formation Initiale'!$G$2:$G$999)),"yyyy-mm-dd"),"")))))</f>
        <v/>
      </c>
      <c r="F336" s="131" t="str">
        <f aca="false">IF($P336="✓","✓",IF(ISNUMBER($P336),TEXT($P336,"yyyy-mm-dd"),IF($A336="","",IF($D336="Lisbonne","",IF(SUMPRODUCT(('Formation Initiale'!$A$2:$A$999=$A336)*('Formation Initiale'!$R$2:$R$999="Terminé"))&gt;0,"✓",IF(SUMPRODUCT(MAX(('Formation Initiale'!$A$2:$A$999=$A336)*'Formation Initiale'!$G$2:$G$999))&gt;0,TEXT(SUMPRODUCT(MAX(('Formation Initiale'!$A$2:$A$999=$A336)*'Formation Initiale'!$G$2:$G$999)),"yyyy-mm-dd"),""))))))</f>
        <v/>
      </c>
      <c r="G336" s="131" t="str">
        <f aca="false">IF($Q336="✓","✓",IF(ISNUMBER($Q336),TEXT($Q336,"yyyy-mm-dd"),IF($A336="","",IF(SUMPRODUCT(('Agences &amp; Après-vente'!$A$2:$A$1000=$A336)*(('Agences &amp; Après-vente'!$D$2:$D$1000="Agences")+('Agences &amp; Après-vente'!$D$2:$D$1000="Agences et Après-vente"))*('Agences &amp; Après-vente'!$I$2:$I$1000="DONE"))&gt;0,"✓",IF(SUMPRODUCT(MAX(('Agences &amp; Après-vente'!$A$2:$A$1000=$A336)*(('Agences &amp; Après-vente'!$D$2:$D$1000="Agences")+('Agences &amp; Après-vente'!$D$2:$D$1000="Agences et Après-vente"))*'Agences &amp; Après-vente'!$E$2:$E$1000))&gt;0,TEXT(SUMPRODUCT(MAX(('Agences &amp; Après-vente'!$A$2:$A$1000=$A336)*(('Agences &amp; Après-vente'!$D$2:$D$1000="Agences")+('Agences &amp; Après-vente'!$D$2:$D$1000="Agences et Après-vente"))*'Agences &amp; Après-vente'!$E$2:$E$1000)),"yyyy-mm-dd"),"")))))</f>
        <v/>
      </c>
      <c r="H336" s="131" t="str">
        <f aca="false">IF($R336="✓","✓",IF(ISNUMBER($R336),TEXT($R336,"yyyy-mm-dd"),IF($A336="","",IF($D336="Lisbonne","",IF(SUMPRODUCT(('Agences &amp; Après-vente'!$A$2:$A$1000=$A336)*(('Agences &amp; Après-vente'!$D$2:$D$1000="Agences")+('Agences &amp; Après-vente'!$D$2:$D$1000="Agences et Après-vente"))*('Agences &amp; Après-vente'!$I$2:$I$1000="DONE"))&gt;0,"✓",IF(SUMPRODUCT(MAX(('Agences &amp; Après-vente'!$A$2:$A$1000=$A336)*(('Agences &amp; Après-vente'!$D$2:$D$1000="Agences")+('Agences &amp; Après-vente'!$D$2:$D$1000="Agences et Après-vente"))*'Agences &amp; Après-vente'!$E$2:$E$1000))&gt;0,TEXT(SUMPRODUCT(MAX(('Agences &amp; Après-vente'!$A$2:$A$1000=$A336)*(('Agences &amp; Après-vente'!$D$2:$D$1000="Agences")+('Agences &amp; Après-vente'!$D$2:$D$1000="Agences et Après-vente"))*'Agences &amp; Après-vente'!$E$2:$E$1000)),"yyyy-mm-dd"),""))))))</f>
        <v/>
      </c>
      <c r="I336" s="131" t="str">
        <f aca="false">IF($S336="✓","✓",IF(ISNUMBER($S336),TEXT($S336,"yyyy-mm-dd"),IF($A336="","",IF(SUMPRODUCT(('Agences &amp; Après-vente'!$A$2:$A$1000=$A336)*(('Agences &amp; Après-vente'!$D$2:$D$1000="Après-vente")+('Agences &amp; Après-vente'!$D$2:$D$1000="Agences et Après-vente"))*('Agences &amp; Après-vente'!$I$2:$I$1000="DONE"))&gt;0,"✓",IF(SUMPRODUCT(MAX(('Agences &amp; Après-vente'!$A$2:$A$1000=$A336)*(('Agences &amp; Après-vente'!$D$2:$D$1000="Après-vente")+('Agences &amp; Après-vente'!$D$2:$D$1000="Agences et Après-vente"))*'Agences &amp; Après-vente'!$E$2:$E$1000))&gt;0,TEXT(SUMPRODUCT(MAX(('Agences &amp; Après-vente'!$A$2:$A$1000=$A336)*(('Agences &amp; Après-vente'!$D$2:$D$1000="Après-vente")+('Agences &amp; Après-vente'!$D$2:$D$1000="Agences et Après-vente"))*'Agences &amp; Après-vente'!$E$2:$E$1000)),"yyyy-mm-dd"),"")))))</f>
        <v/>
      </c>
      <c r="J336" s="131" t="str">
        <f aca="false">IF($T336="✓","✓",IF(ISNUMBER($T336),TEXT($T336,"yyyy-mm-dd"),IF($A336="","",IF($D336="Lisbonne","",IF(SUMPRODUCT(('Agences &amp; Après-vente'!$A$2:$A$1000=$A336)*(('Agences &amp; Après-vente'!$D$2:$D$1000="Après-vente")+('Agences &amp; Après-vente'!$D$2:$D$1000="Agences et Après-vente"))*('Agences &amp; Après-vente'!$I$2:$I$1000="DONE"))&gt;0,"✓",IF(SUMPRODUCT(MAX(('Agences &amp; Après-vente'!$A$2:$A$1000=$A336)*(('Agences &amp; Après-vente'!$D$2:$D$1000="Après-vente")+('Agences &amp; Après-vente'!$D$2:$D$1000="Agences et Après-vente"))*'Agences &amp; Après-vente'!$E$2:$E$1000))&gt;0,TEXT(SUMPRODUCT(MAX(('Agences &amp; Après-vente'!$A$2:$A$1000=$A336)*(('Agences &amp; Après-vente'!$D$2:$D$1000="Après-vente")+('Agences &amp; Après-vente'!$D$2:$D$1000="Agences et Après-vente"))*'Agences &amp; Après-vente'!$E$2:$E$1000)),"yyyy-mm-dd"),""))))))</f>
        <v/>
      </c>
      <c r="K336" s="131" t="str">
        <f aca="false">IF($U336="✓","✓",IF(ISNUMBER($U336),TEXT($U336,"yyyy-mm-dd"),IF($D336="Lisbonne","",IF($A336="","",IF(SUMPRODUCT((Evermont!$A$2:$A$1000=$A336)*(Evermont!$Q$2:$Q$1000="Terminé"))&gt;0,"✓",IF(SUMPRODUCT(MAX((Evermont!$A$2:$A$1000=$A336)*Evermont!$F$2:$F$1000))&gt;0,TEXT(SUMPRODUCT(MAX((Evermont!$A$2:$A$1000=$A336)*Evermont!$F$2:$F$1000)),"yyyy-mm-dd"),""))))))</f>
        <v/>
      </c>
      <c r="L336" s="131" t="str">
        <f aca="false">IF($A336="","",COUNTIF(E336:K336,"✓"))</f>
        <v/>
      </c>
      <c r="M336" s="131" t="str">
        <f aca="false">IF(B336="","","Active")</f>
        <v/>
      </c>
      <c r="W336" s="120" t="str">
        <f aca="false">IF($A336="","",IF($X336&lt;&gt;"",$X336,IFERROR(INDEX('Formation Initiale'!$B$2:$B$999,MATCH($A336,'Formation Initiale'!$A$2:$A$999,0)),"Général")))</f>
        <v/>
      </c>
    </row>
    <row r="337" customFormat="false" ht="15" hidden="true" customHeight="true" outlineLevel="0" collapsed="false">
      <c r="A337" s="142" t="str">
        <f aca="false">IF(B337="","","TR"&amp;TEXT(ROW()-1,"000"))</f>
        <v/>
      </c>
      <c r="E337" s="130" t="str">
        <f aca="false">IF($O337="✓","✓",IF(ISNUMBER($O337),TEXT($O337,"yyyy-mm-dd"),IF($A337="","",IF(SUMPRODUCT(('Formation Initiale'!$A$2:$A$999=$A337)*('Formation Initiale'!$R$2:$R$999="Terminé"))&gt;0,"✓",IF(SUMPRODUCT(MAX(('Formation Initiale'!$A$2:$A$999=$A337)*'Formation Initiale'!$G$2:$G$999))&gt;0,TEXT(SUMPRODUCT(MAX(('Formation Initiale'!$A$2:$A$999=$A337)*'Formation Initiale'!$G$2:$G$999)),"yyyy-mm-dd"),"")))))</f>
        <v/>
      </c>
      <c r="F337" s="131" t="str">
        <f aca="false">IF($P337="✓","✓",IF(ISNUMBER($P337),TEXT($P337,"yyyy-mm-dd"),IF($A337="","",IF($D337="Lisbonne","",IF(SUMPRODUCT(('Formation Initiale'!$A$2:$A$999=$A337)*('Formation Initiale'!$R$2:$R$999="Terminé"))&gt;0,"✓",IF(SUMPRODUCT(MAX(('Formation Initiale'!$A$2:$A$999=$A337)*'Formation Initiale'!$G$2:$G$999))&gt;0,TEXT(SUMPRODUCT(MAX(('Formation Initiale'!$A$2:$A$999=$A337)*'Formation Initiale'!$G$2:$G$999)),"yyyy-mm-dd"),""))))))</f>
        <v/>
      </c>
      <c r="G337" s="131" t="str">
        <f aca="false">IF($Q337="✓","✓",IF(ISNUMBER($Q337),TEXT($Q337,"yyyy-mm-dd"),IF($A337="","",IF(SUMPRODUCT(('Agences &amp; Après-vente'!$A$2:$A$1000=$A337)*(('Agences &amp; Après-vente'!$D$2:$D$1000="Agences")+('Agences &amp; Après-vente'!$D$2:$D$1000="Agences et Après-vente"))*('Agences &amp; Après-vente'!$I$2:$I$1000="DONE"))&gt;0,"✓",IF(SUMPRODUCT(MAX(('Agences &amp; Après-vente'!$A$2:$A$1000=$A337)*(('Agences &amp; Après-vente'!$D$2:$D$1000="Agences")+('Agences &amp; Après-vente'!$D$2:$D$1000="Agences et Après-vente"))*'Agences &amp; Après-vente'!$E$2:$E$1000))&gt;0,TEXT(SUMPRODUCT(MAX(('Agences &amp; Après-vente'!$A$2:$A$1000=$A337)*(('Agences &amp; Après-vente'!$D$2:$D$1000="Agences")+('Agences &amp; Après-vente'!$D$2:$D$1000="Agences et Après-vente"))*'Agences &amp; Après-vente'!$E$2:$E$1000)),"yyyy-mm-dd"),"")))))</f>
        <v/>
      </c>
      <c r="H337" s="131" t="str">
        <f aca="false">IF($R337="✓","✓",IF(ISNUMBER($R337),TEXT($R337,"yyyy-mm-dd"),IF($A337="","",IF($D337="Lisbonne","",IF(SUMPRODUCT(('Agences &amp; Après-vente'!$A$2:$A$1000=$A337)*(('Agences &amp; Après-vente'!$D$2:$D$1000="Agences")+('Agences &amp; Après-vente'!$D$2:$D$1000="Agences et Après-vente"))*('Agences &amp; Après-vente'!$I$2:$I$1000="DONE"))&gt;0,"✓",IF(SUMPRODUCT(MAX(('Agences &amp; Après-vente'!$A$2:$A$1000=$A337)*(('Agences &amp; Après-vente'!$D$2:$D$1000="Agences")+('Agences &amp; Après-vente'!$D$2:$D$1000="Agences et Après-vente"))*'Agences &amp; Après-vente'!$E$2:$E$1000))&gt;0,TEXT(SUMPRODUCT(MAX(('Agences &amp; Après-vente'!$A$2:$A$1000=$A337)*(('Agences &amp; Après-vente'!$D$2:$D$1000="Agences")+('Agences &amp; Après-vente'!$D$2:$D$1000="Agences et Après-vente"))*'Agences &amp; Après-vente'!$E$2:$E$1000)),"yyyy-mm-dd"),""))))))</f>
        <v/>
      </c>
      <c r="I337" s="131" t="str">
        <f aca="false">IF($S337="✓","✓",IF(ISNUMBER($S337),TEXT($S337,"yyyy-mm-dd"),IF($A337="","",IF(SUMPRODUCT(('Agences &amp; Après-vente'!$A$2:$A$1000=$A337)*(('Agences &amp; Après-vente'!$D$2:$D$1000="Après-vente")+('Agences &amp; Après-vente'!$D$2:$D$1000="Agences et Après-vente"))*('Agences &amp; Après-vente'!$I$2:$I$1000="DONE"))&gt;0,"✓",IF(SUMPRODUCT(MAX(('Agences &amp; Après-vente'!$A$2:$A$1000=$A337)*(('Agences &amp; Après-vente'!$D$2:$D$1000="Après-vente")+('Agences &amp; Après-vente'!$D$2:$D$1000="Agences et Après-vente"))*'Agences &amp; Après-vente'!$E$2:$E$1000))&gt;0,TEXT(SUMPRODUCT(MAX(('Agences &amp; Après-vente'!$A$2:$A$1000=$A337)*(('Agences &amp; Après-vente'!$D$2:$D$1000="Après-vente")+('Agences &amp; Après-vente'!$D$2:$D$1000="Agences et Après-vente"))*'Agences &amp; Après-vente'!$E$2:$E$1000)),"yyyy-mm-dd"),"")))))</f>
        <v/>
      </c>
      <c r="J337" s="131" t="str">
        <f aca="false">IF($T337="✓","✓",IF(ISNUMBER($T337),TEXT($T337,"yyyy-mm-dd"),IF($A337="","",IF($D337="Lisbonne","",IF(SUMPRODUCT(('Agences &amp; Après-vente'!$A$2:$A$1000=$A337)*(('Agences &amp; Après-vente'!$D$2:$D$1000="Après-vente")+('Agences &amp; Après-vente'!$D$2:$D$1000="Agences et Après-vente"))*('Agences &amp; Après-vente'!$I$2:$I$1000="DONE"))&gt;0,"✓",IF(SUMPRODUCT(MAX(('Agences &amp; Après-vente'!$A$2:$A$1000=$A337)*(('Agences &amp; Après-vente'!$D$2:$D$1000="Après-vente")+('Agences &amp; Après-vente'!$D$2:$D$1000="Agences et Après-vente"))*'Agences &amp; Après-vente'!$E$2:$E$1000))&gt;0,TEXT(SUMPRODUCT(MAX(('Agences &amp; Après-vente'!$A$2:$A$1000=$A337)*(('Agences &amp; Après-vente'!$D$2:$D$1000="Après-vente")+('Agences &amp; Après-vente'!$D$2:$D$1000="Agences et Après-vente"))*'Agences &amp; Après-vente'!$E$2:$E$1000)),"yyyy-mm-dd"),""))))))</f>
        <v/>
      </c>
      <c r="K337" s="131" t="str">
        <f aca="false">IF($U337="✓","✓",IF(ISNUMBER($U337),TEXT($U337,"yyyy-mm-dd"),IF($D337="Lisbonne","",IF($A337="","",IF(SUMPRODUCT((Evermont!$A$2:$A$1000=$A337)*(Evermont!$Q$2:$Q$1000="Terminé"))&gt;0,"✓",IF(SUMPRODUCT(MAX((Evermont!$A$2:$A$1000=$A337)*Evermont!$F$2:$F$1000))&gt;0,TEXT(SUMPRODUCT(MAX((Evermont!$A$2:$A$1000=$A337)*Evermont!$F$2:$F$1000)),"yyyy-mm-dd"),""))))))</f>
        <v/>
      </c>
      <c r="L337" s="131" t="str">
        <f aca="false">IF($A337="","",COUNTIF(E337:K337,"✓"))</f>
        <v/>
      </c>
      <c r="M337" s="131" t="str">
        <f aca="false">IF(B337="","","Active")</f>
        <v/>
      </c>
      <c r="W337" s="120" t="str">
        <f aca="false">IF($A337="","",IF($X337&lt;&gt;"",$X337,IFERROR(INDEX('Formation Initiale'!$B$2:$B$999,MATCH($A337,'Formation Initiale'!$A$2:$A$999,0)),"Général")))</f>
        <v/>
      </c>
    </row>
    <row r="338" customFormat="false" ht="15" hidden="true" customHeight="true" outlineLevel="0" collapsed="false">
      <c r="A338" s="142" t="str">
        <f aca="false">IF(B338="","","TR"&amp;TEXT(ROW()-1,"000"))</f>
        <v/>
      </c>
      <c r="E338" s="130" t="str">
        <f aca="false">IF($O338="✓","✓",IF(ISNUMBER($O338),TEXT($O338,"yyyy-mm-dd"),IF($A338="","",IF(SUMPRODUCT(('Formation Initiale'!$A$2:$A$999=$A338)*('Formation Initiale'!$R$2:$R$999="Terminé"))&gt;0,"✓",IF(SUMPRODUCT(MAX(('Formation Initiale'!$A$2:$A$999=$A338)*'Formation Initiale'!$G$2:$G$999))&gt;0,TEXT(SUMPRODUCT(MAX(('Formation Initiale'!$A$2:$A$999=$A338)*'Formation Initiale'!$G$2:$G$999)),"yyyy-mm-dd"),"")))))</f>
        <v/>
      </c>
      <c r="F338" s="131" t="str">
        <f aca="false">IF($P338="✓","✓",IF(ISNUMBER($P338),TEXT($P338,"yyyy-mm-dd"),IF($A338="","",IF($D338="Lisbonne","",IF(SUMPRODUCT(('Formation Initiale'!$A$2:$A$999=$A338)*('Formation Initiale'!$R$2:$R$999="Terminé"))&gt;0,"✓",IF(SUMPRODUCT(MAX(('Formation Initiale'!$A$2:$A$999=$A338)*'Formation Initiale'!$G$2:$G$999))&gt;0,TEXT(SUMPRODUCT(MAX(('Formation Initiale'!$A$2:$A$999=$A338)*'Formation Initiale'!$G$2:$G$999)),"yyyy-mm-dd"),""))))))</f>
        <v/>
      </c>
      <c r="G338" s="131" t="str">
        <f aca="false">IF($Q338="✓","✓",IF(ISNUMBER($Q338),TEXT($Q338,"yyyy-mm-dd"),IF($A338="","",IF(SUMPRODUCT(('Agences &amp; Après-vente'!$A$2:$A$1000=$A338)*(('Agences &amp; Après-vente'!$D$2:$D$1000="Agences")+('Agences &amp; Après-vente'!$D$2:$D$1000="Agences et Après-vente"))*('Agences &amp; Après-vente'!$I$2:$I$1000="DONE"))&gt;0,"✓",IF(SUMPRODUCT(MAX(('Agences &amp; Après-vente'!$A$2:$A$1000=$A338)*(('Agences &amp; Après-vente'!$D$2:$D$1000="Agences")+('Agences &amp; Après-vente'!$D$2:$D$1000="Agences et Après-vente"))*'Agences &amp; Après-vente'!$E$2:$E$1000))&gt;0,TEXT(SUMPRODUCT(MAX(('Agences &amp; Après-vente'!$A$2:$A$1000=$A338)*(('Agences &amp; Après-vente'!$D$2:$D$1000="Agences")+('Agences &amp; Après-vente'!$D$2:$D$1000="Agences et Après-vente"))*'Agences &amp; Après-vente'!$E$2:$E$1000)),"yyyy-mm-dd"),"")))))</f>
        <v/>
      </c>
      <c r="H338" s="131" t="str">
        <f aca="false">IF($R338="✓","✓",IF(ISNUMBER($R338),TEXT($R338,"yyyy-mm-dd"),IF($A338="","",IF($D338="Lisbonne","",IF(SUMPRODUCT(('Agences &amp; Après-vente'!$A$2:$A$1000=$A338)*(('Agences &amp; Après-vente'!$D$2:$D$1000="Agences")+('Agences &amp; Après-vente'!$D$2:$D$1000="Agences et Après-vente"))*('Agences &amp; Après-vente'!$I$2:$I$1000="DONE"))&gt;0,"✓",IF(SUMPRODUCT(MAX(('Agences &amp; Après-vente'!$A$2:$A$1000=$A338)*(('Agences &amp; Après-vente'!$D$2:$D$1000="Agences")+('Agences &amp; Après-vente'!$D$2:$D$1000="Agences et Après-vente"))*'Agences &amp; Après-vente'!$E$2:$E$1000))&gt;0,TEXT(SUMPRODUCT(MAX(('Agences &amp; Après-vente'!$A$2:$A$1000=$A338)*(('Agences &amp; Après-vente'!$D$2:$D$1000="Agences")+('Agences &amp; Après-vente'!$D$2:$D$1000="Agences et Après-vente"))*'Agences &amp; Après-vente'!$E$2:$E$1000)),"yyyy-mm-dd"),""))))))</f>
        <v/>
      </c>
      <c r="I338" s="131" t="str">
        <f aca="false">IF($S338="✓","✓",IF(ISNUMBER($S338),TEXT($S338,"yyyy-mm-dd"),IF($A338="","",IF(SUMPRODUCT(('Agences &amp; Après-vente'!$A$2:$A$1000=$A338)*(('Agences &amp; Après-vente'!$D$2:$D$1000="Après-vente")+('Agences &amp; Après-vente'!$D$2:$D$1000="Agences et Après-vente"))*('Agences &amp; Après-vente'!$I$2:$I$1000="DONE"))&gt;0,"✓",IF(SUMPRODUCT(MAX(('Agences &amp; Après-vente'!$A$2:$A$1000=$A338)*(('Agences &amp; Après-vente'!$D$2:$D$1000="Après-vente")+('Agences &amp; Après-vente'!$D$2:$D$1000="Agences et Après-vente"))*'Agences &amp; Après-vente'!$E$2:$E$1000))&gt;0,TEXT(SUMPRODUCT(MAX(('Agences &amp; Après-vente'!$A$2:$A$1000=$A338)*(('Agences &amp; Après-vente'!$D$2:$D$1000="Après-vente")+('Agences &amp; Après-vente'!$D$2:$D$1000="Agences et Après-vente"))*'Agences &amp; Après-vente'!$E$2:$E$1000)),"yyyy-mm-dd"),"")))))</f>
        <v/>
      </c>
      <c r="J338" s="131" t="str">
        <f aca="false">IF($T338="✓","✓",IF(ISNUMBER($T338),TEXT($T338,"yyyy-mm-dd"),IF($A338="","",IF($D338="Lisbonne","",IF(SUMPRODUCT(('Agences &amp; Après-vente'!$A$2:$A$1000=$A338)*(('Agences &amp; Après-vente'!$D$2:$D$1000="Après-vente")+('Agences &amp; Après-vente'!$D$2:$D$1000="Agences et Après-vente"))*('Agences &amp; Après-vente'!$I$2:$I$1000="DONE"))&gt;0,"✓",IF(SUMPRODUCT(MAX(('Agences &amp; Après-vente'!$A$2:$A$1000=$A338)*(('Agences &amp; Après-vente'!$D$2:$D$1000="Après-vente")+('Agences &amp; Après-vente'!$D$2:$D$1000="Agences et Après-vente"))*'Agences &amp; Après-vente'!$E$2:$E$1000))&gt;0,TEXT(SUMPRODUCT(MAX(('Agences &amp; Après-vente'!$A$2:$A$1000=$A338)*(('Agences &amp; Après-vente'!$D$2:$D$1000="Après-vente")+('Agences &amp; Après-vente'!$D$2:$D$1000="Agences et Après-vente"))*'Agences &amp; Après-vente'!$E$2:$E$1000)),"yyyy-mm-dd"),""))))))</f>
        <v/>
      </c>
      <c r="K338" s="131" t="str">
        <f aca="false">IF($U338="✓","✓",IF(ISNUMBER($U338),TEXT($U338,"yyyy-mm-dd"),IF($D338="Lisbonne","",IF($A338="","",IF(SUMPRODUCT((Evermont!$A$2:$A$1000=$A338)*(Evermont!$Q$2:$Q$1000="Terminé"))&gt;0,"✓",IF(SUMPRODUCT(MAX((Evermont!$A$2:$A$1000=$A338)*Evermont!$F$2:$F$1000))&gt;0,TEXT(SUMPRODUCT(MAX((Evermont!$A$2:$A$1000=$A338)*Evermont!$F$2:$F$1000)),"yyyy-mm-dd"),""))))))</f>
        <v/>
      </c>
      <c r="L338" s="131" t="str">
        <f aca="false">IF($A338="","",COUNTIF(E338:K338,"✓"))</f>
        <v/>
      </c>
      <c r="M338" s="131" t="str">
        <f aca="false">IF(B338="","","Active")</f>
        <v/>
      </c>
      <c r="W338" s="120" t="str">
        <f aca="false">IF($A338="","",IF($X338&lt;&gt;"",$X338,IFERROR(INDEX('Formation Initiale'!$B$2:$B$999,MATCH($A338,'Formation Initiale'!$A$2:$A$999,0)),"Général")))</f>
        <v/>
      </c>
    </row>
    <row r="339" customFormat="false" ht="15" hidden="true" customHeight="true" outlineLevel="0" collapsed="false">
      <c r="A339" s="142" t="str">
        <f aca="false">IF(B339="","","TR"&amp;TEXT(ROW()-1,"000"))</f>
        <v/>
      </c>
      <c r="E339" s="130" t="str">
        <f aca="false">IF($O339="✓","✓",IF(ISNUMBER($O339),TEXT($O339,"yyyy-mm-dd"),IF($A339="","",IF(SUMPRODUCT(('Formation Initiale'!$A$2:$A$999=$A339)*('Formation Initiale'!$R$2:$R$999="Terminé"))&gt;0,"✓",IF(SUMPRODUCT(MAX(('Formation Initiale'!$A$2:$A$999=$A339)*'Formation Initiale'!$G$2:$G$999))&gt;0,TEXT(SUMPRODUCT(MAX(('Formation Initiale'!$A$2:$A$999=$A339)*'Formation Initiale'!$G$2:$G$999)),"yyyy-mm-dd"),"")))))</f>
        <v/>
      </c>
      <c r="F339" s="131" t="str">
        <f aca="false">IF($P339="✓","✓",IF(ISNUMBER($P339),TEXT($P339,"yyyy-mm-dd"),IF($A339="","",IF($D339="Lisbonne","",IF(SUMPRODUCT(('Formation Initiale'!$A$2:$A$999=$A339)*('Formation Initiale'!$R$2:$R$999="Terminé"))&gt;0,"✓",IF(SUMPRODUCT(MAX(('Formation Initiale'!$A$2:$A$999=$A339)*'Formation Initiale'!$G$2:$G$999))&gt;0,TEXT(SUMPRODUCT(MAX(('Formation Initiale'!$A$2:$A$999=$A339)*'Formation Initiale'!$G$2:$G$999)),"yyyy-mm-dd"),""))))))</f>
        <v/>
      </c>
      <c r="G339" s="131" t="str">
        <f aca="false">IF($Q339="✓","✓",IF(ISNUMBER($Q339),TEXT($Q339,"yyyy-mm-dd"),IF($A339="","",IF(SUMPRODUCT(('Agences &amp; Après-vente'!$A$2:$A$1000=$A339)*(('Agences &amp; Après-vente'!$D$2:$D$1000="Agences")+('Agences &amp; Après-vente'!$D$2:$D$1000="Agences et Après-vente"))*('Agences &amp; Après-vente'!$I$2:$I$1000="DONE"))&gt;0,"✓",IF(SUMPRODUCT(MAX(('Agences &amp; Après-vente'!$A$2:$A$1000=$A339)*(('Agences &amp; Après-vente'!$D$2:$D$1000="Agences")+('Agences &amp; Après-vente'!$D$2:$D$1000="Agences et Après-vente"))*'Agences &amp; Après-vente'!$E$2:$E$1000))&gt;0,TEXT(SUMPRODUCT(MAX(('Agences &amp; Après-vente'!$A$2:$A$1000=$A339)*(('Agences &amp; Après-vente'!$D$2:$D$1000="Agences")+('Agences &amp; Après-vente'!$D$2:$D$1000="Agences et Après-vente"))*'Agences &amp; Après-vente'!$E$2:$E$1000)),"yyyy-mm-dd"),"")))))</f>
        <v/>
      </c>
      <c r="H339" s="131" t="str">
        <f aca="false">IF($R339="✓","✓",IF(ISNUMBER($R339),TEXT($R339,"yyyy-mm-dd"),IF($A339="","",IF($D339="Lisbonne","",IF(SUMPRODUCT(('Agences &amp; Après-vente'!$A$2:$A$1000=$A339)*(('Agences &amp; Après-vente'!$D$2:$D$1000="Agences")+('Agences &amp; Après-vente'!$D$2:$D$1000="Agences et Après-vente"))*('Agences &amp; Après-vente'!$I$2:$I$1000="DONE"))&gt;0,"✓",IF(SUMPRODUCT(MAX(('Agences &amp; Après-vente'!$A$2:$A$1000=$A339)*(('Agences &amp; Après-vente'!$D$2:$D$1000="Agences")+('Agences &amp; Après-vente'!$D$2:$D$1000="Agences et Après-vente"))*'Agences &amp; Après-vente'!$E$2:$E$1000))&gt;0,TEXT(SUMPRODUCT(MAX(('Agences &amp; Après-vente'!$A$2:$A$1000=$A339)*(('Agences &amp; Après-vente'!$D$2:$D$1000="Agences")+('Agences &amp; Après-vente'!$D$2:$D$1000="Agences et Après-vente"))*'Agences &amp; Après-vente'!$E$2:$E$1000)),"yyyy-mm-dd"),""))))))</f>
        <v/>
      </c>
      <c r="I339" s="131" t="str">
        <f aca="false">IF($S339="✓","✓",IF(ISNUMBER($S339),TEXT($S339,"yyyy-mm-dd"),IF($A339="","",IF(SUMPRODUCT(('Agences &amp; Après-vente'!$A$2:$A$1000=$A339)*(('Agences &amp; Après-vente'!$D$2:$D$1000="Après-vente")+('Agences &amp; Après-vente'!$D$2:$D$1000="Agences et Après-vente"))*('Agences &amp; Après-vente'!$I$2:$I$1000="DONE"))&gt;0,"✓",IF(SUMPRODUCT(MAX(('Agences &amp; Après-vente'!$A$2:$A$1000=$A339)*(('Agences &amp; Après-vente'!$D$2:$D$1000="Après-vente")+('Agences &amp; Après-vente'!$D$2:$D$1000="Agences et Après-vente"))*'Agences &amp; Après-vente'!$E$2:$E$1000))&gt;0,TEXT(SUMPRODUCT(MAX(('Agences &amp; Après-vente'!$A$2:$A$1000=$A339)*(('Agences &amp; Après-vente'!$D$2:$D$1000="Après-vente")+('Agences &amp; Après-vente'!$D$2:$D$1000="Agences et Après-vente"))*'Agences &amp; Après-vente'!$E$2:$E$1000)),"yyyy-mm-dd"),"")))))</f>
        <v/>
      </c>
      <c r="J339" s="131" t="str">
        <f aca="false">IF($T339="✓","✓",IF(ISNUMBER($T339),TEXT($T339,"yyyy-mm-dd"),IF($A339="","",IF($D339="Lisbonne","",IF(SUMPRODUCT(('Agences &amp; Après-vente'!$A$2:$A$1000=$A339)*(('Agences &amp; Après-vente'!$D$2:$D$1000="Après-vente")+('Agences &amp; Après-vente'!$D$2:$D$1000="Agences et Après-vente"))*('Agences &amp; Après-vente'!$I$2:$I$1000="DONE"))&gt;0,"✓",IF(SUMPRODUCT(MAX(('Agences &amp; Après-vente'!$A$2:$A$1000=$A339)*(('Agences &amp; Après-vente'!$D$2:$D$1000="Après-vente")+('Agences &amp; Après-vente'!$D$2:$D$1000="Agences et Après-vente"))*'Agences &amp; Après-vente'!$E$2:$E$1000))&gt;0,TEXT(SUMPRODUCT(MAX(('Agences &amp; Après-vente'!$A$2:$A$1000=$A339)*(('Agences &amp; Après-vente'!$D$2:$D$1000="Après-vente")+('Agences &amp; Après-vente'!$D$2:$D$1000="Agences et Après-vente"))*'Agences &amp; Après-vente'!$E$2:$E$1000)),"yyyy-mm-dd"),""))))))</f>
        <v/>
      </c>
      <c r="K339" s="131" t="str">
        <f aca="false">IF($U339="✓","✓",IF(ISNUMBER($U339),TEXT($U339,"yyyy-mm-dd"),IF($D339="Lisbonne","",IF($A339="","",IF(SUMPRODUCT((Evermont!$A$2:$A$1000=$A339)*(Evermont!$Q$2:$Q$1000="Terminé"))&gt;0,"✓",IF(SUMPRODUCT(MAX((Evermont!$A$2:$A$1000=$A339)*Evermont!$F$2:$F$1000))&gt;0,TEXT(SUMPRODUCT(MAX((Evermont!$A$2:$A$1000=$A339)*Evermont!$F$2:$F$1000)),"yyyy-mm-dd"),""))))))</f>
        <v/>
      </c>
      <c r="L339" s="131" t="str">
        <f aca="false">IF($A339="","",COUNTIF(E339:K339,"✓"))</f>
        <v/>
      </c>
      <c r="M339" s="131" t="str">
        <f aca="false">IF(B339="","","Active")</f>
        <v/>
      </c>
      <c r="W339" s="120" t="str">
        <f aca="false">IF($A339="","",IF($X339&lt;&gt;"",$X339,IFERROR(INDEX('Formation Initiale'!$B$2:$B$999,MATCH($A339,'Formation Initiale'!$A$2:$A$999,0)),"Général")))</f>
        <v/>
      </c>
    </row>
    <row r="340" customFormat="false" ht="15" hidden="true" customHeight="true" outlineLevel="0" collapsed="false">
      <c r="A340" s="142" t="str">
        <f aca="false">IF(B340="","","TR"&amp;TEXT(ROW()-1,"000"))</f>
        <v/>
      </c>
      <c r="E340" s="130" t="str">
        <f aca="false">IF($O340="✓","✓",IF(ISNUMBER($O340),TEXT($O340,"yyyy-mm-dd"),IF($A340="","",IF(SUMPRODUCT(('Formation Initiale'!$A$2:$A$999=$A340)*('Formation Initiale'!$R$2:$R$999="Terminé"))&gt;0,"✓",IF(SUMPRODUCT(MAX(('Formation Initiale'!$A$2:$A$999=$A340)*'Formation Initiale'!$G$2:$G$999))&gt;0,TEXT(SUMPRODUCT(MAX(('Formation Initiale'!$A$2:$A$999=$A340)*'Formation Initiale'!$G$2:$G$999)),"yyyy-mm-dd"),"")))))</f>
        <v/>
      </c>
      <c r="F340" s="131" t="str">
        <f aca="false">IF($P340="✓","✓",IF(ISNUMBER($P340),TEXT($P340,"yyyy-mm-dd"),IF($A340="","",IF($D340="Lisbonne","",IF(SUMPRODUCT(('Formation Initiale'!$A$2:$A$999=$A340)*('Formation Initiale'!$R$2:$R$999="Terminé"))&gt;0,"✓",IF(SUMPRODUCT(MAX(('Formation Initiale'!$A$2:$A$999=$A340)*'Formation Initiale'!$G$2:$G$999))&gt;0,TEXT(SUMPRODUCT(MAX(('Formation Initiale'!$A$2:$A$999=$A340)*'Formation Initiale'!$G$2:$G$999)),"yyyy-mm-dd"),""))))))</f>
        <v/>
      </c>
      <c r="G340" s="131" t="str">
        <f aca="false">IF($Q340="✓","✓",IF(ISNUMBER($Q340),TEXT($Q340,"yyyy-mm-dd"),IF($A340="","",IF(SUMPRODUCT(('Agences &amp; Après-vente'!$A$2:$A$1000=$A340)*(('Agences &amp; Après-vente'!$D$2:$D$1000="Agences")+('Agences &amp; Après-vente'!$D$2:$D$1000="Agences et Après-vente"))*('Agences &amp; Après-vente'!$I$2:$I$1000="DONE"))&gt;0,"✓",IF(SUMPRODUCT(MAX(('Agences &amp; Après-vente'!$A$2:$A$1000=$A340)*(('Agences &amp; Après-vente'!$D$2:$D$1000="Agences")+('Agences &amp; Après-vente'!$D$2:$D$1000="Agences et Après-vente"))*'Agences &amp; Après-vente'!$E$2:$E$1000))&gt;0,TEXT(SUMPRODUCT(MAX(('Agences &amp; Après-vente'!$A$2:$A$1000=$A340)*(('Agences &amp; Après-vente'!$D$2:$D$1000="Agences")+('Agences &amp; Après-vente'!$D$2:$D$1000="Agences et Après-vente"))*'Agences &amp; Après-vente'!$E$2:$E$1000)),"yyyy-mm-dd"),"")))))</f>
        <v/>
      </c>
      <c r="H340" s="131" t="str">
        <f aca="false">IF($R340="✓","✓",IF(ISNUMBER($R340),TEXT($R340,"yyyy-mm-dd"),IF($A340="","",IF($D340="Lisbonne","",IF(SUMPRODUCT(('Agences &amp; Après-vente'!$A$2:$A$1000=$A340)*(('Agences &amp; Après-vente'!$D$2:$D$1000="Agences")+('Agences &amp; Après-vente'!$D$2:$D$1000="Agences et Après-vente"))*('Agences &amp; Après-vente'!$I$2:$I$1000="DONE"))&gt;0,"✓",IF(SUMPRODUCT(MAX(('Agences &amp; Après-vente'!$A$2:$A$1000=$A340)*(('Agences &amp; Après-vente'!$D$2:$D$1000="Agences")+('Agences &amp; Après-vente'!$D$2:$D$1000="Agences et Après-vente"))*'Agences &amp; Après-vente'!$E$2:$E$1000))&gt;0,TEXT(SUMPRODUCT(MAX(('Agences &amp; Après-vente'!$A$2:$A$1000=$A340)*(('Agences &amp; Après-vente'!$D$2:$D$1000="Agences")+('Agences &amp; Après-vente'!$D$2:$D$1000="Agences et Après-vente"))*'Agences &amp; Après-vente'!$E$2:$E$1000)),"yyyy-mm-dd"),""))))))</f>
        <v/>
      </c>
      <c r="I340" s="131" t="str">
        <f aca="false">IF($S340="✓","✓",IF(ISNUMBER($S340),TEXT($S340,"yyyy-mm-dd"),IF($A340="","",IF(SUMPRODUCT(('Agences &amp; Après-vente'!$A$2:$A$1000=$A340)*(('Agences &amp; Après-vente'!$D$2:$D$1000="Après-vente")+('Agences &amp; Après-vente'!$D$2:$D$1000="Agences et Après-vente"))*('Agences &amp; Après-vente'!$I$2:$I$1000="DONE"))&gt;0,"✓",IF(SUMPRODUCT(MAX(('Agences &amp; Après-vente'!$A$2:$A$1000=$A340)*(('Agences &amp; Après-vente'!$D$2:$D$1000="Après-vente")+('Agences &amp; Après-vente'!$D$2:$D$1000="Agences et Après-vente"))*'Agences &amp; Après-vente'!$E$2:$E$1000))&gt;0,TEXT(SUMPRODUCT(MAX(('Agences &amp; Après-vente'!$A$2:$A$1000=$A340)*(('Agences &amp; Après-vente'!$D$2:$D$1000="Après-vente")+('Agences &amp; Après-vente'!$D$2:$D$1000="Agences et Après-vente"))*'Agences &amp; Après-vente'!$E$2:$E$1000)),"yyyy-mm-dd"),"")))))</f>
        <v/>
      </c>
      <c r="J340" s="131" t="str">
        <f aca="false">IF($T340="✓","✓",IF(ISNUMBER($T340),TEXT($T340,"yyyy-mm-dd"),IF($A340="","",IF($D340="Lisbonne","",IF(SUMPRODUCT(('Agences &amp; Après-vente'!$A$2:$A$1000=$A340)*(('Agences &amp; Après-vente'!$D$2:$D$1000="Après-vente")+('Agences &amp; Après-vente'!$D$2:$D$1000="Agences et Après-vente"))*('Agences &amp; Après-vente'!$I$2:$I$1000="DONE"))&gt;0,"✓",IF(SUMPRODUCT(MAX(('Agences &amp; Après-vente'!$A$2:$A$1000=$A340)*(('Agences &amp; Après-vente'!$D$2:$D$1000="Après-vente")+('Agences &amp; Après-vente'!$D$2:$D$1000="Agences et Après-vente"))*'Agences &amp; Après-vente'!$E$2:$E$1000))&gt;0,TEXT(SUMPRODUCT(MAX(('Agences &amp; Après-vente'!$A$2:$A$1000=$A340)*(('Agences &amp; Après-vente'!$D$2:$D$1000="Après-vente")+('Agences &amp; Après-vente'!$D$2:$D$1000="Agences et Après-vente"))*'Agences &amp; Après-vente'!$E$2:$E$1000)),"yyyy-mm-dd"),""))))))</f>
        <v/>
      </c>
      <c r="K340" s="131" t="str">
        <f aca="false">IF($U340="✓","✓",IF(ISNUMBER($U340),TEXT($U340,"yyyy-mm-dd"),IF($D340="Lisbonne","",IF($A340="","",IF(SUMPRODUCT((Evermont!$A$2:$A$1000=$A340)*(Evermont!$Q$2:$Q$1000="Terminé"))&gt;0,"✓",IF(SUMPRODUCT(MAX((Evermont!$A$2:$A$1000=$A340)*Evermont!$F$2:$F$1000))&gt;0,TEXT(SUMPRODUCT(MAX((Evermont!$A$2:$A$1000=$A340)*Evermont!$F$2:$F$1000)),"yyyy-mm-dd"),""))))))</f>
        <v/>
      </c>
      <c r="L340" s="131" t="str">
        <f aca="false">IF($A340="","",COUNTIF(E340:K340,"✓"))</f>
        <v/>
      </c>
      <c r="M340" s="131" t="str">
        <f aca="false">IF(B340="","","Active")</f>
        <v/>
      </c>
      <c r="W340" s="120" t="str">
        <f aca="false">IF($A340="","",IF($X340&lt;&gt;"",$X340,IFERROR(INDEX('Formation Initiale'!$B$2:$B$999,MATCH($A340,'Formation Initiale'!$A$2:$A$999,0)),"Général")))</f>
        <v/>
      </c>
    </row>
    <row r="341" customFormat="false" ht="15" hidden="true" customHeight="true" outlineLevel="0" collapsed="false">
      <c r="A341" s="142" t="str">
        <f aca="false">IF(B341="","","TR"&amp;TEXT(ROW()-1,"000"))</f>
        <v/>
      </c>
      <c r="E341" s="130" t="str">
        <f aca="false">IF($O341="✓","✓",IF(ISNUMBER($O341),TEXT($O341,"yyyy-mm-dd"),IF($A341="","",IF(SUMPRODUCT(('Formation Initiale'!$A$2:$A$999=$A341)*('Formation Initiale'!$R$2:$R$999="Terminé"))&gt;0,"✓",IF(SUMPRODUCT(MAX(('Formation Initiale'!$A$2:$A$999=$A341)*'Formation Initiale'!$G$2:$G$999))&gt;0,TEXT(SUMPRODUCT(MAX(('Formation Initiale'!$A$2:$A$999=$A341)*'Formation Initiale'!$G$2:$G$999)),"yyyy-mm-dd"),"")))))</f>
        <v/>
      </c>
      <c r="F341" s="131" t="str">
        <f aca="false">IF($P341="✓","✓",IF(ISNUMBER($P341),TEXT($P341,"yyyy-mm-dd"),IF($A341="","",IF($D341="Lisbonne","",IF(SUMPRODUCT(('Formation Initiale'!$A$2:$A$999=$A341)*('Formation Initiale'!$R$2:$R$999="Terminé"))&gt;0,"✓",IF(SUMPRODUCT(MAX(('Formation Initiale'!$A$2:$A$999=$A341)*'Formation Initiale'!$G$2:$G$999))&gt;0,TEXT(SUMPRODUCT(MAX(('Formation Initiale'!$A$2:$A$999=$A341)*'Formation Initiale'!$G$2:$G$999)),"yyyy-mm-dd"),""))))))</f>
        <v/>
      </c>
      <c r="G341" s="131" t="str">
        <f aca="false">IF($Q341="✓","✓",IF(ISNUMBER($Q341),TEXT($Q341,"yyyy-mm-dd"),IF($A341="","",IF(SUMPRODUCT(('Agences &amp; Après-vente'!$A$2:$A$1000=$A341)*(('Agences &amp; Après-vente'!$D$2:$D$1000="Agences")+('Agences &amp; Après-vente'!$D$2:$D$1000="Agences et Après-vente"))*('Agences &amp; Après-vente'!$I$2:$I$1000="DONE"))&gt;0,"✓",IF(SUMPRODUCT(MAX(('Agences &amp; Après-vente'!$A$2:$A$1000=$A341)*(('Agences &amp; Après-vente'!$D$2:$D$1000="Agences")+('Agences &amp; Après-vente'!$D$2:$D$1000="Agences et Après-vente"))*'Agences &amp; Après-vente'!$E$2:$E$1000))&gt;0,TEXT(SUMPRODUCT(MAX(('Agences &amp; Après-vente'!$A$2:$A$1000=$A341)*(('Agences &amp; Après-vente'!$D$2:$D$1000="Agences")+('Agences &amp; Après-vente'!$D$2:$D$1000="Agences et Après-vente"))*'Agences &amp; Après-vente'!$E$2:$E$1000)),"yyyy-mm-dd"),"")))))</f>
        <v/>
      </c>
      <c r="H341" s="131" t="str">
        <f aca="false">IF($R341="✓","✓",IF(ISNUMBER($R341),TEXT($R341,"yyyy-mm-dd"),IF($A341="","",IF($D341="Lisbonne","",IF(SUMPRODUCT(('Agences &amp; Après-vente'!$A$2:$A$1000=$A341)*(('Agences &amp; Après-vente'!$D$2:$D$1000="Agences")+('Agences &amp; Après-vente'!$D$2:$D$1000="Agences et Après-vente"))*('Agences &amp; Après-vente'!$I$2:$I$1000="DONE"))&gt;0,"✓",IF(SUMPRODUCT(MAX(('Agences &amp; Après-vente'!$A$2:$A$1000=$A341)*(('Agences &amp; Après-vente'!$D$2:$D$1000="Agences")+('Agences &amp; Après-vente'!$D$2:$D$1000="Agences et Après-vente"))*'Agences &amp; Après-vente'!$E$2:$E$1000))&gt;0,TEXT(SUMPRODUCT(MAX(('Agences &amp; Après-vente'!$A$2:$A$1000=$A341)*(('Agences &amp; Après-vente'!$D$2:$D$1000="Agences")+('Agences &amp; Après-vente'!$D$2:$D$1000="Agences et Après-vente"))*'Agences &amp; Après-vente'!$E$2:$E$1000)),"yyyy-mm-dd"),""))))))</f>
        <v/>
      </c>
      <c r="I341" s="131" t="str">
        <f aca="false">IF($S341="✓","✓",IF(ISNUMBER($S341),TEXT($S341,"yyyy-mm-dd"),IF($A341="","",IF(SUMPRODUCT(('Agences &amp; Après-vente'!$A$2:$A$1000=$A341)*(('Agences &amp; Après-vente'!$D$2:$D$1000="Après-vente")+('Agences &amp; Après-vente'!$D$2:$D$1000="Agences et Après-vente"))*('Agences &amp; Après-vente'!$I$2:$I$1000="DONE"))&gt;0,"✓",IF(SUMPRODUCT(MAX(('Agences &amp; Après-vente'!$A$2:$A$1000=$A341)*(('Agences &amp; Après-vente'!$D$2:$D$1000="Après-vente")+('Agences &amp; Après-vente'!$D$2:$D$1000="Agences et Après-vente"))*'Agences &amp; Après-vente'!$E$2:$E$1000))&gt;0,TEXT(SUMPRODUCT(MAX(('Agences &amp; Après-vente'!$A$2:$A$1000=$A341)*(('Agences &amp; Après-vente'!$D$2:$D$1000="Après-vente")+('Agences &amp; Après-vente'!$D$2:$D$1000="Agences et Après-vente"))*'Agences &amp; Après-vente'!$E$2:$E$1000)),"yyyy-mm-dd"),"")))))</f>
        <v/>
      </c>
      <c r="J341" s="131" t="str">
        <f aca="false">IF($T341="✓","✓",IF(ISNUMBER($T341),TEXT($T341,"yyyy-mm-dd"),IF($A341="","",IF($D341="Lisbonne","",IF(SUMPRODUCT(('Agences &amp; Après-vente'!$A$2:$A$1000=$A341)*(('Agences &amp; Après-vente'!$D$2:$D$1000="Après-vente")+('Agences &amp; Après-vente'!$D$2:$D$1000="Agences et Après-vente"))*('Agences &amp; Après-vente'!$I$2:$I$1000="DONE"))&gt;0,"✓",IF(SUMPRODUCT(MAX(('Agences &amp; Après-vente'!$A$2:$A$1000=$A341)*(('Agences &amp; Après-vente'!$D$2:$D$1000="Après-vente")+('Agences &amp; Après-vente'!$D$2:$D$1000="Agences et Après-vente"))*'Agences &amp; Après-vente'!$E$2:$E$1000))&gt;0,TEXT(SUMPRODUCT(MAX(('Agences &amp; Après-vente'!$A$2:$A$1000=$A341)*(('Agences &amp; Après-vente'!$D$2:$D$1000="Après-vente")+('Agences &amp; Après-vente'!$D$2:$D$1000="Agences et Après-vente"))*'Agences &amp; Après-vente'!$E$2:$E$1000)),"yyyy-mm-dd"),""))))))</f>
        <v/>
      </c>
      <c r="K341" s="131" t="str">
        <f aca="false">IF($U341="✓","✓",IF(ISNUMBER($U341),TEXT($U341,"yyyy-mm-dd"),IF($D341="Lisbonne","",IF($A341="","",IF(SUMPRODUCT((Evermont!$A$2:$A$1000=$A341)*(Evermont!$Q$2:$Q$1000="Terminé"))&gt;0,"✓",IF(SUMPRODUCT(MAX((Evermont!$A$2:$A$1000=$A341)*Evermont!$F$2:$F$1000))&gt;0,TEXT(SUMPRODUCT(MAX((Evermont!$A$2:$A$1000=$A341)*Evermont!$F$2:$F$1000)),"yyyy-mm-dd"),""))))))</f>
        <v/>
      </c>
      <c r="L341" s="131" t="str">
        <f aca="false">IF($A341="","",COUNTIF(E341:K341,"✓"))</f>
        <v/>
      </c>
      <c r="M341" s="131" t="str">
        <f aca="false">IF(B341="","","Active")</f>
        <v/>
      </c>
      <c r="W341" s="120" t="str">
        <f aca="false">IF($A341="","",IF($X341&lt;&gt;"",$X341,IFERROR(INDEX('Formation Initiale'!$B$2:$B$999,MATCH($A341,'Formation Initiale'!$A$2:$A$999,0)),"Général")))</f>
        <v/>
      </c>
    </row>
    <row r="342" customFormat="false" ht="15" hidden="true" customHeight="true" outlineLevel="0" collapsed="false">
      <c r="A342" s="142" t="str">
        <f aca="false">IF(B342="","","TR"&amp;TEXT(ROW()-1,"000"))</f>
        <v/>
      </c>
      <c r="E342" s="130" t="str">
        <f aca="false">IF($O342="✓","✓",IF(ISNUMBER($O342),TEXT($O342,"yyyy-mm-dd"),IF($A342="","",IF(SUMPRODUCT(('Formation Initiale'!$A$2:$A$999=$A342)*('Formation Initiale'!$R$2:$R$999="Terminé"))&gt;0,"✓",IF(SUMPRODUCT(MAX(('Formation Initiale'!$A$2:$A$999=$A342)*'Formation Initiale'!$G$2:$G$999))&gt;0,TEXT(SUMPRODUCT(MAX(('Formation Initiale'!$A$2:$A$999=$A342)*'Formation Initiale'!$G$2:$G$999)),"yyyy-mm-dd"),"")))))</f>
        <v/>
      </c>
      <c r="F342" s="131" t="str">
        <f aca="false">IF($P342="✓","✓",IF(ISNUMBER($P342),TEXT($P342,"yyyy-mm-dd"),IF($A342="","",IF($D342="Lisbonne","",IF(SUMPRODUCT(('Formation Initiale'!$A$2:$A$999=$A342)*('Formation Initiale'!$R$2:$R$999="Terminé"))&gt;0,"✓",IF(SUMPRODUCT(MAX(('Formation Initiale'!$A$2:$A$999=$A342)*'Formation Initiale'!$G$2:$G$999))&gt;0,TEXT(SUMPRODUCT(MAX(('Formation Initiale'!$A$2:$A$999=$A342)*'Formation Initiale'!$G$2:$G$999)),"yyyy-mm-dd"),""))))))</f>
        <v/>
      </c>
      <c r="G342" s="131" t="str">
        <f aca="false">IF($Q342="✓","✓",IF(ISNUMBER($Q342),TEXT($Q342,"yyyy-mm-dd"),IF($A342="","",IF(SUMPRODUCT(('Agences &amp; Après-vente'!$A$2:$A$1000=$A342)*(('Agences &amp; Après-vente'!$D$2:$D$1000="Agences")+('Agences &amp; Après-vente'!$D$2:$D$1000="Agences et Après-vente"))*('Agences &amp; Après-vente'!$I$2:$I$1000="DONE"))&gt;0,"✓",IF(SUMPRODUCT(MAX(('Agences &amp; Après-vente'!$A$2:$A$1000=$A342)*(('Agences &amp; Après-vente'!$D$2:$D$1000="Agences")+('Agences &amp; Après-vente'!$D$2:$D$1000="Agences et Après-vente"))*'Agences &amp; Après-vente'!$E$2:$E$1000))&gt;0,TEXT(SUMPRODUCT(MAX(('Agences &amp; Après-vente'!$A$2:$A$1000=$A342)*(('Agences &amp; Après-vente'!$D$2:$D$1000="Agences")+('Agences &amp; Après-vente'!$D$2:$D$1000="Agences et Après-vente"))*'Agences &amp; Après-vente'!$E$2:$E$1000)),"yyyy-mm-dd"),"")))))</f>
        <v/>
      </c>
      <c r="H342" s="131" t="str">
        <f aca="false">IF($R342="✓","✓",IF(ISNUMBER($R342),TEXT($R342,"yyyy-mm-dd"),IF($A342="","",IF($D342="Lisbonne","",IF(SUMPRODUCT(('Agences &amp; Après-vente'!$A$2:$A$1000=$A342)*(('Agences &amp; Après-vente'!$D$2:$D$1000="Agences")+('Agences &amp; Après-vente'!$D$2:$D$1000="Agences et Après-vente"))*('Agences &amp; Après-vente'!$I$2:$I$1000="DONE"))&gt;0,"✓",IF(SUMPRODUCT(MAX(('Agences &amp; Après-vente'!$A$2:$A$1000=$A342)*(('Agences &amp; Après-vente'!$D$2:$D$1000="Agences")+('Agences &amp; Après-vente'!$D$2:$D$1000="Agences et Après-vente"))*'Agences &amp; Après-vente'!$E$2:$E$1000))&gt;0,TEXT(SUMPRODUCT(MAX(('Agences &amp; Après-vente'!$A$2:$A$1000=$A342)*(('Agences &amp; Après-vente'!$D$2:$D$1000="Agences")+('Agences &amp; Après-vente'!$D$2:$D$1000="Agences et Après-vente"))*'Agences &amp; Après-vente'!$E$2:$E$1000)),"yyyy-mm-dd"),""))))))</f>
        <v/>
      </c>
      <c r="I342" s="131" t="str">
        <f aca="false">IF($S342="✓","✓",IF(ISNUMBER($S342),TEXT($S342,"yyyy-mm-dd"),IF($A342="","",IF(SUMPRODUCT(('Agences &amp; Après-vente'!$A$2:$A$1000=$A342)*(('Agences &amp; Après-vente'!$D$2:$D$1000="Après-vente")+('Agences &amp; Après-vente'!$D$2:$D$1000="Agences et Après-vente"))*('Agences &amp; Après-vente'!$I$2:$I$1000="DONE"))&gt;0,"✓",IF(SUMPRODUCT(MAX(('Agences &amp; Après-vente'!$A$2:$A$1000=$A342)*(('Agences &amp; Après-vente'!$D$2:$D$1000="Après-vente")+('Agences &amp; Après-vente'!$D$2:$D$1000="Agences et Après-vente"))*'Agences &amp; Après-vente'!$E$2:$E$1000))&gt;0,TEXT(SUMPRODUCT(MAX(('Agences &amp; Après-vente'!$A$2:$A$1000=$A342)*(('Agences &amp; Après-vente'!$D$2:$D$1000="Après-vente")+('Agences &amp; Après-vente'!$D$2:$D$1000="Agences et Après-vente"))*'Agences &amp; Après-vente'!$E$2:$E$1000)),"yyyy-mm-dd"),"")))))</f>
        <v/>
      </c>
      <c r="J342" s="131" t="str">
        <f aca="false">IF($T342="✓","✓",IF(ISNUMBER($T342),TEXT($T342,"yyyy-mm-dd"),IF($A342="","",IF($D342="Lisbonne","",IF(SUMPRODUCT(('Agences &amp; Après-vente'!$A$2:$A$1000=$A342)*(('Agences &amp; Après-vente'!$D$2:$D$1000="Après-vente")+('Agences &amp; Après-vente'!$D$2:$D$1000="Agences et Après-vente"))*('Agences &amp; Après-vente'!$I$2:$I$1000="DONE"))&gt;0,"✓",IF(SUMPRODUCT(MAX(('Agences &amp; Après-vente'!$A$2:$A$1000=$A342)*(('Agences &amp; Après-vente'!$D$2:$D$1000="Après-vente")+('Agences &amp; Après-vente'!$D$2:$D$1000="Agences et Après-vente"))*'Agences &amp; Après-vente'!$E$2:$E$1000))&gt;0,TEXT(SUMPRODUCT(MAX(('Agences &amp; Après-vente'!$A$2:$A$1000=$A342)*(('Agences &amp; Après-vente'!$D$2:$D$1000="Après-vente")+('Agences &amp; Après-vente'!$D$2:$D$1000="Agences et Après-vente"))*'Agences &amp; Après-vente'!$E$2:$E$1000)),"yyyy-mm-dd"),""))))))</f>
        <v/>
      </c>
      <c r="K342" s="131" t="str">
        <f aca="false">IF($U342="✓","✓",IF(ISNUMBER($U342),TEXT($U342,"yyyy-mm-dd"),IF($D342="Lisbonne","",IF($A342="","",IF(SUMPRODUCT((Evermont!$A$2:$A$1000=$A342)*(Evermont!$Q$2:$Q$1000="Terminé"))&gt;0,"✓",IF(SUMPRODUCT(MAX((Evermont!$A$2:$A$1000=$A342)*Evermont!$F$2:$F$1000))&gt;0,TEXT(SUMPRODUCT(MAX((Evermont!$A$2:$A$1000=$A342)*Evermont!$F$2:$F$1000)),"yyyy-mm-dd"),""))))))</f>
        <v/>
      </c>
      <c r="L342" s="131" t="str">
        <f aca="false">IF($A342="","",COUNTIF(E342:K342,"✓"))</f>
        <v/>
      </c>
      <c r="M342" s="131" t="str">
        <f aca="false">IF(B342="","","Active")</f>
        <v/>
      </c>
      <c r="W342" s="120" t="str">
        <f aca="false">IF($A342="","",IF($X342&lt;&gt;"",$X342,IFERROR(INDEX('Formation Initiale'!$B$2:$B$999,MATCH($A342,'Formation Initiale'!$A$2:$A$999,0)),"Général")))</f>
        <v/>
      </c>
    </row>
    <row r="343" customFormat="false" ht="15" hidden="true" customHeight="true" outlineLevel="0" collapsed="false">
      <c r="A343" s="142" t="str">
        <f aca="false">IF(B343="","","TR"&amp;TEXT(ROW()-1,"000"))</f>
        <v/>
      </c>
      <c r="E343" s="130" t="str">
        <f aca="false">IF($O343="✓","✓",IF(ISNUMBER($O343),TEXT($O343,"yyyy-mm-dd"),IF($A343="","",IF(SUMPRODUCT(('Formation Initiale'!$A$2:$A$999=$A343)*('Formation Initiale'!$R$2:$R$999="Terminé"))&gt;0,"✓",IF(SUMPRODUCT(MAX(('Formation Initiale'!$A$2:$A$999=$A343)*'Formation Initiale'!$G$2:$G$999))&gt;0,TEXT(SUMPRODUCT(MAX(('Formation Initiale'!$A$2:$A$999=$A343)*'Formation Initiale'!$G$2:$G$999)),"yyyy-mm-dd"),"")))))</f>
        <v/>
      </c>
      <c r="F343" s="131" t="str">
        <f aca="false">IF($P343="✓","✓",IF(ISNUMBER($P343),TEXT($P343,"yyyy-mm-dd"),IF($A343="","",IF($D343="Lisbonne","",IF(SUMPRODUCT(('Formation Initiale'!$A$2:$A$999=$A343)*('Formation Initiale'!$R$2:$R$999="Terminé"))&gt;0,"✓",IF(SUMPRODUCT(MAX(('Formation Initiale'!$A$2:$A$999=$A343)*'Formation Initiale'!$G$2:$G$999))&gt;0,TEXT(SUMPRODUCT(MAX(('Formation Initiale'!$A$2:$A$999=$A343)*'Formation Initiale'!$G$2:$G$999)),"yyyy-mm-dd"),""))))))</f>
        <v/>
      </c>
      <c r="G343" s="131" t="str">
        <f aca="false">IF($Q343="✓","✓",IF(ISNUMBER($Q343),TEXT($Q343,"yyyy-mm-dd"),IF($A343="","",IF(SUMPRODUCT(('Agences &amp; Après-vente'!$A$2:$A$1000=$A343)*(('Agences &amp; Après-vente'!$D$2:$D$1000="Agences")+('Agences &amp; Après-vente'!$D$2:$D$1000="Agences et Après-vente"))*('Agences &amp; Après-vente'!$I$2:$I$1000="DONE"))&gt;0,"✓",IF(SUMPRODUCT(MAX(('Agences &amp; Après-vente'!$A$2:$A$1000=$A343)*(('Agences &amp; Après-vente'!$D$2:$D$1000="Agences")+('Agences &amp; Après-vente'!$D$2:$D$1000="Agences et Après-vente"))*'Agences &amp; Après-vente'!$E$2:$E$1000))&gt;0,TEXT(SUMPRODUCT(MAX(('Agences &amp; Après-vente'!$A$2:$A$1000=$A343)*(('Agences &amp; Après-vente'!$D$2:$D$1000="Agences")+('Agences &amp; Après-vente'!$D$2:$D$1000="Agences et Après-vente"))*'Agences &amp; Après-vente'!$E$2:$E$1000)),"yyyy-mm-dd"),"")))))</f>
        <v/>
      </c>
      <c r="H343" s="131" t="str">
        <f aca="false">IF($R343="✓","✓",IF(ISNUMBER($R343),TEXT($R343,"yyyy-mm-dd"),IF($A343="","",IF($D343="Lisbonne","",IF(SUMPRODUCT(('Agences &amp; Après-vente'!$A$2:$A$1000=$A343)*(('Agences &amp; Après-vente'!$D$2:$D$1000="Agences")+('Agences &amp; Après-vente'!$D$2:$D$1000="Agences et Après-vente"))*('Agences &amp; Après-vente'!$I$2:$I$1000="DONE"))&gt;0,"✓",IF(SUMPRODUCT(MAX(('Agences &amp; Après-vente'!$A$2:$A$1000=$A343)*(('Agences &amp; Après-vente'!$D$2:$D$1000="Agences")+('Agences &amp; Après-vente'!$D$2:$D$1000="Agences et Après-vente"))*'Agences &amp; Après-vente'!$E$2:$E$1000))&gt;0,TEXT(SUMPRODUCT(MAX(('Agences &amp; Après-vente'!$A$2:$A$1000=$A343)*(('Agences &amp; Après-vente'!$D$2:$D$1000="Agences")+('Agences &amp; Après-vente'!$D$2:$D$1000="Agences et Après-vente"))*'Agences &amp; Après-vente'!$E$2:$E$1000)),"yyyy-mm-dd"),""))))))</f>
        <v/>
      </c>
      <c r="I343" s="131" t="str">
        <f aca="false">IF($S343="✓","✓",IF(ISNUMBER($S343),TEXT($S343,"yyyy-mm-dd"),IF($A343="","",IF(SUMPRODUCT(('Agences &amp; Après-vente'!$A$2:$A$1000=$A343)*(('Agences &amp; Après-vente'!$D$2:$D$1000="Après-vente")+('Agences &amp; Après-vente'!$D$2:$D$1000="Agences et Après-vente"))*('Agences &amp; Après-vente'!$I$2:$I$1000="DONE"))&gt;0,"✓",IF(SUMPRODUCT(MAX(('Agences &amp; Après-vente'!$A$2:$A$1000=$A343)*(('Agences &amp; Après-vente'!$D$2:$D$1000="Après-vente")+('Agences &amp; Après-vente'!$D$2:$D$1000="Agences et Après-vente"))*'Agences &amp; Après-vente'!$E$2:$E$1000))&gt;0,TEXT(SUMPRODUCT(MAX(('Agences &amp; Après-vente'!$A$2:$A$1000=$A343)*(('Agences &amp; Après-vente'!$D$2:$D$1000="Après-vente")+('Agences &amp; Après-vente'!$D$2:$D$1000="Agences et Après-vente"))*'Agences &amp; Après-vente'!$E$2:$E$1000)),"yyyy-mm-dd"),"")))))</f>
        <v/>
      </c>
      <c r="J343" s="131" t="str">
        <f aca="false">IF($T343="✓","✓",IF(ISNUMBER($T343),TEXT($T343,"yyyy-mm-dd"),IF($A343="","",IF($D343="Lisbonne","",IF(SUMPRODUCT(('Agences &amp; Après-vente'!$A$2:$A$1000=$A343)*(('Agences &amp; Après-vente'!$D$2:$D$1000="Après-vente")+('Agences &amp; Après-vente'!$D$2:$D$1000="Agences et Après-vente"))*('Agences &amp; Après-vente'!$I$2:$I$1000="DONE"))&gt;0,"✓",IF(SUMPRODUCT(MAX(('Agences &amp; Après-vente'!$A$2:$A$1000=$A343)*(('Agences &amp; Après-vente'!$D$2:$D$1000="Après-vente")+('Agences &amp; Après-vente'!$D$2:$D$1000="Agences et Après-vente"))*'Agences &amp; Après-vente'!$E$2:$E$1000))&gt;0,TEXT(SUMPRODUCT(MAX(('Agences &amp; Après-vente'!$A$2:$A$1000=$A343)*(('Agences &amp; Après-vente'!$D$2:$D$1000="Après-vente")+('Agences &amp; Après-vente'!$D$2:$D$1000="Agences et Après-vente"))*'Agences &amp; Après-vente'!$E$2:$E$1000)),"yyyy-mm-dd"),""))))))</f>
        <v/>
      </c>
      <c r="K343" s="131" t="str">
        <f aca="false">IF($U343="✓","✓",IF(ISNUMBER($U343),TEXT($U343,"yyyy-mm-dd"),IF($D343="Lisbonne","",IF($A343="","",IF(SUMPRODUCT((Evermont!$A$2:$A$1000=$A343)*(Evermont!$Q$2:$Q$1000="Terminé"))&gt;0,"✓",IF(SUMPRODUCT(MAX((Evermont!$A$2:$A$1000=$A343)*Evermont!$F$2:$F$1000))&gt;0,TEXT(SUMPRODUCT(MAX((Evermont!$A$2:$A$1000=$A343)*Evermont!$F$2:$F$1000)),"yyyy-mm-dd"),""))))))</f>
        <v/>
      </c>
      <c r="L343" s="131" t="str">
        <f aca="false">IF($A343="","",COUNTIF(E343:K343,"✓"))</f>
        <v/>
      </c>
      <c r="M343" s="131" t="str">
        <f aca="false">IF(B343="","","Active")</f>
        <v/>
      </c>
      <c r="W343" s="120" t="str">
        <f aca="false">IF($A343="","",IF($X343&lt;&gt;"",$X343,IFERROR(INDEX('Formation Initiale'!$B$2:$B$999,MATCH($A343,'Formation Initiale'!$A$2:$A$999,0)),"Général")))</f>
        <v/>
      </c>
    </row>
    <row r="344" customFormat="false" ht="15" hidden="true" customHeight="true" outlineLevel="0" collapsed="false">
      <c r="A344" s="142" t="str">
        <f aca="false">IF(B344="","","TR"&amp;TEXT(ROW()-1,"000"))</f>
        <v/>
      </c>
      <c r="E344" s="130" t="str">
        <f aca="false">IF($O344="✓","✓",IF(ISNUMBER($O344),TEXT($O344,"yyyy-mm-dd"),IF($A344="","",IF(SUMPRODUCT(('Formation Initiale'!$A$2:$A$999=$A344)*('Formation Initiale'!$R$2:$R$999="Terminé"))&gt;0,"✓",IF(SUMPRODUCT(MAX(('Formation Initiale'!$A$2:$A$999=$A344)*'Formation Initiale'!$G$2:$G$999))&gt;0,TEXT(SUMPRODUCT(MAX(('Formation Initiale'!$A$2:$A$999=$A344)*'Formation Initiale'!$G$2:$G$999)),"yyyy-mm-dd"),"")))))</f>
        <v/>
      </c>
      <c r="F344" s="131" t="str">
        <f aca="false">IF($P344="✓","✓",IF(ISNUMBER($P344),TEXT($P344,"yyyy-mm-dd"),IF($A344="","",IF($D344="Lisbonne","",IF(SUMPRODUCT(('Formation Initiale'!$A$2:$A$999=$A344)*('Formation Initiale'!$R$2:$R$999="Terminé"))&gt;0,"✓",IF(SUMPRODUCT(MAX(('Formation Initiale'!$A$2:$A$999=$A344)*'Formation Initiale'!$G$2:$G$999))&gt;0,TEXT(SUMPRODUCT(MAX(('Formation Initiale'!$A$2:$A$999=$A344)*'Formation Initiale'!$G$2:$G$999)),"yyyy-mm-dd"),""))))))</f>
        <v/>
      </c>
      <c r="G344" s="131" t="str">
        <f aca="false">IF($Q344="✓","✓",IF(ISNUMBER($Q344),TEXT($Q344,"yyyy-mm-dd"),IF($A344="","",IF(SUMPRODUCT(('Agences &amp; Après-vente'!$A$2:$A$1000=$A344)*(('Agences &amp; Après-vente'!$D$2:$D$1000="Agences")+('Agences &amp; Après-vente'!$D$2:$D$1000="Agences et Après-vente"))*('Agences &amp; Après-vente'!$I$2:$I$1000="DONE"))&gt;0,"✓",IF(SUMPRODUCT(MAX(('Agences &amp; Après-vente'!$A$2:$A$1000=$A344)*(('Agences &amp; Après-vente'!$D$2:$D$1000="Agences")+('Agences &amp; Après-vente'!$D$2:$D$1000="Agences et Après-vente"))*'Agences &amp; Après-vente'!$E$2:$E$1000))&gt;0,TEXT(SUMPRODUCT(MAX(('Agences &amp; Après-vente'!$A$2:$A$1000=$A344)*(('Agences &amp; Après-vente'!$D$2:$D$1000="Agences")+('Agences &amp; Après-vente'!$D$2:$D$1000="Agences et Après-vente"))*'Agences &amp; Après-vente'!$E$2:$E$1000)),"yyyy-mm-dd"),"")))))</f>
        <v/>
      </c>
      <c r="H344" s="131" t="str">
        <f aca="false">IF($R344="✓","✓",IF(ISNUMBER($R344),TEXT($R344,"yyyy-mm-dd"),IF($A344="","",IF($D344="Lisbonne","",IF(SUMPRODUCT(('Agences &amp; Après-vente'!$A$2:$A$1000=$A344)*(('Agences &amp; Après-vente'!$D$2:$D$1000="Agences")+('Agences &amp; Après-vente'!$D$2:$D$1000="Agences et Après-vente"))*('Agences &amp; Après-vente'!$I$2:$I$1000="DONE"))&gt;0,"✓",IF(SUMPRODUCT(MAX(('Agences &amp; Après-vente'!$A$2:$A$1000=$A344)*(('Agences &amp; Après-vente'!$D$2:$D$1000="Agences")+('Agences &amp; Après-vente'!$D$2:$D$1000="Agences et Après-vente"))*'Agences &amp; Après-vente'!$E$2:$E$1000))&gt;0,TEXT(SUMPRODUCT(MAX(('Agences &amp; Après-vente'!$A$2:$A$1000=$A344)*(('Agences &amp; Après-vente'!$D$2:$D$1000="Agences")+('Agences &amp; Après-vente'!$D$2:$D$1000="Agences et Après-vente"))*'Agences &amp; Après-vente'!$E$2:$E$1000)),"yyyy-mm-dd"),""))))))</f>
        <v/>
      </c>
      <c r="I344" s="131" t="str">
        <f aca="false">IF($S344="✓","✓",IF(ISNUMBER($S344),TEXT($S344,"yyyy-mm-dd"),IF($A344="","",IF(SUMPRODUCT(('Agences &amp; Après-vente'!$A$2:$A$1000=$A344)*(('Agences &amp; Après-vente'!$D$2:$D$1000="Après-vente")+('Agences &amp; Après-vente'!$D$2:$D$1000="Agences et Après-vente"))*('Agences &amp; Après-vente'!$I$2:$I$1000="DONE"))&gt;0,"✓",IF(SUMPRODUCT(MAX(('Agences &amp; Après-vente'!$A$2:$A$1000=$A344)*(('Agences &amp; Après-vente'!$D$2:$D$1000="Après-vente")+('Agences &amp; Après-vente'!$D$2:$D$1000="Agences et Après-vente"))*'Agences &amp; Après-vente'!$E$2:$E$1000))&gt;0,TEXT(SUMPRODUCT(MAX(('Agences &amp; Après-vente'!$A$2:$A$1000=$A344)*(('Agences &amp; Après-vente'!$D$2:$D$1000="Après-vente")+('Agences &amp; Après-vente'!$D$2:$D$1000="Agences et Après-vente"))*'Agences &amp; Après-vente'!$E$2:$E$1000)),"yyyy-mm-dd"),"")))))</f>
        <v/>
      </c>
      <c r="J344" s="131" t="str">
        <f aca="false">IF($T344="✓","✓",IF(ISNUMBER($T344),TEXT($T344,"yyyy-mm-dd"),IF($A344="","",IF($D344="Lisbonne","",IF(SUMPRODUCT(('Agences &amp; Après-vente'!$A$2:$A$1000=$A344)*(('Agences &amp; Après-vente'!$D$2:$D$1000="Après-vente")+('Agences &amp; Après-vente'!$D$2:$D$1000="Agences et Après-vente"))*('Agences &amp; Après-vente'!$I$2:$I$1000="DONE"))&gt;0,"✓",IF(SUMPRODUCT(MAX(('Agences &amp; Après-vente'!$A$2:$A$1000=$A344)*(('Agences &amp; Après-vente'!$D$2:$D$1000="Après-vente")+('Agences &amp; Après-vente'!$D$2:$D$1000="Agences et Après-vente"))*'Agences &amp; Après-vente'!$E$2:$E$1000))&gt;0,TEXT(SUMPRODUCT(MAX(('Agences &amp; Après-vente'!$A$2:$A$1000=$A344)*(('Agences &amp; Après-vente'!$D$2:$D$1000="Après-vente")+('Agences &amp; Après-vente'!$D$2:$D$1000="Agences et Après-vente"))*'Agences &amp; Après-vente'!$E$2:$E$1000)),"yyyy-mm-dd"),""))))))</f>
        <v/>
      </c>
      <c r="K344" s="131" t="str">
        <f aca="false">IF($U344="✓","✓",IF(ISNUMBER($U344),TEXT($U344,"yyyy-mm-dd"),IF($D344="Lisbonne","",IF($A344="","",IF(SUMPRODUCT((Evermont!$A$2:$A$1000=$A344)*(Evermont!$Q$2:$Q$1000="Terminé"))&gt;0,"✓",IF(SUMPRODUCT(MAX((Evermont!$A$2:$A$1000=$A344)*Evermont!$F$2:$F$1000))&gt;0,TEXT(SUMPRODUCT(MAX((Evermont!$A$2:$A$1000=$A344)*Evermont!$F$2:$F$1000)),"yyyy-mm-dd"),""))))))</f>
        <v/>
      </c>
      <c r="L344" s="131" t="str">
        <f aca="false">IF($A344="","",COUNTIF(E344:K344,"✓"))</f>
        <v/>
      </c>
      <c r="M344" s="131" t="str">
        <f aca="false">IF(B344="","","Active")</f>
        <v/>
      </c>
      <c r="W344" s="120" t="str">
        <f aca="false">IF($A344="","",IF($X344&lt;&gt;"",$X344,IFERROR(INDEX('Formation Initiale'!$B$2:$B$999,MATCH($A344,'Formation Initiale'!$A$2:$A$999,0)),"Général")))</f>
        <v/>
      </c>
    </row>
    <row r="345" customFormat="false" ht="15" hidden="true" customHeight="true" outlineLevel="0" collapsed="false">
      <c r="A345" s="142" t="str">
        <f aca="false">IF(B345="","","TR"&amp;TEXT(ROW()-1,"000"))</f>
        <v/>
      </c>
      <c r="E345" s="130" t="str">
        <f aca="false">IF($O345="✓","✓",IF(ISNUMBER($O345),TEXT($O345,"yyyy-mm-dd"),IF($A345="","",IF(SUMPRODUCT(('Formation Initiale'!$A$2:$A$999=$A345)*('Formation Initiale'!$R$2:$R$999="Terminé"))&gt;0,"✓",IF(SUMPRODUCT(MAX(('Formation Initiale'!$A$2:$A$999=$A345)*'Formation Initiale'!$G$2:$G$999))&gt;0,TEXT(SUMPRODUCT(MAX(('Formation Initiale'!$A$2:$A$999=$A345)*'Formation Initiale'!$G$2:$G$999)),"yyyy-mm-dd"),"")))))</f>
        <v/>
      </c>
      <c r="F345" s="131" t="str">
        <f aca="false">IF($P345="✓","✓",IF(ISNUMBER($P345),TEXT($P345,"yyyy-mm-dd"),IF($A345="","",IF($D345="Lisbonne","",IF(SUMPRODUCT(('Formation Initiale'!$A$2:$A$999=$A345)*('Formation Initiale'!$R$2:$R$999="Terminé"))&gt;0,"✓",IF(SUMPRODUCT(MAX(('Formation Initiale'!$A$2:$A$999=$A345)*'Formation Initiale'!$G$2:$G$999))&gt;0,TEXT(SUMPRODUCT(MAX(('Formation Initiale'!$A$2:$A$999=$A345)*'Formation Initiale'!$G$2:$G$999)),"yyyy-mm-dd"),""))))))</f>
        <v/>
      </c>
      <c r="G345" s="131" t="str">
        <f aca="false">IF($Q345="✓","✓",IF(ISNUMBER($Q345),TEXT($Q345,"yyyy-mm-dd"),IF($A345="","",IF(SUMPRODUCT(('Agences &amp; Après-vente'!$A$2:$A$1000=$A345)*(('Agences &amp; Après-vente'!$D$2:$D$1000="Agences")+('Agences &amp; Après-vente'!$D$2:$D$1000="Agences et Après-vente"))*('Agences &amp; Après-vente'!$I$2:$I$1000="DONE"))&gt;0,"✓",IF(SUMPRODUCT(MAX(('Agences &amp; Après-vente'!$A$2:$A$1000=$A345)*(('Agences &amp; Après-vente'!$D$2:$D$1000="Agences")+('Agences &amp; Après-vente'!$D$2:$D$1000="Agences et Après-vente"))*'Agences &amp; Après-vente'!$E$2:$E$1000))&gt;0,TEXT(SUMPRODUCT(MAX(('Agences &amp; Après-vente'!$A$2:$A$1000=$A345)*(('Agences &amp; Après-vente'!$D$2:$D$1000="Agences")+('Agences &amp; Après-vente'!$D$2:$D$1000="Agences et Après-vente"))*'Agences &amp; Après-vente'!$E$2:$E$1000)),"yyyy-mm-dd"),"")))))</f>
        <v/>
      </c>
      <c r="H345" s="131" t="str">
        <f aca="false">IF($R345="✓","✓",IF(ISNUMBER($R345),TEXT($R345,"yyyy-mm-dd"),IF($A345="","",IF($D345="Lisbonne","",IF(SUMPRODUCT(('Agences &amp; Après-vente'!$A$2:$A$1000=$A345)*(('Agences &amp; Après-vente'!$D$2:$D$1000="Agences")+('Agences &amp; Après-vente'!$D$2:$D$1000="Agences et Après-vente"))*('Agences &amp; Après-vente'!$I$2:$I$1000="DONE"))&gt;0,"✓",IF(SUMPRODUCT(MAX(('Agences &amp; Après-vente'!$A$2:$A$1000=$A345)*(('Agences &amp; Après-vente'!$D$2:$D$1000="Agences")+('Agences &amp; Après-vente'!$D$2:$D$1000="Agences et Après-vente"))*'Agences &amp; Après-vente'!$E$2:$E$1000))&gt;0,TEXT(SUMPRODUCT(MAX(('Agences &amp; Après-vente'!$A$2:$A$1000=$A345)*(('Agences &amp; Après-vente'!$D$2:$D$1000="Agences")+('Agences &amp; Après-vente'!$D$2:$D$1000="Agences et Après-vente"))*'Agences &amp; Après-vente'!$E$2:$E$1000)),"yyyy-mm-dd"),""))))))</f>
        <v/>
      </c>
      <c r="I345" s="131" t="str">
        <f aca="false">IF($S345="✓","✓",IF(ISNUMBER($S345),TEXT($S345,"yyyy-mm-dd"),IF($A345="","",IF(SUMPRODUCT(('Agences &amp; Après-vente'!$A$2:$A$1000=$A345)*(('Agences &amp; Après-vente'!$D$2:$D$1000="Après-vente")+('Agences &amp; Après-vente'!$D$2:$D$1000="Agences et Après-vente"))*('Agences &amp; Après-vente'!$I$2:$I$1000="DONE"))&gt;0,"✓",IF(SUMPRODUCT(MAX(('Agences &amp; Après-vente'!$A$2:$A$1000=$A345)*(('Agences &amp; Après-vente'!$D$2:$D$1000="Après-vente")+('Agences &amp; Après-vente'!$D$2:$D$1000="Agences et Après-vente"))*'Agences &amp; Après-vente'!$E$2:$E$1000))&gt;0,TEXT(SUMPRODUCT(MAX(('Agences &amp; Après-vente'!$A$2:$A$1000=$A345)*(('Agences &amp; Après-vente'!$D$2:$D$1000="Après-vente")+('Agences &amp; Après-vente'!$D$2:$D$1000="Agences et Après-vente"))*'Agences &amp; Après-vente'!$E$2:$E$1000)),"yyyy-mm-dd"),"")))))</f>
        <v/>
      </c>
      <c r="J345" s="131" t="str">
        <f aca="false">IF($T345="✓","✓",IF(ISNUMBER($T345),TEXT($T345,"yyyy-mm-dd"),IF($A345="","",IF($D345="Lisbonne","",IF(SUMPRODUCT(('Agences &amp; Après-vente'!$A$2:$A$1000=$A345)*(('Agences &amp; Après-vente'!$D$2:$D$1000="Après-vente")+('Agences &amp; Après-vente'!$D$2:$D$1000="Agences et Après-vente"))*('Agences &amp; Après-vente'!$I$2:$I$1000="DONE"))&gt;0,"✓",IF(SUMPRODUCT(MAX(('Agences &amp; Après-vente'!$A$2:$A$1000=$A345)*(('Agences &amp; Après-vente'!$D$2:$D$1000="Après-vente")+('Agences &amp; Après-vente'!$D$2:$D$1000="Agences et Après-vente"))*'Agences &amp; Après-vente'!$E$2:$E$1000))&gt;0,TEXT(SUMPRODUCT(MAX(('Agences &amp; Après-vente'!$A$2:$A$1000=$A345)*(('Agences &amp; Après-vente'!$D$2:$D$1000="Après-vente")+('Agences &amp; Après-vente'!$D$2:$D$1000="Agences et Après-vente"))*'Agences &amp; Après-vente'!$E$2:$E$1000)),"yyyy-mm-dd"),""))))))</f>
        <v/>
      </c>
      <c r="K345" s="131" t="str">
        <f aca="false">IF($U345="✓","✓",IF(ISNUMBER($U345),TEXT($U345,"yyyy-mm-dd"),IF($D345="Lisbonne","",IF($A345="","",IF(SUMPRODUCT((Evermont!$A$2:$A$1000=$A345)*(Evermont!$Q$2:$Q$1000="Terminé"))&gt;0,"✓",IF(SUMPRODUCT(MAX((Evermont!$A$2:$A$1000=$A345)*Evermont!$F$2:$F$1000))&gt;0,TEXT(SUMPRODUCT(MAX((Evermont!$A$2:$A$1000=$A345)*Evermont!$F$2:$F$1000)),"yyyy-mm-dd"),""))))))</f>
        <v/>
      </c>
      <c r="L345" s="131" t="str">
        <f aca="false">IF($A345="","",COUNTIF(E345:K345,"✓"))</f>
        <v/>
      </c>
      <c r="M345" s="131" t="str">
        <f aca="false">IF(B345="","","Active")</f>
        <v/>
      </c>
      <c r="W345" s="120" t="str">
        <f aca="false">IF($A345="","",IF($X345&lt;&gt;"",$X345,IFERROR(INDEX('Formation Initiale'!$B$2:$B$999,MATCH($A345,'Formation Initiale'!$A$2:$A$999,0)),"Général")))</f>
        <v/>
      </c>
    </row>
    <row r="346" customFormat="false" ht="15" hidden="true" customHeight="true" outlineLevel="0" collapsed="false">
      <c r="A346" s="142" t="str">
        <f aca="false">IF(B346="","","TR"&amp;TEXT(ROW()-1,"000"))</f>
        <v/>
      </c>
      <c r="E346" s="130" t="str">
        <f aca="false">IF($O346="✓","✓",IF(ISNUMBER($O346),TEXT($O346,"yyyy-mm-dd"),IF($A346="","",IF(SUMPRODUCT(('Formation Initiale'!$A$2:$A$999=$A346)*('Formation Initiale'!$R$2:$R$999="Terminé"))&gt;0,"✓",IF(SUMPRODUCT(MAX(('Formation Initiale'!$A$2:$A$999=$A346)*'Formation Initiale'!$G$2:$G$999))&gt;0,TEXT(SUMPRODUCT(MAX(('Formation Initiale'!$A$2:$A$999=$A346)*'Formation Initiale'!$G$2:$G$999)),"yyyy-mm-dd"),"")))))</f>
        <v/>
      </c>
      <c r="F346" s="131" t="str">
        <f aca="false">IF($P346="✓","✓",IF(ISNUMBER($P346),TEXT($P346,"yyyy-mm-dd"),IF($A346="","",IF($D346="Lisbonne","",IF(SUMPRODUCT(('Formation Initiale'!$A$2:$A$999=$A346)*('Formation Initiale'!$R$2:$R$999="Terminé"))&gt;0,"✓",IF(SUMPRODUCT(MAX(('Formation Initiale'!$A$2:$A$999=$A346)*'Formation Initiale'!$G$2:$G$999))&gt;0,TEXT(SUMPRODUCT(MAX(('Formation Initiale'!$A$2:$A$999=$A346)*'Formation Initiale'!$G$2:$G$999)),"yyyy-mm-dd"),""))))))</f>
        <v/>
      </c>
      <c r="G346" s="131" t="str">
        <f aca="false">IF($Q346="✓","✓",IF(ISNUMBER($Q346),TEXT($Q346,"yyyy-mm-dd"),IF($A346="","",IF(SUMPRODUCT(('Agences &amp; Après-vente'!$A$2:$A$1000=$A346)*(('Agences &amp; Après-vente'!$D$2:$D$1000="Agences")+('Agences &amp; Après-vente'!$D$2:$D$1000="Agences et Après-vente"))*('Agences &amp; Après-vente'!$I$2:$I$1000="DONE"))&gt;0,"✓",IF(SUMPRODUCT(MAX(('Agences &amp; Après-vente'!$A$2:$A$1000=$A346)*(('Agences &amp; Après-vente'!$D$2:$D$1000="Agences")+('Agences &amp; Après-vente'!$D$2:$D$1000="Agences et Après-vente"))*'Agences &amp; Après-vente'!$E$2:$E$1000))&gt;0,TEXT(SUMPRODUCT(MAX(('Agences &amp; Après-vente'!$A$2:$A$1000=$A346)*(('Agences &amp; Après-vente'!$D$2:$D$1000="Agences")+('Agences &amp; Après-vente'!$D$2:$D$1000="Agences et Après-vente"))*'Agences &amp; Après-vente'!$E$2:$E$1000)),"yyyy-mm-dd"),"")))))</f>
        <v/>
      </c>
      <c r="H346" s="131" t="str">
        <f aca="false">IF($R346="✓","✓",IF(ISNUMBER($R346),TEXT($R346,"yyyy-mm-dd"),IF($A346="","",IF($D346="Lisbonne","",IF(SUMPRODUCT(('Agences &amp; Après-vente'!$A$2:$A$1000=$A346)*(('Agences &amp; Après-vente'!$D$2:$D$1000="Agences")+('Agences &amp; Après-vente'!$D$2:$D$1000="Agences et Après-vente"))*('Agences &amp; Après-vente'!$I$2:$I$1000="DONE"))&gt;0,"✓",IF(SUMPRODUCT(MAX(('Agences &amp; Après-vente'!$A$2:$A$1000=$A346)*(('Agences &amp; Après-vente'!$D$2:$D$1000="Agences")+('Agences &amp; Après-vente'!$D$2:$D$1000="Agences et Après-vente"))*'Agences &amp; Après-vente'!$E$2:$E$1000))&gt;0,TEXT(SUMPRODUCT(MAX(('Agences &amp; Après-vente'!$A$2:$A$1000=$A346)*(('Agences &amp; Après-vente'!$D$2:$D$1000="Agences")+('Agences &amp; Après-vente'!$D$2:$D$1000="Agences et Après-vente"))*'Agences &amp; Après-vente'!$E$2:$E$1000)),"yyyy-mm-dd"),""))))))</f>
        <v/>
      </c>
      <c r="I346" s="131" t="str">
        <f aca="false">IF($S346="✓","✓",IF(ISNUMBER($S346),TEXT($S346,"yyyy-mm-dd"),IF($A346="","",IF(SUMPRODUCT(('Agences &amp; Après-vente'!$A$2:$A$1000=$A346)*(('Agences &amp; Après-vente'!$D$2:$D$1000="Après-vente")+('Agences &amp; Après-vente'!$D$2:$D$1000="Agences et Après-vente"))*('Agences &amp; Après-vente'!$I$2:$I$1000="DONE"))&gt;0,"✓",IF(SUMPRODUCT(MAX(('Agences &amp; Après-vente'!$A$2:$A$1000=$A346)*(('Agences &amp; Après-vente'!$D$2:$D$1000="Après-vente")+('Agences &amp; Après-vente'!$D$2:$D$1000="Agences et Après-vente"))*'Agences &amp; Après-vente'!$E$2:$E$1000))&gt;0,TEXT(SUMPRODUCT(MAX(('Agences &amp; Après-vente'!$A$2:$A$1000=$A346)*(('Agences &amp; Après-vente'!$D$2:$D$1000="Après-vente")+('Agences &amp; Après-vente'!$D$2:$D$1000="Agences et Après-vente"))*'Agences &amp; Après-vente'!$E$2:$E$1000)),"yyyy-mm-dd"),"")))))</f>
        <v/>
      </c>
      <c r="J346" s="131" t="str">
        <f aca="false">IF($T346="✓","✓",IF(ISNUMBER($T346),TEXT($T346,"yyyy-mm-dd"),IF($A346="","",IF($D346="Lisbonne","",IF(SUMPRODUCT(('Agences &amp; Après-vente'!$A$2:$A$1000=$A346)*(('Agences &amp; Après-vente'!$D$2:$D$1000="Après-vente")+('Agences &amp; Après-vente'!$D$2:$D$1000="Agences et Après-vente"))*('Agences &amp; Après-vente'!$I$2:$I$1000="DONE"))&gt;0,"✓",IF(SUMPRODUCT(MAX(('Agences &amp; Après-vente'!$A$2:$A$1000=$A346)*(('Agences &amp; Après-vente'!$D$2:$D$1000="Après-vente")+('Agences &amp; Après-vente'!$D$2:$D$1000="Agences et Après-vente"))*'Agences &amp; Après-vente'!$E$2:$E$1000))&gt;0,TEXT(SUMPRODUCT(MAX(('Agences &amp; Après-vente'!$A$2:$A$1000=$A346)*(('Agences &amp; Après-vente'!$D$2:$D$1000="Après-vente")+('Agences &amp; Après-vente'!$D$2:$D$1000="Agences et Après-vente"))*'Agences &amp; Après-vente'!$E$2:$E$1000)),"yyyy-mm-dd"),""))))))</f>
        <v/>
      </c>
      <c r="K346" s="131" t="str">
        <f aca="false">IF($U346="✓","✓",IF(ISNUMBER($U346),TEXT($U346,"yyyy-mm-dd"),IF($D346="Lisbonne","",IF($A346="","",IF(SUMPRODUCT((Evermont!$A$2:$A$1000=$A346)*(Evermont!$Q$2:$Q$1000="Terminé"))&gt;0,"✓",IF(SUMPRODUCT(MAX((Evermont!$A$2:$A$1000=$A346)*Evermont!$F$2:$F$1000))&gt;0,TEXT(SUMPRODUCT(MAX((Evermont!$A$2:$A$1000=$A346)*Evermont!$F$2:$F$1000)),"yyyy-mm-dd"),""))))))</f>
        <v/>
      </c>
      <c r="L346" s="131" t="str">
        <f aca="false">IF($A346="","",COUNTIF(E346:K346,"✓"))</f>
        <v/>
      </c>
      <c r="M346" s="131" t="str">
        <f aca="false">IF(B346="","","Active")</f>
        <v/>
      </c>
      <c r="W346" s="120" t="str">
        <f aca="false">IF($A346="","",IF($X346&lt;&gt;"",$X346,IFERROR(INDEX('Formation Initiale'!$B$2:$B$999,MATCH($A346,'Formation Initiale'!$A$2:$A$999,0)),"Général")))</f>
        <v/>
      </c>
    </row>
    <row r="347" customFormat="false" ht="15" hidden="true" customHeight="true" outlineLevel="0" collapsed="false">
      <c r="A347" s="142" t="str">
        <f aca="false">IF(B347="","","TR"&amp;TEXT(ROW()-1,"000"))</f>
        <v/>
      </c>
      <c r="E347" s="130" t="str">
        <f aca="false">IF($O347="✓","✓",IF(ISNUMBER($O347),TEXT($O347,"yyyy-mm-dd"),IF($A347="","",IF(SUMPRODUCT(('Formation Initiale'!$A$2:$A$999=$A347)*('Formation Initiale'!$R$2:$R$999="Terminé"))&gt;0,"✓",IF(SUMPRODUCT(MAX(('Formation Initiale'!$A$2:$A$999=$A347)*'Formation Initiale'!$G$2:$G$999))&gt;0,TEXT(SUMPRODUCT(MAX(('Formation Initiale'!$A$2:$A$999=$A347)*'Formation Initiale'!$G$2:$G$999)),"yyyy-mm-dd"),"")))))</f>
        <v/>
      </c>
      <c r="F347" s="131" t="str">
        <f aca="false">IF($P347="✓","✓",IF(ISNUMBER($P347),TEXT($P347,"yyyy-mm-dd"),IF($A347="","",IF($D347="Lisbonne","",IF(SUMPRODUCT(('Formation Initiale'!$A$2:$A$999=$A347)*('Formation Initiale'!$R$2:$R$999="Terminé"))&gt;0,"✓",IF(SUMPRODUCT(MAX(('Formation Initiale'!$A$2:$A$999=$A347)*'Formation Initiale'!$G$2:$G$999))&gt;0,TEXT(SUMPRODUCT(MAX(('Formation Initiale'!$A$2:$A$999=$A347)*'Formation Initiale'!$G$2:$G$999)),"yyyy-mm-dd"),""))))))</f>
        <v/>
      </c>
      <c r="G347" s="131" t="str">
        <f aca="false">IF($Q347="✓","✓",IF(ISNUMBER($Q347),TEXT($Q347,"yyyy-mm-dd"),IF($A347="","",IF(SUMPRODUCT(('Agences &amp; Après-vente'!$A$2:$A$1000=$A347)*(('Agences &amp; Après-vente'!$D$2:$D$1000="Agences")+('Agences &amp; Après-vente'!$D$2:$D$1000="Agences et Après-vente"))*('Agences &amp; Après-vente'!$I$2:$I$1000="DONE"))&gt;0,"✓",IF(SUMPRODUCT(MAX(('Agences &amp; Après-vente'!$A$2:$A$1000=$A347)*(('Agences &amp; Après-vente'!$D$2:$D$1000="Agences")+('Agences &amp; Après-vente'!$D$2:$D$1000="Agences et Après-vente"))*'Agences &amp; Après-vente'!$E$2:$E$1000))&gt;0,TEXT(SUMPRODUCT(MAX(('Agences &amp; Après-vente'!$A$2:$A$1000=$A347)*(('Agences &amp; Après-vente'!$D$2:$D$1000="Agences")+('Agences &amp; Après-vente'!$D$2:$D$1000="Agences et Après-vente"))*'Agences &amp; Après-vente'!$E$2:$E$1000)),"yyyy-mm-dd"),"")))))</f>
        <v/>
      </c>
      <c r="H347" s="131" t="str">
        <f aca="false">IF($R347="✓","✓",IF(ISNUMBER($R347),TEXT($R347,"yyyy-mm-dd"),IF($A347="","",IF($D347="Lisbonne","",IF(SUMPRODUCT(('Agences &amp; Après-vente'!$A$2:$A$1000=$A347)*(('Agences &amp; Après-vente'!$D$2:$D$1000="Agences")+('Agences &amp; Après-vente'!$D$2:$D$1000="Agences et Après-vente"))*('Agences &amp; Après-vente'!$I$2:$I$1000="DONE"))&gt;0,"✓",IF(SUMPRODUCT(MAX(('Agences &amp; Après-vente'!$A$2:$A$1000=$A347)*(('Agences &amp; Après-vente'!$D$2:$D$1000="Agences")+('Agences &amp; Après-vente'!$D$2:$D$1000="Agences et Après-vente"))*'Agences &amp; Après-vente'!$E$2:$E$1000))&gt;0,TEXT(SUMPRODUCT(MAX(('Agences &amp; Après-vente'!$A$2:$A$1000=$A347)*(('Agences &amp; Après-vente'!$D$2:$D$1000="Agences")+('Agences &amp; Après-vente'!$D$2:$D$1000="Agences et Après-vente"))*'Agences &amp; Après-vente'!$E$2:$E$1000)),"yyyy-mm-dd"),""))))))</f>
        <v/>
      </c>
      <c r="I347" s="131" t="str">
        <f aca="false">IF($S347="✓","✓",IF(ISNUMBER($S347),TEXT($S347,"yyyy-mm-dd"),IF($A347="","",IF(SUMPRODUCT(('Agences &amp; Après-vente'!$A$2:$A$1000=$A347)*(('Agences &amp; Après-vente'!$D$2:$D$1000="Après-vente")+('Agences &amp; Après-vente'!$D$2:$D$1000="Agences et Après-vente"))*('Agences &amp; Après-vente'!$I$2:$I$1000="DONE"))&gt;0,"✓",IF(SUMPRODUCT(MAX(('Agences &amp; Après-vente'!$A$2:$A$1000=$A347)*(('Agences &amp; Après-vente'!$D$2:$D$1000="Après-vente")+('Agences &amp; Après-vente'!$D$2:$D$1000="Agences et Après-vente"))*'Agences &amp; Après-vente'!$E$2:$E$1000))&gt;0,TEXT(SUMPRODUCT(MAX(('Agences &amp; Après-vente'!$A$2:$A$1000=$A347)*(('Agences &amp; Après-vente'!$D$2:$D$1000="Après-vente")+('Agences &amp; Après-vente'!$D$2:$D$1000="Agences et Après-vente"))*'Agences &amp; Après-vente'!$E$2:$E$1000)),"yyyy-mm-dd"),"")))))</f>
        <v/>
      </c>
      <c r="J347" s="131" t="str">
        <f aca="false">IF($T347="✓","✓",IF(ISNUMBER($T347),TEXT($T347,"yyyy-mm-dd"),IF($A347="","",IF($D347="Lisbonne","",IF(SUMPRODUCT(('Agences &amp; Après-vente'!$A$2:$A$1000=$A347)*(('Agences &amp; Après-vente'!$D$2:$D$1000="Après-vente")+('Agences &amp; Après-vente'!$D$2:$D$1000="Agences et Après-vente"))*('Agences &amp; Après-vente'!$I$2:$I$1000="DONE"))&gt;0,"✓",IF(SUMPRODUCT(MAX(('Agences &amp; Après-vente'!$A$2:$A$1000=$A347)*(('Agences &amp; Après-vente'!$D$2:$D$1000="Après-vente")+('Agences &amp; Après-vente'!$D$2:$D$1000="Agences et Après-vente"))*'Agences &amp; Après-vente'!$E$2:$E$1000))&gt;0,TEXT(SUMPRODUCT(MAX(('Agences &amp; Après-vente'!$A$2:$A$1000=$A347)*(('Agences &amp; Après-vente'!$D$2:$D$1000="Après-vente")+('Agences &amp; Après-vente'!$D$2:$D$1000="Agences et Après-vente"))*'Agences &amp; Après-vente'!$E$2:$E$1000)),"yyyy-mm-dd"),""))))))</f>
        <v/>
      </c>
      <c r="K347" s="131" t="str">
        <f aca="false">IF($U347="✓","✓",IF(ISNUMBER($U347),TEXT($U347,"yyyy-mm-dd"),IF($D347="Lisbonne","",IF($A347="","",IF(SUMPRODUCT((Evermont!$A$2:$A$1000=$A347)*(Evermont!$Q$2:$Q$1000="Terminé"))&gt;0,"✓",IF(SUMPRODUCT(MAX((Evermont!$A$2:$A$1000=$A347)*Evermont!$F$2:$F$1000))&gt;0,TEXT(SUMPRODUCT(MAX((Evermont!$A$2:$A$1000=$A347)*Evermont!$F$2:$F$1000)),"yyyy-mm-dd"),""))))))</f>
        <v/>
      </c>
      <c r="L347" s="131" t="str">
        <f aca="false">IF($A347="","",COUNTIF(E347:K347,"✓"))</f>
        <v/>
      </c>
      <c r="M347" s="131" t="str">
        <f aca="false">IF(B347="","","Active")</f>
        <v/>
      </c>
      <c r="W347" s="120" t="str">
        <f aca="false">IF($A347="","",IF($X347&lt;&gt;"",$X347,IFERROR(INDEX('Formation Initiale'!$B$2:$B$999,MATCH($A347,'Formation Initiale'!$A$2:$A$999,0)),"Général")))</f>
        <v/>
      </c>
    </row>
    <row r="348" customFormat="false" ht="15" hidden="true" customHeight="true" outlineLevel="0" collapsed="false">
      <c r="A348" s="142" t="str">
        <f aca="false">IF(B348="","","TR"&amp;TEXT(ROW()-1,"000"))</f>
        <v/>
      </c>
      <c r="E348" s="130" t="str">
        <f aca="false">IF($O348="✓","✓",IF(ISNUMBER($O348),TEXT($O348,"yyyy-mm-dd"),IF($A348="","",IF(SUMPRODUCT(('Formation Initiale'!$A$2:$A$999=$A348)*('Formation Initiale'!$R$2:$R$999="Terminé"))&gt;0,"✓",IF(SUMPRODUCT(MAX(('Formation Initiale'!$A$2:$A$999=$A348)*'Formation Initiale'!$G$2:$G$999))&gt;0,TEXT(SUMPRODUCT(MAX(('Formation Initiale'!$A$2:$A$999=$A348)*'Formation Initiale'!$G$2:$G$999)),"yyyy-mm-dd"),"")))))</f>
        <v/>
      </c>
      <c r="F348" s="131" t="str">
        <f aca="false">IF($P348="✓","✓",IF(ISNUMBER($P348),TEXT($P348,"yyyy-mm-dd"),IF($A348="","",IF($D348="Lisbonne","",IF(SUMPRODUCT(('Formation Initiale'!$A$2:$A$999=$A348)*('Formation Initiale'!$R$2:$R$999="Terminé"))&gt;0,"✓",IF(SUMPRODUCT(MAX(('Formation Initiale'!$A$2:$A$999=$A348)*'Formation Initiale'!$G$2:$G$999))&gt;0,TEXT(SUMPRODUCT(MAX(('Formation Initiale'!$A$2:$A$999=$A348)*'Formation Initiale'!$G$2:$G$999)),"yyyy-mm-dd"),""))))))</f>
        <v/>
      </c>
      <c r="G348" s="131" t="str">
        <f aca="false">IF($Q348="✓","✓",IF(ISNUMBER($Q348),TEXT($Q348,"yyyy-mm-dd"),IF($A348="","",IF(SUMPRODUCT(('Agences &amp; Après-vente'!$A$2:$A$1000=$A348)*(('Agences &amp; Après-vente'!$D$2:$D$1000="Agences")+('Agences &amp; Après-vente'!$D$2:$D$1000="Agences et Après-vente"))*('Agences &amp; Après-vente'!$I$2:$I$1000="DONE"))&gt;0,"✓",IF(SUMPRODUCT(MAX(('Agences &amp; Après-vente'!$A$2:$A$1000=$A348)*(('Agences &amp; Après-vente'!$D$2:$D$1000="Agences")+('Agences &amp; Après-vente'!$D$2:$D$1000="Agences et Après-vente"))*'Agences &amp; Après-vente'!$E$2:$E$1000))&gt;0,TEXT(SUMPRODUCT(MAX(('Agences &amp; Après-vente'!$A$2:$A$1000=$A348)*(('Agences &amp; Après-vente'!$D$2:$D$1000="Agences")+('Agences &amp; Après-vente'!$D$2:$D$1000="Agences et Après-vente"))*'Agences &amp; Après-vente'!$E$2:$E$1000)),"yyyy-mm-dd"),"")))))</f>
        <v/>
      </c>
      <c r="H348" s="131" t="str">
        <f aca="false">IF($R348="✓","✓",IF(ISNUMBER($R348),TEXT($R348,"yyyy-mm-dd"),IF($A348="","",IF($D348="Lisbonne","",IF(SUMPRODUCT(('Agences &amp; Après-vente'!$A$2:$A$1000=$A348)*(('Agences &amp; Après-vente'!$D$2:$D$1000="Agences")+('Agences &amp; Après-vente'!$D$2:$D$1000="Agences et Après-vente"))*('Agences &amp; Après-vente'!$I$2:$I$1000="DONE"))&gt;0,"✓",IF(SUMPRODUCT(MAX(('Agences &amp; Après-vente'!$A$2:$A$1000=$A348)*(('Agences &amp; Après-vente'!$D$2:$D$1000="Agences")+('Agences &amp; Après-vente'!$D$2:$D$1000="Agences et Après-vente"))*'Agences &amp; Après-vente'!$E$2:$E$1000))&gt;0,TEXT(SUMPRODUCT(MAX(('Agences &amp; Après-vente'!$A$2:$A$1000=$A348)*(('Agences &amp; Après-vente'!$D$2:$D$1000="Agences")+('Agences &amp; Après-vente'!$D$2:$D$1000="Agences et Après-vente"))*'Agences &amp; Après-vente'!$E$2:$E$1000)),"yyyy-mm-dd"),""))))))</f>
        <v/>
      </c>
      <c r="I348" s="131" t="str">
        <f aca="false">IF($S348="✓","✓",IF(ISNUMBER($S348),TEXT($S348,"yyyy-mm-dd"),IF($A348="","",IF(SUMPRODUCT(('Agences &amp; Après-vente'!$A$2:$A$1000=$A348)*(('Agences &amp; Après-vente'!$D$2:$D$1000="Après-vente")+('Agences &amp; Après-vente'!$D$2:$D$1000="Agences et Après-vente"))*('Agences &amp; Après-vente'!$I$2:$I$1000="DONE"))&gt;0,"✓",IF(SUMPRODUCT(MAX(('Agences &amp; Après-vente'!$A$2:$A$1000=$A348)*(('Agences &amp; Après-vente'!$D$2:$D$1000="Après-vente")+('Agences &amp; Après-vente'!$D$2:$D$1000="Agences et Après-vente"))*'Agences &amp; Après-vente'!$E$2:$E$1000))&gt;0,TEXT(SUMPRODUCT(MAX(('Agences &amp; Après-vente'!$A$2:$A$1000=$A348)*(('Agences &amp; Après-vente'!$D$2:$D$1000="Après-vente")+('Agences &amp; Après-vente'!$D$2:$D$1000="Agences et Après-vente"))*'Agences &amp; Après-vente'!$E$2:$E$1000)),"yyyy-mm-dd"),"")))))</f>
        <v/>
      </c>
      <c r="J348" s="131" t="str">
        <f aca="false">IF($T348="✓","✓",IF(ISNUMBER($T348),TEXT($T348,"yyyy-mm-dd"),IF($A348="","",IF($D348="Lisbonne","",IF(SUMPRODUCT(('Agences &amp; Après-vente'!$A$2:$A$1000=$A348)*(('Agences &amp; Après-vente'!$D$2:$D$1000="Après-vente")+('Agences &amp; Après-vente'!$D$2:$D$1000="Agences et Après-vente"))*('Agences &amp; Après-vente'!$I$2:$I$1000="DONE"))&gt;0,"✓",IF(SUMPRODUCT(MAX(('Agences &amp; Après-vente'!$A$2:$A$1000=$A348)*(('Agences &amp; Après-vente'!$D$2:$D$1000="Après-vente")+('Agences &amp; Après-vente'!$D$2:$D$1000="Agences et Après-vente"))*'Agences &amp; Après-vente'!$E$2:$E$1000))&gt;0,TEXT(SUMPRODUCT(MAX(('Agences &amp; Après-vente'!$A$2:$A$1000=$A348)*(('Agences &amp; Après-vente'!$D$2:$D$1000="Après-vente")+('Agences &amp; Après-vente'!$D$2:$D$1000="Agences et Après-vente"))*'Agences &amp; Après-vente'!$E$2:$E$1000)),"yyyy-mm-dd"),""))))))</f>
        <v/>
      </c>
      <c r="K348" s="131" t="str">
        <f aca="false">IF($U348="✓","✓",IF(ISNUMBER($U348),TEXT($U348,"yyyy-mm-dd"),IF($D348="Lisbonne","",IF($A348="","",IF(SUMPRODUCT((Evermont!$A$2:$A$1000=$A348)*(Evermont!$Q$2:$Q$1000="Terminé"))&gt;0,"✓",IF(SUMPRODUCT(MAX((Evermont!$A$2:$A$1000=$A348)*Evermont!$F$2:$F$1000))&gt;0,TEXT(SUMPRODUCT(MAX((Evermont!$A$2:$A$1000=$A348)*Evermont!$F$2:$F$1000)),"yyyy-mm-dd"),""))))))</f>
        <v/>
      </c>
      <c r="L348" s="131" t="str">
        <f aca="false">IF($A348="","",COUNTIF(E348:K348,"✓"))</f>
        <v/>
      </c>
      <c r="M348" s="131" t="str">
        <f aca="false">IF(B348="","","Active")</f>
        <v/>
      </c>
      <c r="W348" s="120" t="str">
        <f aca="false">IF($A348="","",IF($X348&lt;&gt;"",$X348,IFERROR(INDEX('Formation Initiale'!$B$2:$B$999,MATCH($A348,'Formation Initiale'!$A$2:$A$999,0)),"Général")))</f>
        <v/>
      </c>
    </row>
    <row r="349" customFormat="false" ht="15" hidden="true" customHeight="true" outlineLevel="0" collapsed="false">
      <c r="A349" s="142" t="str">
        <f aca="false">IF(B349="","","TR"&amp;TEXT(ROW()-1,"000"))</f>
        <v/>
      </c>
      <c r="E349" s="130" t="str">
        <f aca="false">IF($O349="✓","✓",IF(ISNUMBER($O349),TEXT($O349,"yyyy-mm-dd"),IF($A349="","",IF(SUMPRODUCT(('Formation Initiale'!$A$2:$A$999=$A349)*('Formation Initiale'!$R$2:$R$999="Terminé"))&gt;0,"✓",IF(SUMPRODUCT(MAX(('Formation Initiale'!$A$2:$A$999=$A349)*'Formation Initiale'!$G$2:$G$999))&gt;0,TEXT(SUMPRODUCT(MAX(('Formation Initiale'!$A$2:$A$999=$A349)*'Formation Initiale'!$G$2:$G$999)),"yyyy-mm-dd"),"")))))</f>
        <v/>
      </c>
      <c r="F349" s="131" t="str">
        <f aca="false">IF($P349="✓","✓",IF(ISNUMBER($P349),TEXT($P349,"yyyy-mm-dd"),IF($A349="","",IF($D349="Lisbonne","",IF(SUMPRODUCT(('Formation Initiale'!$A$2:$A$999=$A349)*('Formation Initiale'!$R$2:$R$999="Terminé"))&gt;0,"✓",IF(SUMPRODUCT(MAX(('Formation Initiale'!$A$2:$A$999=$A349)*'Formation Initiale'!$G$2:$G$999))&gt;0,TEXT(SUMPRODUCT(MAX(('Formation Initiale'!$A$2:$A$999=$A349)*'Formation Initiale'!$G$2:$G$999)),"yyyy-mm-dd"),""))))))</f>
        <v/>
      </c>
      <c r="G349" s="131" t="str">
        <f aca="false">IF($Q349="✓","✓",IF(ISNUMBER($Q349),TEXT($Q349,"yyyy-mm-dd"),IF($A349="","",IF(SUMPRODUCT(('Agences &amp; Après-vente'!$A$2:$A$1000=$A349)*(('Agences &amp; Après-vente'!$D$2:$D$1000="Agences")+('Agences &amp; Après-vente'!$D$2:$D$1000="Agences et Après-vente"))*('Agences &amp; Après-vente'!$I$2:$I$1000="DONE"))&gt;0,"✓",IF(SUMPRODUCT(MAX(('Agences &amp; Après-vente'!$A$2:$A$1000=$A349)*(('Agences &amp; Après-vente'!$D$2:$D$1000="Agences")+('Agences &amp; Après-vente'!$D$2:$D$1000="Agences et Après-vente"))*'Agences &amp; Après-vente'!$E$2:$E$1000))&gt;0,TEXT(SUMPRODUCT(MAX(('Agences &amp; Après-vente'!$A$2:$A$1000=$A349)*(('Agences &amp; Après-vente'!$D$2:$D$1000="Agences")+('Agences &amp; Après-vente'!$D$2:$D$1000="Agences et Après-vente"))*'Agences &amp; Après-vente'!$E$2:$E$1000)),"yyyy-mm-dd"),"")))))</f>
        <v/>
      </c>
      <c r="H349" s="131" t="str">
        <f aca="false">IF($R349="✓","✓",IF(ISNUMBER($R349),TEXT($R349,"yyyy-mm-dd"),IF($A349="","",IF($D349="Lisbonne","",IF(SUMPRODUCT(('Agences &amp; Après-vente'!$A$2:$A$1000=$A349)*(('Agences &amp; Après-vente'!$D$2:$D$1000="Agences")+('Agences &amp; Après-vente'!$D$2:$D$1000="Agences et Après-vente"))*('Agences &amp; Après-vente'!$I$2:$I$1000="DONE"))&gt;0,"✓",IF(SUMPRODUCT(MAX(('Agences &amp; Après-vente'!$A$2:$A$1000=$A349)*(('Agences &amp; Après-vente'!$D$2:$D$1000="Agences")+('Agences &amp; Après-vente'!$D$2:$D$1000="Agences et Après-vente"))*'Agences &amp; Après-vente'!$E$2:$E$1000))&gt;0,TEXT(SUMPRODUCT(MAX(('Agences &amp; Après-vente'!$A$2:$A$1000=$A349)*(('Agences &amp; Après-vente'!$D$2:$D$1000="Agences")+('Agences &amp; Après-vente'!$D$2:$D$1000="Agences et Après-vente"))*'Agences &amp; Après-vente'!$E$2:$E$1000)),"yyyy-mm-dd"),""))))))</f>
        <v/>
      </c>
      <c r="I349" s="131" t="str">
        <f aca="false">IF($S349="✓","✓",IF(ISNUMBER($S349),TEXT($S349,"yyyy-mm-dd"),IF($A349="","",IF(SUMPRODUCT(('Agences &amp; Après-vente'!$A$2:$A$1000=$A349)*(('Agences &amp; Après-vente'!$D$2:$D$1000="Après-vente")+('Agences &amp; Après-vente'!$D$2:$D$1000="Agences et Après-vente"))*('Agences &amp; Après-vente'!$I$2:$I$1000="DONE"))&gt;0,"✓",IF(SUMPRODUCT(MAX(('Agences &amp; Après-vente'!$A$2:$A$1000=$A349)*(('Agences &amp; Après-vente'!$D$2:$D$1000="Après-vente")+('Agences &amp; Après-vente'!$D$2:$D$1000="Agences et Après-vente"))*'Agences &amp; Après-vente'!$E$2:$E$1000))&gt;0,TEXT(SUMPRODUCT(MAX(('Agences &amp; Après-vente'!$A$2:$A$1000=$A349)*(('Agences &amp; Après-vente'!$D$2:$D$1000="Après-vente")+('Agences &amp; Après-vente'!$D$2:$D$1000="Agences et Après-vente"))*'Agences &amp; Après-vente'!$E$2:$E$1000)),"yyyy-mm-dd"),"")))))</f>
        <v/>
      </c>
      <c r="J349" s="131" t="str">
        <f aca="false">IF($T349="✓","✓",IF(ISNUMBER($T349),TEXT($T349,"yyyy-mm-dd"),IF($A349="","",IF($D349="Lisbonne","",IF(SUMPRODUCT(('Agences &amp; Après-vente'!$A$2:$A$1000=$A349)*(('Agences &amp; Après-vente'!$D$2:$D$1000="Après-vente")+('Agences &amp; Après-vente'!$D$2:$D$1000="Agences et Après-vente"))*('Agences &amp; Après-vente'!$I$2:$I$1000="DONE"))&gt;0,"✓",IF(SUMPRODUCT(MAX(('Agences &amp; Après-vente'!$A$2:$A$1000=$A349)*(('Agences &amp; Après-vente'!$D$2:$D$1000="Après-vente")+('Agences &amp; Après-vente'!$D$2:$D$1000="Agences et Après-vente"))*'Agences &amp; Après-vente'!$E$2:$E$1000))&gt;0,TEXT(SUMPRODUCT(MAX(('Agences &amp; Après-vente'!$A$2:$A$1000=$A349)*(('Agences &amp; Après-vente'!$D$2:$D$1000="Après-vente")+('Agences &amp; Après-vente'!$D$2:$D$1000="Agences et Après-vente"))*'Agences &amp; Après-vente'!$E$2:$E$1000)),"yyyy-mm-dd"),""))))))</f>
        <v/>
      </c>
      <c r="K349" s="131" t="str">
        <f aca="false">IF($U349="✓","✓",IF(ISNUMBER($U349),TEXT($U349,"yyyy-mm-dd"),IF($D349="Lisbonne","",IF($A349="","",IF(SUMPRODUCT((Evermont!$A$2:$A$1000=$A349)*(Evermont!$Q$2:$Q$1000="Terminé"))&gt;0,"✓",IF(SUMPRODUCT(MAX((Evermont!$A$2:$A$1000=$A349)*Evermont!$F$2:$F$1000))&gt;0,TEXT(SUMPRODUCT(MAX((Evermont!$A$2:$A$1000=$A349)*Evermont!$F$2:$F$1000)),"yyyy-mm-dd"),""))))))</f>
        <v/>
      </c>
      <c r="L349" s="131" t="str">
        <f aca="false">IF($A349="","",COUNTIF(E349:K349,"✓"))</f>
        <v/>
      </c>
      <c r="M349" s="131" t="str">
        <f aca="false">IF(B349="","","Active")</f>
        <v/>
      </c>
      <c r="W349" s="120" t="str">
        <f aca="false">IF($A349="","",IF($X349&lt;&gt;"",$X349,IFERROR(INDEX('Formation Initiale'!$B$2:$B$999,MATCH($A349,'Formation Initiale'!$A$2:$A$999,0)),"Général")))</f>
        <v/>
      </c>
    </row>
    <row r="350" customFormat="false" ht="15" hidden="true" customHeight="true" outlineLevel="0" collapsed="false">
      <c r="A350" s="142" t="str">
        <f aca="false">IF(B350="","","TR"&amp;TEXT(ROW()-1,"000"))</f>
        <v/>
      </c>
      <c r="E350" s="130" t="str">
        <f aca="false">IF($O350="✓","✓",IF(ISNUMBER($O350),TEXT($O350,"yyyy-mm-dd"),IF($A350="","",IF(SUMPRODUCT(('Formation Initiale'!$A$2:$A$999=$A350)*('Formation Initiale'!$R$2:$R$999="Terminé"))&gt;0,"✓",IF(SUMPRODUCT(MAX(('Formation Initiale'!$A$2:$A$999=$A350)*'Formation Initiale'!$G$2:$G$999))&gt;0,TEXT(SUMPRODUCT(MAX(('Formation Initiale'!$A$2:$A$999=$A350)*'Formation Initiale'!$G$2:$G$999)),"yyyy-mm-dd"),"")))))</f>
        <v/>
      </c>
      <c r="F350" s="131" t="str">
        <f aca="false">IF($P350="✓","✓",IF(ISNUMBER($P350),TEXT($P350,"yyyy-mm-dd"),IF($A350="","",IF($D350="Lisbonne","",IF(SUMPRODUCT(('Formation Initiale'!$A$2:$A$999=$A350)*('Formation Initiale'!$R$2:$R$999="Terminé"))&gt;0,"✓",IF(SUMPRODUCT(MAX(('Formation Initiale'!$A$2:$A$999=$A350)*'Formation Initiale'!$G$2:$G$999))&gt;0,TEXT(SUMPRODUCT(MAX(('Formation Initiale'!$A$2:$A$999=$A350)*'Formation Initiale'!$G$2:$G$999)),"yyyy-mm-dd"),""))))))</f>
        <v/>
      </c>
      <c r="G350" s="131" t="str">
        <f aca="false">IF($Q350="✓","✓",IF(ISNUMBER($Q350),TEXT($Q350,"yyyy-mm-dd"),IF($A350="","",IF(SUMPRODUCT(('Agences &amp; Après-vente'!$A$2:$A$1000=$A350)*(('Agences &amp; Après-vente'!$D$2:$D$1000="Agences")+('Agences &amp; Après-vente'!$D$2:$D$1000="Agences et Après-vente"))*('Agences &amp; Après-vente'!$I$2:$I$1000="DONE"))&gt;0,"✓",IF(SUMPRODUCT(MAX(('Agences &amp; Après-vente'!$A$2:$A$1000=$A350)*(('Agences &amp; Après-vente'!$D$2:$D$1000="Agences")+('Agences &amp; Après-vente'!$D$2:$D$1000="Agences et Après-vente"))*'Agences &amp; Après-vente'!$E$2:$E$1000))&gt;0,TEXT(SUMPRODUCT(MAX(('Agences &amp; Après-vente'!$A$2:$A$1000=$A350)*(('Agences &amp; Après-vente'!$D$2:$D$1000="Agences")+('Agences &amp; Après-vente'!$D$2:$D$1000="Agences et Après-vente"))*'Agences &amp; Après-vente'!$E$2:$E$1000)),"yyyy-mm-dd"),"")))))</f>
        <v/>
      </c>
      <c r="H350" s="131" t="str">
        <f aca="false">IF($R350="✓","✓",IF(ISNUMBER($R350),TEXT($R350,"yyyy-mm-dd"),IF($A350="","",IF($D350="Lisbonne","",IF(SUMPRODUCT(('Agences &amp; Après-vente'!$A$2:$A$1000=$A350)*(('Agences &amp; Après-vente'!$D$2:$D$1000="Agences")+('Agences &amp; Après-vente'!$D$2:$D$1000="Agences et Après-vente"))*('Agences &amp; Après-vente'!$I$2:$I$1000="DONE"))&gt;0,"✓",IF(SUMPRODUCT(MAX(('Agences &amp; Après-vente'!$A$2:$A$1000=$A350)*(('Agences &amp; Après-vente'!$D$2:$D$1000="Agences")+('Agences &amp; Après-vente'!$D$2:$D$1000="Agences et Après-vente"))*'Agences &amp; Après-vente'!$E$2:$E$1000))&gt;0,TEXT(SUMPRODUCT(MAX(('Agences &amp; Après-vente'!$A$2:$A$1000=$A350)*(('Agences &amp; Après-vente'!$D$2:$D$1000="Agences")+('Agences &amp; Après-vente'!$D$2:$D$1000="Agences et Après-vente"))*'Agences &amp; Après-vente'!$E$2:$E$1000)),"yyyy-mm-dd"),""))))))</f>
        <v/>
      </c>
      <c r="I350" s="131" t="str">
        <f aca="false">IF($S350="✓","✓",IF(ISNUMBER($S350),TEXT($S350,"yyyy-mm-dd"),IF($A350="","",IF(SUMPRODUCT(('Agences &amp; Après-vente'!$A$2:$A$1000=$A350)*(('Agences &amp; Après-vente'!$D$2:$D$1000="Après-vente")+('Agences &amp; Après-vente'!$D$2:$D$1000="Agences et Après-vente"))*('Agences &amp; Après-vente'!$I$2:$I$1000="DONE"))&gt;0,"✓",IF(SUMPRODUCT(MAX(('Agences &amp; Après-vente'!$A$2:$A$1000=$A350)*(('Agences &amp; Après-vente'!$D$2:$D$1000="Après-vente")+('Agences &amp; Après-vente'!$D$2:$D$1000="Agences et Après-vente"))*'Agences &amp; Après-vente'!$E$2:$E$1000))&gt;0,TEXT(SUMPRODUCT(MAX(('Agences &amp; Après-vente'!$A$2:$A$1000=$A350)*(('Agences &amp; Après-vente'!$D$2:$D$1000="Après-vente")+('Agences &amp; Après-vente'!$D$2:$D$1000="Agences et Après-vente"))*'Agences &amp; Après-vente'!$E$2:$E$1000)),"yyyy-mm-dd"),"")))))</f>
        <v/>
      </c>
      <c r="J350" s="131" t="str">
        <f aca="false">IF($T350="✓","✓",IF(ISNUMBER($T350),TEXT($T350,"yyyy-mm-dd"),IF($A350="","",IF($D350="Lisbonne","",IF(SUMPRODUCT(('Agences &amp; Après-vente'!$A$2:$A$1000=$A350)*(('Agences &amp; Après-vente'!$D$2:$D$1000="Après-vente")+('Agences &amp; Après-vente'!$D$2:$D$1000="Agences et Après-vente"))*('Agences &amp; Après-vente'!$I$2:$I$1000="DONE"))&gt;0,"✓",IF(SUMPRODUCT(MAX(('Agences &amp; Après-vente'!$A$2:$A$1000=$A350)*(('Agences &amp; Après-vente'!$D$2:$D$1000="Après-vente")+('Agences &amp; Après-vente'!$D$2:$D$1000="Agences et Après-vente"))*'Agences &amp; Après-vente'!$E$2:$E$1000))&gt;0,TEXT(SUMPRODUCT(MAX(('Agences &amp; Après-vente'!$A$2:$A$1000=$A350)*(('Agences &amp; Après-vente'!$D$2:$D$1000="Après-vente")+('Agences &amp; Après-vente'!$D$2:$D$1000="Agences et Après-vente"))*'Agences &amp; Après-vente'!$E$2:$E$1000)),"yyyy-mm-dd"),""))))))</f>
        <v/>
      </c>
      <c r="K350" s="131" t="str">
        <f aca="false">IF($U350="✓","✓",IF(ISNUMBER($U350),TEXT($U350,"yyyy-mm-dd"),IF($D350="Lisbonne","",IF($A350="","",IF(SUMPRODUCT((Evermont!$A$2:$A$1000=$A350)*(Evermont!$Q$2:$Q$1000="Terminé"))&gt;0,"✓",IF(SUMPRODUCT(MAX((Evermont!$A$2:$A$1000=$A350)*Evermont!$F$2:$F$1000))&gt;0,TEXT(SUMPRODUCT(MAX((Evermont!$A$2:$A$1000=$A350)*Evermont!$F$2:$F$1000)),"yyyy-mm-dd"),""))))))</f>
        <v/>
      </c>
      <c r="L350" s="131" t="str">
        <f aca="false">IF($A350="","",COUNTIF(E350:K350,"✓"))</f>
        <v/>
      </c>
      <c r="M350" s="131" t="str">
        <f aca="false">IF(B350="","","Active")</f>
        <v/>
      </c>
      <c r="W350" s="120" t="str">
        <f aca="false">IF($A350="","",IF($X350&lt;&gt;"",$X350,IFERROR(INDEX('Formation Initiale'!$B$2:$B$999,MATCH($A350,'Formation Initiale'!$A$2:$A$999,0)),"Général")))</f>
        <v/>
      </c>
    </row>
    <row r="351" customFormat="false" ht="15" hidden="true" customHeight="true" outlineLevel="0" collapsed="false">
      <c r="A351" s="142" t="str">
        <f aca="false">IF(B351="","","TR"&amp;TEXT(ROW()-1,"000"))</f>
        <v/>
      </c>
      <c r="E351" s="130" t="str">
        <f aca="false">IF($O351="✓","✓",IF(ISNUMBER($O351),TEXT($O351,"yyyy-mm-dd"),IF($A351="","",IF(SUMPRODUCT(('Formation Initiale'!$A$2:$A$999=$A351)*('Formation Initiale'!$R$2:$R$999="Terminé"))&gt;0,"✓",IF(SUMPRODUCT(MAX(('Formation Initiale'!$A$2:$A$999=$A351)*'Formation Initiale'!$G$2:$G$999))&gt;0,TEXT(SUMPRODUCT(MAX(('Formation Initiale'!$A$2:$A$999=$A351)*'Formation Initiale'!$G$2:$G$999)),"yyyy-mm-dd"),"")))))</f>
        <v/>
      </c>
      <c r="F351" s="131" t="str">
        <f aca="false">IF($P351="✓","✓",IF(ISNUMBER($P351),TEXT($P351,"yyyy-mm-dd"),IF($A351="","",IF($D351="Lisbonne","",IF(SUMPRODUCT(('Formation Initiale'!$A$2:$A$999=$A351)*('Formation Initiale'!$R$2:$R$999="Terminé"))&gt;0,"✓",IF(SUMPRODUCT(MAX(('Formation Initiale'!$A$2:$A$999=$A351)*'Formation Initiale'!$G$2:$G$999))&gt;0,TEXT(SUMPRODUCT(MAX(('Formation Initiale'!$A$2:$A$999=$A351)*'Formation Initiale'!$G$2:$G$999)),"yyyy-mm-dd"),""))))))</f>
        <v/>
      </c>
      <c r="G351" s="131" t="str">
        <f aca="false">IF($Q351="✓","✓",IF(ISNUMBER($Q351),TEXT($Q351,"yyyy-mm-dd"),IF($A351="","",IF(SUMPRODUCT(('Agences &amp; Après-vente'!$A$2:$A$1000=$A351)*(('Agences &amp; Après-vente'!$D$2:$D$1000="Agences")+('Agences &amp; Après-vente'!$D$2:$D$1000="Agences et Après-vente"))*('Agences &amp; Après-vente'!$I$2:$I$1000="DONE"))&gt;0,"✓",IF(SUMPRODUCT(MAX(('Agences &amp; Après-vente'!$A$2:$A$1000=$A351)*(('Agences &amp; Après-vente'!$D$2:$D$1000="Agences")+('Agences &amp; Après-vente'!$D$2:$D$1000="Agences et Après-vente"))*'Agences &amp; Après-vente'!$E$2:$E$1000))&gt;0,TEXT(SUMPRODUCT(MAX(('Agences &amp; Après-vente'!$A$2:$A$1000=$A351)*(('Agences &amp; Après-vente'!$D$2:$D$1000="Agences")+('Agences &amp; Après-vente'!$D$2:$D$1000="Agences et Après-vente"))*'Agences &amp; Après-vente'!$E$2:$E$1000)),"yyyy-mm-dd"),"")))))</f>
        <v/>
      </c>
      <c r="H351" s="131" t="str">
        <f aca="false">IF($R351="✓","✓",IF(ISNUMBER($R351),TEXT($R351,"yyyy-mm-dd"),IF($A351="","",IF($D351="Lisbonne","",IF(SUMPRODUCT(('Agences &amp; Après-vente'!$A$2:$A$1000=$A351)*(('Agences &amp; Après-vente'!$D$2:$D$1000="Agences")+('Agences &amp; Après-vente'!$D$2:$D$1000="Agences et Après-vente"))*('Agences &amp; Après-vente'!$I$2:$I$1000="DONE"))&gt;0,"✓",IF(SUMPRODUCT(MAX(('Agences &amp; Après-vente'!$A$2:$A$1000=$A351)*(('Agences &amp; Après-vente'!$D$2:$D$1000="Agences")+('Agences &amp; Après-vente'!$D$2:$D$1000="Agences et Après-vente"))*'Agences &amp; Après-vente'!$E$2:$E$1000))&gt;0,TEXT(SUMPRODUCT(MAX(('Agences &amp; Après-vente'!$A$2:$A$1000=$A351)*(('Agences &amp; Après-vente'!$D$2:$D$1000="Agences")+('Agences &amp; Après-vente'!$D$2:$D$1000="Agences et Après-vente"))*'Agences &amp; Après-vente'!$E$2:$E$1000)),"yyyy-mm-dd"),""))))))</f>
        <v/>
      </c>
      <c r="I351" s="131" t="str">
        <f aca="false">IF($S351="✓","✓",IF(ISNUMBER($S351),TEXT($S351,"yyyy-mm-dd"),IF($A351="","",IF(SUMPRODUCT(('Agences &amp; Après-vente'!$A$2:$A$1000=$A351)*(('Agences &amp; Après-vente'!$D$2:$D$1000="Après-vente")+('Agences &amp; Après-vente'!$D$2:$D$1000="Agences et Après-vente"))*('Agences &amp; Après-vente'!$I$2:$I$1000="DONE"))&gt;0,"✓",IF(SUMPRODUCT(MAX(('Agences &amp; Après-vente'!$A$2:$A$1000=$A351)*(('Agences &amp; Après-vente'!$D$2:$D$1000="Après-vente")+('Agences &amp; Après-vente'!$D$2:$D$1000="Agences et Après-vente"))*'Agences &amp; Après-vente'!$E$2:$E$1000))&gt;0,TEXT(SUMPRODUCT(MAX(('Agences &amp; Après-vente'!$A$2:$A$1000=$A351)*(('Agences &amp; Après-vente'!$D$2:$D$1000="Après-vente")+('Agences &amp; Après-vente'!$D$2:$D$1000="Agences et Après-vente"))*'Agences &amp; Après-vente'!$E$2:$E$1000)),"yyyy-mm-dd"),"")))))</f>
        <v/>
      </c>
      <c r="J351" s="131" t="str">
        <f aca="false">IF($T351="✓","✓",IF(ISNUMBER($T351),TEXT($T351,"yyyy-mm-dd"),IF($A351="","",IF($D351="Lisbonne","",IF(SUMPRODUCT(('Agences &amp; Après-vente'!$A$2:$A$1000=$A351)*(('Agences &amp; Après-vente'!$D$2:$D$1000="Après-vente")+('Agences &amp; Après-vente'!$D$2:$D$1000="Agences et Après-vente"))*('Agences &amp; Après-vente'!$I$2:$I$1000="DONE"))&gt;0,"✓",IF(SUMPRODUCT(MAX(('Agences &amp; Après-vente'!$A$2:$A$1000=$A351)*(('Agences &amp; Après-vente'!$D$2:$D$1000="Après-vente")+('Agences &amp; Après-vente'!$D$2:$D$1000="Agences et Après-vente"))*'Agences &amp; Après-vente'!$E$2:$E$1000))&gt;0,TEXT(SUMPRODUCT(MAX(('Agences &amp; Après-vente'!$A$2:$A$1000=$A351)*(('Agences &amp; Après-vente'!$D$2:$D$1000="Après-vente")+('Agences &amp; Après-vente'!$D$2:$D$1000="Agences et Après-vente"))*'Agences &amp; Après-vente'!$E$2:$E$1000)),"yyyy-mm-dd"),""))))))</f>
        <v/>
      </c>
      <c r="K351" s="131" t="str">
        <f aca="false">IF($U351="✓","✓",IF(ISNUMBER($U351),TEXT($U351,"yyyy-mm-dd"),IF($D351="Lisbonne","",IF($A351="","",IF(SUMPRODUCT((Evermont!$A$2:$A$1000=$A351)*(Evermont!$Q$2:$Q$1000="Terminé"))&gt;0,"✓",IF(SUMPRODUCT(MAX((Evermont!$A$2:$A$1000=$A351)*Evermont!$F$2:$F$1000))&gt;0,TEXT(SUMPRODUCT(MAX((Evermont!$A$2:$A$1000=$A351)*Evermont!$F$2:$F$1000)),"yyyy-mm-dd"),""))))))</f>
        <v/>
      </c>
      <c r="L351" s="131" t="str">
        <f aca="false">IF($A351="","",COUNTIF(E351:K351,"✓"))</f>
        <v/>
      </c>
      <c r="M351" s="131" t="str">
        <f aca="false">IF(B351="","","Active")</f>
        <v/>
      </c>
      <c r="W351" s="120" t="str">
        <f aca="false">IF($A351="","",IF($X351&lt;&gt;"",$X351,IFERROR(INDEX('Formation Initiale'!$B$2:$B$999,MATCH($A351,'Formation Initiale'!$A$2:$A$999,0)),"Général")))</f>
        <v/>
      </c>
    </row>
    <row r="352" customFormat="false" ht="15" hidden="true" customHeight="true" outlineLevel="0" collapsed="false">
      <c r="A352" s="142" t="str">
        <f aca="false">IF(B352="","","TR"&amp;TEXT(ROW()-1,"000"))</f>
        <v/>
      </c>
      <c r="E352" s="130" t="str">
        <f aca="false">IF($O352="✓","✓",IF(ISNUMBER($O352),TEXT($O352,"yyyy-mm-dd"),IF($A352="","",IF(SUMPRODUCT(('Formation Initiale'!$A$2:$A$999=$A352)*('Formation Initiale'!$R$2:$R$999="Terminé"))&gt;0,"✓",IF(SUMPRODUCT(MAX(('Formation Initiale'!$A$2:$A$999=$A352)*'Formation Initiale'!$G$2:$G$999))&gt;0,TEXT(SUMPRODUCT(MAX(('Formation Initiale'!$A$2:$A$999=$A352)*'Formation Initiale'!$G$2:$G$999)),"yyyy-mm-dd"),"")))))</f>
        <v/>
      </c>
      <c r="F352" s="131" t="str">
        <f aca="false">IF($P352="✓","✓",IF(ISNUMBER($P352),TEXT($P352,"yyyy-mm-dd"),IF($A352="","",IF($D352="Lisbonne","",IF(SUMPRODUCT(('Formation Initiale'!$A$2:$A$999=$A352)*('Formation Initiale'!$R$2:$R$999="Terminé"))&gt;0,"✓",IF(SUMPRODUCT(MAX(('Formation Initiale'!$A$2:$A$999=$A352)*'Formation Initiale'!$G$2:$G$999))&gt;0,TEXT(SUMPRODUCT(MAX(('Formation Initiale'!$A$2:$A$999=$A352)*'Formation Initiale'!$G$2:$G$999)),"yyyy-mm-dd"),""))))))</f>
        <v/>
      </c>
      <c r="G352" s="131" t="str">
        <f aca="false">IF($Q352="✓","✓",IF(ISNUMBER($Q352),TEXT($Q352,"yyyy-mm-dd"),IF($A352="","",IF(SUMPRODUCT(('Agences &amp; Après-vente'!$A$2:$A$1000=$A352)*(('Agences &amp; Après-vente'!$D$2:$D$1000="Agences")+('Agences &amp; Après-vente'!$D$2:$D$1000="Agences et Après-vente"))*('Agences &amp; Après-vente'!$I$2:$I$1000="DONE"))&gt;0,"✓",IF(SUMPRODUCT(MAX(('Agences &amp; Après-vente'!$A$2:$A$1000=$A352)*(('Agences &amp; Après-vente'!$D$2:$D$1000="Agences")+('Agences &amp; Après-vente'!$D$2:$D$1000="Agences et Après-vente"))*'Agences &amp; Après-vente'!$E$2:$E$1000))&gt;0,TEXT(SUMPRODUCT(MAX(('Agences &amp; Après-vente'!$A$2:$A$1000=$A352)*(('Agences &amp; Après-vente'!$D$2:$D$1000="Agences")+('Agences &amp; Après-vente'!$D$2:$D$1000="Agences et Après-vente"))*'Agences &amp; Après-vente'!$E$2:$E$1000)),"yyyy-mm-dd"),"")))))</f>
        <v/>
      </c>
      <c r="H352" s="131" t="str">
        <f aca="false">IF($R352="✓","✓",IF(ISNUMBER($R352),TEXT($R352,"yyyy-mm-dd"),IF($A352="","",IF($D352="Lisbonne","",IF(SUMPRODUCT(('Agences &amp; Après-vente'!$A$2:$A$1000=$A352)*(('Agences &amp; Après-vente'!$D$2:$D$1000="Agences")+('Agences &amp; Après-vente'!$D$2:$D$1000="Agences et Après-vente"))*('Agences &amp; Après-vente'!$I$2:$I$1000="DONE"))&gt;0,"✓",IF(SUMPRODUCT(MAX(('Agences &amp; Après-vente'!$A$2:$A$1000=$A352)*(('Agences &amp; Après-vente'!$D$2:$D$1000="Agences")+('Agences &amp; Après-vente'!$D$2:$D$1000="Agences et Après-vente"))*'Agences &amp; Après-vente'!$E$2:$E$1000))&gt;0,TEXT(SUMPRODUCT(MAX(('Agences &amp; Après-vente'!$A$2:$A$1000=$A352)*(('Agences &amp; Après-vente'!$D$2:$D$1000="Agences")+('Agences &amp; Après-vente'!$D$2:$D$1000="Agences et Après-vente"))*'Agences &amp; Après-vente'!$E$2:$E$1000)),"yyyy-mm-dd"),""))))))</f>
        <v/>
      </c>
      <c r="I352" s="131" t="str">
        <f aca="false">IF($S352="✓","✓",IF(ISNUMBER($S352),TEXT($S352,"yyyy-mm-dd"),IF($A352="","",IF(SUMPRODUCT(('Agences &amp; Après-vente'!$A$2:$A$1000=$A352)*(('Agences &amp; Après-vente'!$D$2:$D$1000="Après-vente")+('Agences &amp; Après-vente'!$D$2:$D$1000="Agences et Après-vente"))*('Agences &amp; Après-vente'!$I$2:$I$1000="DONE"))&gt;0,"✓",IF(SUMPRODUCT(MAX(('Agences &amp; Après-vente'!$A$2:$A$1000=$A352)*(('Agences &amp; Après-vente'!$D$2:$D$1000="Après-vente")+('Agences &amp; Après-vente'!$D$2:$D$1000="Agences et Après-vente"))*'Agences &amp; Après-vente'!$E$2:$E$1000))&gt;0,TEXT(SUMPRODUCT(MAX(('Agences &amp; Après-vente'!$A$2:$A$1000=$A352)*(('Agences &amp; Après-vente'!$D$2:$D$1000="Après-vente")+('Agences &amp; Après-vente'!$D$2:$D$1000="Agences et Après-vente"))*'Agences &amp; Après-vente'!$E$2:$E$1000)),"yyyy-mm-dd"),"")))))</f>
        <v/>
      </c>
      <c r="J352" s="131" t="str">
        <f aca="false">IF($T352="✓","✓",IF(ISNUMBER($T352),TEXT($T352,"yyyy-mm-dd"),IF($A352="","",IF($D352="Lisbonne","",IF(SUMPRODUCT(('Agences &amp; Après-vente'!$A$2:$A$1000=$A352)*(('Agences &amp; Après-vente'!$D$2:$D$1000="Après-vente")+('Agences &amp; Après-vente'!$D$2:$D$1000="Agences et Après-vente"))*('Agences &amp; Après-vente'!$I$2:$I$1000="DONE"))&gt;0,"✓",IF(SUMPRODUCT(MAX(('Agences &amp; Après-vente'!$A$2:$A$1000=$A352)*(('Agences &amp; Après-vente'!$D$2:$D$1000="Après-vente")+('Agences &amp; Après-vente'!$D$2:$D$1000="Agences et Après-vente"))*'Agences &amp; Après-vente'!$E$2:$E$1000))&gt;0,TEXT(SUMPRODUCT(MAX(('Agences &amp; Après-vente'!$A$2:$A$1000=$A352)*(('Agences &amp; Après-vente'!$D$2:$D$1000="Après-vente")+('Agences &amp; Après-vente'!$D$2:$D$1000="Agences et Après-vente"))*'Agences &amp; Après-vente'!$E$2:$E$1000)),"yyyy-mm-dd"),""))))))</f>
        <v/>
      </c>
      <c r="K352" s="131" t="str">
        <f aca="false">IF($U352="✓","✓",IF(ISNUMBER($U352),TEXT($U352,"yyyy-mm-dd"),IF($D352="Lisbonne","",IF($A352="","",IF(SUMPRODUCT((Evermont!$A$2:$A$1000=$A352)*(Evermont!$Q$2:$Q$1000="Terminé"))&gt;0,"✓",IF(SUMPRODUCT(MAX((Evermont!$A$2:$A$1000=$A352)*Evermont!$F$2:$F$1000))&gt;0,TEXT(SUMPRODUCT(MAX((Evermont!$A$2:$A$1000=$A352)*Evermont!$F$2:$F$1000)),"yyyy-mm-dd"),""))))))</f>
        <v/>
      </c>
      <c r="L352" s="131" t="str">
        <f aca="false">IF($A352="","",COUNTIF(E352:K352,"✓"))</f>
        <v/>
      </c>
      <c r="M352" s="131" t="str">
        <f aca="false">IF(B352="","","Active")</f>
        <v/>
      </c>
      <c r="W352" s="120" t="str">
        <f aca="false">IF($A352="","",IF($X352&lt;&gt;"",$X352,IFERROR(INDEX('Formation Initiale'!$B$2:$B$999,MATCH($A352,'Formation Initiale'!$A$2:$A$999,0)),"Général")))</f>
        <v/>
      </c>
    </row>
    <row r="353" customFormat="false" ht="15" hidden="true" customHeight="true" outlineLevel="0" collapsed="false">
      <c r="A353" s="142" t="str">
        <f aca="false">IF(B353="","","TR"&amp;TEXT(ROW()-1,"000"))</f>
        <v/>
      </c>
      <c r="E353" s="130" t="str">
        <f aca="false">IF($O353="✓","✓",IF(ISNUMBER($O353),TEXT($O353,"yyyy-mm-dd"),IF($A353="","",IF(SUMPRODUCT(('Formation Initiale'!$A$2:$A$999=$A353)*('Formation Initiale'!$R$2:$R$999="Terminé"))&gt;0,"✓",IF(SUMPRODUCT(MAX(('Formation Initiale'!$A$2:$A$999=$A353)*'Formation Initiale'!$G$2:$G$999))&gt;0,TEXT(SUMPRODUCT(MAX(('Formation Initiale'!$A$2:$A$999=$A353)*'Formation Initiale'!$G$2:$G$999)),"yyyy-mm-dd"),"")))))</f>
        <v/>
      </c>
      <c r="F353" s="131" t="str">
        <f aca="false">IF($P353="✓","✓",IF(ISNUMBER($P353),TEXT($P353,"yyyy-mm-dd"),IF($A353="","",IF($D353="Lisbonne","",IF(SUMPRODUCT(('Formation Initiale'!$A$2:$A$999=$A353)*('Formation Initiale'!$R$2:$R$999="Terminé"))&gt;0,"✓",IF(SUMPRODUCT(MAX(('Formation Initiale'!$A$2:$A$999=$A353)*'Formation Initiale'!$G$2:$G$999))&gt;0,TEXT(SUMPRODUCT(MAX(('Formation Initiale'!$A$2:$A$999=$A353)*'Formation Initiale'!$G$2:$G$999)),"yyyy-mm-dd"),""))))))</f>
        <v/>
      </c>
      <c r="G353" s="131" t="str">
        <f aca="false">IF($Q353="✓","✓",IF(ISNUMBER($Q353),TEXT($Q353,"yyyy-mm-dd"),IF($A353="","",IF(SUMPRODUCT(('Agences &amp; Après-vente'!$A$2:$A$1000=$A353)*(('Agences &amp; Après-vente'!$D$2:$D$1000="Agences")+('Agences &amp; Après-vente'!$D$2:$D$1000="Agences et Après-vente"))*('Agences &amp; Après-vente'!$I$2:$I$1000="DONE"))&gt;0,"✓",IF(SUMPRODUCT(MAX(('Agences &amp; Après-vente'!$A$2:$A$1000=$A353)*(('Agences &amp; Après-vente'!$D$2:$D$1000="Agences")+('Agences &amp; Après-vente'!$D$2:$D$1000="Agences et Après-vente"))*'Agences &amp; Après-vente'!$E$2:$E$1000))&gt;0,TEXT(SUMPRODUCT(MAX(('Agences &amp; Après-vente'!$A$2:$A$1000=$A353)*(('Agences &amp; Après-vente'!$D$2:$D$1000="Agences")+('Agences &amp; Après-vente'!$D$2:$D$1000="Agences et Après-vente"))*'Agences &amp; Après-vente'!$E$2:$E$1000)),"yyyy-mm-dd"),"")))))</f>
        <v/>
      </c>
      <c r="H353" s="131" t="str">
        <f aca="false">IF($R353="✓","✓",IF(ISNUMBER($R353),TEXT($R353,"yyyy-mm-dd"),IF($A353="","",IF($D353="Lisbonne","",IF(SUMPRODUCT(('Agences &amp; Après-vente'!$A$2:$A$1000=$A353)*(('Agences &amp; Après-vente'!$D$2:$D$1000="Agences")+('Agences &amp; Après-vente'!$D$2:$D$1000="Agences et Après-vente"))*('Agences &amp; Après-vente'!$I$2:$I$1000="DONE"))&gt;0,"✓",IF(SUMPRODUCT(MAX(('Agences &amp; Après-vente'!$A$2:$A$1000=$A353)*(('Agences &amp; Après-vente'!$D$2:$D$1000="Agences")+('Agences &amp; Après-vente'!$D$2:$D$1000="Agences et Après-vente"))*'Agences &amp; Après-vente'!$E$2:$E$1000))&gt;0,TEXT(SUMPRODUCT(MAX(('Agences &amp; Après-vente'!$A$2:$A$1000=$A353)*(('Agences &amp; Après-vente'!$D$2:$D$1000="Agences")+('Agences &amp; Après-vente'!$D$2:$D$1000="Agences et Après-vente"))*'Agences &amp; Après-vente'!$E$2:$E$1000)),"yyyy-mm-dd"),""))))))</f>
        <v/>
      </c>
      <c r="I353" s="131" t="str">
        <f aca="false">IF($S353="✓","✓",IF(ISNUMBER($S353),TEXT($S353,"yyyy-mm-dd"),IF($A353="","",IF(SUMPRODUCT(('Agences &amp; Après-vente'!$A$2:$A$1000=$A353)*(('Agences &amp; Après-vente'!$D$2:$D$1000="Après-vente")+('Agences &amp; Après-vente'!$D$2:$D$1000="Agences et Après-vente"))*('Agences &amp; Après-vente'!$I$2:$I$1000="DONE"))&gt;0,"✓",IF(SUMPRODUCT(MAX(('Agences &amp; Après-vente'!$A$2:$A$1000=$A353)*(('Agences &amp; Après-vente'!$D$2:$D$1000="Après-vente")+('Agences &amp; Après-vente'!$D$2:$D$1000="Agences et Après-vente"))*'Agences &amp; Après-vente'!$E$2:$E$1000))&gt;0,TEXT(SUMPRODUCT(MAX(('Agences &amp; Après-vente'!$A$2:$A$1000=$A353)*(('Agences &amp; Après-vente'!$D$2:$D$1000="Après-vente")+('Agences &amp; Après-vente'!$D$2:$D$1000="Agences et Après-vente"))*'Agences &amp; Après-vente'!$E$2:$E$1000)),"yyyy-mm-dd"),"")))))</f>
        <v/>
      </c>
      <c r="J353" s="131" t="str">
        <f aca="false">IF($T353="✓","✓",IF(ISNUMBER($T353),TEXT($T353,"yyyy-mm-dd"),IF($A353="","",IF($D353="Lisbonne","",IF(SUMPRODUCT(('Agences &amp; Après-vente'!$A$2:$A$1000=$A353)*(('Agences &amp; Après-vente'!$D$2:$D$1000="Après-vente")+('Agences &amp; Après-vente'!$D$2:$D$1000="Agences et Après-vente"))*('Agences &amp; Après-vente'!$I$2:$I$1000="DONE"))&gt;0,"✓",IF(SUMPRODUCT(MAX(('Agences &amp; Après-vente'!$A$2:$A$1000=$A353)*(('Agences &amp; Après-vente'!$D$2:$D$1000="Après-vente")+('Agences &amp; Après-vente'!$D$2:$D$1000="Agences et Après-vente"))*'Agences &amp; Après-vente'!$E$2:$E$1000))&gt;0,TEXT(SUMPRODUCT(MAX(('Agences &amp; Après-vente'!$A$2:$A$1000=$A353)*(('Agences &amp; Après-vente'!$D$2:$D$1000="Après-vente")+('Agences &amp; Après-vente'!$D$2:$D$1000="Agences et Après-vente"))*'Agences &amp; Après-vente'!$E$2:$E$1000)),"yyyy-mm-dd"),""))))))</f>
        <v/>
      </c>
      <c r="K353" s="131" t="str">
        <f aca="false">IF($U353="✓","✓",IF(ISNUMBER($U353),TEXT($U353,"yyyy-mm-dd"),IF($D353="Lisbonne","",IF($A353="","",IF(SUMPRODUCT((Evermont!$A$2:$A$1000=$A353)*(Evermont!$Q$2:$Q$1000="Terminé"))&gt;0,"✓",IF(SUMPRODUCT(MAX((Evermont!$A$2:$A$1000=$A353)*Evermont!$F$2:$F$1000))&gt;0,TEXT(SUMPRODUCT(MAX((Evermont!$A$2:$A$1000=$A353)*Evermont!$F$2:$F$1000)),"yyyy-mm-dd"),""))))))</f>
        <v/>
      </c>
      <c r="L353" s="131" t="str">
        <f aca="false">IF($A353="","",COUNTIF(E353:K353,"✓"))</f>
        <v/>
      </c>
      <c r="M353" s="131" t="str">
        <f aca="false">IF(B353="","","Active")</f>
        <v/>
      </c>
      <c r="W353" s="120" t="str">
        <f aca="false">IF($A353="","",IF($X353&lt;&gt;"",$X353,IFERROR(INDEX('Formation Initiale'!$B$2:$B$999,MATCH($A353,'Formation Initiale'!$A$2:$A$999,0)),"Général")))</f>
        <v/>
      </c>
    </row>
    <row r="354" customFormat="false" ht="15" hidden="true" customHeight="true" outlineLevel="0" collapsed="false">
      <c r="A354" s="142" t="str">
        <f aca="false">IF(B354="","","TR"&amp;TEXT(ROW()-1,"000"))</f>
        <v/>
      </c>
      <c r="E354" s="130" t="str">
        <f aca="false">IF($O354="✓","✓",IF(ISNUMBER($O354),TEXT($O354,"yyyy-mm-dd"),IF($A354="","",IF(SUMPRODUCT(('Formation Initiale'!$A$2:$A$999=$A354)*('Formation Initiale'!$R$2:$R$999="Terminé"))&gt;0,"✓",IF(SUMPRODUCT(MAX(('Formation Initiale'!$A$2:$A$999=$A354)*'Formation Initiale'!$G$2:$G$999))&gt;0,TEXT(SUMPRODUCT(MAX(('Formation Initiale'!$A$2:$A$999=$A354)*'Formation Initiale'!$G$2:$G$999)),"yyyy-mm-dd"),"")))))</f>
        <v/>
      </c>
      <c r="F354" s="131" t="str">
        <f aca="false">IF($P354="✓","✓",IF(ISNUMBER($P354),TEXT($P354,"yyyy-mm-dd"),IF($A354="","",IF($D354="Lisbonne","",IF(SUMPRODUCT(('Formation Initiale'!$A$2:$A$999=$A354)*('Formation Initiale'!$R$2:$R$999="Terminé"))&gt;0,"✓",IF(SUMPRODUCT(MAX(('Formation Initiale'!$A$2:$A$999=$A354)*'Formation Initiale'!$G$2:$G$999))&gt;0,TEXT(SUMPRODUCT(MAX(('Formation Initiale'!$A$2:$A$999=$A354)*'Formation Initiale'!$G$2:$G$999)),"yyyy-mm-dd"),""))))))</f>
        <v/>
      </c>
      <c r="G354" s="131" t="str">
        <f aca="false">IF($Q354="✓","✓",IF(ISNUMBER($Q354),TEXT($Q354,"yyyy-mm-dd"),IF($A354="","",IF(SUMPRODUCT(('Agences &amp; Après-vente'!$A$2:$A$1000=$A354)*(('Agences &amp; Après-vente'!$D$2:$D$1000="Agences")+('Agences &amp; Après-vente'!$D$2:$D$1000="Agences et Après-vente"))*('Agences &amp; Après-vente'!$I$2:$I$1000="DONE"))&gt;0,"✓",IF(SUMPRODUCT(MAX(('Agences &amp; Après-vente'!$A$2:$A$1000=$A354)*(('Agences &amp; Après-vente'!$D$2:$D$1000="Agences")+('Agences &amp; Après-vente'!$D$2:$D$1000="Agences et Après-vente"))*'Agences &amp; Après-vente'!$E$2:$E$1000))&gt;0,TEXT(SUMPRODUCT(MAX(('Agences &amp; Après-vente'!$A$2:$A$1000=$A354)*(('Agences &amp; Après-vente'!$D$2:$D$1000="Agences")+('Agences &amp; Après-vente'!$D$2:$D$1000="Agences et Après-vente"))*'Agences &amp; Après-vente'!$E$2:$E$1000)),"yyyy-mm-dd"),"")))))</f>
        <v/>
      </c>
      <c r="H354" s="131" t="str">
        <f aca="false">IF($R354="✓","✓",IF(ISNUMBER($R354),TEXT($R354,"yyyy-mm-dd"),IF($A354="","",IF($D354="Lisbonne","",IF(SUMPRODUCT(('Agences &amp; Après-vente'!$A$2:$A$1000=$A354)*(('Agences &amp; Après-vente'!$D$2:$D$1000="Agences")+('Agences &amp; Après-vente'!$D$2:$D$1000="Agences et Après-vente"))*('Agences &amp; Après-vente'!$I$2:$I$1000="DONE"))&gt;0,"✓",IF(SUMPRODUCT(MAX(('Agences &amp; Après-vente'!$A$2:$A$1000=$A354)*(('Agences &amp; Après-vente'!$D$2:$D$1000="Agences")+('Agences &amp; Après-vente'!$D$2:$D$1000="Agences et Après-vente"))*'Agences &amp; Après-vente'!$E$2:$E$1000))&gt;0,TEXT(SUMPRODUCT(MAX(('Agences &amp; Après-vente'!$A$2:$A$1000=$A354)*(('Agences &amp; Après-vente'!$D$2:$D$1000="Agences")+('Agences &amp; Après-vente'!$D$2:$D$1000="Agences et Après-vente"))*'Agences &amp; Après-vente'!$E$2:$E$1000)),"yyyy-mm-dd"),""))))))</f>
        <v/>
      </c>
      <c r="I354" s="131" t="str">
        <f aca="false">IF($S354="✓","✓",IF(ISNUMBER($S354),TEXT($S354,"yyyy-mm-dd"),IF($A354="","",IF(SUMPRODUCT(('Agences &amp; Après-vente'!$A$2:$A$1000=$A354)*(('Agences &amp; Après-vente'!$D$2:$D$1000="Après-vente")+('Agences &amp; Après-vente'!$D$2:$D$1000="Agences et Après-vente"))*('Agences &amp; Après-vente'!$I$2:$I$1000="DONE"))&gt;0,"✓",IF(SUMPRODUCT(MAX(('Agences &amp; Après-vente'!$A$2:$A$1000=$A354)*(('Agences &amp; Après-vente'!$D$2:$D$1000="Après-vente")+('Agences &amp; Après-vente'!$D$2:$D$1000="Agences et Après-vente"))*'Agences &amp; Après-vente'!$E$2:$E$1000))&gt;0,TEXT(SUMPRODUCT(MAX(('Agences &amp; Après-vente'!$A$2:$A$1000=$A354)*(('Agences &amp; Après-vente'!$D$2:$D$1000="Après-vente")+('Agences &amp; Après-vente'!$D$2:$D$1000="Agences et Après-vente"))*'Agences &amp; Après-vente'!$E$2:$E$1000)),"yyyy-mm-dd"),"")))))</f>
        <v/>
      </c>
      <c r="J354" s="131" t="str">
        <f aca="false">IF($T354="✓","✓",IF(ISNUMBER($T354),TEXT($T354,"yyyy-mm-dd"),IF($A354="","",IF($D354="Lisbonne","",IF(SUMPRODUCT(('Agences &amp; Après-vente'!$A$2:$A$1000=$A354)*(('Agences &amp; Après-vente'!$D$2:$D$1000="Après-vente")+('Agences &amp; Après-vente'!$D$2:$D$1000="Agences et Après-vente"))*('Agences &amp; Après-vente'!$I$2:$I$1000="DONE"))&gt;0,"✓",IF(SUMPRODUCT(MAX(('Agences &amp; Après-vente'!$A$2:$A$1000=$A354)*(('Agences &amp; Après-vente'!$D$2:$D$1000="Après-vente")+('Agences &amp; Après-vente'!$D$2:$D$1000="Agences et Après-vente"))*'Agences &amp; Après-vente'!$E$2:$E$1000))&gt;0,TEXT(SUMPRODUCT(MAX(('Agences &amp; Après-vente'!$A$2:$A$1000=$A354)*(('Agences &amp; Après-vente'!$D$2:$D$1000="Après-vente")+('Agences &amp; Après-vente'!$D$2:$D$1000="Agences et Après-vente"))*'Agences &amp; Après-vente'!$E$2:$E$1000)),"yyyy-mm-dd"),""))))))</f>
        <v/>
      </c>
      <c r="K354" s="131" t="str">
        <f aca="false">IF($U354="✓","✓",IF(ISNUMBER($U354),TEXT($U354,"yyyy-mm-dd"),IF($D354="Lisbonne","",IF($A354="","",IF(SUMPRODUCT((Evermont!$A$2:$A$1000=$A354)*(Evermont!$Q$2:$Q$1000="Terminé"))&gt;0,"✓",IF(SUMPRODUCT(MAX((Evermont!$A$2:$A$1000=$A354)*Evermont!$F$2:$F$1000))&gt;0,TEXT(SUMPRODUCT(MAX((Evermont!$A$2:$A$1000=$A354)*Evermont!$F$2:$F$1000)),"yyyy-mm-dd"),""))))))</f>
        <v/>
      </c>
      <c r="L354" s="131" t="str">
        <f aca="false">IF($A354="","",COUNTIF(E354:K354,"✓"))</f>
        <v/>
      </c>
      <c r="M354" s="131" t="str">
        <f aca="false">IF(B354="","","Active")</f>
        <v/>
      </c>
      <c r="W354" s="120" t="str">
        <f aca="false">IF($A354="","",IF($X354&lt;&gt;"",$X354,IFERROR(INDEX('Formation Initiale'!$B$2:$B$999,MATCH($A354,'Formation Initiale'!$A$2:$A$999,0)),"Général")))</f>
        <v/>
      </c>
    </row>
    <row r="355" customFormat="false" ht="15" hidden="true" customHeight="true" outlineLevel="0" collapsed="false">
      <c r="A355" s="142" t="str">
        <f aca="false">IF(B355="","","TR"&amp;TEXT(ROW()-1,"000"))</f>
        <v/>
      </c>
      <c r="E355" s="130" t="str">
        <f aca="false">IF($O355="✓","✓",IF(ISNUMBER($O355),TEXT($O355,"yyyy-mm-dd"),IF($A355="","",IF(SUMPRODUCT(('Formation Initiale'!$A$2:$A$999=$A355)*('Formation Initiale'!$R$2:$R$999="Terminé"))&gt;0,"✓",IF(SUMPRODUCT(MAX(('Formation Initiale'!$A$2:$A$999=$A355)*'Formation Initiale'!$G$2:$G$999))&gt;0,TEXT(SUMPRODUCT(MAX(('Formation Initiale'!$A$2:$A$999=$A355)*'Formation Initiale'!$G$2:$G$999)),"yyyy-mm-dd"),"")))))</f>
        <v/>
      </c>
      <c r="F355" s="131" t="str">
        <f aca="false">IF($P355="✓","✓",IF(ISNUMBER($P355),TEXT($P355,"yyyy-mm-dd"),IF($A355="","",IF($D355="Lisbonne","",IF(SUMPRODUCT(('Formation Initiale'!$A$2:$A$999=$A355)*('Formation Initiale'!$R$2:$R$999="Terminé"))&gt;0,"✓",IF(SUMPRODUCT(MAX(('Formation Initiale'!$A$2:$A$999=$A355)*'Formation Initiale'!$G$2:$G$999))&gt;0,TEXT(SUMPRODUCT(MAX(('Formation Initiale'!$A$2:$A$999=$A355)*'Formation Initiale'!$G$2:$G$999)),"yyyy-mm-dd"),""))))))</f>
        <v/>
      </c>
      <c r="G355" s="131" t="str">
        <f aca="false">IF($Q355="✓","✓",IF(ISNUMBER($Q355),TEXT($Q355,"yyyy-mm-dd"),IF($A355="","",IF(SUMPRODUCT(('Agences &amp; Après-vente'!$A$2:$A$1000=$A355)*(('Agences &amp; Après-vente'!$D$2:$D$1000="Agences")+('Agences &amp; Après-vente'!$D$2:$D$1000="Agences et Après-vente"))*('Agences &amp; Après-vente'!$I$2:$I$1000="DONE"))&gt;0,"✓",IF(SUMPRODUCT(MAX(('Agences &amp; Après-vente'!$A$2:$A$1000=$A355)*(('Agences &amp; Après-vente'!$D$2:$D$1000="Agences")+('Agences &amp; Après-vente'!$D$2:$D$1000="Agences et Après-vente"))*'Agences &amp; Après-vente'!$E$2:$E$1000))&gt;0,TEXT(SUMPRODUCT(MAX(('Agences &amp; Après-vente'!$A$2:$A$1000=$A355)*(('Agences &amp; Après-vente'!$D$2:$D$1000="Agences")+('Agences &amp; Après-vente'!$D$2:$D$1000="Agences et Après-vente"))*'Agences &amp; Après-vente'!$E$2:$E$1000)),"yyyy-mm-dd"),"")))))</f>
        <v/>
      </c>
      <c r="H355" s="131" t="str">
        <f aca="false">IF($R355="✓","✓",IF(ISNUMBER($R355),TEXT($R355,"yyyy-mm-dd"),IF($A355="","",IF($D355="Lisbonne","",IF(SUMPRODUCT(('Agences &amp; Après-vente'!$A$2:$A$1000=$A355)*(('Agences &amp; Après-vente'!$D$2:$D$1000="Agences")+('Agences &amp; Après-vente'!$D$2:$D$1000="Agences et Après-vente"))*('Agences &amp; Après-vente'!$I$2:$I$1000="DONE"))&gt;0,"✓",IF(SUMPRODUCT(MAX(('Agences &amp; Après-vente'!$A$2:$A$1000=$A355)*(('Agences &amp; Après-vente'!$D$2:$D$1000="Agences")+('Agences &amp; Après-vente'!$D$2:$D$1000="Agences et Après-vente"))*'Agences &amp; Après-vente'!$E$2:$E$1000))&gt;0,TEXT(SUMPRODUCT(MAX(('Agences &amp; Après-vente'!$A$2:$A$1000=$A355)*(('Agences &amp; Après-vente'!$D$2:$D$1000="Agences")+('Agences &amp; Après-vente'!$D$2:$D$1000="Agences et Après-vente"))*'Agences &amp; Après-vente'!$E$2:$E$1000)),"yyyy-mm-dd"),""))))))</f>
        <v/>
      </c>
      <c r="I355" s="131" t="str">
        <f aca="false">IF($S355="✓","✓",IF(ISNUMBER($S355),TEXT($S355,"yyyy-mm-dd"),IF($A355="","",IF(SUMPRODUCT(('Agences &amp; Après-vente'!$A$2:$A$1000=$A355)*(('Agences &amp; Après-vente'!$D$2:$D$1000="Après-vente")+('Agences &amp; Après-vente'!$D$2:$D$1000="Agences et Après-vente"))*('Agences &amp; Après-vente'!$I$2:$I$1000="DONE"))&gt;0,"✓",IF(SUMPRODUCT(MAX(('Agences &amp; Après-vente'!$A$2:$A$1000=$A355)*(('Agences &amp; Après-vente'!$D$2:$D$1000="Après-vente")+('Agences &amp; Après-vente'!$D$2:$D$1000="Agences et Après-vente"))*'Agences &amp; Après-vente'!$E$2:$E$1000))&gt;0,TEXT(SUMPRODUCT(MAX(('Agences &amp; Après-vente'!$A$2:$A$1000=$A355)*(('Agences &amp; Après-vente'!$D$2:$D$1000="Après-vente")+('Agences &amp; Après-vente'!$D$2:$D$1000="Agences et Après-vente"))*'Agences &amp; Après-vente'!$E$2:$E$1000)),"yyyy-mm-dd"),"")))))</f>
        <v/>
      </c>
      <c r="J355" s="131" t="str">
        <f aca="false">IF($T355="✓","✓",IF(ISNUMBER($T355),TEXT($T355,"yyyy-mm-dd"),IF($A355="","",IF($D355="Lisbonne","",IF(SUMPRODUCT(('Agences &amp; Après-vente'!$A$2:$A$1000=$A355)*(('Agences &amp; Après-vente'!$D$2:$D$1000="Après-vente")+('Agences &amp; Après-vente'!$D$2:$D$1000="Agences et Après-vente"))*('Agences &amp; Après-vente'!$I$2:$I$1000="DONE"))&gt;0,"✓",IF(SUMPRODUCT(MAX(('Agences &amp; Après-vente'!$A$2:$A$1000=$A355)*(('Agences &amp; Après-vente'!$D$2:$D$1000="Après-vente")+('Agences &amp; Après-vente'!$D$2:$D$1000="Agences et Après-vente"))*'Agences &amp; Après-vente'!$E$2:$E$1000))&gt;0,TEXT(SUMPRODUCT(MAX(('Agences &amp; Après-vente'!$A$2:$A$1000=$A355)*(('Agences &amp; Après-vente'!$D$2:$D$1000="Après-vente")+('Agences &amp; Après-vente'!$D$2:$D$1000="Agences et Après-vente"))*'Agences &amp; Après-vente'!$E$2:$E$1000)),"yyyy-mm-dd"),""))))))</f>
        <v/>
      </c>
      <c r="K355" s="131" t="str">
        <f aca="false">IF($U355="✓","✓",IF(ISNUMBER($U355),TEXT($U355,"yyyy-mm-dd"),IF($D355="Lisbonne","",IF($A355="","",IF(SUMPRODUCT((Evermont!$A$2:$A$1000=$A355)*(Evermont!$Q$2:$Q$1000="Terminé"))&gt;0,"✓",IF(SUMPRODUCT(MAX((Evermont!$A$2:$A$1000=$A355)*Evermont!$F$2:$F$1000))&gt;0,TEXT(SUMPRODUCT(MAX((Evermont!$A$2:$A$1000=$A355)*Evermont!$F$2:$F$1000)),"yyyy-mm-dd"),""))))))</f>
        <v/>
      </c>
      <c r="L355" s="131" t="str">
        <f aca="false">IF($A355="","",COUNTIF(E355:K355,"✓"))</f>
        <v/>
      </c>
      <c r="M355" s="131" t="str">
        <f aca="false">IF(B355="","","Active")</f>
        <v/>
      </c>
      <c r="W355" s="120" t="str">
        <f aca="false">IF($A355="","",IF($X355&lt;&gt;"",$X355,IFERROR(INDEX('Formation Initiale'!$B$2:$B$999,MATCH($A355,'Formation Initiale'!$A$2:$A$999,0)),"Général")))</f>
        <v/>
      </c>
    </row>
    <row r="356" customFormat="false" ht="15" hidden="true" customHeight="true" outlineLevel="0" collapsed="false">
      <c r="A356" s="142" t="str">
        <f aca="false">IF(B356="","","TR"&amp;TEXT(ROW()-1,"000"))</f>
        <v/>
      </c>
      <c r="E356" s="130" t="str">
        <f aca="false">IF($O356="✓","✓",IF(ISNUMBER($O356),TEXT($O356,"yyyy-mm-dd"),IF($A356="","",IF(SUMPRODUCT(('Formation Initiale'!$A$2:$A$999=$A356)*('Formation Initiale'!$R$2:$R$999="Terminé"))&gt;0,"✓",IF(SUMPRODUCT(MAX(('Formation Initiale'!$A$2:$A$999=$A356)*'Formation Initiale'!$G$2:$G$999))&gt;0,TEXT(SUMPRODUCT(MAX(('Formation Initiale'!$A$2:$A$999=$A356)*'Formation Initiale'!$G$2:$G$999)),"yyyy-mm-dd"),"")))))</f>
        <v/>
      </c>
      <c r="F356" s="131" t="str">
        <f aca="false">IF($P356="✓","✓",IF(ISNUMBER($P356),TEXT($P356,"yyyy-mm-dd"),IF($A356="","",IF($D356="Lisbonne","",IF(SUMPRODUCT(('Formation Initiale'!$A$2:$A$999=$A356)*('Formation Initiale'!$R$2:$R$999="Terminé"))&gt;0,"✓",IF(SUMPRODUCT(MAX(('Formation Initiale'!$A$2:$A$999=$A356)*'Formation Initiale'!$G$2:$G$999))&gt;0,TEXT(SUMPRODUCT(MAX(('Formation Initiale'!$A$2:$A$999=$A356)*'Formation Initiale'!$G$2:$G$999)),"yyyy-mm-dd"),""))))))</f>
        <v/>
      </c>
      <c r="G356" s="131" t="str">
        <f aca="false">IF($Q356="✓","✓",IF(ISNUMBER($Q356),TEXT($Q356,"yyyy-mm-dd"),IF($A356="","",IF(SUMPRODUCT(('Agences &amp; Après-vente'!$A$2:$A$1000=$A356)*(('Agences &amp; Après-vente'!$D$2:$D$1000="Agences")+('Agences &amp; Après-vente'!$D$2:$D$1000="Agences et Après-vente"))*('Agences &amp; Après-vente'!$I$2:$I$1000="DONE"))&gt;0,"✓",IF(SUMPRODUCT(MAX(('Agences &amp; Après-vente'!$A$2:$A$1000=$A356)*(('Agences &amp; Après-vente'!$D$2:$D$1000="Agences")+('Agences &amp; Après-vente'!$D$2:$D$1000="Agences et Après-vente"))*'Agences &amp; Après-vente'!$E$2:$E$1000))&gt;0,TEXT(SUMPRODUCT(MAX(('Agences &amp; Après-vente'!$A$2:$A$1000=$A356)*(('Agences &amp; Après-vente'!$D$2:$D$1000="Agences")+('Agences &amp; Après-vente'!$D$2:$D$1000="Agences et Après-vente"))*'Agences &amp; Après-vente'!$E$2:$E$1000)),"yyyy-mm-dd"),"")))))</f>
        <v/>
      </c>
      <c r="H356" s="131" t="str">
        <f aca="false">IF($R356="✓","✓",IF(ISNUMBER($R356),TEXT($R356,"yyyy-mm-dd"),IF($A356="","",IF($D356="Lisbonne","",IF(SUMPRODUCT(('Agences &amp; Après-vente'!$A$2:$A$1000=$A356)*(('Agences &amp; Après-vente'!$D$2:$D$1000="Agences")+('Agences &amp; Après-vente'!$D$2:$D$1000="Agences et Après-vente"))*('Agences &amp; Après-vente'!$I$2:$I$1000="DONE"))&gt;0,"✓",IF(SUMPRODUCT(MAX(('Agences &amp; Après-vente'!$A$2:$A$1000=$A356)*(('Agences &amp; Après-vente'!$D$2:$D$1000="Agences")+('Agences &amp; Après-vente'!$D$2:$D$1000="Agences et Après-vente"))*'Agences &amp; Après-vente'!$E$2:$E$1000))&gt;0,TEXT(SUMPRODUCT(MAX(('Agences &amp; Après-vente'!$A$2:$A$1000=$A356)*(('Agences &amp; Après-vente'!$D$2:$D$1000="Agences")+('Agences &amp; Après-vente'!$D$2:$D$1000="Agences et Après-vente"))*'Agences &amp; Après-vente'!$E$2:$E$1000)),"yyyy-mm-dd"),""))))))</f>
        <v/>
      </c>
      <c r="I356" s="131" t="str">
        <f aca="false">IF($S356="✓","✓",IF(ISNUMBER($S356),TEXT($S356,"yyyy-mm-dd"),IF($A356="","",IF(SUMPRODUCT(('Agences &amp; Après-vente'!$A$2:$A$1000=$A356)*(('Agences &amp; Après-vente'!$D$2:$D$1000="Après-vente")+('Agences &amp; Après-vente'!$D$2:$D$1000="Agences et Après-vente"))*('Agences &amp; Après-vente'!$I$2:$I$1000="DONE"))&gt;0,"✓",IF(SUMPRODUCT(MAX(('Agences &amp; Après-vente'!$A$2:$A$1000=$A356)*(('Agences &amp; Après-vente'!$D$2:$D$1000="Après-vente")+('Agences &amp; Après-vente'!$D$2:$D$1000="Agences et Après-vente"))*'Agences &amp; Après-vente'!$E$2:$E$1000))&gt;0,TEXT(SUMPRODUCT(MAX(('Agences &amp; Après-vente'!$A$2:$A$1000=$A356)*(('Agences &amp; Après-vente'!$D$2:$D$1000="Après-vente")+('Agences &amp; Après-vente'!$D$2:$D$1000="Agences et Après-vente"))*'Agences &amp; Après-vente'!$E$2:$E$1000)),"yyyy-mm-dd"),"")))))</f>
        <v/>
      </c>
      <c r="J356" s="131" t="str">
        <f aca="false">IF($T356="✓","✓",IF(ISNUMBER($T356),TEXT($T356,"yyyy-mm-dd"),IF($A356="","",IF($D356="Lisbonne","",IF(SUMPRODUCT(('Agences &amp; Après-vente'!$A$2:$A$1000=$A356)*(('Agences &amp; Après-vente'!$D$2:$D$1000="Après-vente")+('Agences &amp; Après-vente'!$D$2:$D$1000="Agences et Après-vente"))*('Agences &amp; Après-vente'!$I$2:$I$1000="DONE"))&gt;0,"✓",IF(SUMPRODUCT(MAX(('Agences &amp; Après-vente'!$A$2:$A$1000=$A356)*(('Agences &amp; Après-vente'!$D$2:$D$1000="Après-vente")+('Agences &amp; Après-vente'!$D$2:$D$1000="Agences et Après-vente"))*'Agences &amp; Après-vente'!$E$2:$E$1000))&gt;0,TEXT(SUMPRODUCT(MAX(('Agences &amp; Après-vente'!$A$2:$A$1000=$A356)*(('Agences &amp; Après-vente'!$D$2:$D$1000="Après-vente")+('Agences &amp; Après-vente'!$D$2:$D$1000="Agences et Après-vente"))*'Agences &amp; Après-vente'!$E$2:$E$1000)),"yyyy-mm-dd"),""))))))</f>
        <v/>
      </c>
      <c r="K356" s="131" t="str">
        <f aca="false">IF($U356="✓","✓",IF(ISNUMBER($U356),TEXT($U356,"yyyy-mm-dd"),IF($D356="Lisbonne","",IF($A356="","",IF(SUMPRODUCT((Evermont!$A$2:$A$1000=$A356)*(Evermont!$Q$2:$Q$1000="Terminé"))&gt;0,"✓",IF(SUMPRODUCT(MAX((Evermont!$A$2:$A$1000=$A356)*Evermont!$F$2:$F$1000))&gt;0,TEXT(SUMPRODUCT(MAX((Evermont!$A$2:$A$1000=$A356)*Evermont!$F$2:$F$1000)),"yyyy-mm-dd"),""))))))</f>
        <v/>
      </c>
      <c r="L356" s="131" t="str">
        <f aca="false">IF($A356="","",COUNTIF(E356:K356,"✓"))</f>
        <v/>
      </c>
      <c r="M356" s="131" t="str">
        <f aca="false">IF(B356="","","Active")</f>
        <v/>
      </c>
      <c r="W356" s="120" t="str">
        <f aca="false">IF($A356="","",IF($X356&lt;&gt;"",$X356,IFERROR(INDEX('Formation Initiale'!$B$2:$B$999,MATCH($A356,'Formation Initiale'!$A$2:$A$999,0)),"Général")))</f>
        <v/>
      </c>
    </row>
    <row r="357" customFormat="false" ht="15" hidden="true" customHeight="true" outlineLevel="0" collapsed="false">
      <c r="A357" s="142" t="str">
        <f aca="false">IF(B357="","","TR"&amp;TEXT(ROW()-1,"000"))</f>
        <v/>
      </c>
      <c r="E357" s="130" t="str">
        <f aca="false">IF($O357="✓","✓",IF(ISNUMBER($O357),TEXT($O357,"yyyy-mm-dd"),IF($A357="","",IF(SUMPRODUCT(('Formation Initiale'!$A$2:$A$999=$A357)*('Formation Initiale'!$R$2:$R$999="Terminé"))&gt;0,"✓",IF(SUMPRODUCT(MAX(('Formation Initiale'!$A$2:$A$999=$A357)*'Formation Initiale'!$G$2:$G$999))&gt;0,TEXT(SUMPRODUCT(MAX(('Formation Initiale'!$A$2:$A$999=$A357)*'Formation Initiale'!$G$2:$G$999)),"yyyy-mm-dd"),"")))))</f>
        <v/>
      </c>
      <c r="F357" s="131" t="str">
        <f aca="false">IF($P357="✓","✓",IF(ISNUMBER($P357),TEXT($P357,"yyyy-mm-dd"),IF($A357="","",IF($D357="Lisbonne","",IF(SUMPRODUCT(('Formation Initiale'!$A$2:$A$999=$A357)*('Formation Initiale'!$R$2:$R$999="Terminé"))&gt;0,"✓",IF(SUMPRODUCT(MAX(('Formation Initiale'!$A$2:$A$999=$A357)*'Formation Initiale'!$G$2:$G$999))&gt;0,TEXT(SUMPRODUCT(MAX(('Formation Initiale'!$A$2:$A$999=$A357)*'Formation Initiale'!$G$2:$G$999)),"yyyy-mm-dd"),""))))))</f>
        <v/>
      </c>
      <c r="G357" s="131" t="str">
        <f aca="false">IF($Q357="✓","✓",IF(ISNUMBER($Q357),TEXT($Q357,"yyyy-mm-dd"),IF($A357="","",IF(SUMPRODUCT(('Agences &amp; Après-vente'!$A$2:$A$1000=$A357)*(('Agences &amp; Après-vente'!$D$2:$D$1000="Agences")+('Agences &amp; Après-vente'!$D$2:$D$1000="Agences et Après-vente"))*('Agences &amp; Après-vente'!$I$2:$I$1000="DONE"))&gt;0,"✓",IF(SUMPRODUCT(MAX(('Agences &amp; Après-vente'!$A$2:$A$1000=$A357)*(('Agences &amp; Après-vente'!$D$2:$D$1000="Agences")+('Agences &amp; Après-vente'!$D$2:$D$1000="Agences et Après-vente"))*'Agences &amp; Après-vente'!$E$2:$E$1000))&gt;0,TEXT(SUMPRODUCT(MAX(('Agences &amp; Après-vente'!$A$2:$A$1000=$A357)*(('Agences &amp; Après-vente'!$D$2:$D$1000="Agences")+('Agences &amp; Après-vente'!$D$2:$D$1000="Agences et Après-vente"))*'Agences &amp; Après-vente'!$E$2:$E$1000)),"yyyy-mm-dd"),"")))))</f>
        <v/>
      </c>
      <c r="H357" s="131" t="str">
        <f aca="false">IF($R357="✓","✓",IF(ISNUMBER($R357),TEXT($R357,"yyyy-mm-dd"),IF($A357="","",IF($D357="Lisbonne","",IF(SUMPRODUCT(('Agences &amp; Après-vente'!$A$2:$A$1000=$A357)*(('Agences &amp; Après-vente'!$D$2:$D$1000="Agences")+('Agences &amp; Après-vente'!$D$2:$D$1000="Agences et Après-vente"))*('Agences &amp; Après-vente'!$I$2:$I$1000="DONE"))&gt;0,"✓",IF(SUMPRODUCT(MAX(('Agences &amp; Après-vente'!$A$2:$A$1000=$A357)*(('Agences &amp; Après-vente'!$D$2:$D$1000="Agences")+('Agences &amp; Après-vente'!$D$2:$D$1000="Agences et Après-vente"))*'Agences &amp; Après-vente'!$E$2:$E$1000))&gt;0,TEXT(SUMPRODUCT(MAX(('Agences &amp; Après-vente'!$A$2:$A$1000=$A357)*(('Agences &amp; Après-vente'!$D$2:$D$1000="Agences")+('Agences &amp; Après-vente'!$D$2:$D$1000="Agences et Après-vente"))*'Agences &amp; Après-vente'!$E$2:$E$1000)),"yyyy-mm-dd"),""))))))</f>
        <v/>
      </c>
      <c r="I357" s="131" t="str">
        <f aca="false">IF($S357="✓","✓",IF(ISNUMBER($S357),TEXT($S357,"yyyy-mm-dd"),IF($A357="","",IF(SUMPRODUCT(('Agences &amp; Après-vente'!$A$2:$A$1000=$A357)*(('Agences &amp; Après-vente'!$D$2:$D$1000="Après-vente")+('Agences &amp; Après-vente'!$D$2:$D$1000="Agences et Après-vente"))*('Agences &amp; Après-vente'!$I$2:$I$1000="DONE"))&gt;0,"✓",IF(SUMPRODUCT(MAX(('Agences &amp; Après-vente'!$A$2:$A$1000=$A357)*(('Agences &amp; Après-vente'!$D$2:$D$1000="Après-vente")+('Agences &amp; Après-vente'!$D$2:$D$1000="Agences et Après-vente"))*'Agences &amp; Après-vente'!$E$2:$E$1000))&gt;0,TEXT(SUMPRODUCT(MAX(('Agences &amp; Après-vente'!$A$2:$A$1000=$A357)*(('Agences &amp; Après-vente'!$D$2:$D$1000="Après-vente")+('Agences &amp; Après-vente'!$D$2:$D$1000="Agences et Après-vente"))*'Agences &amp; Après-vente'!$E$2:$E$1000)),"yyyy-mm-dd"),"")))))</f>
        <v/>
      </c>
      <c r="J357" s="131" t="str">
        <f aca="false">IF($T357="✓","✓",IF(ISNUMBER($T357),TEXT($T357,"yyyy-mm-dd"),IF($A357="","",IF($D357="Lisbonne","",IF(SUMPRODUCT(('Agences &amp; Après-vente'!$A$2:$A$1000=$A357)*(('Agences &amp; Après-vente'!$D$2:$D$1000="Après-vente")+('Agences &amp; Après-vente'!$D$2:$D$1000="Agences et Après-vente"))*('Agences &amp; Après-vente'!$I$2:$I$1000="DONE"))&gt;0,"✓",IF(SUMPRODUCT(MAX(('Agences &amp; Après-vente'!$A$2:$A$1000=$A357)*(('Agences &amp; Après-vente'!$D$2:$D$1000="Après-vente")+('Agences &amp; Après-vente'!$D$2:$D$1000="Agences et Après-vente"))*'Agences &amp; Après-vente'!$E$2:$E$1000))&gt;0,TEXT(SUMPRODUCT(MAX(('Agences &amp; Après-vente'!$A$2:$A$1000=$A357)*(('Agences &amp; Après-vente'!$D$2:$D$1000="Après-vente")+('Agences &amp; Après-vente'!$D$2:$D$1000="Agences et Après-vente"))*'Agences &amp; Après-vente'!$E$2:$E$1000)),"yyyy-mm-dd"),""))))))</f>
        <v/>
      </c>
      <c r="K357" s="131" t="str">
        <f aca="false">IF($U357="✓","✓",IF(ISNUMBER($U357),TEXT($U357,"yyyy-mm-dd"),IF($D357="Lisbonne","",IF($A357="","",IF(SUMPRODUCT((Evermont!$A$2:$A$1000=$A357)*(Evermont!$Q$2:$Q$1000="Terminé"))&gt;0,"✓",IF(SUMPRODUCT(MAX((Evermont!$A$2:$A$1000=$A357)*Evermont!$F$2:$F$1000))&gt;0,TEXT(SUMPRODUCT(MAX((Evermont!$A$2:$A$1000=$A357)*Evermont!$F$2:$F$1000)),"yyyy-mm-dd"),""))))))</f>
        <v/>
      </c>
      <c r="L357" s="131" t="str">
        <f aca="false">IF($A357="","",COUNTIF(E357:K357,"✓"))</f>
        <v/>
      </c>
      <c r="M357" s="131" t="str">
        <f aca="false">IF(B357="","","Active")</f>
        <v/>
      </c>
      <c r="W357" s="120" t="str">
        <f aca="false">IF($A357="","",IF($X357&lt;&gt;"",$X357,IFERROR(INDEX('Formation Initiale'!$B$2:$B$999,MATCH($A357,'Formation Initiale'!$A$2:$A$999,0)),"Général")))</f>
        <v/>
      </c>
    </row>
    <row r="358" customFormat="false" ht="15" hidden="true" customHeight="true" outlineLevel="0" collapsed="false">
      <c r="A358" s="142" t="str">
        <f aca="false">IF(B358="","","TR"&amp;TEXT(ROW()-1,"000"))</f>
        <v/>
      </c>
      <c r="E358" s="130" t="str">
        <f aca="false">IF($O358="✓","✓",IF(ISNUMBER($O358),TEXT($O358,"yyyy-mm-dd"),IF($A358="","",IF(SUMPRODUCT(('Formation Initiale'!$A$2:$A$999=$A358)*('Formation Initiale'!$R$2:$R$999="Terminé"))&gt;0,"✓",IF(SUMPRODUCT(MAX(('Formation Initiale'!$A$2:$A$999=$A358)*'Formation Initiale'!$G$2:$G$999))&gt;0,TEXT(SUMPRODUCT(MAX(('Formation Initiale'!$A$2:$A$999=$A358)*'Formation Initiale'!$G$2:$G$999)),"yyyy-mm-dd"),"")))))</f>
        <v/>
      </c>
      <c r="F358" s="131" t="str">
        <f aca="false">IF($P358="✓","✓",IF(ISNUMBER($P358),TEXT($P358,"yyyy-mm-dd"),IF($A358="","",IF($D358="Lisbonne","",IF(SUMPRODUCT(('Formation Initiale'!$A$2:$A$999=$A358)*('Formation Initiale'!$R$2:$R$999="Terminé"))&gt;0,"✓",IF(SUMPRODUCT(MAX(('Formation Initiale'!$A$2:$A$999=$A358)*'Formation Initiale'!$G$2:$G$999))&gt;0,TEXT(SUMPRODUCT(MAX(('Formation Initiale'!$A$2:$A$999=$A358)*'Formation Initiale'!$G$2:$G$999)),"yyyy-mm-dd"),""))))))</f>
        <v/>
      </c>
      <c r="G358" s="131" t="str">
        <f aca="false">IF($Q358="✓","✓",IF(ISNUMBER($Q358),TEXT($Q358,"yyyy-mm-dd"),IF($A358="","",IF(SUMPRODUCT(('Agences &amp; Après-vente'!$A$2:$A$1000=$A358)*(('Agences &amp; Après-vente'!$D$2:$D$1000="Agences")+('Agences &amp; Après-vente'!$D$2:$D$1000="Agences et Après-vente"))*('Agences &amp; Après-vente'!$I$2:$I$1000="DONE"))&gt;0,"✓",IF(SUMPRODUCT(MAX(('Agences &amp; Après-vente'!$A$2:$A$1000=$A358)*(('Agences &amp; Après-vente'!$D$2:$D$1000="Agences")+('Agences &amp; Après-vente'!$D$2:$D$1000="Agences et Après-vente"))*'Agences &amp; Après-vente'!$E$2:$E$1000))&gt;0,TEXT(SUMPRODUCT(MAX(('Agences &amp; Après-vente'!$A$2:$A$1000=$A358)*(('Agences &amp; Après-vente'!$D$2:$D$1000="Agences")+('Agences &amp; Après-vente'!$D$2:$D$1000="Agences et Après-vente"))*'Agences &amp; Après-vente'!$E$2:$E$1000)),"yyyy-mm-dd"),"")))))</f>
        <v/>
      </c>
      <c r="H358" s="131" t="str">
        <f aca="false">IF($R358="✓","✓",IF(ISNUMBER($R358),TEXT($R358,"yyyy-mm-dd"),IF($A358="","",IF($D358="Lisbonne","",IF(SUMPRODUCT(('Agences &amp; Après-vente'!$A$2:$A$1000=$A358)*(('Agences &amp; Après-vente'!$D$2:$D$1000="Agences")+('Agences &amp; Après-vente'!$D$2:$D$1000="Agences et Après-vente"))*('Agences &amp; Après-vente'!$I$2:$I$1000="DONE"))&gt;0,"✓",IF(SUMPRODUCT(MAX(('Agences &amp; Après-vente'!$A$2:$A$1000=$A358)*(('Agences &amp; Après-vente'!$D$2:$D$1000="Agences")+('Agences &amp; Après-vente'!$D$2:$D$1000="Agences et Après-vente"))*'Agences &amp; Après-vente'!$E$2:$E$1000))&gt;0,TEXT(SUMPRODUCT(MAX(('Agences &amp; Après-vente'!$A$2:$A$1000=$A358)*(('Agences &amp; Après-vente'!$D$2:$D$1000="Agences")+('Agences &amp; Après-vente'!$D$2:$D$1000="Agences et Après-vente"))*'Agences &amp; Après-vente'!$E$2:$E$1000)),"yyyy-mm-dd"),""))))))</f>
        <v/>
      </c>
      <c r="I358" s="131" t="str">
        <f aca="false">IF($S358="✓","✓",IF(ISNUMBER($S358),TEXT($S358,"yyyy-mm-dd"),IF($A358="","",IF(SUMPRODUCT(('Agences &amp; Après-vente'!$A$2:$A$1000=$A358)*(('Agences &amp; Après-vente'!$D$2:$D$1000="Après-vente")+('Agences &amp; Après-vente'!$D$2:$D$1000="Agences et Après-vente"))*('Agences &amp; Après-vente'!$I$2:$I$1000="DONE"))&gt;0,"✓",IF(SUMPRODUCT(MAX(('Agences &amp; Après-vente'!$A$2:$A$1000=$A358)*(('Agences &amp; Après-vente'!$D$2:$D$1000="Après-vente")+('Agences &amp; Après-vente'!$D$2:$D$1000="Agences et Après-vente"))*'Agences &amp; Après-vente'!$E$2:$E$1000))&gt;0,TEXT(SUMPRODUCT(MAX(('Agences &amp; Après-vente'!$A$2:$A$1000=$A358)*(('Agences &amp; Après-vente'!$D$2:$D$1000="Après-vente")+('Agences &amp; Après-vente'!$D$2:$D$1000="Agences et Après-vente"))*'Agences &amp; Après-vente'!$E$2:$E$1000)),"yyyy-mm-dd"),"")))))</f>
        <v/>
      </c>
      <c r="J358" s="131" t="str">
        <f aca="false">IF($T358="✓","✓",IF(ISNUMBER($T358),TEXT($T358,"yyyy-mm-dd"),IF($A358="","",IF($D358="Lisbonne","",IF(SUMPRODUCT(('Agences &amp; Après-vente'!$A$2:$A$1000=$A358)*(('Agences &amp; Après-vente'!$D$2:$D$1000="Après-vente")+('Agences &amp; Après-vente'!$D$2:$D$1000="Agences et Après-vente"))*('Agences &amp; Après-vente'!$I$2:$I$1000="DONE"))&gt;0,"✓",IF(SUMPRODUCT(MAX(('Agences &amp; Après-vente'!$A$2:$A$1000=$A358)*(('Agences &amp; Après-vente'!$D$2:$D$1000="Après-vente")+('Agences &amp; Après-vente'!$D$2:$D$1000="Agences et Après-vente"))*'Agences &amp; Après-vente'!$E$2:$E$1000))&gt;0,TEXT(SUMPRODUCT(MAX(('Agences &amp; Après-vente'!$A$2:$A$1000=$A358)*(('Agences &amp; Après-vente'!$D$2:$D$1000="Après-vente")+('Agences &amp; Après-vente'!$D$2:$D$1000="Agences et Après-vente"))*'Agences &amp; Après-vente'!$E$2:$E$1000)),"yyyy-mm-dd"),""))))))</f>
        <v/>
      </c>
      <c r="K358" s="131" t="str">
        <f aca="false">IF($U358="✓","✓",IF(ISNUMBER($U358),TEXT($U358,"yyyy-mm-dd"),IF($D358="Lisbonne","",IF($A358="","",IF(SUMPRODUCT((Evermont!$A$2:$A$1000=$A358)*(Evermont!$Q$2:$Q$1000="Terminé"))&gt;0,"✓",IF(SUMPRODUCT(MAX((Evermont!$A$2:$A$1000=$A358)*Evermont!$F$2:$F$1000))&gt;0,TEXT(SUMPRODUCT(MAX((Evermont!$A$2:$A$1000=$A358)*Evermont!$F$2:$F$1000)),"yyyy-mm-dd"),""))))))</f>
        <v/>
      </c>
      <c r="L358" s="131" t="str">
        <f aca="false">IF($A358="","",COUNTIF(E358:K358,"✓"))</f>
        <v/>
      </c>
      <c r="M358" s="131" t="str">
        <f aca="false">IF(B358="","","Active")</f>
        <v/>
      </c>
      <c r="W358" s="120" t="str">
        <f aca="false">IF($A358="","",IF($X358&lt;&gt;"",$X358,IFERROR(INDEX('Formation Initiale'!$B$2:$B$999,MATCH($A358,'Formation Initiale'!$A$2:$A$999,0)),"Général")))</f>
        <v/>
      </c>
    </row>
    <row r="359" customFormat="false" ht="15" hidden="true" customHeight="true" outlineLevel="0" collapsed="false">
      <c r="A359" s="142" t="str">
        <f aca="false">IF(B359="","","TR"&amp;TEXT(ROW()-1,"000"))</f>
        <v/>
      </c>
      <c r="E359" s="130" t="str">
        <f aca="false">IF($O359="✓","✓",IF(ISNUMBER($O359),TEXT($O359,"yyyy-mm-dd"),IF($A359="","",IF(SUMPRODUCT(('Formation Initiale'!$A$2:$A$999=$A359)*('Formation Initiale'!$R$2:$R$999="Terminé"))&gt;0,"✓",IF(SUMPRODUCT(MAX(('Formation Initiale'!$A$2:$A$999=$A359)*'Formation Initiale'!$G$2:$G$999))&gt;0,TEXT(SUMPRODUCT(MAX(('Formation Initiale'!$A$2:$A$999=$A359)*'Formation Initiale'!$G$2:$G$999)),"yyyy-mm-dd"),"")))))</f>
        <v/>
      </c>
      <c r="F359" s="131" t="str">
        <f aca="false">IF($P359="✓","✓",IF(ISNUMBER($P359),TEXT($P359,"yyyy-mm-dd"),IF($A359="","",IF($D359="Lisbonne","",IF(SUMPRODUCT(('Formation Initiale'!$A$2:$A$999=$A359)*('Formation Initiale'!$R$2:$R$999="Terminé"))&gt;0,"✓",IF(SUMPRODUCT(MAX(('Formation Initiale'!$A$2:$A$999=$A359)*'Formation Initiale'!$G$2:$G$999))&gt;0,TEXT(SUMPRODUCT(MAX(('Formation Initiale'!$A$2:$A$999=$A359)*'Formation Initiale'!$G$2:$G$999)),"yyyy-mm-dd"),""))))))</f>
        <v/>
      </c>
      <c r="G359" s="131" t="str">
        <f aca="false">IF($Q359="✓","✓",IF(ISNUMBER($Q359),TEXT($Q359,"yyyy-mm-dd"),IF($A359="","",IF(SUMPRODUCT(('Agences &amp; Après-vente'!$A$2:$A$1000=$A359)*(('Agences &amp; Après-vente'!$D$2:$D$1000="Agences")+('Agences &amp; Après-vente'!$D$2:$D$1000="Agences et Après-vente"))*('Agences &amp; Après-vente'!$I$2:$I$1000="DONE"))&gt;0,"✓",IF(SUMPRODUCT(MAX(('Agences &amp; Après-vente'!$A$2:$A$1000=$A359)*(('Agences &amp; Après-vente'!$D$2:$D$1000="Agences")+('Agences &amp; Après-vente'!$D$2:$D$1000="Agences et Après-vente"))*'Agences &amp; Après-vente'!$E$2:$E$1000))&gt;0,TEXT(SUMPRODUCT(MAX(('Agences &amp; Après-vente'!$A$2:$A$1000=$A359)*(('Agences &amp; Après-vente'!$D$2:$D$1000="Agences")+('Agences &amp; Après-vente'!$D$2:$D$1000="Agences et Après-vente"))*'Agences &amp; Après-vente'!$E$2:$E$1000)),"yyyy-mm-dd"),"")))))</f>
        <v/>
      </c>
      <c r="H359" s="131" t="str">
        <f aca="false">IF($R359="✓","✓",IF(ISNUMBER($R359),TEXT($R359,"yyyy-mm-dd"),IF($A359="","",IF($D359="Lisbonne","",IF(SUMPRODUCT(('Agences &amp; Après-vente'!$A$2:$A$1000=$A359)*(('Agences &amp; Après-vente'!$D$2:$D$1000="Agences")+('Agences &amp; Après-vente'!$D$2:$D$1000="Agences et Après-vente"))*('Agences &amp; Après-vente'!$I$2:$I$1000="DONE"))&gt;0,"✓",IF(SUMPRODUCT(MAX(('Agences &amp; Après-vente'!$A$2:$A$1000=$A359)*(('Agences &amp; Après-vente'!$D$2:$D$1000="Agences")+('Agences &amp; Après-vente'!$D$2:$D$1000="Agences et Après-vente"))*'Agences &amp; Après-vente'!$E$2:$E$1000))&gt;0,TEXT(SUMPRODUCT(MAX(('Agences &amp; Après-vente'!$A$2:$A$1000=$A359)*(('Agences &amp; Après-vente'!$D$2:$D$1000="Agences")+('Agences &amp; Après-vente'!$D$2:$D$1000="Agences et Après-vente"))*'Agences &amp; Après-vente'!$E$2:$E$1000)),"yyyy-mm-dd"),""))))))</f>
        <v/>
      </c>
      <c r="I359" s="131" t="str">
        <f aca="false">IF($S359="✓","✓",IF(ISNUMBER($S359),TEXT($S359,"yyyy-mm-dd"),IF($A359="","",IF(SUMPRODUCT(('Agences &amp; Après-vente'!$A$2:$A$1000=$A359)*(('Agences &amp; Après-vente'!$D$2:$D$1000="Après-vente")+('Agences &amp; Après-vente'!$D$2:$D$1000="Agences et Après-vente"))*('Agences &amp; Après-vente'!$I$2:$I$1000="DONE"))&gt;0,"✓",IF(SUMPRODUCT(MAX(('Agences &amp; Après-vente'!$A$2:$A$1000=$A359)*(('Agences &amp; Après-vente'!$D$2:$D$1000="Après-vente")+('Agences &amp; Après-vente'!$D$2:$D$1000="Agences et Après-vente"))*'Agences &amp; Après-vente'!$E$2:$E$1000))&gt;0,TEXT(SUMPRODUCT(MAX(('Agences &amp; Après-vente'!$A$2:$A$1000=$A359)*(('Agences &amp; Après-vente'!$D$2:$D$1000="Après-vente")+('Agences &amp; Après-vente'!$D$2:$D$1000="Agences et Après-vente"))*'Agences &amp; Après-vente'!$E$2:$E$1000)),"yyyy-mm-dd"),"")))))</f>
        <v/>
      </c>
      <c r="J359" s="131" t="str">
        <f aca="false">IF($T359="✓","✓",IF(ISNUMBER($T359),TEXT($T359,"yyyy-mm-dd"),IF($A359="","",IF($D359="Lisbonne","",IF(SUMPRODUCT(('Agences &amp; Après-vente'!$A$2:$A$1000=$A359)*(('Agences &amp; Après-vente'!$D$2:$D$1000="Après-vente")+('Agences &amp; Après-vente'!$D$2:$D$1000="Agences et Après-vente"))*('Agences &amp; Après-vente'!$I$2:$I$1000="DONE"))&gt;0,"✓",IF(SUMPRODUCT(MAX(('Agences &amp; Après-vente'!$A$2:$A$1000=$A359)*(('Agences &amp; Après-vente'!$D$2:$D$1000="Après-vente")+('Agences &amp; Après-vente'!$D$2:$D$1000="Agences et Après-vente"))*'Agences &amp; Après-vente'!$E$2:$E$1000))&gt;0,TEXT(SUMPRODUCT(MAX(('Agences &amp; Après-vente'!$A$2:$A$1000=$A359)*(('Agences &amp; Après-vente'!$D$2:$D$1000="Après-vente")+('Agences &amp; Après-vente'!$D$2:$D$1000="Agences et Après-vente"))*'Agences &amp; Après-vente'!$E$2:$E$1000)),"yyyy-mm-dd"),""))))))</f>
        <v/>
      </c>
      <c r="K359" s="131" t="str">
        <f aca="false">IF($U359="✓","✓",IF(ISNUMBER($U359),TEXT($U359,"yyyy-mm-dd"),IF($D359="Lisbonne","",IF($A359="","",IF(SUMPRODUCT((Evermont!$A$2:$A$1000=$A359)*(Evermont!$Q$2:$Q$1000="Terminé"))&gt;0,"✓",IF(SUMPRODUCT(MAX((Evermont!$A$2:$A$1000=$A359)*Evermont!$F$2:$F$1000))&gt;0,TEXT(SUMPRODUCT(MAX((Evermont!$A$2:$A$1000=$A359)*Evermont!$F$2:$F$1000)),"yyyy-mm-dd"),""))))))</f>
        <v/>
      </c>
      <c r="L359" s="131" t="str">
        <f aca="false">IF($A359="","",COUNTIF(E359:K359,"✓"))</f>
        <v/>
      </c>
      <c r="M359" s="131" t="str">
        <f aca="false">IF(B359="","","Active")</f>
        <v/>
      </c>
      <c r="W359" s="120" t="str">
        <f aca="false">IF($A359="","",IF($X359&lt;&gt;"",$X359,IFERROR(INDEX('Formation Initiale'!$B$2:$B$999,MATCH($A359,'Formation Initiale'!$A$2:$A$999,0)),"Général")))</f>
        <v/>
      </c>
    </row>
    <row r="360" customFormat="false" ht="15" hidden="true" customHeight="true" outlineLevel="0" collapsed="false">
      <c r="A360" s="142" t="str">
        <f aca="false">IF(B360="","","TR"&amp;TEXT(ROW()-1,"000"))</f>
        <v/>
      </c>
      <c r="E360" s="130" t="str">
        <f aca="false">IF($O360="✓","✓",IF(ISNUMBER($O360),TEXT($O360,"yyyy-mm-dd"),IF($A360="","",IF(SUMPRODUCT(('Formation Initiale'!$A$2:$A$999=$A360)*('Formation Initiale'!$R$2:$R$999="Terminé"))&gt;0,"✓",IF(SUMPRODUCT(MAX(('Formation Initiale'!$A$2:$A$999=$A360)*'Formation Initiale'!$G$2:$G$999))&gt;0,TEXT(SUMPRODUCT(MAX(('Formation Initiale'!$A$2:$A$999=$A360)*'Formation Initiale'!$G$2:$G$999)),"yyyy-mm-dd"),"")))))</f>
        <v/>
      </c>
      <c r="F360" s="131" t="str">
        <f aca="false">IF($P360="✓","✓",IF(ISNUMBER($P360),TEXT($P360,"yyyy-mm-dd"),IF($A360="","",IF($D360="Lisbonne","",IF(SUMPRODUCT(('Formation Initiale'!$A$2:$A$999=$A360)*('Formation Initiale'!$R$2:$R$999="Terminé"))&gt;0,"✓",IF(SUMPRODUCT(MAX(('Formation Initiale'!$A$2:$A$999=$A360)*'Formation Initiale'!$G$2:$G$999))&gt;0,TEXT(SUMPRODUCT(MAX(('Formation Initiale'!$A$2:$A$999=$A360)*'Formation Initiale'!$G$2:$G$999)),"yyyy-mm-dd"),""))))))</f>
        <v/>
      </c>
      <c r="G360" s="131" t="str">
        <f aca="false">IF($Q360="✓","✓",IF(ISNUMBER($Q360),TEXT($Q360,"yyyy-mm-dd"),IF($A360="","",IF(SUMPRODUCT(('Agences &amp; Après-vente'!$A$2:$A$1000=$A360)*(('Agences &amp; Après-vente'!$D$2:$D$1000="Agences")+('Agences &amp; Après-vente'!$D$2:$D$1000="Agences et Après-vente"))*('Agences &amp; Après-vente'!$I$2:$I$1000="DONE"))&gt;0,"✓",IF(SUMPRODUCT(MAX(('Agences &amp; Après-vente'!$A$2:$A$1000=$A360)*(('Agences &amp; Après-vente'!$D$2:$D$1000="Agences")+('Agences &amp; Après-vente'!$D$2:$D$1000="Agences et Après-vente"))*'Agences &amp; Après-vente'!$E$2:$E$1000))&gt;0,TEXT(SUMPRODUCT(MAX(('Agences &amp; Après-vente'!$A$2:$A$1000=$A360)*(('Agences &amp; Après-vente'!$D$2:$D$1000="Agences")+('Agences &amp; Après-vente'!$D$2:$D$1000="Agences et Après-vente"))*'Agences &amp; Après-vente'!$E$2:$E$1000)),"yyyy-mm-dd"),"")))))</f>
        <v/>
      </c>
      <c r="H360" s="131" t="str">
        <f aca="false">IF($R360="✓","✓",IF(ISNUMBER($R360),TEXT($R360,"yyyy-mm-dd"),IF($A360="","",IF($D360="Lisbonne","",IF(SUMPRODUCT(('Agences &amp; Après-vente'!$A$2:$A$1000=$A360)*(('Agences &amp; Après-vente'!$D$2:$D$1000="Agences")+('Agences &amp; Après-vente'!$D$2:$D$1000="Agences et Après-vente"))*('Agences &amp; Après-vente'!$I$2:$I$1000="DONE"))&gt;0,"✓",IF(SUMPRODUCT(MAX(('Agences &amp; Après-vente'!$A$2:$A$1000=$A360)*(('Agences &amp; Après-vente'!$D$2:$D$1000="Agences")+('Agences &amp; Après-vente'!$D$2:$D$1000="Agences et Après-vente"))*'Agences &amp; Après-vente'!$E$2:$E$1000))&gt;0,TEXT(SUMPRODUCT(MAX(('Agences &amp; Après-vente'!$A$2:$A$1000=$A360)*(('Agences &amp; Après-vente'!$D$2:$D$1000="Agences")+('Agences &amp; Après-vente'!$D$2:$D$1000="Agences et Après-vente"))*'Agences &amp; Après-vente'!$E$2:$E$1000)),"yyyy-mm-dd"),""))))))</f>
        <v/>
      </c>
      <c r="I360" s="131" t="str">
        <f aca="false">IF($S360="✓","✓",IF(ISNUMBER($S360),TEXT($S360,"yyyy-mm-dd"),IF($A360="","",IF(SUMPRODUCT(('Agences &amp; Après-vente'!$A$2:$A$1000=$A360)*(('Agences &amp; Après-vente'!$D$2:$D$1000="Après-vente")+('Agences &amp; Après-vente'!$D$2:$D$1000="Agences et Après-vente"))*('Agences &amp; Après-vente'!$I$2:$I$1000="DONE"))&gt;0,"✓",IF(SUMPRODUCT(MAX(('Agences &amp; Après-vente'!$A$2:$A$1000=$A360)*(('Agences &amp; Après-vente'!$D$2:$D$1000="Après-vente")+('Agences &amp; Après-vente'!$D$2:$D$1000="Agences et Après-vente"))*'Agences &amp; Après-vente'!$E$2:$E$1000))&gt;0,TEXT(SUMPRODUCT(MAX(('Agences &amp; Après-vente'!$A$2:$A$1000=$A360)*(('Agences &amp; Après-vente'!$D$2:$D$1000="Après-vente")+('Agences &amp; Après-vente'!$D$2:$D$1000="Agences et Après-vente"))*'Agences &amp; Après-vente'!$E$2:$E$1000)),"yyyy-mm-dd"),"")))))</f>
        <v/>
      </c>
      <c r="J360" s="131" t="str">
        <f aca="false">IF($T360="✓","✓",IF(ISNUMBER($T360),TEXT($T360,"yyyy-mm-dd"),IF($A360="","",IF($D360="Lisbonne","",IF(SUMPRODUCT(('Agences &amp; Après-vente'!$A$2:$A$1000=$A360)*(('Agences &amp; Après-vente'!$D$2:$D$1000="Après-vente")+('Agences &amp; Après-vente'!$D$2:$D$1000="Agences et Après-vente"))*('Agences &amp; Après-vente'!$I$2:$I$1000="DONE"))&gt;0,"✓",IF(SUMPRODUCT(MAX(('Agences &amp; Après-vente'!$A$2:$A$1000=$A360)*(('Agences &amp; Après-vente'!$D$2:$D$1000="Après-vente")+('Agences &amp; Après-vente'!$D$2:$D$1000="Agences et Après-vente"))*'Agences &amp; Après-vente'!$E$2:$E$1000))&gt;0,TEXT(SUMPRODUCT(MAX(('Agences &amp; Après-vente'!$A$2:$A$1000=$A360)*(('Agences &amp; Après-vente'!$D$2:$D$1000="Après-vente")+('Agences &amp; Après-vente'!$D$2:$D$1000="Agences et Après-vente"))*'Agences &amp; Après-vente'!$E$2:$E$1000)),"yyyy-mm-dd"),""))))))</f>
        <v/>
      </c>
      <c r="K360" s="131" t="str">
        <f aca="false">IF($U360="✓","✓",IF(ISNUMBER($U360),TEXT($U360,"yyyy-mm-dd"),IF($D360="Lisbonne","",IF($A360="","",IF(SUMPRODUCT((Evermont!$A$2:$A$1000=$A360)*(Evermont!$Q$2:$Q$1000="Terminé"))&gt;0,"✓",IF(SUMPRODUCT(MAX((Evermont!$A$2:$A$1000=$A360)*Evermont!$F$2:$F$1000))&gt;0,TEXT(SUMPRODUCT(MAX((Evermont!$A$2:$A$1000=$A360)*Evermont!$F$2:$F$1000)),"yyyy-mm-dd"),""))))))</f>
        <v/>
      </c>
      <c r="L360" s="131" t="str">
        <f aca="false">IF($A360="","",COUNTIF(E360:K360,"✓"))</f>
        <v/>
      </c>
      <c r="M360" s="131" t="str">
        <f aca="false">IF(B360="","","Active")</f>
        <v/>
      </c>
      <c r="W360" s="120" t="str">
        <f aca="false">IF($A360="","",IF($X360&lt;&gt;"",$X360,IFERROR(INDEX('Formation Initiale'!$B$2:$B$999,MATCH($A360,'Formation Initiale'!$A$2:$A$999,0)),"Général")))</f>
        <v/>
      </c>
    </row>
    <row r="361" customFormat="false" ht="15" hidden="true" customHeight="true" outlineLevel="0" collapsed="false">
      <c r="A361" s="142" t="str">
        <f aca="false">IF(B361="","","TR"&amp;TEXT(ROW()-1,"000"))</f>
        <v/>
      </c>
      <c r="E361" s="130" t="str">
        <f aca="false">IF($O361="✓","✓",IF(ISNUMBER($O361),TEXT($O361,"yyyy-mm-dd"),IF($A361="","",IF(SUMPRODUCT(('Formation Initiale'!$A$2:$A$999=$A361)*('Formation Initiale'!$R$2:$R$999="Terminé"))&gt;0,"✓",IF(SUMPRODUCT(MAX(('Formation Initiale'!$A$2:$A$999=$A361)*'Formation Initiale'!$G$2:$G$999))&gt;0,TEXT(SUMPRODUCT(MAX(('Formation Initiale'!$A$2:$A$999=$A361)*'Formation Initiale'!$G$2:$G$999)),"yyyy-mm-dd"),"")))))</f>
        <v/>
      </c>
      <c r="F361" s="131" t="str">
        <f aca="false">IF($P361="✓","✓",IF(ISNUMBER($P361),TEXT($P361,"yyyy-mm-dd"),IF($A361="","",IF($D361="Lisbonne","",IF(SUMPRODUCT(('Formation Initiale'!$A$2:$A$999=$A361)*('Formation Initiale'!$R$2:$R$999="Terminé"))&gt;0,"✓",IF(SUMPRODUCT(MAX(('Formation Initiale'!$A$2:$A$999=$A361)*'Formation Initiale'!$G$2:$G$999))&gt;0,TEXT(SUMPRODUCT(MAX(('Formation Initiale'!$A$2:$A$999=$A361)*'Formation Initiale'!$G$2:$G$999)),"yyyy-mm-dd"),""))))))</f>
        <v/>
      </c>
      <c r="G361" s="131" t="str">
        <f aca="false">IF($Q361="✓","✓",IF(ISNUMBER($Q361),TEXT($Q361,"yyyy-mm-dd"),IF($A361="","",IF(SUMPRODUCT(('Agences &amp; Après-vente'!$A$2:$A$1000=$A361)*(('Agences &amp; Après-vente'!$D$2:$D$1000="Agences")+('Agences &amp; Après-vente'!$D$2:$D$1000="Agences et Après-vente"))*('Agences &amp; Après-vente'!$I$2:$I$1000="DONE"))&gt;0,"✓",IF(SUMPRODUCT(MAX(('Agences &amp; Après-vente'!$A$2:$A$1000=$A361)*(('Agences &amp; Après-vente'!$D$2:$D$1000="Agences")+('Agences &amp; Après-vente'!$D$2:$D$1000="Agences et Après-vente"))*'Agences &amp; Après-vente'!$E$2:$E$1000))&gt;0,TEXT(SUMPRODUCT(MAX(('Agences &amp; Après-vente'!$A$2:$A$1000=$A361)*(('Agences &amp; Après-vente'!$D$2:$D$1000="Agences")+('Agences &amp; Après-vente'!$D$2:$D$1000="Agences et Après-vente"))*'Agences &amp; Après-vente'!$E$2:$E$1000)),"yyyy-mm-dd"),"")))))</f>
        <v/>
      </c>
      <c r="H361" s="131" t="str">
        <f aca="false">IF($R361="✓","✓",IF(ISNUMBER($R361),TEXT($R361,"yyyy-mm-dd"),IF($A361="","",IF($D361="Lisbonne","",IF(SUMPRODUCT(('Agences &amp; Après-vente'!$A$2:$A$1000=$A361)*(('Agences &amp; Après-vente'!$D$2:$D$1000="Agences")+('Agences &amp; Après-vente'!$D$2:$D$1000="Agences et Après-vente"))*('Agences &amp; Après-vente'!$I$2:$I$1000="DONE"))&gt;0,"✓",IF(SUMPRODUCT(MAX(('Agences &amp; Après-vente'!$A$2:$A$1000=$A361)*(('Agences &amp; Après-vente'!$D$2:$D$1000="Agences")+('Agences &amp; Après-vente'!$D$2:$D$1000="Agences et Après-vente"))*'Agences &amp; Après-vente'!$E$2:$E$1000))&gt;0,TEXT(SUMPRODUCT(MAX(('Agences &amp; Après-vente'!$A$2:$A$1000=$A361)*(('Agences &amp; Après-vente'!$D$2:$D$1000="Agences")+('Agences &amp; Après-vente'!$D$2:$D$1000="Agences et Après-vente"))*'Agences &amp; Après-vente'!$E$2:$E$1000)),"yyyy-mm-dd"),""))))))</f>
        <v/>
      </c>
      <c r="I361" s="131" t="str">
        <f aca="false">IF($S361="✓","✓",IF(ISNUMBER($S361),TEXT($S361,"yyyy-mm-dd"),IF($A361="","",IF(SUMPRODUCT(('Agences &amp; Après-vente'!$A$2:$A$1000=$A361)*(('Agences &amp; Après-vente'!$D$2:$D$1000="Après-vente")+('Agences &amp; Après-vente'!$D$2:$D$1000="Agences et Après-vente"))*('Agences &amp; Après-vente'!$I$2:$I$1000="DONE"))&gt;0,"✓",IF(SUMPRODUCT(MAX(('Agences &amp; Après-vente'!$A$2:$A$1000=$A361)*(('Agences &amp; Après-vente'!$D$2:$D$1000="Après-vente")+('Agences &amp; Après-vente'!$D$2:$D$1000="Agences et Après-vente"))*'Agences &amp; Après-vente'!$E$2:$E$1000))&gt;0,TEXT(SUMPRODUCT(MAX(('Agences &amp; Après-vente'!$A$2:$A$1000=$A361)*(('Agences &amp; Après-vente'!$D$2:$D$1000="Après-vente")+('Agences &amp; Après-vente'!$D$2:$D$1000="Agences et Après-vente"))*'Agences &amp; Après-vente'!$E$2:$E$1000)),"yyyy-mm-dd"),"")))))</f>
        <v/>
      </c>
      <c r="J361" s="131" t="str">
        <f aca="false">IF($T361="✓","✓",IF(ISNUMBER($T361),TEXT($T361,"yyyy-mm-dd"),IF($A361="","",IF($D361="Lisbonne","",IF(SUMPRODUCT(('Agences &amp; Après-vente'!$A$2:$A$1000=$A361)*(('Agences &amp; Après-vente'!$D$2:$D$1000="Après-vente")+('Agences &amp; Après-vente'!$D$2:$D$1000="Agences et Après-vente"))*('Agences &amp; Après-vente'!$I$2:$I$1000="DONE"))&gt;0,"✓",IF(SUMPRODUCT(MAX(('Agences &amp; Après-vente'!$A$2:$A$1000=$A361)*(('Agences &amp; Après-vente'!$D$2:$D$1000="Après-vente")+('Agences &amp; Après-vente'!$D$2:$D$1000="Agences et Après-vente"))*'Agences &amp; Après-vente'!$E$2:$E$1000))&gt;0,TEXT(SUMPRODUCT(MAX(('Agences &amp; Après-vente'!$A$2:$A$1000=$A361)*(('Agences &amp; Après-vente'!$D$2:$D$1000="Après-vente")+('Agences &amp; Après-vente'!$D$2:$D$1000="Agences et Après-vente"))*'Agences &amp; Après-vente'!$E$2:$E$1000)),"yyyy-mm-dd"),""))))))</f>
        <v/>
      </c>
      <c r="K361" s="131" t="str">
        <f aca="false">IF($U361="✓","✓",IF(ISNUMBER($U361),TEXT($U361,"yyyy-mm-dd"),IF($D361="Lisbonne","",IF($A361="","",IF(SUMPRODUCT((Evermont!$A$2:$A$1000=$A361)*(Evermont!$Q$2:$Q$1000="Terminé"))&gt;0,"✓",IF(SUMPRODUCT(MAX((Evermont!$A$2:$A$1000=$A361)*Evermont!$F$2:$F$1000))&gt;0,TEXT(SUMPRODUCT(MAX((Evermont!$A$2:$A$1000=$A361)*Evermont!$F$2:$F$1000)),"yyyy-mm-dd"),""))))))</f>
        <v/>
      </c>
      <c r="L361" s="131" t="str">
        <f aca="false">IF($A361="","",COUNTIF(E361:K361,"✓"))</f>
        <v/>
      </c>
      <c r="M361" s="131" t="str">
        <f aca="false">IF(B361="","","Active")</f>
        <v/>
      </c>
      <c r="W361" s="120" t="str">
        <f aca="false">IF($A361="","",IF($X361&lt;&gt;"",$X361,IFERROR(INDEX('Formation Initiale'!$B$2:$B$999,MATCH($A361,'Formation Initiale'!$A$2:$A$999,0)),"Général")))</f>
        <v/>
      </c>
    </row>
    <row r="362" customFormat="false" ht="15" hidden="true" customHeight="true" outlineLevel="0" collapsed="false">
      <c r="A362" s="142" t="str">
        <f aca="false">IF(B362="","","TR"&amp;TEXT(ROW()-1,"000"))</f>
        <v/>
      </c>
      <c r="E362" s="130" t="str">
        <f aca="false">IF($O362="✓","✓",IF(ISNUMBER($O362),TEXT($O362,"yyyy-mm-dd"),IF($A362="","",IF(SUMPRODUCT(('Formation Initiale'!$A$2:$A$999=$A362)*('Formation Initiale'!$R$2:$R$999="Terminé"))&gt;0,"✓",IF(SUMPRODUCT(MAX(('Formation Initiale'!$A$2:$A$999=$A362)*'Formation Initiale'!$G$2:$G$999))&gt;0,TEXT(SUMPRODUCT(MAX(('Formation Initiale'!$A$2:$A$999=$A362)*'Formation Initiale'!$G$2:$G$999)),"yyyy-mm-dd"),"")))))</f>
        <v/>
      </c>
      <c r="F362" s="131" t="str">
        <f aca="false">IF($P362="✓","✓",IF(ISNUMBER($P362),TEXT($P362,"yyyy-mm-dd"),IF($A362="","",IF($D362="Lisbonne","",IF(SUMPRODUCT(('Formation Initiale'!$A$2:$A$999=$A362)*('Formation Initiale'!$R$2:$R$999="Terminé"))&gt;0,"✓",IF(SUMPRODUCT(MAX(('Formation Initiale'!$A$2:$A$999=$A362)*'Formation Initiale'!$G$2:$G$999))&gt;0,TEXT(SUMPRODUCT(MAX(('Formation Initiale'!$A$2:$A$999=$A362)*'Formation Initiale'!$G$2:$G$999)),"yyyy-mm-dd"),""))))))</f>
        <v/>
      </c>
      <c r="G362" s="131" t="str">
        <f aca="false">IF($Q362="✓","✓",IF(ISNUMBER($Q362),TEXT($Q362,"yyyy-mm-dd"),IF($A362="","",IF(SUMPRODUCT(('Agences &amp; Après-vente'!$A$2:$A$1000=$A362)*(('Agences &amp; Après-vente'!$D$2:$D$1000="Agences")+('Agences &amp; Après-vente'!$D$2:$D$1000="Agences et Après-vente"))*('Agences &amp; Après-vente'!$I$2:$I$1000="DONE"))&gt;0,"✓",IF(SUMPRODUCT(MAX(('Agences &amp; Après-vente'!$A$2:$A$1000=$A362)*(('Agences &amp; Après-vente'!$D$2:$D$1000="Agences")+('Agences &amp; Après-vente'!$D$2:$D$1000="Agences et Après-vente"))*'Agences &amp; Après-vente'!$E$2:$E$1000))&gt;0,TEXT(SUMPRODUCT(MAX(('Agences &amp; Après-vente'!$A$2:$A$1000=$A362)*(('Agences &amp; Après-vente'!$D$2:$D$1000="Agences")+('Agences &amp; Après-vente'!$D$2:$D$1000="Agences et Après-vente"))*'Agences &amp; Après-vente'!$E$2:$E$1000)),"yyyy-mm-dd"),"")))))</f>
        <v/>
      </c>
      <c r="H362" s="131" t="str">
        <f aca="false">IF($R362="✓","✓",IF(ISNUMBER($R362),TEXT($R362,"yyyy-mm-dd"),IF($A362="","",IF($D362="Lisbonne","",IF(SUMPRODUCT(('Agences &amp; Après-vente'!$A$2:$A$1000=$A362)*(('Agences &amp; Après-vente'!$D$2:$D$1000="Agences")+('Agences &amp; Après-vente'!$D$2:$D$1000="Agences et Après-vente"))*('Agences &amp; Après-vente'!$I$2:$I$1000="DONE"))&gt;0,"✓",IF(SUMPRODUCT(MAX(('Agences &amp; Après-vente'!$A$2:$A$1000=$A362)*(('Agences &amp; Après-vente'!$D$2:$D$1000="Agences")+('Agences &amp; Après-vente'!$D$2:$D$1000="Agences et Après-vente"))*'Agences &amp; Après-vente'!$E$2:$E$1000))&gt;0,TEXT(SUMPRODUCT(MAX(('Agences &amp; Après-vente'!$A$2:$A$1000=$A362)*(('Agences &amp; Après-vente'!$D$2:$D$1000="Agences")+('Agences &amp; Après-vente'!$D$2:$D$1000="Agences et Après-vente"))*'Agences &amp; Après-vente'!$E$2:$E$1000)),"yyyy-mm-dd"),""))))))</f>
        <v/>
      </c>
      <c r="I362" s="131" t="str">
        <f aca="false">IF($S362="✓","✓",IF(ISNUMBER($S362),TEXT($S362,"yyyy-mm-dd"),IF($A362="","",IF(SUMPRODUCT(('Agences &amp; Après-vente'!$A$2:$A$1000=$A362)*(('Agences &amp; Après-vente'!$D$2:$D$1000="Après-vente")+('Agences &amp; Après-vente'!$D$2:$D$1000="Agences et Après-vente"))*('Agences &amp; Après-vente'!$I$2:$I$1000="DONE"))&gt;0,"✓",IF(SUMPRODUCT(MAX(('Agences &amp; Après-vente'!$A$2:$A$1000=$A362)*(('Agences &amp; Après-vente'!$D$2:$D$1000="Après-vente")+('Agences &amp; Après-vente'!$D$2:$D$1000="Agences et Après-vente"))*'Agences &amp; Après-vente'!$E$2:$E$1000))&gt;0,TEXT(SUMPRODUCT(MAX(('Agences &amp; Après-vente'!$A$2:$A$1000=$A362)*(('Agences &amp; Après-vente'!$D$2:$D$1000="Après-vente")+('Agences &amp; Après-vente'!$D$2:$D$1000="Agences et Après-vente"))*'Agences &amp; Après-vente'!$E$2:$E$1000)),"yyyy-mm-dd"),"")))))</f>
        <v/>
      </c>
      <c r="J362" s="131" t="str">
        <f aca="false">IF($T362="✓","✓",IF(ISNUMBER($T362),TEXT($T362,"yyyy-mm-dd"),IF($A362="","",IF($D362="Lisbonne","",IF(SUMPRODUCT(('Agences &amp; Après-vente'!$A$2:$A$1000=$A362)*(('Agences &amp; Après-vente'!$D$2:$D$1000="Après-vente")+('Agences &amp; Après-vente'!$D$2:$D$1000="Agences et Après-vente"))*('Agences &amp; Après-vente'!$I$2:$I$1000="DONE"))&gt;0,"✓",IF(SUMPRODUCT(MAX(('Agences &amp; Après-vente'!$A$2:$A$1000=$A362)*(('Agences &amp; Après-vente'!$D$2:$D$1000="Après-vente")+('Agences &amp; Après-vente'!$D$2:$D$1000="Agences et Après-vente"))*'Agences &amp; Après-vente'!$E$2:$E$1000))&gt;0,TEXT(SUMPRODUCT(MAX(('Agences &amp; Après-vente'!$A$2:$A$1000=$A362)*(('Agences &amp; Après-vente'!$D$2:$D$1000="Après-vente")+('Agences &amp; Après-vente'!$D$2:$D$1000="Agences et Après-vente"))*'Agences &amp; Après-vente'!$E$2:$E$1000)),"yyyy-mm-dd"),""))))))</f>
        <v/>
      </c>
      <c r="K362" s="131" t="str">
        <f aca="false">IF($U362="✓","✓",IF(ISNUMBER($U362),TEXT($U362,"yyyy-mm-dd"),IF($D362="Lisbonne","",IF($A362="","",IF(SUMPRODUCT((Evermont!$A$2:$A$1000=$A362)*(Evermont!$Q$2:$Q$1000="Terminé"))&gt;0,"✓",IF(SUMPRODUCT(MAX((Evermont!$A$2:$A$1000=$A362)*Evermont!$F$2:$F$1000))&gt;0,TEXT(SUMPRODUCT(MAX((Evermont!$A$2:$A$1000=$A362)*Evermont!$F$2:$F$1000)),"yyyy-mm-dd"),""))))))</f>
        <v/>
      </c>
      <c r="L362" s="131" t="str">
        <f aca="false">IF($A362="","",COUNTIF(E362:K362,"✓"))</f>
        <v/>
      </c>
      <c r="M362" s="131" t="str">
        <f aca="false">IF(B362="","","Active")</f>
        <v/>
      </c>
      <c r="W362" s="120" t="str">
        <f aca="false">IF($A362="","",IF($X362&lt;&gt;"",$X362,IFERROR(INDEX('Formation Initiale'!$B$2:$B$999,MATCH($A362,'Formation Initiale'!$A$2:$A$999,0)),"Général")))</f>
        <v/>
      </c>
    </row>
    <row r="363" customFormat="false" ht="15" hidden="true" customHeight="true" outlineLevel="0" collapsed="false">
      <c r="A363" s="142" t="str">
        <f aca="false">IF(B363="","","TR"&amp;TEXT(ROW()-1,"000"))</f>
        <v/>
      </c>
      <c r="E363" s="130" t="str">
        <f aca="false">IF($O363="✓","✓",IF(ISNUMBER($O363),TEXT($O363,"yyyy-mm-dd"),IF($A363="","",IF(SUMPRODUCT(('Formation Initiale'!$A$2:$A$999=$A363)*('Formation Initiale'!$R$2:$R$999="Terminé"))&gt;0,"✓",IF(SUMPRODUCT(MAX(('Formation Initiale'!$A$2:$A$999=$A363)*'Formation Initiale'!$G$2:$G$999))&gt;0,TEXT(SUMPRODUCT(MAX(('Formation Initiale'!$A$2:$A$999=$A363)*'Formation Initiale'!$G$2:$G$999)),"yyyy-mm-dd"),"")))))</f>
        <v/>
      </c>
      <c r="F363" s="131" t="str">
        <f aca="false">IF($P363="✓","✓",IF(ISNUMBER($P363),TEXT($P363,"yyyy-mm-dd"),IF($A363="","",IF($D363="Lisbonne","",IF(SUMPRODUCT(('Formation Initiale'!$A$2:$A$999=$A363)*('Formation Initiale'!$R$2:$R$999="Terminé"))&gt;0,"✓",IF(SUMPRODUCT(MAX(('Formation Initiale'!$A$2:$A$999=$A363)*'Formation Initiale'!$G$2:$G$999))&gt;0,TEXT(SUMPRODUCT(MAX(('Formation Initiale'!$A$2:$A$999=$A363)*'Formation Initiale'!$G$2:$G$999)),"yyyy-mm-dd"),""))))))</f>
        <v/>
      </c>
      <c r="G363" s="131" t="str">
        <f aca="false">IF($Q363="✓","✓",IF(ISNUMBER($Q363),TEXT($Q363,"yyyy-mm-dd"),IF($A363="","",IF(SUMPRODUCT(('Agences &amp; Après-vente'!$A$2:$A$1000=$A363)*(('Agences &amp; Après-vente'!$D$2:$D$1000="Agences")+('Agences &amp; Après-vente'!$D$2:$D$1000="Agences et Après-vente"))*('Agences &amp; Après-vente'!$I$2:$I$1000="DONE"))&gt;0,"✓",IF(SUMPRODUCT(MAX(('Agences &amp; Après-vente'!$A$2:$A$1000=$A363)*(('Agences &amp; Après-vente'!$D$2:$D$1000="Agences")+('Agences &amp; Après-vente'!$D$2:$D$1000="Agences et Après-vente"))*'Agences &amp; Après-vente'!$E$2:$E$1000))&gt;0,TEXT(SUMPRODUCT(MAX(('Agences &amp; Après-vente'!$A$2:$A$1000=$A363)*(('Agences &amp; Après-vente'!$D$2:$D$1000="Agences")+('Agences &amp; Après-vente'!$D$2:$D$1000="Agences et Après-vente"))*'Agences &amp; Après-vente'!$E$2:$E$1000)),"yyyy-mm-dd"),"")))))</f>
        <v/>
      </c>
      <c r="H363" s="131" t="str">
        <f aca="false">IF($R363="✓","✓",IF(ISNUMBER($R363),TEXT($R363,"yyyy-mm-dd"),IF($A363="","",IF($D363="Lisbonne","",IF(SUMPRODUCT(('Agences &amp; Après-vente'!$A$2:$A$1000=$A363)*(('Agences &amp; Après-vente'!$D$2:$D$1000="Agences")+('Agences &amp; Après-vente'!$D$2:$D$1000="Agences et Après-vente"))*('Agences &amp; Après-vente'!$I$2:$I$1000="DONE"))&gt;0,"✓",IF(SUMPRODUCT(MAX(('Agences &amp; Après-vente'!$A$2:$A$1000=$A363)*(('Agences &amp; Après-vente'!$D$2:$D$1000="Agences")+('Agences &amp; Après-vente'!$D$2:$D$1000="Agences et Après-vente"))*'Agences &amp; Après-vente'!$E$2:$E$1000))&gt;0,TEXT(SUMPRODUCT(MAX(('Agences &amp; Après-vente'!$A$2:$A$1000=$A363)*(('Agences &amp; Après-vente'!$D$2:$D$1000="Agences")+('Agences &amp; Après-vente'!$D$2:$D$1000="Agences et Après-vente"))*'Agences &amp; Après-vente'!$E$2:$E$1000)),"yyyy-mm-dd"),""))))))</f>
        <v/>
      </c>
      <c r="I363" s="131" t="str">
        <f aca="false">IF($S363="✓","✓",IF(ISNUMBER($S363),TEXT($S363,"yyyy-mm-dd"),IF($A363="","",IF(SUMPRODUCT(('Agences &amp; Après-vente'!$A$2:$A$1000=$A363)*(('Agences &amp; Après-vente'!$D$2:$D$1000="Après-vente")+('Agences &amp; Après-vente'!$D$2:$D$1000="Agences et Après-vente"))*('Agences &amp; Après-vente'!$I$2:$I$1000="DONE"))&gt;0,"✓",IF(SUMPRODUCT(MAX(('Agences &amp; Après-vente'!$A$2:$A$1000=$A363)*(('Agences &amp; Après-vente'!$D$2:$D$1000="Après-vente")+('Agences &amp; Après-vente'!$D$2:$D$1000="Agences et Après-vente"))*'Agences &amp; Après-vente'!$E$2:$E$1000))&gt;0,TEXT(SUMPRODUCT(MAX(('Agences &amp; Après-vente'!$A$2:$A$1000=$A363)*(('Agences &amp; Après-vente'!$D$2:$D$1000="Après-vente")+('Agences &amp; Après-vente'!$D$2:$D$1000="Agences et Après-vente"))*'Agences &amp; Après-vente'!$E$2:$E$1000)),"yyyy-mm-dd"),"")))))</f>
        <v/>
      </c>
      <c r="J363" s="131" t="str">
        <f aca="false">IF($T363="✓","✓",IF(ISNUMBER($T363),TEXT($T363,"yyyy-mm-dd"),IF($A363="","",IF($D363="Lisbonne","",IF(SUMPRODUCT(('Agences &amp; Après-vente'!$A$2:$A$1000=$A363)*(('Agences &amp; Après-vente'!$D$2:$D$1000="Après-vente")+('Agences &amp; Après-vente'!$D$2:$D$1000="Agences et Après-vente"))*('Agences &amp; Après-vente'!$I$2:$I$1000="DONE"))&gt;0,"✓",IF(SUMPRODUCT(MAX(('Agences &amp; Après-vente'!$A$2:$A$1000=$A363)*(('Agences &amp; Après-vente'!$D$2:$D$1000="Après-vente")+('Agences &amp; Après-vente'!$D$2:$D$1000="Agences et Après-vente"))*'Agences &amp; Après-vente'!$E$2:$E$1000))&gt;0,TEXT(SUMPRODUCT(MAX(('Agences &amp; Après-vente'!$A$2:$A$1000=$A363)*(('Agences &amp; Après-vente'!$D$2:$D$1000="Après-vente")+('Agences &amp; Après-vente'!$D$2:$D$1000="Agences et Après-vente"))*'Agences &amp; Après-vente'!$E$2:$E$1000)),"yyyy-mm-dd"),""))))))</f>
        <v/>
      </c>
      <c r="K363" s="131" t="str">
        <f aca="false">IF($U363="✓","✓",IF(ISNUMBER($U363),TEXT($U363,"yyyy-mm-dd"),IF($D363="Lisbonne","",IF($A363="","",IF(SUMPRODUCT((Evermont!$A$2:$A$1000=$A363)*(Evermont!$Q$2:$Q$1000="Terminé"))&gt;0,"✓",IF(SUMPRODUCT(MAX((Evermont!$A$2:$A$1000=$A363)*Evermont!$F$2:$F$1000))&gt;0,TEXT(SUMPRODUCT(MAX((Evermont!$A$2:$A$1000=$A363)*Evermont!$F$2:$F$1000)),"yyyy-mm-dd"),""))))))</f>
        <v/>
      </c>
      <c r="L363" s="131" t="str">
        <f aca="false">IF($A363="","",COUNTIF(E363:K363,"✓"))</f>
        <v/>
      </c>
      <c r="M363" s="131" t="str">
        <f aca="false">IF(B363="","","Active")</f>
        <v/>
      </c>
      <c r="W363" s="120" t="str">
        <f aca="false">IF($A363="","",IF($X363&lt;&gt;"",$X363,IFERROR(INDEX('Formation Initiale'!$B$2:$B$999,MATCH($A363,'Formation Initiale'!$A$2:$A$999,0)),"Général")))</f>
        <v/>
      </c>
    </row>
    <row r="364" customFormat="false" ht="15" hidden="true" customHeight="true" outlineLevel="0" collapsed="false">
      <c r="A364" s="142" t="str">
        <f aca="false">IF(B364="","","TR"&amp;TEXT(ROW()-1,"000"))</f>
        <v/>
      </c>
      <c r="E364" s="130" t="str">
        <f aca="false">IF($O364="✓","✓",IF(ISNUMBER($O364),TEXT($O364,"yyyy-mm-dd"),IF($A364="","",IF(SUMPRODUCT(('Formation Initiale'!$A$2:$A$999=$A364)*('Formation Initiale'!$R$2:$R$999="Terminé"))&gt;0,"✓",IF(SUMPRODUCT(MAX(('Formation Initiale'!$A$2:$A$999=$A364)*'Formation Initiale'!$G$2:$G$999))&gt;0,TEXT(SUMPRODUCT(MAX(('Formation Initiale'!$A$2:$A$999=$A364)*'Formation Initiale'!$G$2:$G$999)),"yyyy-mm-dd"),"")))))</f>
        <v/>
      </c>
      <c r="F364" s="131" t="str">
        <f aca="false">IF($P364="✓","✓",IF(ISNUMBER($P364),TEXT($P364,"yyyy-mm-dd"),IF($A364="","",IF($D364="Lisbonne","",IF(SUMPRODUCT(('Formation Initiale'!$A$2:$A$999=$A364)*('Formation Initiale'!$R$2:$R$999="Terminé"))&gt;0,"✓",IF(SUMPRODUCT(MAX(('Formation Initiale'!$A$2:$A$999=$A364)*'Formation Initiale'!$G$2:$G$999))&gt;0,TEXT(SUMPRODUCT(MAX(('Formation Initiale'!$A$2:$A$999=$A364)*'Formation Initiale'!$G$2:$G$999)),"yyyy-mm-dd"),""))))))</f>
        <v/>
      </c>
      <c r="G364" s="131" t="str">
        <f aca="false">IF($Q364="✓","✓",IF(ISNUMBER($Q364),TEXT($Q364,"yyyy-mm-dd"),IF($A364="","",IF(SUMPRODUCT(('Agences &amp; Après-vente'!$A$2:$A$1000=$A364)*(('Agences &amp; Après-vente'!$D$2:$D$1000="Agences")+('Agences &amp; Après-vente'!$D$2:$D$1000="Agences et Après-vente"))*('Agences &amp; Après-vente'!$I$2:$I$1000="DONE"))&gt;0,"✓",IF(SUMPRODUCT(MAX(('Agences &amp; Après-vente'!$A$2:$A$1000=$A364)*(('Agences &amp; Après-vente'!$D$2:$D$1000="Agences")+('Agences &amp; Après-vente'!$D$2:$D$1000="Agences et Après-vente"))*'Agences &amp; Après-vente'!$E$2:$E$1000))&gt;0,TEXT(SUMPRODUCT(MAX(('Agences &amp; Après-vente'!$A$2:$A$1000=$A364)*(('Agences &amp; Après-vente'!$D$2:$D$1000="Agences")+('Agences &amp; Après-vente'!$D$2:$D$1000="Agences et Après-vente"))*'Agences &amp; Après-vente'!$E$2:$E$1000)),"yyyy-mm-dd"),"")))))</f>
        <v/>
      </c>
      <c r="H364" s="131" t="str">
        <f aca="false">IF($R364="✓","✓",IF(ISNUMBER($R364),TEXT($R364,"yyyy-mm-dd"),IF($A364="","",IF($D364="Lisbonne","",IF(SUMPRODUCT(('Agences &amp; Après-vente'!$A$2:$A$1000=$A364)*(('Agences &amp; Après-vente'!$D$2:$D$1000="Agences")+('Agences &amp; Après-vente'!$D$2:$D$1000="Agences et Après-vente"))*('Agences &amp; Après-vente'!$I$2:$I$1000="DONE"))&gt;0,"✓",IF(SUMPRODUCT(MAX(('Agences &amp; Après-vente'!$A$2:$A$1000=$A364)*(('Agences &amp; Après-vente'!$D$2:$D$1000="Agences")+('Agences &amp; Après-vente'!$D$2:$D$1000="Agences et Après-vente"))*'Agences &amp; Après-vente'!$E$2:$E$1000))&gt;0,TEXT(SUMPRODUCT(MAX(('Agences &amp; Après-vente'!$A$2:$A$1000=$A364)*(('Agences &amp; Après-vente'!$D$2:$D$1000="Agences")+('Agences &amp; Après-vente'!$D$2:$D$1000="Agences et Après-vente"))*'Agences &amp; Après-vente'!$E$2:$E$1000)),"yyyy-mm-dd"),""))))))</f>
        <v/>
      </c>
      <c r="I364" s="131" t="str">
        <f aca="false">IF($S364="✓","✓",IF(ISNUMBER($S364),TEXT($S364,"yyyy-mm-dd"),IF($A364="","",IF(SUMPRODUCT(('Agences &amp; Après-vente'!$A$2:$A$1000=$A364)*(('Agences &amp; Après-vente'!$D$2:$D$1000="Après-vente")+('Agences &amp; Après-vente'!$D$2:$D$1000="Agences et Après-vente"))*('Agences &amp; Après-vente'!$I$2:$I$1000="DONE"))&gt;0,"✓",IF(SUMPRODUCT(MAX(('Agences &amp; Après-vente'!$A$2:$A$1000=$A364)*(('Agences &amp; Après-vente'!$D$2:$D$1000="Après-vente")+('Agences &amp; Après-vente'!$D$2:$D$1000="Agences et Après-vente"))*'Agences &amp; Après-vente'!$E$2:$E$1000))&gt;0,TEXT(SUMPRODUCT(MAX(('Agences &amp; Après-vente'!$A$2:$A$1000=$A364)*(('Agences &amp; Après-vente'!$D$2:$D$1000="Après-vente")+('Agences &amp; Après-vente'!$D$2:$D$1000="Agences et Après-vente"))*'Agences &amp; Après-vente'!$E$2:$E$1000)),"yyyy-mm-dd"),"")))))</f>
        <v/>
      </c>
      <c r="J364" s="131" t="str">
        <f aca="false">IF($T364="✓","✓",IF(ISNUMBER($T364),TEXT($T364,"yyyy-mm-dd"),IF($A364="","",IF($D364="Lisbonne","",IF(SUMPRODUCT(('Agences &amp; Après-vente'!$A$2:$A$1000=$A364)*(('Agences &amp; Après-vente'!$D$2:$D$1000="Après-vente")+('Agences &amp; Après-vente'!$D$2:$D$1000="Agences et Après-vente"))*('Agences &amp; Après-vente'!$I$2:$I$1000="DONE"))&gt;0,"✓",IF(SUMPRODUCT(MAX(('Agences &amp; Après-vente'!$A$2:$A$1000=$A364)*(('Agences &amp; Après-vente'!$D$2:$D$1000="Après-vente")+('Agences &amp; Après-vente'!$D$2:$D$1000="Agences et Après-vente"))*'Agences &amp; Après-vente'!$E$2:$E$1000))&gt;0,TEXT(SUMPRODUCT(MAX(('Agences &amp; Après-vente'!$A$2:$A$1000=$A364)*(('Agences &amp; Après-vente'!$D$2:$D$1000="Après-vente")+('Agences &amp; Après-vente'!$D$2:$D$1000="Agences et Après-vente"))*'Agences &amp; Après-vente'!$E$2:$E$1000)),"yyyy-mm-dd"),""))))))</f>
        <v/>
      </c>
      <c r="K364" s="131" t="str">
        <f aca="false">IF($U364="✓","✓",IF(ISNUMBER($U364),TEXT($U364,"yyyy-mm-dd"),IF($D364="Lisbonne","",IF($A364="","",IF(SUMPRODUCT((Evermont!$A$2:$A$1000=$A364)*(Evermont!$Q$2:$Q$1000="Terminé"))&gt;0,"✓",IF(SUMPRODUCT(MAX((Evermont!$A$2:$A$1000=$A364)*Evermont!$F$2:$F$1000))&gt;0,TEXT(SUMPRODUCT(MAX((Evermont!$A$2:$A$1000=$A364)*Evermont!$F$2:$F$1000)),"yyyy-mm-dd"),""))))))</f>
        <v/>
      </c>
      <c r="L364" s="131" t="str">
        <f aca="false">IF($A364="","",COUNTIF(E364:K364,"✓"))</f>
        <v/>
      </c>
      <c r="M364" s="131" t="str">
        <f aca="false">IF(B364="","","Active")</f>
        <v/>
      </c>
      <c r="W364" s="120" t="str">
        <f aca="false">IF($A364="","",IF($X364&lt;&gt;"",$X364,IFERROR(INDEX('Formation Initiale'!$B$2:$B$999,MATCH($A364,'Formation Initiale'!$A$2:$A$999,0)),"Général")))</f>
        <v/>
      </c>
    </row>
    <row r="365" customFormat="false" ht="15" hidden="true" customHeight="true" outlineLevel="0" collapsed="false">
      <c r="A365" s="142" t="str">
        <f aca="false">IF(B365="","","TR"&amp;TEXT(ROW()-1,"000"))</f>
        <v/>
      </c>
      <c r="E365" s="130" t="str">
        <f aca="false">IF($O365="✓","✓",IF(ISNUMBER($O365),TEXT($O365,"yyyy-mm-dd"),IF($A365="","",IF(SUMPRODUCT(('Formation Initiale'!$A$2:$A$999=$A365)*('Formation Initiale'!$R$2:$R$999="Terminé"))&gt;0,"✓",IF(SUMPRODUCT(MAX(('Formation Initiale'!$A$2:$A$999=$A365)*'Formation Initiale'!$G$2:$G$999))&gt;0,TEXT(SUMPRODUCT(MAX(('Formation Initiale'!$A$2:$A$999=$A365)*'Formation Initiale'!$G$2:$G$999)),"yyyy-mm-dd"),"")))))</f>
        <v/>
      </c>
      <c r="F365" s="131" t="str">
        <f aca="false">IF($P365="✓","✓",IF(ISNUMBER($P365),TEXT($P365,"yyyy-mm-dd"),IF($A365="","",IF($D365="Lisbonne","",IF(SUMPRODUCT(('Formation Initiale'!$A$2:$A$999=$A365)*('Formation Initiale'!$R$2:$R$999="Terminé"))&gt;0,"✓",IF(SUMPRODUCT(MAX(('Formation Initiale'!$A$2:$A$999=$A365)*'Formation Initiale'!$G$2:$G$999))&gt;0,TEXT(SUMPRODUCT(MAX(('Formation Initiale'!$A$2:$A$999=$A365)*'Formation Initiale'!$G$2:$G$999)),"yyyy-mm-dd"),""))))))</f>
        <v/>
      </c>
      <c r="G365" s="131" t="str">
        <f aca="false">IF($Q365="✓","✓",IF(ISNUMBER($Q365),TEXT($Q365,"yyyy-mm-dd"),IF($A365="","",IF(SUMPRODUCT(('Agences &amp; Après-vente'!$A$2:$A$1000=$A365)*(('Agences &amp; Après-vente'!$D$2:$D$1000="Agences")+('Agences &amp; Après-vente'!$D$2:$D$1000="Agences et Après-vente"))*('Agences &amp; Après-vente'!$I$2:$I$1000="DONE"))&gt;0,"✓",IF(SUMPRODUCT(MAX(('Agences &amp; Après-vente'!$A$2:$A$1000=$A365)*(('Agences &amp; Après-vente'!$D$2:$D$1000="Agences")+('Agences &amp; Après-vente'!$D$2:$D$1000="Agences et Après-vente"))*'Agences &amp; Après-vente'!$E$2:$E$1000))&gt;0,TEXT(SUMPRODUCT(MAX(('Agences &amp; Après-vente'!$A$2:$A$1000=$A365)*(('Agences &amp; Après-vente'!$D$2:$D$1000="Agences")+('Agences &amp; Après-vente'!$D$2:$D$1000="Agences et Après-vente"))*'Agences &amp; Après-vente'!$E$2:$E$1000)),"yyyy-mm-dd"),"")))))</f>
        <v/>
      </c>
      <c r="H365" s="131" t="str">
        <f aca="false">IF($R365="✓","✓",IF(ISNUMBER($R365),TEXT($R365,"yyyy-mm-dd"),IF($A365="","",IF($D365="Lisbonne","",IF(SUMPRODUCT(('Agences &amp; Après-vente'!$A$2:$A$1000=$A365)*(('Agences &amp; Après-vente'!$D$2:$D$1000="Agences")+('Agences &amp; Après-vente'!$D$2:$D$1000="Agences et Après-vente"))*('Agences &amp; Après-vente'!$I$2:$I$1000="DONE"))&gt;0,"✓",IF(SUMPRODUCT(MAX(('Agences &amp; Après-vente'!$A$2:$A$1000=$A365)*(('Agences &amp; Après-vente'!$D$2:$D$1000="Agences")+('Agences &amp; Après-vente'!$D$2:$D$1000="Agences et Après-vente"))*'Agences &amp; Après-vente'!$E$2:$E$1000))&gt;0,TEXT(SUMPRODUCT(MAX(('Agences &amp; Après-vente'!$A$2:$A$1000=$A365)*(('Agences &amp; Après-vente'!$D$2:$D$1000="Agences")+('Agences &amp; Après-vente'!$D$2:$D$1000="Agences et Après-vente"))*'Agences &amp; Après-vente'!$E$2:$E$1000)),"yyyy-mm-dd"),""))))))</f>
        <v/>
      </c>
      <c r="I365" s="131" t="str">
        <f aca="false">IF($S365="✓","✓",IF(ISNUMBER($S365),TEXT($S365,"yyyy-mm-dd"),IF($A365="","",IF(SUMPRODUCT(('Agences &amp; Après-vente'!$A$2:$A$1000=$A365)*(('Agences &amp; Après-vente'!$D$2:$D$1000="Après-vente")+('Agences &amp; Après-vente'!$D$2:$D$1000="Agences et Après-vente"))*('Agences &amp; Après-vente'!$I$2:$I$1000="DONE"))&gt;0,"✓",IF(SUMPRODUCT(MAX(('Agences &amp; Après-vente'!$A$2:$A$1000=$A365)*(('Agences &amp; Après-vente'!$D$2:$D$1000="Après-vente")+('Agences &amp; Après-vente'!$D$2:$D$1000="Agences et Après-vente"))*'Agences &amp; Après-vente'!$E$2:$E$1000))&gt;0,TEXT(SUMPRODUCT(MAX(('Agences &amp; Après-vente'!$A$2:$A$1000=$A365)*(('Agences &amp; Après-vente'!$D$2:$D$1000="Après-vente")+('Agences &amp; Après-vente'!$D$2:$D$1000="Agences et Après-vente"))*'Agences &amp; Après-vente'!$E$2:$E$1000)),"yyyy-mm-dd"),"")))))</f>
        <v/>
      </c>
      <c r="J365" s="131" t="str">
        <f aca="false">IF($T365="✓","✓",IF(ISNUMBER($T365),TEXT($T365,"yyyy-mm-dd"),IF($A365="","",IF($D365="Lisbonne","",IF(SUMPRODUCT(('Agences &amp; Après-vente'!$A$2:$A$1000=$A365)*(('Agences &amp; Après-vente'!$D$2:$D$1000="Après-vente")+('Agences &amp; Après-vente'!$D$2:$D$1000="Agences et Après-vente"))*('Agences &amp; Après-vente'!$I$2:$I$1000="DONE"))&gt;0,"✓",IF(SUMPRODUCT(MAX(('Agences &amp; Après-vente'!$A$2:$A$1000=$A365)*(('Agences &amp; Après-vente'!$D$2:$D$1000="Après-vente")+('Agences &amp; Après-vente'!$D$2:$D$1000="Agences et Après-vente"))*'Agences &amp; Après-vente'!$E$2:$E$1000))&gt;0,TEXT(SUMPRODUCT(MAX(('Agences &amp; Après-vente'!$A$2:$A$1000=$A365)*(('Agences &amp; Après-vente'!$D$2:$D$1000="Après-vente")+('Agences &amp; Après-vente'!$D$2:$D$1000="Agences et Après-vente"))*'Agences &amp; Après-vente'!$E$2:$E$1000)),"yyyy-mm-dd"),""))))))</f>
        <v/>
      </c>
      <c r="K365" s="131" t="str">
        <f aca="false">IF($U365="✓","✓",IF(ISNUMBER($U365),TEXT($U365,"yyyy-mm-dd"),IF($D365="Lisbonne","",IF($A365="","",IF(SUMPRODUCT((Evermont!$A$2:$A$1000=$A365)*(Evermont!$Q$2:$Q$1000="Terminé"))&gt;0,"✓",IF(SUMPRODUCT(MAX((Evermont!$A$2:$A$1000=$A365)*Evermont!$F$2:$F$1000))&gt;0,TEXT(SUMPRODUCT(MAX((Evermont!$A$2:$A$1000=$A365)*Evermont!$F$2:$F$1000)),"yyyy-mm-dd"),""))))))</f>
        <v/>
      </c>
      <c r="L365" s="131" t="str">
        <f aca="false">IF($A365="","",COUNTIF(E365:K365,"✓"))</f>
        <v/>
      </c>
      <c r="M365" s="131" t="str">
        <f aca="false">IF(B365="","","Active")</f>
        <v/>
      </c>
      <c r="W365" s="120" t="str">
        <f aca="false">IF($A365="","",IF($X365&lt;&gt;"",$X365,IFERROR(INDEX('Formation Initiale'!$B$2:$B$999,MATCH($A365,'Formation Initiale'!$A$2:$A$999,0)),"Général")))</f>
        <v/>
      </c>
    </row>
    <row r="366" customFormat="false" ht="15" hidden="true" customHeight="true" outlineLevel="0" collapsed="false">
      <c r="A366" s="142" t="str">
        <f aca="false">IF(B366="","","TR"&amp;TEXT(ROW()-1,"000"))</f>
        <v/>
      </c>
      <c r="E366" s="130" t="str">
        <f aca="false">IF($O366="✓","✓",IF(ISNUMBER($O366),TEXT($O366,"yyyy-mm-dd"),IF($A366="","",IF(SUMPRODUCT(('Formation Initiale'!$A$2:$A$999=$A366)*('Formation Initiale'!$R$2:$R$999="Terminé"))&gt;0,"✓",IF(SUMPRODUCT(MAX(('Formation Initiale'!$A$2:$A$999=$A366)*'Formation Initiale'!$G$2:$G$999))&gt;0,TEXT(SUMPRODUCT(MAX(('Formation Initiale'!$A$2:$A$999=$A366)*'Formation Initiale'!$G$2:$G$999)),"yyyy-mm-dd"),"")))))</f>
        <v/>
      </c>
      <c r="F366" s="131" t="str">
        <f aca="false">IF($P366="✓","✓",IF(ISNUMBER($P366),TEXT($P366,"yyyy-mm-dd"),IF($A366="","",IF($D366="Lisbonne","",IF(SUMPRODUCT(('Formation Initiale'!$A$2:$A$999=$A366)*('Formation Initiale'!$R$2:$R$999="Terminé"))&gt;0,"✓",IF(SUMPRODUCT(MAX(('Formation Initiale'!$A$2:$A$999=$A366)*'Formation Initiale'!$G$2:$G$999))&gt;0,TEXT(SUMPRODUCT(MAX(('Formation Initiale'!$A$2:$A$999=$A366)*'Formation Initiale'!$G$2:$G$999)),"yyyy-mm-dd"),""))))))</f>
        <v/>
      </c>
      <c r="G366" s="131" t="str">
        <f aca="false">IF($Q366="✓","✓",IF(ISNUMBER($Q366),TEXT($Q366,"yyyy-mm-dd"),IF($A366="","",IF(SUMPRODUCT(('Agences &amp; Après-vente'!$A$2:$A$1000=$A366)*(('Agences &amp; Après-vente'!$D$2:$D$1000="Agences")+('Agences &amp; Après-vente'!$D$2:$D$1000="Agences et Après-vente"))*('Agences &amp; Après-vente'!$I$2:$I$1000="DONE"))&gt;0,"✓",IF(SUMPRODUCT(MAX(('Agences &amp; Après-vente'!$A$2:$A$1000=$A366)*(('Agences &amp; Après-vente'!$D$2:$D$1000="Agences")+('Agences &amp; Après-vente'!$D$2:$D$1000="Agences et Après-vente"))*'Agences &amp; Après-vente'!$E$2:$E$1000))&gt;0,TEXT(SUMPRODUCT(MAX(('Agences &amp; Après-vente'!$A$2:$A$1000=$A366)*(('Agences &amp; Après-vente'!$D$2:$D$1000="Agences")+('Agences &amp; Après-vente'!$D$2:$D$1000="Agences et Après-vente"))*'Agences &amp; Après-vente'!$E$2:$E$1000)),"yyyy-mm-dd"),"")))))</f>
        <v/>
      </c>
      <c r="H366" s="131" t="str">
        <f aca="false">IF($R366="✓","✓",IF(ISNUMBER($R366),TEXT($R366,"yyyy-mm-dd"),IF($A366="","",IF($D366="Lisbonne","",IF(SUMPRODUCT(('Agences &amp; Après-vente'!$A$2:$A$1000=$A366)*(('Agences &amp; Après-vente'!$D$2:$D$1000="Agences")+('Agences &amp; Après-vente'!$D$2:$D$1000="Agences et Après-vente"))*('Agences &amp; Après-vente'!$I$2:$I$1000="DONE"))&gt;0,"✓",IF(SUMPRODUCT(MAX(('Agences &amp; Après-vente'!$A$2:$A$1000=$A366)*(('Agences &amp; Après-vente'!$D$2:$D$1000="Agences")+('Agences &amp; Après-vente'!$D$2:$D$1000="Agences et Après-vente"))*'Agences &amp; Après-vente'!$E$2:$E$1000))&gt;0,TEXT(SUMPRODUCT(MAX(('Agences &amp; Après-vente'!$A$2:$A$1000=$A366)*(('Agences &amp; Après-vente'!$D$2:$D$1000="Agences")+('Agences &amp; Après-vente'!$D$2:$D$1000="Agences et Après-vente"))*'Agences &amp; Après-vente'!$E$2:$E$1000)),"yyyy-mm-dd"),""))))))</f>
        <v/>
      </c>
      <c r="I366" s="131" t="str">
        <f aca="false">IF($S366="✓","✓",IF(ISNUMBER($S366),TEXT($S366,"yyyy-mm-dd"),IF($A366="","",IF(SUMPRODUCT(('Agences &amp; Après-vente'!$A$2:$A$1000=$A366)*(('Agences &amp; Après-vente'!$D$2:$D$1000="Après-vente")+('Agences &amp; Après-vente'!$D$2:$D$1000="Agences et Après-vente"))*('Agences &amp; Après-vente'!$I$2:$I$1000="DONE"))&gt;0,"✓",IF(SUMPRODUCT(MAX(('Agences &amp; Après-vente'!$A$2:$A$1000=$A366)*(('Agences &amp; Après-vente'!$D$2:$D$1000="Après-vente")+('Agences &amp; Après-vente'!$D$2:$D$1000="Agences et Après-vente"))*'Agences &amp; Après-vente'!$E$2:$E$1000))&gt;0,TEXT(SUMPRODUCT(MAX(('Agences &amp; Après-vente'!$A$2:$A$1000=$A366)*(('Agences &amp; Après-vente'!$D$2:$D$1000="Après-vente")+('Agences &amp; Après-vente'!$D$2:$D$1000="Agences et Après-vente"))*'Agences &amp; Après-vente'!$E$2:$E$1000)),"yyyy-mm-dd"),"")))))</f>
        <v/>
      </c>
      <c r="J366" s="131" t="str">
        <f aca="false">IF($T366="✓","✓",IF(ISNUMBER($T366),TEXT($T366,"yyyy-mm-dd"),IF($A366="","",IF($D366="Lisbonne","",IF(SUMPRODUCT(('Agences &amp; Après-vente'!$A$2:$A$1000=$A366)*(('Agences &amp; Après-vente'!$D$2:$D$1000="Après-vente")+('Agences &amp; Après-vente'!$D$2:$D$1000="Agences et Après-vente"))*('Agences &amp; Après-vente'!$I$2:$I$1000="DONE"))&gt;0,"✓",IF(SUMPRODUCT(MAX(('Agences &amp; Après-vente'!$A$2:$A$1000=$A366)*(('Agences &amp; Après-vente'!$D$2:$D$1000="Après-vente")+('Agences &amp; Après-vente'!$D$2:$D$1000="Agences et Après-vente"))*'Agences &amp; Après-vente'!$E$2:$E$1000))&gt;0,TEXT(SUMPRODUCT(MAX(('Agences &amp; Après-vente'!$A$2:$A$1000=$A366)*(('Agences &amp; Après-vente'!$D$2:$D$1000="Après-vente")+('Agences &amp; Après-vente'!$D$2:$D$1000="Agences et Après-vente"))*'Agences &amp; Après-vente'!$E$2:$E$1000)),"yyyy-mm-dd"),""))))))</f>
        <v/>
      </c>
      <c r="K366" s="131" t="str">
        <f aca="false">IF($U366="✓","✓",IF(ISNUMBER($U366),TEXT($U366,"yyyy-mm-dd"),IF($D366="Lisbonne","",IF($A366="","",IF(SUMPRODUCT((Evermont!$A$2:$A$1000=$A366)*(Evermont!$Q$2:$Q$1000="Terminé"))&gt;0,"✓",IF(SUMPRODUCT(MAX((Evermont!$A$2:$A$1000=$A366)*Evermont!$F$2:$F$1000))&gt;0,TEXT(SUMPRODUCT(MAX((Evermont!$A$2:$A$1000=$A366)*Evermont!$F$2:$F$1000)),"yyyy-mm-dd"),""))))))</f>
        <v/>
      </c>
      <c r="L366" s="131" t="str">
        <f aca="false">IF($A366="","",COUNTIF(E366:K366,"✓"))</f>
        <v/>
      </c>
      <c r="M366" s="131" t="str">
        <f aca="false">IF(B366="","","Active")</f>
        <v/>
      </c>
      <c r="W366" s="120" t="str">
        <f aca="false">IF($A366="","",IF($X366&lt;&gt;"",$X366,IFERROR(INDEX('Formation Initiale'!$B$2:$B$999,MATCH($A366,'Formation Initiale'!$A$2:$A$999,0)),"Général")))</f>
        <v/>
      </c>
    </row>
    <row r="367" customFormat="false" ht="15" hidden="true" customHeight="true" outlineLevel="0" collapsed="false">
      <c r="A367" s="142" t="str">
        <f aca="false">IF(B367="","","TR"&amp;TEXT(ROW()-1,"000"))</f>
        <v/>
      </c>
      <c r="E367" s="130" t="str">
        <f aca="false">IF($O367="✓","✓",IF(ISNUMBER($O367),TEXT($O367,"yyyy-mm-dd"),IF($A367="","",IF(SUMPRODUCT(('Formation Initiale'!$A$2:$A$999=$A367)*('Formation Initiale'!$R$2:$R$999="Terminé"))&gt;0,"✓",IF(SUMPRODUCT(MAX(('Formation Initiale'!$A$2:$A$999=$A367)*'Formation Initiale'!$G$2:$G$999))&gt;0,TEXT(SUMPRODUCT(MAX(('Formation Initiale'!$A$2:$A$999=$A367)*'Formation Initiale'!$G$2:$G$999)),"yyyy-mm-dd"),"")))))</f>
        <v/>
      </c>
      <c r="F367" s="131" t="str">
        <f aca="false">IF($P367="✓","✓",IF(ISNUMBER($P367),TEXT($P367,"yyyy-mm-dd"),IF($A367="","",IF($D367="Lisbonne","",IF(SUMPRODUCT(('Formation Initiale'!$A$2:$A$999=$A367)*('Formation Initiale'!$R$2:$R$999="Terminé"))&gt;0,"✓",IF(SUMPRODUCT(MAX(('Formation Initiale'!$A$2:$A$999=$A367)*'Formation Initiale'!$G$2:$G$999))&gt;0,TEXT(SUMPRODUCT(MAX(('Formation Initiale'!$A$2:$A$999=$A367)*'Formation Initiale'!$G$2:$G$999)),"yyyy-mm-dd"),""))))))</f>
        <v/>
      </c>
      <c r="G367" s="131" t="str">
        <f aca="false">IF($Q367="✓","✓",IF(ISNUMBER($Q367),TEXT($Q367,"yyyy-mm-dd"),IF($A367="","",IF(SUMPRODUCT(('Agences &amp; Après-vente'!$A$2:$A$1000=$A367)*(('Agences &amp; Après-vente'!$D$2:$D$1000="Agences")+('Agences &amp; Après-vente'!$D$2:$D$1000="Agences et Après-vente"))*('Agences &amp; Après-vente'!$I$2:$I$1000="DONE"))&gt;0,"✓",IF(SUMPRODUCT(MAX(('Agences &amp; Après-vente'!$A$2:$A$1000=$A367)*(('Agences &amp; Après-vente'!$D$2:$D$1000="Agences")+('Agences &amp; Après-vente'!$D$2:$D$1000="Agences et Après-vente"))*'Agences &amp; Après-vente'!$E$2:$E$1000))&gt;0,TEXT(SUMPRODUCT(MAX(('Agences &amp; Après-vente'!$A$2:$A$1000=$A367)*(('Agences &amp; Après-vente'!$D$2:$D$1000="Agences")+('Agences &amp; Après-vente'!$D$2:$D$1000="Agences et Après-vente"))*'Agences &amp; Après-vente'!$E$2:$E$1000)),"yyyy-mm-dd"),"")))))</f>
        <v/>
      </c>
      <c r="H367" s="131" t="str">
        <f aca="false">IF($R367="✓","✓",IF(ISNUMBER($R367),TEXT($R367,"yyyy-mm-dd"),IF($A367="","",IF($D367="Lisbonne","",IF(SUMPRODUCT(('Agences &amp; Après-vente'!$A$2:$A$1000=$A367)*(('Agences &amp; Après-vente'!$D$2:$D$1000="Agences")+('Agences &amp; Après-vente'!$D$2:$D$1000="Agences et Après-vente"))*('Agences &amp; Après-vente'!$I$2:$I$1000="DONE"))&gt;0,"✓",IF(SUMPRODUCT(MAX(('Agences &amp; Après-vente'!$A$2:$A$1000=$A367)*(('Agences &amp; Après-vente'!$D$2:$D$1000="Agences")+('Agences &amp; Après-vente'!$D$2:$D$1000="Agences et Après-vente"))*'Agences &amp; Après-vente'!$E$2:$E$1000))&gt;0,TEXT(SUMPRODUCT(MAX(('Agences &amp; Après-vente'!$A$2:$A$1000=$A367)*(('Agences &amp; Après-vente'!$D$2:$D$1000="Agences")+('Agences &amp; Après-vente'!$D$2:$D$1000="Agences et Après-vente"))*'Agences &amp; Après-vente'!$E$2:$E$1000)),"yyyy-mm-dd"),""))))))</f>
        <v/>
      </c>
      <c r="I367" s="131" t="str">
        <f aca="false">IF($S367="✓","✓",IF(ISNUMBER($S367),TEXT($S367,"yyyy-mm-dd"),IF($A367="","",IF(SUMPRODUCT(('Agences &amp; Après-vente'!$A$2:$A$1000=$A367)*(('Agences &amp; Après-vente'!$D$2:$D$1000="Après-vente")+('Agences &amp; Après-vente'!$D$2:$D$1000="Agences et Après-vente"))*('Agences &amp; Après-vente'!$I$2:$I$1000="DONE"))&gt;0,"✓",IF(SUMPRODUCT(MAX(('Agences &amp; Après-vente'!$A$2:$A$1000=$A367)*(('Agences &amp; Après-vente'!$D$2:$D$1000="Après-vente")+('Agences &amp; Après-vente'!$D$2:$D$1000="Agences et Après-vente"))*'Agences &amp; Après-vente'!$E$2:$E$1000))&gt;0,TEXT(SUMPRODUCT(MAX(('Agences &amp; Après-vente'!$A$2:$A$1000=$A367)*(('Agences &amp; Après-vente'!$D$2:$D$1000="Après-vente")+('Agences &amp; Après-vente'!$D$2:$D$1000="Agences et Après-vente"))*'Agences &amp; Après-vente'!$E$2:$E$1000)),"yyyy-mm-dd"),"")))))</f>
        <v/>
      </c>
      <c r="J367" s="131" t="str">
        <f aca="false">IF($T367="✓","✓",IF(ISNUMBER($T367),TEXT($T367,"yyyy-mm-dd"),IF($A367="","",IF($D367="Lisbonne","",IF(SUMPRODUCT(('Agences &amp; Après-vente'!$A$2:$A$1000=$A367)*(('Agences &amp; Après-vente'!$D$2:$D$1000="Après-vente")+('Agences &amp; Après-vente'!$D$2:$D$1000="Agences et Après-vente"))*('Agences &amp; Après-vente'!$I$2:$I$1000="DONE"))&gt;0,"✓",IF(SUMPRODUCT(MAX(('Agences &amp; Après-vente'!$A$2:$A$1000=$A367)*(('Agences &amp; Après-vente'!$D$2:$D$1000="Après-vente")+('Agences &amp; Après-vente'!$D$2:$D$1000="Agences et Après-vente"))*'Agences &amp; Après-vente'!$E$2:$E$1000))&gt;0,TEXT(SUMPRODUCT(MAX(('Agences &amp; Après-vente'!$A$2:$A$1000=$A367)*(('Agences &amp; Après-vente'!$D$2:$D$1000="Après-vente")+('Agences &amp; Après-vente'!$D$2:$D$1000="Agences et Après-vente"))*'Agences &amp; Après-vente'!$E$2:$E$1000)),"yyyy-mm-dd"),""))))))</f>
        <v/>
      </c>
      <c r="K367" s="131" t="str">
        <f aca="false">IF($U367="✓","✓",IF(ISNUMBER($U367),TEXT($U367,"yyyy-mm-dd"),IF($D367="Lisbonne","",IF($A367="","",IF(SUMPRODUCT((Evermont!$A$2:$A$1000=$A367)*(Evermont!$Q$2:$Q$1000="Terminé"))&gt;0,"✓",IF(SUMPRODUCT(MAX((Evermont!$A$2:$A$1000=$A367)*Evermont!$F$2:$F$1000))&gt;0,TEXT(SUMPRODUCT(MAX((Evermont!$A$2:$A$1000=$A367)*Evermont!$F$2:$F$1000)),"yyyy-mm-dd"),""))))))</f>
        <v/>
      </c>
      <c r="L367" s="131" t="str">
        <f aca="false">IF($A367="","",COUNTIF(E367:K367,"✓"))</f>
        <v/>
      </c>
      <c r="M367" s="131" t="str">
        <f aca="false">IF(B367="","","Active")</f>
        <v/>
      </c>
      <c r="W367" s="120" t="str">
        <f aca="false">IF($A367="","",IF($X367&lt;&gt;"",$X367,IFERROR(INDEX('Formation Initiale'!$B$2:$B$999,MATCH($A367,'Formation Initiale'!$A$2:$A$999,0)),"Général")))</f>
        <v/>
      </c>
    </row>
    <row r="368" customFormat="false" ht="15" hidden="true" customHeight="true" outlineLevel="0" collapsed="false">
      <c r="A368" s="142" t="str">
        <f aca="false">IF(B368="","","TR"&amp;TEXT(ROW()-1,"000"))</f>
        <v/>
      </c>
      <c r="E368" s="130" t="str">
        <f aca="false">IF($O368="✓","✓",IF(ISNUMBER($O368),TEXT($O368,"yyyy-mm-dd"),IF($A368="","",IF(SUMPRODUCT(('Formation Initiale'!$A$2:$A$999=$A368)*('Formation Initiale'!$R$2:$R$999="Terminé"))&gt;0,"✓",IF(SUMPRODUCT(MAX(('Formation Initiale'!$A$2:$A$999=$A368)*'Formation Initiale'!$G$2:$G$999))&gt;0,TEXT(SUMPRODUCT(MAX(('Formation Initiale'!$A$2:$A$999=$A368)*'Formation Initiale'!$G$2:$G$999)),"yyyy-mm-dd"),"")))))</f>
        <v/>
      </c>
      <c r="F368" s="131" t="str">
        <f aca="false">IF($P368="✓","✓",IF(ISNUMBER($P368),TEXT($P368,"yyyy-mm-dd"),IF($A368="","",IF($D368="Lisbonne","",IF(SUMPRODUCT(('Formation Initiale'!$A$2:$A$999=$A368)*('Formation Initiale'!$R$2:$R$999="Terminé"))&gt;0,"✓",IF(SUMPRODUCT(MAX(('Formation Initiale'!$A$2:$A$999=$A368)*'Formation Initiale'!$G$2:$G$999))&gt;0,TEXT(SUMPRODUCT(MAX(('Formation Initiale'!$A$2:$A$999=$A368)*'Formation Initiale'!$G$2:$G$999)),"yyyy-mm-dd"),""))))))</f>
        <v/>
      </c>
      <c r="G368" s="131" t="str">
        <f aca="false">IF($Q368="✓","✓",IF(ISNUMBER($Q368),TEXT($Q368,"yyyy-mm-dd"),IF($A368="","",IF(SUMPRODUCT(('Agences &amp; Après-vente'!$A$2:$A$1000=$A368)*(('Agences &amp; Après-vente'!$D$2:$D$1000="Agences")+('Agences &amp; Après-vente'!$D$2:$D$1000="Agences et Après-vente"))*('Agences &amp; Après-vente'!$I$2:$I$1000="DONE"))&gt;0,"✓",IF(SUMPRODUCT(MAX(('Agences &amp; Après-vente'!$A$2:$A$1000=$A368)*(('Agences &amp; Après-vente'!$D$2:$D$1000="Agences")+('Agences &amp; Après-vente'!$D$2:$D$1000="Agences et Après-vente"))*'Agences &amp; Après-vente'!$E$2:$E$1000))&gt;0,TEXT(SUMPRODUCT(MAX(('Agences &amp; Après-vente'!$A$2:$A$1000=$A368)*(('Agences &amp; Après-vente'!$D$2:$D$1000="Agences")+('Agences &amp; Après-vente'!$D$2:$D$1000="Agences et Après-vente"))*'Agences &amp; Après-vente'!$E$2:$E$1000)),"yyyy-mm-dd"),"")))))</f>
        <v/>
      </c>
      <c r="H368" s="131" t="str">
        <f aca="false">IF($R368="✓","✓",IF(ISNUMBER($R368),TEXT($R368,"yyyy-mm-dd"),IF($A368="","",IF($D368="Lisbonne","",IF(SUMPRODUCT(('Agences &amp; Après-vente'!$A$2:$A$1000=$A368)*(('Agences &amp; Après-vente'!$D$2:$D$1000="Agences")+('Agences &amp; Après-vente'!$D$2:$D$1000="Agences et Après-vente"))*('Agences &amp; Après-vente'!$I$2:$I$1000="DONE"))&gt;0,"✓",IF(SUMPRODUCT(MAX(('Agences &amp; Après-vente'!$A$2:$A$1000=$A368)*(('Agences &amp; Après-vente'!$D$2:$D$1000="Agences")+('Agences &amp; Après-vente'!$D$2:$D$1000="Agences et Après-vente"))*'Agences &amp; Après-vente'!$E$2:$E$1000))&gt;0,TEXT(SUMPRODUCT(MAX(('Agences &amp; Après-vente'!$A$2:$A$1000=$A368)*(('Agences &amp; Après-vente'!$D$2:$D$1000="Agences")+('Agences &amp; Après-vente'!$D$2:$D$1000="Agences et Après-vente"))*'Agences &amp; Après-vente'!$E$2:$E$1000)),"yyyy-mm-dd"),""))))))</f>
        <v/>
      </c>
      <c r="I368" s="131" t="str">
        <f aca="false">IF($S368="✓","✓",IF(ISNUMBER($S368),TEXT($S368,"yyyy-mm-dd"),IF($A368="","",IF(SUMPRODUCT(('Agences &amp; Après-vente'!$A$2:$A$1000=$A368)*(('Agences &amp; Après-vente'!$D$2:$D$1000="Après-vente")+('Agences &amp; Après-vente'!$D$2:$D$1000="Agences et Après-vente"))*('Agences &amp; Après-vente'!$I$2:$I$1000="DONE"))&gt;0,"✓",IF(SUMPRODUCT(MAX(('Agences &amp; Après-vente'!$A$2:$A$1000=$A368)*(('Agences &amp; Après-vente'!$D$2:$D$1000="Après-vente")+('Agences &amp; Après-vente'!$D$2:$D$1000="Agences et Après-vente"))*'Agences &amp; Après-vente'!$E$2:$E$1000))&gt;0,TEXT(SUMPRODUCT(MAX(('Agences &amp; Après-vente'!$A$2:$A$1000=$A368)*(('Agences &amp; Après-vente'!$D$2:$D$1000="Après-vente")+('Agences &amp; Après-vente'!$D$2:$D$1000="Agences et Après-vente"))*'Agences &amp; Après-vente'!$E$2:$E$1000)),"yyyy-mm-dd"),"")))))</f>
        <v/>
      </c>
      <c r="J368" s="131" t="str">
        <f aca="false">IF($T368="✓","✓",IF(ISNUMBER($T368),TEXT($T368,"yyyy-mm-dd"),IF($A368="","",IF($D368="Lisbonne","",IF(SUMPRODUCT(('Agences &amp; Après-vente'!$A$2:$A$1000=$A368)*(('Agences &amp; Après-vente'!$D$2:$D$1000="Après-vente")+('Agences &amp; Après-vente'!$D$2:$D$1000="Agences et Après-vente"))*('Agences &amp; Après-vente'!$I$2:$I$1000="DONE"))&gt;0,"✓",IF(SUMPRODUCT(MAX(('Agences &amp; Après-vente'!$A$2:$A$1000=$A368)*(('Agences &amp; Après-vente'!$D$2:$D$1000="Après-vente")+('Agences &amp; Après-vente'!$D$2:$D$1000="Agences et Après-vente"))*'Agences &amp; Après-vente'!$E$2:$E$1000))&gt;0,TEXT(SUMPRODUCT(MAX(('Agences &amp; Après-vente'!$A$2:$A$1000=$A368)*(('Agences &amp; Après-vente'!$D$2:$D$1000="Après-vente")+('Agences &amp; Après-vente'!$D$2:$D$1000="Agences et Après-vente"))*'Agences &amp; Après-vente'!$E$2:$E$1000)),"yyyy-mm-dd"),""))))))</f>
        <v/>
      </c>
      <c r="K368" s="131" t="str">
        <f aca="false">IF($U368="✓","✓",IF(ISNUMBER($U368),TEXT($U368,"yyyy-mm-dd"),IF($D368="Lisbonne","",IF($A368="","",IF(SUMPRODUCT((Evermont!$A$2:$A$1000=$A368)*(Evermont!$Q$2:$Q$1000="Terminé"))&gt;0,"✓",IF(SUMPRODUCT(MAX((Evermont!$A$2:$A$1000=$A368)*Evermont!$F$2:$F$1000))&gt;0,TEXT(SUMPRODUCT(MAX((Evermont!$A$2:$A$1000=$A368)*Evermont!$F$2:$F$1000)),"yyyy-mm-dd"),""))))))</f>
        <v/>
      </c>
      <c r="L368" s="131" t="str">
        <f aca="false">IF($A368="","",COUNTIF(E368:K368,"✓"))</f>
        <v/>
      </c>
      <c r="M368" s="131" t="str">
        <f aca="false">IF(B368="","","Active")</f>
        <v/>
      </c>
      <c r="W368" s="120" t="str">
        <f aca="false">IF($A368="","",IF($X368&lt;&gt;"",$X368,IFERROR(INDEX('Formation Initiale'!$B$2:$B$999,MATCH($A368,'Formation Initiale'!$A$2:$A$999,0)),"Général")))</f>
        <v/>
      </c>
    </row>
    <row r="369" customFormat="false" ht="15" hidden="true" customHeight="true" outlineLevel="0" collapsed="false">
      <c r="A369" s="142" t="str">
        <f aca="false">IF(B369="","","TR"&amp;TEXT(ROW()-1,"000"))</f>
        <v/>
      </c>
      <c r="E369" s="130" t="str">
        <f aca="false">IF($O369="✓","✓",IF(ISNUMBER($O369),TEXT($O369,"yyyy-mm-dd"),IF($A369="","",IF(SUMPRODUCT(('Formation Initiale'!$A$2:$A$999=$A369)*('Formation Initiale'!$R$2:$R$999="Terminé"))&gt;0,"✓",IF(SUMPRODUCT(MAX(('Formation Initiale'!$A$2:$A$999=$A369)*'Formation Initiale'!$G$2:$G$999))&gt;0,TEXT(SUMPRODUCT(MAX(('Formation Initiale'!$A$2:$A$999=$A369)*'Formation Initiale'!$G$2:$G$999)),"yyyy-mm-dd"),"")))))</f>
        <v/>
      </c>
      <c r="F369" s="131" t="str">
        <f aca="false">IF($P369="✓","✓",IF(ISNUMBER($P369),TEXT($P369,"yyyy-mm-dd"),IF($A369="","",IF($D369="Lisbonne","",IF(SUMPRODUCT(('Formation Initiale'!$A$2:$A$999=$A369)*('Formation Initiale'!$R$2:$R$999="Terminé"))&gt;0,"✓",IF(SUMPRODUCT(MAX(('Formation Initiale'!$A$2:$A$999=$A369)*'Formation Initiale'!$G$2:$G$999))&gt;0,TEXT(SUMPRODUCT(MAX(('Formation Initiale'!$A$2:$A$999=$A369)*'Formation Initiale'!$G$2:$G$999)),"yyyy-mm-dd"),""))))))</f>
        <v/>
      </c>
      <c r="G369" s="131" t="str">
        <f aca="false">IF($Q369="✓","✓",IF(ISNUMBER($Q369),TEXT($Q369,"yyyy-mm-dd"),IF($A369="","",IF(SUMPRODUCT(('Agences &amp; Après-vente'!$A$2:$A$1000=$A369)*(('Agences &amp; Après-vente'!$D$2:$D$1000="Agences")+('Agences &amp; Après-vente'!$D$2:$D$1000="Agences et Après-vente"))*('Agences &amp; Après-vente'!$I$2:$I$1000="DONE"))&gt;0,"✓",IF(SUMPRODUCT(MAX(('Agences &amp; Après-vente'!$A$2:$A$1000=$A369)*(('Agences &amp; Après-vente'!$D$2:$D$1000="Agences")+('Agences &amp; Après-vente'!$D$2:$D$1000="Agences et Après-vente"))*'Agences &amp; Après-vente'!$E$2:$E$1000))&gt;0,TEXT(SUMPRODUCT(MAX(('Agences &amp; Après-vente'!$A$2:$A$1000=$A369)*(('Agences &amp; Après-vente'!$D$2:$D$1000="Agences")+('Agences &amp; Après-vente'!$D$2:$D$1000="Agences et Après-vente"))*'Agences &amp; Après-vente'!$E$2:$E$1000)),"yyyy-mm-dd"),"")))))</f>
        <v/>
      </c>
      <c r="H369" s="131" t="str">
        <f aca="false">IF($R369="✓","✓",IF(ISNUMBER($R369),TEXT($R369,"yyyy-mm-dd"),IF($A369="","",IF($D369="Lisbonne","",IF(SUMPRODUCT(('Agences &amp; Après-vente'!$A$2:$A$1000=$A369)*(('Agences &amp; Après-vente'!$D$2:$D$1000="Agences")+('Agences &amp; Après-vente'!$D$2:$D$1000="Agences et Après-vente"))*('Agences &amp; Après-vente'!$I$2:$I$1000="DONE"))&gt;0,"✓",IF(SUMPRODUCT(MAX(('Agences &amp; Après-vente'!$A$2:$A$1000=$A369)*(('Agences &amp; Après-vente'!$D$2:$D$1000="Agences")+('Agences &amp; Après-vente'!$D$2:$D$1000="Agences et Après-vente"))*'Agences &amp; Après-vente'!$E$2:$E$1000))&gt;0,TEXT(SUMPRODUCT(MAX(('Agences &amp; Après-vente'!$A$2:$A$1000=$A369)*(('Agences &amp; Après-vente'!$D$2:$D$1000="Agences")+('Agences &amp; Après-vente'!$D$2:$D$1000="Agences et Après-vente"))*'Agences &amp; Après-vente'!$E$2:$E$1000)),"yyyy-mm-dd"),""))))))</f>
        <v/>
      </c>
      <c r="I369" s="131" t="str">
        <f aca="false">IF($S369="✓","✓",IF(ISNUMBER($S369),TEXT($S369,"yyyy-mm-dd"),IF($A369="","",IF(SUMPRODUCT(('Agences &amp; Après-vente'!$A$2:$A$1000=$A369)*(('Agences &amp; Après-vente'!$D$2:$D$1000="Après-vente")+('Agences &amp; Après-vente'!$D$2:$D$1000="Agences et Après-vente"))*('Agences &amp; Après-vente'!$I$2:$I$1000="DONE"))&gt;0,"✓",IF(SUMPRODUCT(MAX(('Agences &amp; Après-vente'!$A$2:$A$1000=$A369)*(('Agences &amp; Après-vente'!$D$2:$D$1000="Après-vente")+('Agences &amp; Après-vente'!$D$2:$D$1000="Agences et Après-vente"))*'Agences &amp; Après-vente'!$E$2:$E$1000))&gt;0,TEXT(SUMPRODUCT(MAX(('Agences &amp; Après-vente'!$A$2:$A$1000=$A369)*(('Agences &amp; Après-vente'!$D$2:$D$1000="Après-vente")+('Agences &amp; Après-vente'!$D$2:$D$1000="Agences et Après-vente"))*'Agences &amp; Après-vente'!$E$2:$E$1000)),"yyyy-mm-dd"),"")))))</f>
        <v/>
      </c>
      <c r="J369" s="131" t="str">
        <f aca="false">IF($T369="✓","✓",IF(ISNUMBER($T369),TEXT($T369,"yyyy-mm-dd"),IF($A369="","",IF($D369="Lisbonne","",IF(SUMPRODUCT(('Agences &amp; Après-vente'!$A$2:$A$1000=$A369)*(('Agences &amp; Après-vente'!$D$2:$D$1000="Après-vente")+('Agences &amp; Après-vente'!$D$2:$D$1000="Agences et Après-vente"))*('Agences &amp; Après-vente'!$I$2:$I$1000="DONE"))&gt;0,"✓",IF(SUMPRODUCT(MAX(('Agences &amp; Après-vente'!$A$2:$A$1000=$A369)*(('Agences &amp; Après-vente'!$D$2:$D$1000="Après-vente")+('Agences &amp; Après-vente'!$D$2:$D$1000="Agences et Après-vente"))*'Agences &amp; Après-vente'!$E$2:$E$1000))&gt;0,TEXT(SUMPRODUCT(MAX(('Agences &amp; Après-vente'!$A$2:$A$1000=$A369)*(('Agences &amp; Après-vente'!$D$2:$D$1000="Après-vente")+('Agences &amp; Après-vente'!$D$2:$D$1000="Agences et Après-vente"))*'Agences &amp; Après-vente'!$E$2:$E$1000)),"yyyy-mm-dd"),""))))))</f>
        <v/>
      </c>
      <c r="K369" s="131" t="str">
        <f aca="false">IF($U369="✓","✓",IF(ISNUMBER($U369),TEXT($U369,"yyyy-mm-dd"),IF($D369="Lisbonne","",IF($A369="","",IF(SUMPRODUCT((Evermont!$A$2:$A$1000=$A369)*(Evermont!$Q$2:$Q$1000="Terminé"))&gt;0,"✓",IF(SUMPRODUCT(MAX((Evermont!$A$2:$A$1000=$A369)*Evermont!$F$2:$F$1000))&gt;0,TEXT(SUMPRODUCT(MAX((Evermont!$A$2:$A$1000=$A369)*Evermont!$F$2:$F$1000)),"yyyy-mm-dd"),""))))))</f>
        <v/>
      </c>
      <c r="L369" s="131" t="str">
        <f aca="false">IF($A369="","",COUNTIF(E369:K369,"✓"))</f>
        <v/>
      </c>
      <c r="M369" s="131" t="str">
        <f aca="false">IF(B369="","","Active")</f>
        <v/>
      </c>
      <c r="W369" s="120" t="str">
        <f aca="false">IF($A369="","",IF($X369&lt;&gt;"",$X369,IFERROR(INDEX('Formation Initiale'!$B$2:$B$999,MATCH($A369,'Formation Initiale'!$A$2:$A$999,0)),"Général")))</f>
        <v/>
      </c>
    </row>
    <row r="370" customFormat="false" ht="15" hidden="true" customHeight="true" outlineLevel="0" collapsed="false">
      <c r="A370" s="142" t="str">
        <f aca="false">IF(B370="","","TR"&amp;TEXT(ROW()-1,"000"))</f>
        <v/>
      </c>
      <c r="E370" s="130" t="str">
        <f aca="false">IF($O370="✓","✓",IF(ISNUMBER($O370),TEXT($O370,"yyyy-mm-dd"),IF($A370="","",IF(SUMPRODUCT(('Formation Initiale'!$A$2:$A$999=$A370)*('Formation Initiale'!$R$2:$R$999="Terminé"))&gt;0,"✓",IF(SUMPRODUCT(MAX(('Formation Initiale'!$A$2:$A$999=$A370)*'Formation Initiale'!$G$2:$G$999))&gt;0,TEXT(SUMPRODUCT(MAX(('Formation Initiale'!$A$2:$A$999=$A370)*'Formation Initiale'!$G$2:$G$999)),"yyyy-mm-dd"),"")))))</f>
        <v/>
      </c>
      <c r="F370" s="131" t="str">
        <f aca="false">IF($P370="✓","✓",IF(ISNUMBER($P370),TEXT($P370,"yyyy-mm-dd"),IF($A370="","",IF($D370="Lisbonne","",IF(SUMPRODUCT(('Formation Initiale'!$A$2:$A$999=$A370)*('Formation Initiale'!$R$2:$R$999="Terminé"))&gt;0,"✓",IF(SUMPRODUCT(MAX(('Formation Initiale'!$A$2:$A$999=$A370)*'Formation Initiale'!$G$2:$G$999))&gt;0,TEXT(SUMPRODUCT(MAX(('Formation Initiale'!$A$2:$A$999=$A370)*'Formation Initiale'!$G$2:$G$999)),"yyyy-mm-dd"),""))))))</f>
        <v/>
      </c>
      <c r="G370" s="131" t="str">
        <f aca="false">IF($Q370="✓","✓",IF(ISNUMBER($Q370),TEXT($Q370,"yyyy-mm-dd"),IF($A370="","",IF(SUMPRODUCT(('Agences &amp; Après-vente'!$A$2:$A$1000=$A370)*(('Agences &amp; Après-vente'!$D$2:$D$1000="Agences")+('Agences &amp; Après-vente'!$D$2:$D$1000="Agences et Après-vente"))*('Agences &amp; Après-vente'!$I$2:$I$1000="DONE"))&gt;0,"✓",IF(SUMPRODUCT(MAX(('Agences &amp; Après-vente'!$A$2:$A$1000=$A370)*(('Agences &amp; Après-vente'!$D$2:$D$1000="Agences")+('Agences &amp; Après-vente'!$D$2:$D$1000="Agences et Après-vente"))*'Agences &amp; Après-vente'!$E$2:$E$1000))&gt;0,TEXT(SUMPRODUCT(MAX(('Agences &amp; Après-vente'!$A$2:$A$1000=$A370)*(('Agences &amp; Après-vente'!$D$2:$D$1000="Agences")+('Agences &amp; Après-vente'!$D$2:$D$1000="Agences et Après-vente"))*'Agences &amp; Après-vente'!$E$2:$E$1000)),"yyyy-mm-dd"),"")))))</f>
        <v/>
      </c>
      <c r="H370" s="131" t="str">
        <f aca="false">IF($R370="✓","✓",IF(ISNUMBER($R370),TEXT($R370,"yyyy-mm-dd"),IF($A370="","",IF($D370="Lisbonne","",IF(SUMPRODUCT(('Agences &amp; Après-vente'!$A$2:$A$1000=$A370)*(('Agences &amp; Après-vente'!$D$2:$D$1000="Agences")+('Agences &amp; Après-vente'!$D$2:$D$1000="Agences et Après-vente"))*('Agences &amp; Après-vente'!$I$2:$I$1000="DONE"))&gt;0,"✓",IF(SUMPRODUCT(MAX(('Agences &amp; Après-vente'!$A$2:$A$1000=$A370)*(('Agences &amp; Après-vente'!$D$2:$D$1000="Agences")+('Agences &amp; Après-vente'!$D$2:$D$1000="Agences et Après-vente"))*'Agences &amp; Après-vente'!$E$2:$E$1000))&gt;0,TEXT(SUMPRODUCT(MAX(('Agences &amp; Après-vente'!$A$2:$A$1000=$A370)*(('Agences &amp; Après-vente'!$D$2:$D$1000="Agences")+('Agences &amp; Après-vente'!$D$2:$D$1000="Agences et Après-vente"))*'Agences &amp; Après-vente'!$E$2:$E$1000)),"yyyy-mm-dd"),""))))))</f>
        <v/>
      </c>
      <c r="I370" s="131" t="str">
        <f aca="false">IF($S370="✓","✓",IF(ISNUMBER($S370),TEXT($S370,"yyyy-mm-dd"),IF($A370="","",IF(SUMPRODUCT(('Agences &amp; Après-vente'!$A$2:$A$1000=$A370)*(('Agences &amp; Après-vente'!$D$2:$D$1000="Après-vente")+('Agences &amp; Après-vente'!$D$2:$D$1000="Agences et Après-vente"))*('Agences &amp; Après-vente'!$I$2:$I$1000="DONE"))&gt;0,"✓",IF(SUMPRODUCT(MAX(('Agences &amp; Après-vente'!$A$2:$A$1000=$A370)*(('Agences &amp; Après-vente'!$D$2:$D$1000="Après-vente")+('Agences &amp; Après-vente'!$D$2:$D$1000="Agences et Après-vente"))*'Agences &amp; Après-vente'!$E$2:$E$1000))&gt;0,TEXT(SUMPRODUCT(MAX(('Agences &amp; Après-vente'!$A$2:$A$1000=$A370)*(('Agences &amp; Après-vente'!$D$2:$D$1000="Après-vente")+('Agences &amp; Après-vente'!$D$2:$D$1000="Agences et Après-vente"))*'Agences &amp; Après-vente'!$E$2:$E$1000)),"yyyy-mm-dd"),"")))))</f>
        <v/>
      </c>
      <c r="J370" s="131" t="str">
        <f aca="false">IF($T370="✓","✓",IF(ISNUMBER($T370),TEXT($T370,"yyyy-mm-dd"),IF($A370="","",IF($D370="Lisbonne","",IF(SUMPRODUCT(('Agences &amp; Après-vente'!$A$2:$A$1000=$A370)*(('Agences &amp; Après-vente'!$D$2:$D$1000="Après-vente")+('Agences &amp; Après-vente'!$D$2:$D$1000="Agences et Après-vente"))*('Agences &amp; Après-vente'!$I$2:$I$1000="DONE"))&gt;0,"✓",IF(SUMPRODUCT(MAX(('Agences &amp; Après-vente'!$A$2:$A$1000=$A370)*(('Agences &amp; Après-vente'!$D$2:$D$1000="Après-vente")+('Agences &amp; Après-vente'!$D$2:$D$1000="Agences et Après-vente"))*'Agences &amp; Après-vente'!$E$2:$E$1000))&gt;0,TEXT(SUMPRODUCT(MAX(('Agences &amp; Après-vente'!$A$2:$A$1000=$A370)*(('Agences &amp; Après-vente'!$D$2:$D$1000="Après-vente")+('Agences &amp; Après-vente'!$D$2:$D$1000="Agences et Après-vente"))*'Agences &amp; Après-vente'!$E$2:$E$1000)),"yyyy-mm-dd"),""))))))</f>
        <v/>
      </c>
      <c r="K370" s="131" t="str">
        <f aca="false">IF($U370="✓","✓",IF(ISNUMBER($U370),TEXT($U370,"yyyy-mm-dd"),IF($D370="Lisbonne","",IF($A370="","",IF(SUMPRODUCT((Evermont!$A$2:$A$1000=$A370)*(Evermont!$Q$2:$Q$1000="Terminé"))&gt;0,"✓",IF(SUMPRODUCT(MAX((Evermont!$A$2:$A$1000=$A370)*Evermont!$F$2:$F$1000))&gt;0,TEXT(SUMPRODUCT(MAX((Evermont!$A$2:$A$1000=$A370)*Evermont!$F$2:$F$1000)),"yyyy-mm-dd"),""))))))</f>
        <v/>
      </c>
      <c r="L370" s="131" t="str">
        <f aca="false">IF($A370="","",COUNTIF(E370:K370,"✓"))</f>
        <v/>
      </c>
      <c r="M370" s="131" t="str">
        <f aca="false">IF(B370="","","Active")</f>
        <v/>
      </c>
      <c r="W370" s="120" t="str">
        <f aca="false">IF($A370="","",IF($X370&lt;&gt;"",$X370,IFERROR(INDEX('Formation Initiale'!$B$2:$B$999,MATCH($A370,'Formation Initiale'!$A$2:$A$999,0)),"Général")))</f>
        <v/>
      </c>
    </row>
    <row r="371" customFormat="false" ht="15" hidden="true" customHeight="true" outlineLevel="0" collapsed="false">
      <c r="A371" s="142" t="str">
        <f aca="false">IF(B371="","","TR"&amp;TEXT(ROW()-1,"000"))</f>
        <v/>
      </c>
      <c r="E371" s="130" t="str">
        <f aca="false">IF($O371="✓","✓",IF(ISNUMBER($O371),TEXT($O371,"yyyy-mm-dd"),IF($A371="","",IF(SUMPRODUCT(('Formation Initiale'!$A$2:$A$999=$A371)*('Formation Initiale'!$R$2:$R$999="Terminé"))&gt;0,"✓",IF(SUMPRODUCT(MAX(('Formation Initiale'!$A$2:$A$999=$A371)*'Formation Initiale'!$G$2:$G$999))&gt;0,TEXT(SUMPRODUCT(MAX(('Formation Initiale'!$A$2:$A$999=$A371)*'Formation Initiale'!$G$2:$G$999)),"yyyy-mm-dd"),"")))))</f>
        <v/>
      </c>
      <c r="F371" s="131" t="str">
        <f aca="false">IF($P371="✓","✓",IF(ISNUMBER($P371),TEXT($P371,"yyyy-mm-dd"),IF($A371="","",IF($D371="Lisbonne","",IF(SUMPRODUCT(('Formation Initiale'!$A$2:$A$999=$A371)*('Formation Initiale'!$R$2:$R$999="Terminé"))&gt;0,"✓",IF(SUMPRODUCT(MAX(('Formation Initiale'!$A$2:$A$999=$A371)*'Formation Initiale'!$G$2:$G$999))&gt;0,TEXT(SUMPRODUCT(MAX(('Formation Initiale'!$A$2:$A$999=$A371)*'Formation Initiale'!$G$2:$G$999)),"yyyy-mm-dd"),""))))))</f>
        <v/>
      </c>
      <c r="G371" s="131" t="str">
        <f aca="false">IF($Q371="✓","✓",IF(ISNUMBER($Q371),TEXT($Q371,"yyyy-mm-dd"),IF($A371="","",IF(SUMPRODUCT(('Agences &amp; Après-vente'!$A$2:$A$1000=$A371)*(('Agences &amp; Après-vente'!$D$2:$D$1000="Agences")+('Agences &amp; Après-vente'!$D$2:$D$1000="Agences et Après-vente"))*('Agences &amp; Après-vente'!$I$2:$I$1000="DONE"))&gt;0,"✓",IF(SUMPRODUCT(MAX(('Agences &amp; Après-vente'!$A$2:$A$1000=$A371)*(('Agences &amp; Après-vente'!$D$2:$D$1000="Agences")+('Agences &amp; Après-vente'!$D$2:$D$1000="Agences et Après-vente"))*'Agences &amp; Après-vente'!$E$2:$E$1000))&gt;0,TEXT(SUMPRODUCT(MAX(('Agences &amp; Après-vente'!$A$2:$A$1000=$A371)*(('Agences &amp; Après-vente'!$D$2:$D$1000="Agences")+('Agences &amp; Après-vente'!$D$2:$D$1000="Agences et Après-vente"))*'Agences &amp; Après-vente'!$E$2:$E$1000)),"yyyy-mm-dd"),"")))))</f>
        <v/>
      </c>
      <c r="H371" s="131" t="str">
        <f aca="false">IF($R371="✓","✓",IF(ISNUMBER($R371),TEXT($R371,"yyyy-mm-dd"),IF($A371="","",IF($D371="Lisbonne","",IF(SUMPRODUCT(('Agences &amp; Après-vente'!$A$2:$A$1000=$A371)*(('Agences &amp; Après-vente'!$D$2:$D$1000="Agences")+('Agences &amp; Après-vente'!$D$2:$D$1000="Agences et Après-vente"))*('Agences &amp; Après-vente'!$I$2:$I$1000="DONE"))&gt;0,"✓",IF(SUMPRODUCT(MAX(('Agences &amp; Après-vente'!$A$2:$A$1000=$A371)*(('Agences &amp; Après-vente'!$D$2:$D$1000="Agences")+('Agences &amp; Après-vente'!$D$2:$D$1000="Agences et Après-vente"))*'Agences &amp; Après-vente'!$E$2:$E$1000))&gt;0,TEXT(SUMPRODUCT(MAX(('Agences &amp; Après-vente'!$A$2:$A$1000=$A371)*(('Agences &amp; Après-vente'!$D$2:$D$1000="Agences")+('Agences &amp; Après-vente'!$D$2:$D$1000="Agences et Après-vente"))*'Agences &amp; Après-vente'!$E$2:$E$1000)),"yyyy-mm-dd"),""))))))</f>
        <v/>
      </c>
      <c r="I371" s="131" t="str">
        <f aca="false">IF($S371="✓","✓",IF(ISNUMBER($S371),TEXT($S371,"yyyy-mm-dd"),IF($A371="","",IF(SUMPRODUCT(('Agences &amp; Après-vente'!$A$2:$A$1000=$A371)*(('Agences &amp; Après-vente'!$D$2:$D$1000="Après-vente")+('Agences &amp; Après-vente'!$D$2:$D$1000="Agences et Après-vente"))*('Agences &amp; Après-vente'!$I$2:$I$1000="DONE"))&gt;0,"✓",IF(SUMPRODUCT(MAX(('Agences &amp; Après-vente'!$A$2:$A$1000=$A371)*(('Agences &amp; Après-vente'!$D$2:$D$1000="Après-vente")+('Agences &amp; Après-vente'!$D$2:$D$1000="Agences et Après-vente"))*'Agences &amp; Après-vente'!$E$2:$E$1000))&gt;0,TEXT(SUMPRODUCT(MAX(('Agences &amp; Après-vente'!$A$2:$A$1000=$A371)*(('Agences &amp; Après-vente'!$D$2:$D$1000="Après-vente")+('Agences &amp; Après-vente'!$D$2:$D$1000="Agences et Après-vente"))*'Agences &amp; Après-vente'!$E$2:$E$1000)),"yyyy-mm-dd"),"")))))</f>
        <v/>
      </c>
      <c r="J371" s="131" t="str">
        <f aca="false">IF($T371="✓","✓",IF(ISNUMBER($T371),TEXT($T371,"yyyy-mm-dd"),IF($A371="","",IF($D371="Lisbonne","",IF(SUMPRODUCT(('Agences &amp; Après-vente'!$A$2:$A$1000=$A371)*(('Agences &amp; Après-vente'!$D$2:$D$1000="Après-vente")+('Agences &amp; Après-vente'!$D$2:$D$1000="Agences et Après-vente"))*('Agences &amp; Après-vente'!$I$2:$I$1000="DONE"))&gt;0,"✓",IF(SUMPRODUCT(MAX(('Agences &amp; Après-vente'!$A$2:$A$1000=$A371)*(('Agences &amp; Après-vente'!$D$2:$D$1000="Après-vente")+('Agences &amp; Après-vente'!$D$2:$D$1000="Agences et Après-vente"))*'Agences &amp; Après-vente'!$E$2:$E$1000))&gt;0,TEXT(SUMPRODUCT(MAX(('Agences &amp; Après-vente'!$A$2:$A$1000=$A371)*(('Agences &amp; Après-vente'!$D$2:$D$1000="Après-vente")+('Agences &amp; Après-vente'!$D$2:$D$1000="Agences et Après-vente"))*'Agences &amp; Après-vente'!$E$2:$E$1000)),"yyyy-mm-dd"),""))))))</f>
        <v/>
      </c>
      <c r="K371" s="131" t="str">
        <f aca="false">IF($U371="✓","✓",IF(ISNUMBER($U371),TEXT($U371,"yyyy-mm-dd"),IF($D371="Lisbonne","",IF($A371="","",IF(SUMPRODUCT((Evermont!$A$2:$A$1000=$A371)*(Evermont!$Q$2:$Q$1000="Terminé"))&gt;0,"✓",IF(SUMPRODUCT(MAX((Evermont!$A$2:$A$1000=$A371)*Evermont!$F$2:$F$1000))&gt;0,TEXT(SUMPRODUCT(MAX((Evermont!$A$2:$A$1000=$A371)*Evermont!$F$2:$F$1000)),"yyyy-mm-dd"),""))))))</f>
        <v/>
      </c>
      <c r="L371" s="131" t="str">
        <f aca="false">IF($A371="","",COUNTIF(E371:K371,"✓"))</f>
        <v/>
      </c>
      <c r="M371" s="131" t="str">
        <f aca="false">IF(B371="","","Active")</f>
        <v/>
      </c>
      <c r="W371" s="120" t="str">
        <f aca="false">IF($A371="","",IF($X371&lt;&gt;"",$X371,IFERROR(INDEX('Formation Initiale'!$B$2:$B$999,MATCH($A371,'Formation Initiale'!$A$2:$A$999,0)),"Général")))</f>
        <v/>
      </c>
    </row>
    <row r="372" customFormat="false" ht="15" hidden="true" customHeight="true" outlineLevel="0" collapsed="false">
      <c r="A372" s="142" t="str">
        <f aca="false">IF(B372="","","TR"&amp;TEXT(ROW()-1,"000"))</f>
        <v/>
      </c>
      <c r="E372" s="130" t="str">
        <f aca="false">IF($O372="✓","✓",IF(ISNUMBER($O372),TEXT($O372,"yyyy-mm-dd"),IF($A372="","",IF(SUMPRODUCT(('Formation Initiale'!$A$2:$A$999=$A372)*('Formation Initiale'!$R$2:$R$999="Terminé"))&gt;0,"✓",IF(SUMPRODUCT(MAX(('Formation Initiale'!$A$2:$A$999=$A372)*'Formation Initiale'!$G$2:$G$999))&gt;0,TEXT(SUMPRODUCT(MAX(('Formation Initiale'!$A$2:$A$999=$A372)*'Formation Initiale'!$G$2:$G$999)),"yyyy-mm-dd"),"")))))</f>
        <v/>
      </c>
      <c r="F372" s="131" t="str">
        <f aca="false">IF($P372="✓","✓",IF(ISNUMBER($P372),TEXT($P372,"yyyy-mm-dd"),IF($A372="","",IF($D372="Lisbonne","",IF(SUMPRODUCT(('Formation Initiale'!$A$2:$A$999=$A372)*('Formation Initiale'!$R$2:$R$999="Terminé"))&gt;0,"✓",IF(SUMPRODUCT(MAX(('Formation Initiale'!$A$2:$A$999=$A372)*'Formation Initiale'!$G$2:$G$999))&gt;0,TEXT(SUMPRODUCT(MAX(('Formation Initiale'!$A$2:$A$999=$A372)*'Formation Initiale'!$G$2:$G$999)),"yyyy-mm-dd"),""))))))</f>
        <v/>
      </c>
      <c r="G372" s="131" t="str">
        <f aca="false">IF($Q372="✓","✓",IF(ISNUMBER($Q372),TEXT($Q372,"yyyy-mm-dd"),IF($A372="","",IF(SUMPRODUCT(('Agences &amp; Après-vente'!$A$2:$A$1000=$A372)*(('Agences &amp; Après-vente'!$D$2:$D$1000="Agences")+('Agences &amp; Après-vente'!$D$2:$D$1000="Agences et Après-vente"))*('Agences &amp; Après-vente'!$I$2:$I$1000="DONE"))&gt;0,"✓",IF(SUMPRODUCT(MAX(('Agences &amp; Après-vente'!$A$2:$A$1000=$A372)*(('Agences &amp; Après-vente'!$D$2:$D$1000="Agences")+('Agences &amp; Après-vente'!$D$2:$D$1000="Agences et Après-vente"))*'Agences &amp; Après-vente'!$E$2:$E$1000))&gt;0,TEXT(SUMPRODUCT(MAX(('Agences &amp; Après-vente'!$A$2:$A$1000=$A372)*(('Agences &amp; Après-vente'!$D$2:$D$1000="Agences")+('Agences &amp; Après-vente'!$D$2:$D$1000="Agences et Après-vente"))*'Agences &amp; Après-vente'!$E$2:$E$1000)),"yyyy-mm-dd"),"")))))</f>
        <v/>
      </c>
      <c r="H372" s="131" t="str">
        <f aca="false">IF($R372="✓","✓",IF(ISNUMBER($R372),TEXT($R372,"yyyy-mm-dd"),IF($A372="","",IF($D372="Lisbonne","",IF(SUMPRODUCT(('Agences &amp; Après-vente'!$A$2:$A$1000=$A372)*(('Agences &amp; Après-vente'!$D$2:$D$1000="Agences")+('Agences &amp; Après-vente'!$D$2:$D$1000="Agences et Après-vente"))*('Agences &amp; Après-vente'!$I$2:$I$1000="DONE"))&gt;0,"✓",IF(SUMPRODUCT(MAX(('Agences &amp; Après-vente'!$A$2:$A$1000=$A372)*(('Agences &amp; Après-vente'!$D$2:$D$1000="Agences")+('Agences &amp; Après-vente'!$D$2:$D$1000="Agences et Après-vente"))*'Agences &amp; Après-vente'!$E$2:$E$1000))&gt;0,TEXT(SUMPRODUCT(MAX(('Agences &amp; Après-vente'!$A$2:$A$1000=$A372)*(('Agences &amp; Après-vente'!$D$2:$D$1000="Agences")+('Agences &amp; Après-vente'!$D$2:$D$1000="Agences et Après-vente"))*'Agences &amp; Après-vente'!$E$2:$E$1000)),"yyyy-mm-dd"),""))))))</f>
        <v/>
      </c>
      <c r="I372" s="131" t="str">
        <f aca="false">IF($S372="✓","✓",IF(ISNUMBER($S372),TEXT($S372,"yyyy-mm-dd"),IF($A372="","",IF(SUMPRODUCT(('Agences &amp; Après-vente'!$A$2:$A$1000=$A372)*(('Agences &amp; Après-vente'!$D$2:$D$1000="Après-vente")+('Agences &amp; Après-vente'!$D$2:$D$1000="Agences et Après-vente"))*('Agences &amp; Après-vente'!$I$2:$I$1000="DONE"))&gt;0,"✓",IF(SUMPRODUCT(MAX(('Agences &amp; Après-vente'!$A$2:$A$1000=$A372)*(('Agences &amp; Après-vente'!$D$2:$D$1000="Après-vente")+('Agences &amp; Après-vente'!$D$2:$D$1000="Agences et Après-vente"))*'Agences &amp; Après-vente'!$E$2:$E$1000))&gt;0,TEXT(SUMPRODUCT(MAX(('Agences &amp; Après-vente'!$A$2:$A$1000=$A372)*(('Agences &amp; Après-vente'!$D$2:$D$1000="Après-vente")+('Agences &amp; Après-vente'!$D$2:$D$1000="Agences et Après-vente"))*'Agences &amp; Après-vente'!$E$2:$E$1000)),"yyyy-mm-dd"),"")))))</f>
        <v/>
      </c>
      <c r="J372" s="131" t="str">
        <f aca="false">IF($T372="✓","✓",IF(ISNUMBER($T372),TEXT($T372,"yyyy-mm-dd"),IF($A372="","",IF($D372="Lisbonne","",IF(SUMPRODUCT(('Agences &amp; Après-vente'!$A$2:$A$1000=$A372)*(('Agences &amp; Après-vente'!$D$2:$D$1000="Après-vente")+('Agences &amp; Après-vente'!$D$2:$D$1000="Agences et Après-vente"))*('Agences &amp; Après-vente'!$I$2:$I$1000="DONE"))&gt;0,"✓",IF(SUMPRODUCT(MAX(('Agences &amp; Après-vente'!$A$2:$A$1000=$A372)*(('Agences &amp; Après-vente'!$D$2:$D$1000="Après-vente")+('Agences &amp; Après-vente'!$D$2:$D$1000="Agences et Après-vente"))*'Agences &amp; Après-vente'!$E$2:$E$1000))&gt;0,TEXT(SUMPRODUCT(MAX(('Agences &amp; Après-vente'!$A$2:$A$1000=$A372)*(('Agences &amp; Après-vente'!$D$2:$D$1000="Après-vente")+('Agences &amp; Après-vente'!$D$2:$D$1000="Agences et Après-vente"))*'Agences &amp; Après-vente'!$E$2:$E$1000)),"yyyy-mm-dd"),""))))))</f>
        <v/>
      </c>
      <c r="K372" s="131" t="str">
        <f aca="false">IF($U372="✓","✓",IF(ISNUMBER($U372),TEXT($U372,"yyyy-mm-dd"),IF($D372="Lisbonne","",IF($A372="","",IF(SUMPRODUCT((Evermont!$A$2:$A$1000=$A372)*(Evermont!$Q$2:$Q$1000="Terminé"))&gt;0,"✓",IF(SUMPRODUCT(MAX((Evermont!$A$2:$A$1000=$A372)*Evermont!$F$2:$F$1000))&gt;0,TEXT(SUMPRODUCT(MAX((Evermont!$A$2:$A$1000=$A372)*Evermont!$F$2:$F$1000)),"yyyy-mm-dd"),""))))))</f>
        <v/>
      </c>
      <c r="L372" s="131" t="str">
        <f aca="false">IF($A372="","",COUNTIF(E372:K372,"✓"))</f>
        <v/>
      </c>
      <c r="M372" s="131" t="str">
        <f aca="false">IF(B372="","","Active")</f>
        <v/>
      </c>
      <c r="W372" s="120" t="str">
        <f aca="false">IF($A372="","",IF($X372&lt;&gt;"",$X372,IFERROR(INDEX('Formation Initiale'!$B$2:$B$999,MATCH($A372,'Formation Initiale'!$A$2:$A$999,0)),"Général")))</f>
        <v/>
      </c>
    </row>
    <row r="373" customFormat="false" ht="15" hidden="true" customHeight="true" outlineLevel="0" collapsed="false">
      <c r="A373" s="142" t="str">
        <f aca="false">IF(B373="","","TR"&amp;TEXT(ROW()-1,"000"))</f>
        <v/>
      </c>
      <c r="E373" s="130" t="str">
        <f aca="false">IF($O373="✓","✓",IF(ISNUMBER($O373),TEXT($O373,"yyyy-mm-dd"),IF($A373="","",IF(SUMPRODUCT(('Formation Initiale'!$A$2:$A$999=$A373)*('Formation Initiale'!$R$2:$R$999="Terminé"))&gt;0,"✓",IF(SUMPRODUCT(MAX(('Formation Initiale'!$A$2:$A$999=$A373)*'Formation Initiale'!$G$2:$G$999))&gt;0,TEXT(SUMPRODUCT(MAX(('Formation Initiale'!$A$2:$A$999=$A373)*'Formation Initiale'!$G$2:$G$999)),"yyyy-mm-dd"),"")))))</f>
        <v/>
      </c>
      <c r="F373" s="131" t="str">
        <f aca="false">IF($P373="✓","✓",IF(ISNUMBER($P373),TEXT($P373,"yyyy-mm-dd"),IF($A373="","",IF($D373="Lisbonne","",IF(SUMPRODUCT(('Formation Initiale'!$A$2:$A$999=$A373)*('Formation Initiale'!$R$2:$R$999="Terminé"))&gt;0,"✓",IF(SUMPRODUCT(MAX(('Formation Initiale'!$A$2:$A$999=$A373)*'Formation Initiale'!$G$2:$G$999))&gt;0,TEXT(SUMPRODUCT(MAX(('Formation Initiale'!$A$2:$A$999=$A373)*'Formation Initiale'!$G$2:$G$999)),"yyyy-mm-dd"),""))))))</f>
        <v/>
      </c>
      <c r="G373" s="131" t="str">
        <f aca="false">IF($Q373="✓","✓",IF(ISNUMBER($Q373),TEXT($Q373,"yyyy-mm-dd"),IF($A373="","",IF(SUMPRODUCT(('Agences &amp; Après-vente'!$A$2:$A$1000=$A373)*(('Agences &amp; Après-vente'!$D$2:$D$1000="Agences")+('Agences &amp; Après-vente'!$D$2:$D$1000="Agences et Après-vente"))*('Agences &amp; Après-vente'!$I$2:$I$1000="DONE"))&gt;0,"✓",IF(SUMPRODUCT(MAX(('Agences &amp; Après-vente'!$A$2:$A$1000=$A373)*(('Agences &amp; Après-vente'!$D$2:$D$1000="Agences")+('Agences &amp; Après-vente'!$D$2:$D$1000="Agences et Après-vente"))*'Agences &amp; Après-vente'!$E$2:$E$1000))&gt;0,TEXT(SUMPRODUCT(MAX(('Agences &amp; Après-vente'!$A$2:$A$1000=$A373)*(('Agences &amp; Après-vente'!$D$2:$D$1000="Agences")+('Agences &amp; Après-vente'!$D$2:$D$1000="Agences et Après-vente"))*'Agences &amp; Après-vente'!$E$2:$E$1000)),"yyyy-mm-dd"),"")))))</f>
        <v/>
      </c>
      <c r="H373" s="131" t="str">
        <f aca="false">IF($R373="✓","✓",IF(ISNUMBER($R373),TEXT($R373,"yyyy-mm-dd"),IF($A373="","",IF($D373="Lisbonne","",IF(SUMPRODUCT(('Agences &amp; Après-vente'!$A$2:$A$1000=$A373)*(('Agences &amp; Après-vente'!$D$2:$D$1000="Agences")+('Agences &amp; Après-vente'!$D$2:$D$1000="Agences et Après-vente"))*('Agences &amp; Après-vente'!$I$2:$I$1000="DONE"))&gt;0,"✓",IF(SUMPRODUCT(MAX(('Agences &amp; Après-vente'!$A$2:$A$1000=$A373)*(('Agences &amp; Après-vente'!$D$2:$D$1000="Agences")+('Agences &amp; Après-vente'!$D$2:$D$1000="Agences et Après-vente"))*'Agences &amp; Après-vente'!$E$2:$E$1000))&gt;0,TEXT(SUMPRODUCT(MAX(('Agences &amp; Après-vente'!$A$2:$A$1000=$A373)*(('Agences &amp; Après-vente'!$D$2:$D$1000="Agences")+('Agences &amp; Après-vente'!$D$2:$D$1000="Agences et Après-vente"))*'Agences &amp; Après-vente'!$E$2:$E$1000)),"yyyy-mm-dd"),""))))))</f>
        <v/>
      </c>
      <c r="I373" s="131" t="str">
        <f aca="false">IF($S373="✓","✓",IF(ISNUMBER($S373),TEXT($S373,"yyyy-mm-dd"),IF($A373="","",IF(SUMPRODUCT(('Agences &amp; Après-vente'!$A$2:$A$1000=$A373)*(('Agences &amp; Après-vente'!$D$2:$D$1000="Après-vente")+('Agences &amp; Après-vente'!$D$2:$D$1000="Agences et Après-vente"))*('Agences &amp; Après-vente'!$I$2:$I$1000="DONE"))&gt;0,"✓",IF(SUMPRODUCT(MAX(('Agences &amp; Après-vente'!$A$2:$A$1000=$A373)*(('Agences &amp; Après-vente'!$D$2:$D$1000="Après-vente")+('Agences &amp; Après-vente'!$D$2:$D$1000="Agences et Après-vente"))*'Agences &amp; Après-vente'!$E$2:$E$1000))&gt;0,TEXT(SUMPRODUCT(MAX(('Agences &amp; Après-vente'!$A$2:$A$1000=$A373)*(('Agences &amp; Après-vente'!$D$2:$D$1000="Après-vente")+('Agences &amp; Après-vente'!$D$2:$D$1000="Agences et Après-vente"))*'Agences &amp; Après-vente'!$E$2:$E$1000)),"yyyy-mm-dd"),"")))))</f>
        <v/>
      </c>
      <c r="J373" s="131" t="str">
        <f aca="false">IF($T373="✓","✓",IF(ISNUMBER($T373),TEXT($T373,"yyyy-mm-dd"),IF($A373="","",IF($D373="Lisbonne","",IF(SUMPRODUCT(('Agences &amp; Après-vente'!$A$2:$A$1000=$A373)*(('Agences &amp; Après-vente'!$D$2:$D$1000="Après-vente")+('Agences &amp; Après-vente'!$D$2:$D$1000="Agences et Après-vente"))*('Agences &amp; Après-vente'!$I$2:$I$1000="DONE"))&gt;0,"✓",IF(SUMPRODUCT(MAX(('Agences &amp; Après-vente'!$A$2:$A$1000=$A373)*(('Agences &amp; Après-vente'!$D$2:$D$1000="Après-vente")+('Agences &amp; Après-vente'!$D$2:$D$1000="Agences et Après-vente"))*'Agences &amp; Après-vente'!$E$2:$E$1000))&gt;0,TEXT(SUMPRODUCT(MAX(('Agences &amp; Après-vente'!$A$2:$A$1000=$A373)*(('Agences &amp; Après-vente'!$D$2:$D$1000="Après-vente")+('Agences &amp; Après-vente'!$D$2:$D$1000="Agences et Après-vente"))*'Agences &amp; Après-vente'!$E$2:$E$1000)),"yyyy-mm-dd"),""))))))</f>
        <v/>
      </c>
      <c r="K373" s="131" t="str">
        <f aca="false">IF($U373="✓","✓",IF(ISNUMBER($U373),TEXT($U373,"yyyy-mm-dd"),IF($D373="Lisbonne","",IF($A373="","",IF(SUMPRODUCT((Evermont!$A$2:$A$1000=$A373)*(Evermont!$Q$2:$Q$1000="Terminé"))&gt;0,"✓",IF(SUMPRODUCT(MAX((Evermont!$A$2:$A$1000=$A373)*Evermont!$F$2:$F$1000))&gt;0,TEXT(SUMPRODUCT(MAX((Evermont!$A$2:$A$1000=$A373)*Evermont!$F$2:$F$1000)),"yyyy-mm-dd"),""))))))</f>
        <v/>
      </c>
      <c r="L373" s="131" t="str">
        <f aca="false">IF($A373="","",COUNTIF(E373:K373,"✓"))</f>
        <v/>
      </c>
      <c r="M373" s="131" t="str">
        <f aca="false">IF(B373="","","Active")</f>
        <v/>
      </c>
      <c r="W373" s="120" t="str">
        <f aca="false">IF($A373="","",IF($X373&lt;&gt;"",$X373,IFERROR(INDEX('Formation Initiale'!$B$2:$B$999,MATCH($A373,'Formation Initiale'!$A$2:$A$999,0)),"Général")))</f>
        <v/>
      </c>
    </row>
    <row r="374" customFormat="false" ht="15" hidden="true" customHeight="true" outlineLevel="0" collapsed="false">
      <c r="A374" s="142" t="str">
        <f aca="false">IF(B374="","","TR"&amp;TEXT(ROW()-1,"000"))</f>
        <v/>
      </c>
      <c r="E374" s="130" t="str">
        <f aca="false">IF($O374="✓","✓",IF(ISNUMBER($O374),TEXT($O374,"yyyy-mm-dd"),IF($A374="","",IF(SUMPRODUCT(('Formation Initiale'!$A$2:$A$999=$A374)*('Formation Initiale'!$R$2:$R$999="Terminé"))&gt;0,"✓",IF(SUMPRODUCT(MAX(('Formation Initiale'!$A$2:$A$999=$A374)*'Formation Initiale'!$G$2:$G$999))&gt;0,TEXT(SUMPRODUCT(MAX(('Formation Initiale'!$A$2:$A$999=$A374)*'Formation Initiale'!$G$2:$G$999)),"yyyy-mm-dd"),"")))))</f>
        <v/>
      </c>
      <c r="F374" s="131" t="str">
        <f aca="false">IF($P374="✓","✓",IF(ISNUMBER($P374),TEXT($P374,"yyyy-mm-dd"),IF($A374="","",IF($D374="Lisbonne","",IF(SUMPRODUCT(('Formation Initiale'!$A$2:$A$999=$A374)*('Formation Initiale'!$R$2:$R$999="Terminé"))&gt;0,"✓",IF(SUMPRODUCT(MAX(('Formation Initiale'!$A$2:$A$999=$A374)*'Formation Initiale'!$G$2:$G$999))&gt;0,TEXT(SUMPRODUCT(MAX(('Formation Initiale'!$A$2:$A$999=$A374)*'Formation Initiale'!$G$2:$G$999)),"yyyy-mm-dd"),""))))))</f>
        <v/>
      </c>
      <c r="G374" s="131" t="str">
        <f aca="false">IF($Q374="✓","✓",IF(ISNUMBER($Q374),TEXT($Q374,"yyyy-mm-dd"),IF($A374="","",IF(SUMPRODUCT(('Agences &amp; Après-vente'!$A$2:$A$1000=$A374)*(('Agences &amp; Après-vente'!$D$2:$D$1000="Agences")+('Agences &amp; Après-vente'!$D$2:$D$1000="Agences et Après-vente"))*('Agences &amp; Après-vente'!$I$2:$I$1000="DONE"))&gt;0,"✓",IF(SUMPRODUCT(MAX(('Agences &amp; Après-vente'!$A$2:$A$1000=$A374)*(('Agences &amp; Après-vente'!$D$2:$D$1000="Agences")+('Agences &amp; Après-vente'!$D$2:$D$1000="Agences et Après-vente"))*'Agences &amp; Après-vente'!$E$2:$E$1000))&gt;0,TEXT(SUMPRODUCT(MAX(('Agences &amp; Après-vente'!$A$2:$A$1000=$A374)*(('Agences &amp; Après-vente'!$D$2:$D$1000="Agences")+('Agences &amp; Après-vente'!$D$2:$D$1000="Agences et Après-vente"))*'Agences &amp; Après-vente'!$E$2:$E$1000)),"yyyy-mm-dd"),"")))))</f>
        <v/>
      </c>
      <c r="H374" s="131" t="str">
        <f aca="false">IF($R374="✓","✓",IF(ISNUMBER($R374),TEXT($R374,"yyyy-mm-dd"),IF($A374="","",IF($D374="Lisbonne","",IF(SUMPRODUCT(('Agences &amp; Après-vente'!$A$2:$A$1000=$A374)*(('Agences &amp; Après-vente'!$D$2:$D$1000="Agences")+('Agences &amp; Après-vente'!$D$2:$D$1000="Agences et Après-vente"))*('Agences &amp; Après-vente'!$I$2:$I$1000="DONE"))&gt;0,"✓",IF(SUMPRODUCT(MAX(('Agences &amp; Après-vente'!$A$2:$A$1000=$A374)*(('Agences &amp; Après-vente'!$D$2:$D$1000="Agences")+('Agences &amp; Après-vente'!$D$2:$D$1000="Agences et Après-vente"))*'Agences &amp; Après-vente'!$E$2:$E$1000))&gt;0,TEXT(SUMPRODUCT(MAX(('Agences &amp; Après-vente'!$A$2:$A$1000=$A374)*(('Agences &amp; Après-vente'!$D$2:$D$1000="Agences")+('Agences &amp; Après-vente'!$D$2:$D$1000="Agences et Après-vente"))*'Agences &amp; Après-vente'!$E$2:$E$1000)),"yyyy-mm-dd"),""))))))</f>
        <v/>
      </c>
      <c r="I374" s="131" t="str">
        <f aca="false">IF($S374="✓","✓",IF(ISNUMBER($S374),TEXT($S374,"yyyy-mm-dd"),IF($A374="","",IF(SUMPRODUCT(('Agences &amp; Après-vente'!$A$2:$A$1000=$A374)*(('Agences &amp; Après-vente'!$D$2:$D$1000="Après-vente")+('Agences &amp; Après-vente'!$D$2:$D$1000="Agences et Après-vente"))*('Agences &amp; Après-vente'!$I$2:$I$1000="DONE"))&gt;0,"✓",IF(SUMPRODUCT(MAX(('Agences &amp; Après-vente'!$A$2:$A$1000=$A374)*(('Agences &amp; Après-vente'!$D$2:$D$1000="Après-vente")+('Agences &amp; Après-vente'!$D$2:$D$1000="Agences et Après-vente"))*'Agences &amp; Après-vente'!$E$2:$E$1000))&gt;0,TEXT(SUMPRODUCT(MAX(('Agences &amp; Après-vente'!$A$2:$A$1000=$A374)*(('Agences &amp; Après-vente'!$D$2:$D$1000="Après-vente")+('Agences &amp; Après-vente'!$D$2:$D$1000="Agences et Après-vente"))*'Agences &amp; Après-vente'!$E$2:$E$1000)),"yyyy-mm-dd"),"")))))</f>
        <v/>
      </c>
      <c r="J374" s="131" t="str">
        <f aca="false">IF($T374="✓","✓",IF(ISNUMBER($T374),TEXT($T374,"yyyy-mm-dd"),IF($A374="","",IF($D374="Lisbonne","",IF(SUMPRODUCT(('Agences &amp; Après-vente'!$A$2:$A$1000=$A374)*(('Agences &amp; Après-vente'!$D$2:$D$1000="Après-vente")+('Agences &amp; Après-vente'!$D$2:$D$1000="Agences et Après-vente"))*('Agences &amp; Après-vente'!$I$2:$I$1000="DONE"))&gt;0,"✓",IF(SUMPRODUCT(MAX(('Agences &amp; Après-vente'!$A$2:$A$1000=$A374)*(('Agences &amp; Après-vente'!$D$2:$D$1000="Après-vente")+('Agences &amp; Après-vente'!$D$2:$D$1000="Agences et Après-vente"))*'Agences &amp; Après-vente'!$E$2:$E$1000))&gt;0,TEXT(SUMPRODUCT(MAX(('Agences &amp; Après-vente'!$A$2:$A$1000=$A374)*(('Agences &amp; Après-vente'!$D$2:$D$1000="Après-vente")+('Agences &amp; Après-vente'!$D$2:$D$1000="Agences et Après-vente"))*'Agences &amp; Après-vente'!$E$2:$E$1000)),"yyyy-mm-dd"),""))))))</f>
        <v/>
      </c>
      <c r="K374" s="131" t="str">
        <f aca="false">IF($U374="✓","✓",IF(ISNUMBER($U374),TEXT($U374,"yyyy-mm-dd"),IF($D374="Lisbonne","",IF($A374="","",IF(SUMPRODUCT((Evermont!$A$2:$A$1000=$A374)*(Evermont!$Q$2:$Q$1000="Terminé"))&gt;0,"✓",IF(SUMPRODUCT(MAX((Evermont!$A$2:$A$1000=$A374)*Evermont!$F$2:$F$1000))&gt;0,TEXT(SUMPRODUCT(MAX((Evermont!$A$2:$A$1000=$A374)*Evermont!$F$2:$F$1000)),"yyyy-mm-dd"),""))))))</f>
        <v/>
      </c>
      <c r="L374" s="131" t="str">
        <f aca="false">IF($A374="","",COUNTIF(E374:K374,"✓"))</f>
        <v/>
      </c>
      <c r="M374" s="131" t="str">
        <f aca="false">IF(B374="","","Active")</f>
        <v/>
      </c>
      <c r="W374" s="120" t="str">
        <f aca="false">IF($A374="","",IF($X374&lt;&gt;"",$X374,IFERROR(INDEX('Formation Initiale'!$B$2:$B$999,MATCH($A374,'Formation Initiale'!$A$2:$A$999,0)),"Général")))</f>
        <v/>
      </c>
    </row>
    <row r="375" customFormat="false" ht="15" hidden="true" customHeight="true" outlineLevel="0" collapsed="false">
      <c r="A375" s="142" t="str">
        <f aca="false">IF(B375="","","TR"&amp;TEXT(ROW()-1,"000"))</f>
        <v/>
      </c>
      <c r="E375" s="130" t="str">
        <f aca="false">IF($O375="✓","✓",IF(ISNUMBER($O375),TEXT($O375,"yyyy-mm-dd"),IF($A375="","",IF(SUMPRODUCT(('Formation Initiale'!$A$2:$A$999=$A375)*('Formation Initiale'!$R$2:$R$999="Terminé"))&gt;0,"✓",IF(SUMPRODUCT(MAX(('Formation Initiale'!$A$2:$A$999=$A375)*'Formation Initiale'!$G$2:$G$999))&gt;0,TEXT(SUMPRODUCT(MAX(('Formation Initiale'!$A$2:$A$999=$A375)*'Formation Initiale'!$G$2:$G$999)),"yyyy-mm-dd"),"")))))</f>
        <v/>
      </c>
      <c r="F375" s="131" t="str">
        <f aca="false">IF($P375="✓","✓",IF(ISNUMBER($P375),TEXT($P375,"yyyy-mm-dd"),IF($A375="","",IF($D375="Lisbonne","",IF(SUMPRODUCT(('Formation Initiale'!$A$2:$A$999=$A375)*('Formation Initiale'!$R$2:$R$999="Terminé"))&gt;0,"✓",IF(SUMPRODUCT(MAX(('Formation Initiale'!$A$2:$A$999=$A375)*'Formation Initiale'!$G$2:$G$999))&gt;0,TEXT(SUMPRODUCT(MAX(('Formation Initiale'!$A$2:$A$999=$A375)*'Formation Initiale'!$G$2:$G$999)),"yyyy-mm-dd"),""))))))</f>
        <v/>
      </c>
      <c r="G375" s="131" t="str">
        <f aca="false">IF($Q375="✓","✓",IF(ISNUMBER($Q375),TEXT($Q375,"yyyy-mm-dd"),IF($A375="","",IF(SUMPRODUCT(('Agences &amp; Après-vente'!$A$2:$A$1000=$A375)*(('Agences &amp; Après-vente'!$D$2:$D$1000="Agences")+('Agences &amp; Après-vente'!$D$2:$D$1000="Agences et Après-vente"))*('Agences &amp; Après-vente'!$I$2:$I$1000="DONE"))&gt;0,"✓",IF(SUMPRODUCT(MAX(('Agences &amp; Après-vente'!$A$2:$A$1000=$A375)*(('Agences &amp; Après-vente'!$D$2:$D$1000="Agences")+('Agences &amp; Après-vente'!$D$2:$D$1000="Agences et Après-vente"))*'Agences &amp; Après-vente'!$E$2:$E$1000))&gt;0,TEXT(SUMPRODUCT(MAX(('Agences &amp; Après-vente'!$A$2:$A$1000=$A375)*(('Agences &amp; Après-vente'!$D$2:$D$1000="Agences")+('Agences &amp; Après-vente'!$D$2:$D$1000="Agences et Après-vente"))*'Agences &amp; Après-vente'!$E$2:$E$1000)),"yyyy-mm-dd"),"")))))</f>
        <v/>
      </c>
      <c r="H375" s="131" t="str">
        <f aca="false">IF($R375="✓","✓",IF(ISNUMBER($R375),TEXT($R375,"yyyy-mm-dd"),IF($A375="","",IF($D375="Lisbonne","",IF(SUMPRODUCT(('Agences &amp; Après-vente'!$A$2:$A$1000=$A375)*(('Agences &amp; Après-vente'!$D$2:$D$1000="Agences")+('Agences &amp; Après-vente'!$D$2:$D$1000="Agences et Après-vente"))*('Agences &amp; Après-vente'!$I$2:$I$1000="DONE"))&gt;0,"✓",IF(SUMPRODUCT(MAX(('Agences &amp; Après-vente'!$A$2:$A$1000=$A375)*(('Agences &amp; Après-vente'!$D$2:$D$1000="Agences")+('Agences &amp; Après-vente'!$D$2:$D$1000="Agences et Après-vente"))*'Agences &amp; Après-vente'!$E$2:$E$1000))&gt;0,TEXT(SUMPRODUCT(MAX(('Agences &amp; Après-vente'!$A$2:$A$1000=$A375)*(('Agences &amp; Après-vente'!$D$2:$D$1000="Agences")+('Agences &amp; Après-vente'!$D$2:$D$1000="Agences et Après-vente"))*'Agences &amp; Après-vente'!$E$2:$E$1000)),"yyyy-mm-dd"),""))))))</f>
        <v/>
      </c>
      <c r="I375" s="131" t="str">
        <f aca="false">IF($S375="✓","✓",IF(ISNUMBER($S375),TEXT($S375,"yyyy-mm-dd"),IF($A375="","",IF(SUMPRODUCT(('Agences &amp; Après-vente'!$A$2:$A$1000=$A375)*(('Agences &amp; Après-vente'!$D$2:$D$1000="Après-vente")+('Agences &amp; Après-vente'!$D$2:$D$1000="Agences et Après-vente"))*('Agences &amp; Après-vente'!$I$2:$I$1000="DONE"))&gt;0,"✓",IF(SUMPRODUCT(MAX(('Agences &amp; Après-vente'!$A$2:$A$1000=$A375)*(('Agences &amp; Après-vente'!$D$2:$D$1000="Après-vente")+('Agences &amp; Après-vente'!$D$2:$D$1000="Agences et Après-vente"))*'Agences &amp; Après-vente'!$E$2:$E$1000))&gt;0,TEXT(SUMPRODUCT(MAX(('Agences &amp; Après-vente'!$A$2:$A$1000=$A375)*(('Agences &amp; Après-vente'!$D$2:$D$1000="Après-vente")+('Agences &amp; Après-vente'!$D$2:$D$1000="Agences et Après-vente"))*'Agences &amp; Après-vente'!$E$2:$E$1000)),"yyyy-mm-dd"),"")))))</f>
        <v/>
      </c>
      <c r="J375" s="131" t="str">
        <f aca="false">IF($T375="✓","✓",IF(ISNUMBER($T375),TEXT($T375,"yyyy-mm-dd"),IF($A375="","",IF($D375="Lisbonne","",IF(SUMPRODUCT(('Agences &amp; Après-vente'!$A$2:$A$1000=$A375)*(('Agences &amp; Après-vente'!$D$2:$D$1000="Après-vente")+('Agences &amp; Après-vente'!$D$2:$D$1000="Agences et Après-vente"))*('Agences &amp; Après-vente'!$I$2:$I$1000="DONE"))&gt;0,"✓",IF(SUMPRODUCT(MAX(('Agences &amp; Après-vente'!$A$2:$A$1000=$A375)*(('Agences &amp; Après-vente'!$D$2:$D$1000="Après-vente")+('Agences &amp; Après-vente'!$D$2:$D$1000="Agences et Après-vente"))*'Agences &amp; Après-vente'!$E$2:$E$1000))&gt;0,TEXT(SUMPRODUCT(MAX(('Agences &amp; Après-vente'!$A$2:$A$1000=$A375)*(('Agences &amp; Après-vente'!$D$2:$D$1000="Après-vente")+('Agences &amp; Après-vente'!$D$2:$D$1000="Agences et Après-vente"))*'Agences &amp; Après-vente'!$E$2:$E$1000)),"yyyy-mm-dd"),""))))))</f>
        <v/>
      </c>
      <c r="K375" s="131" t="str">
        <f aca="false">IF($U375="✓","✓",IF(ISNUMBER($U375),TEXT($U375,"yyyy-mm-dd"),IF($D375="Lisbonne","",IF($A375="","",IF(SUMPRODUCT((Evermont!$A$2:$A$1000=$A375)*(Evermont!$Q$2:$Q$1000="Terminé"))&gt;0,"✓",IF(SUMPRODUCT(MAX((Evermont!$A$2:$A$1000=$A375)*Evermont!$F$2:$F$1000))&gt;0,TEXT(SUMPRODUCT(MAX((Evermont!$A$2:$A$1000=$A375)*Evermont!$F$2:$F$1000)),"yyyy-mm-dd"),""))))))</f>
        <v/>
      </c>
      <c r="L375" s="131" t="str">
        <f aca="false">IF($A375="","",COUNTIF(E375:K375,"✓"))</f>
        <v/>
      </c>
      <c r="M375" s="131" t="str">
        <f aca="false">IF(B375="","","Active")</f>
        <v/>
      </c>
      <c r="W375" s="120" t="str">
        <f aca="false">IF($A375="","",IF($X375&lt;&gt;"",$X375,IFERROR(INDEX('Formation Initiale'!$B$2:$B$999,MATCH($A375,'Formation Initiale'!$A$2:$A$999,0)),"Général")))</f>
        <v/>
      </c>
    </row>
    <row r="376" customFormat="false" ht="15" hidden="true" customHeight="true" outlineLevel="0" collapsed="false">
      <c r="A376" s="142" t="str">
        <f aca="false">IF(B376="","","TR"&amp;TEXT(ROW()-1,"000"))</f>
        <v/>
      </c>
      <c r="E376" s="130" t="str">
        <f aca="false">IF($O376="✓","✓",IF(ISNUMBER($O376),TEXT($O376,"yyyy-mm-dd"),IF($A376="","",IF(SUMPRODUCT(('Formation Initiale'!$A$2:$A$999=$A376)*('Formation Initiale'!$R$2:$R$999="Terminé"))&gt;0,"✓",IF(SUMPRODUCT(MAX(('Formation Initiale'!$A$2:$A$999=$A376)*'Formation Initiale'!$G$2:$G$999))&gt;0,TEXT(SUMPRODUCT(MAX(('Formation Initiale'!$A$2:$A$999=$A376)*'Formation Initiale'!$G$2:$G$999)),"yyyy-mm-dd"),"")))))</f>
        <v/>
      </c>
      <c r="F376" s="131" t="str">
        <f aca="false">IF($P376="✓","✓",IF(ISNUMBER($P376),TEXT($P376,"yyyy-mm-dd"),IF($A376="","",IF($D376="Lisbonne","",IF(SUMPRODUCT(('Formation Initiale'!$A$2:$A$999=$A376)*('Formation Initiale'!$R$2:$R$999="Terminé"))&gt;0,"✓",IF(SUMPRODUCT(MAX(('Formation Initiale'!$A$2:$A$999=$A376)*'Formation Initiale'!$G$2:$G$999))&gt;0,TEXT(SUMPRODUCT(MAX(('Formation Initiale'!$A$2:$A$999=$A376)*'Formation Initiale'!$G$2:$G$999)),"yyyy-mm-dd"),""))))))</f>
        <v/>
      </c>
      <c r="G376" s="131" t="str">
        <f aca="false">IF($Q376="✓","✓",IF(ISNUMBER($Q376),TEXT($Q376,"yyyy-mm-dd"),IF($A376="","",IF(SUMPRODUCT(('Agences &amp; Après-vente'!$A$2:$A$1000=$A376)*(('Agences &amp; Après-vente'!$D$2:$D$1000="Agences")+('Agences &amp; Après-vente'!$D$2:$D$1000="Agences et Après-vente"))*('Agences &amp; Après-vente'!$I$2:$I$1000="DONE"))&gt;0,"✓",IF(SUMPRODUCT(MAX(('Agences &amp; Après-vente'!$A$2:$A$1000=$A376)*(('Agences &amp; Après-vente'!$D$2:$D$1000="Agences")+('Agences &amp; Après-vente'!$D$2:$D$1000="Agences et Après-vente"))*'Agences &amp; Après-vente'!$E$2:$E$1000))&gt;0,TEXT(SUMPRODUCT(MAX(('Agences &amp; Après-vente'!$A$2:$A$1000=$A376)*(('Agences &amp; Après-vente'!$D$2:$D$1000="Agences")+('Agences &amp; Après-vente'!$D$2:$D$1000="Agences et Après-vente"))*'Agences &amp; Après-vente'!$E$2:$E$1000)),"yyyy-mm-dd"),"")))))</f>
        <v/>
      </c>
      <c r="H376" s="131" t="str">
        <f aca="false">IF($R376="✓","✓",IF(ISNUMBER($R376),TEXT($R376,"yyyy-mm-dd"),IF($A376="","",IF($D376="Lisbonne","",IF(SUMPRODUCT(('Agences &amp; Après-vente'!$A$2:$A$1000=$A376)*(('Agences &amp; Après-vente'!$D$2:$D$1000="Agences")+('Agences &amp; Après-vente'!$D$2:$D$1000="Agences et Après-vente"))*('Agences &amp; Après-vente'!$I$2:$I$1000="DONE"))&gt;0,"✓",IF(SUMPRODUCT(MAX(('Agences &amp; Après-vente'!$A$2:$A$1000=$A376)*(('Agences &amp; Après-vente'!$D$2:$D$1000="Agences")+('Agences &amp; Après-vente'!$D$2:$D$1000="Agences et Après-vente"))*'Agences &amp; Après-vente'!$E$2:$E$1000))&gt;0,TEXT(SUMPRODUCT(MAX(('Agences &amp; Après-vente'!$A$2:$A$1000=$A376)*(('Agences &amp; Après-vente'!$D$2:$D$1000="Agences")+('Agences &amp; Après-vente'!$D$2:$D$1000="Agences et Après-vente"))*'Agences &amp; Après-vente'!$E$2:$E$1000)),"yyyy-mm-dd"),""))))))</f>
        <v/>
      </c>
      <c r="I376" s="131" t="str">
        <f aca="false">IF($S376="✓","✓",IF(ISNUMBER($S376),TEXT($S376,"yyyy-mm-dd"),IF($A376="","",IF(SUMPRODUCT(('Agences &amp; Après-vente'!$A$2:$A$1000=$A376)*(('Agences &amp; Après-vente'!$D$2:$D$1000="Après-vente")+('Agences &amp; Après-vente'!$D$2:$D$1000="Agences et Après-vente"))*('Agences &amp; Après-vente'!$I$2:$I$1000="DONE"))&gt;0,"✓",IF(SUMPRODUCT(MAX(('Agences &amp; Après-vente'!$A$2:$A$1000=$A376)*(('Agences &amp; Après-vente'!$D$2:$D$1000="Après-vente")+('Agences &amp; Après-vente'!$D$2:$D$1000="Agences et Après-vente"))*'Agences &amp; Après-vente'!$E$2:$E$1000))&gt;0,TEXT(SUMPRODUCT(MAX(('Agences &amp; Après-vente'!$A$2:$A$1000=$A376)*(('Agences &amp; Après-vente'!$D$2:$D$1000="Après-vente")+('Agences &amp; Après-vente'!$D$2:$D$1000="Agences et Après-vente"))*'Agences &amp; Après-vente'!$E$2:$E$1000)),"yyyy-mm-dd"),"")))))</f>
        <v/>
      </c>
      <c r="J376" s="131" t="str">
        <f aca="false">IF($T376="✓","✓",IF(ISNUMBER($T376),TEXT($T376,"yyyy-mm-dd"),IF($A376="","",IF($D376="Lisbonne","",IF(SUMPRODUCT(('Agences &amp; Après-vente'!$A$2:$A$1000=$A376)*(('Agences &amp; Après-vente'!$D$2:$D$1000="Après-vente")+('Agences &amp; Après-vente'!$D$2:$D$1000="Agences et Après-vente"))*('Agences &amp; Après-vente'!$I$2:$I$1000="DONE"))&gt;0,"✓",IF(SUMPRODUCT(MAX(('Agences &amp; Après-vente'!$A$2:$A$1000=$A376)*(('Agences &amp; Après-vente'!$D$2:$D$1000="Après-vente")+('Agences &amp; Après-vente'!$D$2:$D$1000="Agences et Après-vente"))*'Agences &amp; Après-vente'!$E$2:$E$1000))&gt;0,TEXT(SUMPRODUCT(MAX(('Agences &amp; Après-vente'!$A$2:$A$1000=$A376)*(('Agences &amp; Après-vente'!$D$2:$D$1000="Après-vente")+('Agences &amp; Après-vente'!$D$2:$D$1000="Agences et Après-vente"))*'Agences &amp; Après-vente'!$E$2:$E$1000)),"yyyy-mm-dd"),""))))))</f>
        <v/>
      </c>
      <c r="K376" s="131" t="str">
        <f aca="false">IF($U376="✓","✓",IF(ISNUMBER($U376),TEXT($U376,"yyyy-mm-dd"),IF($D376="Lisbonne","",IF($A376="","",IF(SUMPRODUCT((Evermont!$A$2:$A$1000=$A376)*(Evermont!$Q$2:$Q$1000="Terminé"))&gt;0,"✓",IF(SUMPRODUCT(MAX((Evermont!$A$2:$A$1000=$A376)*Evermont!$F$2:$F$1000))&gt;0,TEXT(SUMPRODUCT(MAX((Evermont!$A$2:$A$1000=$A376)*Evermont!$F$2:$F$1000)),"yyyy-mm-dd"),""))))))</f>
        <v/>
      </c>
      <c r="L376" s="131" t="str">
        <f aca="false">IF($A376="","",COUNTIF(E376:K376,"✓"))</f>
        <v/>
      </c>
      <c r="M376" s="131" t="str">
        <f aca="false">IF(B376="","","Active")</f>
        <v/>
      </c>
      <c r="W376" s="120" t="str">
        <f aca="false">IF($A376="","",IF($X376&lt;&gt;"",$X376,IFERROR(INDEX('Formation Initiale'!$B$2:$B$999,MATCH($A376,'Formation Initiale'!$A$2:$A$999,0)),"Général")))</f>
        <v/>
      </c>
    </row>
    <row r="377" customFormat="false" ht="15" hidden="true" customHeight="true" outlineLevel="0" collapsed="false">
      <c r="A377" s="142" t="str">
        <f aca="false">IF(B377="","","TR"&amp;TEXT(ROW()-1,"000"))</f>
        <v/>
      </c>
      <c r="E377" s="130" t="str">
        <f aca="false">IF($O377="✓","✓",IF(ISNUMBER($O377),TEXT($O377,"yyyy-mm-dd"),IF($A377="","",IF(SUMPRODUCT(('Formation Initiale'!$A$2:$A$999=$A377)*('Formation Initiale'!$R$2:$R$999="Terminé"))&gt;0,"✓",IF(SUMPRODUCT(MAX(('Formation Initiale'!$A$2:$A$999=$A377)*'Formation Initiale'!$G$2:$G$999))&gt;0,TEXT(SUMPRODUCT(MAX(('Formation Initiale'!$A$2:$A$999=$A377)*'Formation Initiale'!$G$2:$G$999)),"yyyy-mm-dd"),"")))))</f>
        <v/>
      </c>
      <c r="F377" s="131" t="str">
        <f aca="false">IF($P377="✓","✓",IF(ISNUMBER($P377),TEXT($P377,"yyyy-mm-dd"),IF($A377="","",IF($D377="Lisbonne","",IF(SUMPRODUCT(('Formation Initiale'!$A$2:$A$999=$A377)*('Formation Initiale'!$R$2:$R$999="Terminé"))&gt;0,"✓",IF(SUMPRODUCT(MAX(('Formation Initiale'!$A$2:$A$999=$A377)*'Formation Initiale'!$G$2:$G$999))&gt;0,TEXT(SUMPRODUCT(MAX(('Formation Initiale'!$A$2:$A$999=$A377)*'Formation Initiale'!$G$2:$G$999)),"yyyy-mm-dd"),""))))))</f>
        <v/>
      </c>
      <c r="G377" s="131" t="str">
        <f aca="false">IF($Q377="✓","✓",IF(ISNUMBER($Q377),TEXT($Q377,"yyyy-mm-dd"),IF($A377="","",IF(SUMPRODUCT(('Agences &amp; Après-vente'!$A$2:$A$1000=$A377)*(('Agences &amp; Après-vente'!$D$2:$D$1000="Agences")+('Agences &amp; Après-vente'!$D$2:$D$1000="Agences et Après-vente"))*('Agences &amp; Après-vente'!$I$2:$I$1000="DONE"))&gt;0,"✓",IF(SUMPRODUCT(MAX(('Agences &amp; Après-vente'!$A$2:$A$1000=$A377)*(('Agences &amp; Après-vente'!$D$2:$D$1000="Agences")+('Agences &amp; Après-vente'!$D$2:$D$1000="Agences et Après-vente"))*'Agences &amp; Après-vente'!$E$2:$E$1000))&gt;0,TEXT(SUMPRODUCT(MAX(('Agences &amp; Après-vente'!$A$2:$A$1000=$A377)*(('Agences &amp; Après-vente'!$D$2:$D$1000="Agences")+('Agences &amp; Après-vente'!$D$2:$D$1000="Agences et Après-vente"))*'Agences &amp; Après-vente'!$E$2:$E$1000)),"yyyy-mm-dd"),"")))))</f>
        <v/>
      </c>
      <c r="H377" s="131" t="str">
        <f aca="false">IF($R377="✓","✓",IF(ISNUMBER($R377),TEXT($R377,"yyyy-mm-dd"),IF($A377="","",IF($D377="Lisbonne","",IF(SUMPRODUCT(('Agences &amp; Après-vente'!$A$2:$A$1000=$A377)*(('Agences &amp; Après-vente'!$D$2:$D$1000="Agences")+('Agences &amp; Après-vente'!$D$2:$D$1000="Agences et Après-vente"))*('Agences &amp; Après-vente'!$I$2:$I$1000="DONE"))&gt;0,"✓",IF(SUMPRODUCT(MAX(('Agences &amp; Après-vente'!$A$2:$A$1000=$A377)*(('Agences &amp; Après-vente'!$D$2:$D$1000="Agences")+('Agences &amp; Après-vente'!$D$2:$D$1000="Agences et Après-vente"))*'Agences &amp; Après-vente'!$E$2:$E$1000))&gt;0,TEXT(SUMPRODUCT(MAX(('Agences &amp; Après-vente'!$A$2:$A$1000=$A377)*(('Agences &amp; Après-vente'!$D$2:$D$1000="Agences")+('Agences &amp; Après-vente'!$D$2:$D$1000="Agences et Après-vente"))*'Agences &amp; Après-vente'!$E$2:$E$1000)),"yyyy-mm-dd"),""))))))</f>
        <v/>
      </c>
      <c r="I377" s="131" t="str">
        <f aca="false">IF($S377="✓","✓",IF(ISNUMBER($S377),TEXT($S377,"yyyy-mm-dd"),IF($A377="","",IF(SUMPRODUCT(('Agences &amp; Après-vente'!$A$2:$A$1000=$A377)*(('Agences &amp; Après-vente'!$D$2:$D$1000="Après-vente")+('Agences &amp; Après-vente'!$D$2:$D$1000="Agences et Après-vente"))*('Agences &amp; Après-vente'!$I$2:$I$1000="DONE"))&gt;0,"✓",IF(SUMPRODUCT(MAX(('Agences &amp; Après-vente'!$A$2:$A$1000=$A377)*(('Agences &amp; Après-vente'!$D$2:$D$1000="Après-vente")+('Agences &amp; Après-vente'!$D$2:$D$1000="Agences et Après-vente"))*'Agences &amp; Après-vente'!$E$2:$E$1000))&gt;0,TEXT(SUMPRODUCT(MAX(('Agences &amp; Après-vente'!$A$2:$A$1000=$A377)*(('Agences &amp; Après-vente'!$D$2:$D$1000="Après-vente")+('Agences &amp; Après-vente'!$D$2:$D$1000="Agences et Après-vente"))*'Agences &amp; Après-vente'!$E$2:$E$1000)),"yyyy-mm-dd"),"")))))</f>
        <v/>
      </c>
      <c r="J377" s="131" t="str">
        <f aca="false">IF($T377="✓","✓",IF(ISNUMBER($T377),TEXT($T377,"yyyy-mm-dd"),IF($A377="","",IF($D377="Lisbonne","",IF(SUMPRODUCT(('Agences &amp; Après-vente'!$A$2:$A$1000=$A377)*(('Agences &amp; Après-vente'!$D$2:$D$1000="Après-vente")+('Agences &amp; Après-vente'!$D$2:$D$1000="Agences et Après-vente"))*('Agences &amp; Après-vente'!$I$2:$I$1000="DONE"))&gt;0,"✓",IF(SUMPRODUCT(MAX(('Agences &amp; Après-vente'!$A$2:$A$1000=$A377)*(('Agences &amp; Après-vente'!$D$2:$D$1000="Après-vente")+('Agences &amp; Après-vente'!$D$2:$D$1000="Agences et Après-vente"))*'Agences &amp; Après-vente'!$E$2:$E$1000))&gt;0,TEXT(SUMPRODUCT(MAX(('Agences &amp; Après-vente'!$A$2:$A$1000=$A377)*(('Agences &amp; Après-vente'!$D$2:$D$1000="Après-vente")+('Agences &amp; Après-vente'!$D$2:$D$1000="Agences et Après-vente"))*'Agences &amp; Après-vente'!$E$2:$E$1000)),"yyyy-mm-dd"),""))))))</f>
        <v/>
      </c>
      <c r="K377" s="131" t="str">
        <f aca="false">IF($U377="✓","✓",IF(ISNUMBER($U377),TEXT($U377,"yyyy-mm-dd"),IF($D377="Lisbonne","",IF($A377="","",IF(SUMPRODUCT((Evermont!$A$2:$A$1000=$A377)*(Evermont!$Q$2:$Q$1000="Terminé"))&gt;0,"✓",IF(SUMPRODUCT(MAX((Evermont!$A$2:$A$1000=$A377)*Evermont!$F$2:$F$1000))&gt;0,TEXT(SUMPRODUCT(MAX((Evermont!$A$2:$A$1000=$A377)*Evermont!$F$2:$F$1000)),"yyyy-mm-dd"),""))))))</f>
        <v/>
      </c>
      <c r="L377" s="131" t="str">
        <f aca="false">IF($A377="","",COUNTIF(E377:K377,"✓"))</f>
        <v/>
      </c>
      <c r="M377" s="131" t="str">
        <f aca="false">IF(B377="","","Active")</f>
        <v/>
      </c>
      <c r="W377" s="120" t="str">
        <f aca="false">IF($A377="","",IF($X377&lt;&gt;"",$X377,IFERROR(INDEX('Formation Initiale'!$B$2:$B$999,MATCH($A377,'Formation Initiale'!$A$2:$A$999,0)),"Général")))</f>
        <v/>
      </c>
    </row>
    <row r="378" customFormat="false" ht="15" hidden="true" customHeight="true" outlineLevel="0" collapsed="false">
      <c r="A378" s="142" t="str">
        <f aca="false">IF(B378="","","TR"&amp;TEXT(ROW()-1,"000"))</f>
        <v/>
      </c>
      <c r="E378" s="130" t="str">
        <f aca="false">IF($O378="✓","✓",IF(ISNUMBER($O378),TEXT($O378,"yyyy-mm-dd"),IF($A378="","",IF(SUMPRODUCT(('Formation Initiale'!$A$2:$A$999=$A378)*('Formation Initiale'!$R$2:$R$999="Terminé"))&gt;0,"✓",IF(SUMPRODUCT(MAX(('Formation Initiale'!$A$2:$A$999=$A378)*'Formation Initiale'!$G$2:$G$999))&gt;0,TEXT(SUMPRODUCT(MAX(('Formation Initiale'!$A$2:$A$999=$A378)*'Formation Initiale'!$G$2:$G$999)),"yyyy-mm-dd"),"")))))</f>
        <v/>
      </c>
      <c r="F378" s="131" t="str">
        <f aca="false">IF($P378="✓","✓",IF(ISNUMBER($P378),TEXT($P378,"yyyy-mm-dd"),IF($A378="","",IF($D378="Lisbonne","",IF(SUMPRODUCT(('Formation Initiale'!$A$2:$A$999=$A378)*('Formation Initiale'!$R$2:$R$999="Terminé"))&gt;0,"✓",IF(SUMPRODUCT(MAX(('Formation Initiale'!$A$2:$A$999=$A378)*'Formation Initiale'!$G$2:$G$999))&gt;0,TEXT(SUMPRODUCT(MAX(('Formation Initiale'!$A$2:$A$999=$A378)*'Formation Initiale'!$G$2:$G$999)),"yyyy-mm-dd"),""))))))</f>
        <v/>
      </c>
      <c r="G378" s="131" t="str">
        <f aca="false">IF($Q378="✓","✓",IF(ISNUMBER($Q378),TEXT($Q378,"yyyy-mm-dd"),IF($A378="","",IF(SUMPRODUCT(('Agences &amp; Après-vente'!$A$2:$A$1000=$A378)*(('Agences &amp; Après-vente'!$D$2:$D$1000="Agences")+('Agences &amp; Après-vente'!$D$2:$D$1000="Agences et Après-vente"))*('Agences &amp; Après-vente'!$I$2:$I$1000="DONE"))&gt;0,"✓",IF(SUMPRODUCT(MAX(('Agences &amp; Après-vente'!$A$2:$A$1000=$A378)*(('Agences &amp; Après-vente'!$D$2:$D$1000="Agences")+('Agences &amp; Après-vente'!$D$2:$D$1000="Agences et Après-vente"))*'Agences &amp; Après-vente'!$E$2:$E$1000))&gt;0,TEXT(SUMPRODUCT(MAX(('Agences &amp; Après-vente'!$A$2:$A$1000=$A378)*(('Agences &amp; Après-vente'!$D$2:$D$1000="Agences")+('Agences &amp; Après-vente'!$D$2:$D$1000="Agences et Après-vente"))*'Agences &amp; Après-vente'!$E$2:$E$1000)),"yyyy-mm-dd"),"")))))</f>
        <v/>
      </c>
      <c r="H378" s="131" t="str">
        <f aca="false">IF($R378="✓","✓",IF(ISNUMBER($R378),TEXT($R378,"yyyy-mm-dd"),IF($A378="","",IF($D378="Lisbonne","",IF(SUMPRODUCT(('Agences &amp; Après-vente'!$A$2:$A$1000=$A378)*(('Agences &amp; Après-vente'!$D$2:$D$1000="Agences")+('Agences &amp; Après-vente'!$D$2:$D$1000="Agences et Après-vente"))*('Agences &amp; Après-vente'!$I$2:$I$1000="DONE"))&gt;0,"✓",IF(SUMPRODUCT(MAX(('Agences &amp; Après-vente'!$A$2:$A$1000=$A378)*(('Agences &amp; Après-vente'!$D$2:$D$1000="Agences")+('Agences &amp; Après-vente'!$D$2:$D$1000="Agences et Après-vente"))*'Agences &amp; Après-vente'!$E$2:$E$1000))&gt;0,TEXT(SUMPRODUCT(MAX(('Agences &amp; Après-vente'!$A$2:$A$1000=$A378)*(('Agences &amp; Après-vente'!$D$2:$D$1000="Agences")+('Agences &amp; Après-vente'!$D$2:$D$1000="Agences et Après-vente"))*'Agences &amp; Après-vente'!$E$2:$E$1000)),"yyyy-mm-dd"),""))))))</f>
        <v/>
      </c>
      <c r="I378" s="131" t="str">
        <f aca="false">IF($S378="✓","✓",IF(ISNUMBER($S378),TEXT($S378,"yyyy-mm-dd"),IF($A378="","",IF(SUMPRODUCT(('Agences &amp; Après-vente'!$A$2:$A$1000=$A378)*(('Agences &amp; Après-vente'!$D$2:$D$1000="Après-vente")+('Agences &amp; Après-vente'!$D$2:$D$1000="Agences et Après-vente"))*('Agences &amp; Après-vente'!$I$2:$I$1000="DONE"))&gt;0,"✓",IF(SUMPRODUCT(MAX(('Agences &amp; Après-vente'!$A$2:$A$1000=$A378)*(('Agences &amp; Après-vente'!$D$2:$D$1000="Après-vente")+('Agences &amp; Après-vente'!$D$2:$D$1000="Agences et Après-vente"))*'Agences &amp; Après-vente'!$E$2:$E$1000))&gt;0,TEXT(SUMPRODUCT(MAX(('Agences &amp; Après-vente'!$A$2:$A$1000=$A378)*(('Agences &amp; Après-vente'!$D$2:$D$1000="Après-vente")+('Agences &amp; Après-vente'!$D$2:$D$1000="Agences et Après-vente"))*'Agences &amp; Après-vente'!$E$2:$E$1000)),"yyyy-mm-dd"),"")))))</f>
        <v/>
      </c>
      <c r="J378" s="131" t="str">
        <f aca="false">IF($T378="✓","✓",IF(ISNUMBER($T378),TEXT($T378,"yyyy-mm-dd"),IF($A378="","",IF($D378="Lisbonne","",IF(SUMPRODUCT(('Agences &amp; Après-vente'!$A$2:$A$1000=$A378)*(('Agences &amp; Après-vente'!$D$2:$D$1000="Après-vente")+('Agences &amp; Après-vente'!$D$2:$D$1000="Agences et Après-vente"))*('Agences &amp; Après-vente'!$I$2:$I$1000="DONE"))&gt;0,"✓",IF(SUMPRODUCT(MAX(('Agences &amp; Après-vente'!$A$2:$A$1000=$A378)*(('Agences &amp; Après-vente'!$D$2:$D$1000="Après-vente")+('Agences &amp; Après-vente'!$D$2:$D$1000="Agences et Après-vente"))*'Agences &amp; Après-vente'!$E$2:$E$1000))&gt;0,TEXT(SUMPRODUCT(MAX(('Agences &amp; Après-vente'!$A$2:$A$1000=$A378)*(('Agences &amp; Après-vente'!$D$2:$D$1000="Après-vente")+('Agences &amp; Après-vente'!$D$2:$D$1000="Agences et Après-vente"))*'Agences &amp; Après-vente'!$E$2:$E$1000)),"yyyy-mm-dd"),""))))))</f>
        <v/>
      </c>
      <c r="K378" s="131" t="str">
        <f aca="false">IF($U378="✓","✓",IF(ISNUMBER($U378),TEXT($U378,"yyyy-mm-dd"),IF($D378="Lisbonne","",IF($A378="","",IF(SUMPRODUCT((Evermont!$A$2:$A$1000=$A378)*(Evermont!$Q$2:$Q$1000="Terminé"))&gt;0,"✓",IF(SUMPRODUCT(MAX((Evermont!$A$2:$A$1000=$A378)*Evermont!$F$2:$F$1000))&gt;0,TEXT(SUMPRODUCT(MAX((Evermont!$A$2:$A$1000=$A378)*Evermont!$F$2:$F$1000)),"yyyy-mm-dd"),""))))))</f>
        <v/>
      </c>
      <c r="L378" s="131" t="str">
        <f aca="false">IF($A378="","",COUNTIF(E378:K378,"✓"))</f>
        <v/>
      </c>
      <c r="M378" s="131" t="str">
        <f aca="false">IF(B378="","","Active")</f>
        <v/>
      </c>
      <c r="W378" s="120" t="str">
        <f aca="false">IF($A378="","",IF($X378&lt;&gt;"",$X378,IFERROR(INDEX('Formation Initiale'!$B$2:$B$999,MATCH($A378,'Formation Initiale'!$A$2:$A$999,0)),"Général")))</f>
        <v/>
      </c>
    </row>
    <row r="379" customFormat="false" ht="15" hidden="true" customHeight="true" outlineLevel="0" collapsed="false">
      <c r="A379" s="142" t="str">
        <f aca="false">IF(B379="","","TR"&amp;TEXT(ROW()-1,"000"))</f>
        <v/>
      </c>
      <c r="E379" s="130" t="str">
        <f aca="false">IF($O379="✓","✓",IF(ISNUMBER($O379),TEXT($O379,"yyyy-mm-dd"),IF($A379="","",IF(SUMPRODUCT(('Formation Initiale'!$A$2:$A$999=$A379)*('Formation Initiale'!$R$2:$R$999="Terminé"))&gt;0,"✓",IF(SUMPRODUCT(MAX(('Formation Initiale'!$A$2:$A$999=$A379)*'Formation Initiale'!$G$2:$G$999))&gt;0,TEXT(SUMPRODUCT(MAX(('Formation Initiale'!$A$2:$A$999=$A379)*'Formation Initiale'!$G$2:$G$999)),"yyyy-mm-dd"),"")))))</f>
        <v/>
      </c>
      <c r="F379" s="131" t="str">
        <f aca="false">IF($P379="✓","✓",IF(ISNUMBER($P379),TEXT($P379,"yyyy-mm-dd"),IF($A379="","",IF($D379="Lisbonne","",IF(SUMPRODUCT(('Formation Initiale'!$A$2:$A$999=$A379)*('Formation Initiale'!$R$2:$R$999="Terminé"))&gt;0,"✓",IF(SUMPRODUCT(MAX(('Formation Initiale'!$A$2:$A$999=$A379)*'Formation Initiale'!$G$2:$G$999))&gt;0,TEXT(SUMPRODUCT(MAX(('Formation Initiale'!$A$2:$A$999=$A379)*'Formation Initiale'!$G$2:$G$999)),"yyyy-mm-dd"),""))))))</f>
        <v/>
      </c>
      <c r="G379" s="131" t="str">
        <f aca="false">IF($Q379="✓","✓",IF(ISNUMBER($Q379),TEXT($Q379,"yyyy-mm-dd"),IF($A379="","",IF(SUMPRODUCT(('Agences &amp; Après-vente'!$A$2:$A$1000=$A379)*(('Agences &amp; Après-vente'!$D$2:$D$1000="Agences")+('Agences &amp; Après-vente'!$D$2:$D$1000="Agences et Après-vente"))*('Agences &amp; Après-vente'!$I$2:$I$1000="DONE"))&gt;0,"✓",IF(SUMPRODUCT(MAX(('Agences &amp; Après-vente'!$A$2:$A$1000=$A379)*(('Agences &amp; Après-vente'!$D$2:$D$1000="Agences")+('Agences &amp; Après-vente'!$D$2:$D$1000="Agences et Après-vente"))*'Agences &amp; Après-vente'!$E$2:$E$1000))&gt;0,TEXT(SUMPRODUCT(MAX(('Agences &amp; Après-vente'!$A$2:$A$1000=$A379)*(('Agences &amp; Après-vente'!$D$2:$D$1000="Agences")+('Agences &amp; Après-vente'!$D$2:$D$1000="Agences et Après-vente"))*'Agences &amp; Après-vente'!$E$2:$E$1000)),"yyyy-mm-dd"),"")))))</f>
        <v/>
      </c>
      <c r="H379" s="131" t="str">
        <f aca="false">IF($R379="✓","✓",IF(ISNUMBER($R379),TEXT($R379,"yyyy-mm-dd"),IF($A379="","",IF($D379="Lisbonne","",IF(SUMPRODUCT(('Agences &amp; Après-vente'!$A$2:$A$1000=$A379)*(('Agences &amp; Après-vente'!$D$2:$D$1000="Agences")+('Agences &amp; Après-vente'!$D$2:$D$1000="Agences et Après-vente"))*('Agences &amp; Après-vente'!$I$2:$I$1000="DONE"))&gt;0,"✓",IF(SUMPRODUCT(MAX(('Agences &amp; Après-vente'!$A$2:$A$1000=$A379)*(('Agences &amp; Après-vente'!$D$2:$D$1000="Agences")+('Agences &amp; Après-vente'!$D$2:$D$1000="Agences et Après-vente"))*'Agences &amp; Après-vente'!$E$2:$E$1000))&gt;0,TEXT(SUMPRODUCT(MAX(('Agences &amp; Après-vente'!$A$2:$A$1000=$A379)*(('Agences &amp; Après-vente'!$D$2:$D$1000="Agences")+('Agences &amp; Après-vente'!$D$2:$D$1000="Agences et Après-vente"))*'Agences &amp; Après-vente'!$E$2:$E$1000)),"yyyy-mm-dd"),""))))))</f>
        <v/>
      </c>
      <c r="I379" s="131" t="str">
        <f aca="false">IF($S379="✓","✓",IF(ISNUMBER($S379),TEXT($S379,"yyyy-mm-dd"),IF($A379="","",IF(SUMPRODUCT(('Agences &amp; Après-vente'!$A$2:$A$1000=$A379)*(('Agences &amp; Après-vente'!$D$2:$D$1000="Après-vente")+('Agences &amp; Après-vente'!$D$2:$D$1000="Agences et Après-vente"))*('Agences &amp; Après-vente'!$I$2:$I$1000="DONE"))&gt;0,"✓",IF(SUMPRODUCT(MAX(('Agences &amp; Après-vente'!$A$2:$A$1000=$A379)*(('Agences &amp; Après-vente'!$D$2:$D$1000="Après-vente")+('Agences &amp; Après-vente'!$D$2:$D$1000="Agences et Après-vente"))*'Agences &amp; Après-vente'!$E$2:$E$1000))&gt;0,TEXT(SUMPRODUCT(MAX(('Agences &amp; Après-vente'!$A$2:$A$1000=$A379)*(('Agences &amp; Après-vente'!$D$2:$D$1000="Après-vente")+('Agences &amp; Après-vente'!$D$2:$D$1000="Agences et Après-vente"))*'Agences &amp; Après-vente'!$E$2:$E$1000)),"yyyy-mm-dd"),"")))))</f>
        <v/>
      </c>
      <c r="J379" s="131" t="str">
        <f aca="false">IF($T379="✓","✓",IF(ISNUMBER($T379),TEXT($T379,"yyyy-mm-dd"),IF($A379="","",IF($D379="Lisbonne","",IF(SUMPRODUCT(('Agences &amp; Après-vente'!$A$2:$A$1000=$A379)*(('Agences &amp; Après-vente'!$D$2:$D$1000="Après-vente")+('Agences &amp; Après-vente'!$D$2:$D$1000="Agences et Après-vente"))*('Agences &amp; Après-vente'!$I$2:$I$1000="DONE"))&gt;0,"✓",IF(SUMPRODUCT(MAX(('Agences &amp; Après-vente'!$A$2:$A$1000=$A379)*(('Agences &amp; Après-vente'!$D$2:$D$1000="Après-vente")+('Agences &amp; Après-vente'!$D$2:$D$1000="Agences et Après-vente"))*'Agences &amp; Après-vente'!$E$2:$E$1000))&gt;0,TEXT(SUMPRODUCT(MAX(('Agences &amp; Après-vente'!$A$2:$A$1000=$A379)*(('Agences &amp; Après-vente'!$D$2:$D$1000="Après-vente")+('Agences &amp; Après-vente'!$D$2:$D$1000="Agences et Après-vente"))*'Agences &amp; Après-vente'!$E$2:$E$1000)),"yyyy-mm-dd"),""))))))</f>
        <v/>
      </c>
      <c r="K379" s="131" t="str">
        <f aca="false">IF($U379="✓","✓",IF(ISNUMBER($U379),TEXT($U379,"yyyy-mm-dd"),IF($D379="Lisbonne","",IF($A379="","",IF(SUMPRODUCT((Evermont!$A$2:$A$1000=$A379)*(Evermont!$Q$2:$Q$1000="Terminé"))&gt;0,"✓",IF(SUMPRODUCT(MAX((Evermont!$A$2:$A$1000=$A379)*Evermont!$F$2:$F$1000))&gt;0,TEXT(SUMPRODUCT(MAX((Evermont!$A$2:$A$1000=$A379)*Evermont!$F$2:$F$1000)),"yyyy-mm-dd"),""))))))</f>
        <v/>
      </c>
      <c r="L379" s="131" t="str">
        <f aca="false">IF($A379="","",COUNTIF(E379:K379,"✓"))</f>
        <v/>
      </c>
      <c r="M379" s="131" t="str">
        <f aca="false">IF(B379="","","Active")</f>
        <v/>
      </c>
      <c r="W379" s="120" t="str">
        <f aca="false">IF($A379="","",IF($X379&lt;&gt;"",$X379,IFERROR(INDEX('Formation Initiale'!$B$2:$B$999,MATCH($A379,'Formation Initiale'!$A$2:$A$999,0)),"Général")))</f>
        <v/>
      </c>
    </row>
    <row r="380" customFormat="false" ht="15" hidden="true" customHeight="true" outlineLevel="0" collapsed="false">
      <c r="A380" s="142" t="str">
        <f aca="false">IF(B380="","","TR"&amp;TEXT(ROW()-1,"000"))</f>
        <v/>
      </c>
      <c r="E380" s="130" t="str">
        <f aca="false">IF($O380="✓","✓",IF(ISNUMBER($O380),TEXT($O380,"yyyy-mm-dd"),IF($A380="","",IF(SUMPRODUCT(('Formation Initiale'!$A$2:$A$999=$A380)*('Formation Initiale'!$R$2:$R$999="Terminé"))&gt;0,"✓",IF(SUMPRODUCT(MAX(('Formation Initiale'!$A$2:$A$999=$A380)*'Formation Initiale'!$G$2:$G$999))&gt;0,TEXT(SUMPRODUCT(MAX(('Formation Initiale'!$A$2:$A$999=$A380)*'Formation Initiale'!$G$2:$G$999)),"yyyy-mm-dd"),"")))))</f>
        <v/>
      </c>
      <c r="F380" s="131" t="str">
        <f aca="false">IF($P380="✓","✓",IF(ISNUMBER($P380),TEXT($P380,"yyyy-mm-dd"),IF($A380="","",IF($D380="Lisbonne","",IF(SUMPRODUCT(('Formation Initiale'!$A$2:$A$999=$A380)*('Formation Initiale'!$R$2:$R$999="Terminé"))&gt;0,"✓",IF(SUMPRODUCT(MAX(('Formation Initiale'!$A$2:$A$999=$A380)*'Formation Initiale'!$G$2:$G$999))&gt;0,TEXT(SUMPRODUCT(MAX(('Formation Initiale'!$A$2:$A$999=$A380)*'Formation Initiale'!$G$2:$G$999)),"yyyy-mm-dd"),""))))))</f>
        <v/>
      </c>
      <c r="G380" s="131" t="str">
        <f aca="false">IF($Q380="✓","✓",IF(ISNUMBER($Q380),TEXT($Q380,"yyyy-mm-dd"),IF($A380="","",IF(SUMPRODUCT(('Agences &amp; Après-vente'!$A$2:$A$1000=$A380)*(('Agences &amp; Après-vente'!$D$2:$D$1000="Agences")+('Agences &amp; Après-vente'!$D$2:$D$1000="Agences et Après-vente"))*('Agences &amp; Après-vente'!$I$2:$I$1000="DONE"))&gt;0,"✓",IF(SUMPRODUCT(MAX(('Agences &amp; Après-vente'!$A$2:$A$1000=$A380)*(('Agences &amp; Après-vente'!$D$2:$D$1000="Agences")+('Agences &amp; Après-vente'!$D$2:$D$1000="Agences et Après-vente"))*'Agences &amp; Après-vente'!$E$2:$E$1000))&gt;0,TEXT(SUMPRODUCT(MAX(('Agences &amp; Après-vente'!$A$2:$A$1000=$A380)*(('Agences &amp; Après-vente'!$D$2:$D$1000="Agences")+('Agences &amp; Après-vente'!$D$2:$D$1000="Agences et Après-vente"))*'Agences &amp; Après-vente'!$E$2:$E$1000)),"yyyy-mm-dd"),"")))))</f>
        <v/>
      </c>
      <c r="H380" s="131" t="str">
        <f aca="false">IF($R380="✓","✓",IF(ISNUMBER($R380),TEXT($R380,"yyyy-mm-dd"),IF($A380="","",IF($D380="Lisbonne","",IF(SUMPRODUCT(('Agences &amp; Après-vente'!$A$2:$A$1000=$A380)*(('Agences &amp; Après-vente'!$D$2:$D$1000="Agences")+('Agences &amp; Après-vente'!$D$2:$D$1000="Agences et Après-vente"))*('Agences &amp; Après-vente'!$I$2:$I$1000="DONE"))&gt;0,"✓",IF(SUMPRODUCT(MAX(('Agences &amp; Après-vente'!$A$2:$A$1000=$A380)*(('Agences &amp; Après-vente'!$D$2:$D$1000="Agences")+('Agences &amp; Après-vente'!$D$2:$D$1000="Agences et Après-vente"))*'Agences &amp; Après-vente'!$E$2:$E$1000))&gt;0,TEXT(SUMPRODUCT(MAX(('Agences &amp; Après-vente'!$A$2:$A$1000=$A380)*(('Agences &amp; Après-vente'!$D$2:$D$1000="Agences")+('Agences &amp; Après-vente'!$D$2:$D$1000="Agences et Après-vente"))*'Agences &amp; Après-vente'!$E$2:$E$1000)),"yyyy-mm-dd"),""))))))</f>
        <v/>
      </c>
      <c r="I380" s="131" t="str">
        <f aca="false">IF($S380="✓","✓",IF(ISNUMBER($S380),TEXT($S380,"yyyy-mm-dd"),IF($A380="","",IF(SUMPRODUCT(('Agences &amp; Après-vente'!$A$2:$A$1000=$A380)*(('Agences &amp; Après-vente'!$D$2:$D$1000="Après-vente")+('Agences &amp; Après-vente'!$D$2:$D$1000="Agences et Après-vente"))*('Agences &amp; Après-vente'!$I$2:$I$1000="DONE"))&gt;0,"✓",IF(SUMPRODUCT(MAX(('Agences &amp; Après-vente'!$A$2:$A$1000=$A380)*(('Agences &amp; Après-vente'!$D$2:$D$1000="Après-vente")+('Agences &amp; Après-vente'!$D$2:$D$1000="Agences et Après-vente"))*'Agences &amp; Après-vente'!$E$2:$E$1000))&gt;0,TEXT(SUMPRODUCT(MAX(('Agences &amp; Après-vente'!$A$2:$A$1000=$A380)*(('Agences &amp; Après-vente'!$D$2:$D$1000="Après-vente")+('Agences &amp; Après-vente'!$D$2:$D$1000="Agences et Après-vente"))*'Agences &amp; Après-vente'!$E$2:$E$1000)),"yyyy-mm-dd"),"")))))</f>
        <v/>
      </c>
      <c r="J380" s="131" t="str">
        <f aca="false">IF($T380="✓","✓",IF(ISNUMBER($T380),TEXT($T380,"yyyy-mm-dd"),IF($A380="","",IF($D380="Lisbonne","",IF(SUMPRODUCT(('Agences &amp; Après-vente'!$A$2:$A$1000=$A380)*(('Agences &amp; Après-vente'!$D$2:$D$1000="Après-vente")+('Agences &amp; Après-vente'!$D$2:$D$1000="Agences et Après-vente"))*('Agences &amp; Après-vente'!$I$2:$I$1000="DONE"))&gt;0,"✓",IF(SUMPRODUCT(MAX(('Agences &amp; Après-vente'!$A$2:$A$1000=$A380)*(('Agences &amp; Après-vente'!$D$2:$D$1000="Après-vente")+('Agences &amp; Après-vente'!$D$2:$D$1000="Agences et Après-vente"))*'Agences &amp; Après-vente'!$E$2:$E$1000))&gt;0,TEXT(SUMPRODUCT(MAX(('Agences &amp; Après-vente'!$A$2:$A$1000=$A380)*(('Agences &amp; Après-vente'!$D$2:$D$1000="Après-vente")+('Agences &amp; Après-vente'!$D$2:$D$1000="Agences et Après-vente"))*'Agences &amp; Après-vente'!$E$2:$E$1000)),"yyyy-mm-dd"),""))))))</f>
        <v/>
      </c>
      <c r="K380" s="131" t="str">
        <f aca="false">IF($U380="✓","✓",IF(ISNUMBER($U380),TEXT($U380,"yyyy-mm-dd"),IF($D380="Lisbonne","",IF($A380="","",IF(SUMPRODUCT((Evermont!$A$2:$A$1000=$A380)*(Evermont!$Q$2:$Q$1000="Terminé"))&gt;0,"✓",IF(SUMPRODUCT(MAX((Evermont!$A$2:$A$1000=$A380)*Evermont!$F$2:$F$1000))&gt;0,TEXT(SUMPRODUCT(MAX((Evermont!$A$2:$A$1000=$A380)*Evermont!$F$2:$F$1000)),"yyyy-mm-dd"),""))))))</f>
        <v/>
      </c>
      <c r="L380" s="131" t="str">
        <f aca="false">IF($A380="","",COUNTIF(E380:K380,"✓"))</f>
        <v/>
      </c>
      <c r="M380" s="131" t="str">
        <f aca="false">IF(B380="","","Active")</f>
        <v/>
      </c>
      <c r="W380" s="120" t="str">
        <f aca="false">IF($A380="","",IF($X380&lt;&gt;"",$X380,IFERROR(INDEX('Formation Initiale'!$B$2:$B$999,MATCH($A380,'Formation Initiale'!$A$2:$A$999,0)),"Général")))</f>
        <v/>
      </c>
    </row>
    <row r="381" customFormat="false" ht="15" hidden="true" customHeight="true" outlineLevel="0" collapsed="false">
      <c r="A381" s="142" t="str">
        <f aca="false">IF(B381="","","TR"&amp;TEXT(ROW()-1,"000"))</f>
        <v/>
      </c>
      <c r="E381" s="130" t="str">
        <f aca="false">IF($O381="✓","✓",IF(ISNUMBER($O381),TEXT($O381,"yyyy-mm-dd"),IF($A381="","",IF(SUMPRODUCT(('Formation Initiale'!$A$2:$A$999=$A381)*('Formation Initiale'!$R$2:$R$999="Terminé"))&gt;0,"✓",IF(SUMPRODUCT(MAX(('Formation Initiale'!$A$2:$A$999=$A381)*'Formation Initiale'!$G$2:$G$999))&gt;0,TEXT(SUMPRODUCT(MAX(('Formation Initiale'!$A$2:$A$999=$A381)*'Formation Initiale'!$G$2:$G$999)),"yyyy-mm-dd"),"")))))</f>
        <v/>
      </c>
      <c r="F381" s="131" t="str">
        <f aca="false">IF($P381="✓","✓",IF(ISNUMBER($P381),TEXT($P381,"yyyy-mm-dd"),IF($A381="","",IF($D381="Lisbonne","",IF(SUMPRODUCT(('Formation Initiale'!$A$2:$A$999=$A381)*('Formation Initiale'!$R$2:$R$999="Terminé"))&gt;0,"✓",IF(SUMPRODUCT(MAX(('Formation Initiale'!$A$2:$A$999=$A381)*'Formation Initiale'!$G$2:$G$999))&gt;0,TEXT(SUMPRODUCT(MAX(('Formation Initiale'!$A$2:$A$999=$A381)*'Formation Initiale'!$G$2:$G$999)),"yyyy-mm-dd"),""))))))</f>
        <v/>
      </c>
      <c r="G381" s="131" t="str">
        <f aca="false">IF($Q381="✓","✓",IF(ISNUMBER($Q381),TEXT($Q381,"yyyy-mm-dd"),IF($A381="","",IF(SUMPRODUCT(('Agences &amp; Après-vente'!$A$2:$A$1000=$A381)*(('Agences &amp; Après-vente'!$D$2:$D$1000="Agences")+('Agences &amp; Après-vente'!$D$2:$D$1000="Agences et Après-vente"))*('Agences &amp; Après-vente'!$I$2:$I$1000="DONE"))&gt;0,"✓",IF(SUMPRODUCT(MAX(('Agences &amp; Après-vente'!$A$2:$A$1000=$A381)*(('Agences &amp; Après-vente'!$D$2:$D$1000="Agences")+('Agences &amp; Après-vente'!$D$2:$D$1000="Agences et Après-vente"))*'Agences &amp; Après-vente'!$E$2:$E$1000))&gt;0,TEXT(SUMPRODUCT(MAX(('Agences &amp; Après-vente'!$A$2:$A$1000=$A381)*(('Agences &amp; Après-vente'!$D$2:$D$1000="Agences")+('Agences &amp; Après-vente'!$D$2:$D$1000="Agences et Après-vente"))*'Agences &amp; Après-vente'!$E$2:$E$1000)),"yyyy-mm-dd"),"")))))</f>
        <v/>
      </c>
      <c r="H381" s="131" t="str">
        <f aca="false">IF($R381="✓","✓",IF(ISNUMBER($R381),TEXT($R381,"yyyy-mm-dd"),IF($A381="","",IF($D381="Lisbonne","",IF(SUMPRODUCT(('Agences &amp; Après-vente'!$A$2:$A$1000=$A381)*(('Agences &amp; Après-vente'!$D$2:$D$1000="Agences")+('Agences &amp; Après-vente'!$D$2:$D$1000="Agences et Après-vente"))*('Agences &amp; Après-vente'!$I$2:$I$1000="DONE"))&gt;0,"✓",IF(SUMPRODUCT(MAX(('Agences &amp; Après-vente'!$A$2:$A$1000=$A381)*(('Agences &amp; Après-vente'!$D$2:$D$1000="Agences")+('Agences &amp; Après-vente'!$D$2:$D$1000="Agences et Après-vente"))*'Agences &amp; Après-vente'!$E$2:$E$1000))&gt;0,TEXT(SUMPRODUCT(MAX(('Agences &amp; Après-vente'!$A$2:$A$1000=$A381)*(('Agences &amp; Après-vente'!$D$2:$D$1000="Agences")+('Agences &amp; Après-vente'!$D$2:$D$1000="Agences et Après-vente"))*'Agences &amp; Après-vente'!$E$2:$E$1000)),"yyyy-mm-dd"),""))))))</f>
        <v/>
      </c>
      <c r="I381" s="131" t="str">
        <f aca="false">IF($S381="✓","✓",IF(ISNUMBER($S381),TEXT($S381,"yyyy-mm-dd"),IF($A381="","",IF(SUMPRODUCT(('Agences &amp; Après-vente'!$A$2:$A$1000=$A381)*(('Agences &amp; Après-vente'!$D$2:$D$1000="Après-vente")+('Agences &amp; Après-vente'!$D$2:$D$1000="Agences et Après-vente"))*('Agences &amp; Après-vente'!$I$2:$I$1000="DONE"))&gt;0,"✓",IF(SUMPRODUCT(MAX(('Agences &amp; Après-vente'!$A$2:$A$1000=$A381)*(('Agences &amp; Après-vente'!$D$2:$D$1000="Après-vente")+('Agences &amp; Après-vente'!$D$2:$D$1000="Agences et Après-vente"))*'Agences &amp; Après-vente'!$E$2:$E$1000))&gt;0,TEXT(SUMPRODUCT(MAX(('Agences &amp; Après-vente'!$A$2:$A$1000=$A381)*(('Agences &amp; Après-vente'!$D$2:$D$1000="Après-vente")+('Agences &amp; Après-vente'!$D$2:$D$1000="Agences et Après-vente"))*'Agences &amp; Après-vente'!$E$2:$E$1000)),"yyyy-mm-dd"),"")))))</f>
        <v/>
      </c>
      <c r="J381" s="131" t="str">
        <f aca="false">IF($T381="✓","✓",IF(ISNUMBER($T381),TEXT($T381,"yyyy-mm-dd"),IF($A381="","",IF($D381="Lisbonne","",IF(SUMPRODUCT(('Agences &amp; Après-vente'!$A$2:$A$1000=$A381)*(('Agences &amp; Après-vente'!$D$2:$D$1000="Après-vente")+('Agences &amp; Après-vente'!$D$2:$D$1000="Agences et Après-vente"))*('Agences &amp; Après-vente'!$I$2:$I$1000="DONE"))&gt;0,"✓",IF(SUMPRODUCT(MAX(('Agences &amp; Après-vente'!$A$2:$A$1000=$A381)*(('Agences &amp; Après-vente'!$D$2:$D$1000="Après-vente")+('Agences &amp; Après-vente'!$D$2:$D$1000="Agences et Après-vente"))*'Agences &amp; Après-vente'!$E$2:$E$1000))&gt;0,TEXT(SUMPRODUCT(MAX(('Agences &amp; Après-vente'!$A$2:$A$1000=$A381)*(('Agences &amp; Après-vente'!$D$2:$D$1000="Après-vente")+('Agences &amp; Après-vente'!$D$2:$D$1000="Agences et Après-vente"))*'Agences &amp; Après-vente'!$E$2:$E$1000)),"yyyy-mm-dd"),""))))))</f>
        <v/>
      </c>
      <c r="K381" s="131" t="str">
        <f aca="false">IF($U381="✓","✓",IF(ISNUMBER($U381),TEXT($U381,"yyyy-mm-dd"),IF($D381="Lisbonne","",IF($A381="","",IF(SUMPRODUCT((Evermont!$A$2:$A$1000=$A381)*(Evermont!$Q$2:$Q$1000="Terminé"))&gt;0,"✓",IF(SUMPRODUCT(MAX((Evermont!$A$2:$A$1000=$A381)*Evermont!$F$2:$F$1000))&gt;0,TEXT(SUMPRODUCT(MAX((Evermont!$A$2:$A$1000=$A381)*Evermont!$F$2:$F$1000)),"yyyy-mm-dd"),""))))))</f>
        <v/>
      </c>
      <c r="L381" s="131" t="str">
        <f aca="false">IF($A381="","",COUNTIF(E381:K381,"✓"))</f>
        <v/>
      </c>
      <c r="M381" s="131" t="str">
        <f aca="false">IF(B381="","","Active")</f>
        <v/>
      </c>
      <c r="W381" s="120" t="str">
        <f aca="false">IF($A381="","",IF($X381&lt;&gt;"",$X381,IFERROR(INDEX('Formation Initiale'!$B$2:$B$999,MATCH($A381,'Formation Initiale'!$A$2:$A$999,0)),"Général")))</f>
        <v/>
      </c>
    </row>
    <row r="382" customFormat="false" ht="15" hidden="true" customHeight="true" outlineLevel="0" collapsed="false">
      <c r="A382" s="142" t="str">
        <f aca="false">IF(B382="","","TR"&amp;TEXT(ROW()-1,"000"))</f>
        <v/>
      </c>
      <c r="E382" s="130" t="str">
        <f aca="false">IF($O382="✓","✓",IF(ISNUMBER($O382),TEXT($O382,"yyyy-mm-dd"),IF($A382="","",IF(SUMPRODUCT(('Formation Initiale'!$A$2:$A$999=$A382)*('Formation Initiale'!$R$2:$R$999="Terminé"))&gt;0,"✓",IF(SUMPRODUCT(MAX(('Formation Initiale'!$A$2:$A$999=$A382)*'Formation Initiale'!$G$2:$G$999))&gt;0,TEXT(SUMPRODUCT(MAX(('Formation Initiale'!$A$2:$A$999=$A382)*'Formation Initiale'!$G$2:$G$999)),"yyyy-mm-dd"),"")))))</f>
        <v/>
      </c>
      <c r="F382" s="131" t="str">
        <f aca="false">IF($P382="✓","✓",IF(ISNUMBER($P382),TEXT($P382,"yyyy-mm-dd"),IF($A382="","",IF($D382="Lisbonne","",IF(SUMPRODUCT(('Formation Initiale'!$A$2:$A$999=$A382)*('Formation Initiale'!$R$2:$R$999="Terminé"))&gt;0,"✓",IF(SUMPRODUCT(MAX(('Formation Initiale'!$A$2:$A$999=$A382)*'Formation Initiale'!$G$2:$G$999))&gt;0,TEXT(SUMPRODUCT(MAX(('Formation Initiale'!$A$2:$A$999=$A382)*'Formation Initiale'!$G$2:$G$999)),"yyyy-mm-dd"),""))))))</f>
        <v/>
      </c>
      <c r="G382" s="131" t="str">
        <f aca="false">IF($Q382="✓","✓",IF(ISNUMBER($Q382),TEXT($Q382,"yyyy-mm-dd"),IF($A382="","",IF(SUMPRODUCT(('Agences &amp; Après-vente'!$A$2:$A$1000=$A382)*(('Agences &amp; Après-vente'!$D$2:$D$1000="Agences")+('Agences &amp; Après-vente'!$D$2:$D$1000="Agences et Après-vente"))*('Agences &amp; Après-vente'!$I$2:$I$1000="DONE"))&gt;0,"✓",IF(SUMPRODUCT(MAX(('Agences &amp; Après-vente'!$A$2:$A$1000=$A382)*(('Agences &amp; Après-vente'!$D$2:$D$1000="Agences")+('Agences &amp; Après-vente'!$D$2:$D$1000="Agences et Après-vente"))*'Agences &amp; Après-vente'!$E$2:$E$1000))&gt;0,TEXT(SUMPRODUCT(MAX(('Agences &amp; Après-vente'!$A$2:$A$1000=$A382)*(('Agences &amp; Après-vente'!$D$2:$D$1000="Agences")+('Agences &amp; Après-vente'!$D$2:$D$1000="Agences et Après-vente"))*'Agences &amp; Après-vente'!$E$2:$E$1000)),"yyyy-mm-dd"),"")))))</f>
        <v/>
      </c>
      <c r="H382" s="131" t="str">
        <f aca="false">IF($R382="✓","✓",IF(ISNUMBER($R382),TEXT($R382,"yyyy-mm-dd"),IF($A382="","",IF($D382="Lisbonne","",IF(SUMPRODUCT(('Agences &amp; Après-vente'!$A$2:$A$1000=$A382)*(('Agences &amp; Après-vente'!$D$2:$D$1000="Agences")+('Agences &amp; Après-vente'!$D$2:$D$1000="Agences et Après-vente"))*('Agences &amp; Après-vente'!$I$2:$I$1000="DONE"))&gt;0,"✓",IF(SUMPRODUCT(MAX(('Agences &amp; Après-vente'!$A$2:$A$1000=$A382)*(('Agences &amp; Après-vente'!$D$2:$D$1000="Agences")+('Agences &amp; Après-vente'!$D$2:$D$1000="Agences et Après-vente"))*'Agences &amp; Après-vente'!$E$2:$E$1000))&gt;0,TEXT(SUMPRODUCT(MAX(('Agences &amp; Après-vente'!$A$2:$A$1000=$A382)*(('Agences &amp; Après-vente'!$D$2:$D$1000="Agences")+('Agences &amp; Après-vente'!$D$2:$D$1000="Agences et Après-vente"))*'Agences &amp; Après-vente'!$E$2:$E$1000)),"yyyy-mm-dd"),""))))))</f>
        <v/>
      </c>
      <c r="I382" s="131" t="str">
        <f aca="false">IF($S382="✓","✓",IF(ISNUMBER($S382),TEXT($S382,"yyyy-mm-dd"),IF($A382="","",IF(SUMPRODUCT(('Agences &amp; Après-vente'!$A$2:$A$1000=$A382)*(('Agences &amp; Après-vente'!$D$2:$D$1000="Après-vente")+('Agences &amp; Après-vente'!$D$2:$D$1000="Agences et Après-vente"))*('Agences &amp; Après-vente'!$I$2:$I$1000="DONE"))&gt;0,"✓",IF(SUMPRODUCT(MAX(('Agences &amp; Après-vente'!$A$2:$A$1000=$A382)*(('Agences &amp; Après-vente'!$D$2:$D$1000="Après-vente")+('Agences &amp; Après-vente'!$D$2:$D$1000="Agences et Après-vente"))*'Agences &amp; Après-vente'!$E$2:$E$1000))&gt;0,TEXT(SUMPRODUCT(MAX(('Agences &amp; Après-vente'!$A$2:$A$1000=$A382)*(('Agences &amp; Après-vente'!$D$2:$D$1000="Après-vente")+('Agences &amp; Après-vente'!$D$2:$D$1000="Agences et Après-vente"))*'Agences &amp; Après-vente'!$E$2:$E$1000)),"yyyy-mm-dd"),"")))))</f>
        <v/>
      </c>
      <c r="J382" s="131" t="str">
        <f aca="false">IF($T382="✓","✓",IF(ISNUMBER($T382),TEXT($T382,"yyyy-mm-dd"),IF($A382="","",IF($D382="Lisbonne","",IF(SUMPRODUCT(('Agences &amp; Après-vente'!$A$2:$A$1000=$A382)*(('Agences &amp; Après-vente'!$D$2:$D$1000="Après-vente")+('Agences &amp; Après-vente'!$D$2:$D$1000="Agences et Après-vente"))*('Agences &amp; Après-vente'!$I$2:$I$1000="DONE"))&gt;0,"✓",IF(SUMPRODUCT(MAX(('Agences &amp; Après-vente'!$A$2:$A$1000=$A382)*(('Agences &amp; Après-vente'!$D$2:$D$1000="Après-vente")+('Agences &amp; Après-vente'!$D$2:$D$1000="Agences et Après-vente"))*'Agences &amp; Après-vente'!$E$2:$E$1000))&gt;0,TEXT(SUMPRODUCT(MAX(('Agences &amp; Après-vente'!$A$2:$A$1000=$A382)*(('Agences &amp; Après-vente'!$D$2:$D$1000="Après-vente")+('Agences &amp; Après-vente'!$D$2:$D$1000="Agences et Après-vente"))*'Agences &amp; Après-vente'!$E$2:$E$1000)),"yyyy-mm-dd"),""))))))</f>
        <v/>
      </c>
      <c r="K382" s="131" t="str">
        <f aca="false">IF($U382="✓","✓",IF(ISNUMBER($U382),TEXT($U382,"yyyy-mm-dd"),IF($D382="Lisbonne","",IF($A382="","",IF(SUMPRODUCT((Evermont!$A$2:$A$1000=$A382)*(Evermont!$Q$2:$Q$1000="Terminé"))&gt;0,"✓",IF(SUMPRODUCT(MAX((Evermont!$A$2:$A$1000=$A382)*Evermont!$F$2:$F$1000))&gt;0,TEXT(SUMPRODUCT(MAX((Evermont!$A$2:$A$1000=$A382)*Evermont!$F$2:$F$1000)),"yyyy-mm-dd"),""))))))</f>
        <v/>
      </c>
      <c r="L382" s="131" t="str">
        <f aca="false">IF($A382="","",COUNTIF(E382:K382,"✓"))</f>
        <v/>
      </c>
      <c r="M382" s="131" t="str">
        <f aca="false">IF(B382="","","Active")</f>
        <v/>
      </c>
      <c r="W382" s="120" t="str">
        <f aca="false">IF($A382="","",IF($X382&lt;&gt;"",$X382,IFERROR(INDEX('Formation Initiale'!$B$2:$B$999,MATCH($A382,'Formation Initiale'!$A$2:$A$999,0)),"Général")))</f>
        <v/>
      </c>
    </row>
    <row r="383" customFormat="false" ht="15" hidden="true" customHeight="true" outlineLevel="0" collapsed="false">
      <c r="A383" s="142" t="str">
        <f aca="false">IF(B383="","","TR"&amp;TEXT(ROW()-1,"000"))</f>
        <v/>
      </c>
      <c r="E383" s="130" t="str">
        <f aca="false">IF($O383="✓","✓",IF(ISNUMBER($O383),TEXT($O383,"yyyy-mm-dd"),IF($A383="","",IF(SUMPRODUCT(('Formation Initiale'!$A$2:$A$999=$A383)*('Formation Initiale'!$R$2:$R$999="Terminé"))&gt;0,"✓",IF(SUMPRODUCT(MAX(('Formation Initiale'!$A$2:$A$999=$A383)*'Formation Initiale'!$G$2:$G$999))&gt;0,TEXT(SUMPRODUCT(MAX(('Formation Initiale'!$A$2:$A$999=$A383)*'Formation Initiale'!$G$2:$G$999)),"yyyy-mm-dd"),"")))))</f>
        <v/>
      </c>
      <c r="F383" s="131" t="str">
        <f aca="false">IF($P383="✓","✓",IF(ISNUMBER($P383),TEXT($P383,"yyyy-mm-dd"),IF($A383="","",IF($D383="Lisbonne","",IF(SUMPRODUCT(('Formation Initiale'!$A$2:$A$999=$A383)*('Formation Initiale'!$R$2:$R$999="Terminé"))&gt;0,"✓",IF(SUMPRODUCT(MAX(('Formation Initiale'!$A$2:$A$999=$A383)*'Formation Initiale'!$G$2:$G$999))&gt;0,TEXT(SUMPRODUCT(MAX(('Formation Initiale'!$A$2:$A$999=$A383)*'Formation Initiale'!$G$2:$G$999)),"yyyy-mm-dd"),""))))))</f>
        <v/>
      </c>
      <c r="G383" s="131" t="str">
        <f aca="false">IF($Q383="✓","✓",IF(ISNUMBER($Q383),TEXT($Q383,"yyyy-mm-dd"),IF($A383="","",IF(SUMPRODUCT(('Agences &amp; Après-vente'!$A$2:$A$1000=$A383)*(('Agences &amp; Après-vente'!$D$2:$D$1000="Agences")+('Agences &amp; Après-vente'!$D$2:$D$1000="Agences et Après-vente"))*('Agences &amp; Après-vente'!$I$2:$I$1000="DONE"))&gt;0,"✓",IF(SUMPRODUCT(MAX(('Agences &amp; Après-vente'!$A$2:$A$1000=$A383)*(('Agences &amp; Après-vente'!$D$2:$D$1000="Agences")+('Agences &amp; Après-vente'!$D$2:$D$1000="Agences et Après-vente"))*'Agences &amp; Après-vente'!$E$2:$E$1000))&gt;0,TEXT(SUMPRODUCT(MAX(('Agences &amp; Après-vente'!$A$2:$A$1000=$A383)*(('Agences &amp; Après-vente'!$D$2:$D$1000="Agences")+('Agences &amp; Après-vente'!$D$2:$D$1000="Agences et Après-vente"))*'Agences &amp; Après-vente'!$E$2:$E$1000)),"yyyy-mm-dd"),"")))))</f>
        <v/>
      </c>
      <c r="H383" s="131" t="str">
        <f aca="false">IF($R383="✓","✓",IF(ISNUMBER($R383),TEXT($R383,"yyyy-mm-dd"),IF($A383="","",IF($D383="Lisbonne","",IF(SUMPRODUCT(('Agences &amp; Après-vente'!$A$2:$A$1000=$A383)*(('Agences &amp; Après-vente'!$D$2:$D$1000="Agences")+('Agences &amp; Après-vente'!$D$2:$D$1000="Agences et Après-vente"))*('Agences &amp; Après-vente'!$I$2:$I$1000="DONE"))&gt;0,"✓",IF(SUMPRODUCT(MAX(('Agences &amp; Après-vente'!$A$2:$A$1000=$A383)*(('Agences &amp; Après-vente'!$D$2:$D$1000="Agences")+('Agences &amp; Après-vente'!$D$2:$D$1000="Agences et Après-vente"))*'Agences &amp; Après-vente'!$E$2:$E$1000))&gt;0,TEXT(SUMPRODUCT(MAX(('Agences &amp; Après-vente'!$A$2:$A$1000=$A383)*(('Agences &amp; Après-vente'!$D$2:$D$1000="Agences")+('Agences &amp; Après-vente'!$D$2:$D$1000="Agences et Après-vente"))*'Agences &amp; Après-vente'!$E$2:$E$1000)),"yyyy-mm-dd"),""))))))</f>
        <v/>
      </c>
      <c r="I383" s="131" t="str">
        <f aca="false">IF($S383="✓","✓",IF(ISNUMBER($S383),TEXT($S383,"yyyy-mm-dd"),IF($A383="","",IF(SUMPRODUCT(('Agences &amp; Après-vente'!$A$2:$A$1000=$A383)*(('Agences &amp; Après-vente'!$D$2:$D$1000="Après-vente")+('Agences &amp; Après-vente'!$D$2:$D$1000="Agences et Après-vente"))*('Agences &amp; Après-vente'!$I$2:$I$1000="DONE"))&gt;0,"✓",IF(SUMPRODUCT(MAX(('Agences &amp; Après-vente'!$A$2:$A$1000=$A383)*(('Agences &amp; Après-vente'!$D$2:$D$1000="Après-vente")+('Agences &amp; Après-vente'!$D$2:$D$1000="Agences et Après-vente"))*'Agences &amp; Après-vente'!$E$2:$E$1000))&gt;0,TEXT(SUMPRODUCT(MAX(('Agences &amp; Après-vente'!$A$2:$A$1000=$A383)*(('Agences &amp; Après-vente'!$D$2:$D$1000="Après-vente")+('Agences &amp; Après-vente'!$D$2:$D$1000="Agences et Après-vente"))*'Agences &amp; Après-vente'!$E$2:$E$1000)),"yyyy-mm-dd"),"")))))</f>
        <v/>
      </c>
      <c r="J383" s="131" t="str">
        <f aca="false">IF($T383="✓","✓",IF(ISNUMBER($T383),TEXT($T383,"yyyy-mm-dd"),IF($A383="","",IF($D383="Lisbonne","",IF(SUMPRODUCT(('Agences &amp; Après-vente'!$A$2:$A$1000=$A383)*(('Agences &amp; Après-vente'!$D$2:$D$1000="Après-vente")+('Agences &amp; Après-vente'!$D$2:$D$1000="Agences et Après-vente"))*('Agences &amp; Après-vente'!$I$2:$I$1000="DONE"))&gt;0,"✓",IF(SUMPRODUCT(MAX(('Agences &amp; Après-vente'!$A$2:$A$1000=$A383)*(('Agences &amp; Après-vente'!$D$2:$D$1000="Après-vente")+('Agences &amp; Après-vente'!$D$2:$D$1000="Agences et Après-vente"))*'Agences &amp; Après-vente'!$E$2:$E$1000))&gt;0,TEXT(SUMPRODUCT(MAX(('Agences &amp; Après-vente'!$A$2:$A$1000=$A383)*(('Agences &amp; Après-vente'!$D$2:$D$1000="Après-vente")+('Agences &amp; Après-vente'!$D$2:$D$1000="Agences et Après-vente"))*'Agences &amp; Après-vente'!$E$2:$E$1000)),"yyyy-mm-dd"),""))))))</f>
        <v/>
      </c>
      <c r="K383" s="131" t="str">
        <f aca="false">IF($U383="✓","✓",IF(ISNUMBER($U383),TEXT($U383,"yyyy-mm-dd"),IF($D383="Lisbonne","",IF($A383="","",IF(SUMPRODUCT((Evermont!$A$2:$A$1000=$A383)*(Evermont!$Q$2:$Q$1000="Terminé"))&gt;0,"✓",IF(SUMPRODUCT(MAX((Evermont!$A$2:$A$1000=$A383)*Evermont!$F$2:$F$1000))&gt;0,TEXT(SUMPRODUCT(MAX((Evermont!$A$2:$A$1000=$A383)*Evermont!$F$2:$F$1000)),"yyyy-mm-dd"),""))))))</f>
        <v/>
      </c>
      <c r="L383" s="131" t="str">
        <f aca="false">IF($A383="","",COUNTIF(E383:K383,"✓"))</f>
        <v/>
      </c>
      <c r="M383" s="131" t="str">
        <f aca="false">IF(B383="","","Active")</f>
        <v/>
      </c>
      <c r="W383" s="120" t="str">
        <f aca="false">IF($A383="","",IF($X383&lt;&gt;"",$X383,IFERROR(INDEX('Formation Initiale'!$B$2:$B$999,MATCH($A383,'Formation Initiale'!$A$2:$A$999,0)),"Général")))</f>
        <v/>
      </c>
    </row>
    <row r="384" customFormat="false" ht="15" hidden="true" customHeight="true" outlineLevel="0" collapsed="false">
      <c r="A384" s="142" t="str">
        <f aca="false">IF(B384="","","TR"&amp;TEXT(ROW()-1,"000"))</f>
        <v/>
      </c>
      <c r="E384" s="130" t="str">
        <f aca="false">IF($O384="✓","✓",IF(ISNUMBER($O384),TEXT($O384,"yyyy-mm-dd"),IF($A384="","",IF(SUMPRODUCT(('Formation Initiale'!$A$2:$A$999=$A384)*('Formation Initiale'!$R$2:$R$999="Terminé"))&gt;0,"✓",IF(SUMPRODUCT(MAX(('Formation Initiale'!$A$2:$A$999=$A384)*'Formation Initiale'!$G$2:$G$999))&gt;0,TEXT(SUMPRODUCT(MAX(('Formation Initiale'!$A$2:$A$999=$A384)*'Formation Initiale'!$G$2:$G$999)),"yyyy-mm-dd"),"")))))</f>
        <v/>
      </c>
      <c r="F384" s="131" t="str">
        <f aca="false">IF($P384="✓","✓",IF(ISNUMBER($P384),TEXT($P384,"yyyy-mm-dd"),IF($A384="","",IF($D384="Lisbonne","",IF(SUMPRODUCT(('Formation Initiale'!$A$2:$A$999=$A384)*('Formation Initiale'!$R$2:$R$999="Terminé"))&gt;0,"✓",IF(SUMPRODUCT(MAX(('Formation Initiale'!$A$2:$A$999=$A384)*'Formation Initiale'!$G$2:$G$999))&gt;0,TEXT(SUMPRODUCT(MAX(('Formation Initiale'!$A$2:$A$999=$A384)*'Formation Initiale'!$G$2:$G$999)),"yyyy-mm-dd"),""))))))</f>
        <v/>
      </c>
      <c r="G384" s="131" t="str">
        <f aca="false">IF($Q384="✓","✓",IF(ISNUMBER($Q384),TEXT($Q384,"yyyy-mm-dd"),IF($A384="","",IF(SUMPRODUCT(('Agences &amp; Après-vente'!$A$2:$A$1000=$A384)*(('Agences &amp; Après-vente'!$D$2:$D$1000="Agences")+('Agences &amp; Après-vente'!$D$2:$D$1000="Agences et Après-vente"))*('Agences &amp; Après-vente'!$I$2:$I$1000="DONE"))&gt;0,"✓",IF(SUMPRODUCT(MAX(('Agences &amp; Après-vente'!$A$2:$A$1000=$A384)*(('Agences &amp; Après-vente'!$D$2:$D$1000="Agences")+('Agences &amp; Après-vente'!$D$2:$D$1000="Agences et Après-vente"))*'Agences &amp; Après-vente'!$E$2:$E$1000))&gt;0,TEXT(SUMPRODUCT(MAX(('Agences &amp; Après-vente'!$A$2:$A$1000=$A384)*(('Agences &amp; Après-vente'!$D$2:$D$1000="Agences")+('Agences &amp; Après-vente'!$D$2:$D$1000="Agences et Après-vente"))*'Agences &amp; Après-vente'!$E$2:$E$1000)),"yyyy-mm-dd"),"")))))</f>
        <v/>
      </c>
      <c r="H384" s="131" t="str">
        <f aca="false">IF($R384="✓","✓",IF(ISNUMBER($R384),TEXT($R384,"yyyy-mm-dd"),IF($A384="","",IF($D384="Lisbonne","",IF(SUMPRODUCT(('Agences &amp; Après-vente'!$A$2:$A$1000=$A384)*(('Agences &amp; Après-vente'!$D$2:$D$1000="Agences")+('Agences &amp; Après-vente'!$D$2:$D$1000="Agences et Après-vente"))*('Agences &amp; Après-vente'!$I$2:$I$1000="DONE"))&gt;0,"✓",IF(SUMPRODUCT(MAX(('Agences &amp; Après-vente'!$A$2:$A$1000=$A384)*(('Agences &amp; Après-vente'!$D$2:$D$1000="Agences")+('Agences &amp; Après-vente'!$D$2:$D$1000="Agences et Après-vente"))*'Agences &amp; Après-vente'!$E$2:$E$1000))&gt;0,TEXT(SUMPRODUCT(MAX(('Agences &amp; Après-vente'!$A$2:$A$1000=$A384)*(('Agences &amp; Après-vente'!$D$2:$D$1000="Agences")+('Agences &amp; Après-vente'!$D$2:$D$1000="Agences et Après-vente"))*'Agences &amp; Après-vente'!$E$2:$E$1000)),"yyyy-mm-dd"),""))))))</f>
        <v/>
      </c>
      <c r="I384" s="131" t="str">
        <f aca="false">IF($S384="✓","✓",IF(ISNUMBER($S384),TEXT($S384,"yyyy-mm-dd"),IF($A384="","",IF(SUMPRODUCT(('Agences &amp; Après-vente'!$A$2:$A$1000=$A384)*(('Agences &amp; Après-vente'!$D$2:$D$1000="Après-vente")+('Agences &amp; Après-vente'!$D$2:$D$1000="Agences et Après-vente"))*('Agences &amp; Après-vente'!$I$2:$I$1000="DONE"))&gt;0,"✓",IF(SUMPRODUCT(MAX(('Agences &amp; Après-vente'!$A$2:$A$1000=$A384)*(('Agences &amp; Après-vente'!$D$2:$D$1000="Après-vente")+('Agences &amp; Après-vente'!$D$2:$D$1000="Agences et Après-vente"))*'Agences &amp; Après-vente'!$E$2:$E$1000))&gt;0,TEXT(SUMPRODUCT(MAX(('Agences &amp; Après-vente'!$A$2:$A$1000=$A384)*(('Agences &amp; Après-vente'!$D$2:$D$1000="Après-vente")+('Agences &amp; Après-vente'!$D$2:$D$1000="Agences et Après-vente"))*'Agences &amp; Après-vente'!$E$2:$E$1000)),"yyyy-mm-dd"),"")))))</f>
        <v/>
      </c>
      <c r="J384" s="131" t="str">
        <f aca="false">IF($T384="✓","✓",IF(ISNUMBER($T384),TEXT($T384,"yyyy-mm-dd"),IF($A384="","",IF($D384="Lisbonne","",IF(SUMPRODUCT(('Agences &amp; Après-vente'!$A$2:$A$1000=$A384)*(('Agences &amp; Après-vente'!$D$2:$D$1000="Après-vente")+('Agences &amp; Après-vente'!$D$2:$D$1000="Agences et Après-vente"))*('Agences &amp; Après-vente'!$I$2:$I$1000="DONE"))&gt;0,"✓",IF(SUMPRODUCT(MAX(('Agences &amp; Après-vente'!$A$2:$A$1000=$A384)*(('Agences &amp; Après-vente'!$D$2:$D$1000="Après-vente")+('Agences &amp; Après-vente'!$D$2:$D$1000="Agences et Après-vente"))*'Agences &amp; Après-vente'!$E$2:$E$1000))&gt;0,TEXT(SUMPRODUCT(MAX(('Agences &amp; Après-vente'!$A$2:$A$1000=$A384)*(('Agences &amp; Après-vente'!$D$2:$D$1000="Après-vente")+('Agences &amp; Après-vente'!$D$2:$D$1000="Agences et Après-vente"))*'Agences &amp; Après-vente'!$E$2:$E$1000)),"yyyy-mm-dd"),""))))))</f>
        <v/>
      </c>
      <c r="K384" s="131" t="str">
        <f aca="false">IF($U384="✓","✓",IF(ISNUMBER($U384),TEXT($U384,"yyyy-mm-dd"),IF($D384="Lisbonne","",IF($A384="","",IF(SUMPRODUCT((Evermont!$A$2:$A$1000=$A384)*(Evermont!$Q$2:$Q$1000="Terminé"))&gt;0,"✓",IF(SUMPRODUCT(MAX((Evermont!$A$2:$A$1000=$A384)*Evermont!$F$2:$F$1000))&gt;0,TEXT(SUMPRODUCT(MAX((Evermont!$A$2:$A$1000=$A384)*Evermont!$F$2:$F$1000)),"yyyy-mm-dd"),""))))))</f>
        <v/>
      </c>
      <c r="L384" s="131" t="str">
        <f aca="false">IF($A384="","",COUNTIF(E384:K384,"✓"))</f>
        <v/>
      </c>
      <c r="M384" s="131" t="str">
        <f aca="false">IF(B384="","","Active")</f>
        <v/>
      </c>
      <c r="W384" s="120" t="str">
        <f aca="false">IF($A384="","",IF($X384&lt;&gt;"",$X384,IFERROR(INDEX('Formation Initiale'!$B$2:$B$999,MATCH($A384,'Formation Initiale'!$A$2:$A$999,0)),"Général")))</f>
        <v/>
      </c>
    </row>
    <row r="385" customFormat="false" ht="15" hidden="true" customHeight="true" outlineLevel="0" collapsed="false">
      <c r="A385" s="142" t="str">
        <f aca="false">IF(B385="","","TR"&amp;TEXT(ROW()-1,"000"))</f>
        <v/>
      </c>
      <c r="E385" s="130" t="str">
        <f aca="false">IF($O385="✓","✓",IF(ISNUMBER($O385),TEXT($O385,"yyyy-mm-dd"),IF($A385="","",IF(SUMPRODUCT(('Formation Initiale'!$A$2:$A$999=$A385)*('Formation Initiale'!$R$2:$R$999="Terminé"))&gt;0,"✓",IF(SUMPRODUCT(MAX(('Formation Initiale'!$A$2:$A$999=$A385)*'Formation Initiale'!$G$2:$G$999))&gt;0,TEXT(SUMPRODUCT(MAX(('Formation Initiale'!$A$2:$A$999=$A385)*'Formation Initiale'!$G$2:$G$999)),"yyyy-mm-dd"),"")))))</f>
        <v/>
      </c>
      <c r="F385" s="131" t="str">
        <f aca="false">IF($P385="✓","✓",IF(ISNUMBER($P385),TEXT($P385,"yyyy-mm-dd"),IF($A385="","",IF($D385="Lisbonne","",IF(SUMPRODUCT(('Formation Initiale'!$A$2:$A$999=$A385)*('Formation Initiale'!$R$2:$R$999="Terminé"))&gt;0,"✓",IF(SUMPRODUCT(MAX(('Formation Initiale'!$A$2:$A$999=$A385)*'Formation Initiale'!$G$2:$G$999))&gt;0,TEXT(SUMPRODUCT(MAX(('Formation Initiale'!$A$2:$A$999=$A385)*'Formation Initiale'!$G$2:$G$999)),"yyyy-mm-dd"),""))))))</f>
        <v/>
      </c>
      <c r="G385" s="131" t="str">
        <f aca="false">IF($Q385="✓","✓",IF(ISNUMBER($Q385),TEXT($Q385,"yyyy-mm-dd"),IF($A385="","",IF(SUMPRODUCT(('Agences &amp; Après-vente'!$A$2:$A$1000=$A385)*(('Agences &amp; Après-vente'!$D$2:$D$1000="Agences")+('Agences &amp; Après-vente'!$D$2:$D$1000="Agences et Après-vente"))*('Agences &amp; Après-vente'!$I$2:$I$1000="DONE"))&gt;0,"✓",IF(SUMPRODUCT(MAX(('Agences &amp; Après-vente'!$A$2:$A$1000=$A385)*(('Agences &amp; Après-vente'!$D$2:$D$1000="Agences")+('Agences &amp; Après-vente'!$D$2:$D$1000="Agences et Après-vente"))*'Agences &amp; Après-vente'!$E$2:$E$1000))&gt;0,TEXT(SUMPRODUCT(MAX(('Agences &amp; Après-vente'!$A$2:$A$1000=$A385)*(('Agences &amp; Après-vente'!$D$2:$D$1000="Agences")+('Agences &amp; Après-vente'!$D$2:$D$1000="Agences et Après-vente"))*'Agences &amp; Après-vente'!$E$2:$E$1000)),"yyyy-mm-dd"),"")))))</f>
        <v/>
      </c>
      <c r="H385" s="131" t="str">
        <f aca="false">IF($R385="✓","✓",IF(ISNUMBER($R385),TEXT($R385,"yyyy-mm-dd"),IF($A385="","",IF($D385="Lisbonne","",IF(SUMPRODUCT(('Agences &amp; Après-vente'!$A$2:$A$1000=$A385)*(('Agences &amp; Après-vente'!$D$2:$D$1000="Agences")+('Agences &amp; Après-vente'!$D$2:$D$1000="Agences et Après-vente"))*('Agences &amp; Après-vente'!$I$2:$I$1000="DONE"))&gt;0,"✓",IF(SUMPRODUCT(MAX(('Agences &amp; Après-vente'!$A$2:$A$1000=$A385)*(('Agences &amp; Après-vente'!$D$2:$D$1000="Agences")+('Agences &amp; Après-vente'!$D$2:$D$1000="Agences et Après-vente"))*'Agences &amp; Après-vente'!$E$2:$E$1000))&gt;0,TEXT(SUMPRODUCT(MAX(('Agences &amp; Après-vente'!$A$2:$A$1000=$A385)*(('Agences &amp; Après-vente'!$D$2:$D$1000="Agences")+('Agences &amp; Après-vente'!$D$2:$D$1000="Agences et Après-vente"))*'Agences &amp; Après-vente'!$E$2:$E$1000)),"yyyy-mm-dd"),""))))))</f>
        <v/>
      </c>
      <c r="I385" s="131" t="str">
        <f aca="false">IF($S385="✓","✓",IF(ISNUMBER($S385),TEXT($S385,"yyyy-mm-dd"),IF($A385="","",IF(SUMPRODUCT(('Agences &amp; Après-vente'!$A$2:$A$1000=$A385)*(('Agences &amp; Après-vente'!$D$2:$D$1000="Après-vente")+('Agences &amp; Après-vente'!$D$2:$D$1000="Agences et Après-vente"))*('Agences &amp; Après-vente'!$I$2:$I$1000="DONE"))&gt;0,"✓",IF(SUMPRODUCT(MAX(('Agences &amp; Après-vente'!$A$2:$A$1000=$A385)*(('Agences &amp; Après-vente'!$D$2:$D$1000="Après-vente")+('Agences &amp; Après-vente'!$D$2:$D$1000="Agences et Après-vente"))*'Agences &amp; Après-vente'!$E$2:$E$1000))&gt;0,TEXT(SUMPRODUCT(MAX(('Agences &amp; Après-vente'!$A$2:$A$1000=$A385)*(('Agences &amp; Après-vente'!$D$2:$D$1000="Après-vente")+('Agences &amp; Après-vente'!$D$2:$D$1000="Agences et Après-vente"))*'Agences &amp; Après-vente'!$E$2:$E$1000)),"yyyy-mm-dd"),"")))))</f>
        <v/>
      </c>
      <c r="J385" s="131" t="str">
        <f aca="false">IF($T385="✓","✓",IF(ISNUMBER($T385),TEXT($T385,"yyyy-mm-dd"),IF($A385="","",IF($D385="Lisbonne","",IF(SUMPRODUCT(('Agences &amp; Après-vente'!$A$2:$A$1000=$A385)*(('Agences &amp; Après-vente'!$D$2:$D$1000="Après-vente")+('Agences &amp; Après-vente'!$D$2:$D$1000="Agences et Après-vente"))*('Agences &amp; Après-vente'!$I$2:$I$1000="DONE"))&gt;0,"✓",IF(SUMPRODUCT(MAX(('Agences &amp; Après-vente'!$A$2:$A$1000=$A385)*(('Agences &amp; Après-vente'!$D$2:$D$1000="Après-vente")+('Agences &amp; Après-vente'!$D$2:$D$1000="Agences et Après-vente"))*'Agences &amp; Après-vente'!$E$2:$E$1000))&gt;0,TEXT(SUMPRODUCT(MAX(('Agences &amp; Après-vente'!$A$2:$A$1000=$A385)*(('Agences &amp; Après-vente'!$D$2:$D$1000="Après-vente")+('Agences &amp; Après-vente'!$D$2:$D$1000="Agences et Après-vente"))*'Agences &amp; Après-vente'!$E$2:$E$1000)),"yyyy-mm-dd"),""))))))</f>
        <v/>
      </c>
      <c r="K385" s="131" t="str">
        <f aca="false">IF($U385="✓","✓",IF(ISNUMBER($U385),TEXT($U385,"yyyy-mm-dd"),IF($D385="Lisbonne","",IF($A385="","",IF(SUMPRODUCT((Evermont!$A$2:$A$1000=$A385)*(Evermont!$Q$2:$Q$1000="Terminé"))&gt;0,"✓",IF(SUMPRODUCT(MAX((Evermont!$A$2:$A$1000=$A385)*Evermont!$F$2:$F$1000))&gt;0,TEXT(SUMPRODUCT(MAX((Evermont!$A$2:$A$1000=$A385)*Evermont!$F$2:$F$1000)),"yyyy-mm-dd"),""))))))</f>
        <v/>
      </c>
      <c r="L385" s="131" t="str">
        <f aca="false">IF($A385="","",COUNTIF(E385:K385,"✓"))</f>
        <v/>
      </c>
      <c r="M385" s="131" t="str">
        <f aca="false">IF(B385="","","Active")</f>
        <v/>
      </c>
      <c r="W385" s="120" t="str">
        <f aca="false">IF($A385="","",IF($X385&lt;&gt;"",$X385,IFERROR(INDEX('Formation Initiale'!$B$2:$B$999,MATCH($A385,'Formation Initiale'!$A$2:$A$999,0)),"Général")))</f>
        <v/>
      </c>
    </row>
    <row r="386" customFormat="false" ht="15" hidden="true" customHeight="true" outlineLevel="0" collapsed="false">
      <c r="A386" s="142" t="str">
        <f aca="false">IF(B386="","","TR"&amp;TEXT(ROW()-1,"000"))</f>
        <v/>
      </c>
      <c r="E386" s="130" t="str">
        <f aca="false">IF($O386="✓","✓",IF(ISNUMBER($O386),TEXT($O386,"yyyy-mm-dd"),IF($A386="","",IF(SUMPRODUCT(('Formation Initiale'!$A$2:$A$999=$A386)*('Formation Initiale'!$R$2:$R$999="Terminé"))&gt;0,"✓",IF(SUMPRODUCT(MAX(('Formation Initiale'!$A$2:$A$999=$A386)*'Formation Initiale'!$G$2:$G$999))&gt;0,TEXT(SUMPRODUCT(MAX(('Formation Initiale'!$A$2:$A$999=$A386)*'Formation Initiale'!$G$2:$G$999)),"yyyy-mm-dd"),"")))))</f>
        <v/>
      </c>
      <c r="F386" s="131" t="str">
        <f aca="false">IF($P386="✓","✓",IF(ISNUMBER($P386),TEXT($P386,"yyyy-mm-dd"),IF($A386="","",IF($D386="Lisbonne","",IF(SUMPRODUCT(('Formation Initiale'!$A$2:$A$999=$A386)*('Formation Initiale'!$R$2:$R$999="Terminé"))&gt;0,"✓",IF(SUMPRODUCT(MAX(('Formation Initiale'!$A$2:$A$999=$A386)*'Formation Initiale'!$G$2:$G$999))&gt;0,TEXT(SUMPRODUCT(MAX(('Formation Initiale'!$A$2:$A$999=$A386)*'Formation Initiale'!$G$2:$G$999)),"yyyy-mm-dd"),""))))))</f>
        <v/>
      </c>
      <c r="G386" s="131" t="str">
        <f aca="false">IF($Q386="✓","✓",IF(ISNUMBER($Q386),TEXT($Q386,"yyyy-mm-dd"),IF($A386="","",IF(SUMPRODUCT(('Agences &amp; Après-vente'!$A$2:$A$1000=$A386)*(('Agences &amp; Après-vente'!$D$2:$D$1000="Agences")+('Agences &amp; Après-vente'!$D$2:$D$1000="Agences et Après-vente"))*('Agences &amp; Après-vente'!$I$2:$I$1000="DONE"))&gt;0,"✓",IF(SUMPRODUCT(MAX(('Agences &amp; Après-vente'!$A$2:$A$1000=$A386)*(('Agences &amp; Après-vente'!$D$2:$D$1000="Agences")+('Agences &amp; Après-vente'!$D$2:$D$1000="Agences et Après-vente"))*'Agences &amp; Après-vente'!$E$2:$E$1000))&gt;0,TEXT(SUMPRODUCT(MAX(('Agences &amp; Après-vente'!$A$2:$A$1000=$A386)*(('Agences &amp; Après-vente'!$D$2:$D$1000="Agences")+('Agences &amp; Après-vente'!$D$2:$D$1000="Agences et Après-vente"))*'Agences &amp; Après-vente'!$E$2:$E$1000)),"yyyy-mm-dd"),"")))))</f>
        <v/>
      </c>
      <c r="H386" s="131" t="str">
        <f aca="false">IF($R386="✓","✓",IF(ISNUMBER($R386),TEXT($R386,"yyyy-mm-dd"),IF($A386="","",IF($D386="Lisbonne","",IF(SUMPRODUCT(('Agences &amp; Après-vente'!$A$2:$A$1000=$A386)*(('Agences &amp; Après-vente'!$D$2:$D$1000="Agences")+('Agences &amp; Après-vente'!$D$2:$D$1000="Agences et Après-vente"))*('Agences &amp; Après-vente'!$I$2:$I$1000="DONE"))&gt;0,"✓",IF(SUMPRODUCT(MAX(('Agences &amp; Après-vente'!$A$2:$A$1000=$A386)*(('Agences &amp; Après-vente'!$D$2:$D$1000="Agences")+('Agences &amp; Après-vente'!$D$2:$D$1000="Agences et Après-vente"))*'Agences &amp; Après-vente'!$E$2:$E$1000))&gt;0,TEXT(SUMPRODUCT(MAX(('Agences &amp; Après-vente'!$A$2:$A$1000=$A386)*(('Agences &amp; Après-vente'!$D$2:$D$1000="Agences")+('Agences &amp; Après-vente'!$D$2:$D$1000="Agences et Après-vente"))*'Agences &amp; Après-vente'!$E$2:$E$1000)),"yyyy-mm-dd"),""))))))</f>
        <v/>
      </c>
      <c r="I386" s="131" t="str">
        <f aca="false">IF($S386="✓","✓",IF(ISNUMBER($S386),TEXT($S386,"yyyy-mm-dd"),IF($A386="","",IF(SUMPRODUCT(('Agences &amp; Après-vente'!$A$2:$A$1000=$A386)*(('Agences &amp; Après-vente'!$D$2:$D$1000="Après-vente")+('Agences &amp; Après-vente'!$D$2:$D$1000="Agences et Après-vente"))*('Agences &amp; Après-vente'!$I$2:$I$1000="DONE"))&gt;0,"✓",IF(SUMPRODUCT(MAX(('Agences &amp; Après-vente'!$A$2:$A$1000=$A386)*(('Agences &amp; Après-vente'!$D$2:$D$1000="Après-vente")+('Agences &amp; Après-vente'!$D$2:$D$1000="Agences et Après-vente"))*'Agences &amp; Après-vente'!$E$2:$E$1000))&gt;0,TEXT(SUMPRODUCT(MAX(('Agences &amp; Après-vente'!$A$2:$A$1000=$A386)*(('Agences &amp; Après-vente'!$D$2:$D$1000="Après-vente")+('Agences &amp; Après-vente'!$D$2:$D$1000="Agences et Après-vente"))*'Agences &amp; Après-vente'!$E$2:$E$1000)),"yyyy-mm-dd"),"")))))</f>
        <v/>
      </c>
      <c r="J386" s="131" t="str">
        <f aca="false">IF($T386="✓","✓",IF(ISNUMBER($T386),TEXT($T386,"yyyy-mm-dd"),IF($A386="","",IF($D386="Lisbonne","",IF(SUMPRODUCT(('Agences &amp; Après-vente'!$A$2:$A$1000=$A386)*(('Agences &amp; Après-vente'!$D$2:$D$1000="Après-vente")+('Agences &amp; Après-vente'!$D$2:$D$1000="Agences et Après-vente"))*('Agences &amp; Après-vente'!$I$2:$I$1000="DONE"))&gt;0,"✓",IF(SUMPRODUCT(MAX(('Agences &amp; Après-vente'!$A$2:$A$1000=$A386)*(('Agences &amp; Après-vente'!$D$2:$D$1000="Après-vente")+('Agences &amp; Après-vente'!$D$2:$D$1000="Agences et Après-vente"))*'Agences &amp; Après-vente'!$E$2:$E$1000))&gt;0,TEXT(SUMPRODUCT(MAX(('Agences &amp; Après-vente'!$A$2:$A$1000=$A386)*(('Agences &amp; Après-vente'!$D$2:$D$1000="Après-vente")+('Agences &amp; Après-vente'!$D$2:$D$1000="Agences et Après-vente"))*'Agences &amp; Après-vente'!$E$2:$E$1000)),"yyyy-mm-dd"),""))))))</f>
        <v/>
      </c>
      <c r="K386" s="131" t="str">
        <f aca="false">IF($U386="✓","✓",IF(ISNUMBER($U386),TEXT($U386,"yyyy-mm-dd"),IF($D386="Lisbonne","",IF($A386="","",IF(SUMPRODUCT((Evermont!$A$2:$A$1000=$A386)*(Evermont!$Q$2:$Q$1000="Terminé"))&gt;0,"✓",IF(SUMPRODUCT(MAX((Evermont!$A$2:$A$1000=$A386)*Evermont!$F$2:$F$1000))&gt;0,TEXT(SUMPRODUCT(MAX((Evermont!$A$2:$A$1000=$A386)*Evermont!$F$2:$F$1000)),"yyyy-mm-dd"),""))))))</f>
        <v/>
      </c>
      <c r="L386" s="131" t="str">
        <f aca="false">IF($A386="","",COUNTIF(E386:K386,"✓"))</f>
        <v/>
      </c>
      <c r="M386" s="131" t="str">
        <f aca="false">IF(B386="","","Active")</f>
        <v/>
      </c>
      <c r="W386" s="120" t="str">
        <f aca="false">IF($A386="","",IF($X386&lt;&gt;"",$X386,IFERROR(INDEX('Formation Initiale'!$B$2:$B$999,MATCH($A386,'Formation Initiale'!$A$2:$A$999,0)),"Général")))</f>
        <v/>
      </c>
    </row>
    <row r="387" customFormat="false" ht="15" hidden="true" customHeight="true" outlineLevel="0" collapsed="false">
      <c r="A387" s="142" t="str">
        <f aca="false">IF(B387="","","TR"&amp;TEXT(ROW()-1,"000"))</f>
        <v/>
      </c>
      <c r="E387" s="130" t="str">
        <f aca="false">IF($O387="✓","✓",IF(ISNUMBER($O387),TEXT($O387,"yyyy-mm-dd"),IF($A387="","",IF(SUMPRODUCT(('Formation Initiale'!$A$2:$A$999=$A387)*('Formation Initiale'!$R$2:$R$999="Terminé"))&gt;0,"✓",IF(SUMPRODUCT(MAX(('Formation Initiale'!$A$2:$A$999=$A387)*'Formation Initiale'!$G$2:$G$999))&gt;0,TEXT(SUMPRODUCT(MAX(('Formation Initiale'!$A$2:$A$999=$A387)*'Formation Initiale'!$G$2:$G$999)),"yyyy-mm-dd"),"")))))</f>
        <v/>
      </c>
      <c r="F387" s="131" t="str">
        <f aca="false">IF($P387="✓","✓",IF(ISNUMBER($P387),TEXT($P387,"yyyy-mm-dd"),IF($A387="","",IF($D387="Lisbonne","",IF(SUMPRODUCT(('Formation Initiale'!$A$2:$A$999=$A387)*('Formation Initiale'!$R$2:$R$999="Terminé"))&gt;0,"✓",IF(SUMPRODUCT(MAX(('Formation Initiale'!$A$2:$A$999=$A387)*'Formation Initiale'!$G$2:$G$999))&gt;0,TEXT(SUMPRODUCT(MAX(('Formation Initiale'!$A$2:$A$999=$A387)*'Formation Initiale'!$G$2:$G$999)),"yyyy-mm-dd"),""))))))</f>
        <v/>
      </c>
      <c r="G387" s="131" t="str">
        <f aca="false">IF($Q387="✓","✓",IF(ISNUMBER($Q387),TEXT($Q387,"yyyy-mm-dd"),IF($A387="","",IF(SUMPRODUCT(('Agences &amp; Après-vente'!$A$2:$A$1000=$A387)*(('Agences &amp; Après-vente'!$D$2:$D$1000="Agences")+('Agences &amp; Après-vente'!$D$2:$D$1000="Agences et Après-vente"))*('Agences &amp; Après-vente'!$I$2:$I$1000="DONE"))&gt;0,"✓",IF(SUMPRODUCT(MAX(('Agences &amp; Après-vente'!$A$2:$A$1000=$A387)*(('Agences &amp; Après-vente'!$D$2:$D$1000="Agences")+('Agences &amp; Après-vente'!$D$2:$D$1000="Agences et Après-vente"))*'Agences &amp; Après-vente'!$E$2:$E$1000))&gt;0,TEXT(SUMPRODUCT(MAX(('Agences &amp; Après-vente'!$A$2:$A$1000=$A387)*(('Agences &amp; Après-vente'!$D$2:$D$1000="Agences")+('Agences &amp; Après-vente'!$D$2:$D$1000="Agences et Après-vente"))*'Agences &amp; Après-vente'!$E$2:$E$1000)),"yyyy-mm-dd"),"")))))</f>
        <v/>
      </c>
      <c r="H387" s="131" t="str">
        <f aca="false">IF($R387="✓","✓",IF(ISNUMBER($R387),TEXT($R387,"yyyy-mm-dd"),IF($A387="","",IF($D387="Lisbonne","",IF(SUMPRODUCT(('Agences &amp; Après-vente'!$A$2:$A$1000=$A387)*(('Agences &amp; Après-vente'!$D$2:$D$1000="Agences")+('Agences &amp; Après-vente'!$D$2:$D$1000="Agences et Après-vente"))*('Agences &amp; Après-vente'!$I$2:$I$1000="DONE"))&gt;0,"✓",IF(SUMPRODUCT(MAX(('Agences &amp; Après-vente'!$A$2:$A$1000=$A387)*(('Agences &amp; Après-vente'!$D$2:$D$1000="Agences")+('Agences &amp; Après-vente'!$D$2:$D$1000="Agences et Après-vente"))*'Agences &amp; Après-vente'!$E$2:$E$1000))&gt;0,TEXT(SUMPRODUCT(MAX(('Agences &amp; Après-vente'!$A$2:$A$1000=$A387)*(('Agences &amp; Après-vente'!$D$2:$D$1000="Agences")+('Agences &amp; Après-vente'!$D$2:$D$1000="Agences et Après-vente"))*'Agences &amp; Après-vente'!$E$2:$E$1000)),"yyyy-mm-dd"),""))))))</f>
        <v/>
      </c>
      <c r="I387" s="131" t="str">
        <f aca="false">IF($S387="✓","✓",IF(ISNUMBER($S387),TEXT($S387,"yyyy-mm-dd"),IF($A387="","",IF(SUMPRODUCT(('Agences &amp; Après-vente'!$A$2:$A$1000=$A387)*(('Agences &amp; Après-vente'!$D$2:$D$1000="Après-vente")+('Agences &amp; Après-vente'!$D$2:$D$1000="Agences et Après-vente"))*('Agences &amp; Après-vente'!$I$2:$I$1000="DONE"))&gt;0,"✓",IF(SUMPRODUCT(MAX(('Agences &amp; Après-vente'!$A$2:$A$1000=$A387)*(('Agences &amp; Après-vente'!$D$2:$D$1000="Après-vente")+('Agences &amp; Après-vente'!$D$2:$D$1000="Agences et Après-vente"))*'Agences &amp; Après-vente'!$E$2:$E$1000))&gt;0,TEXT(SUMPRODUCT(MAX(('Agences &amp; Après-vente'!$A$2:$A$1000=$A387)*(('Agences &amp; Après-vente'!$D$2:$D$1000="Après-vente")+('Agences &amp; Après-vente'!$D$2:$D$1000="Agences et Après-vente"))*'Agences &amp; Après-vente'!$E$2:$E$1000)),"yyyy-mm-dd"),"")))))</f>
        <v/>
      </c>
      <c r="J387" s="131" t="str">
        <f aca="false">IF($T387="✓","✓",IF(ISNUMBER($T387),TEXT($T387,"yyyy-mm-dd"),IF($A387="","",IF($D387="Lisbonne","",IF(SUMPRODUCT(('Agences &amp; Après-vente'!$A$2:$A$1000=$A387)*(('Agences &amp; Après-vente'!$D$2:$D$1000="Après-vente")+('Agences &amp; Après-vente'!$D$2:$D$1000="Agences et Après-vente"))*('Agences &amp; Après-vente'!$I$2:$I$1000="DONE"))&gt;0,"✓",IF(SUMPRODUCT(MAX(('Agences &amp; Après-vente'!$A$2:$A$1000=$A387)*(('Agences &amp; Après-vente'!$D$2:$D$1000="Après-vente")+('Agences &amp; Après-vente'!$D$2:$D$1000="Agences et Après-vente"))*'Agences &amp; Après-vente'!$E$2:$E$1000))&gt;0,TEXT(SUMPRODUCT(MAX(('Agences &amp; Après-vente'!$A$2:$A$1000=$A387)*(('Agences &amp; Après-vente'!$D$2:$D$1000="Après-vente")+('Agences &amp; Après-vente'!$D$2:$D$1000="Agences et Après-vente"))*'Agences &amp; Après-vente'!$E$2:$E$1000)),"yyyy-mm-dd"),""))))))</f>
        <v/>
      </c>
      <c r="K387" s="131" t="str">
        <f aca="false">IF($U387="✓","✓",IF(ISNUMBER($U387),TEXT($U387,"yyyy-mm-dd"),IF($D387="Lisbonne","",IF($A387="","",IF(SUMPRODUCT((Evermont!$A$2:$A$1000=$A387)*(Evermont!$Q$2:$Q$1000="Terminé"))&gt;0,"✓",IF(SUMPRODUCT(MAX((Evermont!$A$2:$A$1000=$A387)*Evermont!$F$2:$F$1000))&gt;0,TEXT(SUMPRODUCT(MAX((Evermont!$A$2:$A$1000=$A387)*Evermont!$F$2:$F$1000)),"yyyy-mm-dd"),""))))))</f>
        <v/>
      </c>
      <c r="L387" s="131" t="str">
        <f aca="false">IF($A387="","",COUNTIF(E387:K387,"✓"))</f>
        <v/>
      </c>
      <c r="M387" s="131" t="str">
        <f aca="false">IF(B387="","","Active")</f>
        <v/>
      </c>
      <c r="W387" s="120" t="str">
        <f aca="false">IF($A387="","",IF($X387&lt;&gt;"",$X387,IFERROR(INDEX('Formation Initiale'!$B$2:$B$999,MATCH($A387,'Formation Initiale'!$A$2:$A$999,0)),"Général")))</f>
        <v/>
      </c>
    </row>
    <row r="388" customFormat="false" ht="15" hidden="true" customHeight="true" outlineLevel="0" collapsed="false">
      <c r="A388" s="142" t="str">
        <f aca="false">IF(B388="","","TR"&amp;TEXT(ROW()-1,"000"))</f>
        <v/>
      </c>
      <c r="E388" s="130" t="str">
        <f aca="false">IF($O388="✓","✓",IF(ISNUMBER($O388),TEXT($O388,"yyyy-mm-dd"),IF($A388="","",IF(SUMPRODUCT(('Formation Initiale'!$A$2:$A$999=$A388)*('Formation Initiale'!$R$2:$R$999="Terminé"))&gt;0,"✓",IF(SUMPRODUCT(MAX(('Formation Initiale'!$A$2:$A$999=$A388)*'Formation Initiale'!$G$2:$G$999))&gt;0,TEXT(SUMPRODUCT(MAX(('Formation Initiale'!$A$2:$A$999=$A388)*'Formation Initiale'!$G$2:$G$999)),"yyyy-mm-dd"),"")))))</f>
        <v/>
      </c>
      <c r="F388" s="131" t="str">
        <f aca="false">IF($P388="✓","✓",IF(ISNUMBER($P388),TEXT($P388,"yyyy-mm-dd"),IF($A388="","",IF($D388="Lisbonne","",IF(SUMPRODUCT(('Formation Initiale'!$A$2:$A$999=$A388)*('Formation Initiale'!$R$2:$R$999="Terminé"))&gt;0,"✓",IF(SUMPRODUCT(MAX(('Formation Initiale'!$A$2:$A$999=$A388)*'Formation Initiale'!$G$2:$G$999))&gt;0,TEXT(SUMPRODUCT(MAX(('Formation Initiale'!$A$2:$A$999=$A388)*'Formation Initiale'!$G$2:$G$999)),"yyyy-mm-dd"),""))))))</f>
        <v/>
      </c>
      <c r="G388" s="131" t="str">
        <f aca="false">IF($Q388="✓","✓",IF(ISNUMBER($Q388),TEXT($Q388,"yyyy-mm-dd"),IF($A388="","",IF(SUMPRODUCT(('Agences &amp; Après-vente'!$A$2:$A$1000=$A388)*(('Agences &amp; Après-vente'!$D$2:$D$1000="Agences")+('Agences &amp; Après-vente'!$D$2:$D$1000="Agences et Après-vente"))*('Agences &amp; Après-vente'!$I$2:$I$1000="DONE"))&gt;0,"✓",IF(SUMPRODUCT(MAX(('Agences &amp; Après-vente'!$A$2:$A$1000=$A388)*(('Agences &amp; Après-vente'!$D$2:$D$1000="Agences")+('Agences &amp; Après-vente'!$D$2:$D$1000="Agences et Après-vente"))*'Agences &amp; Après-vente'!$E$2:$E$1000))&gt;0,TEXT(SUMPRODUCT(MAX(('Agences &amp; Après-vente'!$A$2:$A$1000=$A388)*(('Agences &amp; Après-vente'!$D$2:$D$1000="Agences")+('Agences &amp; Après-vente'!$D$2:$D$1000="Agences et Après-vente"))*'Agences &amp; Après-vente'!$E$2:$E$1000)),"yyyy-mm-dd"),"")))))</f>
        <v/>
      </c>
      <c r="H388" s="131" t="str">
        <f aca="false">IF($R388="✓","✓",IF(ISNUMBER($R388),TEXT($R388,"yyyy-mm-dd"),IF($A388="","",IF($D388="Lisbonne","",IF(SUMPRODUCT(('Agences &amp; Après-vente'!$A$2:$A$1000=$A388)*(('Agences &amp; Après-vente'!$D$2:$D$1000="Agences")+('Agences &amp; Après-vente'!$D$2:$D$1000="Agences et Après-vente"))*('Agences &amp; Après-vente'!$I$2:$I$1000="DONE"))&gt;0,"✓",IF(SUMPRODUCT(MAX(('Agences &amp; Après-vente'!$A$2:$A$1000=$A388)*(('Agences &amp; Après-vente'!$D$2:$D$1000="Agences")+('Agences &amp; Après-vente'!$D$2:$D$1000="Agences et Après-vente"))*'Agences &amp; Après-vente'!$E$2:$E$1000))&gt;0,TEXT(SUMPRODUCT(MAX(('Agences &amp; Après-vente'!$A$2:$A$1000=$A388)*(('Agences &amp; Après-vente'!$D$2:$D$1000="Agences")+('Agences &amp; Après-vente'!$D$2:$D$1000="Agences et Après-vente"))*'Agences &amp; Après-vente'!$E$2:$E$1000)),"yyyy-mm-dd"),""))))))</f>
        <v/>
      </c>
      <c r="I388" s="131" t="str">
        <f aca="false">IF($S388="✓","✓",IF(ISNUMBER($S388),TEXT($S388,"yyyy-mm-dd"),IF($A388="","",IF(SUMPRODUCT(('Agences &amp; Après-vente'!$A$2:$A$1000=$A388)*(('Agences &amp; Après-vente'!$D$2:$D$1000="Après-vente")+('Agences &amp; Après-vente'!$D$2:$D$1000="Agences et Après-vente"))*('Agences &amp; Après-vente'!$I$2:$I$1000="DONE"))&gt;0,"✓",IF(SUMPRODUCT(MAX(('Agences &amp; Après-vente'!$A$2:$A$1000=$A388)*(('Agences &amp; Après-vente'!$D$2:$D$1000="Après-vente")+('Agences &amp; Après-vente'!$D$2:$D$1000="Agences et Après-vente"))*'Agences &amp; Après-vente'!$E$2:$E$1000))&gt;0,TEXT(SUMPRODUCT(MAX(('Agences &amp; Après-vente'!$A$2:$A$1000=$A388)*(('Agences &amp; Après-vente'!$D$2:$D$1000="Après-vente")+('Agences &amp; Après-vente'!$D$2:$D$1000="Agences et Après-vente"))*'Agences &amp; Après-vente'!$E$2:$E$1000)),"yyyy-mm-dd"),"")))))</f>
        <v/>
      </c>
      <c r="J388" s="131" t="str">
        <f aca="false">IF($T388="✓","✓",IF(ISNUMBER($T388),TEXT($T388,"yyyy-mm-dd"),IF($A388="","",IF($D388="Lisbonne","",IF(SUMPRODUCT(('Agences &amp; Après-vente'!$A$2:$A$1000=$A388)*(('Agences &amp; Après-vente'!$D$2:$D$1000="Après-vente")+('Agences &amp; Après-vente'!$D$2:$D$1000="Agences et Après-vente"))*('Agences &amp; Après-vente'!$I$2:$I$1000="DONE"))&gt;0,"✓",IF(SUMPRODUCT(MAX(('Agences &amp; Après-vente'!$A$2:$A$1000=$A388)*(('Agences &amp; Après-vente'!$D$2:$D$1000="Après-vente")+('Agences &amp; Après-vente'!$D$2:$D$1000="Agences et Après-vente"))*'Agences &amp; Après-vente'!$E$2:$E$1000))&gt;0,TEXT(SUMPRODUCT(MAX(('Agences &amp; Après-vente'!$A$2:$A$1000=$A388)*(('Agences &amp; Après-vente'!$D$2:$D$1000="Après-vente")+('Agences &amp; Après-vente'!$D$2:$D$1000="Agences et Après-vente"))*'Agences &amp; Après-vente'!$E$2:$E$1000)),"yyyy-mm-dd"),""))))))</f>
        <v/>
      </c>
      <c r="K388" s="131" t="str">
        <f aca="false">IF($U388="✓","✓",IF(ISNUMBER($U388),TEXT($U388,"yyyy-mm-dd"),IF($D388="Lisbonne","",IF($A388="","",IF(SUMPRODUCT((Evermont!$A$2:$A$1000=$A388)*(Evermont!$Q$2:$Q$1000="Terminé"))&gt;0,"✓",IF(SUMPRODUCT(MAX((Evermont!$A$2:$A$1000=$A388)*Evermont!$F$2:$F$1000))&gt;0,TEXT(SUMPRODUCT(MAX((Evermont!$A$2:$A$1000=$A388)*Evermont!$F$2:$F$1000)),"yyyy-mm-dd"),""))))))</f>
        <v/>
      </c>
      <c r="L388" s="131" t="str">
        <f aca="false">IF($A388="","",COUNTIF(E388:K388,"✓"))</f>
        <v/>
      </c>
      <c r="M388" s="131" t="str">
        <f aca="false">IF(B388="","","Active")</f>
        <v/>
      </c>
      <c r="W388" s="120" t="str">
        <f aca="false">IF($A388="","",IF($X388&lt;&gt;"",$X388,IFERROR(INDEX('Formation Initiale'!$B$2:$B$999,MATCH($A388,'Formation Initiale'!$A$2:$A$999,0)),"Général")))</f>
        <v/>
      </c>
    </row>
    <row r="389" customFormat="false" ht="15" hidden="true" customHeight="true" outlineLevel="0" collapsed="false">
      <c r="A389" s="142" t="str">
        <f aca="false">IF(B389="","","TR"&amp;TEXT(ROW()-1,"000"))</f>
        <v/>
      </c>
      <c r="E389" s="130" t="str">
        <f aca="false">IF($O389="✓","✓",IF(ISNUMBER($O389),TEXT($O389,"yyyy-mm-dd"),IF($A389="","",IF(SUMPRODUCT(('Formation Initiale'!$A$2:$A$999=$A389)*('Formation Initiale'!$R$2:$R$999="Terminé"))&gt;0,"✓",IF(SUMPRODUCT(MAX(('Formation Initiale'!$A$2:$A$999=$A389)*'Formation Initiale'!$G$2:$G$999))&gt;0,TEXT(SUMPRODUCT(MAX(('Formation Initiale'!$A$2:$A$999=$A389)*'Formation Initiale'!$G$2:$G$999)),"yyyy-mm-dd"),"")))))</f>
        <v/>
      </c>
      <c r="F389" s="131" t="str">
        <f aca="false">IF($P389="✓","✓",IF(ISNUMBER($P389),TEXT($P389,"yyyy-mm-dd"),IF($A389="","",IF($D389="Lisbonne","",IF(SUMPRODUCT(('Formation Initiale'!$A$2:$A$999=$A389)*('Formation Initiale'!$R$2:$R$999="Terminé"))&gt;0,"✓",IF(SUMPRODUCT(MAX(('Formation Initiale'!$A$2:$A$999=$A389)*'Formation Initiale'!$G$2:$G$999))&gt;0,TEXT(SUMPRODUCT(MAX(('Formation Initiale'!$A$2:$A$999=$A389)*'Formation Initiale'!$G$2:$G$999)),"yyyy-mm-dd"),""))))))</f>
        <v/>
      </c>
      <c r="G389" s="131" t="str">
        <f aca="false">IF($Q389="✓","✓",IF(ISNUMBER($Q389),TEXT($Q389,"yyyy-mm-dd"),IF($A389="","",IF(SUMPRODUCT(('Agences &amp; Après-vente'!$A$2:$A$1000=$A389)*(('Agences &amp; Après-vente'!$D$2:$D$1000="Agences")+('Agences &amp; Après-vente'!$D$2:$D$1000="Agences et Après-vente"))*('Agences &amp; Après-vente'!$I$2:$I$1000="DONE"))&gt;0,"✓",IF(SUMPRODUCT(MAX(('Agences &amp; Après-vente'!$A$2:$A$1000=$A389)*(('Agences &amp; Après-vente'!$D$2:$D$1000="Agences")+('Agences &amp; Après-vente'!$D$2:$D$1000="Agences et Après-vente"))*'Agences &amp; Après-vente'!$E$2:$E$1000))&gt;0,TEXT(SUMPRODUCT(MAX(('Agences &amp; Après-vente'!$A$2:$A$1000=$A389)*(('Agences &amp; Après-vente'!$D$2:$D$1000="Agences")+('Agences &amp; Après-vente'!$D$2:$D$1000="Agences et Après-vente"))*'Agences &amp; Après-vente'!$E$2:$E$1000)),"yyyy-mm-dd"),"")))))</f>
        <v/>
      </c>
      <c r="H389" s="131" t="str">
        <f aca="false">IF($R389="✓","✓",IF(ISNUMBER($R389),TEXT($R389,"yyyy-mm-dd"),IF($A389="","",IF($D389="Lisbonne","",IF(SUMPRODUCT(('Agences &amp; Après-vente'!$A$2:$A$1000=$A389)*(('Agences &amp; Après-vente'!$D$2:$D$1000="Agences")+('Agences &amp; Après-vente'!$D$2:$D$1000="Agences et Après-vente"))*('Agences &amp; Après-vente'!$I$2:$I$1000="DONE"))&gt;0,"✓",IF(SUMPRODUCT(MAX(('Agences &amp; Après-vente'!$A$2:$A$1000=$A389)*(('Agences &amp; Après-vente'!$D$2:$D$1000="Agences")+('Agences &amp; Après-vente'!$D$2:$D$1000="Agences et Après-vente"))*'Agences &amp; Après-vente'!$E$2:$E$1000))&gt;0,TEXT(SUMPRODUCT(MAX(('Agences &amp; Après-vente'!$A$2:$A$1000=$A389)*(('Agences &amp; Après-vente'!$D$2:$D$1000="Agences")+('Agences &amp; Après-vente'!$D$2:$D$1000="Agences et Après-vente"))*'Agences &amp; Après-vente'!$E$2:$E$1000)),"yyyy-mm-dd"),""))))))</f>
        <v/>
      </c>
      <c r="I389" s="131" t="str">
        <f aca="false">IF($S389="✓","✓",IF(ISNUMBER($S389),TEXT($S389,"yyyy-mm-dd"),IF($A389="","",IF(SUMPRODUCT(('Agences &amp; Après-vente'!$A$2:$A$1000=$A389)*(('Agences &amp; Après-vente'!$D$2:$D$1000="Après-vente")+('Agences &amp; Après-vente'!$D$2:$D$1000="Agences et Après-vente"))*('Agences &amp; Après-vente'!$I$2:$I$1000="DONE"))&gt;0,"✓",IF(SUMPRODUCT(MAX(('Agences &amp; Après-vente'!$A$2:$A$1000=$A389)*(('Agences &amp; Après-vente'!$D$2:$D$1000="Après-vente")+('Agences &amp; Après-vente'!$D$2:$D$1000="Agences et Après-vente"))*'Agences &amp; Après-vente'!$E$2:$E$1000))&gt;0,TEXT(SUMPRODUCT(MAX(('Agences &amp; Après-vente'!$A$2:$A$1000=$A389)*(('Agences &amp; Après-vente'!$D$2:$D$1000="Après-vente")+('Agences &amp; Après-vente'!$D$2:$D$1000="Agences et Après-vente"))*'Agences &amp; Après-vente'!$E$2:$E$1000)),"yyyy-mm-dd"),"")))))</f>
        <v/>
      </c>
      <c r="J389" s="131" t="str">
        <f aca="false">IF($T389="✓","✓",IF(ISNUMBER($T389),TEXT($T389,"yyyy-mm-dd"),IF($A389="","",IF($D389="Lisbonne","",IF(SUMPRODUCT(('Agences &amp; Après-vente'!$A$2:$A$1000=$A389)*(('Agences &amp; Après-vente'!$D$2:$D$1000="Après-vente")+('Agences &amp; Après-vente'!$D$2:$D$1000="Agences et Après-vente"))*('Agences &amp; Après-vente'!$I$2:$I$1000="DONE"))&gt;0,"✓",IF(SUMPRODUCT(MAX(('Agences &amp; Après-vente'!$A$2:$A$1000=$A389)*(('Agences &amp; Après-vente'!$D$2:$D$1000="Après-vente")+('Agences &amp; Après-vente'!$D$2:$D$1000="Agences et Après-vente"))*'Agences &amp; Après-vente'!$E$2:$E$1000))&gt;0,TEXT(SUMPRODUCT(MAX(('Agences &amp; Après-vente'!$A$2:$A$1000=$A389)*(('Agences &amp; Après-vente'!$D$2:$D$1000="Après-vente")+('Agences &amp; Après-vente'!$D$2:$D$1000="Agences et Après-vente"))*'Agences &amp; Après-vente'!$E$2:$E$1000)),"yyyy-mm-dd"),""))))))</f>
        <v/>
      </c>
      <c r="K389" s="131" t="str">
        <f aca="false">IF($U389="✓","✓",IF(ISNUMBER($U389),TEXT($U389,"yyyy-mm-dd"),IF($D389="Lisbonne","",IF($A389="","",IF(SUMPRODUCT((Evermont!$A$2:$A$1000=$A389)*(Evermont!$Q$2:$Q$1000="Terminé"))&gt;0,"✓",IF(SUMPRODUCT(MAX((Evermont!$A$2:$A$1000=$A389)*Evermont!$F$2:$F$1000))&gt;0,TEXT(SUMPRODUCT(MAX((Evermont!$A$2:$A$1000=$A389)*Evermont!$F$2:$F$1000)),"yyyy-mm-dd"),""))))))</f>
        <v/>
      </c>
      <c r="L389" s="131" t="str">
        <f aca="false">IF($A389="","",COUNTIF(E389:K389,"✓"))</f>
        <v/>
      </c>
      <c r="M389" s="131" t="str">
        <f aca="false">IF(B389="","","Active")</f>
        <v/>
      </c>
      <c r="W389" s="120" t="str">
        <f aca="false">IF($A389="","",IF($X389&lt;&gt;"",$X389,IFERROR(INDEX('Formation Initiale'!$B$2:$B$999,MATCH($A389,'Formation Initiale'!$A$2:$A$999,0)),"Général")))</f>
        <v/>
      </c>
    </row>
    <row r="390" customFormat="false" ht="15" hidden="true" customHeight="true" outlineLevel="0" collapsed="false">
      <c r="A390" s="142" t="str">
        <f aca="false">IF(B390="","","TR"&amp;TEXT(ROW()-1,"000"))</f>
        <v/>
      </c>
      <c r="E390" s="130" t="str">
        <f aca="false">IF($O390="✓","✓",IF(ISNUMBER($O390),TEXT($O390,"yyyy-mm-dd"),IF($A390="","",IF(SUMPRODUCT(('Formation Initiale'!$A$2:$A$999=$A390)*('Formation Initiale'!$R$2:$R$999="Terminé"))&gt;0,"✓",IF(SUMPRODUCT(MAX(('Formation Initiale'!$A$2:$A$999=$A390)*'Formation Initiale'!$G$2:$G$999))&gt;0,TEXT(SUMPRODUCT(MAX(('Formation Initiale'!$A$2:$A$999=$A390)*'Formation Initiale'!$G$2:$G$999)),"yyyy-mm-dd"),"")))))</f>
        <v/>
      </c>
      <c r="F390" s="131" t="str">
        <f aca="false">IF($P390="✓","✓",IF(ISNUMBER($P390),TEXT($P390,"yyyy-mm-dd"),IF($A390="","",IF($D390="Lisbonne","",IF(SUMPRODUCT(('Formation Initiale'!$A$2:$A$999=$A390)*('Formation Initiale'!$R$2:$R$999="Terminé"))&gt;0,"✓",IF(SUMPRODUCT(MAX(('Formation Initiale'!$A$2:$A$999=$A390)*'Formation Initiale'!$G$2:$G$999))&gt;0,TEXT(SUMPRODUCT(MAX(('Formation Initiale'!$A$2:$A$999=$A390)*'Formation Initiale'!$G$2:$G$999)),"yyyy-mm-dd"),""))))))</f>
        <v/>
      </c>
      <c r="G390" s="131" t="str">
        <f aca="false">IF($Q390="✓","✓",IF(ISNUMBER($Q390),TEXT($Q390,"yyyy-mm-dd"),IF($A390="","",IF(SUMPRODUCT(('Agences &amp; Après-vente'!$A$2:$A$1000=$A390)*(('Agences &amp; Après-vente'!$D$2:$D$1000="Agences")+('Agences &amp; Après-vente'!$D$2:$D$1000="Agences et Après-vente"))*('Agences &amp; Après-vente'!$I$2:$I$1000="DONE"))&gt;0,"✓",IF(SUMPRODUCT(MAX(('Agences &amp; Après-vente'!$A$2:$A$1000=$A390)*(('Agences &amp; Après-vente'!$D$2:$D$1000="Agences")+('Agences &amp; Après-vente'!$D$2:$D$1000="Agences et Après-vente"))*'Agences &amp; Après-vente'!$E$2:$E$1000))&gt;0,TEXT(SUMPRODUCT(MAX(('Agences &amp; Après-vente'!$A$2:$A$1000=$A390)*(('Agences &amp; Après-vente'!$D$2:$D$1000="Agences")+('Agences &amp; Après-vente'!$D$2:$D$1000="Agences et Après-vente"))*'Agences &amp; Après-vente'!$E$2:$E$1000)),"yyyy-mm-dd"),"")))))</f>
        <v/>
      </c>
      <c r="H390" s="131" t="str">
        <f aca="false">IF($R390="✓","✓",IF(ISNUMBER($R390),TEXT($R390,"yyyy-mm-dd"),IF($A390="","",IF($D390="Lisbonne","",IF(SUMPRODUCT(('Agences &amp; Après-vente'!$A$2:$A$1000=$A390)*(('Agences &amp; Après-vente'!$D$2:$D$1000="Agences")+('Agences &amp; Après-vente'!$D$2:$D$1000="Agences et Après-vente"))*('Agences &amp; Après-vente'!$I$2:$I$1000="DONE"))&gt;0,"✓",IF(SUMPRODUCT(MAX(('Agences &amp; Après-vente'!$A$2:$A$1000=$A390)*(('Agences &amp; Après-vente'!$D$2:$D$1000="Agences")+('Agences &amp; Après-vente'!$D$2:$D$1000="Agences et Après-vente"))*'Agences &amp; Après-vente'!$E$2:$E$1000))&gt;0,TEXT(SUMPRODUCT(MAX(('Agences &amp; Après-vente'!$A$2:$A$1000=$A390)*(('Agences &amp; Après-vente'!$D$2:$D$1000="Agences")+('Agences &amp; Après-vente'!$D$2:$D$1000="Agences et Après-vente"))*'Agences &amp; Après-vente'!$E$2:$E$1000)),"yyyy-mm-dd"),""))))))</f>
        <v/>
      </c>
      <c r="I390" s="131" t="str">
        <f aca="false">IF($S390="✓","✓",IF(ISNUMBER($S390),TEXT($S390,"yyyy-mm-dd"),IF($A390="","",IF(SUMPRODUCT(('Agences &amp; Après-vente'!$A$2:$A$1000=$A390)*(('Agences &amp; Après-vente'!$D$2:$D$1000="Après-vente")+('Agences &amp; Après-vente'!$D$2:$D$1000="Agences et Après-vente"))*('Agences &amp; Après-vente'!$I$2:$I$1000="DONE"))&gt;0,"✓",IF(SUMPRODUCT(MAX(('Agences &amp; Après-vente'!$A$2:$A$1000=$A390)*(('Agences &amp; Après-vente'!$D$2:$D$1000="Après-vente")+('Agences &amp; Après-vente'!$D$2:$D$1000="Agences et Après-vente"))*'Agences &amp; Après-vente'!$E$2:$E$1000))&gt;0,TEXT(SUMPRODUCT(MAX(('Agences &amp; Après-vente'!$A$2:$A$1000=$A390)*(('Agences &amp; Après-vente'!$D$2:$D$1000="Après-vente")+('Agences &amp; Après-vente'!$D$2:$D$1000="Agences et Après-vente"))*'Agences &amp; Après-vente'!$E$2:$E$1000)),"yyyy-mm-dd"),"")))))</f>
        <v/>
      </c>
      <c r="J390" s="131" t="str">
        <f aca="false">IF($T390="✓","✓",IF(ISNUMBER($T390),TEXT($T390,"yyyy-mm-dd"),IF($A390="","",IF($D390="Lisbonne","",IF(SUMPRODUCT(('Agences &amp; Après-vente'!$A$2:$A$1000=$A390)*(('Agences &amp; Après-vente'!$D$2:$D$1000="Après-vente")+('Agences &amp; Après-vente'!$D$2:$D$1000="Agences et Après-vente"))*('Agences &amp; Après-vente'!$I$2:$I$1000="DONE"))&gt;0,"✓",IF(SUMPRODUCT(MAX(('Agences &amp; Après-vente'!$A$2:$A$1000=$A390)*(('Agences &amp; Après-vente'!$D$2:$D$1000="Après-vente")+('Agences &amp; Après-vente'!$D$2:$D$1000="Agences et Après-vente"))*'Agences &amp; Après-vente'!$E$2:$E$1000))&gt;0,TEXT(SUMPRODUCT(MAX(('Agences &amp; Après-vente'!$A$2:$A$1000=$A390)*(('Agences &amp; Après-vente'!$D$2:$D$1000="Après-vente")+('Agences &amp; Après-vente'!$D$2:$D$1000="Agences et Après-vente"))*'Agences &amp; Après-vente'!$E$2:$E$1000)),"yyyy-mm-dd"),""))))))</f>
        <v/>
      </c>
      <c r="K390" s="131" t="str">
        <f aca="false">IF($U390="✓","✓",IF(ISNUMBER($U390),TEXT($U390,"yyyy-mm-dd"),IF($D390="Lisbonne","",IF($A390="","",IF(SUMPRODUCT((Evermont!$A$2:$A$1000=$A390)*(Evermont!$Q$2:$Q$1000="Terminé"))&gt;0,"✓",IF(SUMPRODUCT(MAX((Evermont!$A$2:$A$1000=$A390)*Evermont!$F$2:$F$1000))&gt;0,TEXT(SUMPRODUCT(MAX((Evermont!$A$2:$A$1000=$A390)*Evermont!$F$2:$F$1000)),"yyyy-mm-dd"),""))))))</f>
        <v/>
      </c>
      <c r="L390" s="131" t="str">
        <f aca="false">IF($A390="","",COUNTIF(E390:K390,"✓"))</f>
        <v/>
      </c>
      <c r="M390" s="131" t="str">
        <f aca="false">IF(B390="","","Active")</f>
        <v/>
      </c>
      <c r="W390" s="120" t="str">
        <f aca="false">IF($A390="","",IF($X390&lt;&gt;"",$X390,IFERROR(INDEX('Formation Initiale'!$B$2:$B$999,MATCH($A390,'Formation Initiale'!$A$2:$A$999,0)),"Général")))</f>
        <v/>
      </c>
    </row>
    <row r="391" customFormat="false" ht="15" hidden="true" customHeight="true" outlineLevel="0" collapsed="false">
      <c r="A391" s="142" t="str">
        <f aca="false">IF(B391="","","TR"&amp;TEXT(ROW()-1,"000"))</f>
        <v/>
      </c>
      <c r="E391" s="130" t="str">
        <f aca="false">IF($O391="✓","✓",IF(ISNUMBER($O391),TEXT($O391,"yyyy-mm-dd"),IF($A391="","",IF(SUMPRODUCT(('Formation Initiale'!$A$2:$A$999=$A391)*('Formation Initiale'!$R$2:$R$999="Terminé"))&gt;0,"✓",IF(SUMPRODUCT(MAX(('Formation Initiale'!$A$2:$A$999=$A391)*'Formation Initiale'!$G$2:$G$999))&gt;0,TEXT(SUMPRODUCT(MAX(('Formation Initiale'!$A$2:$A$999=$A391)*'Formation Initiale'!$G$2:$G$999)),"yyyy-mm-dd"),"")))))</f>
        <v/>
      </c>
      <c r="F391" s="131" t="str">
        <f aca="false">IF($P391="✓","✓",IF(ISNUMBER($P391),TEXT($P391,"yyyy-mm-dd"),IF($A391="","",IF($D391="Lisbonne","",IF(SUMPRODUCT(('Formation Initiale'!$A$2:$A$999=$A391)*('Formation Initiale'!$R$2:$R$999="Terminé"))&gt;0,"✓",IF(SUMPRODUCT(MAX(('Formation Initiale'!$A$2:$A$999=$A391)*'Formation Initiale'!$G$2:$G$999))&gt;0,TEXT(SUMPRODUCT(MAX(('Formation Initiale'!$A$2:$A$999=$A391)*'Formation Initiale'!$G$2:$G$999)),"yyyy-mm-dd"),""))))))</f>
        <v/>
      </c>
      <c r="G391" s="131" t="str">
        <f aca="false">IF($Q391="✓","✓",IF(ISNUMBER($Q391),TEXT($Q391,"yyyy-mm-dd"),IF($A391="","",IF(SUMPRODUCT(('Agences &amp; Après-vente'!$A$2:$A$1000=$A391)*(('Agences &amp; Après-vente'!$D$2:$D$1000="Agences")+('Agences &amp; Après-vente'!$D$2:$D$1000="Agences et Après-vente"))*('Agences &amp; Après-vente'!$I$2:$I$1000="DONE"))&gt;0,"✓",IF(SUMPRODUCT(MAX(('Agences &amp; Après-vente'!$A$2:$A$1000=$A391)*(('Agences &amp; Après-vente'!$D$2:$D$1000="Agences")+('Agences &amp; Après-vente'!$D$2:$D$1000="Agences et Après-vente"))*'Agences &amp; Après-vente'!$E$2:$E$1000))&gt;0,TEXT(SUMPRODUCT(MAX(('Agences &amp; Après-vente'!$A$2:$A$1000=$A391)*(('Agences &amp; Après-vente'!$D$2:$D$1000="Agences")+('Agences &amp; Après-vente'!$D$2:$D$1000="Agences et Après-vente"))*'Agences &amp; Après-vente'!$E$2:$E$1000)),"yyyy-mm-dd"),"")))))</f>
        <v/>
      </c>
      <c r="H391" s="131" t="str">
        <f aca="false">IF($R391="✓","✓",IF(ISNUMBER($R391),TEXT($R391,"yyyy-mm-dd"),IF($A391="","",IF($D391="Lisbonne","",IF(SUMPRODUCT(('Agences &amp; Après-vente'!$A$2:$A$1000=$A391)*(('Agences &amp; Après-vente'!$D$2:$D$1000="Agences")+('Agences &amp; Après-vente'!$D$2:$D$1000="Agences et Après-vente"))*('Agences &amp; Après-vente'!$I$2:$I$1000="DONE"))&gt;0,"✓",IF(SUMPRODUCT(MAX(('Agences &amp; Après-vente'!$A$2:$A$1000=$A391)*(('Agences &amp; Après-vente'!$D$2:$D$1000="Agences")+('Agences &amp; Après-vente'!$D$2:$D$1000="Agences et Après-vente"))*'Agences &amp; Après-vente'!$E$2:$E$1000))&gt;0,TEXT(SUMPRODUCT(MAX(('Agences &amp; Après-vente'!$A$2:$A$1000=$A391)*(('Agences &amp; Après-vente'!$D$2:$D$1000="Agences")+('Agences &amp; Après-vente'!$D$2:$D$1000="Agences et Après-vente"))*'Agences &amp; Après-vente'!$E$2:$E$1000)),"yyyy-mm-dd"),""))))))</f>
        <v/>
      </c>
      <c r="I391" s="131" t="str">
        <f aca="false">IF($S391="✓","✓",IF(ISNUMBER($S391),TEXT($S391,"yyyy-mm-dd"),IF($A391="","",IF(SUMPRODUCT(('Agences &amp; Après-vente'!$A$2:$A$1000=$A391)*(('Agences &amp; Après-vente'!$D$2:$D$1000="Après-vente")+('Agences &amp; Après-vente'!$D$2:$D$1000="Agences et Après-vente"))*('Agences &amp; Après-vente'!$I$2:$I$1000="DONE"))&gt;0,"✓",IF(SUMPRODUCT(MAX(('Agences &amp; Après-vente'!$A$2:$A$1000=$A391)*(('Agences &amp; Après-vente'!$D$2:$D$1000="Après-vente")+('Agences &amp; Après-vente'!$D$2:$D$1000="Agences et Après-vente"))*'Agences &amp; Après-vente'!$E$2:$E$1000))&gt;0,TEXT(SUMPRODUCT(MAX(('Agences &amp; Après-vente'!$A$2:$A$1000=$A391)*(('Agences &amp; Après-vente'!$D$2:$D$1000="Après-vente")+('Agences &amp; Après-vente'!$D$2:$D$1000="Agences et Après-vente"))*'Agences &amp; Après-vente'!$E$2:$E$1000)),"yyyy-mm-dd"),"")))))</f>
        <v/>
      </c>
      <c r="J391" s="131" t="str">
        <f aca="false">IF($T391="✓","✓",IF(ISNUMBER($T391),TEXT($T391,"yyyy-mm-dd"),IF($A391="","",IF($D391="Lisbonne","",IF(SUMPRODUCT(('Agences &amp; Après-vente'!$A$2:$A$1000=$A391)*(('Agences &amp; Après-vente'!$D$2:$D$1000="Après-vente")+('Agences &amp; Après-vente'!$D$2:$D$1000="Agences et Après-vente"))*('Agences &amp; Après-vente'!$I$2:$I$1000="DONE"))&gt;0,"✓",IF(SUMPRODUCT(MAX(('Agences &amp; Après-vente'!$A$2:$A$1000=$A391)*(('Agences &amp; Après-vente'!$D$2:$D$1000="Après-vente")+('Agences &amp; Après-vente'!$D$2:$D$1000="Agences et Après-vente"))*'Agences &amp; Après-vente'!$E$2:$E$1000))&gt;0,TEXT(SUMPRODUCT(MAX(('Agences &amp; Après-vente'!$A$2:$A$1000=$A391)*(('Agences &amp; Après-vente'!$D$2:$D$1000="Après-vente")+('Agences &amp; Après-vente'!$D$2:$D$1000="Agences et Après-vente"))*'Agences &amp; Après-vente'!$E$2:$E$1000)),"yyyy-mm-dd"),""))))))</f>
        <v/>
      </c>
      <c r="K391" s="131" t="str">
        <f aca="false">IF($U391="✓","✓",IF(ISNUMBER($U391),TEXT($U391,"yyyy-mm-dd"),IF($D391="Lisbonne","",IF($A391="","",IF(SUMPRODUCT((Evermont!$A$2:$A$1000=$A391)*(Evermont!$Q$2:$Q$1000="Terminé"))&gt;0,"✓",IF(SUMPRODUCT(MAX((Evermont!$A$2:$A$1000=$A391)*Evermont!$F$2:$F$1000))&gt;0,TEXT(SUMPRODUCT(MAX((Evermont!$A$2:$A$1000=$A391)*Evermont!$F$2:$F$1000)),"yyyy-mm-dd"),""))))))</f>
        <v/>
      </c>
      <c r="L391" s="131" t="str">
        <f aca="false">IF($A391="","",COUNTIF(E391:K391,"✓"))</f>
        <v/>
      </c>
      <c r="M391" s="131" t="str">
        <f aca="false">IF(B391="","","Active")</f>
        <v/>
      </c>
      <c r="W391" s="120" t="str">
        <f aca="false">IF($A391="","",IF($X391&lt;&gt;"",$X391,IFERROR(INDEX('Formation Initiale'!$B$2:$B$999,MATCH($A391,'Formation Initiale'!$A$2:$A$999,0)),"Général")))</f>
        <v/>
      </c>
    </row>
    <row r="392" customFormat="false" ht="15" hidden="true" customHeight="true" outlineLevel="0" collapsed="false">
      <c r="A392" s="142" t="str">
        <f aca="false">IF(B392="","","TR"&amp;TEXT(ROW()-1,"000"))</f>
        <v/>
      </c>
      <c r="E392" s="130" t="str">
        <f aca="false">IF($O392="✓","✓",IF(ISNUMBER($O392),TEXT($O392,"yyyy-mm-dd"),IF($A392="","",IF(SUMPRODUCT(('Formation Initiale'!$A$2:$A$999=$A392)*('Formation Initiale'!$R$2:$R$999="Terminé"))&gt;0,"✓",IF(SUMPRODUCT(MAX(('Formation Initiale'!$A$2:$A$999=$A392)*'Formation Initiale'!$G$2:$G$999))&gt;0,TEXT(SUMPRODUCT(MAX(('Formation Initiale'!$A$2:$A$999=$A392)*'Formation Initiale'!$G$2:$G$999)),"yyyy-mm-dd"),"")))))</f>
        <v/>
      </c>
      <c r="F392" s="131" t="str">
        <f aca="false">IF($P392="✓","✓",IF(ISNUMBER($P392),TEXT($P392,"yyyy-mm-dd"),IF($A392="","",IF($D392="Lisbonne","",IF(SUMPRODUCT(('Formation Initiale'!$A$2:$A$999=$A392)*('Formation Initiale'!$R$2:$R$999="Terminé"))&gt;0,"✓",IF(SUMPRODUCT(MAX(('Formation Initiale'!$A$2:$A$999=$A392)*'Formation Initiale'!$G$2:$G$999))&gt;0,TEXT(SUMPRODUCT(MAX(('Formation Initiale'!$A$2:$A$999=$A392)*'Formation Initiale'!$G$2:$G$999)),"yyyy-mm-dd"),""))))))</f>
        <v/>
      </c>
      <c r="G392" s="131" t="str">
        <f aca="false">IF($Q392="✓","✓",IF(ISNUMBER($Q392),TEXT($Q392,"yyyy-mm-dd"),IF($A392="","",IF(SUMPRODUCT(('Agences &amp; Après-vente'!$A$2:$A$1000=$A392)*(('Agences &amp; Après-vente'!$D$2:$D$1000="Agences")+('Agences &amp; Après-vente'!$D$2:$D$1000="Agences et Après-vente"))*('Agences &amp; Après-vente'!$I$2:$I$1000="DONE"))&gt;0,"✓",IF(SUMPRODUCT(MAX(('Agences &amp; Après-vente'!$A$2:$A$1000=$A392)*(('Agences &amp; Après-vente'!$D$2:$D$1000="Agences")+('Agences &amp; Après-vente'!$D$2:$D$1000="Agences et Après-vente"))*'Agences &amp; Après-vente'!$E$2:$E$1000))&gt;0,TEXT(SUMPRODUCT(MAX(('Agences &amp; Après-vente'!$A$2:$A$1000=$A392)*(('Agences &amp; Après-vente'!$D$2:$D$1000="Agences")+('Agences &amp; Après-vente'!$D$2:$D$1000="Agences et Après-vente"))*'Agences &amp; Après-vente'!$E$2:$E$1000)),"yyyy-mm-dd"),"")))))</f>
        <v/>
      </c>
      <c r="H392" s="131" t="str">
        <f aca="false">IF($R392="✓","✓",IF(ISNUMBER($R392),TEXT($R392,"yyyy-mm-dd"),IF($A392="","",IF($D392="Lisbonne","",IF(SUMPRODUCT(('Agences &amp; Après-vente'!$A$2:$A$1000=$A392)*(('Agences &amp; Après-vente'!$D$2:$D$1000="Agences")+('Agences &amp; Après-vente'!$D$2:$D$1000="Agences et Après-vente"))*('Agences &amp; Après-vente'!$I$2:$I$1000="DONE"))&gt;0,"✓",IF(SUMPRODUCT(MAX(('Agences &amp; Après-vente'!$A$2:$A$1000=$A392)*(('Agences &amp; Après-vente'!$D$2:$D$1000="Agences")+('Agences &amp; Après-vente'!$D$2:$D$1000="Agences et Après-vente"))*'Agences &amp; Après-vente'!$E$2:$E$1000))&gt;0,TEXT(SUMPRODUCT(MAX(('Agences &amp; Après-vente'!$A$2:$A$1000=$A392)*(('Agences &amp; Après-vente'!$D$2:$D$1000="Agences")+('Agences &amp; Après-vente'!$D$2:$D$1000="Agences et Après-vente"))*'Agences &amp; Après-vente'!$E$2:$E$1000)),"yyyy-mm-dd"),""))))))</f>
        <v/>
      </c>
      <c r="I392" s="131" t="str">
        <f aca="false">IF($S392="✓","✓",IF(ISNUMBER($S392),TEXT($S392,"yyyy-mm-dd"),IF($A392="","",IF(SUMPRODUCT(('Agences &amp; Après-vente'!$A$2:$A$1000=$A392)*(('Agences &amp; Après-vente'!$D$2:$D$1000="Après-vente")+('Agences &amp; Après-vente'!$D$2:$D$1000="Agences et Après-vente"))*('Agences &amp; Après-vente'!$I$2:$I$1000="DONE"))&gt;0,"✓",IF(SUMPRODUCT(MAX(('Agences &amp; Après-vente'!$A$2:$A$1000=$A392)*(('Agences &amp; Après-vente'!$D$2:$D$1000="Après-vente")+('Agences &amp; Après-vente'!$D$2:$D$1000="Agences et Après-vente"))*'Agences &amp; Après-vente'!$E$2:$E$1000))&gt;0,TEXT(SUMPRODUCT(MAX(('Agences &amp; Après-vente'!$A$2:$A$1000=$A392)*(('Agences &amp; Après-vente'!$D$2:$D$1000="Après-vente")+('Agences &amp; Après-vente'!$D$2:$D$1000="Agences et Après-vente"))*'Agences &amp; Après-vente'!$E$2:$E$1000)),"yyyy-mm-dd"),"")))))</f>
        <v/>
      </c>
      <c r="J392" s="131" t="str">
        <f aca="false">IF($T392="✓","✓",IF(ISNUMBER($T392),TEXT($T392,"yyyy-mm-dd"),IF($A392="","",IF($D392="Lisbonne","",IF(SUMPRODUCT(('Agences &amp; Après-vente'!$A$2:$A$1000=$A392)*(('Agences &amp; Après-vente'!$D$2:$D$1000="Après-vente")+('Agences &amp; Après-vente'!$D$2:$D$1000="Agences et Après-vente"))*('Agences &amp; Après-vente'!$I$2:$I$1000="DONE"))&gt;0,"✓",IF(SUMPRODUCT(MAX(('Agences &amp; Après-vente'!$A$2:$A$1000=$A392)*(('Agences &amp; Après-vente'!$D$2:$D$1000="Après-vente")+('Agences &amp; Après-vente'!$D$2:$D$1000="Agences et Après-vente"))*'Agences &amp; Après-vente'!$E$2:$E$1000))&gt;0,TEXT(SUMPRODUCT(MAX(('Agences &amp; Après-vente'!$A$2:$A$1000=$A392)*(('Agences &amp; Après-vente'!$D$2:$D$1000="Après-vente")+('Agences &amp; Après-vente'!$D$2:$D$1000="Agences et Après-vente"))*'Agences &amp; Après-vente'!$E$2:$E$1000)),"yyyy-mm-dd"),""))))))</f>
        <v/>
      </c>
      <c r="K392" s="131" t="str">
        <f aca="false">IF($U392="✓","✓",IF(ISNUMBER($U392),TEXT($U392,"yyyy-mm-dd"),IF($D392="Lisbonne","",IF($A392="","",IF(SUMPRODUCT((Evermont!$A$2:$A$1000=$A392)*(Evermont!$Q$2:$Q$1000="Terminé"))&gt;0,"✓",IF(SUMPRODUCT(MAX((Evermont!$A$2:$A$1000=$A392)*Evermont!$F$2:$F$1000))&gt;0,TEXT(SUMPRODUCT(MAX((Evermont!$A$2:$A$1000=$A392)*Evermont!$F$2:$F$1000)),"yyyy-mm-dd"),""))))))</f>
        <v/>
      </c>
      <c r="L392" s="131" t="str">
        <f aca="false">IF($A392="","",COUNTIF(E392:K392,"✓"))</f>
        <v/>
      </c>
      <c r="M392" s="131" t="str">
        <f aca="false">IF(B392="","","Active")</f>
        <v/>
      </c>
      <c r="W392" s="120" t="str">
        <f aca="false">IF($A392="","",IF($X392&lt;&gt;"",$X392,IFERROR(INDEX('Formation Initiale'!$B$2:$B$999,MATCH($A392,'Formation Initiale'!$A$2:$A$999,0)),"Général")))</f>
        <v/>
      </c>
    </row>
    <row r="393" customFormat="false" ht="15" hidden="true" customHeight="true" outlineLevel="0" collapsed="false">
      <c r="A393" s="142" t="str">
        <f aca="false">IF(B393="","","TR"&amp;TEXT(ROW()-1,"000"))</f>
        <v/>
      </c>
      <c r="E393" s="130" t="str">
        <f aca="false">IF($O393="✓","✓",IF(ISNUMBER($O393),TEXT($O393,"yyyy-mm-dd"),IF($A393="","",IF(SUMPRODUCT(('Formation Initiale'!$A$2:$A$999=$A393)*('Formation Initiale'!$R$2:$R$999="Terminé"))&gt;0,"✓",IF(SUMPRODUCT(MAX(('Formation Initiale'!$A$2:$A$999=$A393)*'Formation Initiale'!$G$2:$G$999))&gt;0,TEXT(SUMPRODUCT(MAX(('Formation Initiale'!$A$2:$A$999=$A393)*'Formation Initiale'!$G$2:$G$999)),"yyyy-mm-dd"),"")))))</f>
        <v/>
      </c>
      <c r="F393" s="131" t="str">
        <f aca="false">IF($P393="✓","✓",IF(ISNUMBER($P393),TEXT($P393,"yyyy-mm-dd"),IF($A393="","",IF($D393="Lisbonne","",IF(SUMPRODUCT(('Formation Initiale'!$A$2:$A$999=$A393)*('Formation Initiale'!$R$2:$R$999="Terminé"))&gt;0,"✓",IF(SUMPRODUCT(MAX(('Formation Initiale'!$A$2:$A$999=$A393)*'Formation Initiale'!$G$2:$G$999))&gt;0,TEXT(SUMPRODUCT(MAX(('Formation Initiale'!$A$2:$A$999=$A393)*'Formation Initiale'!$G$2:$G$999)),"yyyy-mm-dd"),""))))))</f>
        <v/>
      </c>
      <c r="G393" s="131" t="str">
        <f aca="false">IF($Q393="✓","✓",IF(ISNUMBER($Q393),TEXT($Q393,"yyyy-mm-dd"),IF($A393="","",IF(SUMPRODUCT(('Agences &amp; Après-vente'!$A$2:$A$1000=$A393)*(('Agences &amp; Après-vente'!$D$2:$D$1000="Agences")+('Agences &amp; Après-vente'!$D$2:$D$1000="Agences et Après-vente"))*('Agences &amp; Après-vente'!$I$2:$I$1000="DONE"))&gt;0,"✓",IF(SUMPRODUCT(MAX(('Agences &amp; Après-vente'!$A$2:$A$1000=$A393)*(('Agences &amp; Après-vente'!$D$2:$D$1000="Agences")+('Agences &amp; Après-vente'!$D$2:$D$1000="Agences et Après-vente"))*'Agences &amp; Après-vente'!$E$2:$E$1000))&gt;0,TEXT(SUMPRODUCT(MAX(('Agences &amp; Après-vente'!$A$2:$A$1000=$A393)*(('Agences &amp; Après-vente'!$D$2:$D$1000="Agences")+('Agences &amp; Après-vente'!$D$2:$D$1000="Agences et Après-vente"))*'Agences &amp; Après-vente'!$E$2:$E$1000)),"yyyy-mm-dd"),"")))))</f>
        <v/>
      </c>
      <c r="H393" s="131" t="str">
        <f aca="false">IF($R393="✓","✓",IF(ISNUMBER($R393),TEXT($R393,"yyyy-mm-dd"),IF($A393="","",IF($D393="Lisbonne","",IF(SUMPRODUCT(('Agences &amp; Après-vente'!$A$2:$A$1000=$A393)*(('Agences &amp; Après-vente'!$D$2:$D$1000="Agences")+('Agences &amp; Après-vente'!$D$2:$D$1000="Agences et Après-vente"))*('Agences &amp; Après-vente'!$I$2:$I$1000="DONE"))&gt;0,"✓",IF(SUMPRODUCT(MAX(('Agences &amp; Après-vente'!$A$2:$A$1000=$A393)*(('Agences &amp; Après-vente'!$D$2:$D$1000="Agences")+('Agences &amp; Après-vente'!$D$2:$D$1000="Agences et Après-vente"))*'Agences &amp; Après-vente'!$E$2:$E$1000))&gt;0,TEXT(SUMPRODUCT(MAX(('Agences &amp; Après-vente'!$A$2:$A$1000=$A393)*(('Agences &amp; Après-vente'!$D$2:$D$1000="Agences")+('Agences &amp; Après-vente'!$D$2:$D$1000="Agences et Après-vente"))*'Agences &amp; Après-vente'!$E$2:$E$1000)),"yyyy-mm-dd"),""))))))</f>
        <v/>
      </c>
      <c r="I393" s="131" t="str">
        <f aca="false">IF($S393="✓","✓",IF(ISNUMBER($S393),TEXT($S393,"yyyy-mm-dd"),IF($A393="","",IF(SUMPRODUCT(('Agences &amp; Après-vente'!$A$2:$A$1000=$A393)*(('Agences &amp; Après-vente'!$D$2:$D$1000="Après-vente")+('Agences &amp; Après-vente'!$D$2:$D$1000="Agences et Après-vente"))*('Agences &amp; Après-vente'!$I$2:$I$1000="DONE"))&gt;0,"✓",IF(SUMPRODUCT(MAX(('Agences &amp; Après-vente'!$A$2:$A$1000=$A393)*(('Agences &amp; Après-vente'!$D$2:$D$1000="Après-vente")+('Agences &amp; Après-vente'!$D$2:$D$1000="Agences et Après-vente"))*'Agences &amp; Après-vente'!$E$2:$E$1000))&gt;0,TEXT(SUMPRODUCT(MAX(('Agences &amp; Après-vente'!$A$2:$A$1000=$A393)*(('Agences &amp; Après-vente'!$D$2:$D$1000="Après-vente")+('Agences &amp; Après-vente'!$D$2:$D$1000="Agences et Après-vente"))*'Agences &amp; Après-vente'!$E$2:$E$1000)),"yyyy-mm-dd"),"")))))</f>
        <v/>
      </c>
      <c r="J393" s="131" t="str">
        <f aca="false">IF($T393="✓","✓",IF(ISNUMBER($T393),TEXT($T393,"yyyy-mm-dd"),IF($A393="","",IF($D393="Lisbonne","",IF(SUMPRODUCT(('Agences &amp; Après-vente'!$A$2:$A$1000=$A393)*(('Agences &amp; Après-vente'!$D$2:$D$1000="Après-vente")+('Agences &amp; Après-vente'!$D$2:$D$1000="Agences et Après-vente"))*('Agences &amp; Après-vente'!$I$2:$I$1000="DONE"))&gt;0,"✓",IF(SUMPRODUCT(MAX(('Agences &amp; Après-vente'!$A$2:$A$1000=$A393)*(('Agences &amp; Après-vente'!$D$2:$D$1000="Après-vente")+('Agences &amp; Après-vente'!$D$2:$D$1000="Agences et Après-vente"))*'Agences &amp; Après-vente'!$E$2:$E$1000))&gt;0,TEXT(SUMPRODUCT(MAX(('Agences &amp; Après-vente'!$A$2:$A$1000=$A393)*(('Agences &amp; Après-vente'!$D$2:$D$1000="Après-vente")+('Agences &amp; Après-vente'!$D$2:$D$1000="Agences et Après-vente"))*'Agences &amp; Après-vente'!$E$2:$E$1000)),"yyyy-mm-dd"),""))))))</f>
        <v/>
      </c>
      <c r="K393" s="131" t="str">
        <f aca="false">IF($U393="✓","✓",IF(ISNUMBER($U393),TEXT($U393,"yyyy-mm-dd"),IF($D393="Lisbonne","",IF($A393="","",IF(SUMPRODUCT((Evermont!$A$2:$A$1000=$A393)*(Evermont!$Q$2:$Q$1000="Terminé"))&gt;0,"✓",IF(SUMPRODUCT(MAX((Evermont!$A$2:$A$1000=$A393)*Evermont!$F$2:$F$1000))&gt;0,TEXT(SUMPRODUCT(MAX((Evermont!$A$2:$A$1000=$A393)*Evermont!$F$2:$F$1000)),"yyyy-mm-dd"),""))))))</f>
        <v/>
      </c>
      <c r="L393" s="131" t="str">
        <f aca="false">IF($A393="","",COUNTIF(E393:K393,"✓"))</f>
        <v/>
      </c>
      <c r="M393" s="131" t="str">
        <f aca="false">IF(B393="","","Active")</f>
        <v/>
      </c>
      <c r="W393" s="120" t="str">
        <f aca="false">IF($A393="","",IF($X393&lt;&gt;"",$X393,IFERROR(INDEX('Formation Initiale'!$B$2:$B$999,MATCH($A393,'Formation Initiale'!$A$2:$A$999,0)),"Général")))</f>
        <v/>
      </c>
    </row>
    <row r="394" customFormat="false" ht="15" hidden="true" customHeight="true" outlineLevel="0" collapsed="false">
      <c r="A394" s="142" t="str">
        <f aca="false">IF(B394="","","TR"&amp;TEXT(ROW()-1,"000"))</f>
        <v/>
      </c>
      <c r="E394" s="130" t="str">
        <f aca="false">IF($O394="✓","✓",IF(ISNUMBER($O394),TEXT($O394,"yyyy-mm-dd"),IF($A394="","",IF(SUMPRODUCT(('Formation Initiale'!$A$2:$A$999=$A394)*('Formation Initiale'!$R$2:$R$999="Terminé"))&gt;0,"✓",IF(SUMPRODUCT(MAX(('Formation Initiale'!$A$2:$A$999=$A394)*'Formation Initiale'!$G$2:$G$999))&gt;0,TEXT(SUMPRODUCT(MAX(('Formation Initiale'!$A$2:$A$999=$A394)*'Formation Initiale'!$G$2:$G$999)),"yyyy-mm-dd"),"")))))</f>
        <v/>
      </c>
      <c r="F394" s="131" t="str">
        <f aca="false">IF($P394="✓","✓",IF(ISNUMBER($P394),TEXT($P394,"yyyy-mm-dd"),IF($A394="","",IF($D394="Lisbonne","",IF(SUMPRODUCT(('Formation Initiale'!$A$2:$A$999=$A394)*('Formation Initiale'!$R$2:$R$999="Terminé"))&gt;0,"✓",IF(SUMPRODUCT(MAX(('Formation Initiale'!$A$2:$A$999=$A394)*'Formation Initiale'!$G$2:$G$999))&gt;0,TEXT(SUMPRODUCT(MAX(('Formation Initiale'!$A$2:$A$999=$A394)*'Formation Initiale'!$G$2:$G$999)),"yyyy-mm-dd"),""))))))</f>
        <v/>
      </c>
      <c r="G394" s="131" t="str">
        <f aca="false">IF($Q394="✓","✓",IF(ISNUMBER($Q394),TEXT($Q394,"yyyy-mm-dd"),IF($A394="","",IF(SUMPRODUCT(('Agences &amp; Après-vente'!$A$2:$A$1000=$A394)*(('Agences &amp; Après-vente'!$D$2:$D$1000="Agences")+('Agences &amp; Après-vente'!$D$2:$D$1000="Agences et Après-vente"))*('Agences &amp; Après-vente'!$I$2:$I$1000="DONE"))&gt;0,"✓",IF(SUMPRODUCT(MAX(('Agences &amp; Après-vente'!$A$2:$A$1000=$A394)*(('Agences &amp; Après-vente'!$D$2:$D$1000="Agences")+('Agences &amp; Après-vente'!$D$2:$D$1000="Agences et Après-vente"))*'Agences &amp; Après-vente'!$E$2:$E$1000))&gt;0,TEXT(SUMPRODUCT(MAX(('Agences &amp; Après-vente'!$A$2:$A$1000=$A394)*(('Agences &amp; Après-vente'!$D$2:$D$1000="Agences")+('Agences &amp; Après-vente'!$D$2:$D$1000="Agences et Après-vente"))*'Agences &amp; Après-vente'!$E$2:$E$1000)),"yyyy-mm-dd"),"")))))</f>
        <v/>
      </c>
      <c r="H394" s="131" t="str">
        <f aca="false">IF($R394="✓","✓",IF(ISNUMBER($R394),TEXT($R394,"yyyy-mm-dd"),IF($A394="","",IF($D394="Lisbonne","",IF(SUMPRODUCT(('Agences &amp; Après-vente'!$A$2:$A$1000=$A394)*(('Agences &amp; Après-vente'!$D$2:$D$1000="Agences")+('Agences &amp; Après-vente'!$D$2:$D$1000="Agences et Après-vente"))*('Agences &amp; Après-vente'!$I$2:$I$1000="DONE"))&gt;0,"✓",IF(SUMPRODUCT(MAX(('Agences &amp; Après-vente'!$A$2:$A$1000=$A394)*(('Agences &amp; Après-vente'!$D$2:$D$1000="Agences")+('Agences &amp; Après-vente'!$D$2:$D$1000="Agences et Après-vente"))*'Agences &amp; Après-vente'!$E$2:$E$1000))&gt;0,TEXT(SUMPRODUCT(MAX(('Agences &amp; Après-vente'!$A$2:$A$1000=$A394)*(('Agences &amp; Après-vente'!$D$2:$D$1000="Agences")+('Agences &amp; Après-vente'!$D$2:$D$1000="Agences et Après-vente"))*'Agences &amp; Après-vente'!$E$2:$E$1000)),"yyyy-mm-dd"),""))))))</f>
        <v/>
      </c>
      <c r="I394" s="131" t="str">
        <f aca="false">IF($S394="✓","✓",IF(ISNUMBER($S394),TEXT($S394,"yyyy-mm-dd"),IF($A394="","",IF(SUMPRODUCT(('Agences &amp; Après-vente'!$A$2:$A$1000=$A394)*(('Agences &amp; Après-vente'!$D$2:$D$1000="Après-vente")+('Agences &amp; Après-vente'!$D$2:$D$1000="Agences et Après-vente"))*('Agences &amp; Après-vente'!$I$2:$I$1000="DONE"))&gt;0,"✓",IF(SUMPRODUCT(MAX(('Agences &amp; Après-vente'!$A$2:$A$1000=$A394)*(('Agences &amp; Après-vente'!$D$2:$D$1000="Après-vente")+('Agences &amp; Après-vente'!$D$2:$D$1000="Agences et Après-vente"))*'Agences &amp; Après-vente'!$E$2:$E$1000))&gt;0,TEXT(SUMPRODUCT(MAX(('Agences &amp; Après-vente'!$A$2:$A$1000=$A394)*(('Agences &amp; Après-vente'!$D$2:$D$1000="Après-vente")+('Agences &amp; Après-vente'!$D$2:$D$1000="Agences et Après-vente"))*'Agences &amp; Après-vente'!$E$2:$E$1000)),"yyyy-mm-dd"),"")))))</f>
        <v/>
      </c>
      <c r="J394" s="131" t="str">
        <f aca="false">IF($T394="✓","✓",IF(ISNUMBER($T394),TEXT($T394,"yyyy-mm-dd"),IF($A394="","",IF($D394="Lisbonne","",IF(SUMPRODUCT(('Agences &amp; Après-vente'!$A$2:$A$1000=$A394)*(('Agences &amp; Après-vente'!$D$2:$D$1000="Après-vente")+('Agences &amp; Après-vente'!$D$2:$D$1000="Agences et Après-vente"))*('Agences &amp; Après-vente'!$I$2:$I$1000="DONE"))&gt;0,"✓",IF(SUMPRODUCT(MAX(('Agences &amp; Après-vente'!$A$2:$A$1000=$A394)*(('Agences &amp; Après-vente'!$D$2:$D$1000="Après-vente")+('Agences &amp; Après-vente'!$D$2:$D$1000="Agences et Après-vente"))*'Agences &amp; Après-vente'!$E$2:$E$1000))&gt;0,TEXT(SUMPRODUCT(MAX(('Agences &amp; Après-vente'!$A$2:$A$1000=$A394)*(('Agences &amp; Après-vente'!$D$2:$D$1000="Après-vente")+('Agences &amp; Après-vente'!$D$2:$D$1000="Agences et Après-vente"))*'Agences &amp; Après-vente'!$E$2:$E$1000)),"yyyy-mm-dd"),""))))))</f>
        <v/>
      </c>
      <c r="K394" s="131" t="str">
        <f aca="false">IF($U394="✓","✓",IF(ISNUMBER($U394),TEXT($U394,"yyyy-mm-dd"),IF($D394="Lisbonne","",IF($A394="","",IF(SUMPRODUCT((Evermont!$A$2:$A$1000=$A394)*(Evermont!$Q$2:$Q$1000="Terminé"))&gt;0,"✓",IF(SUMPRODUCT(MAX((Evermont!$A$2:$A$1000=$A394)*Evermont!$F$2:$F$1000))&gt;0,TEXT(SUMPRODUCT(MAX((Evermont!$A$2:$A$1000=$A394)*Evermont!$F$2:$F$1000)),"yyyy-mm-dd"),""))))))</f>
        <v/>
      </c>
      <c r="L394" s="131" t="str">
        <f aca="false">IF($A394="","",COUNTIF(E394:K394,"✓"))</f>
        <v/>
      </c>
      <c r="M394" s="131" t="str">
        <f aca="false">IF(B394="","","Active")</f>
        <v/>
      </c>
      <c r="W394" s="120" t="str">
        <f aca="false">IF($A394="","",IF($X394&lt;&gt;"",$X394,IFERROR(INDEX('Formation Initiale'!$B$2:$B$999,MATCH($A394,'Formation Initiale'!$A$2:$A$999,0)),"Général")))</f>
        <v/>
      </c>
    </row>
    <row r="395" customFormat="false" ht="15" hidden="true" customHeight="true" outlineLevel="0" collapsed="false">
      <c r="A395" s="142" t="str">
        <f aca="false">IF(B395="","","TR"&amp;TEXT(ROW()-1,"000"))</f>
        <v/>
      </c>
      <c r="E395" s="130" t="str">
        <f aca="false">IF($O395="✓","✓",IF(ISNUMBER($O395),TEXT($O395,"yyyy-mm-dd"),IF($A395="","",IF(SUMPRODUCT(('Formation Initiale'!$A$2:$A$999=$A395)*('Formation Initiale'!$R$2:$R$999="Terminé"))&gt;0,"✓",IF(SUMPRODUCT(MAX(('Formation Initiale'!$A$2:$A$999=$A395)*'Formation Initiale'!$G$2:$G$999))&gt;0,TEXT(SUMPRODUCT(MAX(('Formation Initiale'!$A$2:$A$999=$A395)*'Formation Initiale'!$G$2:$G$999)),"yyyy-mm-dd"),"")))))</f>
        <v/>
      </c>
      <c r="F395" s="131" t="str">
        <f aca="false">IF($P395="✓","✓",IF(ISNUMBER($P395),TEXT($P395,"yyyy-mm-dd"),IF($A395="","",IF($D395="Lisbonne","",IF(SUMPRODUCT(('Formation Initiale'!$A$2:$A$999=$A395)*('Formation Initiale'!$R$2:$R$999="Terminé"))&gt;0,"✓",IF(SUMPRODUCT(MAX(('Formation Initiale'!$A$2:$A$999=$A395)*'Formation Initiale'!$G$2:$G$999))&gt;0,TEXT(SUMPRODUCT(MAX(('Formation Initiale'!$A$2:$A$999=$A395)*'Formation Initiale'!$G$2:$G$999)),"yyyy-mm-dd"),""))))))</f>
        <v/>
      </c>
      <c r="G395" s="131" t="str">
        <f aca="false">IF($Q395="✓","✓",IF(ISNUMBER($Q395),TEXT($Q395,"yyyy-mm-dd"),IF($A395="","",IF(SUMPRODUCT(('Agences &amp; Après-vente'!$A$2:$A$1000=$A395)*(('Agences &amp; Après-vente'!$D$2:$D$1000="Agences")+('Agences &amp; Après-vente'!$D$2:$D$1000="Agences et Après-vente"))*('Agences &amp; Après-vente'!$I$2:$I$1000="DONE"))&gt;0,"✓",IF(SUMPRODUCT(MAX(('Agences &amp; Après-vente'!$A$2:$A$1000=$A395)*(('Agences &amp; Après-vente'!$D$2:$D$1000="Agences")+('Agences &amp; Après-vente'!$D$2:$D$1000="Agences et Après-vente"))*'Agences &amp; Après-vente'!$E$2:$E$1000))&gt;0,TEXT(SUMPRODUCT(MAX(('Agences &amp; Après-vente'!$A$2:$A$1000=$A395)*(('Agences &amp; Après-vente'!$D$2:$D$1000="Agences")+('Agences &amp; Après-vente'!$D$2:$D$1000="Agences et Après-vente"))*'Agences &amp; Après-vente'!$E$2:$E$1000)),"yyyy-mm-dd"),"")))))</f>
        <v/>
      </c>
      <c r="H395" s="131" t="str">
        <f aca="false">IF($R395="✓","✓",IF(ISNUMBER($R395),TEXT($R395,"yyyy-mm-dd"),IF($A395="","",IF($D395="Lisbonne","",IF(SUMPRODUCT(('Agences &amp; Après-vente'!$A$2:$A$1000=$A395)*(('Agences &amp; Après-vente'!$D$2:$D$1000="Agences")+('Agences &amp; Après-vente'!$D$2:$D$1000="Agences et Après-vente"))*('Agences &amp; Après-vente'!$I$2:$I$1000="DONE"))&gt;0,"✓",IF(SUMPRODUCT(MAX(('Agences &amp; Après-vente'!$A$2:$A$1000=$A395)*(('Agences &amp; Après-vente'!$D$2:$D$1000="Agences")+('Agences &amp; Après-vente'!$D$2:$D$1000="Agences et Après-vente"))*'Agences &amp; Après-vente'!$E$2:$E$1000))&gt;0,TEXT(SUMPRODUCT(MAX(('Agences &amp; Après-vente'!$A$2:$A$1000=$A395)*(('Agences &amp; Après-vente'!$D$2:$D$1000="Agences")+('Agences &amp; Après-vente'!$D$2:$D$1000="Agences et Après-vente"))*'Agences &amp; Après-vente'!$E$2:$E$1000)),"yyyy-mm-dd"),""))))))</f>
        <v/>
      </c>
      <c r="I395" s="131" t="str">
        <f aca="false">IF($S395="✓","✓",IF(ISNUMBER($S395),TEXT($S395,"yyyy-mm-dd"),IF($A395="","",IF(SUMPRODUCT(('Agences &amp; Après-vente'!$A$2:$A$1000=$A395)*(('Agences &amp; Après-vente'!$D$2:$D$1000="Après-vente")+('Agences &amp; Après-vente'!$D$2:$D$1000="Agences et Après-vente"))*('Agences &amp; Après-vente'!$I$2:$I$1000="DONE"))&gt;0,"✓",IF(SUMPRODUCT(MAX(('Agences &amp; Après-vente'!$A$2:$A$1000=$A395)*(('Agences &amp; Après-vente'!$D$2:$D$1000="Après-vente")+('Agences &amp; Après-vente'!$D$2:$D$1000="Agences et Après-vente"))*'Agences &amp; Après-vente'!$E$2:$E$1000))&gt;0,TEXT(SUMPRODUCT(MAX(('Agences &amp; Après-vente'!$A$2:$A$1000=$A395)*(('Agences &amp; Après-vente'!$D$2:$D$1000="Après-vente")+('Agences &amp; Après-vente'!$D$2:$D$1000="Agences et Après-vente"))*'Agences &amp; Après-vente'!$E$2:$E$1000)),"yyyy-mm-dd"),"")))))</f>
        <v/>
      </c>
      <c r="J395" s="131" t="str">
        <f aca="false">IF($T395="✓","✓",IF(ISNUMBER($T395),TEXT($T395,"yyyy-mm-dd"),IF($A395="","",IF($D395="Lisbonne","",IF(SUMPRODUCT(('Agences &amp; Après-vente'!$A$2:$A$1000=$A395)*(('Agences &amp; Après-vente'!$D$2:$D$1000="Après-vente")+('Agences &amp; Après-vente'!$D$2:$D$1000="Agences et Après-vente"))*('Agences &amp; Après-vente'!$I$2:$I$1000="DONE"))&gt;0,"✓",IF(SUMPRODUCT(MAX(('Agences &amp; Après-vente'!$A$2:$A$1000=$A395)*(('Agences &amp; Après-vente'!$D$2:$D$1000="Après-vente")+('Agences &amp; Après-vente'!$D$2:$D$1000="Agences et Après-vente"))*'Agences &amp; Après-vente'!$E$2:$E$1000))&gt;0,TEXT(SUMPRODUCT(MAX(('Agences &amp; Après-vente'!$A$2:$A$1000=$A395)*(('Agences &amp; Après-vente'!$D$2:$D$1000="Après-vente")+('Agences &amp; Après-vente'!$D$2:$D$1000="Agences et Après-vente"))*'Agences &amp; Après-vente'!$E$2:$E$1000)),"yyyy-mm-dd"),""))))))</f>
        <v/>
      </c>
      <c r="K395" s="131" t="str">
        <f aca="false">IF($U395="✓","✓",IF(ISNUMBER($U395),TEXT($U395,"yyyy-mm-dd"),IF($D395="Lisbonne","",IF($A395="","",IF(SUMPRODUCT((Evermont!$A$2:$A$1000=$A395)*(Evermont!$Q$2:$Q$1000="Terminé"))&gt;0,"✓",IF(SUMPRODUCT(MAX((Evermont!$A$2:$A$1000=$A395)*Evermont!$F$2:$F$1000))&gt;0,TEXT(SUMPRODUCT(MAX((Evermont!$A$2:$A$1000=$A395)*Evermont!$F$2:$F$1000)),"yyyy-mm-dd"),""))))))</f>
        <v/>
      </c>
      <c r="L395" s="131" t="str">
        <f aca="false">IF($A395="","",COUNTIF(E395:K395,"✓"))</f>
        <v/>
      </c>
      <c r="M395" s="131" t="str">
        <f aca="false">IF(B395="","","Active")</f>
        <v/>
      </c>
      <c r="W395" s="120" t="str">
        <f aca="false">IF($A395="","",IF($X395&lt;&gt;"",$X395,IFERROR(INDEX('Formation Initiale'!$B$2:$B$999,MATCH($A395,'Formation Initiale'!$A$2:$A$999,0)),"Général")))</f>
        <v/>
      </c>
    </row>
    <row r="396" customFormat="false" ht="15" hidden="true" customHeight="true" outlineLevel="0" collapsed="false">
      <c r="A396" s="142" t="str">
        <f aca="false">IF(B396="","","TR"&amp;TEXT(ROW()-1,"000"))</f>
        <v/>
      </c>
      <c r="E396" s="130" t="str">
        <f aca="false">IF($O396="✓","✓",IF(ISNUMBER($O396),TEXT($O396,"yyyy-mm-dd"),IF($A396="","",IF(SUMPRODUCT(('Formation Initiale'!$A$2:$A$999=$A396)*('Formation Initiale'!$R$2:$R$999="Terminé"))&gt;0,"✓",IF(SUMPRODUCT(MAX(('Formation Initiale'!$A$2:$A$999=$A396)*'Formation Initiale'!$G$2:$G$999))&gt;0,TEXT(SUMPRODUCT(MAX(('Formation Initiale'!$A$2:$A$999=$A396)*'Formation Initiale'!$G$2:$G$999)),"yyyy-mm-dd"),"")))))</f>
        <v/>
      </c>
      <c r="F396" s="131" t="str">
        <f aca="false">IF($P396="✓","✓",IF(ISNUMBER($P396),TEXT($P396,"yyyy-mm-dd"),IF($A396="","",IF($D396="Lisbonne","",IF(SUMPRODUCT(('Formation Initiale'!$A$2:$A$999=$A396)*('Formation Initiale'!$R$2:$R$999="Terminé"))&gt;0,"✓",IF(SUMPRODUCT(MAX(('Formation Initiale'!$A$2:$A$999=$A396)*'Formation Initiale'!$G$2:$G$999))&gt;0,TEXT(SUMPRODUCT(MAX(('Formation Initiale'!$A$2:$A$999=$A396)*'Formation Initiale'!$G$2:$G$999)),"yyyy-mm-dd"),""))))))</f>
        <v/>
      </c>
      <c r="G396" s="131" t="str">
        <f aca="false">IF($Q396="✓","✓",IF(ISNUMBER($Q396),TEXT($Q396,"yyyy-mm-dd"),IF($A396="","",IF(SUMPRODUCT(('Agences &amp; Après-vente'!$A$2:$A$1000=$A396)*(('Agences &amp; Après-vente'!$D$2:$D$1000="Agences")+('Agences &amp; Après-vente'!$D$2:$D$1000="Agences et Après-vente"))*('Agences &amp; Après-vente'!$I$2:$I$1000="DONE"))&gt;0,"✓",IF(SUMPRODUCT(MAX(('Agences &amp; Après-vente'!$A$2:$A$1000=$A396)*(('Agences &amp; Après-vente'!$D$2:$D$1000="Agences")+('Agences &amp; Après-vente'!$D$2:$D$1000="Agences et Après-vente"))*'Agences &amp; Après-vente'!$E$2:$E$1000))&gt;0,TEXT(SUMPRODUCT(MAX(('Agences &amp; Après-vente'!$A$2:$A$1000=$A396)*(('Agences &amp; Après-vente'!$D$2:$D$1000="Agences")+('Agences &amp; Après-vente'!$D$2:$D$1000="Agences et Après-vente"))*'Agences &amp; Après-vente'!$E$2:$E$1000)),"yyyy-mm-dd"),"")))))</f>
        <v/>
      </c>
      <c r="H396" s="131" t="str">
        <f aca="false">IF($R396="✓","✓",IF(ISNUMBER($R396),TEXT($R396,"yyyy-mm-dd"),IF($A396="","",IF($D396="Lisbonne","",IF(SUMPRODUCT(('Agences &amp; Après-vente'!$A$2:$A$1000=$A396)*(('Agences &amp; Après-vente'!$D$2:$D$1000="Agences")+('Agences &amp; Après-vente'!$D$2:$D$1000="Agences et Après-vente"))*('Agences &amp; Après-vente'!$I$2:$I$1000="DONE"))&gt;0,"✓",IF(SUMPRODUCT(MAX(('Agences &amp; Après-vente'!$A$2:$A$1000=$A396)*(('Agences &amp; Après-vente'!$D$2:$D$1000="Agences")+('Agences &amp; Après-vente'!$D$2:$D$1000="Agences et Après-vente"))*'Agences &amp; Après-vente'!$E$2:$E$1000))&gt;0,TEXT(SUMPRODUCT(MAX(('Agences &amp; Après-vente'!$A$2:$A$1000=$A396)*(('Agences &amp; Après-vente'!$D$2:$D$1000="Agences")+('Agences &amp; Après-vente'!$D$2:$D$1000="Agences et Après-vente"))*'Agences &amp; Après-vente'!$E$2:$E$1000)),"yyyy-mm-dd"),""))))))</f>
        <v/>
      </c>
      <c r="I396" s="131" t="str">
        <f aca="false">IF($S396="✓","✓",IF(ISNUMBER($S396),TEXT($S396,"yyyy-mm-dd"),IF($A396="","",IF(SUMPRODUCT(('Agences &amp; Après-vente'!$A$2:$A$1000=$A396)*(('Agences &amp; Après-vente'!$D$2:$D$1000="Après-vente")+('Agences &amp; Après-vente'!$D$2:$D$1000="Agences et Après-vente"))*('Agences &amp; Après-vente'!$I$2:$I$1000="DONE"))&gt;0,"✓",IF(SUMPRODUCT(MAX(('Agences &amp; Après-vente'!$A$2:$A$1000=$A396)*(('Agences &amp; Après-vente'!$D$2:$D$1000="Après-vente")+('Agences &amp; Après-vente'!$D$2:$D$1000="Agences et Après-vente"))*'Agences &amp; Après-vente'!$E$2:$E$1000))&gt;0,TEXT(SUMPRODUCT(MAX(('Agences &amp; Après-vente'!$A$2:$A$1000=$A396)*(('Agences &amp; Après-vente'!$D$2:$D$1000="Après-vente")+('Agences &amp; Après-vente'!$D$2:$D$1000="Agences et Après-vente"))*'Agences &amp; Après-vente'!$E$2:$E$1000)),"yyyy-mm-dd"),"")))))</f>
        <v/>
      </c>
      <c r="J396" s="131" t="str">
        <f aca="false">IF($T396="✓","✓",IF(ISNUMBER($T396),TEXT($T396,"yyyy-mm-dd"),IF($A396="","",IF($D396="Lisbonne","",IF(SUMPRODUCT(('Agences &amp; Après-vente'!$A$2:$A$1000=$A396)*(('Agences &amp; Après-vente'!$D$2:$D$1000="Après-vente")+('Agences &amp; Après-vente'!$D$2:$D$1000="Agences et Après-vente"))*('Agences &amp; Après-vente'!$I$2:$I$1000="DONE"))&gt;0,"✓",IF(SUMPRODUCT(MAX(('Agences &amp; Après-vente'!$A$2:$A$1000=$A396)*(('Agences &amp; Après-vente'!$D$2:$D$1000="Après-vente")+('Agences &amp; Après-vente'!$D$2:$D$1000="Agences et Après-vente"))*'Agences &amp; Après-vente'!$E$2:$E$1000))&gt;0,TEXT(SUMPRODUCT(MAX(('Agences &amp; Après-vente'!$A$2:$A$1000=$A396)*(('Agences &amp; Après-vente'!$D$2:$D$1000="Après-vente")+('Agences &amp; Après-vente'!$D$2:$D$1000="Agences et Après-vente"))*'Agences &amp; Après-vente'!$E$2:$E$1000)),"yyyy-mm-dd"),""))))))</f>
        <v/>
      </c>
      <c r="K396" s="131" t="str">
        <f aca="false">IF($U396="✓","✓",IF(ISNUMBER($U396),TEXT($U396,"yyyy-mm-dd"),IF($D396="Lisbonne","",IF($A396="","",IF(SUMPRODUCT((Evermont!$A$2:$A$1000=$A396)*(Evermont!$Q$2:$Q$1000="Terminé"))&gt;0,"✓",IF(SUMPRODUCT(MAX((Evermont!$A$2:$A$1000=$A396)*Evermont!$F$2:$F$1000))&gt;0,TEXT(SUMPRODUCT(MAX((Evermont!$A$2:$A$1000=$A396)*Evermont!$F$2:$F$1000)),"yyyy-mm-dd"),""))))))</f>
        <v/>
      </c>
      <c r="L396" s="131" t="str">
        <f aca="false">IF($A396="","",COUNTIF(E396:K396,"✓"))</f>
        <v/>
      </c>
      <c r="M396" s="131" t="str">
        <f aca="false">IF(B396="","","Active")</f>
        <v/>
      </c>
      <c r="W396" s="120" t="str">
        <f aca="false">IF($A396="","",IF($X396&lt;&gt;"",$X396,IFERROR(INDEX('Formation Initiale'!$B$2:$B$999,MATCH($A396,'Formation Initiale'!$A$2:$A$999,0)),"Général")))</f>
        <v/>
      </c>
    </row>
    <row r="397" customFormat="false" ht="15" hidden="true" customHeight="true" outlineLevel="0" collapsed="false">
      <c r="A397" s="142" t="str">
        <f aca="false">IF(B397="","","TR"&amp;TEXT(ROW()-1,"000"))</f>
        <v/>
      </c>
      <c r="E397" s="130" t="str">
        <f aca="false">IF($O397="✓","✓",IF(ISNUMBER($O397),TEXT($O397,"yyyy-mm-dd"),IF($A397="","",IF(SUMPRODUCT(('Formation Initiale'!$A$2:$A$999=$A397)*('Formation Initiale'!$R$2:$R$999="Terminé"))&gt;0,"✓",IF(SUMPRODUCT(MAX(('Formation Initiale'!$A$2:$A$999=$A397)*'Formation Initiale'!$G$2:$G$999))&gt;0,TEXT(SUMPRODUCT(MAX(('Formation Initiale'!$A$2:$A$999=$A397)*'Formation Initiale'!$G$2:$G$999)),"yyyy-mm-dd"),"")))))</f>
        <v/>
      </c>
      <c r="F397" s="131" t="str">
        <f aca="false">IF($P397="✓","✓",IF(ISNUMBER($P397),TEXT($P397,"yyyy-mm-dd"),IF($A397="","",IF($D397="Lisbonne","",IF(SUMPRODUCT(('Formation Initiale'!$A$2:$A$999=$A397)*('Formation Initiale'!$R$2:$R$999="Terminé"))&gt;0,"✓",IF(SUMPRODUCT(MAX(('Formation Initiale'!$A$2:$A$999=$A397)*'Formation Initiale'!$G$2:$G$999))&gt;0,TEXT(SUMPRODUCT(MAX(('Formation Initiale'!$A$2:$A$999=$A397)*'Formation Initiale'!$G$2:$G$999)),"yyyy-mm-dd"),""))))))</f>
        <v/>
      </c>
      <c r="G397" s="131" t="str">
        <f aca="false">IF($Q397="✓","✓",IF(ISNUMBER($Q397),TEXT($Q397,"yyyy-mm-dd"),IF($A397="","",IF(SUMPRODUCT(('Agences &amp; Après-vente'!$A$2:$A$1000=$A397)*(('Agences &amp; Après-vente'!$D$2:$D$1000="Agences")+('Agences &amp; Après-vente'!$D$2:$D$1000="Agences et Après-vente"))*('Agences &amp; Après-vente'!$I$2:$I$1000="DONE"))&gt;0,"✓",IF(SUMPRODUCT(MAX(('Agences &amp; Après-vente'!$A$2:$A$1000=$A397)*(('Agences &amp; Après-vente'!$D$2:$D$1000="Agences")+('Agences &amp; Après-vente'!$D$2:$D$1000="Agences et Après-vente"))*'Agences &amp; Après-vente'!$E$2:$E$1000))&gt;0,TEXT(SUMPRODUCT(MAX(('Agences &amp; Après-vente'!$A$2:$A$1000=$A397)*(('Agences &amp; Après-vente'!$D$2:$D$1000="Agences")+('Agences &amp; Après-vente'!$D$2:$D$1000="Agences et Après-vente"))*'Agences &amp; Après-vente'!$E$2:$E$1000)),"yyyy-mm-dd"),"")))))</f>
        <v/>
      </c>
      <c r="H397" s="131" t="str">
        <f aca="false">IF($R397="✓","✓",IF(ISNUMBER($R397),TEXT($R397,"yyyy-mm-dd"),IF($A397="","",IF($D397="Lisbonne","",IF(SUMPRODUCT(('Agences &amp; Après-vente'!$A$2:$A$1000=$A397)*(('Agences &amp; Après-vente'!$D$2:$D$1000="Agences")+('Agences &amp; Après-vente'!$D$2:$D$1000="Agences et Après-vente"))*('Agences &amp; Après-vente'!$I$2:$I$1000="DONE"))&gt;0,"✓",IF(SUMPRODUCT(MAX(('Agences &amp; Après-vente'!$A$2:$A$1000=$A397)*(('Agences &amp; Après-vente'!$D$2:$D$1000="Agences")+('Agences &amp; Après-vente'!$D$2:$D$1000="Agences et Après-vente"))*'Agences &amp; Après-vente'!$E$2:$E$1000))&gt;0,TEXT(SUMPRODUCT(MAX(('Agences &amp; Après-vente'!$A$2:$A$1000=$A397)*(('Agences &amp; Après-vente'!$D$2:$D$1000="Agences")+('Agences &amp; Après-vente'!$D$2:$D$1000="Agences et Après-vente"))*'Agences &amp; Après-vente'!$E$2:$E$1000)),"yyyy-mm-dd"),""))))))</f>
        <v/>
      </c>
      <c r="I397" s="131" t="str">
        <f aca="false">IF($S397="✓","✓",IF(ISNUMBER($S397),TEXT($S397,"yyyy-mm-dd"),IF($A397="","",IF(SUMPRODUCT(('Agences &amp; Après-vente'!$A$2:$A$1000=$A397)*(('Agences &amp; Après-vente'!$D$2:$D$1000="Après-vente")+('Agences &amp; Après-vente'!$D$2:$D$1000="Agences et Après-vente"))*('Agences &amp; Après-vente'!$I$2:$I$1000="DONE"))&gt;0,"✓",IF(SUMPRODUCT(MAX(('Agences &amp; Après-vente'!$A$2:$A$1000=$A397)*(('Agences &amp; Après-vente'!$D$2:$D$1000="Après-vente")+('Agences &amp; Après-vente'!$D$2:$D$1000="Agences et Après-vente"))*'Agences &amp; Après-vente'!$E$2:$E$1000))&gt;0,TEXT(SUMPRODUCT(MAX(('Agences &amp; Après-vente'!$A$2:$A$1000=$A397)*(('Agences &amp; Après-vente'!$D$2:$D$1000="Après-vente")+('Agences &amp; Après-vente'!$D$2:$D$1000="Agences et Après-vente"))*'Agences &amp; Après-vente'!$E$2:$E$1000)),"yyyy-mm-dd"),"")))))</f>
        <v/>
      </c>
      <c r="J397" s="131" t="str">
        <f aca="false">IF($T397="✓","✓",IF(ISNUMBER($T397),TEXT($T397,"yyyy-mm-dd"),IF($A397="","",IF($D397="Lisbonne","",IF(SUMPRODUCT(('Agences &amp; Après-vente'!$A$2:$A$1000=$A397)*(('Agences &amp; Après-vente'!$D$2:$D$1000="Après-vente")+('Agences &amp; Après-vente'!$D$2:$D$1000="Agences et Après-vente"))*('Agences &amp; Après-vente'!$I$2:$I$1000="DONE"))&gt;0,"✓",IF(SUMPRODUCT(MAX(('Agences &amp; Après-vente'!$A$2:$A$1000=$A397)*(('Agences &amp; Après-vente'!$D$2:$D$1000="Après-vente")+('Agences &amp; Après-vente'!$D$2:$D$1000="Agences et Après-vente"))*'Agences &amp; Après-vente'!$E$2:$E$1000))&gt;0,TEXT(SUMPRODUCT(MAX(('Agences &amp; Après-vente'!$A$2:$A$1000=$A397)*(('Agences &amp; Après-vente'!$D$2:$D$1000="Après-vente")+('Agences &amp; Après-vente'!$D$2:$D$1000="Agences et Après-vente"))*'Agences &amp; Après-vente'!$E$2:$E$1000)),"yyyy-mm-dd"),""))))))</f>
        <v/>
      </c>
      <c r="K397" s="131" t="str">
        <f aca="false">IF($U397="✓","✓",IF(ISNUMBER($U397),TEXT($U397,"yyyy-mm-dd"),IF($D397="Lisbonne","",IF($A397="","",IF(SUMPRODUCT((Evermont!$A$2:$A$1000=$A397)*(Evermont!$Q$2:$Q$1000="Terminé"))&gt;0,"✓",IF(SUMPRODUCT(MAX((Evermont!$A$2:$A$1000=$A397)*Evermont!$F$2:$F$1000))&gt;0,TEXT(SUMPRODUCT(MAX((Evermont!$A$2:$A$1000=$A397)*Evermont!$F$2:$F$1000)),"yyyy-mm-dd"),""))))))</f>
        <v/>
      </c>
      <c r="L397" s="131" t="str">
        <f aca="false">IF($A397="","",COUNTIF(E397:K397,"✓"))</f>
        <v/>
      </c>
      <c r="M397" s="131" t="str">
        <f aca="false">IF(B397="","","Active")</f>
        <v/>
      </c>
      <c r="W397" s="120" t="str">
        <f aca="false">IF($A397="","",IF($X397&lt;&gt;"",$X397,IFERROR(INDEX('Formation Initiale'!$B$2:$B$999,MATCH($A397,'Formation Initiale'!$A$2:$A$999,0)),"Général")))</f>
        <v/>
      </c>
    </row>
    <row r="398" customFormat="false" ht="15" hidden="true" customHeight="true" outlineLevel="0" collapsed="false">
      <c r="A398" s="142" t="str">
        <f aca="false">IF(B398="","","TR"&amp;TEXT(ROW()-1,"000"))</f>
        <v/>
      </c>
      <c r="E398" s="130" t="str">
        <f aca="false">IF($O398="✓","✓",IF(ISNUMBER($O398),TEXT($O398,"yyyy-mm-dd"),IF($A398="","",IF(SUMPRODUCT(('Formation Initiale'!$A$2:$A$999=$A398)*('Formation Initiale'!$R$2:$R$999="Terminé"))&gt;0,"✓",IF(SUMPRODUCT(MAX(('Formation Initiale'!$A$2:$A$999=$A398)*'Formation Initiale'!$G$2:$G$999))&gt;0,TEXT(SUMPRODUCT(MAX(('Formation Initiale'!$A$2:$A$999=$A398)*'Formation Initiale'!$G$2:$G$999)),"yyyy-mm-dd"),"")))))</f>
        <v/>
      </c>
      <c r="F398" s="131" t="str">
        <f aca="false">IF($P398="✓","✓",IF(ISNUMBER($P398),TEXT($P398,"yyyy-mm-dd"),IF($A398="","",IF($D398="Lisbonne","",IF(SUMPRODUCT(('Formation Initiale'!$A$2:$A$999=$A398)*('Formation Initiale'!$R$2:$R$999="Terminé"))&gt;0,"✓",IF(SUMPRODUCT(MAX(('Formation Initiale'!$A$2:$A$999=$A398)*'Formation Initiale'!$G$2:$G$999))&gt;0,TEXT(SUMPRODUCT(MAX(('Formation Initiale'!$A$2:$A$999=$A398)*'Formation Initiale'!$G$2:$G$999)),"yyyy-mm-dd"),""))))))</f>
        <v/>
      </c>
      <c r="G398" s="131" t="str">
        <f aca="false">IF($Q398="✓","✓",IF(ISNUMBER($Q398),TEXT($Q398,"yyyy-mm-dd"),IF($A398="","",IF(SUMPRODUCT(('Agences &amp; Après-vente'!$A$2:$A$1000=$A398)*(('Agences &amp; Après-vente'!$D$2:$D$1000="Agences")+('Agences &amp; Après-vente'!$D$2:$D$1000="Agences et Après-vente"))*('Agences &amp; Après-vente'!$I$2:$I$1000="DONE"))&gt;0,"✓",IF(SUMPRODUCT(MAX(('Agences &amp; Après-vente'!$A$2:$A$1000=$A398)*(('Agences &amp; Après-vente'!$D$2:$D$1000="Agences")+('Agences &amp; Après-vente'!$D$2:$D$1000="Agences et Après-vente"))*'Agences &amp; Après-vente'!$E$2:$E$1000))&gt;0,TEXT(SUMPRODUCT(MAX(('Agences &amp; Après-vente'!$A$2:$A$1000=$A398)*(('Agences &amp; Après-vente'!$D$2:$D$1000="Agences")+('Agences &amp; Après-vente'!$D$2:$D$1000="Agences et Après-vente"))*'Agences &amp; Après-vente'!$E$2:$E$1000)),"yyyy-mm-dd"),"")))))</f>
        <v/>
      </c>
      <c r="H398" s="131" t="str">
        <f aca="false">IF($R398="✓","✓",IF(ISNUMBER($R398),TEXT($R398,"yyyy-mm-dd"),IF($A398="","",IF($D398="Lisbonne","",IF(SUMPRODUCT(('Agences &amp; Après-vente'!$A$2:$A$1000=$A398)*(('Agences &amp; Après-vente'!$D$2:$D$1000="Agences")+('Agences &amp; Après-vente'!$D$2:$D$1000="Agences et Après-vente"))*('Agences &amp; Après-vente'!$I$2:$I$1000="DONE"))&gt;0,"✓",IF(SUMPRODUCT(MAX(('Agences &amp; Après-vente'!$A$2:$A$1000=$A398)*(('Agences &amp; Après-vente'!$D$2:$D$1000="Agences")+('Agences &amp; Après-vente'!$D$2:$D$1000="Agences et Après-vente"))*'Agences &amp; Après-vente'!$E$2:$E$1000))&gt;0,TEXT(SUMPRODUCT(MAX(('Agences &amp; Après-vente'!$A$2:$A$1000=$A398)*(('Agences &amp; Après-vente'!$D$2:$D$1000="Agences")+('Agences &amp; Après-vente'!$D$2:$D$1000="Agences et Après-vente"))*'Agences &amp; Après-vente'!$E$2:$E$1000)),"yyyy-mm-dd"),""))))))</f>
        <v/>
      </c>
      <c r="I398" s="131" t="str">
        <f aca="false">IF($S398="✓","✓",IF(ISNUMBER($S398),TEXT($S398,"yyyy-mm-dd"),IF($A398="","",IF(SUMPRODUCT(('Agences &amp; Après-vente'!$A$2:$A$1000=$A398)*(('Agences &amp; Après-vente'!$D$2:$D$1000="Après-vente")+('Agences &amp; Après-vente'!$D$2:$D$1000="Agences et Après-vente"))*('Agences &amp; Après-vente'!$I$2:$I$1000="DONE"))&gt;0,"✓",IF(SUMPRODUCT(MAX(('Agences &amp; Après-vente'!$A$2:$A$1000=$A398)*(('Agences &amp; Après-vente'!$D$2:$D$1000="Après-vente")+('Agences &amp; Après-vente'!$D$2:$D$1000="Agences et Après-vente"))*'Agences &amp; Après-vente'!$E$2:$E$1000))&gt;0,TEXT(SUMPRODUCT(MAX(('Agences &amp; Après-vente'!$A$2:$A$1000=$A398)*(('Agences &amp; Après-vente'!$D$2:$D$1000="Après-vente")+('Agences &amp; Après-vente'!$D$2:$D$1000="Agences et Après-vente"))*'Agences &amp; Après-vente'!$E$2:$E$1000)),"yyyy-mm-dd"),"")))))</f>
        <v/>
      </c>
      <c r="J398" s="131" t="str">
        <f aca="false">IF($T398="✓","✓",IF(ISNUMBER($T398),TEXT($T398,"yyyy-mm-dd"),IF($A398="","",IF($D398="Lisbonne","",IF(SUMPRODUCT(('Agences &amp; Après-vente'!$A$2:$A$1000=$A398)*(('Agences &amp; Après-vente'!$D$2:$D$1000="Après-vente")+('Agences &amp; Après-vente'!$D$2:$D$1000="Agences et Après-vente"))*('Agences &amp; Après-vente'!$I$2:$I$1000="DONE"))&gt;0,"✓",IF(SUMPRODUCT(MAX(('Agences &amp; Après-vente'!$A$2:$A$1000=$A398)*(('Agences &amp; Après-vente'!$D$2:$D$1000="Après-vente")+('Agences &amp; Après-vente'!$D$2:$D$1000="Agences et Après-vente"))*'Agences &amp; Après-vente'!$E$2:$E$1000))&gt;0,TEXT(SUMPRODUCT(MAX(('Agences &amp; Après-vente'!$A$2:$A$1000=$A398)*(('Agences &amp; Après-vente'!$D$2:$D$1000="Après-vente")+('Agences &amp; Après-vente'!$D$2:$D$1000="Agences et Après-vente"))*'Agences &amp; Après-vente'!$E$2:$E$1000)),"yyyy-mm-dd"),""))))))</f>
        <v/>
      </c>
      <c r="K398" s="131" t="str">
        <f aca="false">IF($U398="✓","✓",IF(ISNUMBER($U398),TEXT($U398,"yyyy-mm-dd"),IF($D398="Lisbonne","",IF($A398="","",IF(SUMPRODUCT((Evermont!$A$2:$A$1000=$A398)*(Evermont!$Q$2:$Q$1000="Terminé"))&gt;0,"✓",IF(SUMPRODUCT(MAX((Evermont!$A$2:$A$1000=$A398)*Evermont!$F$2:$F$1000))&gt;0,TEXT(SUMPRODUCT(MAX((Evermont!$A$2:$A$1000=$A398)*Evermont!$F$2:$F$1000)),"yyyy-mm-dd"),""))))))</f>
        <v/>
      </c>
      <c r="L398" s="131" t="str">
        <f aca="false">IF($A398="","",COUNTIF(E398:K398,"✓"))</f>
        <v/>
      </c>
      <c r="M398" s="131" t="str">
        <f aca="false">IF(B398="","","Active")</f>
        <v/>
      </c>
      <c r="W398" s="120" t="str">
        <f aca="false">IF($A398="","",IF($X398&lt;&gt;"",$X398,IFERROR(INDEX('Formation Initiale'!$B$2:$B$999,MATCH($A398,'Formation Initiale'!$A$2:$A$999,0)),"Général")))</f>
        <v/>
      </c>
    </row>
    <row r="399" customFormat="false" ht="15" hidden="true" customHeight="true" outlineLevel="0" collapsed="false">
      <c r="A399" s="142" t="str">
        <f aca="false">IF(B399="","","TR"&amp;TEXT(ROW()-1,"000"))</f>
        <v/>
      </c>
      <c r="E399" s="130" t="str">
        <f aca="false">IF($O399="✓","✓",IF(ISNUMBER($O399),TEXT($O399,"yyyy-mm-dd"),IF($A399="","",IF(SUMPRODUCT(('Formation Initiale'!$A$2:$A$999=$A399)*('Formation Initiale'!$R$2:$R$999="Terminé"))&gt;0,"✓",IF(SUMPRODUCT(MAX(('Formation Initiale'!$A$2:$A$999=$A399)*'Formation Initiale'!$G$2:$G$999))&gt;0,TEXT(SUMPRODUCT(MAX(('Formation Initiale'!$A$2:$A$999=$A399)*'Formation Initiale'!$G$2:$G$999)),"yyyy-mm-dd"),"")))))</f>
        <v/>
      </c>
      <c r="F399" s="131" t="str">
        <f aca="false">IF($P399="✓","✓",IF(ISNUMBER($P399),TEXT($P399,"yyyy-mm-dd"),IF($A399="","",IF($D399="Lisbonne","",IF(SUMPRODUCT(('Formation Initiale'!$A$2:$A$999=$A399)*('Formation Initiale'!$R$2:$R$999="Terminé"))&gt;0,"✓",IF(SUMPRODUCT(MAX(('Formation Initiale'!$A$2:$A$999=$A399)*'Formation Initiale'!$G$2:$G$999))&gt;0,TEXT(SUMPRODUCT(MAX(('Formation Initiale'!$A$2:$A$999=$A399)*'Formation Initiale'!$G$2:$G$999)),"yyyy-mm-dd"),""))))))</f>
        <v/>
      </c>
      <c r="G399" s="131" t="str">
        <f aca="false">IF($Q399="✓","✓",IF(ISNUMBER($Q399),TEXT($Q399,"yyyy-mm-dd"),IF($A399="","",IF(SUMPRODUCT(('Agences &amp; Après-vente'!$A$2:$A$1000=$A399)*(('Agences &amp; Après-vente'!$D$2:$D$1000="Agences")+('Agences &amp; Après-vente'!$D$2:$D$1000="Agences et Après-vente"))*('Agences &amp; Après-vente'!$I$2:$I$1000="DONE"))&gt;0,"✓",IF(SUMPRODUCT(MAX(('Agences &amp; Après-vente'!$A$2:$A$1000=$A399)*(('Agences &amp; Après-vente'!$D$2:$D$1000="Agences")+('Agences &amp; Après-vente'!$D$2:$D$1000="Agences et Après-vente"))*'Agences &amp; Après-vente'!$E$2:$E$1000))&gt;0,TEXT(SUMPRODUCT(MAX(('Agences &amp; Après-vente'!$A$2:$A$1000=$A399)*(('Agences &amp; Après-vente'!$D$2:$D$1000="Agences")+('Agences &amp; Après-vente'!$D$2:$D$1000="Agences et Après-vente"))*'Agences &amp; Après-vente'!$E$2:$E$1000)),"yyyy-mm-dd"),"")))))</f>
        <v/>
      </c>
      <c r="H399" s="131" t="str">
        <f aca="false">IF($R399="✓","✓",IF(ISNUMBER($R399),TEXT($R399,"yyyy-mm-dd"),IF($A399="","",IF($D399="Lisbonne","",IF(SUMPRODUCT(('Agences &amp; Après-vente'!$A$2:$A$1000=$A399)*(('Agences &amp; Après-vente'!$D$2:$D$1000="Agences")+('Agences &amp; Après-vente'!$D$2:$D$1000="Agences et Après-vente"))*('Agences &amp; Après-vente'!$I$2:$I$1000="DONE"))&gt;0,"✓",IF(SUMPRODUCT(MAX(('Agences &amp; Après-vente'!$A$2:$A$1000=$A399)*(('Agences &amp; Après-vente'!$D$2:$D$1000="Agences")+('Agences &amp; Après-vente'!$D$2:$D$1000="Agences et Après-vente"))*'Agences &amp; Après-vente'!$E$2:$E$1000))&gt;0,TEXT(SUMPRODUCT(MAX(('Agences &amp; Après-vente'!$A$2:$A$1000=$A399)*(('Agences &amp; Après-vente'!$D$2:$D$1000="Agences")+('Agences &amp; Après-vente'!$D$2:$D$1000="Agences et Après-vente"))*'Agences &amp; Après-vente'!$E$2:$E$1000)),"yyyy-mm-dd"),""))))))</f>
        <v/>
      </c>
      <c r="I399" s="131" t="str">
        <f aca="false">IF($S399="✓","✓",IF(ISNUMBER($S399),TEXT($S399,"yyyy-mm-dd"),IF($A399="","",IF(SUMPRODUCT(('Agences &amp; Après-vente'!$A$2:$A$1000=$A399)*(('Agences &amp; Après-vente'!$D$2:$D$1000="Après-vente")+('Agences &amp; Après-vente'!$D$2:$D$1000="Agences et Après-vente"))*('Agences &amp; Après-vente'!$I$2:$I$1000="DONE"))&gt;0,"✓",IF(SUMPRODUCT(MAX(('Agences &amp; Après-vente'!$A$2:$A$1000=$A399)*(('Agences &amp; Après-vente'!$D$2:$D$1000="Après-vente")+('Agences &amp; Après-vente'!$D$2:$D$1000="Agences et Après-vente"))*'Agences &amp; Après-vente'!$E$2:$E$1000))&gt;0,TEXT(SUMPRODUCT(MAX(('Agences &amp; Après-vente'!$A$2:$A$1000=$A399)*(('Agences &amp; Après-vente'!$D$2:$D$1000="Après-vente")+('Agences &amp; Après-vente'!$D$2:$D$1000="Agences et Après-vente"))*'Agences &amp; Après-vente'!$E$2:$E$1000)),"yyyy-mm-dd"),"")))))</f>
        <v/>
      </c>
      <c r="J399" s="131" t="str">
        <f aca="false">IF($T399="✓","✓",IF(ISNUMBER($T399),TEXT($T399,"yyyy-mm-dd"),IF($A399="","",IF($D399="Lisbonne","",IF(SUMPRODUCT(('Agences &amp; Après-vente'!$A$2:$A$1000=$A399)*(('Agences &amp; Après-vente'!$D$2:$D$1000="Après-vente")+('Agences &amp; Après-vente'!$D$2:$D$1000="Agences et Après-vente"))*('Agences &amp; Après-vente'!$I$2:$I$1000="DONE"))&gt;0,"✓",IF(SUMPRODUCT(MAX(('Agences &amp; Après-vente'!$A$2:$A$1000=$A399)*(('Agences &amp; Après-vente'!$D$2:$D$1000="Après-vente")+('Agences &amp; Après-vente'!$D$2:$D$1000="Agences et Après-vente"))*'Agences &amp; Après-vente'!$E$2:$E$1000))&gt;0,TEXT(SUMPRODUCT(MAX(('Agences &amp; Après-vente'!$A$2:$A$1000=$A399)*(('Agences &amp; Après-vente'!$D$2:$D$1000="Après-vente")+('Agences &amp; Après-vente'!$D$2:$D$1000="Agences et Après-vente"))*'Agences &amp; Après-vente'!$E$2:$E$1000)),"yyyy-mm-dd"),""))))))</f>
        <v/>
      </c>
      <c r="K399" s="131" t="str">
        <f aca="false">IF($U399="✓","✓",IF(ISNUMBER($U399),TEXT($U399,"yyyy-mm-dd"),IF($D399="Lisbonne","",IF($A399="","",IF(SUMPRODUCT((Evermont!$A$2:$A$1000=$A399)*(Evermont!$Q$2:$Q$1000="Terminé"))&gt;0,"✓",IF(SUMPRODUCT(MAX((Evermont!$A$2:$A$1000=$A399)*Evermont!$F$2:$F$1000))&gt;0,TEXT(SUMPRODUCT(MAX((Evermont!$A$2:$A$1000=$A399)*Evermont!$F$2:$F$1000)),"yyyy-mm-dd"),""))))))</f>
        <v/>
      </c>
      <c r="L399" s="131" t="str">
        <f aca="false">IF($A399="","",COUNTIF(E399:K399,"✓"))</f>
        <v/>
      </c>
      <c r="M399" s="131" t="str">
        <f aca="false">IF(B399="","","Active")</f>
        <v/>
      </c>
      <c r="W399" s="120" t="str">
        <f aca="false">IF($A399="","",IF($X399&lt;&gt;"",$X399,IFERROR(INDEX('Formation Initiale'!$B$2:$B$999,MATCH($A399,'Formation Initiale'!$A$2:$A$999,0)),"Général")))</f>
        <v/>
      </c>
    </row>
    <row r="400" customFormat="false" ht="15" hidden="true" customHeight="true" outlineLevel="0" collapsed="false">
      <c r="A400" s="142" t="str">
        <f aca="false">IF(B400="","","TR"&amp;TEXT(ROW()-1,"000"))</f>
        <v/>
      </c>
      <c r="E400" s="130" t="str">
        <f aca="false">IF($O400="✓","✓",IF(ISNUMBER($O400),TEXT($O400,"yyyy-mm-dd"),IF($A400="","",IF(SUMPRODUCT(('Formation Initiale'!$A$2:$A$999=$A400)*('Formation Initiale'!$R$2:$R$999="Terminé"))&gt;0,"✓",IF(SUMPRODUCT(MAX(('Formation Initiale'!$A$2:$A$999=$A400)*'Formation Initiale'!$G$2:$G$999))&gt;0,TEXT(SUMPRODUCT(MAX(('Formation Initiale'!$A$2:$A$999=$A400)*'Formation Initiale'!$G$2:$G$999)),"yyyy-mm-dd"),"")))))</f>
        <v/>
      </c>
      <c r="F400" s="131" t="str">
        <f aca="false">IF($P400="✓","✓",IF(ISNUMBER($P400),TEXT($P400,"yyyy-mm-dd"),IF($A400="","",IF($D400="Lisbonne","",IF(SUMPRODUCT(('Formation Initiale'!$A$2:$A$999=$A400)*('Formation Initiale'!$R$2:$R$999="Terminé"))&gt;0,"✓",IF(SUMPRODUCT(MAX(('Formation Initiale'!$A$2:$A$999=$A400)*'Formation Initiale'!$G$2:$G$999))&gt;0,TEXT(SUMPRODUCT(MAX(('Formation Initiale'!$A$2:$A$999=$A400)*'Formation Initiale'!$G$2:$G$999)),"yyyy-mm-dd"),""))))))</f>
        <v/>
      </c>
      <c r="G400" s="131" t="str">
        <f aca="false">IF($Q400="✓","✓",IF(ISNUMBER($Q400),TEXT($Q400,"yyyy-mm-dd"),IF($A400="","",IF(SUMPRODUCT(('Agences &amp; Après-vente'!$A$2:$A$1000=$A400)*(('Agences &amp; Après-vente'!$D$2:$D$1000="Agences")+('Agences &amp; Après-vente'!$D$2:$D$1000="Agences et Après-vente"))*('Agences &amp; Après-vente'!$I$2:$I$1000="DONE"))&gt;0,"✓",IF(SUMPRODUCT(MAX(('Agences &amp; Après-vente'!$A$2:$A$1000=$A400)*(('Agences &amp; Après-vente'!$D$2:$D$1000="Agences")+('Agences &amp; Après-vente'!$D$2:$D$1000="Agences et Après-vente"))*'Agences &amp; Après-vente'!$E$2:$E$1000))&gt;0,TEXT(SUMPRODUCT(MAX(('Agences &amp; Après-vente'!$A$2:$A$1000=$A400)*(('Agences &amp; Après-vente'!$D$2:$D$1000="Agences")+('Agences &amp; Après-vente'!$D$2:$D$1000="Agences et Après-vente"))*'Agences &amp; Après-vente'!$E$2:$E$1000)),"yyyy-mm-dd"),"")))))</f>
        <v/>
      </c>
      <c r="H400" s="131" t="str">
        <f aca="false">IF($R400="✓","✓",IF(ISNUMBER($R400),TEXT($R400,"yyyy-mm-dd"),IF($A400="","",IF($D400="Lisbonne","",IF(SUMPRODUCT(('Agences &amp; Après-vente'!$A$2:$A$1000=$A400)*(('Agences &amp; Après-vente'!$D$2:$D$1000="Agences")+('Agences &amp; Après-vente'!$D$2:$D$1000="Agences et Après-vente"))*('Agences &amp; Après-vente'!$I$2:$I$1000="DONE"))&gt;0,"✓",IF(SUMPRODUCT(MAX(('Agences &amp; Après-vente'!$A$2:$A$1000=$A400)*(('Agences &amp; Après-vente'!$D$2:$D$1000="Agences")+('Agences &amp; Après-vente'!$D$2:$D$1000="Agences et Après-vente"))*'Agences &amp; Après-vente'!$E$2:$E$1000))&gt;0,TEXT(SUMPRODUCT(MAX(('Agences &amp; Après-vente'!$A$2:$A$1000=$A400)*(('Agences &amp; Après-vente'!$D$2:$D$1000="Agences")+('Agences &amp; Après-vente'!$D$2:$D$1000="Agences et Après-vente"))*'Agences &amp; Après-vente'!$E$2:$E$1000)),"yyyy-mm-dd"),""))))))</f>
        <v/>
      </c>
      <c r="I400" s="131" t="str">
        <f aca="false">IF($S400="✓","✓",IF(ISNUMBER($S400),TEXT($S400,"yyyy-mm-dd"),IF($A400="","",IF(SUMPRODUCT(('Agences &amp; Après-vente'!$A$2:$A$1000=$A400)*(('Agences &amp; Après-vente'!$D$2:$D$1000="Après-vente")+('Agences &amp; Après-vente'!$D$2:$D$1000="Agences et Après-vente"))*('Agences &amp; Après-vente'!$I$2:$I$1000="DONE"))&gt;0,"✓",IF(SUMPRODUCT(MAX(('Agences &amp; Après-vente'!$A$2:$A$1000=$A400)*(('Agences &amp; Après-vente'!$D$2:$D$1000="Après-vente")+('Agences &amp; Après-vente'!$D$2:$D$1000="Agences et Après-vente"))*'Agences &amp; Après-vente'!$E$2:$E$1000))&gt;0,TEXT(SUMPRODUCT(MAX(('Agences &amp; Après-vente'!$A$2:$A$1000=$A400)*(('Agences &amp; Après-vente'!$D$2:$D$1000="Après-vente")+('Agences &amp; Après-vente'!$D$2:$D$1000="Agences et Après-vente"))*'Agences &amp; Après-vente'!$E$2:$E$1000)),"yyyy-mm-dd"),"")))))</f>
        <v/>
      </c>
      <c r="J400" s="131" t="str">
        <f aca="false">IF($T400="✓","✓",IF(ISNUMBER($T400),TEXT($T400,"yyyy-mm-dd"),IF($A400="","",IF($D400="Lisbonne","",IF(SUMPRODUCT(('Agences &amp; Après-vente'!$A$2:$A$1000=$A400)*(('Agences &amp; Après-vente'!$D$2:$D$1000="Après-vente")+('Agences &amp; Après-vente'!$D$2:$D$1000="Agences et Après-vente"))*('Agences &amp; Après-vente'!$I$2:$I$1000="DONE"))&gt;0,"✓",IF(SUMPRODUCT(MAX(('Agences &amp; Après-vente'!$A$2:$A$1000=$A400)*(('Agences &amp; Après-vente'!$D$2:$D$1000="Après-vente")+('Agences &amp; Après-vente'!$D$2:$D$1000="Agences et Après-vente"))*'Agences &amp; Après-vente'!$E$2:$E$1000))&gt;0,TEXT(SUMPRODUCT(MAX(('Agences &amp; Après-vente'!$A$2:$A$1000=$A400)*(('Agences &amp; Après-vente'!$D$2:$D$1000="Après-vente")+('Agences &amp; Après-vente'!$D$2:$D$1000="Agences et Après-vente"))*'Agences &amp; Après-vente'!$E$2:$E$1000)),"yyyy-mm-dd"),""))))))</f>
        <v/>
      </c>
      <c r="K400" s="131" t="str">
        <f aca="false">IF($U400="✓","✓",IF(ISNUMBER($U400),TEXT($U400,"yyyy-mm-dd"),IF($D400="Lisbonne","",IF($A400="","",IF(SUMPRODUCT((Evermont!$A$2:$A$1000=$A400)*(Evermont!$Q$2:$Q$1000="Terminé"))&gt;0,"✓",IF(SUMPRODUCT(MAX((Evermont!$A$2:$A$1000=$A400)*Evermont!$F$2:$F$1000))&gt;0,TEXT(SUMPRODUCT(MAX((Evermont!$A$2:$A$1000=$A400)*Evermont!$F$2:$F$1000)),"yyyy-mm-dd"),""))))))</f>
        <v/>
      </c>
      <c r="L400" s="131" t="str">
        <f aca="false">IF($A400="","",COUNTIF(E400:K400,"✓"))</f>
        <v/>
      </c>
      <c r="M400" s="131" t="str">
        <f aca="false">IF(B400="","","Active")</f>
        <v/>
      </c>
      <c r="W400" s="120" t="str">
        <f aca="false">IF($A400="","",IF($X400&lt;&gt;"",$X400,IFERROR(INDEX('Formation Initiale'!$B$2:$B$999,MATCH($A400,'Formation Initiale'!$A$2:$A$999,0)),"Général")))</f>
        <v/>
      </c>
    </row>
    <row r="401" customFormat="false" ht="15" hidden="true" customHeight="true" outlineLevel="0" collapsed="false">
      <c r="A401" s="142" t="str">
        <f aca="false">IF(B401="","","TR"&amp;TEXT(ROW()-1,"000"))</f>
        <v/>
      </c>
      <c r="E401" s="130" t="str">
        <f aca="false">IF($O401="✓","✓",IF(ISNUMBER($O401),TEXT($O401,"yyyy-mm-dd"),IF($A401="","",IF(SUMPRODUCT(('Formation Initiale'!$A$2:$A$999=$A401)*('Formation Initiale'!$R$2:$R$999="Terminé"))&gt;0,"✓",IF(SUMPRODUCT(MAX(('Formation Initiale'!$A$2:$A$999=$A401)*'Formation Initiale'!$G$2:$G$999))&gt;0,TEXT(SUMPRODUCT(MAX(('Formation Initiale'!$A$2:$A$999=$A401)*'Formation Initiale'!$G$2:$G$999)),"yyyy-mm-dd"),"")))))</f>
        <v/>
      </c>
      <c r="F401" s="131" t="str">
        <f aca="false">IF($P401="✓","✓",IF(ISNUMBER($P401),TEXT($P401,"yyyy-mm-dd"),IF($A401="","",IF($D401="Lisbonne","",IF(SUMPRODUCT(('Formation Initiale'!$A$2:$A$999=$A401)*('Formation Initiale'!$R$2:$R$999="Terminé"))&gt;0,"✓",IF(SUMPRODUCT(MAX(('Formation Initiale'!$A$2:$A$999=$A401)*'Formation Initiale'!$G$2:$G$999))&gt;0,TEXT(SUMPRODUCT(MAX(('Formation Initiale'!$A$2:$A$999=$A401)*'Formation Initiale'!$G$2:$G$999)),"yyyy-mm-dd"),""))))))</f>
        <v/>
      </c>
      <c r="G401" s="131" t="str">
        <f aca="false">IF($Q401="✓","✓",IF(ISNUMBER($Q401),TEXT($Q401,"yyyy-mm-dd"),IF($A401="","",IF(SUMPRODUCT(('Agences &amp; Après-vente'!$A$2:$A$1000=$A401)*(('Agences &amp; Après-vente'!$D$2:$D$1000="Agences")+('Agences &amp; Après-vente'!$D$2:$D$1000="Agences et Après-vente"))*('Agences &amp; Après-vente'!$I$2:$I$1000="DONE"))&gt;0,"✓",IF(SUMPRODUCT(MAX(('Agences &amp; Après-vente'!$A$2:$A$1000=$A401)*(('Agences &amp; Après-vente'!$D$2:$D$1000="Agences")+('Agences &amp; Après-vente'!$D$2:$D$1000="Agences et Après-vente"))*'Agences &amp; Après-vente'!$E$2:$E$1000))&gt;0,TEXT(SUMPRODUCT(MAX(('Agences &amp; Après-vente'!$A$2:$A$1000=$A401)*(('Agences &amp; Après-vente'!$D$2:$D$1000="Agences")+('Agences &amp; Après-vente'!$D$2:$D$1000="Agences et Après-vente"))*'Agences &amp; Après-vente'!$E$2:$E$1000)),"yyyy-mm-dd"),"")))))</f>
        <v/>
      </c>
      <c r="H401" s="131" t="str">
        <f aca="false">IF($R401="✓","✓",IF(ISNUMBER($R401),TEXT($R401,"yyyy-mm-dd"),IF($A401="","",IF($D401="Lisbonne","",IF(SUMPRODUCT(('Agences &amp; Après-vente'!$A$2:$A$1000=$A401)*(('Agences &amp; Après-vente'!$D$2:$D$1000="Agences")+('Agences &amp; Après-vente'!$D$2:$D$1000="Agences et Après-vente"))*('Agences &amp; Après-vente'!$I$2:$I$1000="DONE"))&gt;0,"✓",IF(SUMPRODUCT(MAX(('Agences &amp; Après-vente'!$A$2:$A$1000=$A401)*(('Agences &amp; Après-vente'!$D$2:$D$1000="Agences")+('Agences &amp; Après-vente'!$D$2:$D$1000="Agences et Après-vente"))*'Agences &amp; Après-vente'!$E$2:$E$1000))&gt;0,TEXT(SUMPRODUCT(MAX(('Agences &amp; Après-vente'!$A$2:$A$1000=$A401)*(('Agences &amp; Après-vente'!$D$2:$D$1000="Agences")+('Agences &amp; Après-vente'!$D$2:$D$1000="Agences et Après-vente"))*'Agences &amp; Après-vente'!$E$2:$E$1000)),"yyyy-mm-dd"),""))))))</f>
        <v/>
      </c>
      <c r="I401" s="131" t="str">
        <f aca="false">IF($S401="✓","✓",IF(ISNUMBER($S401),TEXT($S401,"yyyy-mm-dd"),IF($A401="","",IF(SUMPRODUCT(('Agences &amp; Après-vente'!$A$2:$A$1000=$A401)*(('Agences &amp; Après-vente'!$D$2:$D$1000="Après-vente")+('Agences &amp; Après-vente'!$D$2:$D$1000="Agences et Après-vente"))*('Agences &amp; Après-vente'!$I$2:$I$1000="DONE"))&gt;0,"✓",IF(SUMPRODUCT(MAX(('Agences &amp; Après-vente'!$A$2:$A$1000=$A401)*(('Agences &amp; Après-vente'!$D$2:$D$1000="Après-vente")+('Agences &amp; Après-vente'!$D$2:$D$1000="Agences et Après-vente"))*'Agences &amp; Après-vente'!$E$2:$E$1000))&gt;0,TEXT(SUMPRODUCT(MAX(('Agences &amp; Après-vente'!$A$2:$A$1000=$A401)*(('Agences &amp; Après-vente'!$D$2:$D$1000="Après-vente")+('Agences &amp; Après-vente'!$D$2:$D$1000="Agences et Après-vente"))*'Agences &amp; Après-vente'!$E$2:$E$1000)),"yyyy-mm-dd"),"")))))</f>
        <v/>
      </c>
      <c r="J401" s="131" t="str">
        <f aca="false">IF($T401="✓","✓",IF(ISNUMBER($T401),TEXT($T401,"yyyy-mm-dd"),IF($A401="","",IF($D401="Lisbonne","",IF(SUMPRODUCT(('Agences &amp; Après-vente'!$A$2:$A$1000=$A401)*(('Agences &amp; Après-vente'!$D$2:$D$1000="Après-vente")+('Agences &amp; Après-vente'!$D$2:$D$1000="Agences et Après-vente"))*('Agences &amp; Après-vente'!$I$2:$I$1000="DONE"))&gt;0,"✓",IF(SUMPRODUCT(MAX(('Agences &amp; Après-vente'!$A$2:$A$1000=$A401)*(('Agences &amp; Après-vente'!$D$2:$D$1000="Après-vente")+('Agences &amp; Après-vente'!$D$2:$D$1000="Agences et Après-vente"))*'Agences &amp; Après-vente'!$E$2:$E$1000))&gt;0,TEXT(SUMPRODUCT(MAX(('Agences &amp; Après-vente'!$A$2:$A$1000=$A401)*(('Agences &amp; Après-vente'!$D$2:$D$1000="Après-vente")+('Agences &amp; Après-vente'!$D$2:$D$1000="Agences et Après-vente"))*'Agences &amp; Après-vente'!$E$2:$E$1000)),"yyyy-mm-dd"),""))))))</f>
        <v/>
      </c>
      <c r="K401" s="131" t="str">
        <f aca="false">IF($U401="✓","✓",IF(ISNUMBER($U401),TEXT($U401,"yyyy-mm-dd"),IF($D401="Lisbonne","",IF($A401="","",IF(SUMPRODUCT((Evermont!$A$2:$A$1000=$A401)*(Evermont!$Q$2:$Q$1000="Terminé"))&gt;0,"✓",IF(SUMPRODUCT(MAX((Evermont!$A$2:$A$1000=$A401)*Evermont!$F$2:$F$1000))&gt;0,TEXT(SUMPRODUCT(MAX((Evermont!$A$2:$A$1000=$A401)*Evermont!$F$2:$F$1000)),"yyyy-mm-dd"),""))))))</f>
        <v/>
      </c>
      <c r="L401" s="131" t="str">
        <f aca="false">IF($A401="","",COUNTIF(E401:K401,"✓"))</f>
        <v/>
      </c>
      <c r="M401" s="131" t="str">
        <f aca="false">IF(B401="","","Active")</f>
        <v/>
      </c>
      <c r="W401" s="120" t="str">
        <f aca="false">IF($A401="","",IF($X401&lt;&gt;"",$X401,IFERROR(INDEX('Formation Initiale'!$B$2:$B$999,MATCH($A401,'Formation Initiale'!$A$2:$A$999,0)),"Général")))</f>
        <v/>
      </c>
    </row>
    <row r="402" customFormat="false" ht="15" hidden="true" customHeight="true" outlineLevel="0" collapsed="false">
      <c r="A402" s="142" t="str">
        <f aca="false">IF(B402="","","TR"&amp;TEXT(ROW()-1,"000"))</f>
        <v/>
      </c>
      <c r="E402" s="130" t="str">
        <f aca="false">IF($O402="✓","✓",IF(ISNUMBER($O402),TEXT($O402,"yyyy-mm-dd"),IF($A402="","",IF(SUMPRODUCT(('Formation Initiale'!$A$2:$A$999=$A402)*('Formation Initiale'!$R$2:$R$999="Terminé"))&gt;0,"✓",IF(SUMPRODUCT(MAX(('Formation Initiale'!$A$2:$A$999=$A402)*'Formation Initiale'!$G$2:$G$999))&gt;0,TEXT(SUMPRODUCT(MAX(('Formation Initiale'!$A$2:$A$999=$A402)*'Formation Initiale'!$G$2:$G$999)),"yyyy-mm-dd"),"")))))</f>
        <v/>
      </c>
      <c r="F402" s="131" t="str">
        <f aca="false">IF($P402="✓","✓",IF(ISNUMBER($P402),TEXT($P402,"yyyy-mm-dd"),IF($A402="","",IF($D402="Lisbonne","",IF(SUMPRODUCT(('Formation Initiale'!$A$2:$A$999=$A402)*('Formation Initiale'!$R$2:$R$999="Terminé"))&gt;0,"✓",IF(SUMPRODUCT(MAX(('Formation Initiale'!$A$2:$A$999=$A402)*'Formation Initiale'!$G$2:$G$999))&gt;0,TEXT(SUMPRODUCT(MAX(('Formation Initiale'!$A$2:$A$999=$A402)*'Formation Initiale'!$G$2:$G$999)),"yyyy-mm-dd"),""))))))</f>
        <v/>
      </c>
      <c r="G402" s="131" t="str">
        <f aca="false">IF($Q402="✓","✓",IF(ISNUMBER($Q402),TEXT($Q402,"yyyy-mm-dd"),IF($A402="","",IF(SUMPRODUCT(('Agences &amp; Après-vente'!$A$2:$A$1000=$A402)*(('Agences &amp; Après-vente'!$D$2:$D$1000="Agences")+('Agences &amp; Après-vente'!$D$2:$D$1000="Agences et Après-vente"))*('Agences &amp; Après-vente'!$I$2:$I$1000="DONE"))&gt;0,"✓",IF(SUMPRODUCT(MAX(('Agences &amp; Après-vente'!$A$2:$A$1000=$A402)*(('Agences &amp; Après-vente'!$D$2:$D$1000="Agences")+('Agences &amp; Après-vente'!$D$2:$D$1000="Agences et Après-vente"))*'Agences &amp; Après-vente'!$E$2:$E$1000))&gt;0,TEXT(SUMPRODUCT(MAX(('Agences &amp; Après-vente'!$A$2:$A$1000=$A402)*(('Agences &amp; Après-vente'!$D$2:$D$1000="Agences")+('Agences &amp; Après-vente'!$D$2:$D$1000="Agences et Après-vente"))*'Agences &amp; Après-vente'!$E$2:$E$1000)),"yyyy-mm-dd"),"")))))</f>
        <v/>
      </c>
      <c r="H402" s="131" t="str">
        <f aca="false">IF($R402="✓","✓",IF(ISNUMBER($R402),TEXT($R402,"yyyy-mm-dd"),IF($A402="","",IF($D402="Lisbonne","",IF(SUMPRODUCT(('Agences &amp; Après-vente'!$A$2:$A$1000=$A402)*(('Agences &amp; Après-vente'!$D$2:$D$1000="Agences")+('Agences &amp; Après-vente'!$D$2:$D$1000="Agences et Après-vente"))*('Agences &amp; Après-vente'!$I$2:$I$1000="DONE"))&gt;0,"✓",IF(SUMPRODUCT(MAX(('Agences &amp; Après-vente'!$A$2:$A$1000=$A402)*(('Agences &amp; Après-vente'!$D$2:$D$1000="Agences")+('Agences &amp; Après-vente'!$D$2:$D$1000="Agences et Après-vente"))*'Agences &amp; Après-vente'!$E$2:$E$1000))&gt;0,TEXT(SUMPRODUCT(MAX(('Agences &amp; Après-vente'!$A$2:$A$1000=$A402)*(('Agences &amp; Après-vente'!$D$2:$D$1000="Agences")+('Agences &amp; Après-vente'!$D$2:$D$1000="Agences et Après-vente"))*'Agences &amp; Après-vente'!$E$2:$E$1000)),"yyyy-mm-dd"),""))))))</f>
        <v/>
      </c>
      <c r="I402" s="131" t="str">
        <f aca="false">IF($S402="✓","✓",IF(ISNUMBER($S402),TEXT($S402,"yyyy-mm-dd"),IF($A402="","",IF(SUMPRODUCT(('Agences &amp; Après-vente'!$A$2:$A$1000=$A402)*(('Agences &amp; Après-vente'!$D$2:$D$1000="Après-vente")+('Agences &amp; Après-vente'!$D$2:$D$1000="Agences et Après-vente"))*('Agences &amp; Après-vente'!$I$2:$I$1000="DONE"))&gt;0,"✓",IF(SUMPRODUCT(MAX(('Agences &amp; Après-vente'!$A$2:$A$1000=$A402)*(('Agences &amp; Après-vente'!$D$2:$D$1000="Après-vente")+('Agences &amp; Après-vente'!$D$2:$D$1000="Agences et Après-vente"))*'Agences &amp; Après-vente'!$E$2:$E$1000))&gt;0,TEXT(SUMPRODUCT(MAX(('Agences &amp; Après-vente'!$A$2:$A$1000=$A402)*(('Agences &amp; Après-vente'!$D$2:$D$1000="Après-vente")+('Agences &amp; Après-vente'!$D$2:$D$1000="Agences et Après-vente"))*'Agences &amp; Après-vente'!$E$2:$E$1000)),"yyyy-mm-dd"),"")))))</f>
        <v/>
      </c>
      <c r="J402" s="131" t="str">
        <f aca="false">IF($T402="✓","✓",IF(ISNUMBER($T402),TEXT($T402,"yyyy-mm-dd"),IF($A402="","",IF($D402="Lisbonne","",IF(SUMPRODUCT(('Agences &amp; Après-vente'!$A$2:$A$1000=$A402)*(('Agences &amp; Après-vente'!$D$2:$D$1000="Après-vente")+('Agences &amp; Après-vente'!$D$2:$D$1000="Agences et Après-vente"))*('Agences &amp; Après-vente'!$I$2:$I$1000="DONE"))&gt;0,"✓",IF(SUMPRODUCT(MAX(('Agences &amp; Après-vente'!$A$2:$A$1000=$A402)*(('Agences &amp; Après-vente'!$D$2:$D$1000="Après-vente")+('Agences &amp; Après-vente'!$D$2:$D$1000="Agences et Après-vente"))*'Agences &amp; Après-vente'!$E$2:$E$1000))&gt;0,TEXT(SUMPRODUCT(MAX(('Agences &amp; Après-vente'!$A$2:$A$1000=$A402)*(('Agences &amp; Après-vente'!$D$2:$D$1000="Après-vente")+('Agences &amp; Après-vente'!$D$2:$D$1000="Agences et Après-vente"))*'Agences &amp; Après-vente'!$E$2:$E$1000)),"yyyy-mm-dd"),""))))))</f>
        <v/>
      </c>
      <c r="K402" s="131" t="str">
        <f aca="false">IF($U402="✓","✓",IF(ISNUMBER($U402),TEXT($U402,"yyyy-mm-dd"),IF($D402="Lisbonne","",IF($A402="","",IF(SUMPRODUCT((Evermont!$A$2:$A$1000=$A402)*(Evermont!$Q$2:$Q$1000="Terminé"))&gt;0,"✓",IF(SUMPRODUCT(MAX((Evermont!$A$2:$A$1000=$A402)*Evermont!$F$2:$F$1000))&gt;0,TEXT(SUMPRODUCT(MAX((Evermont!$A$2:$A$1000=$A402)*Evermont!$F$2:$F$1000)),"yyyy-mm-dd"),""))))))</f>
        <v/>
      </c>
      <c r="L402" s="131" t="str">
        <f aca="false">IF($A402="","",COUNTIF(E402:K402,"✓"))</f>
        <v/>
      </c>
      <c r="M402" s="131" t="str">
        <f aca="false">IF(B402="","","Active")</f>
        <v/>
      </c>
      <c r="W402" s="120" t="str">
        <f aca="false">IF($A402="","",IF($X402&lt;&gt;"",$X402,IFERROR(INDEX('Formation Initiale'!$B$2:$B$999,MATCH($A402,'Formation Initiale'!$A$2:$A$999,0)),"Général")))</f>
        <v/>
      </c>
    </row>
    <row r="403" customFormat="false" ht="15" hidden="true" customHeight="true" outlineLevel="0" collapsed="false">
      <c r="A403" s="142" t="str">
        <f aca="false">IF(B403="","","TR"&amp;TEXT(ROW()-1,"000"))</f>
        <v/>
      </c>
      <c r="E403" s="130" t="str">
        <f aca="false">IF($O403="✓","✓",IF(ISNUMBER($O403),TEXT($O403,"yyyy-mm-dd"),IF($A403="","",IF(SUMPRODUCT(('Formation Initiale'!$A$2:$A$999=$A403)*('Formation Initiale'!$R$2:$R$999="Terminé"))&gt;0,"✓",IF(SUMPRODUCT(MAX(('Formation Initiale'!$A$2:$A$999=$A403)*'Formation Initiale'!$G$2:$G$999))&gt;0,TEXT(SUMPRODUCT(MAX(('Formation Initiale'!$A$2:$A$999=$A403)*'Formation Initiale'!$G$2:$G$999)),"yyyy-mm-dd"),"")))))</f>
        <v/>
      </c>
      <c r="F403" s="131" t="str">
        <f aca="false">IF($P403="✓","✓",IF(ISNUMBER($P403),TEXT($P403,"yyyy-mm-dd"),IF($A403="","",IF($D403="Lisbonne","",IF(SUMPRODUCT(('Formation Initiale'!$A$2:$A$999=$A403)*('Formation Initiale'!$R$2:$R$999="Terminé"))&gt;0,"✓",IF(SUMPRODUCT(MAX(('Formation Initiale'!$A$2:$A$999=$A403)*'Formation Initiale'!$G$2:$G$999))&gt;0,TEXT(SUMPRODUCT(MAX(('Formation Initiale'!$A$2:$A$999=$A403)*'Formation Initiale'!$G$2:$G$999)),"yyyy-mm-dd"),""))))))</f>
        <v/>
      </c>
      <c r="G403" s="131" t="str">
        <f aca="false">IF($Q403="✓","✓",IF(ISNUMBER($Q403),TEXT($Q403,"yyyy-mm-dd"),IF($A403="","",IF(SUMPRODUCT(('Agences &amp; Après-vente'!$A$2:$A$1000=$A403)*(('Agences &amp; Après-vente'!$D$2:$D$1000="Agences")+('Agences &amp; Après-vente'!$D$2:$D$1000="Agences et Après-vente"))*('Agences &amp; Après-vente'!$I$2:$I$1000="DONE"))&gt;0,"✓",IF(SUMPRODUCT(MAX(('Agences &amp; Après-vente'!$A$2:$A$1000=$A403)*(('Agences &amp; Après-vente'!$D$2:$D$1000="Agences")+('Agences &amp; Après-vente'!$D$2:$D$1000="Agences et Après-vente"))*'Agences &amp; Après-vente'!$E$2:$E$1000))&gt;0,TEXT(SUMPRODUCT(MAX(('Agences &amp; Après-vente'!$A$2:$A$1000=$A403)*(('Agences &amp; Après-vente'!$D$2:$D$1000="Agences")+('Agences &amp; Après-vente'!$D$2:$D$1000="Agences et Après-vente"))*'Agences &amp; Après-vente'!$E$2:$E$1000)),"yyyy-mm-dd"),"")))))</f>
        <v/>
      </c>
      <c r="H403" s="131" t="str">
        <f aca="false">IF($R403="✓","✓",IF(ISNUMBER($R403),TEXT($R403,"yyyy-mm-dd"),IF($A403="","",IF($D403="Lisbonne","",IF(SUMPRODUCT(('Agences &amp; Après-vente'!$A$2:$A$1000=$A403)*(('Agences &amp; Après-vente'!$D$2:$D$1000="Agences")+('Agences &amp; Après-vente'!$D$2:$D$1000="Agences et Après-vente"))*('Agences &amp; Après-vente'!$I$2:$I$1000="DONE"))&gt;0,"✓",IF(SUMPRODUCT(MAX(('Agences &amp; Après-vente'!$A$2:$A$1000=$A403)*(('Agences &amp; Après-vente'!$D$2:$D$1000="Agences")+('Agences &amp; Après-vente'!$D$2:$D$1000="Agences et Après-vente"))*'Agences &amp; Après-vente'!$E$2:$E$1000))&gt;0,TEXT(SUMPRODUCT(MAX(('Agences &amp; Après-vente'!$A$2:$A$1000=$A403)*(('Agences &amp; Après-vente'!$D$2:$D$1000="Agences")+('Agences &amp; Après-vente'!$D$2:$D$1000="Agences et Après-vente"))*'Agences &amp; Après-vente'!$E$2:$E$1000)),"yyyy-mm-dd"),""))))))</f>
        <v/>
      </c>
      <c r="I403" s="131" t="str">
        <f aca="false">IF($S403="✓","✓",IF(ISNUMBER($S403),TEXT($S403,"yyyy-mm-dd"),IF($A403="","",IF(SUMPRODUCT(('Agences &amp; Après-vente'!$A$2:$A$1000=$A403)*(('Agences &amp; Après-vente'!$D$2:$D$1000="Après-vente")+('Agences &amp; Après-vente'!$D$2:$D$1000="Agences et Après-vente"))*('Agences &amp; Après-vente'!$I$2:$I$1000="DONE"))&gt;0,"✓",IF(SUMPRODUCT(MAX(('Agences &amp; Après-vente'!$A$2:$A$1000=$A403)*(('Agences &amp; Après-vente'!$D$2:$D$1000="Après-vente")+('Agences &amp; Après-vente'!$D$2:$D$1000="Agences et Après-vente"))*'Agences &amp; Après-vente'!$E$2:$E$1000))&gt;0,TEXT(SUMPRODUCT(MAX(('Agences &amp; Après-vente'!$A$2:$A$1000=$A403)*(('Agences &amp; Après-vente'!$D$2:$D$1000="Après-vente")+('Agences &amp; Après-vente'!$D$2:$D$1000="Agences et Après-vente"))*'Agences &amp; Après-vente'!$E$2:$E$1000)),"yyyy-mm-dd"),"")))))</f>
        <v/>
      </c>
      <c r="J403" s="131" t="str">
        <f aca="false">IF($T403="✓","✓",IF(ISNUMBER($T403),TEXT($T403,"yyyy-mm-dd"),IF($A403="","",IF($D403="Lisbonne","",IF(SUMPRODUCT(('Agences &amp; Après-vente'!$A$2:$A$1000=$A403)*(('Agences &amp; Après-vente'!$D$2:$D$1000="Après-vente")+('Agences &amp; Après-vente'!$D$2:$D$1000="Agences et Après-vente"))*('Agences &amp; Après-vente'!$I$2:$I$1000="DONE"))&gt;0,"✓",IF(SUMPRODUCT(MAX(('Agences &amp; Après-vente'!$A$2:$A$1000=$A403)*(('Agences &amp; Après-vente'!$D$2:$D$1000="Après-vente")+('Agences &amp; Après-vente'!$D$2:$D$1000="Agences et Après-vente"))*'Agences &amp; Après-vente'!$E$2:$E$1000))&gt;0,TEXT(SUMPRODUCT(MAX(('Agences &amp; Après-vente'!$A$2:$A$1000=$A403)*(('Agences &amp; Après-vente'!$D$2:$D$1000="Après-vente")+('Agences &amp; Après-vente'!$D$2:$D$1000="Agences et Après-vente"))*'Agences &amp; Après-vente'!$E$2:$E$1000)),"yyyy-mm-dd"),""))))))</f>
        <v/>
      </c>
      <c r="K403" s="131" t="str">
        <f aca="false">IF($U403="✓","✓",IF(ISNUMBER($U403),TEXT($U403,"yyyy-mm-dd"),IF($D403="Lisbonne","",IF($A403="","",IF(SUMPRODUCT((Evermont!$A$2:$A$1000=$A403)*(Evermont!$Q$2:$Q$1000="Terminé"))&gt;0,"✓",IF(SUMPRODUCT(MAX((Evermont!$A$2:$A$1000=$A403)*Evermont!$F$2:$F$1000))&gt;0,TEXT(SUMPRODUCT(MAX((Evermont!$A$2:$A$1000=$A403)*Evermont!$F$2:$F$1000)),"yyyy-mm-dd"),""))))))</f>
        <v/>
      </c>
      <c r="L403" s="131" t="str">
        <f aca="false">IF($A403="","",COUNTIF(E403:K403,"✓"))</f>
        <v/>
      </c>
      <c r="M403" s="131" t="str">
        <f aca="false">IF(B403="","","Active")</f>
        <v/>
      </c>
      <c r="W403" s="120" t="str">
        <f aca="false">IF($A403="","",IF($X403&lt;&gt;"",$X403,IFERROR(INDEX('Formation Initiale'!$B$2:$B$999,MATCH($A403,'Formation Initiale'!$A$2:$A$999,0)),"Général")))</f>
        <v/>
      </c>
    </row>
    <row r="404" customFormat="false" ht="15" hidden="true" customHeight="true" outlineLevel="0" collapsed="false">
      <c r="A404" s="142" t="str">
        <f aca="false">IF(B404="","","TR"&amp;TEXT(ROW()-1,"000"))</f>
        <v/>
      </c>
      <c r="E404" s="130" t="str">
        <f aca="false">IF($O404="✓","✓",IF(ISNUMBER($O404),TEXT($O404,"yyyy-mm-dd"),IF($A404="","",IF(SUMPRODUCT(('Formation Initiale'!$A$2:$A$999=$A404)*('Formation Initiale'!$R$2:$R$999="Terminé"))&gt;0,"✓",IF(SUMPRODUCT(MAX(('Formation Initiale'!$A$2:$A$999=$A404)*'Formation Initiale'!$G$2:$G$999))&gt;0,TEXT(SUMPRODUCT(MAX(('Formation Initiale'!$A$2:$A$999=$A404)*'Formation Initiale'!$G$2:$G$999)),"yyyy-mm-dd"),"")))))</f>
        <v/>
      </c>
      <c r="F404" s="131" t="str">
        <f aca="false">IF($P404="✓","✓",IF(ISNUMBER($P404),TEXT($P404,"yyyy-mm-dd"),IF($A404="","",IF($D404="Lisbonne","",IF(SUMPRODUCT(('Formation Initiale'!$A$2:$A$999=$A404)*('Formation Initiale'!$R$2:$R$999="Terminé"))&gt;0,"✓",IF(SUMPRODUCT(MAX(('Formation Initiale'!$A$2:$A$999=$A404)*'Formation Initiale'!$G$2:$G$999))&gt;0,TEXT(SUMPRODUCT(MAX(('Formation Initiale'!$A$2:$A$999=$A404)*'Formation Initiale'!$G$2:$G$999)),"yyyy-mm-dd"),""))))))</f>
        <v/>
      </c>
      <c r="G404" s="131" t="str">
        <f aca="false">IF($Q404="✓","✓",IF(ISNUMBER($Q404),TEXT($Q404,"yyyy-mm-dd"),IF($A404="","",IF(SUMPRODUCT(('Agences &amp; Après-vente'!$A$2:$A$1000=$A404)*(('Agences &amp; Après-vente'!$D$2:$D$1000="Agences")+('Agences &amp; Après-vente'!$D$2:$D$1000="Agences et Après-vente"))*('Agences &amp; Après-vente'!$I$2:$I$1000="DONE"))&gt;0,"✓",IF(SUMPRODUCT(MAX(('Agences &amp; Après-vente'!$A$2:$A$1000=$A404)*(('Agences &amp; Après-vente'!$D$2:$D$1000="Agences")+('Agences &amp; Après-vente'!$D$2:$D$1000="Agences et Après-vente"))*'Agences &amp; Après-vente'!$E$2:$E$1000))&gt;0,TEXT(SUMPRODUCT(MAX(('Agences &amp; Après-vente'!$A$2:$A$1000=$A404)*(('Agences &amp; Après-vente'!$D$2:$D$1000="Agences")+('Agences &amp; Après-vente'!$D$2:$D$1000="Agences et Après-vente"))*'Agences &amp; Après-vente'!$E$2:$E$1000)),"yyyy-mm-dd"),"")))))</f>
        <v/>
      </c>
      <c r="H404" s="131" t="str">
        <f aca="false">IF($R404="✓","✓",IF(ISNUMBER($R404),TEXT($R404,"yyyy-mm-dd"),IF($A404="","",IF($D404="Lisbonne","",IF(SUMPRODUCT(('Agences &amp; Après-vente'!$A$2:$A$1000=$A404)*(('Agences &amp; Après-vente'!$D$2:$D$1000="Agences")+('Agences &amp; Après-vente'!$D$2:$D$1000="Agences et Après-vente"))*('Agences &amp; Après-vente'!$I$2:$I$1000="DONE"))&gt;0,"✓",IF(SUMPRODUCT(MAX(('Agences &amp; Après-vente'!$A$2:$A$1000=$A404)*(('Agences &amp; Après-vente'!$D$2:$D$1000="Agences")+('Agences &amp; Après-vente'!$D$2:$D$1000="Agences et Après-vente"))*'Agences &amp; Après-vente'!$E$2:$E$1000))&gt;0,TEXT(SUMPRODUCT(MAX(('Agences &amp; Après-vente'!$A$2:$A$1000=$A404)*(('Agences &amp; Après-vente'!$D$2:$D$1000="Agences")+('Agences &amp; Après-vente'!$D$2:$D$1000="Agences et Après-vente"))*'Agences &amp; Après-vente'!$E$2:$E$1000)),"yyyy-mm-dd"),""))))))</f>
        <v/>
      </c>
      <c r="I404" s="131" t="str">
        <f aca="false">IF($S404="✓","✓",IF(ISNUMBER($S404),TEXT($S404,"yyyy-mm-dd"),IF($A404="","",IF(SUMPRODUCT(('Agences &amp; Après-vente'!$A$2:$A$1000=$A404)*(('Agences &amp; Après-vente'!$D$2:$D$1000="Après-vente")+('Agences &amp; Après-vente'!$D$2:$D$1000="Agences et Après-vente"))*('Agences &amp; Après-vente'!$I$2:$I$1000="DONE"))&gt;0,"✓",IF(SUMPRODUCT(MAX(('Agences &amp; Après-vente'!$A$2:$A$1000=$A404)*(('Agences &amp; Après-vente'!$D$2:$D$1000="Après-vente")+('Agences &amp; Après-vente'!$D$2:$D$1000="Agences et Après-vente"))*'Agences &amp; Après-vente'!$E$2:$E$1000))&gt;0,TEXT(SUMPRODUCT(MAX(('Agences &amp; Après-vente'!$A$2:$A$1000=$A404)*(('Agences &amp; Après-vente'!$D$2:$D$1000="Après-vente")+('Agences &amp; Après-vente'!$D$2:$D$1000="Agences et Après-vente"))*'Agences &amp; Après-vente'!$E$2:$E$1000)),"yyyy-mm-dd"),"")))))</f>
        <v/>
      </c>
      <c r="J404" s="131" t="str">
        <f aca="false">IF($T404="✓","✓",IF(ISNUMBER($T404),TEXT($T404,"yyyy-mm-dd"),IF($A404="","",IF($D404="Lisbonne","",IF(SUMPRODUCT(('Agences &amp; Après-vente'!$A$2:$A$1000=$A404)*(('Agences &amp; Après-vente'!$D$2:$D$1000="Après-vente")+('Agences &amp; Après-vente'!$D$2:$D$1000="Agences et Après-vente"))*('Agences &amp; Après-vente'!$I$2:$I$1000="DONE"))&gt;0,"✓",IF(SUMPRODUCT(MAX(('Agences &amp; Après-vente'!$A$2:$A$1000=$A404)*(('Agences &amp; Après-vente'!$D$2:$D$1000="Après-vente")+('Agences &amp; Après-vente'!$D$2:$D$1000="Agences et Après-vente"))*'Agences &amp; Après-vente'!$E$2:$E$1000))&gt;0,TEXT(SUMPRODUCT(MAX(('Agences &amp; Après-vente'!$A$2:$A$1000=$A404)*(('Agences &amp; Après-vente'!$D$2:$D$1000="Après-vente")+('Agences &amp; Après-vente'!$D$2:$D$1000="Agences et Après-vente"))*'Agences &amp; Après-vente'!$E$2:$E$1000)),"yyyy-mm-dd"),""))))))</f>
        <v/>
      </c>
      <c r="K404" s="131" t="str">
        <f aca="false">IF($U404="✓","✓",IF(ISNUMBER($U404),TEXT($U404,"yyyy-mm-dd"),IF($D404="Lisbonne","",IF($A404="","",IF(SUMPRODUCT((Evermont!$A$2:$A$1000=$A404)*(Evermont!$Q$2:$Q$1000="Terminé"))&gt;0,"✓",IF(SUMPRODUCT(MAX((Evermont!$A$2:$A$1000=$A404)*Evermont!$F$2:$F$1000))&gt;0,TEXT(SUMPRODUCT(MAX((Evermont!$A$2:$A$1000=$A404)*Evermont!$F$2:$F$1000)),"yyyy-mm-dd"),""))))))</f>
        <v/>
      </c>
      <c r="L404" s="131" t="str">
        <f aca="false">IF($A404="","",COUNTIF(E404:K404,"✓"))</f>
        <v/>
      </c>
      <c r="M404" s="131" t="str">
        <f aca="false">IF(B404="","","Active")</f>
        <v/>
      </c>
      <c r="W404" s="120" t="str">
        <f aca="false">IF($A404="","",IF($X404&lt;&gt;"",$X404,IFERROR(INDEX('Formation Initiale'!$B$2:$B$999,MATCH($A404,'Formation Initiale'!$A$2:$A$999,0)),"Général")))</f>
        <v/>
      </c>
    </row>
    <row r="405" customFormat="false" ht="15" hidden="true" customHeight="true" outlineLevel="0" collapsed="false">
      <c r="A405" s="142" t="str">
        <f aca="false">IF(B405="","","TR"&amp;TEXT(ROW()-1,"000"))</f>
        <v/>
      </c>
      <c r="E405" s="130" t="str">
        <f aca="false">IF($O405="✓","✓",IF(ISNUMBER($O405),TEXT($O405,"yyyy-mm-dd"),IF($A405="","",IF(SUMPRODUCT(('Formation Initiale'!$A$2:$A$999=$A405)*('Formation Initiale'!$R$2:$R$999="Terminé"))&gt;0,"✓",IF(SUMPRODUCT(MAX(('Formation Initiale'!$A$2:$A$999=$A405)*'Formation Initiale'!$G$2:$G$999))&gt;0,TEXT(SUMPRODUCT(MAX(('Formation Initiale'!$A$2:$A$999=$A405)*'Formation Initiale'!$G$2:$G$999)),"yyyy-mm-dd"),"")))))</f>
        <v/>
      </c>
      <c r="F405" s="131" t="str">
        <f aca="false">IF($P405="✓","✓",IF(ISNUMBER($P405),TEXT($P405,"yyyy-mm-dd"),IF($A405="","",IF($D405="Lisbonne","",IF(SUMPRODUCT(('Formation Initiale'!$A$2:$A$999=$A405)*('Formation Initiale'!$R$2:$R$999="Terminé"))&gt;0,"✓",IF(SUMPRODUCT(MAX(('Formation Initiale'!$A$2:$A$999=$A405)*'Formation Initiale'!$G$2:$G$999))&gt;0,TEXT(SUMPRODUCT(MAX(('Formation Initiale'!$A$2:$A$999=$A405)*'Formation Initiale'!$G$2:$G$999)),"yyyy-mm-dd"),""))))))</f>
        <v/>
      </c>
      <c r="G405" s="131" t="str">
        <f aca="false">IF($Q405="✓","✓",IF(ISNUMBER($Q405),TEXT($Q405,"yyyy-mm-dd"),IF($A405="","",IF(SUMPRODUCT(('Agences &amp; Après-vente'!$A$2:$A$1000=$A405)*(('Agences &amp; Après-vente'!$D$2:$D$1000="Agences")+('Agences &amp; Après-vente'!$D$2:$D$1000="Agences et Après-vente"))*('Agences &amp; Après-vente'!$I$2:$I$1000="DONE"))&gt;0,"✓",IF(SUMPRODUCT(MAX(('Agences &amp; Après-vente'!$A$2:$A$1000=$A405)*(('Agences &amp; Après-vente'!$D$2:$D$1000="Agences")+('Agences &amp; Après-vente'!$D$2:$D$1000="Agences et Après-vente"))*'Agences &amp; Après-vente'!$E$2:$E$1000))&gt;0,TEXT(SUMPRODUCT(MAX(('Agences &amp; Après-vente'!$A$2:$A$1000=$A405)*(('Agences &amp; Après-vente'!$D$2:$D$1000="Agences")+('Agences &amp; Après-vente'!$D$2:$D$1000="Agences et Après-vente"))*'Agences &amp; Après-vente'!$E$2:$E$1000)),"yyyy-mm-dd"),"")))))</f>
        <v/>
      </c>
      <c r="H405" s="131" t="str">
        <f aca="false">IF($R405="✓","✓",IF(ISNUMBER($R405),TEXT($R405,"yyyy-mm-dd"),IF($A405="","",IF($D405="Lisbonne","",IF(SUMPRODUCT(('Agences &amp; Après-vente'!$A$2:$A$1000=$A405)*(('Agences &amp; Après-vente'!$D$2:$D$1000="Agences")+('Agences &amp; Après-vente'!$D$2:$D$1000="Agences et Après-vente"))*('Agences &amp; Après-vente'!$I$2:$I$1000="DONE"))&gt;0,"✓",IF(SUMPRODUCT(MAX(('Agences &amp; Après-vente'!$A$2:$A$1000=$A405)*(('Agences &amp; Après-vente'!$D$2:$D$1000="Agences")+('Agences &amp; Après-vente'!$D$2:$D$1000="Agences et Après-vente"))*'Agences &amp; Après-vente'!$E$2:$E$1000))&gt;0,TEXT(SUMPRODUCT(MAX(('Agences &amp; Après-vente'!$A$2:$A$1000=$A405)*(('Agences &amp; Après-vente'!$D$2:$D$1000="Agences")+('Agences &amp; Après-vente'!$D$2:$D$1000="Agences et Après-vente"))*'Agences &amp; Après-vente'!$E$2:$E$1000)),"yyyy-mm-dd"),""))))))</f>
        <v/>
      </c>
      <c r="I405" s="131" t="str">
        <f aca="false">IF($S405="✓","✓",IF(ISNUMBER($S405),TEXT($S405,"yyyy-mm-dd"),IF($A405="","",IF(SUMPRODUCT(('Agences &amp; Après-vente'!$A$2:$A$1000=$A405)*(('Agences &amp; Après-vente'!$D$2:$D$1000="Après-vente")+('Agences &amp; Après-vente'!$D$2:$D$1000="Agences et Après-vente"))*('Agences &amp; Après-vente'!$I$2:$I$1000="DONE"))&gt;0,"✓",IF(SUMPRODUCT(MAX(('Agences &amp; Après-vente'!$A$2:$A$1000=$A405)*(('Agences &amp; Après-vente'!$D$2:$D$1000="Après-vente")+('Agences &amp; Après-vente'!$D$2:$D$1000="Agences et Après-vente"))*'Agences &amp; Après-vente'!$E$2:$E$1000))&gt;0,TEXT(SUMPRODUCT(MAX(('Agences &amp; Après-vente'!$A$2:$A$1000=$A405)*(('Agences &amp; Après-vente'!$D$2:$D$1000="Après-vente")+('Agences &amp; Après-vente'!$D$2:$D$1000="Agences et Après-vente"))*'Agences &amp; Après-vente'!$E$2:$E$1000)),"yyyy-mm-dd"),"")))))</f>
        <v/>
      </c>
      <c r="J405" s="131" t="str">
        <f aca="false">IF($T405="✓","✓",IF(ISNUMBER($T405),TEXT($T405,"yyyy-mm-dd"),IF($A405="","",IF($D405="Lisbonne","",IF(SUMPRODUCT(('Agences &amp; Après-vente'!$A$2:$A$1000=$A405)*(('Agences &amp; Après-vente'!$D$2:$D$1000="Après-vente")+('Agences &amp; Après-vente'!$D$2:$D$1000="Agences et Après-vente"))*('Agences &amp; Après-vente'!$I$2:$I$1000="DONE"))&gt;0,"✓",IF(SUMPRODUCT(MAX(('Agences &amp; Après-vente'!$A$2:$A$1000=$A405)*(('Agences &amp; Après-vente'!$D$2:$D$1000="Après-vente")+('Agences &amp; Après-vente'!$D$2:$D$1000="Agences et Après-vente"))*'Agences &amp; Après-vente'!$E$2:$E$1000))&gt;0,TEXT(SUMPRODUCT(MAX(('Agences &amp; Après-vente'!$A$2:$A$1000=$A405)*(('Agences &amp; Après-vente'!$D$2:$D$1000="Après-vente")+('Agences &amp; Après-vente'!$D$2:$D$1000="Agences et Après-vente"))*'Agences &amp; Après-vente'!$E$2:$E$1000)),"yyyy-mm-dd"),""))))))</f>
        <v/>
      </c>
      <c r="K405" s="131" t="str">
        <f aca="false">IF($U405="✓","✓",IF(ISNUMBER($U405),TEXT($U405,"yyyy-mm-dd"),IF($D405="Lisbonne","",IF($A405="","",IF(SUMPRODUCT((Evermont!$A$2:$A$1000=$A405)*(Evermont!$Q$2:$Q$1000="Terminé"))&gt;0,"✓",IF(SUMPRODUCT(MAX((Evermont!$A$2:$A$1000=$A405)*Evermont!$F$2:$F$1000))&gt;0,TEXT(SUMPRODUCT(MAX((Evermont!$A$2:$A$1000=$A405)*Evermont!$F$2:$F$1000)),"yyyy-mm-dd"),""))))))</f>
        <v/>
      </c>
      <c r="L405" s="131" t="str">
        <f aca="false">IF($A405="","",COUNTIF(E405:K405,"✓"))</f>
        <v/>
      </c>
      <c r="M405" s="131" t="str">
        <f aca="false">IF(B405="","","Active")</f>
        <v/>
      </c>
      <c r="W405" s="120" t="str">
        <f aca="false">IF($A405="","",IF($X405&lt;&gt;"",$X405,IFERROR(INDEX('Formation Initiale'!$B$2:$B$999,MATCH($A405,'Formation Initiale'!$A$2:$A$999,0)),"Général")))</f>
        <v/>
      </c>
    </row>
    <row r="406" customFormat="false" ht="15" hidden="true" customHeight="true" outlineLevel="0" collapsed="false">
      <c r="A406" s="142" t="str">
        <f aca="false">IF(B406="","","TR"&amp;TEXT(ROW()-1,"000"))</f>
        <v/>
      </c>
      <c r="E406" s="130" t="str">
        <f aca="false">IF($O406="✓","✓",IF(ISNUMBER($O406),TEXT($O406,"yyyy-mm-dd"),IF($A406="","",IF(SUMPRODUCT(('Formation Initiale'!$A$2:$A$999=$A406)*('Formation Initiale'!$R$2:$R$999="Terminé"))&gt;0,"✓",IF(SUMPRODUCT(MAX(('Formation Initiale'!$A$2:$A$999=$A406)*'Formation Initiale'!$G$2:$G$999))&gt;0,TEXT(SUMPRODUCT(MAX(('Formation Initiale'!$A$2:$A$999=$A406)*'Formation Initiale'!$G$2:$G$999)),"yyyy-mm-dd"),"")))))</f>
        <v/>
      </c>
      <c r="F406" s="131" t="str">
        <f aca="false">IF($P406="✓","✓",IF(ISNUMBER($P406),TEXT($P406,"yyyy-mm-dd"),IF($A406="","",IF($D406="Lisbonne","",IF(SUMPRODUCT(('Formation Initiale'!$A$2:$A$999=$A406)*('Formation Initiale'!$R$2:$R$999="Terminé"))&gt;0,"✓",IF(SUMPRODUCT(MAX(('Formation Initiale'!$A$2:$A$999=$A406)*'Formation Initiale'!$G$2:$G$999))&gt;0,TEXT(SUMPRODUCT(MAX(('Formation Initiale'!$A$2:$A$999=$A406)*'Formation Initiale'!$G$2:$G$999)),"yyyy-mm-dd"),""))))))</f>
        <v/>
      </c>
      <c r="G406" s="131" t="str">
        <f aca="false">IF($Q406="✓","✓",IF(ISNUMBER($Q406),TEXT($Q406,"yyyy-mm-dd"),IF($A406="","",IF(SUMPRODUCT(('Agences &amp; Après-vente'!$A$2:$A$1000=$A406)*(('Agences &amp; Après-vente'!$D$2:$D$1000="Agences")+('Agences &amp; Après-vente'!$D$2:$D$1000="Agences et Après-vente"))*('Agences &amp; Après-vente'!$I$2:$I$1000="DONE"))&gt;0,"✓",IF(SUMPRODUCT(MAX(('Agences &amp; Après-vente'!$A$2:$A$1000=$A406)*(('Agences &amp; Après-vente'!$D$2:$D$1000="Agences")+('Agences &amp; Après-vente'!$D$2:$D$1000="Agences et Après-vente"))*'Agences &amp; Après-vente'!$E$2:$E$1000))&gt;0,TEXT(SUMPRODUCT(MAX(('Agences &amp; Après-vente'!$A$2:$A$1000=$A406)*(('Agences &amp; Après-vente'!$D$2:$D$1000="Agences")+('Agences &amp; Après-vente'!$D$2:$D$1000="Agences et Après-vente"))*'Agences &amp; Après-vente'!$E$2:$E$1000)),"yyyy-mm-dd"),"")))))</f>
        <v/>
      </c>
      <c r="H406" s="131" t="str">
        <f aca="false">IF($R406="✓","✓",IF(ISNUMBER($R406),TEXT($R406,"yyyy-mm-dd"),IF($A406="","",IF($D406="Lisbonne","",IF(SUMPRODUCT(('Agences &amp; Après-vente'!$A$2:$A$1000=$A406)*(('Agences &amp; Après-vente'!$D$2:$D$1000="Agences")+('Agences &amp; Après-vente'!$D$2:$D$1000="Agences et Après-vente"))*('Agences &amp; Après-vente'!$I$2:$I$1000="DONE"))&gt;0,"✓",IF(SUMPRODUCT(MAX(('Agences &amp; Après-vente'!$A$2:$A$1000=$A406)*(('Agences &amp; Après-vente'!$D$2:$D$1000="Agences")+('Agences &amp; Après-vente'!$D$2:$D$1000="Agences et Après-vente"))*'Agences &amp; Après-vente'!$E$2:$E$1000))&gt;0,TEXT(SUMPRODUCT(MAX(('Agences &amp; Après-vente'!$A$2:$A$1000=$A406)*(('Agences &amp; Après-vente'!$D$2:$D$1000="Agences")+('Agences &amp; Après-vente'!$D$2:$D$1000="Agences et Après-vente"))*'Agences &amp; Après-vente'!$E$2:$E$1000)),"yyyy-mm-dd"),""))))))</f>
        <v/>
      </c>
      <c r="I406" s="131" t="str">
        <f aca="false">IF($S406="✓","✓",IF(ISNUMBER($S406),TEXT($S406,"yyyy-mm-dd"),IF($A406="","",IF(SUMPRODUCT(('Agences &amp; Après-vente'!$A$2:$A$1000=$A406)*(('Agences &amp; Après-vente'!$D$2:$D$1000="Après-vente")+('Agences &amp; Après-vente'!$D$2:$D$1000="Agences et Après-vente"))*('Agences &amp; Après-vente'!$I$2:$I$1000="DONE"))&gt;0,"✓",IF(SUMPRODUCT(MAX(('Agences &amp; Après-vente'!$A$2:$A$1000=$A406)*(('Agences &amp; Après-vente'!$D$2:$D$1000="Après-vente")+('Agences &amp; Après-vente'!$D$2:$D$1000="Agences et Après-vente"))*'Agences &amp; Après-vente'!$E$2:$E$1000))&gt;0,TEXT(SUMPRODUCT(MAX(('Agences &amp; Après-vente'!$A$2:$A$1000=$A406)*(('Agences &amp; Après-vente'!$D$2:$D$1000="Après-vente")+('Agences &amp; Après-vente'!$D$2:$D$1000="Agences et Après-vente"))*'Agences &amp; Après-vente'!$E$2:$E$1000)),"yyyy-mm-dd"),"")))))</f>
        <v/>
      </c>
      <c r="J406" s="131" t="str">
        <f aca="false">IF($T406="✓","✓",IF(ISNUMBER($T406),TEXT($T406,"yyyy-mm-dd"),IF($A406="","",IF($D406="Lisbonne","",IF(SUMPRODUCT(('Agences &amp; Après-vente'!$A$2:$A$1000=$A406)*(('Agences &amp; Après-vente'!$D$2:$D$1000="Après-vente")+('Agences &amp; Après-vente'!$D$2:$D$1000="Agences et Après-vente"))*('Agences &amp; Après-vente'!$I$2:$I$1000="DONE"))&gt;0,"✓",IF(SUMPRODUCT(MAX(('Agences &amp; Après-vente'!$A$2:$A$1000=$A406)*(('Agences &amp; Après-vente'!$D$2:$D$1000="Après-vente")+('Agences &amp; Après-vente'!$D$2:$D$1000="Agences et Après-vente"))*'Agences &amp; Après-vente'!$E$2:$E$1000))&gt;0,TEXT(SUMPRODUCT(MAX(('Agences &amp; Après-vente'!$A$2:$A$1000=$A406)*(('Agences &amp; Après-vente'!$D$2:$D$1000="Après-vente")+('Agences &amp; Après-vente'!$D$2:$D$1000="Agences et Après-vente"))*'Agences &amp; Après-vente'!$E$2:$E$1000)),"yyyy-mm-dd"),""))))))</f>
        <v/>
      </c>
      <c r="K406" s="131" t="str">
        <f aca="false">IF($U406="✓","✓",IF(ISNUMBER($U406),TEXT($U406,"yyyy-mm-dd"),IF($D406="Lisbonne","",IF($A406="","",IF(SUMPRODUCT((Evermont!$A$2:$A$1000=$A406)*(Evermont!$Q$2:$Q$1000="Terminé"))&gt;0,"✓",IF(SUMPRODUCT(MAX((Evermont!$A$2:$A$1000=$A406)*Evermont!$F$2:$F$1000))&gt;0,TEXT(SUMPRODUCT(MAX((Evermont!$A$2:$A$1000=$A406)*Evermont!$F$2:$F$1000)),"yyyy-mm-dd"),""))))))</f>
        <v/>
      </c>
      <c r="L406" s="131" t="str">
        <f aca="false">IF($A406="","",COUNTIF(E406:K406,"✓"))</f>
        <v/>
      </c>
      <c r="M406" s="131" t="str">
        <f aca="false">IF(B406="","","Active")</f>
        <v/>
      </c>
      <c r="W406" s="120" t="str">
        <f aca="false">IF($A406="","",IF($X406&lt;&gt;"",$X406,IFERROR(INDEX('Formation Initiale'!$B$2:$B$999,MATCH($A406,'Formation Initiale'!$A$2:$A$999,0)),"Général")))</f>
        <v/>
      </c>
    </row>
    <row r="407" customFormat="false" ht="15" hidden="true" customHeight="true" outlineLevel="0" collapsed="false">
      <c r="A407" s="142" t="str">
        <f aca="false">IF(B407="","","TR"&amp;TEXT(ROW()-1,"000"))</f>
        <v/>
      </c>
      <c r="E407" s="130" t="str">
        <f aca="false">IF($O407="✓","✓",IF(ISNUMBER($O407),TEXT($O407,"yyyy-mm-dd"),IF($A407="","",IF(SUMPRODUCT(('Formation Initiale'!$A$2:$A$999=$A407)*('Formation Initiale'!$R$2:$R$999="Terminé"))&gt;0,"✓",IF(SUMPRODUCT(MAX(('Formation Initiale'!$A$2:$A$999=$A407)*'Formation Initiale'!$G$2:$G$999))&gt;0,TEXT(SUMPRODUCT(MAX(('Formation Initiale'!$A$2:$A$999=$A407)*'Formation Initiale'!$G$2:$G$999)),"yyyy-mm-dd"),"")))))</f>
        <v/>
      </c>
      <c r="F407" s="131" t="str">
        <f aca="false">IF($P407="✓","✓",IF(ISNUMBER($P407),TEXT($P407,"yyyy-mm-dd"),IF($A407="","",IF($D407="Lisbonne","",IF(SUMPRODUCT(('Formation Initiale'!$A$2:$A$999=$A407)*('Formation Initiale'!$R$2:$R$999="Terminé"))&gt;0,"✓",IF(SUMPRODUCT(MAX(('Formation Initiale'!$A$2:$A$999=$A407)*'Formation Initiale'!$G$2:$G$999))&gt;0,TEXT(SUMPRODUCT(MAX(('Formation Initiale'!$A$2:$A$999=$A407)*'Formation Initiale'!$G$2:$G$999)),"yyyy-mm-dd"),""))))))</f>
        <v/>
      </c>
      <c r="G407" s="131" t="str">
        <f aca="false">IF($Q407="✓","✓",IF(ISNUMBER($Q407),TEXT($Q407,"yyyy-mm-dd"),IF($A407="","",IF(SUMPRODUCT(('Agences &amp; Après-vente'!$A$2:$A$1000=$A407)*(('Agences &amp; Après-vente'!$D$2:$D$1000="Agences")+('Agences &amp; Après-vente'!$D$2:$D$1000="Agences et Après-vente"))*('Agences &amp; Après-vente'!$I$2:$I$1000="DONE"))&gt;0,"✓",IF(SUMPRODUCT(MAX(('Agences &amp; Après-vente'!$A$2:$A$1000=$A407)*(('Agences &amp; Après-vente'!$D$2:$D$1000="Agences")+('Agences &amp; Après-vente'!$D$2:$D$1000="Agences et Après-vente"))*'Agences &amp; Après-vente'!$E$2:$E$1000))&gt;0,TEXT(SUMPRODUCT(MAX(('Agences &amp; Après-vente'!$A$2:$A$1000=$A407)*(('Agences &amp; Après-vente'!$D$2:$D$1000="Agences")+('Agences &amp; Après-vente'!$D$2:$D$1000="Agences et Après-vente"))*'Agences &amp; Après-vente'!$E$2:$E$1000)),"yyyy-mm-dd"),"")))))</f>
        <v/>
      </c>
      <c r="H407" s="131" t="str">
        <f aca="false">IF($R407="✓","✓",IF(ISNUMBER($R407),TEXT($R407,"yyyy-mm-dd"),IF($A407="","",IF($D407="Lisbonne","",IF(SUMPRODUCT(('Agences &amp; Après-vente'!$A$2:$A$1000=$A407)*(('Agences &amp; Après-vente'!$D$2:$D$1000="Agences")+('Agences &amp; Après-vente'!$D$2:$D$1000="Agences et Après-vente"))*('Agences &amp; Après-vente'!$I$2:$I$1000="DONE"))&gt;0,"✓",IF(SUMPRODUCT(MAX(('Agences &amp; Après-vente'!$A$2:$A$1000=$A407)*(('Agences &amp; Après-vente'!$D$2:$D$1000="Agences")+('Agences &amp; Après-vente'!$D$2:$D$1000="Agences et Après-vente"))*'Agences &amp; Après-vente'!$E$2:$E$1000))&gt;0,TEXT(SUMPRODUCT(MAX(('Agences &amp; Après-vente'!$A$2:$A$1000=$A407)*(('Agences &amp; Après-vente'!$D$2:$D$1000="Agences")+('Agences &amp; Après-vente'!$D$2:$D$1000="Agences et Après-vente"))*'Agences &amp; Après-vente'!$E$2:$E$1000)),"yyyy-mm-dd"),""))))))</f>
        <v/>
      </c>
      <c r="I407" s="131" t="str">
        <f aca="false">IF($S407="✓","✓",IF(ISNUMBER($S407),TEXT($S407,"yyyy-mm-dd"),IF($A407="","",IF(SUMPRODUCT(('Agences &amp; Après-vente'!$A$2:$A$1000=$A407)*(('Agences &amp; Après-vente'!$D$2:$D$1000="Après-vente")+('Agences &amp; Après-vente'!$D$2:$D$1000="Agences et Après-vente"))*('Agences &amp; Après-vente'!$I$2:$I$1000="DONE"))&gt;0,"✓",IF(SUMPRODUCT(MAX(('Agences &amp; Après-vente'!$A$2:$A$1000=$A407)*(('Agences &amp; Après-vente'!$D$2:$D$1000="Après-vente")+('Agences &amp; Après-vente'!$D$2:$D$1000="Agences et Après-vente"))*'Agences &amp; Après-vente'!$E$2:$E$1000))&gt;0,TEXT(SUMPRODUCT(MAX(('Agences &amp; Après-vente'!$A$2:$A$1000=$A407)*(('Agences &amp; Après-vente'!$D$2:$D$1000="Après-vente")+('Agences &amp; Après-vente'!$D$2:$D$1000="Agences et Après-vente"))*'Agences &amp; Après-vente'!$E$2:$E$1000)),"yyyy-mm-dd"),"")))))</f>
        <v/>
      </c>
      <c r="J407" s="131" t="str">
        <f aca="false">IF($T407="✓","✓",IF(ISNUMBER($T407),TEXT($T407,"yyyy-mm-dd"),IF($A407="","",IF($D407="Lisbonne","",IF(SUMPRODUCT(('Agences &amp; Après-vente'!$A$2:$A$1000=$A407)*(('Agences &amp; Après-vente'!$D$2:$D$1000="Après-vente")+('Agences &amp; Après-vente'!$D$2:$D$1000="Agences et Après-vente"))*('Agences &amp; Après-vente'!$I$2:$I$1000="DONE"))&gt;0,"✓",IF(SUMPRODUCT(MAX(('Agences &amp; Après-vente'!$A$2:$A$1000=$A407)*(('Agences &amp; Après-vente'!$D$2:$D$1000="Après-vente")+('Agences &amp; Après-vente'!$D$2:$D$1000="Agences et Après-vente"))*'Agences &amp; Après-vente'!$E$2:$E$1000))&gt;0,TEXT(SUMPRODUCT(MAX(('Agences &amp; Après-vente'!$A$2:$A$1000=$A407)*(('Agences &amp; Après-vente'!$D$2:$D$1000="Après-vente")+('Agences &amp; Après-vente'!$D$2:$D$1000="Agences et Après-vente"))*'Agences &amp; Après-vente'!$E$2:$E$1000)),"yyyy-mm-dd"),""))))))</f>
        <v/>
      </c>
      <c r="K407" s="131" t="str">
        <f aca="false">IF($U407="✓","✓",IF(ISNUMBER($U407),TEXT($U407,"yyyy-mm-dd"),IF($D407="Lisbonne","",IF($A407="","",IF(SUMPRODUCT((Evermont!$A$2:$A$1000=$A407)*(Evermont!$Q$2:$Q$1000="Terminé"))&gt;0,"✓",IF(SUMPRODUCT(MAX((Evermont!$A$2:$A$1000=$A407)*Evermont!$F$2:$F$1000))&gt;0,TEXT(SUMPRODUCT(MAX((Evermont!$A$2:$A$1000=$A407)*Evermont!$F$2:$F$1000)),"yyyy-mm-dd"),""))))))</f>
        <v/>
      </c>
      <c r="L407" s="131" t="str">
        <f aca="false">IF($A407="","",COUNTIF(E407:K407,"✓"))</f>
        <v/>
      </c>
      <c r="M407" s="131" t="str">
        <f aca="false">IF(B407="","","Active")</f>
        <v/>
      </c>
      <c r="W407" s="120" t="str">
        <f aca="false">IF($A407="","",IF($X407&lt;&gt;"",$X407,IFERROR(INDEX('Formation Initiale'!$B$2:$B$999,MATCH($A407,'Formation Initiale'!$A$2:$A$999,0)),"Général")))</f>
        <v/>
      </c>
    </row>
    <row r="408" customFormat="false" ht="15" hidden="true" customHeight="true" outlineLevel="0" collapsed="false">
      <c r="A408" s="142" t="str">
        <f aca="false">IF(B408="","","TR"&amp;TEXT(ROW()-1,"000"))</f>
        <v/>
      </c>
      <c r="E408" s="130" t="str">
        <f aca="false">IF($O408="✓","✓",IF(ISNUMBER($O408),TEXT($O408,"yyyy-mm-dd"),IF($A408="","",IF(SUMPRODUCT(('Formation Initiale'!$A$2:$A$999=$A408)*('Formation Initiale'!$R$2:$R$999="Terminé"))&gt;0,"✓",IF(SUMPRODUCT(MAX(('Formation Initiale'!$A$2:$A$999=$A408)*'Formation Initiale'!$G$2:$G$999))&gt;0,TEXT(SUMPRODUCT(MAX(('Formation Initiale'!$A$2:$A$999=$A408)*'Formation Initiale'!$G$2:$G$999)),"yyyy-mm-dd"),"")))))</f>
        <v/>
      </c>
      <c r="F408" s="131" t="str">
        <f aca="false">IF($P408="✓","✓",IF(ISNUMBER($P408),TEXT($P408,"yyyy-mm-dd"),IF($A408="","",IF($D408="Lisbonne","",IF(SUMPRODUCT(('Formation Initiale'!$A$2:$A$999=$A408)*('Formation Initiale'!$R$2:$R$999="Terminé"))&gt;0,"✓",IF(SUMPRODUCT(MAX(('Formation Initiale'!$A$2:$A$999=$A408)*'Formation Initiale'!$G$2:$G$999))&gt;0,TEXT(SUMPRODUCT(MAX(('Formation Initiale'!$A$2:$A$999=$A408)*'Formation Initiale'!$G$2:$G$999)),"yyyy-mm-dd"),""))))))</f>
        <v/>
      </c>
      <c r="G408" s="131" t="str">
        <f aca="false">IF($Q408="✓","✓",IF(ISNUMBER($Q408),TEXT($Q408,"yyyy-mm-dd"),IF($A408="","",IF(SUMPRODUCT(('Agences &amp; Après-vente'!$A$2:$A$1000=$A408)*(('Agences &amp; Après-vente'!$D$2:$D$1000="Agences")+('Agences &amp; Après-vente'!$D$2:$D$1000="Agences et Après-vente"))*('Agences &amp; Après-vente'!$I$2:$I$1000="DONE"))&gt;0,"✓",IF(SUMPRODUCT(MAX(('Agences &amp; Après-vente'!$A$2:$A$1000=$A408)*(('Agences &amp; Après-vente'!$D$2:$D$1000="Agences")+('Agences &amp; Après-vente'!$D$2:$D$1000="Agences et Après-vente"))*'Agences &amp; Après-vente'!$E$2:$E$1000))&gt;0,TEXT(SUMPRODUCT(MAX(('Agences &amp; Après-vente'!$A$2:$A$1000=$A408)*(('Agences &amp; Après-vente'!$D$2:$D$1000="Agences")+('Agences &amp; Après-vente'!$D$2:$D$1000="Agences et Après-vente"))*'Agences &amp; Après-vente'!$E$2:$E$1000)),"yyyy-mm-dd"),"")))))</f>
        <v/>
      </c>
      <c r="H408" s="131" t="str">
        <f aca="false">IF($R408="✓","✓",IF(ISNUMBER($R408),TEXT($R408,"yyyy-mm-dd"),IF($A408="","",IF($D408="Lisbonne","",IF(SUMPRODUCT(('Agences &amp; Après-vente'!$A$2:$A$1000=$A408)*(('Agences &amp; Après-vente'!$D$2:$D$1000="Agences")+('Agences &amp; Après-vente'!$D$2:$D$1000="Agences et Après-vente"))*('Agences &amp; Après-vente'!$I$2:$I$1000="DONE"))&gt;0,"✓",IF(SUMPRODUCT(MAX(('Agences &amp; Après-vente'!$A$2:$A$1000=$A408)*(('Agences &amp; Après-vente'!$D$2:$D$1000="Agences")+('Agences &amp; Après-vente'!$D$2:$D$1000="Agences et Après-vente"))*'Agences &amp; Après-vente'!$E$2:$E$1000))&gt;0,TEXT(SUMPRODUCT(MAX(('Agences &amp; Après-vente'!$A$2:$A$1000=$A408)*(('Agences &amp; Après-vente'!$D$2:$D$1000="Agences")+('Agences &amp; Après-vente'!$D$2:$D$1000="Agences et Après-vente"))*'Agences &amp; Après-vente'!$E$2:$E$1000)),"yyyy-mm-dd"),""))))))</f>
        <v/>
      </c>
      <c r="I408" s="131" t="str">
        <f aca="false">IF($S408="✓","✓",IF(ISNUMBER($S408),TEXT($S408,"yyyy-mm-dd"),IF($A408="","",IF(SUMPRODUCT(('Agences &amp; Après-vente'!$A$2:$A$1000=$A408)*(('Agences &amp; Après-vente'!$D$2:$D$1000="Après-vente")+('Agences &amp; Après-vente'!$D$2:$D$1000="Agences et Après-vente"))*('Agences &amp; Après-vente'!$I$2:$I$1000="DONE"))&gt;0,"✓",IF(SUMPRODUCT(MAX(('Agences &amp; Après-vente'!$A$2:$A$1000=$A408)*(('Agences &amp; Après-vente'!$D$2:$D$1000="Après-vente")+('Agences &amp; Après-vente'!$D$2:$D$1000="Agences et Après-vente"))*'Agences &amp; Après-vente'!$E$2:$E$1000))&gt;0,TEXT(SUMPRODUCT(MAX(('Agences &amp; Après-vente'!$A$2:$A$1000=$A408)*(('Agences &amp; Après-vente'!$D$2:$D$1000="Après-vente")+('Agences &amp; Après-vente'!$D$2:$D$1000="Agences et Après-vente"))*'Agences &amp; Après-vente'!$E$2:$E$1000)),"yyyy-mm-dd"),"")))))</f>
        <v/>
      </c>
      <c r="J408" s="131" t="str">
        <f aca="false">IF($T408="✓","✓",IF(ISNUMBER($T408),TEXT($T408,"yyyy-mm-dd"),IF($A408="","",IF($D408="Lisbonne","",IF(SUMPRODUCT(('Agences &amp; Après-vente'!$A$2:$A$1000=$A408)*(('Agences &amp; Après-vente'!$D$2:$D$1000="Après-vente")+('Agences &amp; Après-vente'!$D$2:$D$1000="Agences et Après-vente"))*('Agences &amp; Après-vente'!$I$2:$I$1000="DONE"))&gt;0,"✓",IF(SUMPRODUCT(MAX(('Agences &amp; Après-vente'!$A$2:$A$1000=$A408)*(('Agences &amp; Après-vente'!$D$2:$D$1000="Après-vente")+('Agences &amp; Après-vente'!$D$2:$D$1000="Agences et Après-vente"))*'Agences &amp; Après-vente'!$E$2:$E$1000))&gt;0,TEXT(SUMPRODUCT(MAX(('Agences &amp; Après-vente'!$A$2:$A$1000=$A408)*(('Agences &amp; Après-vente'!$D$2:$D$1000="Après-vente")+('Agences &amp; Après-vente'!$D$2:$D$1000="Agences et Après-vente"))*'Agences &amp; Après-vente'!$E$2:$E$1000)),"yyyy-mm-dd"),""))))))</f>
        <v/>
      </c>
      <c r="K408" s="131" t="str">
        <f aca="false">IF($U408="✓","✓",IF(ISNUMBER($U408),TEXT($U408,"yyyy-mm-dd"),IF($D408="Lisbonne","",IF($A408="","",IF(SUMPRODUCT((Evermont!$A$2:$A$1000=$A408)*(Evermont!$Q$2:$Q$1000="Terminé"))&gt;0,"✓",IF(SUMPRODUCT(MAX((Evermont!$A$2:$A$1000=$A408)*Evermont!$F$2:$F$1000))&gt;0,TEXT(SUMPRODUCT(MAX((Evermont!$A$2:$A$1000=$A408)*Evermont!$F$2:$F$1000)),"yyyy-mm-dd"),""))))))</f>
        <v/>
      </c>
      <c r="L408" s="131" t="str">
        <f aca="false">IF($A408="","",COUNTIF(E408:K408,"✓"))</f>
        <v/>
      </c>
      <c r="M408" s="131" t="str">
        <f aca="false">IF(B408="","","Active")</f>
        <v/>
      </c>
      <c r="W408" s="120" t="str">
        <f aca="false">IF($A408="","",IF($X408&lt;&gt;"",$X408,IFERROR(INDEX('Formation Initiale'!$B$2:$B$999,MATCH($A408,'Formation Initiale'!$A$2:$A$999,0)),"Général")))</f>
        <v/>
      </c>
    </row>
    <row r="409" customFormat="false" ht="15" hidden="true" customHeight="true" outlineLevel="0" collapsed="false">
      <c r="A409" s="142" t="str">
        <f aca="false">IF(B409="","","TR"&amp;TEXT(ROW()-1,"000"))</f>
        <v/>
      </c>
      <c r="E409" s="130" t="str">
        <f aca="false">IF($O409="✓","✓",IF(ISNUMBER($O409),TEXT($O409,"yyyy-mm-dd"),IF($A409="","",IF(SUMPRODUCT(('Formation Initiale'!$A$2:$A$999=$A409)*('Formation Initiale'!$R$2:$R$999="Terminé"))&gt;0,"✓",IF(SUMPRODUCT(MAX(('Formation Initiale'!$A$2:$A$999=$A409)*'Formation Initiale'!$G$2:$G$999))&gt;0,TEXT(SUMPRODUCT(MAX(('Formation Initiale'!$A$2:$A$999=$A409)*'Formation Initiale'!$G$2:$G$999)),"yyyy-mm-dd"),"")))))</f>
        <v/>
      </c>
      <c r="F409" s="131" t="str">
        <f aca="false">IF($P409="✓","✓",IF(ISNUMBER($P409),TEXT($P409,"yyyy-mm-dd"),IF($A409="","",IF($D409="Lisbonne","",IF(SUMPRODUCT(('Formation Initiale'!$A$2:$A$999=$A409)*('Formation Initiale'!$R$2:$R$999="Terminé"))&gt;0,"✓",IF(SUMPRODUCT(MAX(('Formation Initiale'!$A$2:$A$999=$A409)*'Formation Initiale'!$G$2:$G$999))&gt;0,TEXT(SUMPRODUCT(MAX(('Formation Initiale'!$A$2:$A$999=$A409)*'Formation Initiale'!$G$2:$G$999)),"yyyy-mm-dd"),""))))))</f>
        <v/>
      </c>
      <c r="G409" s="131" t="str">
        <f aca="false">IF($Q409="✓","✓",IF(ISNUMBER($Q409),TEXT($Q409,"yyyy-mm-dd"),IF($A409="","",IF(SUMPRODUCT(('Agences &amp; Après-vente'!$A$2:$A$1000=$A409)*(('Agences &amp; Après-vente'!$D$2:$D$1000="Agences")+('Agences &amp; Après-vente'!$D$2:$D$1000="Agences et Après-vente"))*('Agences &amp; Après-vente'!$I$2:$I$1000="DONE"))&gt;0,"✓",IF(SUMPRODUCT(MAX(('Agences &amp; Après-vente'!$A$2:$A$1000=$A409)*(('Agences &amp; Après-vente'!$D$2:$D$1000="Agences")+('Agences &amp; Après-vente'!$D$2:$D$1000="Agences et Après-vente"))*'Agences &amp; Après-vente'!$E$2:$E$1000))&gt;0,TEXT(SUMPRODUCT(MAX(('Agences &amp; Après-vente'!$A$2:$A$1000=$A409)*(('Agences &amp; Après-vente'!$D$2:$D$1000="Agences")+('Agences &amp; Après-vente'!$D$2:$D$1000="Agences et Après-vente"))*'Agences &amp; Après-vente'!$E$2:$E$1000)),"yyyy-mm-dd"),"")))))</f>
        <v/>
      </c>
      <c r="H409" s="131" t="str">
        <f aca="false">IF($R409="✓","✓",IF(ISNUMBER($R409),TEXT($R409,"yyyy-mm-dd"),IF($A409="","",IF($D409="Lisbonne","",IF(SUMPRODUCT(('Agences &amp; Après-vente'!$A$2:$A$1000=$A409)*(('Agences &amp; Après-vente'!$D$2:$D$1000="Agences")+('Agences &amp; Après-vente'!$D$2:$D$1000="Agences et Après-vente"))*('Agences &amp; Après-vente'!$I$2:$I$1000="DONE"))&gt;0,"✓",IF(SUMPRODUCT(MAX(('Agences &amp; Après-vente'!$A$2:$A$1000=$A409)*(('Agences &amp; Après-vente'!$D$2:$D$1000="Agences")+('Agences &amp; Après-vente'!$D$2:$D$1000="Agences et Après-vente"))*'Agences &amp; Après-vente'!$E$2:$E$1000))&gt;0,TEXT(SUMPRODUCT(MAX(('Agences &amp; Après-vente'!$A$2:$A$1000=$A409)*(('Agences &amp; Après-vente'!$D$2:$D$1000="Agences")+('Agences &amp; Après-vente'!$D$2:$D$1000="Agences et Après-vente"))*'Agences &amp; Après-vente'!$E$2:$E$1000)),"yyyy-mm-dd"),""))))))</f>
        <v/>
      </c>
      <c r="I409" s="131" t="str">
        <f aca="false">IF($S409="✓","✓",IF(ISNUMBER($S409),TEXT($S409,"yyyy-mm-dd"),IF($A409="","",IF(SUMPRODUCT(('Agences &amp; Après-vente'!$A$2:$A$1000=$A409)*(('Agences &amp; Après-vente'!$D$2:$D$1000="Après-vente")+('Agences &amp; Après-vente'!$D$2:$D$1000="Agences et Après-vente"))*('Agences &amp; Après-vente'!$I$2:$I$1000="DONE"))&gt;0,"✓",IF(SUMPRODUCT(MAX(('Agences &amp; Après-vente'!$A$2:$A$1000=$A409)*(('Agences &amp; Après-vente'!$D$2:$D$1000="Après-vente")+('Agences &amp; Après-vente'!$D$2:$D$1000="Agences et Après-vente"))*'Agences &amp; Après-vente'!$E$2:$E$1000))&gt;0,TEXT(SUMPRODUCT(MAX(('Agences &amp; Après-vente'!$A$2:$A$1000=$A409)*(('Agences &amp; Après-vente'!$D$2:$D$1000="Après-vente")+('Agences &amp; Après-vente'!$D$2:$D$1000="Agences et Après-vente"))*'Agences &amp; Après-vente'!$E$2:$E$1000)),"yyyy-mm-dd"),"")))))</f>
        <v/>
      </c>
      <c r="J409" s="131" t="str">
        <f aca="false">IF($T409="✓","✓",IF(ISNUMBER($T409),TEXT($T409,"yyyy-mm-dd"),IF($A409="","",IF($D409="Lisbonne","",IF(SUMPRODUCT(('Agences &amp; Après-vente'!$A$2:$A$1000=$A409)*(('Agences &amp; Après-vente'!$D$2:$D$1000="Après-vente")+('Agences &amp; Après-vente'!$D$2:$D$1000="Agences et Après-vente"))*('Agences &amp; Après-vente'!$I$2:$I$1000="DONE"))&gt;0,"✓",IF(SUMPRODUCT(MAX(('Agences &amp; Après-vente'!$A$2:$A$1000=$A409)*(('Agences &amp; Après-vente'!$D$2:$D$1000="Après-vente")+('Agences &amp; Après-vente'!$D$2:$D$1000="Agences et Après-vente"))*'Agences &amp; Après-vente'!$E$2:$E$1000))&gt;0,TEXT(SUMPRODUCT(MAX(('Agences &amp; Après-vente'!$A$2:$A$1000=$A409)*(('Agences &amp; Après-vente'!$D$2:$D$1000="Après-vente")+('Agences &amp; Après-vente'!$D$2:$D$1000="Agences et Après-vente"))*'Agences &amp; Après-vente'!$E$2:$E$1000)),"yyyy-mm-dd"),""))))))</f>
        <v/>
      </c>
      <c r="K409" s="131" t="str">
        <f aca="false">IF($U409="✓","✓",IF(ISNUMBER($U409),TEXT($U409,"yyyy-mm-dd"),IF($D409="Lisbonne","",IF($A409="","",IF(SUMPRODUCT((Evermont!$A$2:$A$1000=$A409)*(Evermont!$Q$2:$Q$1000="Terminé"))&gt;0,"✓",IF(SUMPRODUCT(MAX((Evermont!$A$2:$A$1000=$A409)*Evermont!$F$2:$F$1000))&gt;0,TEXT(SUMPRODUCT(MAX((Evermont!$A$2:$A$1000=$A409)*Evermont!$F$2:$F$1000)),"yyyy-mm-dd"),""))))))</f>
        <v/>
      </c>
      <c r="L409" s="131" t="str">
        <f aca="false">IF($A409="","",COUNTIF(E409:K409,"✓"))</f>
        <v/>
      </c>
      <c r="M409" s="131" t="str">
        <f aca="false">IF(B409="","","Active")</f>
        <v/>
      </c>
      <c r="W409" s="120" t="str">
        <f aca="false">IF($A409="","",IF($X409&lt;&gt;"",$X409,IFERROR(INDEX('Formation Initiale'!$B$2:$B$999,MATCH($A409,'Formation Initiale'!$A$2:$A$999,0)),"Général")))</f>
        <v/>
      </c>
    </row>
    <row r="410" customFormat="false" ht="15" hidden="true" customHeight="true" outlineLevel="0" collapsed="false">
      <c r="A410" s="142" t="str">
        <f aca="false">IF(B410="","","TR"&amp;TEXT(ROW()-1,"000"))</f>
        <v/>
      </c>
      <c r="E410" s="130" t="str">
        <f aca="false">IF($O410="✓","✓",IF(ISNUMBER($O410),TEXT($O410,"yyyy-mm-dd"),IF($A410="","",IF(SUMPRODUCT(('Formation Initiale'!$A$2:$A$999=$A410)*('Formation Initiale'!$R$2:$R$999="Terminé"))&gt;0,"✓",IF(SUMPRODUCT(MAX(('Formation Initiale'!$A$2:$A$999=$A410)*'Formation Initiale'!$G$2:$G$999))&gt;0,TEXT(SUMPRODUCT(MAX(('Formation Initiale'!$A$2:$A$999=$A410)*'Formation Initiale'!$G$2:$G$999)),"yyyy-mm-dd"),"")))))</f>
        <v/>
      </c>
      <c r="F410" s="131" t="str">
        <f aca="false">IF($P410="✓","✓",IF(ISNUMBER($P410),TEXT($P410,"yyyy-mm-dd"),IF($A410="","",IF($D410="Lisbonne","",IF(SUMPRODUCT(('Formation Initiale'!$A$2:$A$999=$A410)*('Formation Initiale'!$R$2:$R$999="Terminé"))&gt;0,"✓",IF(SUMPRODUCT(MAX(('Formation Initiale'!$A$2:$A$999=$A410)*'Formation Initiale'!$G$2:$G$999))&gt;0,TEXT(SUMPRODUCT(MAX(('Formation Initiale'!$A$2:$A$999=$A410)*'Formation Initiale'!$G$2:$G$999)),"yyyy-mm-dd"),""))))))</f>
        <v/>
      </c>
      <c r="G410" s="131" t="str">
        <f aca="false">IF($Q410="✓","✓",IF(ISNUMBER($Q410),TEXT($Q410,"yyyy-mm-dd"),IF($A410="","",IF(SUMPRODUCT(('Agences &amp; Après-vente'!$A$2:$A$1000=$A410)*(('Agences &amp; Après-vente'!$D$2:$D$1000="Agences")+('Agences &amp; Après-vente'!$D$2:$D$1000="Agences et Après-vente"))*('Agences &amp; Après-vente'!$I$2:$I$1000="DONE"))&gt;0,"✓",IF(SUMPRODUCT(MAX(('Agences &amp; Après-vente'!$A$2:$A$1000=$A410)*(('Agences &amp; Après-vente'!$D$2:$D$1000="Agences")+('Agences &amp; Après-vente'!$D$2:$D$1000="Agences et Après-vente"))*'Agences &amp; Après-vente'!$E$2:$E$1000))&gt;0,TEXT(SUMPRODUCT(MAX(('Agences &amp; Après-vente'!$A$2:$A$1000=$A410)*(('Agences &amp; Après-vente'!$D$2:$D$1000="Agences")+('Agences &amp; Après-vente'!$D$2:$D$1000="Agences et Après-vente"))*'Agences &amp; Après-vente'!$E$2:$E$1000)),"yyyy-mm-dd"),"")))))</f>
        <v/>
      </c>
      <c r="H410" s="131" t="str">
        <f aca="false">IF($R410="✓","✓",IF(ISNUMBER($R410),TEXT($R410,"yyyy-mm-dd"),IF($A410="","",IF($D410="Lisbonne","",IF(SUMPRODUCT(('Agences &amp; Après-vente'!$A$2:$A$1000=$A410)*(('Agences &amp; Après-vente'!$D$2:$D$1000="Agences")+('Agences &amp; Après-vente'!$D$2:$D$1000="Agences et Après-vente"))*('Agences &amp; Après-vente'!$I$2:$I$1000="DONE"))&gt;0,"✓",IF(SUMPRODUCT(MAX(('Agences &amp; Après-vente'!$A$2:$A$1000=$A410)*(('Agences &amp; Après-vente'!$D$2:$D$1000="Agences")+('Agences &amp; Après-vente'!$D$2:$D$1000="Agences et Après-vente"))*'Agences &amp; Après-vente'!$E$2:$E$1000))&gt;0,TEXT(SUMPRODUCT(MAX(('Agences &amp; Après-vente'!$A$2:$A$1000=$A410)*(('Agences &amp; Après-vente'!$D$2:$D$1000="Agences")+('Agences &amp; Après-vente'!$D$2:$D$1000="Agences et Après-vente"))*'Agences &amp; Après-vente'!$E$2:$E$1000)),"yyyy-mm-dd"),""))))))</f>
        <v/>
      </c>
      <c r="I410" s="131" t="str">
        <f aca="false">IF($S410="✓","✓",IF(ISNUMBER($S410),TEXT($S410,"yyyy-mm-dd"),IF($A410="","",IF(SUMPRODUCT(('Agences &amp; Après-vente'!$A$2:$A$1000=$A410)*(('Agences &amp; Après-vente'!$D$2:$D$1000="Après-vente")+('Agences &amp; Après-vente'!$D$2:$D$1000="Agences et Après-vente"))*('Agences &amp; Après-vente'!$I$2:$I$1000="DONE"))&gt;0,"✓",IF(SUMPRODUCT(MAX(('Agences &amp; Après-vente'!$A$2:$A$1000=$A410)*(('Agences &amp; Après-vente'!$D$2:$D$1000="Après-vente")+('Agences &amp; Après-vente'!$D$2:$D$1000="Agences et Après-vente"))*'Agences &amp; Après-vente'!$E$2:$E$1000))&gt;0,TEXT(SUMPRODUCT(MAX(('Agences &amp; Après-vente'!$A$2:$A$1000=$A410)*(('Agences &amp; Après-vente'!$D$2:$D$1000="Après-vente")+('Agences &amp; Après-vente'!$D$2:$D$1000="Agences et Après-vente"))*'Agences &amp; Après-vente'!$E$2:$E$1000)),"yyyy-mm-dd"),"")))))</f>
        <v/>
      </c>
      <c r="J410" s="131" t="str">
        <f aca="false">IF($T410="✓","✓",IF(ISNUMBER($T410),TEXT($T410,"yyyy-mm-dd"),IF($A410="","",IF($D410="Lisbonne","",IF(SUMPRODUCT(('Agences &amp; Après-vente'!$A$2:$A$1000=$A410)*(('Agences &amp; Après-vente'!$D$2:$D$1000="Après-vente")+('Agences &amp; Après-vente'!$D$2:$D$1000="Agences et Après-vente"))*('Agences &amp; Après-vente'!$I$2:$I$1000="DONE"))&gt;0,"✓",IF(SUMPRODUCT(MAX(('Agences &amp; Après-vente'!$A$2:$A$1000=$A410)*(('Agences &amp; Après-vente'!$D$2:$D$1000="Après-vente")+('Agences &amp; Après-vente'!$D$2:$D$1000="Agences et Après-vente"))*'Agences &amp; Après-vente'!$E$2:$E$1000))&gt;0,TEXT(SUMPRODUCT(MAX(('Agences &amp; Après-vente'!$A$2:$A$1000=$A410)*(('Agences &amp; Après-vente'!$D$2:$D$1000="Après-vente")+('Agences &amp; Après-vente'!$D$2:$D$1000="Agences et Après-vente"))*'Agences &amp; Après-vente'!$E$2:$E$1000)),"yyyy-mm-dd"),""))))))</f>
        <v/>
      </c>
      <c r="K410" s="131" t="str">
        <f aca="false">IF($U410="✓","✓",IF(ISNUMBER($U410),TEXT($U410,"yyyy-mm-dd"),IF($D410="Lisbonne","",IF($A410="","",IF(SUMPRODUCT((Evermont!$A$2:$A$1000=$A410)*(Evermont!$Q$2:$Q$1000="Terminé"))&gt;0,"✓",IF(SUMPRODUCT(MAX((Evermont!$A$2:$A$1000=$A410)*Evermont!$F$2:$F$1000))&gt;0,TEXT(SUMPRODUCT(MAX((Evermont!$A$2:$A$1000=$A410)*Evermont!$F$2:$F$1000)),"yyyy-mm-dd"),""))))))</f>
        <v/>
      </c>
      <c r="L410" s="131" t="str">
        <f aca="false">IF($A410="","",COUNTIF(E410:K410,"✓"))</f>
        <v/>
      </c>
      <c r="M410" s="131" t="str">
        <f aca="false">IF(B410="","","Active")</f>
        <v/>
      </c>
      <c r="W410" s="120" t="str">
        <f aca="false">IF($A410="","",IF($X410&lt;&gt;"",$X410,IFERROR(INDEX('Formation Initiale'!$B$2:$B$999,MATCH($A410,'Formation Initiale'!$A$2:$A$999,0)),"Général")))</f>
        <v/>
      </c>
    </row>
    <row r="411" customFormat="false" ht="15" hidden="true" customHeight="true" outlineLevel="0" collapsed="false">
      <c r="A411" s="142" t="str">
        <f aca="false">IF(B411="","","TR"&amp;TEXT(ROW()-1,"000"))</f>
        <v/>
      </c>
      <c r="E411" s="130" t="str">
        <f aca="false">IF($O411="✓","✓",IF(ISNUMBER($O411),TEXT($O411,"yyyy-mm-dd"),IF($A411="","",IF(SUMPRODUCT(('Formation Initiale'!$A$2:$A$999=$A411)*('Formation Initiale'!$R$2:$R$999="Terminé"))&gt;0,"✓",IF(SUMPRODUCT(MAX(('Formation Initiale'!$A$2:$A$999=$A411)*'Formation Initiale'!$G$2:$G$999))&gt;0,TEXT(SUMPRODUCT(MAX(('Formation Initiale'!$A$2:$A$999=$A411)*'Formation Initiale'!$G$2:$G$999)),"yyyy-mm-dd"),"")))))</f>
        <v/>
      </c>
      <c r="F411" s="131" t="str">
        <f aca="false">IF($P411="✓","✓",IF(ISNUMBER($P411),TEXT($P411,"yyyy-mm-dd"),IF($A411="","",IF($D411="Lisbonne","",IF(SUMPRODUCT(('Formation Initiale'!$A$2:$A$999=$A411)*('Formation Initiale'!$R$2:$R$999="Terminé"))&gt;0,"✓",IF(SUMPRODUCT(MAX(('Formation Initiale'!$A$2:$A$999=$A411)*'Formation Initiale'!$G$2:$G$999))&gt;0,TEXT(SUMPRODUCT(MAX(('Formation Initiale'!$A$2:$A$999=$A411)*'Formation Initiale'!$G$2:$G$999)),"yyyy-mm-dd"),""))))))</f>
        <v/>
      </c>
      <c r="G411" s="131" t="str">
        <f aca="false">IF($Q411="✓","✓",IF(ISNUMBER($Q411),TEXT($Q411,"yyyy-mm-dd"),IF($A411="","",IF(SUMPRODUCT(('Agences &amp; Après-vente'!$A$2:$A$1000=$A411)*(('Agences &amp; Après-vente'!$D$2:$D$1000="Agences")+('Agences &amp; Après-vente'!$D$2:$D$1000="Agences et Après-vente"))*('Agences &amp; Après-vente'!$I$2:$I$1000="DONE"))&gt;0,"✓",IF(SUMPRODUCT(MAX(('Agences &amp; Après-vente'!$A$2:$A$1000=$A411)*(('Agences &amp; Après-vente'!$D$2:$D$1000="Agences")+('Agences &amp; Après-vente'!$D$2:$D$1000="Agences et Après-vente"))*'Agences &amp; Après-vente'!$E$2:$E$1000))&gt;0,TEXT(SUMPRODUCT(MAX(('Agences &amp; Après-vente'!$A$2:$A$1000=$A411)*(('Agences &amp; Après-vente'!$D$2:$D$1000="Agences")+('Agences &amp; Après-vente'!$D$2:$D$1000="Agences et Après-vente"))*'Agences &amp; Après-vente'!$E$2:$E$1000)),"yyyy-mm-dd"),"")))))</f>
        <v/>
      </c>
      <c r="H411" s="131" t="str">
        <f aca="false">IF($R411="✓","✓",IF(ISNUMBER($R411),TEXT($R411,"yyyy-mm-dd"),IF($A411="","",IF($D411="Lisbonne","",IF(SUMPRODUCT(('Agences &amp; Après-vente'!$A$2:$A$1000=$A411)*(('Agences &amp; Après-vente'!$D$2:$D$1000="Agences")+('Agences &amp; Après-vente'!$D$2:$D$1000="Agences et Après-vente"))*('Agences &amp; Après-vente'!$I$2:$I$1000="DONE"))&gt;0,"✓",IF(SUMPRODUCT(MAX(('Agences &amp; Après-vente'!$A$2:$A$1000=$A411)*(('Agences &amp; Après-vente'!$D$2:$D$1000="Agences")+('Agences &amp; Après-vente'!$D$2:$D$1000="Agences et Après-vente"))*'Agences &amp; Après-vente'!$E$2:$E$1000))&gt;0,TEXT(SUMPRODUCT(MAX(('Agences &amp; Après-vente'!$A$2:$A$1000=$A411)*(('Agences &amp; Après-vente'!$D$2:$D$1000="Agences")+('Agences &amp; Après-vente'!$D$2:$D$1000="Agences et Après-vente"))*'Agences &amp; Après-vente'!$E$2:$E$1000)),"yyyy-mm-dd"),""))))))</f>
        <v/>
      </c>
      <c r="I411" s="131" t="str">
        <f aca="false">IF($S411="✓","✓",IF(ISNUMBER($S411),TEXT($S411,"yyyy-mm-dd"),IF($A411="","",IF(SUMPRODUCT(('Agences &amp; Après-vente'!$A$2:$A$1000=$A411)*(('Agences &amp; Après-vente'!$D$2:$D$1000="Après-vente")+('Agences &amp; Après-vente'!$D$2:$D$1000="Agences et Après-vente"))*('Agences &amp; Après-vente'!$I$2:$I$1000="DONE"))&gt;0,"✓",IF(SUMPRODUCT(MAX(('Agences &amp; Après-vente'!$A$2:$A$1000=$A411)*(('Agences &amp; Après-vente'!$D$2:$D$1000="Après-vente")+('Agences &amp; Après-vente'!$D$2:$D$1000="Agences et Après-vente"))*'Agences &amp; Après-vente'!$E$2:$E$1000))&gt;0,TEXT(SUMPRODUCT(MAX(('Agences &amp; Après-vente'!$A$2:$A$1000=$A411)*(('Agences &amp; Après-vente'!$D$2:$D$1000="Après-vente")+('Agences &amp; Après-vente'!$D$2:$D$1000="Agences et Après-vente"))*'Agences &amp; Après-vente'!$E$2:$E$1000)),"yyyy-mm-dd"),"")))))</f>
        <v/>
      </c>
      <c r="J411" s="131" t="str">
        <f aca="false">IF($T411="✓","✓",IF(ISNUMBER($T411),TEXT($T411,"yyyy-mm-dd"),IF($A411="","",IF($D411="Lisbonne","",IF(SUMPRODUCT(('Agences &amp; Après-vente'!$A$2:$A$1000=$A411)*(('Agences &amp; Après-vente'!$D$2:$D$1000="Après-vente")+('Agences &amp; Après-vente'!$D$2:$D$1000="Agences et Après-vente"))*('Agences &amp; Après-vente'!$I$2:$I$1000="DONE"))&gt;0,"✓",IF(SUMPRODUCT(MAX(('Agences &amp; Après-vente'!$A$2:$A$1000=$A411)*(('Agences &amp; Après-vente'!$D$2:$D$1000="Après-vente")+('Agences &amp; Après-vente'!$D$2:$D$1000="Agences et Après-vente"))*'Agences &amp; Après-vente'!$E$2:$E$1000))&gt;0,TEXT(SUMPRODUCT(MAX(('Agences &amp; Après-vente'!$A$2:$A$1000=$A411)*(('Agences &amp; Après-vente'!$D$2:$D$1000="Après-vente")+('Agences &amp; Après-vente'!$D$2:$D$1000="Agences et Après-vente"))*'Agences &amp; Après-vente'!$E$2:$E$1000)),"yyyy-mm-dd"),""))))))</f>
        <v/>
      </c>
      <c r="K411" s="131" t="str">
        <f aca="false">IF($U411="✓","✓",IF(ISNUMBER($U411),TEXT($U411,"yyyy-mm-dd"),IF($D411="Lisbonne","",IF($A411="","",IF(SUMPRODUCT((Evermont!$A$2:$A$1000=$A411)*(Evermont!$Q$2:$Q$1000="Terminé"))&gt;0,"✓",IF(SUMPRODUCT(MAX((Evermont!$A$2:$A$1000=$A411)*Evermont!$F$2:$F$1000))&gt;0,TEXT(SUMPRODUCT(MAX((Evermont!$A$2:$A$1000=$A411)*Evermont!$F$2:$F$1000)),"yyyy-mm-dd"),""))))))</f>
        <v/>
      </c>
      <c r="L411" s="131" t="str">
        <f aca="false">IF($A411="","",COUNTIF(E411:K411,"✓"))</f>
        <v/>
      </c>
      <c r="M411" s="131" t="str">
        <f aca="false">IF(B411="","","Active")</f>
        <v/>
      </c>
      <c r="W411" s="120" t="str">
        <f aca="false">IF($A411="","",IF($X411&lt;&gt;"",$X411,IFERROR(INDEX('Formation Initiale'!$B$2:$B$999,MATCH($A411,'Formation Initiale'!$A$2:$A$999,0)),"Général")))</f>
        <v/>
      </c>
    </row>
    <row r="412" customFormat="false" ht="15" hidden="true" customHeight="true" outlineLevel="0" collapsed="false">
      <c r="A412" s="142" t="str">
        <f aca="false">IF(B412="","","TR"&amp;TEXT(ROW()-1,"000"))</f>
        <v/>
      </c>
      <c r="E412" s="130" t="str">
        <f aca="false">IF($O412="✓","✓",IF(ISNUMBER($O412),TEXT($O412,"yyyy-mm-dd"),IF($A412="","",IF(SUMPRODUCT(('Formation Initiale'!$A$2:$A$999=$A412)*('Formation Initiale'!$R$2:$R$999="Terminé"))&gt;0,"✓",IF(SUMPRODUCT(MAX(('Formation Initiale'!$A$2:$A$999=$A412)*'Formation Initiale'!$G$2:$G$999))&gt;0,TEXT(SUMPRODUCT(MAX(('Formation Initiale'!$A$2:$A$999=$A412)*'Formation Initiale'!$G$2:$G$999)),"yyyy-mm-dd"),"")))))</f>
        <v/>
      </c>
      <c r="F412" s="131" t="str">
        <f aca="false">IF($P412="✓","✓",IF(ISNUMBER($P412),TEXT($P412,"yyyy-mm-dd"),IF($A412="","",IF($D412="Lisbonne","",IF(SUMPRODUCT(('Formation Initiale'!$A$2:$A$999=$A412)*('Formation Initiale'!$R$2:$R$999="Terminé"))&gt;0,"✓",IF(SUMPRODUCT(MAX(('Formation Initiale'!$A$2:$A$999=$A412)*'Formation Initiale'!$G$2:$G$999))&gt;0,TEXT(SUMPRODUCT(MAX(('Formation Initiale'!$A$2:$A$999=$A412)*'Formation Initiale'!$G$2:$G$999)),"yyyy-mm-dd"),""))))))</f>
        <v/>
      </c>
      <c r="G412" s="131" t="str">
        <f aca="false">IF($Q412="✓","✓",IF(ISNUMBER($Q412),TEXT($Q412,"yyyy-mm-dd"),IF($A412="","",IF(SUMPRODUCT(('Agences &amp; Après-vente'!$A$2:$A$1000=$A412)*(('Agences &amp; Après-vente'!$D$2:$D$1000="Agences")+('Agences &amp; Après-vente'!$D$2:$D$1000="Agences et Après-vente"))*('Agences &amp; Après-vente'!$I$2:$I$1000="DONE"))&gt;0,"✓",IF(SUMPRODUCT(MAX(('Agences &amp; Après-vente'!$A$2:$A$1000=$A412)*(('Agences &amp; Après-vente'!$D$2:$D$1000="Agences")+('Agences &amp; Après-vente'!$D$2:$D$1000="Agences et Après-vente"))*'Agences &amp; Après-vente'!$E$2:$E$1000))&gt;0,TEXT(SUMPRODUCT(MAX(('Agences &amp; Après-vente'!$A$2:$A$1000=$A412)*(('Agences &amp; Après-vente'!$D$2:$D$1000="Agences")+('Agences &amp; Après-vente'!$D$2:$D$1000="Agences et Après-vente"))*'Agences &amp; Après-vente'!$E$2:$E$1000)),"yyyy-mm-dd"),"")))))</f>
        <v/>
      </c>
      <c r="H412" s="131" t="str">
        <f aca="false">IF($R412="✓","✓",IF(ISNUMBER($R412),TEXT($R412,"yyyy-mm-dd"),IF($A412="","",IF($D412="Lisbonne","",IF(SUMPRODUCT(('Agences &amp; Après-vente'!$A$2:$A$1000=$A412)*(('Agences &amp; Après-vente'!$D$2:$D$1000="Agences")+('Agences &amp; Après-vente'!$D$2:$D$1000="Agences et Après-vente"))*('Agences &amp; Après-vente'!$I$2:$I$1000="DONE"))&gt;0,"✓",IF(SUMPRODUCT(MAX(('Agences &amp; Après-vente'!$A$2:$A$1000=$A412)*(('Agences &amp; Après-vente'!$D$2:$D$1000="Agences")+('Agences &amp; Après-vente'!$D$2:$D$1000="Agences et Après-vente"))*'Agences &amp; Après-vente'!$E$2:$E$1000))&gt;0,TEXT(SUMPRODUCT(MAX(('Agences &amp; Après-vente'!$A$2:$A$1000=$A412)*(('Agences &amp; Après-vente'!$D$2:$D$1000="Agences")+('Agences &amp; Après-vente'!$D$2:$D$1000="Agences et Après-vente"))*'Agences &amp; Après-vente'!$E$2:$E$1000)),"yyyy-mm-dd"),""))))))</f>
        <v/>
      </c>
      <c r="I412" s="131" t="str">
        <f aca="false">IF($S412="✓","✓",IF(ISNUMBER($S412),TEXT($S412,"yyyy-mm-dd"),IF($A412="","",IF(SUMPRODUCT(('Agences &amp; Après-vente'!$A$2:$A$1000=$A412)*(('Agences &amp; Après-vente'!$D$2:$D$1000="Après-vente")+('Agences &amp; Après-vente'!$D$2:$D$1000="Agences et Après-vente"))*('Agences &amp; Après-vente'!$I$2:$I$1000="DONE"))&gt;0,"✓",IF(SUMPRODUCT(MAX(('Agences &amp; Après-vente'!$A$2:$A$1000=$A412)*(('Agences &amp; Après-vente'!$D$2:$D$1000="Après-vente")+('Agences &amp; Après-vente'!$D$2:$D$1000="Agences et Après-vente"))*'Agences &amp; Après-vente'!$E$2:$E$1000))&gt;0,TEXT(SUMPRODUCT(MAX(('Agences &amp; Après-vente'!$A$2:$A$1000=$A412)*(('Agences &amp; Après-vente'!$D$2:$D$1000="Après-vente")+('Agences &amp; Après-vente'!$D$2:$D$1000="Agences et Après-vente"))*'Agences &amp; Après-vente'!$E$2:$E$1000)),"yyyy-mm-dd"),"")))))</f>
        <v/>
      </c>
      <c r="J412" s="131" t="str">
        <f aca="false">IF($T412="✓","✓",IF(ISNUMBER($T412),TEXT($T412,"yyyy-mm-dd"),IF($A412="","",IF($D412="Lisbonne","",IF(SUMPRODUCT(('Agences &amp; Après-vente'!$A$2:$A$1000=$A412)*(('Agences &amp; Après-vente'!$D$2:$D$1000="Après-vente")+('Agences &amp; Après-vente'!$D$2:$D$1000="Agences et Après-vente"))*('Agences &amp; Après-vente'!$I$2:$I$1000="DONE"))&gt;0,"✓",IF(SUMPRODUCT(MAX(('Agences &amp; Après-vente'!$A$2:$A$1000=$A412)*(('Agences &amp; Après-vente'!$D$2:$D$1000="Après-vente")+('Agences &amp; Après-vente'!$D$2:$D$1000="Agences et Après-vente"))*'Agences &amp; Après-vente'!$E$2:$E$1000))&gt;0,TEXT(SUMPRODUCT(MAX(('Agences &amp; Après-vente'!$A$2:$A$1000=$A412)*(('Agences &amp; Après-vente'!$D$2:$D$1000="Après-vente")+('Agences &amp; Après-vente'!$D$2:$D$1000="Agences et Après-vente"))*'Agences &amp; Après-vente'!$E$2:$E$1000)),"yyyy-mm-dd"),""))))))</f>
        <v/>
      </c>
      <c r="K412" s="131" t="str">
        <f aca="false">IF($U412="✓","✓",IF(ISNUMBER($U412),TEXT($U412,"yyyy-mm-dd"),IF($D412="Lisbonne","",IF($A412="","",IF(SUMPRODUCT((Evermont!$A$2:$A$1000=$A412)*(Evermont!$Q$2:$Q$1000="Terminé"))&gt;0,"✓",IF(SUMPRODUCT(MAX((Evermont!$A$2:$A$1000=$A412)*Evermont!$F$2:$F$1000))&gt;0,TEXT(SUMPRODUCT(MAX((Evermont!$A$2:$A$1000=$A412)*Evermont!$F$2:$F$1000)),"yyyy-mm-dd"),""))))))</f>
        <v/>
      </c>
      <c r="L412" s="131" t="str">
        <f aca="false">IF($A412="","",COUNTIF(E412:K412,"✓"))</f>
        <v/>
      </c>
      <c r="M412" s="131" t="str">
        <f aca="false">IF(B412="","","Active")</f>
        <v/>
      </c>
      <c r="W412" s="120" t="str">
        <f aca="false">IF($A412="","",IF($X412&lt;&gt;"",$X412,IFERROR(INDEX('Formation Initiale'!$B$2:$B$999,MATCH($A412,'Formation Initiale'!$A$2:$A$999,0)),"Général")))</f>
        <v/>
      </c>
    </row>
    <row r="413" customFormat="false" ht="15" hidden="true" customHeight="true" outlineLevel="0" collapsed="false">
      <c r="A413" s="142" t="str">
        <f aca="false">IF(B413="","","TR"&amp;TEXT(ROW()-1,"000"))</f>
        <v/>
      </c>
      <c r="E413" s="130" t="str">
        <f aca="false">IF($O413="✓","✓",IF(ISNUMBER($O413),TEXT($O413,"yyyy-mm-dd"),IF($A413="","",IF(SUMPRODUCT(('Formation Initiale'!$A$2:$A$999=$A413)*('Formation Initiale'!$R$2:$R$999="Terminé"))&gt;0,"✓",IF(SUMPRODUCT(MAX(('Formation Initiale'!$A$2:$A$999=$A413)*'Formation Initiale'!$G$2:$G$999))&gt;0,TEXT(SUMPRODUCT(MAX(('Formation Initiale'!$A$2:$A$999=$A413)*'Formation Initiale'!$G$2:$G$999)),"yyyy-mm-dd"),"")))))</f>
        <v/>
      </c>
      <c r="F413" s="131" t="str">
        <f aca="false">IF($P413="✓","✓",IF(ISNUMBER($P413),TEXT($P413,"yyyy-mm-dd"),IF($A413="","",IF($D413="Lisbonne","",IF(SUMPRODUCT(('Formation Initiale'!$A$2:$A$999=$A413)*('Formation Initiale'!$R$2:$R$999="Terminé"))&gt;0,"✓",IF(SUMPRODUCT(MAX(('Formation Initiale'!$A$2:$A$999=$A413)*'Formation Initiale'!$G$2:$G$999))&gt;0,TEXT(SUMPRODUCT(MAX(('Formation Initiale'!$A$2:$A$999=$A413)*'Formation Initiale'!$G$2:$G$999)),"yyyy-mm-dd"),""))))))</f>
        <v/>
      </c>
      <c r="G413" s="131" t="str">
        <f aca="false">IF($Q413="✓","✓",IF(ISNUMBER($Q413),TEXT($Q413,"yyyy-mm-dd"),IF($A413="","",IF(SUMPRODUCT(('Agences &amp; Après-vente'!$A$2:$A$1000=$A413)*(('Agences &amp; Après-vente'!$D$2:$D$1000="Agences")+('Agences &amp; Après-vente'!$D$2:$D$1000="Agences et Après-vente"))*('Agences &amp; Après-vente'!$I$2:$I$1000="DONE"))&gt;0,"✓",IF(SUMPRODUCT(MAX(('Agences &amp; Après-vente'!$A$2:$A$1000=$A413)*(('Agences &amp; Après-vente'!$D$2:$D$1000="Agences")+('Agences &amp; Après-vente'!$D$2:$D$1000="Agences et Après-vente"))*'Agences &amp; Après-vente'!$E$2:$E$1000))&gt;0,TEXT(SUMPRODUCT(MAX(('Agences &amp; Après-vente'!$A$2:$A$1000=$A413)*(('Agences &amp; Après-vente'!$D$2:$D$1000="Agences")+('Agences &amp; Après-vente'!$D$2:$D$1000="Agences et Après-vente"))*'Agences &amp; Après-vente'!$E$2:$E$1000)),"yyyy-mm-dd"),"")))))</f>
        <v/>
      </c>
      <c r="H413" s="131" t="str">
        <f aca="false">IF($R413="✓","✓",IF(ISNUMBER($R413),TEXT($R413,"yyyy-mm-dd"),IF($A413="","",IF($D413="Lisbonne","",IF(SUMPRODUCT(('Agences &amp; Après-vente'!$A$2:$A$1000=$A413)*(('Agences &amp; Après-vente'!$D$2:$D$1000="Agences")+('Agences &amp; Après-vente'!$D$2:$D$1000="Agences et Après-vente"))*('Agences &amp; Après-vente'!$I$2:$I$1000="DONE"))&gt;0,"✓",IF(SUMPRODUCT(MAX(('Agences &amp; Après-vente'!$A$2:$A$1000=$A413)*(('Agences &amp; Après-vente'!$D$2:$D$1000="Agences")+('Agences &amp; Après-vente'!$D$2:$D$1000="Agences et Après-vente"))*'Agences &amp; Après-vente'!$E$2:$E$1000))&gt;0,TEXT(SUMPRODUCT(MAX(('Agences &amp; Après-vente'!$A$2:$A$1000=$A413)*(('Agences &amp; Après-vente'!$D$2:$D$1000="Agences")+('Agences &amp; Après-vente'!$D$2:$D$1000="Agences et Après-vente"))*'Agences &amp; Après-vente'!$E$2:$E$1000)),"yyyy-mm-dd"),""))))))</f>
        <v/>
      </c>
      <c r="I413" s="131" t="str">
        <f aca="false">IF($S413="✓","✓",IF(ISNUMBER($S413),TEXT($S413,"yyyy-mm-dd"),IF($A413="","",IF(SUMPRODUCT(('Agences &amp; Après-vente'!$A$2:$A$1000=$A413)*(('Agences &amp; Après-vente'!$D$2:$D$1000="Après-vente")+('Agences &amp; Après-vente'!$D$2:$D$1000="Agences et Après-vente"))*('Agences &amp; Après-vente'!$I$2:$I$1000="DONE"))&gt;0,"✓",IF(SUMPRODUCT(MAX(('Agences &amp; Après-vente'!$A$2:$A$1000=$A413)*(('Agences &amp; Après-vente'!$D$2:$D$1000="Après-vente")+('Agences &amp; Après-vente'!$D$2:$D$1000="Agences et Après-vente"))*'Agences &amp; Après-vente'!$E$2:$E$1000))&gt;0,TEXT(SUMPRODUCT(MAX(('Agences &amp; Après-vente'!$A$2:$A$1000=$A413)*(('Agences &amp; Après-vente'!$D$2:$D$1000="Après-vente")+('Agences &amp; Après-vente'!$D$2:$D$1000="Agences et Après-vente"))*'Agences &amp; Après-vente'!$E$2:$E$1000)),"yyyy-mm-dd"),"")))))</f>
        <v/>
      </c>
      <c r="J413" s="131" t="str">
        <f aca="false">IF($T413="✓","✓",IF(ISNUMBER($T413),TEXT($T413,"yyyy-mm-dd"),IF($A413="","",IF($D413="Lisbonne","",IF(SUMPRODUCT(('Agences &amp; Après-vente'!$A$2:$A$1000=$A413)*(('Agences &amp; Après-vente'!$D$2:$D$1000="Après-vente")+('Agences &amp; Après-vente'!$D$2:$D$1000="Agences et Après-vente"))*('Agences &amp; Après-vente'!$I$2:$I$1000="DONE"))&gt;0,"✓",IF(SUMPRODUCT(MAX(('Agences &amp; Après-vente'!$A$2:$A$1000=$A413)*(('Agences &amp; Après-vente'!$D$2:$D$1000="Après-vente")+('Agences &amp; Après-vente'!$D$2:$D$1000="Agences et Après-vente"))*'Agences &amp; Après-vente'!$E$2:$E$1000))&gt;0,TEXT(SUMPRODUCT(MAX(('Agences &amp; Après-vente'!$A$2:$A$1000=$A413)*(('Agences &amp; Après-vente'!$D$2:$D$1000="Après-vente")+('Agences &amp; Après-vente'!$D$2:$D$1000="Agences et Après-vente"))*'Agences &amp; Après-vente'!$E$2:$E$1000)),"yyyy-mm-dd"),""))))))</f>
        <v/>
      </c>
      <c r="K413" s="131" t="str">
        <f aca="false">IF($U413="✓","✓",IF(ISNUMBER($U413),TEXT($U413,"yyyy-mm-dd"),IF($D413="Lisbonne","",IF($A413="","",IF(SUMPRODUCT((Evermont!$A$2:$A$1000=$A413)*(Evermont!$Q$2:$Q$1000="Terminé"))&gt;0,"✓",IF(SUMPRODUCT(MAX((Evermont!$A$2:$A$1000=$A413)*Evermont!$F$2:$F$1000))&gt;0,TEXT(SUMPRODUCT(MAX((Evermont!$A$2:$A$1000=$A413)*Evermont!$F$2:$F$1000)),"yyyy-mm-dd"),""))))))</f>
        <v/>
      </c>
      <c r="L413" s="131" t="str">
        <f aca="false">IF($A413="","",COUNTIF(E413:K413,"✓"))</f>
        <v/>
      </c>
      <c r="M413" s="131" t="str">
        <f aca="false">IF(B413="","","Active")</f>
        <v/>
      </c>
      <c r="W413" s="120" t="str">
        <f aca="false">IF($A413="","",IF($X413&lt;&gt;"",$X413,IFERROR(INDEX('Formation Initiale'!$B$2:$B$999,MATCH($A413,'Formation Initiale'!$A$2:$A$999,0)),"Général")))</f>
        <v/>
      </c>
    </row>
    <row r="414" customFormat="false" ht="15" hidden="true" customHeight="true" outlineLevel="0" collapsed="false">
      <c r="A414" s="142" t="str">
        <f aca="false">IF(B414="","","TR"&amp;TEXT(ROW()-1,"000"))</f>
        <v/>
      </c>
      <c r="E414" s="130" t="str">
        <f aca="false">IF($O414="✓","✓",IF(ISNUMBER($O414),TEXT($O414,"yyyy-mm-dd"),IF($A414="","",IF(SUMPRODUCT(('Formation Initiale'!$A$2:$A$999=$A414)*('Formation Initiale'!$R$2:$R$999="Terminé"))&gt;0,"✓",IF(SUMPRODUCT(MAX(('Formation Initiale'!$A$2:$A$999=$A414)*'Formation Initiale'!$G$2:$G$999))&gt;0,TEXT(SUMPRODUCT(MAX(('Formation Initiale'!$A$2:$A$999=$A414)*'Formation Initiale'!$G$2:$G$999)),"yyyy-mm-dd"),"")))))</f>
        <v/>
      </c>
      <c r="F414" s="131" t="str">
        <f aca="false">IF($P414="✓","✓",IF(ISNUMBER($P414),TEXT($P414,"yyyy-mm-dd"),IF($A414="","",IF($D414="Lisbonne","",IF(SUMPRODUCT(('Formation Initiale'!$A$2:$A$999=$A414)*('Formation Initiale'!$R$2:$R$999="Terminé"))&gt;0,"✓",IF(SUMPRODUCT(MAX(('Formation Initiale'!$A$2:$A$999=$A414)*'Formation Initiale'!$G$2:$G$999))&gt;0,TEXT(SUMPRODUCT(MAX(('Formation Initiale'!$A$2:$A$999=$A414)*'Formation Initiale'!$G$2:$G$999)),"yyyy-mm-dd"),""))))))</f>
        <v/>
      </c>
      <c r="G414" s="131" t="str">
        <f aca="false">IF($Q414="✓","✓",IF(ISNUMBER($Q414),TEXT($Q414,"yyyy-mm-dd"),IF($A414="","",IF(SUMPRODUCT(('Agences &amp; Après-vente'!$A$2:$A$1000=$A414)*(('Agences &amp; Après-vente'!$D$2:$D$1000="Agences")+('Agences &amp; Après-vente'!$D$2:$D$1000="Agences et Après-vente"))*('Agences &amp; Après-vente'!$I$2:$I$1000="DONE"))&gt;0,"✓",IF(SUMPRODUCT(MAX(('Agences &amp; Après-vente'!$A$2:$A$1000=$A414)*(('Agences &amp; Après-vente'!$D$2:$D$1000="Agences")+('Agences &amp; Après-vente'!$D$2:$D$1000="Agences et Après-vente"))*'Agences &amp; Après-vente'!$E$2:$E$1000))&gt;0,TEXT(SUMPRODUCT(MAX(('Agences &amp; Après-vente'!$A$2:$A$1000=$A414)*(('Agences &amp; Après-vente'!$D$2:$D$1000="Agences")+('Agences &amp; Après-vente'!$D$2:$D$1000="Agences et Après-vente"))*'Agences &amp; Après-vente'!$E$2:$E$1000)),"yyyy-mm-dd"),"")))))</f>
        <v/>
      </c>
      <c r="H414" s="131" t="str">
        <f aca="false">IF($R414="✓","✓",IF(ISNUMBER($R414),TEXT($R414,"yyyy-mm-dd"),IF($A414="","",IF($D414="Lisbonne","",IF(SUMPRODUCT(('Agences &amp; Après-vente'!$A$2:$A$1000=$A414)*(('Agences &amp; Après-vente'!$D$2:$D$1000="Agences")+('Agences &amp; Après-vente'!$D$2:$D$1000="Agences et Après-vente"))*('Agences &amp; Après-vente'!$I$2:$I$1000="DONE"))&gt;0,"✓",IF(SUMPRODUCT(MAX(('Agences &amp; Après-vente'!$A$2:$A$1000=$A414)*(('Agences &amp; Après-vente'!$D$2:$D$1000="Agences")+('Agences &amp; Après-vente'!$D$2:$D$1000="Agences et Après-vente"))*'Agences &amp; Après-vente'!$E$2:$E$1000))&gt;0,TEXT(SUMPRODUCT(MAX(('Agences &amp; Après-vente'!$A$2:$A$1000=$A414)*(('Agences &amp; Après-vente'!$D$2:$D$1000="Agences")+('Agences &amp; Après-vente'!$D$2:$D$1000="Agences et Après-vente"))*'Agences &amp; Après-vente'!$E$2:$E$1000)),"yyyy-mm-dd"),""))))))</f>
        <v/>
      </c>
      <c r="I414" s="131" t="str">
        <f aca="false">IF($S414="✓","✓",IF(ISNUMBER($S414),TEXT($S414,"yyyy-mm-dd"),IF($A414="","",IF(SUMPRODUCT(('Agences &amp; Après-vente'!$A$2:$A$1000=$A414)*(('Agences &amp; Après-vente'!$D$2:$D$1000="Après-vente")+('Agences &amp; Après-vente'!$D$2:$D$1000="Agences et Après-vente"))*('Agences &amp; Après-vente'!$I$2:$I$1000="DONE"))&gt;0,"✓",IF(SUMPRODUCT(MAX(('Agences &amp; Après-vente'!$A$2:$A$1000=$A414)*(('Agences &amp; Après-vente'!$D$2:$D$1000="Après-vente")+('Agences &amp; Après-vente'!$D$2:$D$1000="Agences et Après-vente"))*'Agences &amp; Après-vente'!$E$2:$E$1000))&gt;0,TEXT(SUMPRODUCT(MAX(('Agences &amp; Après-vente'!$A$2:$A$1000=$A414)*(('Agences &amp; Après-vente'!$D$2:$D$1000="Après-vente")+('Agences &amp; Après-vente'!$D$2:$D$1000="Agences et Après-vente"))*'Agences &amp; Après-vente'!$E$2:$E$1000)),"yyyy-mm-dd"),"")))))</f>
        <v/>
      </c>
      <c r="J414" s="131" t="str">
        <f aca="false">IF($T414="✓","✓",IF(ISNUMBER($T414),TEXT($T414,"yyyy-mm-dd"),IF($A414="","",IF($D414="Lisbonne","",IF(SUMPRODUCT(('Agences &amp; Après-vente'!$A$2:$A$1000=$A414)*(('Agences &amp; Après-vente'!$D$2:$D$1000="Après-vente")+('Agences &amp; Après-vente'!$D$2:$D$1000="Agences et Après-vente"))*('Agences &amp; Après-vente'!$I$2:$I$1000="DONE"))&gt;0,"✓",IF(SUMPRODUCT(MAX(('Agences &amp; Après-vente'!$A$2:$A$1000=$A414)*(('Agences &amp; Après-vente'!$D$2:$D$1000="Après-vente")+('Agences &amp; Après-vente'!$D$2:$D$1000="Agences et Après-vente"))*'Agences &amp; Après-vente'!$E$2:$E$1000))&gt;0,TEXT(SUMPRODUCT(MAX(('Agences &amp; Après-vente'!$A$2:$A$1000=$A414)*(('Agences &amp; Après-vente'!$D$2:$D$1000="Après-vente")+('Agences &amp; Après-vente'!$D$2:$D$1000="Agences et Après-vente"))*'Agences &amp; Après-vente'!$E$2:$E$1000)),"yyyy-mm-dd"),""))))))</f>
        <v/>
      </c>
      <c r="K414" s="131" t="str">
        <f aca="false">IF($U414="✓","✓",IF(ISNUMBER($U414),TEXT($U414,"yyyy-mm-dd"),IF($D414="Lisbonne","",IF($A414="","",IF(SUMPRODUCT((Evermont!$A$2:$A$1000=$A414)*(Evermont!$Q$2:$Q$1000="Terminé"))&gt;0,"✓",IF(SUMPRODUCT(MAX((Evermont!$A$2:$A$1000=$A414)*Evermont!$F$2:$F$1000))&gt;0,TEXT(SUMPRODUCT(MAX((Evermont!$A$2:$A$1000=$A414)*Evermont!$F$2:$F$1000)),"yyyy-mm-dd"),""))))))</f>
        <v/>
      </c>
      <c r="L414" s="131" t="str">
        <f aca="false">IF($A414="","",COUNTIF(E414:K414,"✓"))</f>
        <v/>
      </c>
      <c r="M414" s="131" t="str">
        <f aca="false">IF(B414="","","Active")</f>
        <v/>
      </c>
      <c r="W414" s="120" t="str">
        <f aca="false">IF($A414="","",IF($X414&lt;&gt;"",$X414,IFERROR(INDEX('Formation Initiale'!$B$2:$B$999,MATCH($A414,'Formation Initiale'!$A$2:$A$999,0)),"Général")))</f>
        <v/>
      </c>
    </row>
    <row r="415" customFormat="false" ht="15" hidden="true" customHeight="true" outlineLevel="0" collapsed="false">
      <c r="A415" s="142" t="str">
        <f aca="false">IF(B415="","","TR"&amp;TEXT(ROW()-1,"000"))</f>
        <v/>
      </c>
      <c r="E415" s="130" t="str">
        <f aca="false">IF($O415="✓","✓",IF(ISNUMBER($O415),TEXT($O415,"yyyy-mm-dd"),IF($A415="","",IF(SUMPRODUCT(('Formation Initiale'!$A$2:$A$999=$A415)*('Formation Initiale'!$R$2:$R$999="Terminé"))&gt;0,"✓",IF(SUMPRODUCT(MAX(('Formation Initiale'!$A$2:$A$999=$A415)*'Formation Initiale'!$G$2:$G$999))&gt;0,TEXT(SUMPRODUCT(MAX(('Formation Initiale'!$A$2:$A$999=$A415)*'Formation Initiale'!$G$2:$G$999)),"yyyy-mm-dd"),"")))))</f>
        <v/>
      </c>
      <c r="F415" s="131" t="str">
        <f aca="false">IF($P415="✓","✓",IF(ISNUMBER($P415),TEXT($P415,"yyyy-mm-dd"),IF($A415="","",IF($D415="Lisbonne","",IF(SUMPRODUCT(('Formation Initiale'!$A$2:$A$999=$A415)*('Formation Initiale'!$R$2:$R$999="Terminé"))&gt;0,"✓",IF(SUMPRODUCT(MAX(('Formation Initiale'!$A$2:$A$999=$A415)*'Formation Initiale'!$G$2:$G$999))&gt;0,TEXT(SUMPRODUCT(MAX(('Formation Initiale'!$A$2:$A$999=$A415)*'Formation Initiale'!$G$2:$G$999)),"yyyy-mm-dd"),""))))))</f>
        <v/>
      </c>
      <c r="G415" s="131" t="str">
        <f aca="false">IF($Q415="✓","✓",IF(ISNUMBER($Q415),TEXT($Q415,"yyyy-mm-dd"),IF($A415="","",IF(SUMPRODUCT(('Agences &amp; Après-vente'!$A$2:$A$1000=$A415)*(('Agences &amp; Après-vente'!$D$2:$D$1000="Agences")+('Agences &amp; Après-vente'!$D$2:$D$1000="Agences et Après-vente"))*('Agences &amp; Après-vente'!$I$2:$I$1000="DONE"))&gt;0,"✓",IF(SUMPRODUCT(MAX(('Agences &amp; Après-vente'!$A$2:$A$1000=$A415)*(('Agences &amp; Après-vente'!$D$2:$D$1000="Agences")+('Agences &amp; Après-vente'!$D$2:$D$1000="Agences et Après-vente"))*'Agences &amp; Après-vente'!$E$2:$E$1000))&gt;0,TEXT(SUMPRODUCT(MAX(('Agences &amp; Après-vente'!$A$2:$A$1000=$A415)*(('Agences &amp; Après-vente'!$D$2:$D$1000="Agences")+('Agences &amp; Après-vente'!$D$2:$D$1000="Agences et Après-vente"))*'Agences &amp; Après-vente'!$E$2:$E$1000)),"yyyy-mm-dd"),"")))))</f>
        <v/>
      </c>
      <c r="H415" s="131" t="str">
        <f aca="false">IF($R415="✓","✓",IF(ISNUMBER($R415),TEXT($R415,"yyyy-mm-dd"),IF($A415="","",IF($D415="Lisbonne","",IF(SUMPRODUCT(('Agences &amp; Après-vente'!$A$2:$A$1000=$A415)*(('Agences &amp; Après-vente'!$D$2:$D$1000="Agences")+('Agences &amp; Après-vente'!$D$2:$D$1000="Agences et Après-vente"))*('Agences &amp; Après-vente'!$I$2:$I$1000="DONE"))&gt;0,"✓",IF(SUMPRODUCT(MAX(('Agences &amp; Après-vente'!$A$2:$A$1000=$A415)*(('Agences &amp; Après-vente'!$D$2:$D$1000="Agences")+('Agences &amp; Après-vente'!$D$2:$D$1000="Agences et Après-vente"))*'Agences &amp; Après-vente'!$E$2:$E$1000))&gt;0,TEXT(SUMPRODUCT(MAX(('Agences &amp; Après-vente'!$A$2:$A$1000=$A415)*(('Agences &amp; Après-vente'!$D$2:$D$1000="Agences")+('Agences &amp; Après-vente'!$D$2:$D$1000="Agences et Après-vente"))*'Agences &amp; Après-vente'!$E$2:$E$1000)),"yyyy-mm-dd"),""))))))</f>
        <v/>
      </c>
      <c r="I415" s="131" t="str">
        <f aca="false">IF($S415="✓","✓",IF(ISNUMBER($S415),TEXT($S415,"yyyy-mm-dd"),IF($A415="","",IF(SUMPRODUCT(('Agences &amp; Après-vente'!$A$2:$A$1000=$A415)*(('Agences &amp; Après-vente'!$D$2:$D$1000="Après-vente")+('Agences &amp; Après-vente'!$D$2:$D$1000="Agences et Après-vente"))*('Agences &amp; Après-vente'!$I$2:$I$1000="DONE"))&gt;0,"✓",IF(SUMPRODUCT(MAX(('Agences &amp; Après-vente'!$A$2:$A$1000=$A415)*(('Agences &amp; Après-vente'!$D$2:$D$1000="Après-vente")+('Agences &amp; Après-vente'!$D$2:$D$1000="Agences et Après-vente"))*'Agences &amp; Après-vente'!$E$2:$E$1000))&gt;0,TEXT(SUMPRODUCT(MAX(('Agences &amp; Après-vente'!$A$2:$A$1000=$A415)*(('Agences &amp; Après-vente'!$D$2:$D$1000="Après-vente")+('Agences &amp; Après-vente'!$D$2:$D$1000="Agences et Après-vente"))*'Agences &amp; Après-vente'!$E$2:$E$1000)),"yyyy-mm-dd"),"")))))</f>
        <v/>
      </c>
      <c r="J415" s="131" t="str">
        <f aca="false">IF($T415="✓","✓",IF(ISNUMBER($T415),TEXT($T415,"yyyy-mm-dd"),IF($A415="","",IF($D415="Lisbonne","",IF(SUMPRODUCT(('Agences &amp; Après-vente'!$A$2:$A$1000=$A415)*(('Agences &amp; Après-vente'!$D$2:$D$1000="Après-vente")+('Agences &amp; Après-vente'!$D$2:$D$1000="Agences et Après-vente"))*('Agences &amp; Après-vente'!$I$2:$I$1000="DONE"))&gt;0,"✓",IF(SUMPRODUCT(MAX(('Agences &amp; Après-vente'!$A$2:$A$1000=$A415)*(('Agences &amp; Après-vente'!$D$2:$D$1000="Après-vente")+('Agences &amp; Après-vente'!$D$2:$D$1000="Agences et Après-vente"))*'Agences &amp; Après-vente'!$E$2:$E$1000))&gt;0,TEXT(SUMPRODUCT(MAX(('Agences &amp; Après-vente'!$A$2:$A$1000=$A415)*(('Agences &amp; Après-vente'!$D$2:$D$1000="Après-vente")+('Agences &amp; Après-vente'!$D$2:$D$1000="Agences et Après-vente"))*'Agences &amp; Après-vente'!$E$2:$E$1000)),"yyyy-mm-dd"),""))))))</f>
        <v/>
      </c>
      <c r="K415" s="131" t="str">
        <f aca="false">IF($U415="✓","✓",IF(ISNUMBER($U415),TEXT($U415,"yyyy-mm-dd"),IF($D415="Lisbonne","",IF($A415="","",IF(SUMPRODUCT((Evermont!$A$2:$A$1000=$A415)*(Evermont!$Q$2:$Q$1000="Terminé"))&gt;0,"✓",IF(SUMPRODUCT(MAX((Evermont!$A$2:$A$1000=$A415)*Evermont!$F$2:$F$1000))&gt;0,TEXT(SUMPRODUCT(MAX((Evermont!$A$2:$A$1000=$A415)*Evermont!$F$2:$F$1000)),"yyyy-mm-dd"),""))))))</f>
        <v/>
      </c>
      <c r="L415" s="131" t="str">
        <f aca="false">IF($A415="","",COUNTIF(E415:K415,"✓"))</f>
        <v/>
      </c>
      <c r="M415" s="131" t="str">
        <f aca="false">IF(B415="","","Active")</f>
        <v/>
      </c>
      <c r="W415" s="120" t="str">
        <f aca="false">IF($A415="","",IF($X415&lt;&gt;"",$X415,IFERROR(INDEX('Formation Initiale'!$B$2:$B$999,MATCH($A415,'Formation Initiale'!$A$2:$A$999,0)),"Général")))</f>
        <v/>
      </c>
    </row>
    <row r="416" customFormat="false" ht="15" hidden="true" customHeight="true" outlineLevel="0" collapsed="false">
      <c r="A416" s="142" t="str">
        <f aca="false">IF(B416="","","TR"&amp;TEXT(ROW()-1,"000"))</f>
        <v/>
      </c>
      <c r="E416" s="130" t="str">
        <f aca="false">IF($O416="✓","✓",IF(ISNUMBER($O416),TEXT($O416,"yyyy-mm-dd"),IF($A416="","",IF(SUMPRODUCT(('Formation Initiale'!$A$2:$A$999=$A416)*('Formation Initiale'!$R$2:$R$999="Terminé"))&gt;0,"✓",IF(SUMPRODUCT(MAX(('Formation Initiale'!$A$2:$A$999=$A416)*'Formation Initiale'!$G$2:$G$999))&gt;0,TEXT(SUMPRODUCT(MAX(('Formation Initiale'!$A$2:$A$999=$A416)*'Formation Initiale'!$G$2:$G$999)),"yyyy-mm-dd"),"")))))</f>
        <v/>
      </c>
      <c r="F416" s="131" t="str">
        <f aca="false">IF($P416="✓","✓",IF(ISNUMBER($P416),TEXT($P416,"yyyy-mm-dd"),IF($A416="","",IF($D416="Lisbonne","",IF(SUMPRODUCT(('Formation Initiale'!$A$2:$A$999=$A416)*('Formation Initiale'!$R$2:$R$999="Terminé"))&gt;0,"✓",IF(SUMPRODUCT(MAX(('Formation Initiale'!$A$2:$A$999=$A416)*'Formation Initiale'!$G$2:$G$999))&gt;0,TEXT(SUMPRODUCT(MAX(('Formation Initiale'!$A$2:$A$999=$A416)*'Formation Initiale'!$G$2:$G$999)),"yyyy-mm-dd"),""))))))</f>
        <v/>
      </c>
      <c r="G416" s="131" t="str">
        <f aca="false">IF($Q416="✓","✓",IF(ISNUMBER($Q416),TEXT($Q416,"yyyy-mm-dd"),IF($A416="","",IF(SUMPRODUCT(('Agences &amp; Après-vente'!$A$2:$A$1000=$A416)*(('Agences &amp; Après-vente'!$D$2:$D$1000="Agences")+('Agences &amp; Après-vente'!$D$2:$D$1000="Agences et Après-vente"))*('Agences &amp; Après-vente'!$I$2:$I$1000="DONE"))&gt;0,"✓",IF(SUMPRODUCT(MAX(('Agences &amp; Après-vente'!$A$2:$A$1000=$A416)*(('Agences &amp; Après-vente'!$D$2:$D$1000="Agences")+('Agences &amp; Après-vente'!$D$2:$D$1000="Agences et Après-vente"))*'Agences &amp; Après-vente'!$E$2:$E$1000))&gt;0,TEXT(SUMPRODUCT(MAX(('Agences &amp; Après-vente'!$A$2:$A$1000=$A416)*(('Agences &amp; Après-vente'!$D$2:$D$1000="Agences")+('Agences &amp; Après-vente'!$D$2:$D$1000="Agences et Après-vente"))*'Agences &amp; Après-vente'!$E$2:$E$1000)),"yyyy-mm-dd"),"")))))</f>
        <v/>
      </c>
      <c r="H416" s="131" t="str">
        <f aca="false">IF($R416="✓","✓",IF(ISNUMBER($R416),TEXT($R416,"yyyy-mm-dd"),IF($A416="","",IF($D416="Lisbonne","",IF(SUMPRODUCT(('Agences &amp; Après-vente'!$A$2:$A$1000=$A416)*(('Agences &amp; Après-vente'!$D$2:$D$1000="Agences")+('Agences &amp; Après-vente'!$D$2:$D$1000="Agences et Après-vente"))*('Agences &amp; Après-vente'!$I$2:$I$1000="DONE"))&gt;0,"✓",IF(SUMPRODUCT(MAX(('Agences &amp; Après-vente'!$A$2:$A$1000=$A416)*(('Agences &amp; Après-vente'!$D$2:$D$1000="Agences")+('Agences &amp; Après-vente'!$D$2:$D$1000="Agences et Après-vente"))*'Agences &amp; Après-vente'!$E$2:$E$1000))&gt;0,TEXT(SUMPRODUCT(MAX(('Agences &amp; Après-vente'!$A$2:$A$1000=$A416)*(('Agences &amp; Après-vente'!$D$2:$D$1000="Agences")+('Agences &amp; Après-vente'!$D$2:$D$1000="Agences et Après-vente"))*'Agences &amp; Après-vente'!$E$2:$E$1000)),"yyyy-mm-dd"),""))))))</f>
        <v/>
      </c>
      <c r="I416" s="131" t="str">
        <f aca="false">IF($S416="✓","✓",IF(ISNUMBER($S416),TEXT($S416,"yyyy-mm-dd"),IF($A416="","",IF(SUMPRODUCT(('Agences &amp; Après-vente'!$A$2:$A$1000=$A416)*(('Agences &amp; Après-vente'!$D$2:$D$1000="Après-vente")+('Agences &amp; Après-vente'!$D$2:$D$1000="Agences et Après-vente"))*('Agences &amp; Après-vente'!$I$2:$I$1000="DONE"))&gt;0,"✓",IF(SUMPRODUCT(MAX(('Agences &amp; Après-vente'!$A$2:$A$1000=$A416)*(('Agences &amp; Après-vente'!$D$2:$D$1000="Après-vente")+('Agences &amp; Après-vente'!$D$2:$D$1000="Agences et Après-vente"))*'Agences &amp; Après-vente'!$E$2:$E$1000))&gt;0,TEXT(SUMPRODUCT(MAX(('Agences &amp; Après-vente'!$A$2:$A$1000=$A416)*(('Agences &amp; Après-vente'!$D$2:$D$1000="Après-vente")+('Agences &amp; Après-vente'!$D$2:$D$1000="Agences et Après-vente"))*'Agences &amp; Après-vente'!$E$2:$E$1000)),"yyyy-mm-dd"),"")))))</f>
        <v/>
      </c>
      <c r="J416" s="131" t="str">
        <f aca="false">IF($T416="✓","✓",IF(ISNUMBER($T416),TEXT($T416,"yyyy-mm-dd"),IF($A416="","",IF($D416="Lisbonne","",IF(SUMPRODUCT(('Agences &amp; Après-vente'!$A$2:$A$1000=$A416)*(('Agences &amp; Après-vente'!$D$2:$D$1000="Après-vente")+('Agences &amp; Après-vente'!$D$2:$D$1000="Agences et Après-vente"))*('Agences &amp; Après-vente'!$I$2:$I$1000="DONE"))&gt;0,"✓",IF(SUMPRODUCT(MAX(('Agences &amp; Après-vente'!$A$2:$A$1000=$A416)*(('Agences &amp; Après-vente'!$D$2:$D$1000="Après-vente")+('Agences &amp; Après-vente'!$D$2:$D$1000="Agences et Après-vente"))*'Agences &amp; Après-vente'!$E$2:$E$1000))&gt;0,TEXT(SUMPRODUCT(MAX(('Agences &amp; Après-vente'!$A$2:$A$1000=$A416)*(('Agences &amp; Après-vente'!$D$2:$D$1000="Après-vente")+('Agences &amp; Après-vente'!$D$2:$D$1000="Agences et Après-vente"))*'Agences &amp; Après-vente'!$E$2:$E$1000)),"yyyy-mm-dd"),""))))))</f>
        <v/>
      </c>
      <c r="K416" s="131" t="str">
        <f aca="false">IF($U416="✓","✓",IF(ISNUMBER($U416),TEXT($U416,"yyyy-mm-dd"),IF($D416="Lisbonne","",IF($A416="","",IF(SUMPRODUCT((Evermont!$A$2:$A$1000=$A416)*(Evermont!$Q$2:$Q$1000="Terminé"))&gt;0,"✓",IF(SUMPRODUCT(MAX((Evermont!$A$2:$A$1000=$A416)*Evermont!$F$2:$F$1000))&gt;0,TEXT(SUMPRODUCT(MAX((Evermont!$A$2:$A$1000=$A416)*Evermont!$F$2:$F$1000)),"yyyy-mm-dd"),""))))))</f>
        <v/>
      </c>
      <c r="L416" s="131" t="str">
        <f aca="false">IF($A416="","",COUNTIF(E416:K416,"✓"))</f>
        <v/>
      </c>
      <c r="M416" s="131" t="str">
        <f aca="false">IF(B416="","","Active")</f>
        <v/>
      </c>
      <c r="W416" s="120" t="str">
        <f aca="false">IF($A416="","",IF($X416&lt;&gt;"",$X416,IFERROR(INDEX('Formation Initiale'!$B$2:$B$999,MATCH($A416,'Formation Initiale'!$A$2:$A$999,0)),"Général")))</f>
        <v/>
      </c>
    </row>
    <row r="417" customFormat="false" ht="15" hidden="true" customHeight="true" outlineLevel="0" collapsed="false">
      <c r="A417" s="142" t="str">
        <f aca="false">IF(B417="","","TR"&amp;TEXT(ROW()-1,"000"))</f>
        <v/>
      </c>
      <c r="E417" s="130" t="str">
        <f aca="false">IF($O417="✓","✓",IF(ISNUMBER($O417),TEXT($O417,"yyyy-mm-dd"),IF($A417="","",IF(SUMPRODUCT(('Formation Initiale'!$A$2:$A$999=$A417)*('Formation Initiale'!$R$2:$R$999="Terminé"))&gt;0,"✓",IF(SUMPRODUCT(MAX(('Formation Initiale'!$A$2:$A$999=$A417)*'Formation Initiale'!$G$2:$G$999))&gt;0,TEXT(SUMPRODUCT(MAX(('Formation Initiale'!$A$2:$A$999=$A417)*'Formation Initiale'!$G$2:$G$999)),"yyyy-mm-dd"),"")))))</f>
        <v/>
      </c>
      <c r="F417" s="131" t="str">
        <f aca="false">IF($P417="✓","✓",IF(ISNUMBER($P417),TEXT($P417,"yyyy-mm-dd"),IF($A417="","",IF($D417="Lisbonne","",IF(SUMPRODUCT(('Formation Initiale'!$A$2:$A$999=$A417)*('Formation Initiale'!$R$2:$R$999="Terminé"))&gt;0,"✓",IF(SUMPRODUCT(MAX(('Formation Initiale'!$A$2:$A$999=$A417)*'Formation Initiale'!$G$2:$G$999))&gt;0,TEXT(SUMPRODUCT(MAX(('Formation Initiale'!$A$2:$A$999=$A417)*'Formation Initiale'!$G$2:$G$999)),"yyyy-mm-dd"),""))))))</f>
        <v/>
      </c>
      <c r="G417" s="131" t="str">
        <f aca="false">IF($Q417="✓","✓",IF(ISNUMBER($Q417),TEXT($Q417,"yyyy-mm-dd"),IF($A417="","",IF(SUMPRODUCT(('Agences &amp; Après-vente'!$A$2:$A$1000=$A417)*(('Agences &amp; Après-vente'!$D$2:$D$1000="Agences")+('Agences &amp; Après-vente'!$D$2:$D$1000="Agences et Après-vente"))*('Agences &amp; Après-vente'!$I$2:$I$1000="DONE"))&gt;0,"✓",IF(SUMPRODUCT(MAX(('Agences &amp; Après-vente'!$A$2:$A$1000=$A417)*(('Agences &amp; Après-vente'!$D$2:$D$1000="Agences")+('Agences &amp; Après-vente'!$D$2:$D$1000="Agences et Après-vente"))*'Agences &amp; Après-vente'!$E$2:$E$1000))&gt;0,TEXT(SUMPRODUCT(MAX(('Agences &amp; Après-vente'!$A$2:$A$1000=$A417)*(('Agences &amp; Après-vente'!$D$2:$D$1000="Agences")+('Agences &amp; Après-vente'!$D$2:$D$1000="Agences et Après-vente"))*'Agences &amp; Après-vente'!$E$2:$E$1000)),"yyyy-mm-dd"),"")))))</f>
        <v/>
      </c>
      <c r="H417" s="131" t="str">
        <f aca="false">IF($R417="✓","✓",IF(ISNUMBER($R417),TEXT($R417,"yyyy-mm-dd"),IF($A417="","",IF($D417="Lisbonne","",IF(SUMPRODUCT(('Agences &amp; Après-vente'!$A$2:$A$1000=$A417)*(('Agences &amp; Après-vente'!$D$2:$D$1000="Agences")+('Agences &amp; Après-vente'!$D$2:$D$1000="Agences et Après-vente"))*('Agences &amp; Après-vente'!$I$2:$I$1000="DONE"))&gt;0,"✓",IF(SUMPRODUCT(MAX(('Agences &amp; Après-vente'!$A$2:$A$1000=$A417)*(('Agences &amp; Après-vente'!$D$2:$D$1000="Agences")+('Agences &amp; Après-vente'!$D$2:$D$1000="Agences et Après-vente"))*'Agences &amp; Après-vente'!$E$2:$E$1000))&gt;0,TEXT(SUMPRODUCT(MAX(('Agences &amp; Après-vente'!$A$2:$A$1000=$A417)*(('Agences &amp; Après-vente'!$D$2:$D$1000="Agences")+('Agences &amp; Après-vente'!$D$2:$D$1000="Agences et Après-vente"))*'Agences &amp; Après-vente'!$E$2:$E$1000)),"yyyy-mm-dd"),""))))))</f>
        <v/>
      </c>
      <c r="I417" s="131" t="str">
        <f aca="false">IF($S417="✓","✓",IF(ISNUMBER($S417),TEXT($S417,"yyyy-mm-dd"),IF($A417="","",IF(SUMPRODUCT(('Agences &amp; Après-vente'!$A$2:$A$1000=$A417)*(('Agences &amp; Après-vente'!$D$2:$D$1000="Après-vente")+('Agences &amp; Après-vente'!$D$2:$D$1000="Agences et Après-vente"))*('Agences &amp; Après-vente'!$I$2:$I$1000="DONE"))&gt;0,"✓",IF(SUMPRODUCT(MAX(('Agences &amp; Après-vente'!$A$2:$A$1000=$A417)*(('Agences &amp; Après-vente'!$D$2:$D$1000="Après-vente")+('Agences &amp; Après-vente'!$D$2:$D$1000="Agences et Après-vente"))*'Agences &amp; Après-vente'!$E$2:$E$1000))&gt;0,TEXT(SUMPRODUCT(MAX(('Agences &amp; Après-vente'!$A$2:$A$1000=$A417)*(('Agences &amp; Après-vente'!$D$2:$D$1000="Après-vente")+('Agences &amp; Après-vente'!$D$2:$D$1000="Agences et Après-vente"))*'Agences &amp; Après-vente'!$E$2:$E$1000)),"yyyy-mm-dd"),"")))))</f>
        <v/>
      </c>
      <c r="J417" s="131" t="str">
        <f aca="false">IF($T417="✓","✓",IF(ISNUMBER($T417),TEXT($T417,"yyyy-mm-dd"),IF($A417="","",IF($D417="Lisbonne","",IF(SUMPRODUCT(('Agences &amp; Après-vente'!$A$2:$A$1000=$A417)*(('Agences &amp; Après-vente'!$D$2:$D$1000="Après-vente")+('Agences &amp; Après-vente'!$D$2:$D$1000="Agences et Après-vente"))*('Agences &amp; Après-vente'!$I$2:$I$1000="DONE"))&gt;0,"✓",IF(SUMPRODUCT(MAX(('Agences &amp; Après-vente'!$A$2:$A$1000=$A417)*(('Agences &amp; Après-vente'!$D$2:$D$1000="Après-vente")+('Agences &amp; Après-vente'!$D$2:$D$1000="Agences et Après-vente"))*'Agences &amp; Après-vente'!$E$2:$E$1000))&gt;0,TEXT(SUMPRODUCT(MAX(('Agences &amp; Après-vente'!$A$2:$A$1000=$A417)*(('Agences &amp; Après-vente'!$D$2:$D$1000="Après-vente")+('Agences &amp; Après-vente'!$D$2:$D$1000="Agences et Après-vente"))*'Agences &amp; Après-vente'!$E$2:$E$1000)),"yyyy-mm-dd"),""))))))</f>
        <v/>
      </c>
      <c r="K417" s="131" t="str">
        <f aca="false">IF($U417="✓","✓",IF(ISNUMBER($U417),TEXT($U417,"yyyy-mm-dd"),IF($D417="Lisbonne","",IF($A417="","",IF(SUMPRODUCT((Evermont!$A$2:$A$1000=$A417)*(Evermont!$Q$2:$Q$1000="Terminé"))&gt;0,"✓",IF(SUMPRODUCT(MAX((Evermont!$A$2:$A$1000=$A417)*Evermont!$F$2:$F$1000))&gt;0,TEXT(SUMPRODUCT(MAX((Evermont!$A$2:$A$1000=$A417)*Evermont!$F$2:$F$1000)),"yyyy-mm-dd"),""))))))</f>
        <v/>
      </c>
      <c r="L417" s="131" t="str">
        <f aca="false">IF($A417="","",COUNTIF(E417:K417,"✓"))</f>
        <v/>
      </c>
      <c r="M417" s="131" t="str">
        <f aca="false">IF(B417="","","Active")</f>
        <v/>
      </c>
      <c r="W417" s="120" t="str">
        <f aca="false">IF($A417="","",IF($X417&lt;&gt;"",$X417,IFERROR(INDEX('Formation Initiale'!$B$2:$B$999,MATCH($A417,'Formation Initiale'!$A$2:$A$999,0)),"Général")))</f>
        <v/>
      </c>
    </row>
    <row r="418" customFormat="false" ht="15" hidden="true" customHeight="true" outlineLevel="0" collapsed="false">
      <c r="A418" s="142" t="str">
        <f aca="false">IF(B418="","","TR"&amp;TEXT(ROW()-1,"000"))</f>
        <v/>
      </c>
      <c r="E418" s="130" t="str">
        <f aca="false">IF($O418="✓","✓",IF(ISNUMBER($O418),TEXT($O418,"yyyy-mm-dd"),IF($A418="","",IF(SUMPRODUCT(('Formation Initiale'!$A$2:$A$999=$A418)*('Formation Initiale'!$R$2:$R$999="Terminé"))&gt;0,"✓",IF(SUMPRODUCT(MAX(('Formation Initiale'!$A$2:$A$999=$A418)*'Formation Initiale'!$G$2:$G$999))&gt;0,TEXT(SUMPRODUCT(MAX(('Formation Initiale'!$A$2:$A$999=$A418)*'Formation Initiale'!$G$2:$G$999)),"yyyy-mm-dd"),"")))))</f>
        <v/>
      </c>
      <c r="F418" s="131" t="str">
        <f aca="false">IF($P418="✓","✓",IF(ISNUMBER($P418),TEXT($P418,"yyyy-mm-dd"),IF($A418="","",IF($D418="Lisbonne","",IF(SUMPRODUCT(('Formation Initiale'!$A$2:$A$999=$A418)*('Formation Initiale'!$R$2:$R$999="Terminé"))&gt;0,"✓",IF(SUMPRODUCT(MAX(('Formation Initiale'!$A$2:$A$999=$A418)*'Formation Initiale'!$G$2:$G$999))&gt;0,TEXT(SUMPRODUCT(MAX(('Formation Initiale'!$A$2:$A$999=$A418)*'Formation Initiale'!$G$2:$G$999)),"yyyy-mm-dd"),""))))))</f>
        <v/>
      </c>
      <c r="G418" s="131" t="str">
        <f aca="false">IF($Q418="✓","✓",IF(ISNUMBER($Q418),TEXT($Q418,"yyyy-mm-dd"),IF($A418="","",IF(SUMPRODUCT(('Agences &amp; Après-vente'!$A$2:$A$1000=$A418)*(('Agences &amp; Après-vente'!$D$2:$D$1000="Agences")+('Agences &amp; Après-vente'!$D$2:$D$1000="Agences et Après-vente"))*('Agences &amp; Après-vente'!$I$2:$I$1000="DONE"))&gt;0,"✓",IF(SUMPRODUCT(MAX(('Agences &amp; Après-vente'!$A$2:$A$1000=$A418)*(('Agences &amp; Après-vente'!$D$2:$D$1000="Agences")+('Agences &amp; Après-vente'!$D$2:$D$1000="Agences et Après-vente"))*'Agences &amp; Après-vente'!$E$2:$E$1000))&gt;0,TEXT(SUMPRODUCT(MAX(('Agences &amp; Après-vente'!$A$2:$A$1000=$A418)*(('Agences &amp; Après-vente'!$D$2:$D$1000="Agences")+('Agences &amp; Après-vente'!$D$2:$D$1000="Agences et Après-vente"))*'Agences &amp; Après-vente'!$E$2:$E$1000)),"yyyy-mm-dd"),"")))))</f>
        <v/>
      </c>
      <c r="H418" s="131" t="str">
        <f aca="false">IF($R418="✓","✓",IF(ISNUMBER($R418),TEXT($R418,"yyyy-mm-dd"),IF($A418="","",IF($D418="Lisbonne","",IF(SUMPRODUCT(('Agences &amp; Après-vente'!$A$2:$A$1000=$A418)*(('Agences &amp; Après-vente'!$D$2:$D$1000="Agences")+('Agences &amp; Après-vente'!$D$2:$D$1000="Agences et Après-vente"))*('Agences &amp; Après-vente'!$I$2:$I$1000="DONE"))&gt;0,"✓",IF(SUMPRODUCT(MAX(('Agences &amp; Après-vente'!$A$2:$A$1000=$A418)*(('Agences &amp; Après-vente'!$D$2:$D$1000="Agences")+('Agences &amp; Après-vente'!$D$2:$D$1000="Agences et Après-vente"))*'Agences &amp; Après-vente'!$E$2:$E$1000))&gt;0,TEXT(SUMPRODUCT(MAX(('Agences &amp; Après-vente'!$A$2:$A$1000=$A418)*(('Agences &amp; Après-vente'!$D$2:$D$1000="Agences")+('Agences &amp; Après-vente'!$D$2:$D$1000="Agences et Après-vente"))*'Agences &amp; Après-vente'!$E$2:$E$1000)),"yyyy-mm-dd"),""))))))</f>
        <v/>
      </c>
      <c r="I418" s="131" t="str">
        <f aca="false">IF($S418="✓","✓",IF(ISNUMBER($S418),TEXT($S418,"yyyy-mm-dd"),IF($A418="","",IF(SUMPRODUCT(('Agences &amp; Après-vente'!$A$2:$A$1000=$A418)*(('Agences &amp; Après-vente'!$D$2:$D$1000="Après-vente")+('Agences &amp; Après-vente'!$D$2:$D$1000="Agences et Après-vente"))*('Agences &amp; Après-vente'!$I$2:$I$1000="DONE"))&gt;0,"✓",IF(SUMPRODUCT(MAX(('Agences &amp; Après-vente'!$A$2:$A$1000=$A418)*(('Agences &amp; Après-vente'!$D$2:$D$1000="Après-vente")+('Agences &amp; Après-vente'!$D$2:$D$1000="Agences et Après-vente"))*'Agences &amp; Après-vente'!$E$2:$E$1000))&gt;0,TEXT(SUMPRODUCT(MAX(('Agences &amp; Après-vente'!$A$2:$A$1000=$A418)*(('Agences &amp; Après-vente'!$D$2:$D$1000="Après-vente")+('Agences &amp; Après-vente'!$D$2:$D$1000="Agences et Après-vente"))*'Agences &amp; Après-vente'!$E$2:$E$1000)),"yyyy-mm-dd"),"")))))</f>
        <v/>
      </c>
      <c r="J418" s="131" t="str">
        <f aca="false">IF($T418="✓","✓",IF(ISNUMBER($T418),TEXT($T418,"yyyy-mm-dd"),IF($A418="","",IF($D418="Lisbonne","",IF(SUMPRODUCT(('Agences &amp; Après-vente'!$A$2:$A$1000=$A418)*(('Agences &amp; Après-vente'!$D$2:$D$1000="Après-vente")+('Agences &amp; Après-vente'!$D$2:$D$1000="Agences et Après-vente"))*('Agences &amp; Après-vente'!$I$2:$I$1000="DONE"))&gt;0,"✓",IF(SUMPRODUCT(MAX(('Agences &amp; Après-vente'!$A$2:$A$1000=$A418)*(('Agences &amp; Après-vente'!$D$2:$D$1000="Après-vente")+('Agences &amp; Après-vente'!$D$2:$D$1000="Agences et Après-vente"))*'Agences &amp; Après-vente'!$E$2:$E$1000))&gt;0,TEXT(SUMPRODUCT(MAX(('Agences &amp; Après-vente'!$A$2:$A$1000=$A418)*(('Agences &amp; Après-vente'!$D$2:$D$1000="Après-vente")+('Agences &amp; Après-vente'!$D$2:$D$1000="Agences et Après-vente"))*'Agences &amp; Après-vente'!$E$2:$E$1000)),"yyyy-mm-dd"),""))))))</f>
        <v/>
      </c>
      <c r="K418" s="131" t="str">
        <f aca="false">IF($U418="✓","✓",IF(ISNUMBER($U418),TEXT($U418,"yyyy-mm-dd"),IF($D418="Lisbonne","",IF($A418="","",IF(SUMPRODUCT((Evermont!$A$2:$A$1000=$A418)*(Evermont!$Q$2:$Q$1000="Terminé"))&gt;0,"✓",IF(SUMPRODUCT(MAX((Evermont!$A$2:$A$1000=$A418)*Evermont!$F$2:$F$1000))&gt;0,TEXT(SUMPRODUCT(MAX((Evermont!$A$2:$A$1000=$A418)*Evermont!$F$2:$F$1000)),"yyyy-mm-dd"),""))))))</f>
        <v/>
      </c>
      <c r="L418" s="131" t="str">
        <f aca="false">IF($A418="","",COUNTIF(E418:K418,"✓"))</f>
        <v/>
      </c>
      <c r="M418" s="131" t="str">
        <f aca="false">IF(B418="","","Active")</f>
        <v/>
      </c>
      <c r="W418" s="120" t="str">
        <f aca="false">IF($A418="","",IF($X418&lt;&gt;"",$X418,IFERROR(INDEX('Formation Initiale'!$B$2:$B$999,MATCH($A418,'Formation Initiale'!$A$2:$A$999,0)),"Général")))</f>
        <v/>
      </c>
    </row>
    <row r="419" customFormat="false" ht="15" hidden="true" customHeight="true" outlineLevel="0" collapsed="false">
      <c r="A419" s="142" t="str">
        <f aca="false">IF(B419="","","TR"&amp;TEXT(ROW()-1,"000"))</f>
        <v/>
      </c>
      <c r="E419" s="130" t="str">
        <f aca="false">IF($O419="✓","✓",IF(ISNUMBER($O419),TEXT($O419,"yyyy-mm-dd"),IF($A419="","",IF(SUMPRODUCT(('Formation Initiale'!$A$2:$A$999=$A419)*('Formation Initiale'!$R$2:$R$999="Terminé"))&gt;0,"✓",IF(SUMPRODUCT(MAX(('Formation Initiale'!$A$2:$A$999=$A419)*'Formation Initiale'!$G$2:$G$999))&gt;0,TEXT(SUMPRODUCT(MAX(('Formation Initiale'!$A$2:$A$999=$A419)*'Formation Initiale'!$G$2:$G$999)),"yyyy-mm-dd"),"")))))</f>
        <v/>
      </c>
      <c r="F419" s="131" t="str">
        <f aca="false">IF($P419="✓","✓",IF(ISNUMBER($P419),TEXT($P419,"yyyy-mm-dd"),IF($A419="","",IF($D419="Lisbonne","",IF(SUMPRODUCT(('Formation Initiale'!$A$2:$A$999=$A419)*('Formation Initiale'!$R$2:$R$999="Terminé"))&gt;0,"✓",IF(SUMPRODUCT(MAX(('Formation Initiale'!$A$2:$A$999=$A419)*'Formation Initiale'!$G$2:$G$999))&gt;0,TEXT(SUMPRODUCT(MAX(('Formation Initiale'!$A$2:$A$999=$A419)*'Formation Initiale'!$G$2:$G$999)),"yyyy-mm-dd"),""))))))</f>
        <v/>
      </c>
      <c r="G419" s="131" t="str">
        <f aca="false">IF($Q419="✓","✓",IF(ISNUMBER($Q419),TEXT($Q419,"yyyy-mm-dd"),IF($A419="","",IF(SUMPRODUCT(('Agences &amp; Après-vente'!$A$2:$A$1000=$A419)*(('Agences &amp; Après-vente'!$D$2:$D$1000="Agences")+('Agences &amp; Après-vente'!$D$2:$D$1000="Agences et Après-vente"))*('Agences &amp; Après-vente'!$I$2:$I$1000="DONE"))&gt;0,"✓",IF(SUMPRODUCT(MAX(('Agences &amp; Après-vente'!$A$2:$A$1000=$A419)*(('Agences &amp; Après-vente'!$D$2:$D$1000="Agences")+('Agences &amp; Après-vente'!$D$2:$D$1000="Agences et Après-vente"))*'Agences &amp; Après-vente'!$E$2:$E$1000))&gt;0,TEXT(SUMPRODUCT(MAX(('Agences &amp; Après-vente'!$A$2:$A$1000=$A419)*(('Agences &amp; Après-vente'!$D$2:$D$1000="Agences")+('Agences &amp; Après-vente'!$D$2:$D$1000="Agences et Après-vente"))*'Agences &amp; Après-vente'!$E$2:$E$1000)),"yyyy-mm-dd"),"")))))</f>
        <v/>
      </c>
      <c r="H419" s="131" t="str">
        <f aca="false">IF($R419="✓","✓",IF(ISNUMBER($R419),TEXT($R419,"yyyy-mm-dd"),IF($A419="","",IF($D419="Lisbonne","",IF(SUMPRODUCT(('Agences &amp; Après-vente'!$A$2:$A$1000=$A419)*(('Agences &amp; Après-vente'!$D$2:$D$1000="Agences")+('Agences &amp; Après-vente'!$D$2:$D$1000="Agences et Après-vente"))*('Agences &amp; Après-vente'!$I$2:$I$1000="DONE"))&gt;0,"✓",IF(SUMPRODUCT(MAX(('Agences &amp; Après-vente'!$A$2:$A$1000=$A419)*(('Agences &amp; Après-vente'!$D$2:$D$1000="Agences")+('Agences &amp; Après-vente'!$D$2:$D$1000="Agences et Après-vente"))*'Agences &amp; Après-vente'!$E$2:$E$1000))&gt;0,TEXT(SUMPRODUCT(MAX(('Agences &amp; Après-vente'!$A$2:$A$1000=$A419)*(('Agences &amp; Après-vente'!$D$2:$D$1000="Agences")+('Agences &amp; Après-vente'!$D$2:$D$1000="Agences et Après-vente"))*'Agences &amp; Après-vente'!$E$2:$E$1000)),"yyyy-mm-dd"),""))))))</f>
        <v/>
      </c>
      <c r="I419" s="131" t="str">
        <f aca="false">IF($S419="✓","✓",IF(ISNUMBER($S419),TEXT($S419,"yyyy-mm-dd"),IF($A419="","",IF(SUMPRODUCT(('Agences &amp; Après-vente'!$A$2:$A$1000=$A419)*(('Agences &amp; Après-vente'!$D$2:$D$1000="Après-vente")+('Agences &amp; Après-vente'!$D$2:$D$1000="Agences et Après-vente"))*('Agences &amp; Après-vente'!$I$2:$I$1000="DONE"))&gt;0,"✓",IF(SUMPRODUCT(MAX(('Agences &amp; Après-vente'!$A$2:$A$1000=$A419)*(('Agences &amp; Après-vente'!$D$2:$D$1000="Après-vente")+('Agences &amp; Après-vente'!$D$2:$D$1000="Agences et Après-vente"))*'Agences &amp; Après-vente'!$E$2:$E$1000))&gt;0,TEXT(SUMPRODUCT(MAX(('Agences &amp; Après-vente'!$A$2:$A$1000=$A419)*(('Agences &amp; Après-vente'!$D$2:$D$1000="Après-vente")+('Agences &amp; Après-vente'!$D$2:$D$1000="Agences et Après-vente"))*'Agences &amp; Après-vente'!$E$2:$E$1000)),"yyyy-mm-dd"),"")))))</f>
        <v/>
      </c>
      <c r="J419" s="131" t="str">
        <f aca="false">IF($T419="✓","✓",IF(ISNUMBER($T419),TEXT($T419,"yyyy-mm-dd"),IF($A419="","",IF($D419="Lisbonne","",IF(SUMPRODUCT(('Agences &amp; Après-vente'!$A$2:$A$1000=$A419)*(('Agences &amp; Après-vente'!$D$2:$D$1000="Après-vente")+('Agences &amp; Après-vente'!$D$2:$D$1000="Agences et Après-vente"))*('Agences &amp; Après-vente'!$I$2:$I$1000="DONE"))&gt;0,"✓",IF(SUMPRODUCT(MAX(('Agences &amp; Après-vente'!$A$2:$A$1000=$A419)*(('Agences &amp; Après-vente'!$D$2:$D$1000="Après-vente")+('Agences &amp; Après-vente'!$D$2:$D$1000="Agences et Après-vente"))*'Agences &amp; Après-vente'!$E$2:$E$1000))&gt;0,TEXT(SUMPRODUCT(MAX(('Agences &amp; Après-vente'!$A$2:$A$1000=$A419)*(('Agences &amp; Après-vente'!$D$2:$D$1000="Après-vente")+('Agences &amp; Après-vente'!$D$2:$D$1000="Agences et Après-vente"))*'Agences &amp; Après-vente'!$E$2:$E$1000)),"yyyy-mm-dd"),""))))))</f>
        <v/>
      </c>
      <c r="K419" s="131" t="str">
        <f aca="false">IF($U419="✓","✓",IF(ISNUMBER($U419),TEXT($U419,"yyyy-mm-dd"),IF($D419="Lisbonne","",IF($A419="","",IF(SUMPRODUCT((Evermont!$A$2:$A$1000=$A419)*(Evermont!$Q$2:$Q$1000="Terminé"))&gt;0,"✓",IF(SUMPRODUCT(MAX((Evermont!$A$2:$A$1000=$A419)*Evermont!$F$2:$F$1000))&gt;0,TEXT(SUMPRODUCT(MAX((Evermont!$A$2:$A$1000=$A419)*Evermont!$F$2:$F$1000)),"yyyy-mm-dd"),""))))))</f>
        <v/>
      </c>
      <c r="L419" s="131" t="str">
        <f aca="false">IF($A419="","",COUNTIF(E419:K419,"✓"))</f>
        <v/>
      </c>
      <c r="M419" s="131" t="str">
        <f aca="false">IF(B419="","","Active")</f>
        <v/>
      </c>
      <c r="W419" s="120" t="str">
        <f aca="false">IF($A419="","",IF($X419&lt;&gt;"",$X419,IFERROR(INDEX('Formation Initiale'!$B$2:$B$999,MATCH($A419,'Formation Initiale'!$A$2:$A$999,0)),"Général")))</f>
        <v/>
      </c>
    </row>
    <row r="420" customFormat="false" ht="15" hidden="true" customHeight="true" outlineLevel="0" collapsed="false">
      <c r="A420" s="142" t="str">
        <f aca="false">IF(B420="","","TR"&amp;TEXT(ROW()-1,"000"))</f>
        <v/>
      </c>
      <c r="E420" s="130" t="str">
        <f aca="false">IF($O420="✓","✓",IF(ISNUMBER($O420),TEXT($O420,"yyyy-mm-dd"),IF($A420="","",IF(SUMPRODUCT(('Formation Initiale'!$A$2:$A$999=$A420)*('Formation Initiale'!$R$2:$R$999="Terminé"))&gt;0,"✓",IF(SUMPRODUCT(MAX(('Formation Initiale'!$A$2:$A$999=$A420)*'Formation Initiale'!$G$2:$G$999))&gt;0,TEXT(SUMPRODUCT(MAX(('Formation Initiale'!$A$2:$A$999=$A420)*'Formation Initiale'!$G$2:$G$999)),"yyyy-mm-dd"),"")))))</f>
        <v/>
      </c>
      <c r="F420" s="131" t="str">
        <f aca="false">IF($P420="✓","✓",IF(ISNUMBER($P420),TEXT($P420,"yyyy-mm-dd"),IF($A420="","",IF($D420="Lisbonne","",IF(SUMPRODUCT(('Formation Initiale'!$A$2:$A$999=$A420)*('Formation Initiale'!$R$2:$R$999="Terminé"))&gt;0,"✓",IF(SUMPRODUCT(MAX(('Formation Initiale'!$A$2:$A$999=$A420)*'Formation Initiale'!$G$2:$G$999))&gt;0,TEXT(SUMPRODUCT(MAX(('Formation Initiale'!$A$2:$A$999=$A420)*'Formation Initiale'!$G$2:$G$999)),"yyyy-mm-dd"),""))))))</f>
        <v/>
      </c>
      <c r="G420" s="131" t="str">
        <f aca="false">IF($Q420="✓","✓",IF(ISNUMBER($Q420),TEXT($Q420,"yyyy-mm-dd"),IF($A420="","",IF(SUMPRODUCT(('Agences &amp; Après-vente'!$A$2:$A$1000=$A420)*(('Agences &amp; Après-vente'!$D$2:$D$1000="Agences")+('Agences &amp; Après-vente'!$D$2:$D$1000="Agences et Après-vente"))*('Agences &amp; Après-vente'!$I$2:$I$1000="DONE"))&gt;0,"✓",IF(SUMPRODUCT(MAX(('Agences &amp; Après-vente'!$A$2:$A$1000=$A420)*(('Agences &amp; Après-vente'!$D$2:$D$1000="Agences")+('Agences &amp; Après-vente'!$D$2:$D$1000="Agences et Après-vente"))*'Agences &amp; Après-vente'!$E$2:$E$1000))&gt;0,TEXT(SUMPRODUCT(MAX(('Agences &amp; Après-vente'!$A$2:$A$1000=$A420)*(('Agences &amp; Après-vente'!$D$2:$D$1000="Agences")+('Agences &amp; Après-vente'!$D$2:$D$1000="Agences et Après-vente"))*'Agences &amp; Après-vente'!$E$2:$E$1000)),"yyyy-mm-dd"),"")))))</f>
        <v/>
      </c>
      <c r="H420" s="131" t="str">
        <f aca="false">IF($R420="✓","✓",IF(ISNUMBER($R420),TEXT($R420,"yyyy-mm-dd"),IF($A420="","",IF($D420="Lisbonne","",IF(SUMPRODUCT(('Agences &amp; Après-vente'!$A$2:$A$1000=$A420)*(('Agences &amp; Après-vente'!$D$2:$D$1000="Agences")+('Agences &amp; Après-vente'!$D$2:$D$1000="Agences et Après-vente"))*('Agences &amp; Après-vente'!$I$2:$I$1000="DONE"))&gt;0,"✓",IF(SUMPRODUCT(MAX(('Agences &amp; Après-vente'!$A$2:$A$1000=$A420)*(('Agences &amp; Après-vente'!$D$2:$D$1000="Agences")+('Agences &amp; Après-vente'!$D$2:$D$1000="Agences et Après-vente"))*'Agences &amp; Après-vente'!$E$2:$E$1000))&gt;0,TEXT(SUMPRODUCT(MAX(('Agences &amp; Après-vente'!$A$2:$A$1000=$A420)*(('Agences &amp; Après-vente'!$D$2:$D$1000="Agences")+('Agences &amp; Après-vente'!$D$2:$D$1000="Agences et Après-vente"))*'Agences &amp; Après-vente'!$E$2:$E$1000)),"yyyy-mm-dd"),""))))))</f>
        <v/>
      </c>
      <c r="I420" s="131" t="str">
        <f aca="false">IF($S420="✓","✓",IF(ISNUMBER($S420),TEXT($S420,"yyyy-mm-dd"),IF($A420="","",IF(SUMPRODUCT(('Agences &amp; Après-vente'!$A$2:$A$1000=$A420)*(('Agences &amp; Après-vente'!$D$2:$D$1000="Après-vente")+('Agences &amp; Après-vente'!$D$2:$D$1000="Agences et Après-vente"))*('Agences &amp; Après-vente'!$I$2:$I$1000="DONE"))&gt;0,"✓",IF(SUMPRODUCT(MAX(('Agences &amp; Après-vente'!$A$2:$A$1000=$A420)*(('Agences &amp; Après-vente'!$D$2:$D$1000="Après-vente")+('Agences &amp; Après-vente'!$D$2:$D$1000="Agences et Après-vente"))*'Agences &amp; Après-vente'!$E$2:$E$1000))&gt;0,TEXT(SUMPRODUCT(MAX(('Agences &amp; Après-vente'!$A$2:$A$1000=$A420)*(('Agences &amp; Après-vente'!$D$2:$D$1000="Après-vente")+('Agences &amp; Après-vente'!$D$2:$D$1000="Agences et Après-vente"))*'Agences &amp; Après-vente'!$E$2:$E$1000)),"yyyy-mm-dd"),"")))))</f>
        <v/>
      </c>
      <c r="J420" s="131" t="str">
        <f aca="false">IF($T420="✓","✓",IF(ISNUMBER($T420),TEXT($T420,"yyyy-mm-dd"),IF($A420="","",IF($D420="Lisbonne","",IF(SUMPRODUCT(('Agences &amp; Après-vente'!$A$2:$A$1000=$A420)*(('Agences &amp; Après-vente'!$D$2:$D$1000="Après-vente")+('Agences &amp; Après-vente'!$D$2:$D$1000="Agences et Après-vente"))*('Agences &amp; Après-vente'!$I$2:$I$1000="DONE"))&gt;0,"✓",IF(SUMPRODUCT(MAX(('Agences &amp; Après-vente'!$A$2:$A$1000=$A420)*(('Agences &amp; Après-vente'!$D$2:$D$1000="Après-vente")+('Agences &amp; Après-vente'!$D$2:$D$1000="Agences et Après-vente"))*'Agences &amp; Après-vente'!$E$2:$E$1000))&gt;0,TEXT(SUMPRODUCT(MAX(('Agences &amp; Après-vente'!$A$2:$A$1000=$A420)*(('Agences &amp; Après-vente'!$D$2:$D$1000="Après-vente")+('Agences &amp; Après-vente'!$D$2:$D$1000="Agences et Après-vente"))*'Agences &amp; Après-vente'!$E$2:$E$1000)),"yyyy-mm-dd"),""))))))</f>
        <v/>
      </c>
      <c r="K420" s="131" t="str">
        <f aca="false">IF($U420="✓","✓",IF(ISNUMBER($U420),TEXT($U420,"yyyy-mm-dd"),IF($D420="Lisbonne","",IF($A420="","",IF(SUMPRODUCT((Evermont!$A$2:$A$1000=$A420)*(Evermont!$Q$2:$Q$1000="Terminé"))&gt;0,"✓",IF(SUMPRODUCT(MAX((Evermont!$A$2:$A$1000=$A420)*Evermont!$F$2:$F$1000))&gt;0,TEXT(SUMPRODUCT(MAX((Evermont!$A$2:$A$1000=$A420)*Evermont!$F$2:$F$1000)),"yyyy-mm-dd"),""))))))</f>
        <v/>
      </c>
      <c r="L420" s="131" t="str">
        <f aca="false">IF($A420="","",COUNTIF(E420:K420,"✓"))</f>
        <v/>
      </c>
      <c r="M420" s="131" t="str">
        <f aca="false">IF(B420="","","Active")</f>
        <v/>
      </c>
      <c r="W420" s="120" t="str">
        <f aca="false">IF($A420="","",IF($X420&lt;&gt;"",$X420,IFERROR(INDEX('Formation Initiale'!$B$2:$B$999,MATCH($A420,'Formation Initiale'!$A$2:$A$999,0)),"Général")))</f>
        <v/>
      </c>
    </row>
    <row r="421" customFormat="false" ht="15" hidden="true" customHeight="true" outlineLevel="0" collapsed="false">
      <c r="A421" s="142" t="str">
        <f aca="false">IF(B421="","","TR"&amp;TEXT(ROW()-1,"000"))</f>
        <v/>
      </c>
      <c r="E421" s="130" t="str">
        <f aca="false">IF($O421="✓","✓",IF(ISNUMBER($O421),TEXT($O421,"yyyy-mm-dd"),IF($A421="","",IF(SUMPRODUCT(('Formation Initiale'!$A$2:$A$999=$A421)*('Formation Initiale'!$R$2:$R$999="Terminé"))&gt;0,"✓",IF(SUMPRODUCT(MAX(('Formation Initiale'!$A$2:$A$999=$A421)*'Formation Initiale'!$G$2:$G$999))&gt;0,TEXT(SUMPRODUCT(MAX(('Formation Initiale'!$A$2:$A$999=$A421)*'Formation Initiale'!$G$2:$G$999)),"yyyy-mm-dd"),"")))))</f>
        <v/>
      </c>
      <c r="F421" s="131" t="str">
        <f aca="false">IF($P421="✓","✓",IF(ISNUMBER($P421),TEXT($P421,"yyyy-mm-dd"),IF($A421="","",IF($D421="Lisbonne","",IF(SUMPRODUCT(('Formation Initiale'!$A$2:$A$999=$A421)*('Formation Initiale'!$R$2:$R$999="Terminé"))&gt;0,"✓",IF(SUMPRODUCT(MAX(('Formation Initiale'!$A$2:$A$999=$A421)*'Formation Initiale'!$G$2:$G$999))&gt;0,TEXT(SUMPRODUCT(MAX(('Formation Initiale'!$A$2:$A$999=$A421)*'Formation Initiale'!$G$2:$G$999)),"yyyy-mm-dd"),""))))))</f>
        <v/>
      </c>
      <c r="G421" s="131" t="str">
        <f aca="false">IF($Q421="✓","✓",IF(ISNUMBER($Q421),TEXT($Q421,"yyyy-mm-dd"),IF($A421="","",IF(SUMPRODUCT(('Agences &amp; Après-vente'!$A$2:$A$1000=$A421)*(('Agences &amp; Après-vente'!$D$2:$D$1000="Agences")+('Agences &amp; Après-vente'!$D$2:$D$1000="Agences et Après-vente"))*('Agences &amp; Après-vente'!$I$2:$I$1000="DONE"))&gt;0,"✓",IF(SUMPRODUCT(MAX(('Agences &amp; Après-vente'!$A$2:$A$1000=$A421)*(('Agences &amp; Après-vente'!$D$2:$D$1000="Agences")+('Agences &amp; Après-vente'!$D$2:$D$1000="Agences et Après-vente"))*'Agences &amp; Après-vente'!$E$2:$E$1000))&gt;0,TEXT(SUMPRODUCT(MAX(('Agences &amp; Après-vente'!$A$2:$A$1000=$A421)*(('Agences &amp; Après-vente'!$D$2:$D$1000="Agences")+('Agences &amp; Après-vente'!$D$2:$D$1000="Agences et Après-vente"))*'Agences &amp; Après-vente'!$E$2:$E$1000)),"yyyy-mm-dd"),"")))))</f>
        <v/>
      </c>
      <c r="H421" s="131" t="str">
        <f aca="false">IF($R421="✓","✓",IF(ISNUMBER($R421),TEXT($R421,"yyyy-mm-dd"),IF($A421="","",IF($D421="Lisbonne","",IF(SUMPRODUCT(('Agences &amp; Après-vente'!$A$2:$A$1000=$A421)*(('Agences &amp; Après-vente'!$D$2:$D$1000="Agences")+('Agences &amp; Après-vente'!$D$2:$D$1000="Agences et Après-vente"))*('Agences &amp; Après-vente'!$I$2:$I$1000="DONE"))&gt;0,"✓",IF(SUMPRODUCT(MAX(('Agences &amp; Après-vente'!$A$2:$A$1000=$A421)*(('Agences &amp; Après-vente'!$D$2:$D$1000="Agences")+('Agences &amp; Après-vente'!$D$2:$D$1000="Agences et Après-vente"))*'Agences &amp; Après-vente'!$E$2:$E$1000))&gt;0,TEXT(SUMPRODUCT(MAX(('Agences &amp; Après-vente'!$A$2:$A$1000=$A421)*(('Agences &amp; Après-vente'!$D$2:$D$1000="Agences")+('Agences &amp; Après-vente'!$D$2:$D$1000="Agences et Après-vente"))*'Agences &amp; Après-vente'!$E$2:$E$1000)),"yyyy-mm-dd"),""))))))</f>
        <v/>
      </c>
      <c r="I421" s="131" t="str">
        <f aca="false">IF($S421="✓","✓",IF(ISNUMBER($S421),TEXT($S421,"yyyy-mm-dd"),IF($A421="","",IF(SUMPRODUCT(('Agences &amp; Après-vente'!$A$2:$A$1000=$A421)*(('Agences &amp; Après-vente'!$D$2:$D$1000="Après-vente")+('Agences &amp; Après-vente'!$D$2:$D$1000="Agences et Après-vente"))*('Agences &amp; Après-vente'!$I$2:$I$1000="DONE"))&gt;0,"✓",IF(SUMPRODUCT(MAX(('Agences &amp; Après-vente'!$A$2:$A$1000=$A421)*(('Agences &amp; Après-vente'!$D$2:$D$1000="Après-vente")+('Agences &amp; Après-vente'!$D$2:$D$1000="Agences et Après-vente"))*'Agences &amp; Après-vente'!$E$2:$E$1000))&gt;0,TEXT(SUMPRODUCT(MAX(('Agences &amp; Après-vente'!$A$2:$A$1000=$A421)*(('Agences &amp; Après-vente'!$D$2:$D$1000="Après-vente")+('Agences &amp; Après-vente'!$D$2:$D$1000="Agences et Après-vente"))*'Agences &amp; Après-vente'!$E$2:$E$1000)),"yyyy-mm-dd"),"")))))</f>
        <v/>
      </c>
      <c r="J421" s="131" t="str">
        <f aca="false">IF($T421="✓","✓",IF(ISNUMBER($T421),TEXT($T421,"yyyy-mm-dd"),IF($A421="","",IF($D421="Lisbonne","",IF(SUMPRODUCT(('Agences &amp; Après-vente'!$A$2:$A$1000=$A421)*(('Agences &amp; Après-vente'!$D$2:$D$1000="Après-vente")+('Agences &amp; Après-vente'!$D$2:$D$1000="Agences et Après-vente"))*('Agences &amp; Après-vente'!$I$2:$I$1000="DONE"))&gt;0,"✓",IF(SUMPRODUCT(MAX(('Agences &amp; Après-vente'!$A$2:$A$1000=$A421)*(('Agences &amp; Après-vente'!$D$2:$D$1000="Après-vente")+('Agences &amp; Après-vente'!$D$2:$D$1000="Agences et Après-vente"))*'Agences &amp; Après-vente'!$E$2:$E$1000))&gt;0,TEXT(SUMPRODUCT(MAX(('Agences &amp; Après-vente'!$A$2:$A$1000=$A421)*(('Agences &amp; Après-vente'!$D$2:$D$1000="Après-vente")+('Agences &amp; Après-vente'!$D$2:$D$1000="Agences et Après-vente"))*'Agences &amp; Après-vente'!$E$2:$E$1000)),"yyyy-mm-dd"),""))))))</f>
        <v/>
      </c>
      <c r="K421" s="131" t="str">
        <f aca="false">IF($U421="✓","✓",IF(ISNUMBER($U421),TEXT($U421,"yyyy-mm-dd"),IF($D421="Lisbonne","",IF($A421="","",IF(SUMPRODUCT((Evermont!$A$2:$A$1000=$A421)*(Evermont!$Q$2:$Q$1000="Terminé"))&gt;0,"✓",IF(SUMPRODUCT(MAX((Evermont!$A$2:$A$1000=$A421)*Evermont!$F$2:$F$1000))&gt;0,TEXT(SUMPRODUCT(MAX((Evermont!$A$2:$A$1000=$A421)*Evermont!$F$2:$F$1000)),"yyyy-mm-dd"),""))))))</f>
        <v/>
      </c>
      <c r="L421" s="131" t="str">
        <f aca="false">IF($A421="","",COUNTIF(E421:K421,"✓"))</f>
        <v/>
      </c>
      <c r="M421" s="131" t="str">
        <f aca="false">IF(B421="","","Active")</f>
        <v/>
      </c>
      <c r="W421" s="120" t="str">
        <f aca="false">IF($A421="","",IF($X421&lt;&gt;"",$X421,IFERROR(INDEX('Formation Initiale'!$B$2:$B$999,MATCH($A421,'Formation Initiale'!$A$2:$A$999,0)),"Général")))</f>
        <v/>
      </c>
    </row>
    <row r="422" customFormat="false" ht="15" hidden="true" customHeight="true" outlineLevel="0" collapsed="false">
      <c r="A422" s="142" t="str">
        <f aca="false">IF(B422="","","TR"&amp;TEXT(ROW()-1,"000"))</f>
        <v/>
      </c>
      <c r="E422" s="130" t="str">
        <f aca="false">IF($O422="✓","✓",IF(ISNUMBER($O422),TEXT($O422,"yyyy-mm-dd"),IF($A422="","",IF(SUMPRODUCT(('Formation Initiale'!$A$2:$A$999=$A422)*('Formation Initiale'!$R$2:$R$999="Terminé"))&gt;0,"✓",IF(SUMPRODUCT(MAX(('Formation Initiale'!$A$2:$A$999=$A422)*'Formation Initiale'!$G$2:$G$999))&gt;0,TEXT(SUMPRODUCT(MAX(('Formation Initiale'!$A$2:$A$999=$A422)*'Formation Initiale'!$G$2:$G$999)),"yyyy-mm-dd"),"")))))</f>
        <v/>
      </c>
      <c r="F422" s="131" t="str">
        <f aca="false">IF($P422="✓","✓",IF(ISNUMBER($P422),TEXT($P422,"yyyy-mm-dd"),IF($A422="","",IF($D422="Lisbonne","",IF(SUMPRODUCT(('Formation Initiale'!$A$2:$A$999=$A422)*('Formation Initiale'!$R$2:$R$999="Terminé"))&gt;0,"✓",IF(SUMPRODUCT(MAX(('Formation Initiale'!$A$2:$A$999=$A422)*'Formation Initiale'!$G$2:$G$999))&gt;0,TEXT(SUMPRODUCT(MAX(('Formation Initiale'!$A$2:$A$999=$A422)*'Formation Initiale'!$G$2:$G$999)),"yyyy-mm-dd"),""))))))</f>
        <v/>
      </c>
      <c r="G422" s="131" t="str">
        <f aca="false">IF($Q422="✓","✓",IF(ISNUMBER($Q422),TEXT($Q422,"yyyy-mm-dd"),IF($A422="","",IF(SUMPRODUCT(('Agences &amp; Après-vente'!$A$2:$A$1000=$A422)*(('Agences &amp; Après-vente'!$D$2:$D$1000="Agences")+('Agences &amp; Après-vente'!$D$2:$D$1000="Agences et Après-vente"))*('Agences &amp; Après-vente'!$I$2:$I$1000="DONE"))&gt;0,"✓",IF(SUMPRODUCT(MAX(('Agences &amp; Après-vente'!$A$2:$A$1000=$A422)*(('Agences &amp; Après-vente'!$D$2:$D$1000="Agences")+('Agences &amp; Après-vente'!$D$2:$D$1000="Agences et Après-vente"))*'Agences &amp; Après-vente'!$E$2:$E$1000))&gt;0,TEXT(SUMPRODUCT(MAX(('Agences &amp; Après-vente'!$A$2:$A$1000=$A422)*(('Agences &amp; Après-vente'!$D$2:$D$1000="Agences")+('Agences &amp; Après-vente'!$D$2:$D$1000="Agences et Après-vente"))*'Agences &amp; Après-vente'!$E$2:$E$1000)),"yyyy-mm-dd"),"")))))</f>
        <v/>
      </c>
      <c r="H422" s="131" t="str">
        <f aca="false">IF($R422="✓","✓",IF(ISNUMBER($R422),TEXT($R422,"yyyy-mm-dd"),IF($A422="","",IF($D422="Lisbonne","",IF(SUMPRODUCT(('Agences &amp; Après-vente'!$A$2:$A$1000=$A422)*(('Agences &amp; Après-vente'!$D$2:$D$1000="Agences")+('Agences &amp; Après-vente'!$D$2:$D$1000="Agences et Après-vente"))*('Agences &amp; Après-vente'!$I$2:$I$1000="DONE"))&gt;0,"✓",IF(SUMPRODUCT(MAX(('Agences &amp; Après-vente'!$A$2:$A$1000=$A422)*(('Agences &amp; Après-vente'!$D$2:$D$1000="Agences")+('Agences &amp; Après-vente'!$D$2:$D$1000="Agences et Après-vente"))*'Agences &amp; Après-vente'!$E$2:$E$1000))&gt;0,TEXT(SUMPRODUCT(MAX(('Agences &amp; Après-vente'!$A$2:$A$1000=$A422)*(('Agences &amp; Après-vente'!$D$2:$D$1000="Agences")+('Agences &amp; Après-vente'!$D$2:$D$1000="Agences et Après-vente"))*'Agences &amp; Après-vente'!$E$2:$E$1000)),"yyyy-mm-dd"),""))))))</f>
        <v/>
      </c>
      <c r="I422" s="131" t="str">
        <f aca="false">IF($S422="✓","✓",IF(ISNUMBER($S422),TEXT($S422,"yyyy-mm-dd"),IF($A422="","",IF(SUMPRODUCT(('Agences &amp; Après-vente'!$A$2:$A$1000=$A422)*(('Agences &amp; Après-vente'!$D$2:$D$1000="Après-vente")+('Agences &amp; Après-vente'!$D$2:$D$1000="Agences et Après-vente"))*('Agences &amp; Après-vente'!$I$2:$I$1000="DONE"))&gt;0,"✓",IF(SUMPRODUCT(MAX(('Agences &amp; Après-vente'!$A$2:$A$1000=$A422)*(('Agences &amp; Après-vente'!$D$2:$D$1000="Après-vente")+('Agences &amp; Après-vente'!$D$2:$D$1000="Agences et Après-vente"))*'Agences &amp; Après-vente'!$E$2:$E$1000))&gt;0,TEXT(SUMPRODUCT(MAX(('Agences &amp; Après-vente'!$A$2:$A$1000=$A422)*(('Agences &amp; Après-vente'!$D$2:$D$1000="Après-vente")+('Agences &amp; Après-vente'!$D$2:$D$1000="Agences et Après-vente"))*'Agences &amp; Après-vente'!$E$2:$E$1000)),"yyyy-mm-dd"),"")))))</f>
        <v/>
      </c>
      <c r="J422" s="131" t="str">
        <f aca="false">IF($T422="✓","✓",IF(ISNUMBER($T422),TEXT($T422,"yyyy-mm-dd"),IF($A422="","",IF($D422="Lisbonne","",IF(SUMPRODUCT(('Agences &amp; Après-vente'!$A$2:$A$1000=$A422)*(('Agences &amp; Après-vente'!$D$2:$D$1000="Après-vente")+('Agences &amp; Après-vente'!$D$2:$D$1000="Agences et Après-vente"))*('Agences &amp; Après-vente'!$I$2:$I$1000="DONE"))&gt;0,"✓",IF(SUMPRODUCT(MAX(('Agences &amp; Après-vente'!$A$2:$A$1000=$A422)*(('Agences &amp; Après-vente'!$D$2:$D$1000="Après-vente")+('Agences &amp; Après-vente'!$D$2:$D$1000="Agences et Après-vente"))*'Agences &amp; Après-vente'!$E$2:$E$1000))&gt;0,TEXT(SUMPRODUCT(MAX(('Agences &amp; Après-vente'!$A$2:$A$1000=$A422)*(('Agences &amp; Après-vente'!$D$2:$D$1000="Après-vente")+('Agences &amp; Après-vente'!$D$2:$D$1000="Agences et Après-vente"))*'Agences &amp; Après-vente'!$E$2:$E$1000)),"yyyy-mm-dd"),""))))))</f>
        <v/>
      </c>
      <c r="K422" s="131" t="str">
        <f aca="false">IF($U422="✓","✓",IF(ISNUMBER($U422),TEXT($U422,"yyyy-mm-dd"),IF($D422="Lisbonne","",IF($A422="","",IF(SUMPRODUCT((Evermont!$A$2:$A$1000=$A422)*(Evermont!$Q$2:$Q$1000="Terminé"))&gt;0,"✓",IF(SUMPRODUCT(MAX((Evermont!$A$2:$A$1000=$A422)*Evermont!$F$2:$F$1000))&gt;0,TEXT(SUMPRODUCT(MAX((Evermont!$A$2:$A$1000=$A422)*Evermont!$F$2:$F$1000)),"yyyy-mm-dd"),""))))))</f>
        <v/>
      </c>
      <c r="L422" s="131" t="str">
        <f aca="false">IF($A422="","",COUNTIF(E422:K422,"✓"))</f>
        <v/>
      </c>
      <c r="M422" s="131" t="str">
        <f aca="false">IF(B422="","","Active")</f>
        <v/>
      </c>
      <c r="W422" s="120" t="str">
        <f aca="false">IF($A422="","",IF($X422&lt;&gt;"",$X422,IFERROR(INDEX('Formation Initiale'!$B$2:$B$999,MATCH($A422,'Formation Initiale'!$A$2:$A$999,0)),"Général")))</f>
        <v/>
      </c>
    </row>
    <row r="423" customFormat="false" ht="15" hidden="true" customHeight="true" outlineLevel="0" collapsed="false">
      <c r="A423" s="142" t="str">
        <f aca="false">IF(B423="","","TR"&amp;TEXT(ROW()-1,"000"))</f>
        <v/>
      </c>
      <c r="E423" s="130" t="str">
        <f aca="false">IF($O423="✓","✓",IF(ISNUMBER($O423),TEXT($O423,"yyyy-mm-dd"),IF($A423="","",IF(SUMPRODUCT(('Formation Initiale'!$A$2:$A$999=$A423)*('Formation Initiale'!$R$2:$R$999="Terminé"))&gt;0,"✓",IF(SUMPRODUCT(MAX(('Formation Initiale'!$A$2:$A$999=$A423)*'Formation Initiale'!$G$2:$G$999))&gt;0,TEXT(SUMPRODUCT(MAX(('Formation Initiale'!$A$2:$A$999=$A423)*'Formation Initiale'!$G$2:$G$999)),"yyyy-mm-dd"),"")))))</f>
        <v/>
      </c>
      <c r="F423" s="131" t="str">
        <f aca="false">IF($P423="✓","✓",IF(ISNUMBER($P423),TEXT($P423,"yyyy-mm-dd"),IF($A423="","",IF($D423="Lisbonne","",IF(SUMPRODUCT(('Formation Initiale'!$A$2:$A$999=$A423)*('Formation Initiale'!$R$2:$R$999="Terminé"))&gt;0,"✓",IF(SUMPRODUCT(MAX(('Formation Initiale'!$A$2:$A$999=$A423)*'Formation Initiale'!$G$2:$G$999))&gt;0,TEXT(SUMPRODUCT(MAX(('Formation Initiale'!$A$2:$A$999=$A423)*'Formation Initiale'!$G$2:$G$999)),"yyyy-mm-dd"),""))))))</f>
        <v/>
      </c>
      <c r="G423" s="131" t="str">
        <f aca="false">IF($Q423="✓","✓",IF(ISNUMBER($Q423),TEXT($Q423,"yyyy-mm-dd"),IF($A423="","",IF(SUMPRODUCT(('Agences &amp; Après-vente'!$A$2:$A$1000=$A423)*(('Agences &amp; Après-vente'!$D$2:$D$1000="Agences")+('Agences &amp; Après-vente'!$D$2:$D$1000="Agences et Après-vente"))*('Agences &amp; Après-vente'!$I$2:$I$1000="DONE"))&gt;0,"✓",IF(SUMPRODUCT(MAX(('Agences &amp; Après-vente'!$A$2:$A$1000=$A423)*(('Agences &amp; Après-vente'!$D$2:$D$1000="Agences")+('Agences &amp; Après-vente'!$D$2:$D$1000="Agences et Après-vente"))*'Agences &amp; Après-vente'!$E$2:$E$1000))&gt;0,TEXT(SUMPRODUCT(MAX(('Agences &amp; Après-vente'!$A$2:$A$1000=$A423)*(('Agences &amp; Après-vente'!$D$2:$D$1000="Agences")+('Agences &amp; Après-vente'!$D$2:$D$1000="Agences et Après-vente"))*'Agences &amp; Après-vente'!$E$2:$E$1000)),"yyyy-mm-dd"),"")))))</f>
        <v/>
      </c>
      <c r="H423" s="131" t="str">
        <f aca="false">IF($R423="✓","✓",IF(ISNUMBER($R423),TEXT($R423,"yyyy-mm-dd"),IF($A423="","",IF($D423="Lisbonne","",IF(SUMPRODUCT(('Agences &amp; Après-vente'!$A$2:$A$1000=$A423)*(('Agences &amp; Après-vente'!$D$2:$D$1000="Agences")+('Agences &amp; Après-vente'!$D$2:$D$1000="Agences et Après-vente"))*('Agences &amp; Après-vente'!$I$2:$I$1000="DONE"))&gt;0,"✓",IF(SUMPRODUCT(MAX(('Agences &amp; Après-vente'!$A$2:$A$1000=$A423)*(('Agences &amp; Après-vente'!$D$2:$D$1000="Agences")+('Agences &amp; Après-vente'!$D$2:$D$1000="Agences et Après-vente"))*'Agences &amp; Après-vente'!$E$2:$E$1000))&gt;0,TEXT(SUMPRODUCT(MAX(('Agences &amp; Après-vente'!$A$2:$A$1000=$A423)*(('Agences &amp; Après-vente'!$D$2:$D$1000="Agences")+('Agences &amp; Après-vente'!$D$2:$D$1000="Agences et Après-vente"))*'Agences &amp; Après-vente'!$E$2:$E$1000)),"yyyy-mm-dd"),""))))))</f>
        <v/>
      </c>
      <c r="I423" s="131" t="str">
        <f aca="false">IF($S423="✓","✓",IF(ISNUMBER($S423),TEXT($S423,"yyyy-mm-dd"),IF($A423="","",IF(SUMPRODUCT(('Agences &amp; Après-vente'!$A$2:$A$1000=$A423)*(('Agences &amp; Après-vente'!$D$2:$D$1000="Après-vente")+('Agences &amp; Après-vente'!$D$2:$D$1000="Agences et Après-vente"))*('Agences &amp; Après-vente'!$I$2:$I$1000="DONE"))&gt;0,"✓",IF(SUMPRODUCT(MAX(('Agences &amp; Après-vente'!$A$2:$A$1000=$A423)*(('Agences &amp; Après-vente'!$D$2:$D$1000="Après-vente")+('Agences &amp; Après-vente'!$D$2:$D$1000="Agences et Après-vente"))*'Agences &amp; Après-vente'!$E$2:$E$1000))&gt;0,TEXT(SUMPRODUCT(MAX(('Agences &amp; Après-vente'!$A$2:$A$1000=$A423)*(('Agences &amp; Après-vente'!$D$2:$D$1000="Après-vente")+('Agences &amp; Après-vente'!$D$2:$D$1000="Agences et Après-vente"))*'Agences &amp; Après-vente'!$E$2:$E$1000)),"yyyy-mm-dd"),"")))))</f>
        <v/>
      </c>
      <c r="J423" s="131" t="str">
        <f aca="false">IF($T423="✓","✓",IF(ISNUMBER($T423),TEXT($T423,"yyyy-mm-dd"),IF($A423="","",IF($D423="Lisbonne","",IF(SUMPRODUCT(('Agences &amp; Après-vente'!$A$2:$A$1000=$A423)*(('Agences &amp; Après-vente'!$D$2:$D$1000="Après-vente")+('Agences &amp; Après-vente'!$D$2:$D$1000="Agences et Après-vente"))*('Agences &amp; Après-vente'!$I$2:$I$1000="DONE"))&gt;0,"✓",IF(SUMPRODUCT(MAX(('Agences &amp; Après-vente'!$A$2:$A$1000=$A423)*(('Agences &amp; Après-vente'!$D$2:$D$1000="Après-vente")+('Agences &amp; Après-vente'!$D$2:$D$1000="Agences et Après-vente"))*'Agences &amp; Après-vente'!$E$2:$E$1000))&gt;0,TEXT(SUMPRODUCT(MAX(('Agences &amp; Après-vente'!$A$2:$A$1000=$A423)*(('Agences &amp; Après-vente'!$D$2:$D$1000="Après-vente")+('Agences &amp; Après-vente'!$D$2:$D$1000="Agences et Après-vente"))*'Agences &amp; Après-vente'!$E$2:$E$1000)),"yyyy-mm-dd"),""))))))</f>
        <v/>
      </c>
      <c r="K423" s="131" t="str">
        <f aca="false">IF($U423="✓","✓",IF(ISNUMBER($U423),TEXT($U423,"yyyy-mm-dd"),IF($D423="Lisbonne","",IF($A423="","",IF(SUMPRODUCT((Evermont!$A$2:$A$1000=$A423)*(Evermont!$Q$2:$Q$1000="Terminé"))&gt;0,"✓",IF(SUMPRODUCT(MAX((Evermont!$A$2:$A$1000=$A423)*Evermont!$F$2:$F$1000))&gt;0,TEXT(SUMPRODUCT(MAX((Evermont!$A$2:$A$1000=$A423)*Evermont!$F$2:$F$1000)),"yyyy-mm-dd"),""))))))</f>
        <v/>
      </c>
      <c r="L423" s="131" t="str">
        <f aca="false">IF($A423="","",COUNTIF(E423:K423,"✓"))</f>
        <v/>
      </c>
      <c r="M423" s="131" t="str">
        <f aca="false">IF(B423="","","Active")</f>
        <v/>
      </c>
      <c r="W423" s="120" t="str">
        <f aca="false">IF($A423="","",IF($X423&lt;&gt;"",$X423,IFERROR(INDEX('Formation Initiale'!$B$2:$B$999,MATCH($A423,'Formation Initiale'!$A$2:$A$999,0)),"Général")))</f>
        <v/>
      </c>
    </row>
    <row r="424" customFormat="false" ht="15" hidden="true" customHeight="true" outlineLevel="0" collapsed="false">
      <c r="A424" s="142" t="str">
        <f aca="false">IF(B424="","","TR"&amp;TEXT(ROW()-1,"000"))</f>
        <v/>
      </c>
      <c r="E424" s="130" t="str">
        <f aca="false">IF($O424="✓","✓",IF(ISNUMBER($O424),TEXT($O424,"yyyy-mm-dd"),IF($A424="","",IF(SUMPRODUCT(('Formation Initiale'!$A$2:$A$999=$A424)*('Formation Initiale'!$R$2:$R$999="Terminé"))&gt;0,"✓",IF(SUMPRODUCT(MAX(('Formation Initiale'!$A$2:$A$999=$A424)*'Formation Initiale'!$G$2:$G$999))&gt;0,TEXT(SUMPRODUCT(MAX(('Formation Initiale'!$A$2:$A$999=$A424)*'Formation Initiale'!$G$2:$G$999)),"yyyy-mm-dd"),"")))))</f>
        <v/>
      </c>
      <c r="F424" s="131" t="str">
        <f aca="false">IF($P424="✓","✓",IF(ISNUMBER($P424),TEXT($P424,"yyyy-mm-dd"),IF($A424="","",IF($D424="Lisbonne","",IF(SUMPRODUCT(('Formation Initiale'!$A$2:$A$999=$A424)*('Formation Initiale'!$R$2:$R$999="Terminé"))&gt;0,"✓",IF(SUMPRODUCT(MAX(('Formation Initiale'!$A$2:$A$999=$A424)*'Formation Initiale'!$G$2:$G$999))&gt;0,TEXT(SUMPRODUCT(MAX(('Formation Initiale'!$A$2:$A$999=$A424)*'Formation Initiale'!$G$2:$G$999)),"yyyy-mm-dd"),""))))))</f>
        <v/>
      </c>
      <c r="G424" s="131" t="str">
        <f aca="false">IF($Q424="✓","✓",IF(ISNUMBER($Q424),TEXT($Q424,"yyyy-mm-dd"),IF($A424="","",IF(SUMPRODUCT(('Agences &amp; Après-vente'!$A$2:$A$1000=$A424)*(('Agences &amp; Après-vente'!$D$2:$D$1000="Agences")+('Agences &amp; Après-vente'!$D$2:$D$1000="Agences et Après-vente"))*('Agences &amp; Après-vente'!$I$2:$I$1000="DONE"))&gt;0,"✓",IF(SUMPRODUCT(MAX(('Agences &amp; Après-vente'!$A$2:$A$1000=$A424)*(('Agences &amp; Après-vente'!$D$2:$D$1000="Agences")+('Agences &amp; Après-vente'!$D$2:$D$1000="Agences et Après-vente"))*'Agences &amp; Après-vente'!$E$2:$E$1000))&gt;0,TEXT(SUMPRODUCT(MAX(('Agences &amp; Après-vente'!$A$2:$A$1000=$A424)*(('Agences &amp; Après-vente'!$D$2:$D$1000="Agences")+('Agences &amp; Après-vente'!$D$2:$D$1000="Agences et Après-vente"))*'Agences &amp; Après-vente'!$E$2:$E$1000)),"yyyy-mm-dd"),"")))))</f>
        <v/>
      </c>
      <c r="H424" s="131" t="str">
        <f aca="false">IF($R424="✓","✓",IF(ISNUMBER($R424),TEXT($R424,"yyyy-mm-dd"),IF($A424="","",IF($D424="Lisbonne","",IF(SUMPRODUCT(('Agences &amp; Après-vente'!$A$2:$A$1000=$A424)*(('Agences &amp; Après-vente'!$D$2:$D$1000="Agences")+('Agences &amp; Après-vente'!$D$2:$D$1000="Agences et Après-vente"))*('Agences &amp; Après-vente'!$I$2:$I$1000="DONE"))&gt;0,"✓",IF(SUMPRODUCT(MAX(('Agences &amp; Après-vente'!$A$2:$A$1000=$A424)*(('Agences &amp; Après-vente'!$D$2:$D$1000="Agences")+('Agences &amp; Après-vente'!$D$2:$D$1000="Agences et Après-vente"))*'Agences &amp; Après-vente'!$E$2:$E$1000))&gt;0,TEXT(SUMPRODUCT(MAX(('Agences &amp; Après-vente'!$A$2:$A$1000=$A424)*(('Agences &amp; Après-vente'!$D$2:$D$1000="Agences")+('Agences &amp; Après-vente'!$D$2:$D$1000="Agences et Après-vente"))*'Agences &amp; Après-vente'!$E$2:$E$1000)),"yyyy-mm-dd"),""))))))</f>
        <v/>
      </c>
      <c r="I424" s="131" t="str">
        <f aca="false">IF($S424="✓","✓",IF(ISNUMBER($S424),TEXT($S424,"yyyy-mm-dd"),IF($A424="","",IF(SUMPRODUCT(('Agences &amp; Après-vente'!$A$2:$A$1000=$A424)*(('Agences &amp; Après-vente'!$D$2:$D$1000="Après-vente")+('Agences &amp; Après-vente'!$D$2:$D$1000="Agences et Après-vente"))*('Agences &amp; Après-vente'!$I$2:$I$1000="DONE"))&gt;0,"✓",IF(SUMPRODUCT(MAX(('Agences &amp; Après-vente'!$A$2:$A$1000=$A424)*(('Agences &amp; Après-vente'!$D$2:$D$1000="Après-vente")+('Agences &amp; Après-vente'!$D$2:$D$1000="Agences et Après-vente"))*'Agences &amp; Après-vente'!$E$2:$E$1000))&gt;0,TEXT(SUMPRODUCT(MAX(('Agences &amp; Après-vente'!$A$2:$A$1000=$A424)*(('Agences &amp; Après-vente'!$D$2:$D$1000="Après-vente")+('Agences &amp; Après-vente'!$D$2:$D$1000="Agences et Après-vente"))*'Agences &amp; Après-vente'!$E$2:$E$1000)),"yyyy-mm-dd"),"")))))</f>
        <v/>
      </c>
      <c r="J424" s="131" t="str">
        <f aca="false">IF($T424="✓","✓",IF(ISNUMBER($T424),TEXT($T424,"yyyy-mm-dd"),IF($A424="","",IF($D424="Lisbonne","",IF(SUMPRODUCT(('Agences &amp; Après-vente'!$A$2:$A$1000=$A424)*(('Agences &amp; Après-vente'!$D$2:$D$1000="Après-vente")+('Agences &amp; Après-vente'!$D$2:$D$1000="Agences et Après-vente"))*('Agences &amp; Après-vente'!$I$2:$I$1000="DONE"))&gt;0,"✓",IF(SUMPRODUCT(MAX(('Agences &amp; Après-vente'!$A$2:$A$1000=$A424)*(('Agences &amp; Après-vente'!$D$2:$D$1000="Après-vente")+('Agences &amp; Après-vente'!$D$2:$D$1000="Agences et Après-vente"))*'Agences &amp; Après-vente'!$E$2:$E$1000))&gt;0,TEXT(SUMPRODUCT(MAX(('Agences &amp; Après-vente'!$A$2:$A$1000=$A424)*(('Agences &amp; Après-vente'!$D$2:$D$1000="Après-vente")+('Agences &amp; Après-vente'!$D$2:$D$1000="Agences et Après-vente"))*'Agences &amp; Après-vente'!$E$2:$E$1000)),"yyyy-mm-dd"),""))))))</f>
        <v/>
      </c>
      <c r="K424" s="131" t="str">
        <f aca="false">IF($U424="✓","✓",IF(ISNUMBER($U424),TEXT($U424,"yyyy-mm-dd"),IF($D424="Lisbonne","",IF($A424="","",IF(SUMPRODUCT((Evermont!$A$2:$A$1000=$A424)*(Evermont!$Q$2:$Q$1000="Terminé"))&gt;0,"✓",IF(SUMPRODUCT(MAX((Evermont!$A$2:$A$1000=$A424)*Evermont!$F$2:$F$1000))&gt;0,TEXT(SUMPRODUCT(MAX((Evermont!$A$2:$A$1000=$A424)*Evermont!$F$2:$F$1000)),"yyyy-mm-dd"),""))))))</f>
        <v/>
      </c>
      <c r="L424" s="131" t="str">
        <f aca="false">IF($A424="","",COUNTIF(E424:K424,"✓"))</f>
        <v/>
      </c>
      <c r="M424" s="131" t="str">
        <f aca="false">IF(B424="","","Active")</f>
        <v/>
      </c>
      <c r="W424" s="120" t="str">
        <f aca="false">IF($A424="","",IF($X424&lt;&gt;"",$X424,IFERROR(INDEX('Formation Initiale'!$B$2:$B$999,MATCH($A424,'Formation Initiale'!$A$2:$A$999,0)),"Général")))</f>
        <v/>
      </c>
    </row>
    <row r="425" customFormat="false" ht="15" hidden="true" customHeight="true" outlineLevel="0" collapsed="false">
      <c r="A425" s="142" t="str">
        <f aca="false">IF(B425="","","TR"&amp;TEXT(ROW()-1,"000"))</f>
        <v/>
      </c>
      <c r="E425" s="130" t="str">
        <f aca="false">IF($O425="✓","✓",IF(ISNUMBER($O425),TEXT($O425,"yyyy-mm-dd"),IF($A425="","",IF(SUMPRODUCT(('Formation Initiale'!$A$2:$A$999=$A425)*('Formation Initiale'!$R$2:$R$999="Terminé"))&gt;0,"✓",IF(SUMPRODUCT(MAX(('Formation Initiale'!$A$2:$A$999=$A425)*'Formation Initiale'!$G$2:$G$999))&gt;0,TEXT(SUMPRODUCT(MAX(('Formation Initiale'!$A$2:$A$999=$A425)*'Formation Initiale'!$G$2:$G$999)),"yyyy-mm-dd"),"")))))</f>
        <v/>
      </c>
      <c r="F425" s="131" t="str">
        <f aca="false">IF($P425="✓","✓",IF(ISNUMBER($P425),TEXT($P425,"yyyy-mm-dd"),IF($A425="","",IF($D425="Lisbonne","",IF(SUMPRODUCT(('Formation Initiale'!$A$2:$A$999=$A425)*('Formation Initiale'!$R$2:$R$999="Terminé"))&gt;0,"✓",IF(SUMPRODUCT(MAX(('Formation Initiale'!$A$2:$A$999=$A425)*'Formation Initiale'!$G$2:$G$999))&gt;0,TEXT(SUMPRODUCT(MAX(('Formation Initiale'!$A$2:$A$999=$A425)*'Formation Initiale'!$G$2:$G$999)),"yyyy-mm-dd"),""))))))</f>
        <v/>
      </c>
      <c r="G425" s="131" t="str">
        <f aca="false">IF($Q425="✓","✓",IF(ISNUMBER($Q425),TEXT($Q425,"yyyy-mm-dd"),IF($A425="","",IF(SUMPRODUCT(('Agences &amp; Après-vente'!$A$2:$A$1000=$A425)*(('Agences &amp; Après-vente'!$D$2:$D$1000="Agences")+('Agences &amp; Après-vente'!$D$2:$D$1000="Agences et Après-vente"))*('Agences &amp; Après-vente'!$I$2:$I$1000="DONE"))&gt;0,"✓",IF(SUMPRODUCT(MAX(('Agences &amp; Après-vente'!$A$2:$A$1000=$A425)*(('Agences &amp; Après-vente'!$D$2:$D$1000="Agences")+('Agences &amp; Après-vente'!$D$2:$D$1000="Agences et Après-vente"))*'Agences &amp; Après-vente'!$E$2:$E$1000))&gt;0,TEXT(SUMPRODUCT(MAX(('Agences &amp; Après-vente'!$A$2:$A$1000=$A425)*(('Agences &amp; Après-vente'!$D$2:$D$1000="Agences")+('Agences &amp; Après-vente'!$D$2:$D$1000="Agences et Après-vente"))*'Agences &amp; Après-vente'!$E$2:$E$1000)),"yyyy-mm-dd"),"")))))</f>
        <v/>
      </c>
      <c r="H425" s="131" t="str">
        <f aca="false">IF($R425="✓","✓",IF(ISNUMBER($R425),TEXT($R425,"yyyy-mm-dd"),IF($A425="","",IF($D425="Lisbonne","",IF(SUMPRODUCT(('Agences &amp; Après-vente'!$A$2:$A$1000=$A425)*(('Agences &amp; Après-vente'!$D$2:$D$1000="Agences")+('Agences &amp; Après-vente'!$D$2:$D$1000="Agences et Après-vente"))*('Agences &amp; Après-vente'!$I$2:$I$1000="DONE"))&gt;0,"✓",IF(SUMPRODUCT(MAX(('Agences &amp; Après-vente'!$A$2:$A$1000=$A425)*(('Agences &amp; Après-vente'!$D$2:$D$1000="Agences")+('Agences &amp; Après-vente'!$D$2:$D$1000="Agences et Après-vente"))*'Agences &amp; Après-vente'!$E$2:$E$1000))&gt;0,TEXT(SUMPRODUCT(MAX(('Agences &amp; Après-vente'!$A$2:$A$1000=$A425)*(('Agences &amp; Après-vente'!$D$2:$D$1000="Agences")+('Agences &amp; Après-vente'!$D$2:$D$1000="Agences et Après-vente"))*'Agences &amp; Après-vente'!$E$2:$E$1000)),"yyyy-mm-dd"),""))))))</f>
        <v/>
      </c>
      <c r="I425" s="131" t="str">
        <f aca="false">IF($S425="✓","✓",IF(ISNUMBER($S425),TEXT($S425,"yyyy-mm-dd"),IF($A425="","",IF(SUMPRODUCT(('Agences &amp; Après-vente'!$A$2:$A$1000=$A425)*(('Agences &amp; Après-vente'!$D$2:$D$1000="Après-vente")+('Agences &amp; Après-vente'!$D$2:$D$1000="Agences et Après-vente"))*('Agences &amp; Après-vente'!$I$2:$I$1000="DONE"))&gt;0,"✓",IF(SUMPRODUCT(MAX(('Agences &amp; Après-vente'!$A$2:$A$1000=$A425)*(('Agences &amp; Après-vente'!$D$2:$D$1000="Après-vente")+('Agences &amp; Après-vente'!$D$2:$D$1000="Agences et Après-vente"))*'Agences &amp; Après-vente'!$E$2:$E$1000))&gt;0,TEXT(SUMPRODUCT(MAX(('Agences &amp; Après-vente'!$A$2:$A$1000=$A425)*(('Agences &amp; Après-vente'!$D$2:$D$1000="Après-vente")+('Agences &amp; Après-vente'!$D$2:$D$1000="Agences et Après-vente"))*'Agences &amp; Après-vente'!$E$2:$E$1000)),"yyyy-mm-dd"),"")))))</f>
        <v/>
      </c>
      <c r="J425" s="131" t="str">
        <f aca="false">IF($T425="✓","✓",IF(ISNUMBER($T425),TEXT($T425,"yyyy-mm-dd"),IF($A425="","",IF($D425="Lisbonne","",IF(SUMPRODUCT(('Agences &amp; Après-vente'!$A$2:$A$1000=$A425)*(('Agences &amp; Après-vente'!$D$2:$D$1000="Après-vente")+('Agences &amp; Après-vente'!$D$2:$D$1000="Agences et Après-vente"))*('Agences &amp; Après-vente'!$I$2:$I$1000="DONE"))&gt;0,"✓",IF(SUMPRODUCT(MAX(('Agences &amp; Après-vente'!$A$2:$A$1000=$A425)*(('Agences &amp; Après-vente'!$D$2:$D$1000="Après-vente")+('Agences &amp; Après-vente'!$D$2:$D$1000="Agences et Après-vente"))*'Agences &amp; Après-vente'!$E$2:$E$1000))&gt;0,TEXT(SUMPRODUCT(MAX(('Agences &amp; Après-vente'!$A$2:$A$1000=$A425)*(('Agences &amp; Après-vente'!$D$2:$D$1000="Après-vente")+('Agences &amp; Après-vente'!$D$2:$D$1000="Agences et Après-vente"))*'Agences &amp; Après-vente'!$E$2:$E$1000)),"yyyy-mm-dd"),""))))))</f>
        <v/>
      </c>
      <c r="K425" s="131" t="str">
        <f aca="false">IF($U425="✓","✓",IF(ISNUMBER($U425),TEXT($U425,"yyyy-mm-dd"),IF($D425="Lisbonne","",IF($A425="","",IF(SUMPRODUCT((Evermont!$A$2:$A$1000=$A425)*(Evermont!$Q$2:$Q$1000="Terminé"))&gt;0,"✓",IF(SUMPRODUCT(MAX((Evermont!$A$2:$A$1000=$A425)*Evermont!$F$2:$F$1000))&gt;0,TEXT(SUMPRODUCT(MAX((Evermont!$A$2:$A$1000=$A425)*Evermont!$F$2:$F$1000)),"yyyy-mm-dd"),""))))))</f>
        <v/>
      </c>
      <c r="L425" s="131" t="str">
        <f aca="false">IF($A425="","",COUNTIF(E425:K425,"✓"))</f>
        <v/>
      </c>
      <c r="M425" s="131" t="str">
        <f aca="false">IF(B425="","","Active")</f>
        <v/>
      </c>
      <c r="W425" s="120" t="str">
        <f aca="false">IF($A425="","",IF($X425&lt;&gt;"",$X425,IFERROR(INDEX('Formation Initiale'!$B$2:$B$999,MATCH($A425,'Formation Initiale'!$A$2:$A$999,0)),"Général")))</f>
        <v/>
      </c>
    </row>
    <row r="426" customFormat="false" ht="15" hidden="true" customHeight="true" outlineLevel="0" collapsed="false">
      <c r="A426" s="142" t="str">
        <f aca="false">IF(B426="","","TR"&amp;TEXT(ROW()-1,"000"))</f>
        <v/>
      </c>
      <c r="E426" s="130" t="str">
        <f aca="false">IF($O426="✓","✓",IF(ISNUMBER($O426),TEXT($O426,"yyyy-mm-dd"),IF($A426="","",IF(SUMPRODUCT(('Formation Initiale'!$A$2:$A$999=$A426)*('Formation Initiale'!$R$2:$R$999="Terminé"))&gt;0,"✓",IF(SUMPRODUCT(MAX(('Formation Initiale'!$A$2:$A$999=$A426)*'Formation Initiale'!$G$2:$G$999))&gt;0,TEXT(SUMPRODUCT(MAX(('Formation Initiale'!$A$2:$A$999=$A426)*'Formation Initiale'!$G$2:$G$999)),"yyyy-mm-dd"),"")))))</f>
        <v/>
      </c>
      <c r="F426" s="131" t="str">
        <f aca="false">IF($P426="✓","✓",IF(ISNUMBER($P426),TEXT($P426,"yyyy-mm-dd"),IF($A426="","",IF($D426="Lisbonne","",IF(SUMPRODUCT(('Formation Initiale'!$A$2:$A$999=$A426)*('Formation Initiale'!$R$2:$R$999="Terminé"))&gt;0,"✓",IF(SUMPRODUCT(MAX(('Formation Initiale'!$A$2:$A$999=$A426)*'Formation Initiale'!$G$2:$G$999))&gt;0,TEXT(SUMPRODUCT(MAX(('Formation Initiale'!$A$2:$A$999=$A426)*'Formation Initiale'!$G$2:$G$999)),"yyyy-mm-dd"),""))))))</f>
        <v/>
      </c>
      <c r="G426" s="131" t="str">
        <f aca="false">IF($Q426="✓","✓",IF(ISNUMBER($Q426),TEXT($Q426,"yyyy-mm-dd"),IF($A426="","",IF(SUMPRODUCT(('Agences &amp; Après-vente'!$A$2:$A$1000=$A426)*(('Agences &amp; Après-vente'!$D$2:$D$1000="Agences")+('Agences &amp; Après-vente'!$D$2:$D$1000="Agences et Après-vente"))*('Agences &amp; Après-vente'!$I$2:$I$1000="DONE"))&gt;0,"✓",IF(SUMPRODUCT(MAX(('Agences &amp; Après-vente'!$A$2:$A$1000=$A426)*(('Agences &amp; Après-vente'!$D$2:$D$1000="Agences")+('Agences &amp; Après-vente'!$D$2:$D$1000="Agences et Après-vente"))*'Agences &amp; Après-vente'!$E$2:$E$1000))&gt;0,TEXT(SUMPRODUCT(MAX(('Agences &amp; Après-vente'!$A$2:$A$1000=$A426)*(('Agences &amp; Après-vente'!$D$2:$D$1000="Agences")+('Agences &amp; Après-vente'!$D$2:$D$1000="Agences et Après-vente"))*'Agences &amp; Après-vente'!$E$2:$E$1000)),"yyyy-mm-dd"),"")))))</f>
        <v/>
      </c>
      <c r="H426" s="131" t="str">
        <f aca="false">IF($R426="✓","✓",IF(ISNUMBER($R426),TEXT($R426,"yyyy-mm-dd"),IF($A426="","",IF($D426="Lisbonne","",IF(SUMPRODUCT(('Agences &amp; Après-vente'!$A$2:$A$1000=$A426)*(('Agences &amp; Après-vente'!$D$2:$D$1000="Agences")+('Agences &amp; Après-vente'!$D$2:$D$1000="Agences et Après-vente"))*('Agences &amp; Après-vente'!$I$2:$I$1000="DONE"))&gt;0,"✓",IF(SUMPRODUCT(MAX(('Agences &amp; Après-vente'!$A$2:$A$1000=$A426)*(('Agences &amp; Après-vente'!$D$2:$D$1000="Agences")+('Agences &amp; Après-vente'!$D$2:$D$1000="Agences et Après-vente"))*'Agences &amp; Après-vente'!$E$2:$E$1000))&gt;0,TEXT(SUMPRODUCT(MAX(('Agences &amp; Après-vente'!$A$2:$A$1000=$A426)*(('Agences &amp; Après-vente'!$D$2:$D$1000="Agences")+('Agences &amp; Après-vente'!$D$2:$D$1000="Agences et Après-vente"))*'Agences &amp; Après-vente'!$E$2:$E$1000)),"yyyy-mm-dd"),""))))))</f>
        <v/>
      </c>
      <c r="I426" s="131" t="str">
        <f aca="false">IF($S426="✓","✓",IF(ISNUMBER($S426),TEXT($S426,"yyyy-mm-dd"),IF($A426="","",IF(SUMPRODUCT(('Agences &amp; Après-vente'!$A$2:$A$1000=$A426)*(('Agences &amp; Après-vente'!$D$2:$D$1000="Après-vente")+('Agences &amp; Après-vente'!$D$2:$D$1000="Agences et Après-vente"))*('Agences &amp; Après-vente'!$I$2:$I$1000="DONE"))&gt;0,"✓",IF(SUMPRODUCT(MAX(('Agences &amp; Après-vente'!$A$2:$A$1000=$A426)*(('Agences &amp; Après-vente'!$D$2:$D$1000="Après-vente")+('Agences &amp; Après-vente'!$D$2:$D$1000="Agences et Après-vente"))*'Agences &amp; Après-vente'!$E$2:$E$1000))&gt;0,TEXT(SUMPRODUCT(MAX(('Agences &amp; Après-vente'!$A$2:$A$1000=$A426)*(('Agences &amp; Après-vente'!$D$2:$D$1000="Après-vente")+('Agences &amp; Après-vente'!$D$2:$D$1000="Agences et Après-vente"))*'Agences &amp; Après-vente'!$E$2:$E$1000)),"yyyy-mm-dd"),"")))))</f>
        <v/>
      </c>
      <c r="J426" s="131" t="str">
        <f aca="false">IF($T426="✓","✓",IF(ISNUMBER($T426),TEXT($T426,"yyyy-mm-dd"),IF($A426="","",IF($D426="Lisbonne","",IF(SUMPRODUCT(('Agences &amp; Après-vente'!$A$2:$A$1000=$A426)*(('Agences &amp; Après-vente'!$D$2:$D$1000="Après-vente")+('Agences &amp; Après-vente'!$D$2:$D$1000="Agences et Après-vente"))*('Agences &amp; Après-vente'!$I$2:$I$1000="DONE"))&gt;0,"✓",IF(SUMPRODUCT(MAX(('Agences &amp; Après-vente'!$A$2:$A$1000=$A426)*(('Agences &amp; Après-vente'!$D$2:$D$1000="Après-vente")+('Agences &amp; Après-vente'!$D$2:$D$1000="Agences et Après-vente"))*'Agences &amp; Après-vente'!$E$2:$E$1000))&gt;0,TEXT(SUMPRODUCT(MAX(('Agences &amp; Après-vente'!$A$2:$A$1000=$A426)*(('Agences &amp; Après-vente'!$D$2:$D$1000="Après-vente")+('Agences &amp; Après-vente'!$D$2:$D$1000="Agences et Après-vente"))*'Agences &amp; Après-vente'!$E$2:$E$1000)),"yyyy-mm-dd"),""))))))</f>
        <v/>
      </c>
      <c r="K426" s="131" t="str">
        <f aca="false">IF($U426="✓","✓",IF(ISNUMBER($U426),TEXT($U426,"yyyy-mm-dd"),IF($D426="Lisbonne","",IF($A426="","",IF(SUMPRODUCT((Evermont!$A$2:$A$1000=$A426)*(Evermont!$Q$2:$Q$1000="Terminé"))&gt;0,"✓",IF(SUMPRODUCT(MAX((Evermont!$A$2:$A$1000=$A426)*Evermont!$F$2:$F$1000))&gt;0,TEXT(SUMPRODUCT(MAX((Evermont!$A$2:$A$1000=$A426)*Evermont!$F$2:$F$1000)),"yyyy-mm-dd"),""))))))</f>
        <v/>
      </c>
      <c r="L426" s="131" t="str">
        <f aca="false">IF($A426="","",COUNTIF(E426:K426,"✓"))</f>
        <v/>
      </c>
      <c r="M426" s="131" t="str">
        <f aca="false">IF(B426="","","Active")</f>
        <v/>
      </c>
      <c r="W426" s="120" t="str">
        <f aca="false">IF($A426="","",IF($X426&lt;&gt;"",$X426,IFERROR(INDEX('Formation Initiale'!$B$2:$B$999,MATCH($A426,'Formation Initiale'!$A$2:$A$999,0)),"Général")))</f>
        <v/>
      </c>
    </row>
    <row r="427" customFormat="false" ht="15" hidden="true" customHeight="true" outlineLevel="0" collapsed="false">
      <c r="A427" s="142" t="str">
        <f aca="false">IF(B427="","","TR"&amp;TEXT(ROW()-1,"000"))</f>
        <v/>
      </c>
      <c r="E427" s="130" t="str">
        <f aca="false">IF($O427="✓","✓",IF(ISNUMBER($O427),TEXT($O427,"yyyy-mm-dd"),IF($A427="","",IF(SUMPRODUCT(('Formation Initiale'!$A$2:$A$999=$A427)*('Formation Initiale'!$R$2:$R$999="Terminé"))&gt;0,"✓",IF(SUMPRODUCT(MAX(('Formation Initiale'!$A$2:$A$999=$A427)*'Formation Initiale'!$G$2:$G$999))&gt;0,TEXT(SUMPRODUCT(MAX(('Formation Initiale'!$A$2:$A$999=$A427)*'Formation Initiale'!$G$2:$G$999)),"yyyy-mm-dd"),"")))))</f>
        <v/>
      </c>
      <c r="F427" s="131" t="str">
        <f aca="false">IF($P427="✓","✓",IF(ISNUMBER($P427),TEXT($P427,"yyyy-mm-dd"),IF($A427="","",IF($D427="Lisbonne","",IF(SUMPRODUCT(('Formation Initiale'!$A$2:$A$999=$A427)*('Formation Initiale'!$R$2:$R$999="Terminé"))&gt;0,"✓",IF(SUMPRODUCT(MAX(('Formation Initiale'!$A$2:$A$999=$A427)*'Formation Initiale'!$G$2:$G$999))&gt;0,TEXT(SUMPRODUCT(MAX(('Formation Initiale'!$A$2:$A$999=$A427)*'Formation Initiale'!$G$2:$G$999)),"yyyy-mm-dd"),""))))))</f>
        <v/>
      </c>
      <c r="G427" s="131" t="str">
        <f aca="false">IF($Q427="✓","✓",IF(ISNUMBER($Q427),TEXT($Q427,"yyyy-mm-dd"),IF($A427="","",IF(SUMPRODUCT(('Agences &amp; Après-vente'!$A$2:$A$1000=$A427)*(('Agences &amp; Après-vente'!$D$2:$D$1000="Agences")+('Agences &amp; Après-vente'!$D$2:$D$1000="Agences et Après-vente"))*('Agences &amp; Après-vente'!$I$2:$I$1000="DONE"))&gt;0,"✓",IF(SUMPRODUCT(MAX(('Agences &amp; Après-vente'!$A$2:$A$1000=$A427)*(('Agences &amp; Après-vente'!$D$2:$D$1000="Agences")+('Agences &amp; Après-vente'!$D$2:$D$1000="Agences et Après-vente"))*'Agences &amp; Après-vente'!$E$2:$E$1000))&gt;0,TEXT(SUMPRODUCT(MAX(('Agences &amp; Après-vente'!$A$2:$A$1000=$A427)*(('Agences &amp; Après-vente'!$D$2:$D$1000="Agences")+('Agences &amp; Après-vente'!$D$2:$D$1000="Agences et Après-vente"))*'Agences &amp; Après-vente'!$E$2:$E$1000)),"yyyy-mm-dd"),"")))))</f>
        <v/>
      </c>
      <c r="H427" s="131" t="str">
        <f aca="false">IF($R427="✓","✓",IF(ISNUMBER($R427),TEXT($R427,"yyyy-mm-dd"),IF($A427="","",IF($D427="Lisbonne","",IF(SUMPRODUCT(('Agences &amp; Après-vente'!$A$2:$A$1000=$A427)*(('Agences &amp; Après-vente'!$D$2:$D$1000="Agences")+('Agences &amp; Après-vente'!$D$2:$D$1000="Agences et Après-vente"))*('Agences &amp; Après-vente'!$I$2:$I$1000="DONE"))&gt;0,"✓",IF(SUMPRODUCT(MAX(('Agences &amp; Après-vente'!$A$2:$A$1000=$A427)*(('Agences &amp; Après-vente'!$D$2:$D$1000="Agences")+('Agences &amp; Après-vente'!$D$2:$D$1000="Agences et Après-vente"))*'Agences &amp; Après-vente'!$E$2:$E$1000))&gt;0,TEXT(SUMPRODUCT(MAX(('Agences &amp; Après-vente'!$A$2:$A$1000=$A427)*(('Agences &amp; Après-vente'!$D$2:$D$1000="Agences")+('Agences &amp; Après-vente'!$D$2:$D$1000="Agences et Après-vente"))*'Agences &amp; Après-vente'!$E$2:$E$1000)),"yyyy-mm-dd"),""))))))</f>
        <v/>
      </c>
      <c r="I427" s="131" t="str">
        <f aca="false">IF($S427="✓","✓",IF(ISNUMBER($S427),TEXT($S427,"yyyy-mm-dd"),IF($A427="","",IF(SUMPRODUCT(('Agences &amp; Après-vente'!$A$2:$A$1000=$A427)*(('Agences &amp; Après-vente'!$D$2:$D$1000="Après-vente")+('Agences &amp; Après-vente'!$D$2:$D$1000="Agences et Après-vente"))*('Agences &amp; Après-vente'!$I$2:$I$1000="DONE"))&gt;0,"✓",IF(SUMPRODUCT(MAX(('Agences &amp; Après-vente'!$A$2:$A$1000=$A427)*(('Agences &amp; Après-vente'!$D$2:$D$1000="Après-vente")+('Agences &amp; Après-vente'!$D$2:$D$1000="Agences et Après-vente"))*'Agences &amp; Après-vente'!$E$2:$E$1000))&gt;0,TEXT(SUMPRODUCT(MAX(('Agences &amp; Après-vente'!$A$2:$A$1000=$A427)*(('Agences &amp; Après-vente'!$D$2:$D$1000="Après-vente")+('Agences &amp; Après-vente'!$D$2:$D$1000="Agences et Après-vente"))*'Agences &amp; Après-vente'!$E$2:$E$1000)),"yyyy-mm-dd"),"")))))</f>
        <v/>
      </c>
      <c r="J427" s="131" t="str">
        <f aca="false">IF($T427="✓","✓",IF(ISNUMBER($T427),TEXT($T427,"yyyy-mm-dd"),IF($A427="","",IF($D427="Lisbonne","",IF(SUMPRODUCT(('Agences &amp; Après-vente'!$A$2:$A$1000=$A427)*(('Agences &amp; Après-vente'!$D$2:$D$1000="Après-vente")+('Agences &amp; Après-vente'!$D$2:$D$1000="Agences et Après-vente"))*('Agences &amp; Après-vente'!$I$2:$I$1000="DONE"))&gt;0,"✓",IF(SUMPRODUCT(MAX(('Agences &amp; Après-vente'!$A$2:$A$1000=$A427)*(('Agences &amp; Après-vente'!$D$2:$D$1000="Après-vente")+('Agences &amp; Après-vente'!$D$2:$D$1000="Agences et Après-vente"))*'Agences &amp; Après-vente'!$E$2:$E$1000))&gt;0,TEXT(SUMPRODUCT(MAX(('Agences &amp; Après-vente'!$A$2:$A$1000=$A427)*(('Agences &amp; Après-vente'!$D$2:$D$1000="Après-vente")+('Agences &amp; Après-vente'!$D$2:$D$1000="Agences et Après-vente"))*'Agences &amp; Après-vente'!$E$2:$E$1000)),"yyyy-mm-dd"),""))))))</f>
        <v/>
      </c>
      <c r="K427" s="131" t="str">
        <f aca="false">IF($U427="✓","✓",IF(ISNUMBER($U427),TEXT($U427,"yyyy-mm-dd"),IF($D427="Lisbonne","",IF($A427="","",IF(SUMPRODUCT((Evermont!$A$2:$A$1000=$A427)*(Evermont!$Q$2:$Q$1000="Terminé"))&gt;0,"✓",IF(SUMPRODUCT(MAX((Evermont!$A$2:$A$1000=$A427)*Evermont!$F$2:$F$1000))&gt;0,TEXT(SUMPRODUCT(MAX((Evermont!$A$2:$A$1000=$A427)*Evermont!$F$2:$F$1000)),"yyyy-mm-dd"),""))))))</f>
        <v/>
      </c>
      <c r="L427" s="131" t="str">
        <f aca="false">IF($A427="","",COUNTIF(E427:K427,"✓"))</f>
        <v/>
      </c>
      <c r="M427" s="131" t="str">
        <f aca="false">IF(B427="","","Active")</f>
        <v/>
      </c>
      <c r="W427" s="120" t="str">
        <f aca="false">IF($A427="","",IF($X427&lt;&gt;"",$X427,IFERROR(INDEX('Formation Initiale'!$B$2:$B$999,MATCH($A427,'Formation Initiale'!$A$2:$A$999,0)),"Général")))</f>
        <v/>
      </c>
    </row>
    <row r="428" customFormat="false" ht="15" hidden="true" customHeight="true" outlineLevel="0" collapsed="false">
      <c r="A428" s="142" t="str">
        <f aca="false">IF(B428="","","TR"&amp;TEXT(ROW()-1,"000"))</f>
        <v/>
      </c>
      <c r="E428" s="130" t="str">
        <f aca="false">IF($O428="✓","✓",IF(ISNUMBER($O428),TEXT($O428,"yyyy-mm-dd"),IF($A428="","",IF(SUMPRODUCT(('Formation Initiale'!$A$2:$A$999=$A428)*('Formation Initiale'!$R$2:$R$999="Terminé"))&gt;0,"✓",IF(SUMPRODUCT(MAX(('Formation Initiale'!$A$2:$A$999=$A428)*'Formation Initiale'!$G$2:$G$999))&gt;0,TEXT(SUMPRODUCT(MAX(('Formation Initiale'!$A$2:$A$999=$A428)*'Formation Initiale'!$G$2:$G$999)),"yyyy-mm-dd"),"")))))</f>
        <v/>
      </c>
      <c r="F428" s="131" t="str">
        <f aca="false">IF($P428="✓","✓",IF(ISNUMBER($P428),TEXT($P428,"yyyy-mm-dd"),IF($A428="","",IF($D428="Lisbonne","",IF(SUMPRODUCT(('Formation Initiale'!$A$2:$A$999=$A428)*('Formation Initiale'!$R$2:$R$999="Terminé"))&gt;0,"✓",IF(SUMPRODUCT(MAX(('Formation Initiale'!$A$2:$A$999=$A428)*'Formation Initiale'!$G$2:$G$999))&gt;0,TEXT(SUMPRODUCT(MAX(('Formation Initiale'!$A$2:$A$999=$A428)*'Formation Initiale'!$G$2:$G$999)),"yyyy-mm-dd"),""))))))</f>
        <v/>
      </c>
      <c r="G428" s="131" t="str">
        <f aca="false">IF($Q428="✓","✓",IF(ISNUMBER($Q428),TEXT($Q428,"yyyy-mm-dd"),IF($A428="","",IF(SUMPRODUCT(('Agences &amp; Après-vente'!$A$2:$A$1000=$A428)*(('Agences &amp; Après-vente'!$D$2:$D$1000="Agences")+('Agences &amp; Après-vente'!$D$2:$D$1000="Agences et Après-vente"))*('Agences &amp; Après-vente'!$I$2:$I$1000="DONE"))&gt;0,"✓",IF(SUMPRODUCT(MAX(('Agences &amp; Après-vente'!$A$2:$A$1000=$A428)*(('Agences &amp; Après-vente'!$D$2:$D$1000="Agences")+('Agences &amp; Après-vente'!$D$2:$D$1000="Agences et Après-vente"))*'Agences &amp; Après-vente'!$E$2:$E$1000))&gt;0,TEXT(SUMPRODUCT(MAX(('Agences &amp; Après-vente'!$A$2:$A$1000=$A428)*(('Agences &amp; Après-vente'!$D$2:$D$1000="Agences")+('Agences &amp; Après-vente'!$D$2:$D$1000="Agences et Après-vente"))*'Agences &amp; Après-vente'!$E$2:$E$1000)),"yyyy-mm-dd"),"")))))</f>
        <v/>
      </c>
      <c r="H428" s="131" t="str">
        <f aca="false">IF($R428="✓","✓",IF(ISNUMBER($R428),TEXT($R428,"yyyy-mm-dd"),IF($A428="","",IF($D428="Lisbonne","",IF(SUMPRODUCT(('Agences &amp; Après-vente'!$A$2:$A$1000=$A428)*(('Agences &amp; Après-vente'!$D$2:$D$1000="Agences")+('Agences &amp; Après-vente'!$D$2:$D$1000="Agences et Après-vente"))*('Agences &amp; Après-vente'!$I$2:$I$1000="DONE"))&gt;0,"✓",IF(SUMPRODUCT(MAX(('Agences &amp; Après-vente'!$A$2:$A$1000=$A428)*(('Agences &amp; Après-vente'!$D$2:$D$1000="Agences")+('Agences &amp; Après-vente'!$D$2:$D$1000="Agences et Après-vente"))*'Agences &amp; Après-vente'!$E$2:$E$1000))&gt;0,TEXT(SUMPRODUCT(MAX(('Agences &amp; Après-vente'!$A$2:$A$1000=$A428)*(('Agences &amp; Après-vente'!$D$2:$D$1000="Agences")+('Agences &amp; Après-vente'!$D$2:$D$1000="Agences et Après-vente"))*'Agences &amp; Après-vente'!$E$2:$E$1000)),"yyyy-mm-dd"),""))))))</f>
        <v/>
      </c>
      <c r="I428" s="131" t="str">
        <f aca="false">IF($S428="✓","✓",IF(ISNUMBER($S428),TEXT($S428,"yyyy-mm-dd"),IF($A428="","",IF(SUMPRODUCT(('Agences &amp; Après-vente'!$A$2:$A$1000=$A428)*(('Agences &amp; Après-vente'!$D$2:$D$1000="Après-vente")+('Agences &amp; Après-vente'!$D$2:$D$1000="Agences et Après-vente"))*('Agences &amp; Après-vente'!$I$2:$I$1000="DONE"))&gt;0,"✓",IF(SUMPRODUCT(MAX(('Agences &amp; Après-vente'!$A$2:$A$1000=$A428)*(('Agences &amp; Après-vente'!$D$2:$D$1000="Après-vente")+('Agences &amp; Après-vente'!$D$2:$D$1000="Agences et Après-vente"))*'Agences &amp; Après-vente'!$E$2:$E$1000))&gt;0,TEXT(SUMPRODUCT(MAX(('Agences &amp; Après-vente'!$A$2:$A$1000=$A428)*(('Agences &amp; Après-vente'!$D$2:$D$1000="Après-vente")+('Agences &amp; Après-vente'!$D$2:$D$1000="Agences et Après-vente"))*'Agences &amp; Après-vente'!$E$2:$E$1000)),"yyyy-mm-dd"),"")))))</f>
        <v/>
      </c>
      <c r="J428" s="131" t="str">
        <f aca="false">IF($T428="✓","✓",IF(ISNUMBER($T428),TEXT($T428,"yyyy-mm-dd"),IF($A428="","",IF($D428="Lisbonne","",IF(SUMPRODUCT(('Agences &amp; Après-vente'!$A$2:$A$1000=$A428)*(('Agences &amp; Après-vente'!$D$2:$D$1000="Après-vente")+('Agences &amp; Après-vente'!$D$2:$D$1000="Agences et Après-vente"))*('Agences &amp; Après-vente'!$I$2:$I$1000="DONE"))&gt;0,"✓",IF(SUMPRODUCT(MAX(('Agences &amp; Après-vente'!$A$2:$A$1000=$A428)*(('Agences &amp; Après-vente'!$D$2:$D$1000="Après-vente")+('Agences &amp; Après-vente'!$D$2:$D$1000="Agences et Après-vente"))*'Agences &amp; Après-vente'!$E$2:$E$1000))&gt;0,TEXT(SUMPRODUCT(MAX(('Agences &amp; Après-vente'!$A$2:$A$1000=$A428)*(('Agences &amp; Après-vente'!$D$2:$D$1000="Après-vente")+('Agences &amp; Après-vente'!$D$2:$D$1000="Agences et Après-vente"))*'Agences &amp; Après-vente'!$E$2:$E$1000)),"yyyy-mm-dd"),""))))))</f>
        <v/>
      </c>
      <c r="K428" s="131" t="str">
        <f aca="false">IF($U428="✓","✓",IF(ISNUMBER($U428),TEXT($U428,"yyyy-mm-dd"),IF($D428="Lisbonne","",IF($A428="","",IF(SUMPRODUCT((Evermont!$A$2:$A$1000=$A428)*(Evermont!$Q$2:$Q$1000="Terminé"))&gt;0,"✓",IF(SUMPRODUCT(MAX((Evermont!$A$2:$A$1000=$A428)*Evermont!$F$2:$F$1000))&gt;0,TEXT(SUMPRODUCT(MAX((Evermont!$A$2:$A$1000=$A428)*Evermont!$F$2:$F$1000)),"yyyy-mm-dd"),""))))))</f>
        <v/>
      </c>
      <c r="L428" s="131" t="str">
        <f aca="false">IF($A428="","",COUNTIF(E428:K428,"✓"))</f>
        <v/>
      </c>
      <c r="M428" s="131" t="str">
        <f aca="false">IF(B428="","","Active")</f>
        <v/>
      </c>
      <c r="W428" s="120" t="str">
        <f aca="false">IF($A428="","",IF($X428&lt;&gt;"",$X428,IFERROR(INDEX('Formation Initiale'!$B$2:$B$999,MATCH($A428,'Formation Initiale'!$A$2:$A$999,0)),"Général")))</f>
        <v/>
      </c>
    </row>
    <row r="429" customFormat="false" ht="15" hidden="true" customHeight="true" outlineLevel="0" collapsed="false">
      <c r="A429" s="142" t="str">
        <f aca="false">IF(B429="","","TR"&amp;TEXT(ROW()-1,"000"))</f>
        <v/>
      </c>
      <c r="E429" s="130" t="str">
        <f aca="false">IF($O429="✓","✓",IF(ISNUMBER($O429),TEXT($O429,"yyyy-mm-dd"),IF($A429="","",IF(SUMPRODUCT(('Formation Initiale'!$A$2:$A$999=$A429)*('Formation Initiale'!$R$2:$R$999="Terminé"))&gt;0,"✓",IF(SUMPRODUCT(MAX(('Formation Initiale'!$A$2:$A$999=$A429)*'Formation Initiale'!$G$2:$G$999))&gt;0,TEXT(SUMPRODUCT(MAX(('Formation Initiale'!$A$2:$A$999=$A429)*'Formation Initiale'!$G$2:$G$999)),"yyyy-mm-dd"),"")))))</f>
        <v/>
      </c>
      <c r="F429" s="131" t="str">
        <f aca="false">IF($P429="✓","✓",IF(ISNUMBER($P429),TEXT($P429,"yyyy-mm-dd"),IF($A429="","",IF($D429="Lisbonne","",IF(SUMPRODUCT(('Formation Initiale'!$A$2:$A$999=$A429)*('Formation Initiale'!$R$2:$R$999="Terminé"))&gt;0,"✓",IF(SUMPRODUCT(MAX(('Formation Initiale'!$A$2:$A$999=$A429)*'Formation Initiale'!$G$2:$G$999))&gt;0,TEXT(SUMPRODUCT(MAX(('Formation Initiale'!$A$2:$A$999=$A429)*'Formation Initiale'!$G$2:$G$999)),"yyyy-mm-dd"),""))))))</f>
        <v/>
      </c>
      <c r="G429" s="131" t="str">
        <f aca="false">IF($Q429="✓","✓",IF(ISNUMBER($Q429),TEXT($Q429,"yyyy-mm-dd"),IF($A429="","",IF(SUMPRODUCT(('Agences &amp; Après-vente'!$A$2:$A$1000=$A429)*(('Agences &amp; Après-vente'!$D$2:$D$1000="Agences")+('Agences &amp; Après-vente'!$D$2:$D$1000="Agences et Après-vente"))*('Agences &amp; Après-vente'!$I$2:$I$1000="DONE"))&gt;0,"✓",IF(SUMPRODUCT(MAX(('Agences &amp; Après-vente'!$A$2:$A$1000=$A429)*(('Agences &amp; Après-vente'!$D$2:$D$1000="Agences")+('Agences &amp; Après-vente'!$D$2:$D$1000="Agences et Après-vente"))*'Agences &amp; Après-vente'!$E$2:$E$1000))&gt;0,TEXT(SUMPRODUCT(MAX(('Agences &amp; Après-vente'!$A$2:$A$1000=$A429)*(('Agences &amp; Après-vente'!$D$2:$D$1000="Agences")+('Agences &amp; Après-vente'!$D$2:$D$1000="Agences et Après-vente"))*'Agences &amp; Après-vente'!$E$2:$E$1000)),"yyyy-mm-dd"),"")))))</f>
        <v/>
      </c>
      <c r="H429" s="131" t="str">
        <f aca="false">IF($R429="✓","✓",IF(ISNUMBER($R429),TEXT($R429,"yyyy-mm-dd"),IF($A429="","",IF($D429="Lisbonne","",IF(SUMPRODUCT(('Agences &amp; Après-vente'!$A$2:$A$1000=$A429)*(('Agences &amp; Après-vente'!$D$2:$D$1000="Agences")+('Agences &amp; Après-vente'!$D$2:$D$1000="Agences et Après-vente"))*('Agences &amp; Après-vente'!$I$2:$I$1000="DONE"))&gt;0,"✓",IF(SUMPRODUCT(MAX(('Agences &amp; Après-vente'!$A$2:$A$1000=$A429)*(('Agences &amp; Après-vente'!$D$2:$D$1000="Agences")+('Agences &amp; Après-vente'!$D$2:$D$1000="Agences et Après-vente"))*'Agences &amp; Après-vente'!$E$2:$E$1000))&gt;0,TEXT(SUMPRODUCT(MAX(('Agences &amp; Après-vente'!$A$2:$A$1000=$A429)*(('Agences &amp; Après-vente'!$D$2:$D$1000="Agences")+('Agences &amp; Après-vente'!$D$2:$D$1000="Agences et Après-vente"))*'Agences &amp; Après-vente'!$E$2:$E$1000)),"yyyy-mm-dd"),""))))))</f>
        <v/>
      </c>
      <c r="I429" s="131" t="str">
        <f aca="false">IF($S429="✓","✓",IF(ISNUMBER($S429),TEXT($S429,"yyyy-mm-dd"),IF($A429="","",IF(SUMPRODUCT(('Agences &amp; Après-vente'!$A$2:$A$1000=$A429)*(('Agences &amp; Après-vente'!$D$2:$D$1000="Après-vente")+('Agences &amp; Après-vente'!$D$2:$D$1000="Agences et Après-vente"))*('Agences &amp; Après-vente'!$I$2:$I$1000="DONE"))&gt;0,"✓",IF(SUMPRODUCT(MAX(('Agences &amp; Après-vente'!$A$2:$A$1000=$A429)*(('Agences &amp; Après-vente'!$D$2:$D$1000="Après-vente")+('Agences &amp; Après-vente'!$D$2:$D$1000="Agences et Après-vente"))*'Agences &amp; Après-vente'!$E$2:$E$1000))&gt;0,TEXT(SUMPRODUCT(MAX(('Agences &amp; Après-vente'!$A$2:$A$1000=$A429)*(('Agences &amp; Après-vente'!$D$2:$D$1000="Après-vente")+('Agences &amp; Après-vente'!$D$2:$D$1000="Agences et Après-vente"))*'Agences &amp; Après-vente'!$E$2:$E$1000)),"yyyy-mm-dd"),"")))))</f>
        <v/>
      </c>
      <c r="J429" s="131" t="str">
        <f aca="false">IF($T429="✓","✓",IF(ISNUMBER($T429),TEXT($T429,"yyyy-mm-dd"),IF($A429="","",IF($D429="Lisbonne","",IF(SUMPRODUCT(('Agences &amp; Après-vente'!$A$2:$A$1000=$A429)*(('Agences &amp; Après-vente'!$D$2:$D$1000="Après-vente")+('Agences &amp; Après-vente'!$D$2:$D$1000="Agences et Après-vente"))*('Agences &amp; Après-vente'!$I$2:$I$1000="DONE"))&gt;0,"✓",IF(SUMPRODUCT(MAX(('Agences &amp; Après-vente'!$A$2:$A$1000=$A429)*(('Agences &amp; Après-vente'!$D$2:$D$1000="Après-vente")+('Agences &amp; Après-vente'!$D$2:$D$1000="Agences et Après-vente"))*'Agences &amp; Après-vente'!$E$2:$E$1000))&gt;0,TEXT(SUMPRODUCT(MAX(('Agences &amp; Après-vente'!$A$2:$A$1000=$A429)*(('Agences &amp; Après-vente'!$D$2:$D$1000="Après-vente")+('Agences &amp; Après-vente'!$D$2:$D$1000="Agences et Après-vente"))*'Agences &amp; Après-vente'!$E$2:$E$1000)),"yyyy-mm-dd"),""))))))</f>
        <v/>
      </c>
      <c r="K429" s="131" t="str">
        <f aca="false">IF($U429="✓","✓",IF(ISNUMBER($U429),TEXT($U429,"yyyy-mm-dd"),IF($D429="Lisbonne","",IF($A429="","",IF(SUMPRODUCT((Evermont!$A$2:$A$1000=$A429)*(Evermont!$Q$2:$Q$1000="Terminé"))&gt;0,"✓",IF(SUMPRODUCT(MAX((Evermont!$A$2:$A$1000=$A429)*Evermont!$F$2:$F$1000))&gt;0,TEXT(SUMPRODUCT(MAX((Evermont!$A$2:$A$1000=$A429)*Evermont!$F$2:$F$1000)),"yyyy-mm-dd"),""))))))</f>
        <v/>
      </c>
      <c r="L429" s="131" t="str">
        <f aca="false">IF($A429="","",COUNTIF(E429:K429,"✓"))</f>
        <v/>
      </c>
      <c r="M429" s="131" t="str">
        <f aca="false">IF(B429="","","Active")</f>
        <v/>
      </c>
      <c r="W429" s="120" t="str">
        <f aca="false">IF($A429="","",IF($X429&lt;&gt;"",$X429,IFERROR(INDEX('Formation Initiale'!$B$2:$B$999,MATCH($A429,'Formation Initiale'!$A$2:$A$999,0)),"Général")))</f>
        <v/>
      </c>
    </row>
    <row r="430" customFormat="false" ht="15" hidden="true" customHeight="true" outlineLevel="0" collapsed="false">
      <c r="A430" s="142" t="str">
        <f aca="false">IF(B430="","","TR"&amp;TEXT(ROW()-1,"000"))</f>
        <v/>
      </c>
      <c r="E430" s="130" t="str">
        <f aca="false">IF($O430="✓","✓",IF(ISNUMBER($O430),TEXT($O430,"yyyy-mm-dd"),IF($A430="","",IF(SUMPRODUCT(('Formation Initiale'!$A$2:$A$999=$A430)*('Formation Initiale'!$R$2:$R$999="Terminé"))&gt;0,"✓",IF(SUMPRODUCT(MAX(('Formation Initiale'!$A$2:$A$999=$A430)*'Formation Initiale'!$G$2:$G$999))&gt;0,TEXT(SUMPRODUCT(MAX(('Formation Initiale'!$A$2:$A$999=$A430)*'Formation Initiale'!$G$2:$G$999)),"yyyy-mm-dd"),"")))))</f>
        <v/>
      </c>
      <c r="F430" s="131" t="str">
        <f aca="false">IF($P430="✓","✓",IF(ISNUMBER($P430),TEXT($P430,"yyyy-mm-dd"),IF($A430="","",IF($D430="Lisbonne","",IF(SUMPRODUCT(('Formation Initiale'!$A$2:$A$999=$A430)*('Formation Initiale'!$R$2:$R$999="Terminé"))&gt;0,"✓",IF(SUMPRODUCT(MAX(('Formation Initiale'!$A$2:$A$999=$A430)*'Formation Initiale'!$G$2:$G$999))&gt;0,TEXT(SUMPRODUCT(MAX(('Formation Initiale'!$A$2:$A$999=$A430)*'Formation Initiale'!$G$2:$G$999)),"yyyy-mm-dd"),""))))))</f>
        <v/>
      </c>
      <c r="G430" s="131" t="str">
        <f aca="false">IF($Q430="✓","✓",IF(ISNUMBER($Q430),TEXT($Q430,"yyyy-mm-dd"),IF($A430="","",IF(SUMPRODUCT(('Agences &amp; Après-vente'!$A$2:$A$1000=$A430)*(('Agences &amp; Après-vente'!$D$2:$D$1000="Agences")+('Agences &amp; Après-vente'!$D$2:$D$1000="Agences et Après-vente"))*('Agences &amp; Après-vente'!$I$2:$I$1000="DONE"))&gt;0,"✓",IF(SUMPRODUCT(MAX(('Agences &amp; Après-vente'!$A$2:$A$1000=$A430)*(('Agences &amp; Après-vente'!$D$2:$D$1000="Agences")+('Agences &amp; Après-vente'!$D$2:$D$1000="Agences et Après-vente"))*'Agences &amp; Après-vente'!$E$2:$E$1000))&gt;0,TEXT(SUMPRODUCT(MAX(('Agences &amp; Après-vente'!$A$2:$A$1000=$A430)*(('Agences &amp; Après-vente'!$D$2:$D$1000="Agences")+('Agences &amp; Après-vente'!$D$2:$D$1000="Agences et Après-vente"))*'Agences &amp; Après-vente'!$E$2:$E$1000)),"yyyy-mm-dd"),"")))))</f>
        <v/>
      </c>
      <c r="H430" s="131" t="str">
        <f aca="false">IF($R430="✓","✓",IF(ISNUMBER($R430),TEXT($R430,"yyyy-mm-dd"),IF($A430="","",IF($D430="Lisbonne","",IF(SUMPRODUCT(('Agences &amp; Après-vente'!$A$2:$A$1000=$A430)*(('Agences &amp; Après-vente'!$D$2:$D$1000="Agences")+('Agences &amp; Après-vente'!$D$2:$D$1000="Agences et Après-vente"))*('Agences &amp; Après-vente'!$I$2:$I$1000="DONE"))&gt;0,"✓",IF(SUMPRODUCT(MAX(('Agences &amp; Après-vente'!$A$2:$A$1000=$A430)*(('Agences &amp; Après-vente'!$D$2:$D$1000="Agences")+('Agences &amp; Après-vente'!$D$2:$D$1000="Agences et Après-vente"))*'Agences &amp; Après-vente'!$E$2:$E$1000))&gt;0,TEXT(SUMPRODUCT(MAX(('Agences &amp; Après-vente'!$A$2:$A$1000=$A430)*(('Agences &amp; Après-vente'!$D$2:$D$1000="Agences")+('Agences &amp; Après-vente'!$D$2:$D$1000="Agences et Après-vente"))*'Agences &amp; Après-vente'!$E$2:$E$1000)),"yyyy-mm-dd"),""))))))</f>
        <v/>
      </c>
      <c r="I430" s="131" t="str">
        <f aca="false">IF($S430="✓","✓",IF(ISNUMBER($S430),TEXT($S430,"yyyy-mm-dd"),IF($A430="","",IF(SUMPRODUCT(('Agences &amp; Après-vente'!$A$2:$A$1000=$A430)*(('Agences &amp; Après-vente'!$D$2:$D$1000="Après-vente")+('Agences &amp; Après-vente'!$D$2:$D$1000="Agences et Après-vente"))*('Agences &amp; Après-vente'!$I$2:$I$1000="DONE"))&gt;0,"✓",IF(SUMPRODUCT(MAX(('Agences &amp; Après-vente'!$A$2:$A$1000=$A430)*(('Agences &amp; Après-vente'!$D$2:$D$1000="Après-vente")+('Agences &amp; Après-vente'!$D$2:$D$1000="Agences et Après-vente"))*'Agences &amp; Après-vente'!$E$2:$E$1000))&gt;0,TEXT(SUMPRODUCT(MAX(('Agences &amp; Après-vente'!$A$2:$A$1000=$A430)*(('Agences &amp; Après-vente'!$D$2:$D$1000="Après-vente")+('Agences &amp; Après-vente'!$D$2:$D$1000="Agences et Après-vente"))*'Agences &amp; Après-vente'!$E$2:$E$1000)),"yyyy-mm-dd"),"")))))</f>
        <v/>
      </c>
      <c r="J430" s="131" t="str">
        <f aca="false">IF($T430="✓","✓",IF(ISNUMBER($T430),TEXT($T430,"yyyy-mm-dd"),IF($A430="","",IF($D430="Lisbonne","",IF(SUMPRODUCT(('Agences &amp; Après-vente'!$A$2:$A$1000=$A430)*(('Agences &amp; Après-vente'!$D$2:$D$1000="Après-vente")+('Agences &amp; Après-vente'!$D$2:$D$1000="Agences et Après-vente"))*('Agences &amp; Après-vente'!$I$2:$I$1000="DONE"))&gt;0,"✓",IF(SUMPRODUCT(MAX(('Agences &amp; Après-vente'!$A$2:$A$1000=$A430)*(('Agences &amp; Après-vente'!$D$2:$D$1000="Après-vente")+('Agences &amp; Après-vente'!$D$2:$D$1000="Agences et Après-vente"))*'Agences &amp; Après-vente'!$E$2:$E$1000))&gt;0,TEXT(SUMPRODUCT(MAX(('Agences &amp; Après-vente'!$A$2:$A$1000=$A430)*(('Agences &amp; Après-vente'!$D$2:$D$1000="Après-vente")+('Agences &amp; Après-vente'!$D$2:$D$1000="Agences et Après-vente"))*'Agences &amp; Après-vente'!$E$2:$E$1000)),"yyyy-mm-dd"),""))))))</f>
        <v/>
      </c>
      <c r="K430" s="131" t="str">
        <f aca="false">IF($U430="✓","✓",IF(ISNUMBER($U430),TEXT($U430,"yyyy-mm-dd"),IF($D430="Lisbonne","",IF($A430="","",IF(SUMPRODUCT((Evermont!$A$2:$A$1000=$A430)*(Evermont!$Q$2:$Q$1000="Terminé"))&gt;0,"✓",IF(SUMPRODUCT(MAX((Evermont!$A$2:$A$1000=$A430)*Evermont!$F$2:$F$1000))&gt;0,TEXT(SUMPRODUCT(MAX((Evermont!$A$2:$A$1000=$A430)*Evermont!$F$2:$F$1000)),"yyyy-mm-dd"),""))))))</f>
        <v/>
      </c>
      <c r="L430" s="131" t="str">
        <f aca="false">IF($A430="","",COUNTIF(E430:K430,"✓"))</f>
        <v/>
      </c>
      <c r="M430" s="131" t="str">
        <f aca="false">IF(B430="","","Active")</f>
        <v/>
      </c>
      <c r="W430" s="120" t="str">
        <f aca="false">IF($A430="","",IF($X430&lt;&gt;"",$X430,IFERROR(INDEX('Formation Initiale'!$B$2:$B$999,MATCH($A430,'Formation Initiale'!$A$2:$A$999,0)),"Général")))</f>
        <v/>
      </c>
    </row>
    <row r="431" customFormat="false" ht="15" hidden="true" customHeight="true" outlineLevel="0" collapsed="false">
      <c r="A431" s="142" t="str">
        <f aca="false">IF(B431="","","TR"&amp;TEXT(ROW()-1,"000"))</f>
        <v/>
      </c>
      <c r="E431" s="130" t="str">
        <f aca="false">IF($O431="✓","✓",IF(ISNUMBER($O431),TEXT($O431,"yyyy-mm-dd"),IF($A431="","",IF(SUMPRODUCT(('Formation Initiale'!$A$2:$A$999=$A431)*('Formation Initiale'!$R$2:$R$999="Terminé"))&gt;0,"✓",IF(SUMPRODUCT(MAX(('Formation Initiale'!$A$2:$A$999=$A431)*'Formation Initiale'!$G$2:$G$999))&gt;0,TEXT(SUMPRODUCT(MAX(('Formation Initiale'!$A$2:$A$999=$A431)*'Formation Initiale'!$G$2:$G$999)),"yyyy-mm-dd"),"")))))</f>
        <v/>
      </c>
      <c r="F431" s="131" t="str">
        <f aca="false">IF($P431="✓","✓",IF(ISNUMBER($P431),TEXT($P431,"yyyy-mm-dd"),IF($A431="","",IF($D431="Lisbonne","",IF(SUMPRODUCT(('Formation Initiale'!$A$2:$A$999=$A431)*('Formation Initiale'!$R$2:$R$999="Terminé"))&gt;0,"✓",IF(SUMPRODUCT(MAX(('Formation Initiale'!$A$2:$A$999=$A431)*'Formation Initiale'!$G$2:$G$999))&gt;0,TEXT(SUMPRODUCT(MAX(('Formation Initiale'!$A$2:$A$999=$A431)*'Formation Initiale'!$G$2:$G$999)),"yyyy-mm-dd"),""))))))</f>
        <v/>
      </c>
      <c r="G431" s="131" t="str">
        <f aca="false">IF($Q431="✓","✓",IF(ISNUMBER($Q431),TEXT($Q431,"yyyy-mm-dd"),IF($A431="","",IF(SUMPRODUCT(('Agences &amp; Après-vente'!$A$2:$A$1000=$A431)*(('Agences &amp; Après-vente'!$D$2:$D$1000="Agences")+('Agences &amp; Après-vente'!$D$2:$D$1000="Agences et Après-vente"))*('Agences &amp; Après-vente'!$I$2:$I$1000="DONE"))&gt;0,"✓",IF(SUMPRODUCT(MAX(('Agences &amp; Après-vente'!$A$2:$A$1000=$A431)*(('Agences &amp; Après-vente'!$D$2:$D$1000="Agences")+('Agences &amp; Après-vente'!$D$2:$D$1000="Agences et Après-vente"))*'Agences &amp; Après-vente'!$E$2:$E$1000))&gt;0,TEXT(SUMPRODUCT(MAX(('Agences &amp; Après-vente'!$A$2:$A$1000=$A431)*(('Agences &amp; Après-vente'!$D$2:$D$1000="Agences")+('Agences &amp; Après-vente'!$D$2:$D$1000="Agences et Après-vente"))*'Agences &amp; Après-vente'!$E$2:$E$1000)),"yyyy-mm-dd"),"")))))</f>
        <v/>
      </c>
      <c r="H431" s="131" t="str">
        <f aca="false">IF($R431="✓","✓",IF(ISNUMBER($R431),TEXT($R431,"yyyy-mm-dd"),IF($A431="","",IF($D431="Lisbonne","",IF(SUMPRODUCT(('Agences &amp; Après-vente'!$A$2:$A$1000=$A431)*(('Agences &amp; Après-vente'!$D$2:$D$1000="Agences")+('Agences &amp; Après-vente'!$D$2:$D$1000="Agences et Après-vente"))*('Agences &amp; Après-vente'!$I$2:$I$1000="DONE"))&gt;0,"✓",IF(SUMPRODUCT(MAX(('Agences &amp; Après-vente'!$A$2:$A$1000=$A431)*(('Agences &amp; Après-vente'!$D$2:$D$1000="Agences")+('Agences &amp; Après-vente'!$D$2:$D$1000="Agences et Après-vente"))*'Agences &amp; Après-vente'!$E$2:$E$1000))&gt;0,TEXT(SUMPRODUCT(MAX(('Agences &amp; Après-vente'!$A$2:$A$1000=$A431)*(('Agences &amp; Après-vente'!$D$2:$D$1000="Agences")+('Agences &amp; Après-vente'!$D$2:$D$1000="Agences et Après-vente"))*'Agences &amp; Après-vente'!$E$2:$E$1000)),"yyyy-mm-dd"),""))))))</f>
        <v/>
      </c>
      <c r="I431" s="131" t="str">
        <f aca="false">IF($S431="✓","✓",IF(ISNUMBER($S431),TEXT($S431,"yyyy-mm-dd"),IF($A431="","",IF(SUMPRODUCT(('Agences &amp; Après-vente'!$A$2:$A$1000=$A431)*(('Agences &amp; Après-vente'!$D$2:$D$1000="Après-vente")+('Agences &amp; Après-vente'!$D$2:$D$1000="Agences et Après-vente"))*('Agences &amp; Après-vente'!$I$2:$I$1000="DONE"))&gt;0,"✓",IF(SUMPRODUCT(MAX(('Agences &amp; Après-vente'!$A$2:$A$1000=$A431)*(('Agences &amp; Après-vente'!$D$2:$D$1000="Après-vente")+('Agences &amp; Après-vente'!$D$2:$D$1000="Agences et Après-vente"))*'Agences &amp; Après-vente'!$E$2:$E$1000))&gt;0,TEXT(SUMPRODUCT(MAX(('Agences &amp; Après-vente'!$A$2:$A$1000=$A431)*(('Agences &amp; Après-vente'!$D$2:$D$1000="Après-vente")+('Agences &amp; Après-vente'!$D$2:$D$1000="Agences et Après-vente"))*'Agences &amp; Après-vente'!$E$2:$E$1000)),"yyyy-mm-dd"),"")))))</f>
        <v/>
      </c>
      <c r="J431" s="131" t="str">
        <f aca="false">IF($T431="✓","✓",IF(ISNUMBER($T431),TEXT($T431,"yyyy-mm-dd"),IF($A431="","",IF($D431="Lisbonne","",IF(SUMPRODUCT(('Agences &amp; Après-vente'!$A$2:$A$1000=$A431)*(('Agences &amp; Après-vente'!$D$2:$D$1000="Après-vente")+('Agences &amp; Après-vente'!$D$2:$D$1000="Agences et Après-vente"))*('Agences &amp; Après-vente'!$I$2:$I$1000="DONE"))&gt;0,"✓",IF(SUMPRODUCT(MAX(('Agences &amp; Après-vente'!$A$2:$A$1000=$A431)*(('Agences &amp; Après-vente'!$D$2:$D$1000="Après-vente")+('Agences &amp; Après-vente'!$D$2:$D$1000="Agences et Après-vente"))*'Agences &amp; Après-vente'!$E$2:$E$1000))&gt;0,TEXT(SUMPRODUCT(MAX(('Agences &amp; Après-vente'!$A$2:$A$1000=$A431)*(('Agences &amp; Après-vente'!$D$2:$D$1000="Après-vente")+('Agences &amp; Après-vente'!$D$2:$D$1000="Agences et Après-vente"))*'Agences &amp; Après-vente'!$E$2:$E$1000)),"yyyy-mm-dd"),""))))))</f>
        <v/>
      </c>
      <c r="K431" s="131" t="str">
        <f aca="false">IF($U431="✓","✓",IF(ISNUMBER($U431),TEXT($U431,"yyyy-mm-dd"),IF($D431="Lisbonne","",IF($A431="","",IF(SUMPRODUCT((Evermont!$A$2:$A$1000=$A431)*(Evermont!$Q$2:$Q$1000="Terminé"))&gt;0,"✓",IF(SUMPRODUCT(MAX((Evermont!$A$2:$A$1000=$A431)*Evermont!$F$2:$F$1000))&gt;0,TEXT(SUMPRODUCT(MAX((Evermont!$A$2:$A$1000=$A431)*Evermont!$F$2:$F$1000)),"yyyy-mm-dd"),""))))))</f>
        <v/>
      </c>
      <c r="L431" s="131" t="str">
        <f aca="false">IF($A431="","",COUNTIF(E431:K431,"✓"))</f>
        <v/>
      </c>
      <c r="M431" s="131" t="str">
        <f aca="false">IF(B431="","","Active")</f>
        <v/>
      </c>
      <c r="W431" s="120" t="str">
        <f aca="false">IF($A431="","",IF($X431&lt;&gt;"",$X431,IFERROR(INDEX('Formation Initiale'!$B$2:$B$999,MATCH($A431,'Formation Initiale'!$A$2:$A$999,0)),"Général")))</f>
        <v/>
      </c>
    </row>
    <row r="432" customFormat="false" ht="15" hidden="true" customHeight="true" outlineLevel="0" collapsed="false">
      <c r="A432" s="142" t="str">
        <f aca="false">IF(B432="","","TR"&amp;TEXT(ROW()-1,"000"))</f>
        <v/>
      </c>
      <c r="E432" s="130" t="str">
        <f aca="false">IF($O432="✓","✓",IF(ISNUMBER($O432),TEXT($O432,"yyyy-mm-dd"),IF($A432="","",IF(SUMPRODUCT(('Formation Initiale'!$A$2:$A$999=$A432)*('Formation Initiale'!$R$2:$R$999="Terminé"))&gt;0,"✓",IF(SUMPRODUCT(MAX(('Formation Initiale'!$A$2:$A$999=$A432)*'Formation Initiale'!$G$2:$G$999))&gt;0,TEXT(SUMPRODUCT(MAX(('Formation Initiale'!$A$2:$A$999=$A432)*'Formation Initiale'!$G$2:$G$999)),"yyyy-mm-dd"),"")))))</f>
        <v/>
      </c>
      <c r="F432" s="131" t="str">
        <f aca="false">IF($P432="✓","✓",IF(ISNUMBER($P432),TEXT($P432,"yyyy-mm-dd"),IF($A432="","",IF($D432="Lisbonne","",IF(SUMPRODUCT(('Formation Initiale'!$A$2:$A$999=$A432)*('Formation Initiale'!$R$2:$R$999="Terminé"))&gt;0,"✓",IF(SUMPRODUCT(MAX(('Formation Initiale'!$A$2:$A$999=$A432)*'Formation Initiale'!$G$2:$G$999))&gt;0,TEXT(SUMPRODUCT(MAX(('Formation Initiale'!$A$2:$A$999=$A432)*'Formation Initiale'!$G$2:$G$999)),"yyyy-mm-dd"),""))))))</f>
        <v/>
      </c>
      <c r="G432" s="131" t="str">
        <f aca="false">IF($Q432="✓","✓",IF(ISNUMBER($Q432),TEXT($Q432,"yyyy-mm-dd"),IF($A432="","",IF(SUMPRODUCT(('Agences &amp; Après-vente'!$A$2:$A$1000=$A432)*(('Agences &amp; Après-vente'!$D$2:$D$1000="Agences")+('Agences &amp; Après-vente'!$D$2:$D$1000="Agences et Après-vente"))*('Agences &amp; Après-vente'!$I$2:$I$1000="DONE"))&gt;0,"✓",IF(SUMPRODUCT(MAX(('Agences &amp; Après-vente'!$A$2:$A$1000=$A432)*(('Agences &amp; Après-vente'!$D$2:$D$1000="Agences")+('Agences &amp; Après-vente'!$D$2:$D$1000="Agences et Après-vente"))*'Agences &amp; Après-vente'!$E$2:$E$1000))&gt;0,TEXT(SUMPRODUCT(MAX(('Agences &amp; Après-vente'!$A$2:$A$1000=$A432)*(('Agences &amp; Après-vente'!$D$2:$D$1000="Agences")+('Agences &amp; Après-vente'!$D$2:$D$1000="Agences et Après-vente"))*'Agences &amp; Après-vente'!$E$2:$E$1000)),"yyyy-mm-dd"),"")))))</f>
        <v/>
      </c>
      <c r="H432" s="131" t="str">
        <f aca="false">IF($R432="✓","✓",IF(ISNUMBER($R432),TEXT($R432,"yyyy-mm-dd"),IF($A432="","",IF($D432="Lisbonne","",IF(SUMPRODUCT(('Agences &amp; Après-vente'!$A$2:$A$1000=$A432)*(('Agences &amp; Après-vente'!$D$2:$D$1000="Agences")+('Agences &amp; Après-vente'!$D$2:$D$1000="Agences et Après-vente"))*('Agences &amp; Après-vente'!$I$2:$I$1000="DONE"))&gt;0,"✓",IF(SUMPRODUCT(MAX(('Agences &amp; Après-vente'!$A$2:$A$1000=$A432)*(('Agences &amp; Après-vente'!$D$2:$D$1000="Agences")+('Agences &amp; Après-vente'!$D$2:$D$1000="Agences et Après-vente"))*'Agences &amp; Après-vente'!$E$2:$E$1000))&gt;0,TEXT(SUMPRODUCT(MAX(('Agences &amp; Après-vente'!$A$2:$A$1000=$A432)*(('Agences &amp; Après-vente'!$D$2:$D$1000="Agences")+('Agences &amp; Après-vente'!$D$2:$D$1000="Agences et Après-vente"))*'Agences &amp; Après-vente'!$E$2:$E$1000)),"yyyy-mm-dd"),""))))))</f>
        <v/>
      </c>
      <c r="I432" s="131" t="str">
        <f aca="false">IF($S432="✓","✓",IF(ISNUMBER($S432),TEXT($S432,"yyyy-mm-dd"),IF($A432="","",IF(SUMPRODUCT(('Agences &amp; Après-vente'!$A$2:$A$1000=$A432)*(('Agences &amp; Après-vente'!$D$2:$D$1000="Après-vente")+('Agences &amp; Après-vente'!$D$2:$D$1000="Agences et Après-vente"))*('Agences &amp; Après-vente'!$I$2:$I$1000="DONE"))&gt;0,"✓",IF(SUMPRODUCT(MAX(('Agences &amp; Après-vente'!$A$2:$A$1000=$A432)*(('Agences &amp; Après-vente'!$D$2:$D$1000="Après-vente")+('Agences &amp; Après-vente'!$D$2:$D$1000="Agences et Après-vente"))*'Agences &amp; Après-vente'!$E$2:$E$1000))&gt;0,TEXT(SUMPRODUCT(MAX(('Agences &amp; Après-vente'!$A$2:$A$1000=$A432)*(('Agences &amp; Après-vente'!$D$2:$D$1000="Après-vente")+('Agences &amp; Après-vente'!$D$2:$D$1000="Agences et Après-vente"))*'Agences &amp; Après-vente'!$E$2:$E$1000)),"yyyy-mm-dd"),"")))))</f>
        <v/>
      </c>
      <c r="J432" s="131" t="str">
        <f aca="false">IF($T432="✓","✓",IF(ISNUMBER($T432),TEXT($T432,"yyyy-mm-dd"),IF($A432="","",IF($D432="Lisbonne","",IF(SUMPRODUCT(('Agences &amp; Après-vente'!$A$2:$A$1000=$A432)*(('Agences &amp; Après-vente'!$D$2:$D$1000="Après-vente")+('Agences &amp; Après-vente'!$D$2:$D$1000="Agences et Après-vente"))*('Agences &amp; Après-vente'!$I$2:$I$1000="DONE"))&gt;0,"✓",IF(SUMPRODUCT(MAX(('Agences &amp; Après-vente'!$A$2:$A$1000=$A432)*(('Agences &amp; Après-vente'!$D$2:$D$1000="Après-vente")+('Agences &amp; Après-vente'!$D$2:$D$1000="Agences et Après-vente"))*'Agences &amp; Après-vente'!$E$2:$E$1000))&gt;0,TEXT(SUMPRODUCT(MAX(('Agences &amp; Après-vente'!$A$2:$A$1000=$A432)*(('Agences &amp; Après-vente'!$D$2:$D$1000="Après-vente")+('Agences &amp; Après-vente'!$D$2:$D$1000="Agences et Après-vente"))*'Agences &amp; Après-vente'!$E$2:$E$1000)),"yyyy-mm-dd"),""))))))</f>
        <v/>
      </c>
      <c r="K432" s="131" t="str">
        <f aca="false">IF($U432="✓","✓",IF(ISNUMBER($U432),TEXT($U432,"yyyy-mm-dd"),IF($D432="Lisbonne","",IF($A432="","",IF(SUMPRODUCT((Evermont!$A$2:$A$1000=$A432)*(Evermont!$Q$2:$Q$1000="Terminé"))&gt;0,"✓",IF(SUMPRODUCT(MAX((Evermont!$A$2:$A$1000=$A432)*Evermont!$F$2:$F$1000))&gt;0,TEXT(SUMPRODUCT(MAX((Evermont!$A$2:$A$1000=$A432)*Evermont!$F$2:$F$1000)),"yyyy-mm-dd"),""))))))</f>
        <v/>
      </c>
      <c r="L432" s="131" t="str">
        <f aca="false">IF($A432="","",COUNTIF(E432:K432,"✓"))</f>
        <v/>
      </c>
      <c r="M432" s="131" t="str">
        <f aca="false">IF(B432="","","Active")</f>
        <v/>
      </c>
      <c r="W432" s="120" t="str">
        <f aca="false">IF($A432="","",IF($X432&lt;&gt;"",$X432,IFERROR(INDEX('Formation Initiale'!$B$2:$B$999,MATCH($A432,'Formation Initiale'!$A$2:$A$999,0)),"Général")))</f>
        <v/>
      </c>
    </row>
    <row r="433" customFormat="false" ht="15" hidden="true" customHeight="true" outlineLevel="0" collapsed="false">
      <c r="A433" s="142" t="str">
        <f aca="false">IF(B433="","","TR"&amp;TEXT(ROW()-1,"000"))</f>
        <v/>
      </c>
      <c r="E433" s="130" t="str">
        <f aca="false">IF($O433="✓","✓",IF(ISNUMBER($O433),TEXT($O433,"yyyy-mm-dd"),IF($A433="","",IF(SUMPRODUCT(('Formation Initiale'!$A$2:$A$999=$A433)*('Formation Initiale'!$R$2:$R$999="Terminé"))&gt;0,"✓",IF(SUMPRODUCT(MAX(('Formation Initiale'!$A$2:$A$999=$A433)*'Formation Initiale'!$G$2:$G$999))&gt;0,TEXT(SUMPRODUCT(MAX(('Formation Initiale'!$A$2:$A$999=$A433)*'Formation Initiale'!$G$2:$G$999)),"yyyy-mm-dd"),"")))))</f>
        <v/>
      </c>
      <c r="F433" s="131" t="str">
        <f aca="false">IF($P433="✓","✓",IF(ISNUMBER($P433),TEXT($P433,"yyyy-mm-dd"),IF($A433="","",IF($D433="Lisbonne","",IF(SUMPRODUCT(('Formation Initiale'!$A$2:$A$999=$A433)*('Formation Initiale'!$R$2:$R$999="Terminé"))&gt;0,"✓",IF(SUMPRODUCT(MAX(('Formation Initiale'!$A$2:$A$999=$A433)*'Formation Initiale'!$G$2:$G$999))&gt;0,TEXT(SUMPRODUCT(MAX(('Formation Initiale'!$A$2:$A$999=$A433)*'Formation Initiale'!$G$2:$G$999)),"yyyy-mm-dd"),""))))))</f>
        <v/>
      </c>
      <c r="G433" s="131" t="str">
        <f aca="false">IF($Q433="✓","✓",IF(ISNUMBER($Q433),TEXT($Q433,"yyyy-mm-dd"),IF($A433="","",IF(SUMPRODUCT(('Agences &amp; Après-vente'!$A$2:$A$1000=$A433)*(('Agences &amp; Après-vente'!$D$2:$D$1000="Agences")+('Agences &amp; Après-vente'!$D$2:$D$1000="Agences et Après-vente"))*('Agences &amp; Après-vente'!$I$2:$I$1000="DONE"))&gt;0,"✓",IF(SUMPRODUCT(MAX(('Agences &amp; Après-vente'!$A$2:$A$1000=$A433)*(('Agences &amp; Après-vente'!$D$2:$D$1000="Agences")+('Agences &amp; Après-vente'!$D$2:$D$1000="Agences et Après-vente"))*'Agences &amp; Après-vente'!$E$2:$E$1000))&gt;0,TEXT(SUMPRODUCT(MAX(('Agences &amp; Après-vente'!$A$2:$A$1000=$A433)*(('Agences &amp; Après-vente'!$D$2:$D$1000="Agences")+('Agences &amp; Après-vente'!$D$2:$D$1000="Agences et Après-vente"))*'Agences &amp; Après-vente'!$E$2:$E$1000)),"yyyy-mm-dd"),"")))))</f>
        <v/>
      </c>
      <c r="H433" s="131" t="str">
        <f aca="false">IF($R433="✓","✓",IF(ISNUMBER($R433),TEXT($R433,"yyyy-mm-dd"),IF($A433="","",IF($D433="Lisbonne","",IF(SUMPRODUCT(('Agences &amp; Après-vente'!$A$2:$A$1000=$A433)*(('Agences &amp; Après-vente'!$D$2:$D$1000="Agences")+('Agences &amp; Après-vente'!$D$2:$D$1000="Agences et Après-vente"))*('Agences &amp; Après-vente'!$I$2:$I$1000="DONE"))&gt;0,"✓",IF(SUMPRODUCT(MAX(('Agences &amp; Après-vente'!$A$2:$A$1000=$A433)*(('Agences &amp; Après-vente'!$D$2:$D$1000="Agences")+('Agences &amp; Après-vente'!$D$2:$D$1000="Agences et Après-vente"))*'Agences &amp; Après-vente'!$E$2:$E$1000))&gt;0,TEXT(SUMPRODUCT(MAX(('Agences &amp; Après-vente'!$A$2:$A$1000=$A433)*(('Agences &amp; Après-vente'!$D$2:$D$1000="Agences")+('Agences &amp; Après-vente'!$D$2:$D$1000="Agences et Après-vente"))*'Agences &amp; Après-vente'!$E$2:$E$1000)),"yyyy-mm-dd"),""))))))</f>
        <v/>
      </c>
      <c r="I433" s="131" t="str">
        <f aca="false">IF($S433="✓","✓",IF(ISNUMBER($S433),TEXT($S433,"yyyy-mm-dd"),IF($A433="","",IF(SUMPRODUCT(('Agences &amp; Après-vente'!$A$2:$A$1000=$A433)*(('Agences &amp; Après-vente'!$D$2:$D$1000="Après-vente")+('Agences &amp; Après-vente'!$D$2:$D$1000="Agences et Après-vente"))*('Agences &amp; Après-vente'!$I$2:$I$1000="DONE"))&gt;0,"✓",IF(SUMPRODUCT(MAX(('Agences &amp; Après-vente'!$A$2:$A$1000=$A433)*(('Agences &amp; Après-vente'!$D$2:$D$1000="Après-vente")+('Agences &amp; Après-vente'!$D$2:$D$1000="Agences et Après-vente"))*'Agences &amp; Après-vente'!$E$2:$E$1000))&gt;0,TEXT(SUMPRODUCT(MAX(('Agences &amp; Après-vente'!$A$2:$A$1000=$A433)*(('Agences &amp; Après-vente'!$D$2:$D$1000="Après-vente")+('Agences &amp; Après-vente'!$D$2:$D$1000="Agences et Après-vente"))*'Agences &amp; Après-vente'!$E$2:$E$1000)),"yyyy-mm-dd"),"")))))</f>
        <v/>
      </c>
      <c r="J433" s="131" t="str">
        <f aca="false">IF($T433="✓","✓",IF(ISNUMBER($T433),TEXT($T433,"yyyy-mm-dd"),IF($A433="","",IF($D433="Lisbonne","",IF(SUMPRODUCT(('Agences &amp; Après-vente'!$A$2:$A$1000=$A433)*(('Agences &amp; Après-vente'!$D$2:$D$1000="Après-vente")+('Agences &amp; Après-vente'!$D$2:$D$1000="Agences et Après-vente"))*('Agences &amp; Après-vente'!$I$2:$I$1000="DONE"))&gt;0,"✓",IF(SUMPRODUCT(MAX(('Agences &amp; Après-vente'!$A$2:$A$1000=$A433)*(('Agences &amp; Après-vente'!$D$2:$D$1000="Après-vente")+('Agences &amp; Après-vente'!$D$2:$D$1000="Agences et Après-vente"))*'Agences &amp; Après-vente'!$E$2:$E$1000))&gt;0,TEXT(SUMPRODUCT(MAX(('Agences &amp; Après-vente'!$A$2:$A$1000=$A433)*(('Agences &amp; Après-vente'!$D$2:$D$1000="Après-vente")+('Agences &amp; Après-vente'!$D$2:$D$1000="Agences et Après-vente"))*'Agences &amp; Après-vente'!$E$2:$E$1000)),"yyyy-mm-dd"),""))))))</f>
        <v/>
      </c>
      <c r="K433" s="131" t="str">
        <f aca="false">IF($U433="✓","✓",IF(ISNUMBER($U433),TEXT($U433,"yyyy-mm-dd"),IF($D433="Lisbonne","",IF($A433="","",IF(SUMPRODUCT((Evermont!$A$2:$A$1000=$A433)*(Evermont!$Q$2:$Q$1000="Terminé"))&gt;0,"✓",IF(SUMPRODUCT(MAX((Evermont!$A$2:$A$1000=$A433)*Evermont!$F$2:$F$1000))&gt;0,TEXT(SUMPRODUCT(MAX((Evermont!$A$2:$A$1000=$A433)*Evermont!$F$2:$F$1000)),"yyyy-mm-dd"),""))))))</f>
        <v/>
      </c>
      <c r="L433" s="131" t="str">
        <f aca="false">IF($A433="","",COUNTIF(E433:K433,"✓"))</f>
        <v/>
      </c>
      <c r="M433" s="131" t="str">
        <f aca="false">IF(B433="","","Active")</f>
        <v/>
      </c>
      <c r="W433" s="120" t="str">
        <f aca="false">IF($A433="","",IF($X433&lt;&gt;"",$X433,IFERROR(INDEX('Formation Initiale'!$B$2:$B$999,MATCH($A433,'Formation Initiale'!$A$2:$A$999,0)),"Général")))</f>
        <v/>
      </c>
    </row>
    <row r="434" customFormat="false" ht="15" hidden="true" customHeight="true" outlineLevel="0" collapsed="false">
      <c r="A434" s="142" t="str">
        <f aca="false">IF(B434="","","TR"&amp;TEXT(ROW()-1,"000"))</f>
        <v/>
      </c>
      <c r="E434" s="130" t="str">
        <f aca="false">IF($O434="✓","✓",IF(ISNUMBER($O434),TEXT($O434,"yyyy-mm-dd"),IF($A434="","",IF(SUMPRODUCT(('Formation Initiale'!$A$2:$A$999=$A434)*('Formation Initiale'!$R$2:$R$999="Terminé"))&gt;0,"✓",IF(SUMPRODUCT(MAX(('Formation Initiale'!$A$2:$A$999=$A434)*'Formation Initiale'!$G$2:$G$999))&gt;0,TEXT(SUMPRODUCT(MAX(('Formation Initiale'!$A$2:$A$999=$A434)*'Formation Initiale'!$G$2:$G$999)),"yyyy-mm-dd"),"")))))</f>
        <v/>
      </c>
      <c r="F434" s="131" t="str">
        <f aca="false">IF($P434="✓","✓",IF(ISNUMBER($P434),TEXT($P434,"yyyy-mm-dd"),IF($A434="","",IF($D434="Lisbonne","",IF(SUMPRODUCT(('Formation Initiale'!$A$2:$A$999=$A434)*('Formation Initiale'!$R$2:$R$999="Terminé"))&gt;0,"✓",IF(SUMPRODUCT(MAX(('Formation Initiale'!$A$2:$A$999=$A434)*'Formation Initiale'!$G$2:$G$999))&gt;0,TEXT(SUMPRODUCT(MAX(('Formation Initiale'!$A$2:$A$999=$A434)*'Formation Initiale'!$G$2:$G$999)),"yyyy-mm-dd"),""))))))</f>
        <v/>
      </c>
      <c r="G434" s="131" t="str">
        <f aca="false">IF($Q434="✓","✓",IF(ISNUMBER($Q434),TEXT($Q434,"yyyy-mm-dd"),IF($A434="","",IF(SUMPRODUCT(('Agences &amp; Après-vente'!$A$2:$A$1000=$A434)*(('Agences &amp; Après-vente'!$D$2:$D$1000="Agences")+('Agences &amp; Après-vente'!$D$2:$D$1000="Agences et Après-vente"))*('Agences &amp; Après-vente'!$I$2:$I$1000="DONE"))&gt;0,"✓",IF(SUMPRODUCT(MAX(('Agences &amp; Après-vente'!$A$2:$A$1000=$A434)*(('Agences &amp; Après-vente'!$D$2:$D$1000="Agences")+('Agences &amp; Après-vente'!$D$2:$D$1000="Agences et Après-vente"))*'Agences &amp; Après-vente'!$E$2:$E$1000))&gt;0,TEXT(SUMPRODUCT(MAX(('Agences &amp; Après-vente'!$A$2:$A$1000=$A434)*(('Agences &amp; Après-vente'!$D$2:$D$1000="Agences")+('Agences &amp; Après-vente'!$D$2:$D$1000="Agences et Après-vente"))*'Agences &amp; Après-vente'!$E$2:$E$1000)),"yyyy-mm-dd"),"")))))</f>
        <v/>
      </c>
      <c r="H434" s="131" t="str">
        <f aca="false">IF($R434="✓","✓",IF(ISNUMBER($R434),TEXT($R434,"yyyy-mm-dd"),IF($A434="","",IF($D434="Lisbonne","",IF(SUMPRODUCT(('Agences &amp; Après-vente'!$A$2:$A$1000=$A434)*(('Agences &amp; Après-vente'!$D$2:$D$1000="Agences")+('Agences &amp; Après-vente'!$D$2:$D$1000="Agences et Après-vente"))*('Agences &amp; Après-vente'!$I$2:$I$1000="DONE"))&gt;0,"✓",IF(SUMPRODUCT(MAX(('Agences &amp; Après-vente'!$A$2:$A$1000=$A434)*(('Agences &amp; Après-vente'!$D$2:$D$1000="Agences")+('Agences &amp; Après-vente'!$D$2:$D$1000="Agences et Après-vente"))*'Agences &amp; Après-vente'!$E$2:$E$1000))&gt;0,TEXT(SUMPRODUCT(MAX(('Agences &amp; Après-vente'!$A$2:$A$1000=$A434)*(('Agences &amp; Après-vente'!$D$2:$D$1000="Agences")+('Agences &amp; Après-vente'!$D$2:$D$1000="Agences et Après-vente"))*'Agences &amp; Après-vente'!$E$2:$E$1000)),"yyyy-mm-dd"),""))))))</f>
        <v/>
      </c>
      <c r="I434" s="131" t="str">
        <f aca="false">IF($S434="✓","✓",IF(ISNUMBER($S434),TEXT($S434,"yyyy-mm-dd"),IF($A434="","",IF(SUMPRODUCT(('Agences &amp; Après-vente'!$A$2:$A$1000=$A434)*(('Agences &amp; Après-vente'!$D$2:$D$1000="Après-vente")+('Agences &amp; Après-vente'!$D$2:$D$1000="Agences et Après-vente"))*('Agences &amp; Après-vente'!$I$2:$I$1000="DONE"))&gt;0,"✓",IF(SUMPRODUCT(MAX(('Agences &amp; Après-vente'!$A$2:$A$1000=$A434)*(('Agences &amp; Après-vente'!$D$2:$D$1000="Après-vente")+('Agences &amp; Après-vente'!$D$2:$D$1000="Agences et Après-vente"))*'Agences &amp; Après-vente'!$E$2:$E$1000))&gt;0,TEXT(SUMPRODUCT(MAX(('Agences &amp; Après-vente'!$A$2:$A$1000=$A434)*(('Agences &amp; Après-vente'!$D$2:$D$1000="Après-vente")+('Agences &amp; Après-vente'!$D$2:$D$1000="Agences et Après-vente"))*'Agences &amp; Après-vente'!$E$2:$E$1000)),"yyyy-mm-dd"),"")))))</f>
        <v/>
      </c>
      <c r="J434" s="131" t="str">
        <f aca="false">IF($T434="✓","✓",IF(ISNUMBER($T434),TEXT($T434,"yyyy-mm-dd"),IF($A434="","",IF($D434="Lisbonne","",IF(SUMPRODUCT(('Agences &amp; Après-vente'!$A$2:$A$1000=$A434)*(('Agences &amp; Après-vente'!$D$2:$D$1000="Après-vente")+('Agences &amp; Après-vente'!$D$2:$D$1000="Agences et Après-vente"))*('Agences &amp; Après-vente'!$I$2:$I$1000="DONE"))&gt;0,"✓",IF(SUMPRODUCT(MAX(('Agences &amp; Après-vente'!$A$2:$A$1000=$A434)*(('Agences &amp; Après-vente'!$D$2:$D$1000="Après-vente")+('Agences &amp; Après-vente'!$D$2:$D$1000="Agences et Après-vente"))*'Agences &amp; Après-vente'!$E$2:$E$1000))&gt;0,TEXT(SUMPRODUCT(MAX(('Agences &amp; Après-vente'!$A$2:$A$1000=$A434)*(('Agences &amp; Après-vente'!$D$2:$D$1000="Après-vente")+('Agences &amp; Après-vente'!$D$2:$D$1000="Agences et Après-vente"))*'Agences &amp; Après-vente'!$E$2:$E$1000)),"yyyy-mm-dd"),""))))))</f>
        <v/>
      </c>
      <c r="K434" s="131" t="str">
        <f aca="false">IF($U434="✓","✓",IF(ISNUMBER($U434),TEXT($U434,"yyyy-mm-dd"),IF($D434="Lisbonne","",IF($A434="","",IF(SUMPRODUCT((Evermont!$A$2:$A$1000=$A434)*(Evermont!$Q$2:$Q$1000="Terminé"))&gt;0,"✓",IF(SUMPRODUCT(MAX((Evermont!$A$2:$A$1000=$A434)*Evermont!$F$2:$F$1000))&gt;0,TEXT(SUMPRODUCT(MAX((Evermont!$A$2:$A$1000=$A434)*Evermont!$F$2:$F$1000)),"yyyy-mm-dd"),""))))))</f>
        <v/>
      </c>
      <c r="L434" s="131" t="str">
        <f aca="false">IF($A434="","",COUNTIF(E434:K434,"✓"))</f>
        <v/>
      </c>
      <c r="M434" s="131" t="str">
        <f aca="false">IF(B434="","","Active")</f>
        <v/>
      </c>
      <c r="W434" s="120" t="str">
        <f aca="false">IF($A434="","",IF($X434&lt;&gt;"",$X434,IFERROR(INDEX('Formation Initiale'!$B$2:$B$999,MATCH($A434,'Formation Initiale'!$A$2:$A$999,0)),"Général")))</f>
        <v/>
      </c>
    </row>
    <row r="435" customFormat="false" ht="15" hidden="true" customHeight="true" outlineLevel="0" collapsed="false">
      <c r="A435" s="142" t="str">
        <f aca="false">IF(B435="","","TR"&amp;TEXT(ROW()-1,"000"))</f>
        <v/>
      </c>
      <c r="E435" s="130" t="str">
        <f aca="false">IF($O435="✓","✓",IF(ISNUMBER($O435),TEXT($O435,"yyyy-mm-dd"),IF($A435="","",IF(SUMPRODUCT(('Formation Initiale'!$A$2:$A$999=$A435)*('Formation Initiale'!$R$2:$R$999="Terminé"))&gt;0,"✓",IF(SUMPRODUCT(MAX(('Formation Initiale'!$A$2:$A$999=$A435)*'Formation Initiale'!$G$2:$G$999))&gt;0,TEXT(SUMPRODUCT(MAX(('Formation Initiale'!$A$2:$A$999=$A435)*'Formation Initiale'!$G$2:$G$999)),"yyyy-mm-dd"),"")))))</f>
        <v/>
      </c>
      <c r="F435" s="131" t="str">
        <f aca="false">IF($P435="✓","✓",IF(ISNUMBER($P435),TEXT($P435,"yyyy-mm-dd"),IF($A435="","",IF($D435="Lisbonne","",IF(SUMPRODUCT(('Formation Initiale'!$A$2:$A$999=$A435)*('Formation Initiale'!$R$2:$R$999="Terminé"))&gt;0,"✓",IF(SUMPRODUCT(MAX(('Formation Initiale'!$A$2:$A$999=$A435)*'Formation Initiale'!$G$2:$G$999))&gt;0,TEXT(SUMPRODUCT(MAX(('Formation Initiale'!$A$2:$A$999=$A435)*'Formation Initiale'!$G$2:$G$999)),"yyyy-mm-dd"),""))))))</f>
        <v/>
      </c>
      <c r="G435" s="131" t="str">
        <f aca="false">IF($Q435="✓","✓",IF(ISNUMBER($Q435),TEXT($Q435,"yyyy-mm-dd"),IF($A435="","",IF(SUMPRODUCT(('Agences &amp; Après-vente'!$A$2:$A$1000=$A435)*(('Agences &amp; Après-vente'!$D$2:$D$1000="Agences")+('Agences &amp; Après-vente'!$D$2:$D$1000="Agences et Après-vente"))*('Agences &amp; Après-vente'!$I$2:$I$1000="DONE"))&gt;0,"✓",IF(SUMPRODUCT(MAX(('Agences &amp; Après-vente'!$A$2:$A$1000=$A435)*(('Agences &amp; Après-vente'!$D$2:$D$1000="Agences")+('Agences &amp; Après-vente'!$D$2:$D$1000="Agences et Après-vente"))*'Agences &amp; Après-vente'!$E$2:$E$1000))&gt;0,TEXT(SUMPRODUCT(MAX(('Agences &amp; Après-vente'!$A$2:$A$1000=$A435)*(('Agences &amp; Après-vente'!$D$2:$D$1000="Agences")+('Agences &amp; Après-vente'!$D$2:$D$1000="Agences et Après-vente"))*'Agences &amp; Après-vente'!$E$2:$E$1000)),"yyyy-mm-dd"),"")))))</f>
        <v/>
      </c>
      <c r="H435" s="131" t="str">
        <f aca="false">IF($R435="✓","✓",IF(ISNUMBER($R435),TEXT($R435,"yyyy-mm-dd"),IF($A435="","",IF($D435="Lisbonne","",IF(SUMPRODUCT(('Agences &amp; Après-vente'!$A$2:$A$1000=$A435)*(('Agences &amp; Après-vente'!$D$2:$D$1000="Agences")+('Agences &amp; Après-vente'!$D$2:$D$1000="Agences et Après-vente"))*('Agences &amp; Après-vente'!$I$2:$I$1000="DONE"))&gt;0,"✓",IF(SUMPRODUCT(MAX(('Agences &amp; Après-vente'!$A$2:$A$1000=$A435)*(('Agences &amp; Après-vente'!$D$2:$D$1000="Agences")+('Agences &amp; Après-vente'!$D$2:$D$1000="Agences et Après-vente"))*'Agences &amp; Après-vente'!$E$2:$E$1000))&gt;0,TEXT(SUMPRODUCT(MAX(('Agences &amp; Après-vente'!$A$2:$A$1000=$A435)*(('Agences &amp; Après-vente'!$D$2:$D$1000="Agences")+('Agences &amp; Après-vente'!$D$2:$D$1000="Agences et Après-vente"))*'Agences &amp; Après-vente'!$E$2:$E$1000)),"yyyy-mm-dd"),""))))))</f>
        <v/>
      </c>
      <c r="I435" s="131" t="str">
        <f aca="false">IF($S435="✓","✓",IF(ISNUMBER($S435),TEXT($S435,"yyyy-mm-dd"),IF($A435="","",IF(SUMPRODUCT(('Agences &amp; Après-vente'!$A$2:$A$1000=$A435)*(('Agences &amp; Après-vente'!$D$2:$D$1000="Après-vente")+('Agences &amp; Après-vente'!$D$2:$D$1000="Agences et Après-vente"))*('Agences &amp; Après-vente'!$I$2:$I$1000="DONE"))&gt;0,"✓",IF(SUMPRODUCT(MAX(('Agences &amp; Après-vente'!$A$2:$A$1000=$A435)*(('Agences &amp; Après-vente'!$D$2:$D$1000="Après-vente")+('Agences &amp; Après-vente'!$D$2:$D$1000="Agences et Après-vente"))*'Agences &amp; Après-vente'!$E$2:$E$1000))&gt;0,TEXT(SUMPRODUCT(MAX(('Agences &amp; Après-vente'!$A$2:$A$1000=$A435)*(('Agences &amp; Après-vente'!$D$2:$D$1000="Après-vente")+('Agences &amp; Après-vente'!$D$2:$D$1000="Agences et Après-vente"))*'Agences &amp; Après-vente'!$E$2:$E$1000)),"yyyy-mm-dd"),"")))))</f>
        <v/>
      </c>
      <c r="J435" s="131" t="str">
        <f aca="false">IF($T435="✓","✓",IF(ISNUMBER($T435),TEXT($T435,"yyyy-mm-dd"),IF($A435="","",IF($D435="Lisbonne","",IF(SUMPRODUCT(('Agences &amp; Après-vente'!$A$2:$A$1000=$A435)*(('Agences &amp; Après-vente'!$D$2:$D$1000="Après-vente")+('Agences &amp; Après-vente'!$D$2:$D$1000="Agences et Après-vente"))*('Agences &amp; Après-vente'!$I$2:$I$1000="DONE"))&gt;0,"✓",IF(SUMPRODUCT(MAX(('Agences &amp; Après-vente'!$A$2:$A$1000=$A435)*(('Agences &amp; Après-vente'!$D$2:$D$1000="Après-vente")+('Agences &amp; Après-vente'!$D$2:$D$1000="Agences et Après-vente"))*'Agences &amp; Après-vente'!$E$2:$E$1000))&gt;0,TEXT(SUMPRODUCT(MAX(('Agences &amp; Après-vente'!$A$2:$A$1000=$A435)*(('Agences &amp; Après-vente'!$D$2:$D$1000="Après-vente")+('Agences &amp; Après-vente'!$D$2:$D$1000="Agences et Après-vente"))*'Agences &amp; Après-vente'!$E$2:$E$1000)),"yyyy-mm-dd"),""))))))</f>
        <v/>
      </c>
      <c r="K435" s="131" t="str">
        <f aca="false">IF($U435="✓","✓",IF(ISNUMBER($U435),TEXT($U435,"yyyy-mm-dd"),IF($D435="Lisbonne","",IF($A435="","",IF(SUMPRODUCT((Evermont!$A$2:$A$1000=$A435)*(Evermont!$Q$2:$Q$1000="Terminé"))&gt;0,"✓",IF(SUMPRODUCT(MAX((Evermont!$A$2:$A$1000=$A435)*Evermont!$F$2:$F$1000))&gt;0,TEXT(SUMPRODUCT(MAX((Evermont!$A$2:$A$1000=$A435)*Evermont!$F$2:$F$1000)),"yyyy-mm-dd"),""))))))</f>
        <v/>
      </c>
      <c r="L435" s="131" t="str">
        <f aca="false">IF($A435="","",COUNTIF(E435:K435,"✓"))</f>
        <v/>
      </c>
      <c r="M435" s="131" t="str">
        <f aca="false">IF(B435="","","Active")</f>
        <v/>
      </c>
      <c r="W435" s="120" t="str">
        <f aca="false">IF($A435="","",IF($X435&lt;&gt;"",$X435,IFERROR(INDEX('Formation Initiale'!$B$2:$B$999,MATCH($A435,'Formation Initiale'!$A$2:$A$999,0)),"Général")))</f>
        <v/>
      </c>
    </row>
    <row r="436" customFormat="false" ht="15" hidden="true" customHeight="true" outlineLevel="0" collapsed="false">
      <c r="A436" s="142" t="str">
        <f aca="false">IF(B436="","","TR"&amp;TEXT(ROW()-1,"000"))</f>
        <v/>
      </c>
      <c r="E436" s="130" t="str">
        <f aca="false">IF($O436="✓","✓",IF(ISNUMBER($O436),TEXT($O436,"yyyy-mm-dd"),IF($A436="","",IF(SUMPRODUCT(('Formation Initiale'!$A$2:$A$999=$A436)*('Formation Initiale'!$R$2:$R$999="Terminé"))&gt;0,"✓",IF(SUMPRODUCT(MAX(('Formation Initiale'!$A$2:$A$999=$A436)*'Formation Initiale'!$G$2:$G$999))&gt;0,TEXT(SUMPRODUCT(MAX(('Formation Initiale'!$A$2:$A$999=$A436)*'Formation Initiale'!$G$2:$G$999)),"yyyy-mm-dd"),"")))))</f>
        <v/>
      </c>
      <c r="F436" s="131" t="str">
        <f aca="false">IF($P436="✓","✓",IF(ISNUMBER($P436),TEXT($P436,"yyyy-mm-dd"),IF($A436="","",IF($D436="Lisbonne","",IF(SUMPRODUCT(('Formation Initiale'!$A$2:$A$999=$A436)*('Formation Initiale'!$R$2:$R$999="Terminé"))&gt;0,"✓",IF(SUMPRODUCT(MAX(('Formation Initiale'!$A$2:$A$999=$A436)*'Formation Initiale'!$G$2:$G$999))&gt;0,TEXT(SUMPRODUCT(MAX(('Formation Initiale'!$A$2:$A$999=$A436)*'Formation Initiale'!$G$2:$G$999)),"yyyy-mm-dd"),""))))))</f>
        <v/>
      </c>
      <c r="G436" s="131" t="str">
        <f aca="false">IF($Q436="✓","✓",IF(ISNUMBER($Q436),TEXT($Q436,"yyyy-mm-dd"),IF($A436="","",IF(SUMPRODUCT(('Agences &amp; Après-vente'!$A$2:$A$1000=$A436)*(('Agences &amp; Après-vente'!$D$2:$D$1000="Agences")+('Agences &amp; Après-vente'!$D$2:$D$1000="Agences et Après-vente"))*('Agences &amp; Après-vente'!$I$2:$I$1000="DONE"))&gt;0,"✓",IF(SUMPRODUCT(MAX(('Agences &amp; Après-vente'!$A$2:$A$1000=$A436)*(('Agences &amp; Après-vente'!$D$2:$D$1000="Agences")+('Agences &amp; Après-vente'!$D$2:$D$1000="Agences et Après-vente"))*'Agences &amp; Après-vente'!$E$2:$E$1000))&gt;0,TEXT(SUMPRODUCT(MAX(('Agences &amp; Après-vente'!$A$2:$A$1000=$A436)*(('Agences &amp; Après-vente'!$D$2:$D$1000="Agences")+('Agences &amp; Après-vente'!$D$2:$D$1000="Agences et Après-vente"))*'Agences &amp; Après-vente'!$E$2:$E$1000)),"yyyy-mm-dd"),"")))))</f>
        <v/>
      </c>
      <c r="H436" s="131" t="str">
        <f aca="false">IF($R436="✓","✓",IF(ISNUMBER($R436),TEXT($R436,"yyyy-mm-dd"),IF($A436="","",IF($D436="Lisbonne","",IF(SUMPRODUCT(('Agences &amp; Après-vente'!$A$2:$A$1000=$A436)*(('Agences &amp; Après-vente'!$D$2:$D$1000="Agences")+('Agences &amp; Après-vente'!$D$2:$D$1000="Agences et Après-vente"))*('Agences &amp; Après-vente'!$I$2:$I$1000="DONE"))&gt;0,"✓",IF(SUMPRODUCT(MAX(('Agences &amp; Après-vente'!$A$2:$A$1000=$A436)*(('Agences &amp; Après-vente'!$D$2:$D$1000="Agences")+('Agences &amp; Après-vente'!$D$2:$D$1000="Agences et Après-vente"))*'Agences &amp; Après-vente'!$E$2:$E$1000))&gt;0,TEXT(SUMPRODUCT(MAX(('Agences &amp; Après-vente'!$A$2:$A$1000=$A436)*(('Agences &amp; Après-vente'!$D$2:$D$1000="Agences")+('Agences &amp; Après-vente'!$D$2:$D$1000="Agences et Après-vente"))*'Agences &amp; Après-vente'!$E$2:$E$1000)),"yyyy-mm-dd"),""))))))</f>
        <v/>
      </c>
      <c r="I436" s="131" t="str">
        <f aca="false">IF($S436="✓","✓",IF(ISNUMBER($S436),TEXT($S436,"yyyy-mm-dd"),IF($A436="","",IF(SUMPRODUCT(('Agences &amp; Après-vente'!$A$2:$A$1000=$A436)*(('Agences &amp; Après-vente'!$D$2:$D$1000="Après-vente")+('Agences &amp; Après-vente'!$D$2:$D$1000="Agences et Après-vente"))*('Agences &amp; Après-vente'!$I$2:$I$1000="DONE"))&gt;0,"✓",IF(SUMPRODUCT(MAX(('Agences &amp; Après-vente'!$A$2:$A$1000=$A436)*(('Agences &amp; Après-vente'!$D$2:$D$1000="Après-vente")+('Agences &amp; Après-vente'!$D$2:$D$1000="Agences et Après-vente"))*'Agences &amp; Après-vente'!$E$2:$E$1000))&gt;0,TEXT(SUMPRODUCT(MAX(('Agences &amp; Après-vente'!$A$2:$A$1000=$A436)*(('Agences &amp; Après-vente'!$D$2:$D$1000="Après-vente")+('Agences &amp; Après-vente'!$D$2:$D$1000="Agences et Après-vente"))*'Agences &amp; Après-vente'!$E$2:$E$1000)),"yyyy-mm-dd"),"")))))</f>
        <v/>
      </c>
      <c r="J436" s="131" t="str">
        <f aca="false">IF($T436="✓","✓",IF(ISNUMBER($T436),TEXT($T436,"yyyy-mm-dd"),IF($A436="","",IF($D436="Lisbonne","",IF(SUMPRODUCT(('Agences &amp; Après-vente'!$A$2:$A$1000=$A436)*(('Agences &amp; Après-vente'!$D$2:$D$1000="Après-vente")+('Agences &amp; Après-vente'!$D$2:$D$1000="Agences et Après-vente"))*('Agences &amp; Après-vente'!$I$2:$I$1000="DONE"))&gt;0,"✓",IF(SUMPRODUCT(MAX(('Agences &amp; Après-vente'!$A$2:$A$1000=$A436)*(('Agences &amp; Après-vente'!$D$2:$D$1000="Après-vente")+('Agences &amp; Après-vente'!$D$2:$D$1000="Agences et Après-vente"))*'Agences &amp; Après-vente'!$E$2:$E$1000))&gt;0,TEXT(SUMPRODUCT(MAX(('Agences &amp; Après-vente'!$A$2:$A$1000=$A436)*(('Agences &amp; Après-vente'!$D$2:$D$1000="Après-vente")+('Agences &amp; Après-vente'!$D$2:$D$1000="Agences et Après-vente"))*'Agences &amp; Après-vente'!$E$2:$E$1000)),"yyyy-mm-dd"),""))))))</f>
        <v/>
      </c>
      <c r="K436" s="131" t="str">
        <f aca="false">IF($U436="✓","✓",IF(ISNUMBER($U436),TEXT($U436,"yyyy-mm-dd"),IF($D436="Lisbonne","",IF($A436="","",IF(SUMPRODUCT((Evermont!$A$2:$A$1000=$A436)*(Evermont!$Q$2:$Q$1000="Terminé"))&gt;0,"✓",IF(SUMPRODUCT(MAX((Evermont!$A$2:$A$1000=$A436)*Evermont!$F$2:$F$1000))&gt;0,TEXT(SUMPRODUCT(MAX((Evermont!$A$2:$A$1000=$A436)*Evermont!$F$2:$F$1000)),"yyyy-mm-dd"),""))))))</f>
        <v/>
      </c>
      <c r="L436" s="131" t="str">
        <f aca="false">IF($A436="","",COUNTIF(E436:K436,"✓"))</f>
        <v/>
      </c>
      <c r="M436" s="131" t="str">
        <f aca="false">IF(B436="","","Active")</f>
        <v/>
      </c>
      <c r="W436" s="120" t="str">
        <f aca="false">IF($A436="","",IF($X436&lt;&gt;"",$X436,IFERROR(INDEX('Formation Initiale'!$B$2:$B$999,MATCH($A436,'Formation Initiale'!$A$2:$A$999,0)),"Général")))</f>
        <v/>
      </c>
    </row>
    <row r="437" customFormat="false" ht="15" hidden="true" customHeight="true" outlineLevel="0" collapsed="false">
      <c r="A437" s="142" t="str">
        <f aca="false">IF(B437="","","TR"&amp;TEXT(ROW()-1,"000"))</f>
        <v/>
      </c>
      <c r="E437" s="130" t="str">
        <f aca="false">IF($O437="✓","✓",IF(ISNUMBER($O437),TEXT($O437,"yyyy-mm-dd"),IF($A437="","",IF(SUMPRODUCT(('Formation Initiale'!$A$2:$A$999=$A437)*('Formation Initiale'!$R$2:$R$999="Terminé"))&gt;0,"✓",IF(SUMPRODUCT(MAX(('Formation Initiale'!$A$2:$A$999=$A437)*'Formation Initiale'!$G$2:$G$999))&gt;0,TEXT(SUMPRODUCT(MAX(('Formation Initiale'!$A$2:$A$999=$A437)*'Formation Initiale'!$G$2:$G$999)),"yyyy-mm-dd"),"")))))</f>
        <v/>
      </c>
      <c r="F437" s="131" t="str">
        <f aca="false">IF($P437="✓","✓",IF(ISNUMBER($P437),TEXT($P437,"yyyy-mm-dd"),IF($A437="","",IF($D437="Lisbonne","",IF(SUMPRODUCT(('Formation Initiale'!$A$2:$A$999=$A437)*('Formation Initiale'!$R$2:$R$999="Terminé"))&gt;0,"✓",IF(SUMPRODUCT(MAX(('Formation Initiale'!$A$2:$A$999=$A437)*'Formation Initiale'!$G$2:$G$999))&gt;0,TEXT(SUMPRODUCT(MAX(('Formation Initiale'!$A$2:$A$999=$A437)*'Formation Initiale'!$G$2:$G$999)),"yyyy-mm-dd"),""))))))</f>
        <v/>
      </c>
      <c r="G437" s="131" t="str">
        <f aca="false">IF($Q437="✓","✓",IF(ISNUMBER($Q437),TEXT($Q437,"yyyy-mm-dd"),IF($A437="","",IF(SUMPRODUCT(('Agences &amp; Après-vente'!$A$2:$A$1000=$A437)*(('Agences &amp; Après-vente'!$D$2:$D$1000="Agences")+('Agences &amp; Après-vente'!$D$2:$D$1000="Agences et Après-vente"))*('Agences &amp; Après-vente'!$I$2:$I$1000="DONE"))&gt;0,"✓",IF(SUMPRODUCT(MAX(('Agences &amp; Après-vente'!$A$2:$A$1000=$A437)*(('Agences &amp; Après-vente'!$D$2:$D$1000="Agences")+('Agences &amp; Après-vente'!$D$2:$D$1000="Agences et Après-vente"))*'Agences &amp; Après-vente'!$E$2:$E$1000))&gt;0,TEXT(SUMPRODUCT(MAX(('Agences &amp; Après-vente'!$A$2:$A$1000=$A437)*(('Agences &amp; Après-vente'!$D$2:$D$1000="Agences")+('Agences &amp; Après-vente'!$D$2:$D$1000="Agences et Après-vente"))*'Agences &amp; Après-vente'!$E$2:$E$1000)),"yyyy-mm-dd"),"")))))</f>
        <v/>
      </c>
      <c r="H437" s="131" t="str">
        <f aca="false">IF($R437="✓","✓",IF(ISNUMBER($R437),TEXT($R437,"yyyy-mm-dd"),IF($A437="","",IF($D437="Lisbonne","",IF(SUMPRODUCT(('Agences &amp; Après-vente'!$A$2:$A$1000=$A437)*(('Agences &amp; Après-vente'!$D$2:$D$1000="Agences")+('Agences &amp; Après-vente'!$D$2:$D$1000="Agences et Après-vente"))*('Agences &amp; Après-vente'!$I$2:$I$1000="DONE"))&gt;0,"✓",IF(SUMPRODUCT(MAX(('Agences &amp; Après-vente'!$A$2:$A$1000=$A437)*(('Agences &amp; Après-vente'!$D$2:$D$1000="Agences")+('Agences &amp; Après-vente'!$D$2:$D$1000="Agences et Après-vente"))*'Agences &amp; Après-vente'!$E$2:$E$1000))&gt;0,TEXT(SUMPRODUCT(MAX(('Agences &amp; Après-vente'!$A$2:$A$1000=$A437)*(('Agences &amp; Après-vente'!$D$2:$D$1000="Agences")+('Agences &amp; Après-vente'!$D$2:$D$1000="Agences et Après-vente"))*'Agences &amp; Après-vente'!$E$2:$E$1000)),"yyyy-mm-dd"),""))))))</f>
        <v/>
      </c>
      <c r="I437" s="131" t="str">
        <f aca="false">IF($S437="✓","✓",IF(ISNUMBER($S437),TEXT($S437,"yyyy-mm-dd"),IF($A437="","",IF(SUMPRODUCT(('Agences &amp; Après-vente'!$A$2:$A$1000=$A437)*(('Agences &amp; Après-vente'!$D$2:$D$1000="Après-vente")+('Agences &amp; Après-vente'!$D$2:$D$1000="Agences et Après-vente"))*('Agences &amp; Après-vente'!$I$2:$I$1000="DONE"))&gt;0,"✓",IF(SUMPRODUCT(MAX(('Agences &amp; Après-vente'!$A$2:$A$1000=$A437)*(('Agences &amp; Après-vente'!$D$2:$D$1000="Après-vente")+('Agences &amp; Après-vente'!$D$2:$D$1000="Agences et Après-vente"))*'Agences &amp; Après-vente'!$E$2:$E$1000))&gt;0,TEXT(SUMPRODUCT(MAX(('Agences &amp; Après-vente'!$A$2:$A$1000=$A437)*(('Agences &amp; Après-vente'!$D$2:$D$1000="Après-vente")+('Agences &amp; Après-vente'!$D$2:$D$1000="Agences et Après-vente"))*'Agences &amp; Après-vente'!$E$2:$E$1000)),"yyyy-mm-dd"),"")))))</f>
        <v/>
      </c>
      <c r="J437" s="131" t="str">
        <f aca="false">IF($T437="✓","✓",IF(ISNUMBER($T437),TEXT($T437,"yyyy-mm-dd"),IF($A437="","",IF($D437="Lisbonne","",IF(SUMPRODUCT(('Agences &amp; Après-vente'!$A$2:$A$1000=$A437)*(('Agences &amp; Après-vente'!$D$2:$D$1000="Après-vente")+('Agences &amp; Après-vente'!$D$2:$D$1000="Agences et Après-vente"))*('Agences &amp; Après-vente'!$I$2:$I$1000="DONE"))&gt;0,"✓",IF(SUMPRODUCT(MAX(('Agences &amp; Après-vente'!$A$2:$A$1000=$A437)*(('Agences &amp; Après-vente'!$D$2:$D$1000="Après-vente")+('Agences &amp; Après-vente'!$D$2:$D$1000="Agences et Après-vente"))*'Agences &amp; Après-vente'!$E$2:$E$1000))&gt;0,TEXT(SUMPRODUCT(MAX(('Agences &amp; Après-vente'!$A$2:$A$1000=$A437)*(('Agences &amp; Après-vente'!$D$2:$D$1000="Après-vente")+('Agences &amp; Après-vente'!$D$2:$D$1000="Agences et Après-vente"))*'Agences &amp; Après-vente'!$E$2:$E$1000)),"yyyy-mm-dd"),""))))))</f>
        <v/>
      </c>
      <c r="K437" s="131" t="str">
        <f aca="false">IF($U437="✓","✓",IF(ISNUMBER($U437),TEXT($U437,"yyyy-mm-dd"),IF($D437="Lisbonne","",IF($A437="","",IF(SUMPRODUCT((Evermont!$A$2:$A$1000=$A437)*(Evermont!$Q$2:$Q$1000="Terminé"))&gt;0,"✓",IF(SUMPRODUCT(MAX((Evermont!$A$2:$A$1000=$A437)*Evermont!$F$2:$F$1000))&gt;0,TEXT(SUMPRODUCT(MAX((Evermont!$A$2:$A$1000=$A437)*Evermont!$F$2:$F$1000)),"yyyy-mm-dd"),""))))))</f>
        <v/>
      </c>
      <c r="L437" s="131" t="str">
        <f aca="false">IF($A437="","",COUNTIF(E437:K437,"✓"))</f>
        <v/>
      </c>
      <c r="M437" s="131" t="str">
        <f aca="false">IF(B437="","","Active")</f>
        <v/>
      </c>
      <c r="W437" s="120" t="str">
        <f aca="false">IF($A437="","",IF($X437&lt;&gt;"",$X437,IFERROR(INDEX('Formation Initiale'!$B$2:$B$999,MATCH($A437,'Formation Initiale'!$A$2:$A$999,0)),"Général")))</f>
        <v/>
      </c>
    </row>
    <row r="438" customFormat="false" ht="15" hidden="true" customHeight="true" outlineLevel="0" collapsed="false">
      <c r="A438" s="142" t="str">
        <f aca="false">IF(B438="","","TR"&amp;TEXT(ROW()-1,"000"))</f>
        <v/>
      </c>
      <c r="E438" s="130" t="str">
        <f aca="false">IF($O438="✓","✓",IF(ISNUMBER($O438),TEXT($O438,"yyyy-mm-dd"),IF($A438="","",IF(SUMPRODUCT(('Formation Initiale'!$A$2:$A$999=$A438)*('Formation Initiale'!$R$2:$R$999="Terminé"))&gt;0,"✓",IF(SUMPRODUCT(MAX(('Formation Initiale'!$A$2:$A$999=$A438)*'Formation Initiale'!$G$2:$G$999))&gt;0,TEXT(SUMPRODUCT(MAX(('Formation Initiale'!$A$2:$A$999=$A438)*'Formation Initiale'!$G$2:$G$999)),"yyyy-mm-dd"),"")))))</f>
        <v/>
      </c>
      <c r="F438" s="131" t="str">
        <f aca="false">IF($P438="✓","✓",IF(ISNUMBER($P438),TEXT($P438,"yyyy-mm-dd"),IF($A438="","",IF($D438="Lisbonne","",IF(SUMPRODUCT(('Formation Initiale'!$A$2:$A$999=$A438)*('Formation Initiale'!$R$2:$R$999="Terminé"))&gt;0,"✓",IF(SUMPRODUCT(MAX(('Formation Initiale'!$A$2:$A$999=$A438)*'Formation Initiale'!$G$2:$G$999))&gt;0,TEXT(SUMPRODUCT(MAX(('Formation Initiale'!$A$2:$A$999=$A438)*'Formation Initiale'!$G$2:$G$999)),"yyyy-mm-dd"),""))))))</f>
        <v/>
      </c>
      <c r="G438" s="131" t="str">
        <f aca="false">IF($Q438="✓","✓",IF(ISNUMBER($Q438),TEXT($Q438,"yyyy-mm-dd"),IF($A438="","",IF(SUMPRODUCT(('Agences &amp; Après-vente'!$A$2:$A$1000=$A438)*(('Agences &amp; Après-vente'!$D$2:$D$1000="Agences")+('Agences &amp; Après-vente'!$D$2:$D$1000="Agences et Après-vente"))*('Agences &amp; Après-vente'!$I$2:$I$1000="DONE"))&gt;0,"✓",IF(SUMPRODUCT(MAX(('Agences &amp; Après-vente'!$A$2:$A$1000=$A438)*(('Agences &amp; Après-vente'!$D$2:$D$1000="Agences")+('Agences &amp; Après-vente'!$D$2:$D$1000="Agences et Après-vente"))*'Agences &amp; Après-vente'!$E$2:$E$1000))&gt;0,TEXT(SUMPRODUCT(MAX(('Agences &amp; Après-vente'!$A$2:$A$1000=$A438)*(('Agences &amp; Après-vente'!$D$2:$D$1000="Agences")+('Agences &amp; Après-vente'!$D$2:$D$1000="Agences et Après-vente"))*'Agences &amp; Après-vente'!$E$2:$E$1000)),"yyyy-mm-dd"),"")))))</f>
        <v/>
      </c>
      <c r="H438" s="131" t="str">
        <f aca="false">IF($R438="✓","✓",IF(ISNUMBER($R438),TEXT($R438,"yyyy-mm-dd"),IF($A438="","",IF($D438="Lisbonne","",IF(SUMPRODUCT(('Agences &amp; Après-vente'!$A$2:$A$1000=$A438)*(('Agences &amp; Après-vente'!$D$2:$D$1000="Agences")+('Agences &amp; Après-vente'!$D$2:$D$1000="Agences et Après-vente"))*('Agences &amp; Après-vente'!$I$2:$I$1000="DONE"))&gt;0,"✓",IF(SUMPRODUCT(MAX(('Agences &amp; Après-vente'!$A$2:$A$1000=$A438)*(('Agences &amp; Après-vente'!$D$2:$D$1000="Agences")+('Agences &amp; Après-vente'!$D$2:$D$1000="Agences et Après-vente"))*'Agences &amp; Après-vente'!$E$2:$E$1000))&gt;0,TEXT(SUMPRODUCT(MAX(('Agences &amp; Après-vente'!$A$2:$A$1000=$A438)*(('Agences &amp; Après-vente'!$D$2:$D$1000="Agences")+('Agences &amp; Après-vente'!$D$2:$D$1000="Agences et Après-vente"))*'Agences &amp; Après-vente'!$E$2:$E$1000)),"yyyy-mm-dd"),""))))))</f>
        <v/>
      </c>
      <c r="I438" s="131" t="str">
        <f aca="false">IF($S438="✓","✓",IF(ISNUMBER($S438),TEXT($S438,"yyyy-mm-dd"),IF($A438="","",IF(SUMPRODUCT(('Agences &amp; Après-vente'!$A$2:$A$1000=$A438)*(('Agences &amp; Après-vente'!$D$2:$D$1000="Après-vente")+('Agences &amp; Après-vente'!$D$2:$D$1000="Agences et Après-vente"))*('Agences &amp; Après-vente'!$I$2:$I$1000="DONE"))&gt;0,"✓",IF(SUMPRODUCT(MAX(('Agences &amp; Après-vente'!$A$2:$A$1000=$A438)*(('Agences &amp; Après-vente'!$D$2:$D$1000="Après-vente")+('Agences &amp; Après-vente'!$D$2:$D$1000="Agences et Après-vente"))*'Agences &amp; Après-vente'!$E$2:$E$1000))&gt;0,TEXT(SUMPRODUCT(MAX(('Agences &amp; Après-vente'!$A$2:$A$1000=$A438)*(('Agences &amp; Après-vente'!$D$2:$D$1000="Après-vente")+('Agences &amp; Après-vente'!$D$2:$D$1000="Agences et Après-vente"))*'Agences &amp; Après-vente'!$E$2:$E$1000)),"yyyy-mm-dd"),"")))))</f>
        <v/>
      </c>
      <c r="J438" s="131" t="str">
        <f aca="false">IF($T438="✓","✓",IF(ISNUMBER($T438),TEXT($T438,"yyyy-mm-dd"),IF($A438="","",IF($D438="Lisbonne","",IF(SUMPRODUCT(('Agences &amp; Après-vente'!$A$2:$A$1000=$A438)*(('Agences &amp; Après-vente'!$D$2:$D$1000="Après-vente")+('Agences &amp; Après-vente'!$D$2:$D$1000="Agences et Après-vente"))*('Agences &amp; Après-vente'!$I$2:$I$1000="DONE"))&gt;0,"✓",IF(SUMPRODUCT(MAX(('Agences &amp; Après-vente'!$A$2:$A$1000=$A438)*(('Agences &amp; Après-vente'!$D$2:$D$1000="Après-vente")+('Agences &amp; Après-vente'!$D$2:$D$1000="Agences et Après-vente"))*'Agences &amp; Après-vente'!$E$2:$E$1000))&gt;0,TEXT(SUMPRODUCT(MAX(('Agences &amp; Après-vente'!$A$2:$A$1000=$A438)*(('Agences &amp; Après-vente'!$D$2:$D$1000="Après-vente")+('Agences &amp; Après-vente'!$D$2:$D$1000="Agences et Après-vente"))*'Agences &amp; Après-vente'!$E$2:$E$1000)),"yyyy-mm-dd"),""))))))</f>
        <v/>
      </c>
      <c r="K438" s="131" t="str">
        <f aca="false">IF($U438="✓","✓",IF(ISNUMBER($U438),TEXT($U438,"yyyy-mm-dd"),IF($D438="Lisbonne","",IF($A438="","",IF(SUMPRODUCT((Evermont!$A$2:$A$1000=$A438)*(Evermont!$Q$2:$Q$1000="Terminé"))&gt;0,"✓",IF(SUMPRODUCT(MAX((Evermont!$A$2:$A$1000=$A438)*Evermont!$F$2:$F$1000))&gt;0,TEXT(SUMPRODUCT(MAX((Evermont!$A$2:$A$1000=$A438)*Evermont!$F$2:$F$1000)),"yyyy-mm-dd"),""))))))</f>
        <v/>
      </c>
      <c r="L438" s="131" t="str">
        <f aca="false">IF($A438="","",COUNTIF(E438:K438,"✓"))</f>
        <v/>
      </c>
      <c r="M438" s="131" t="str">
        <f aca="false">IF(B438="","","Active")</f>
        <v/>
      </c>
      <c r="W438" s="120" t="str">
        <f aca="false">IF($A438="","",IF($X438&lt;&gt;"",$X438,IFERROR(INDEX('Formation Initiale'!$B$2:$B$999,MATCH($A438,'Formation Initiale'!$A$2:$A$999,0)),"Général")))</f>
        <v/>
      </c>
    </row>
    <row r="439" customFormat="false" ht="15" hidden="true" customHeight="true" outlineLevel="0" collapsed="false">
      <c r="A439" s="142" t="str">
        <f aca="false">IF(B439="","","TR"&amp;TEXT(ROW()-1,"000"))</f>
        <v/>
      </c>
      <c r="E439" s="130" t="str">
        <f aca="false">IF($O439="✓","✓",IF(ISNUMBER($O439),TEXT($O439,"yyyy-mm-dd"),IF($A439="","",IF(SUMPRODUCT(('Formation Initiale'!$A$2:$A$999=$A439)*('Formation Initiale'!$R$2:$R$999="Terminé"))&gt;0,"✓",IF(SUMPRODUCT(MAX(('Formation Initiale'!$A$2:$A$999=$A439)*'Formation Initiale'!$G$2:$G$999))&gt;0,TEXT(SUMPRODUCT(MAX(('Formation Initiale'!$A$2:$A$999=$A439)*'Formation Initiale'!$G$2:$G$999)),"yyyy-mm-dd"),"")))))</f>
        <v/>
      </c>
      <c r="F439" s="131" t="str">
        <f aca="false">IF($P439="✓","✓",IF(ISNUMBER($P439),TEXT($P439,"yyyy-mm-dd"),IF($A439="","",IF($D439="Lisbonne","",IF(SUMPRODUCT(('Formation Initiale'!$A$2:$A$999=$A439)*('Formation Initiale'!$R$2:$R$999="Terminé"))&gt;0,"✓",IF(SUMPRODUCT(MAX(('Formation Initiale'!$A$2:$A$999=$A439)*'Formation Initiale'!$G$2:$G$999))&gt;0,TEXT(SUMPRODUCT(MAX(('Formation Initiale'!$A$2:$A$999=$A439)*'Formation Initiale'!$G$2:$G$999)),"yyyy-mm-dd"),""))))))</f>
        <v/>
      </c>
      <c r="G439" s="131" t="str">
        <f aca="false">IF($Q439="✓","✓",IF(ISNUMBER($Q439),TEXT($Q439,"yyyy-mm-dd"),IF($A439="","",IF(SUMPRODUCT(('Agences &amp; Après-vente'!$A$2:$A$1000=$A439)*(('Agences &amp; Après-vente'!$D$2:$D$1000="Agences")+('Agences &amp; Après-vente'!$D$2:$D$1000="Agences et Après-vente"))*('Agences &amp; Après-vente'!$I$2:$I$1000="DONE"))&gt;0,"✓",IF(SUMPRODUCT(MAX(('Agences &amp; Après-vente'!$A$2:$A$1000=$A439)*(('Agences &amp; Après-vente'!$D$2:$D$1000="Agences")+('Agences &amp; Après-vente'!$D$2:$D$1000="Agences et Après-vente"))*'Agences &amp; Après-vente'!$E$2:$E$1000))&gt;0,TEXT(SUMPRODUCT(MAX(('Agences &amp; Après-vente'!$A$2:$A$1000=$A439)*(('Agences &amp; Après-vente'!$D$2:$D$1000="Agences")+('Agences &amp; Après-vente'!$D$2:$D$1000="Agences et Après-vente"))*'Agences &amp; Après-vente'!$E$2:$E$1000)),"yyyy-mm-dd"),"")))))</f>
        <v/>
      </c>
      <c r="H439" s="131" t="str">
        <f aca="false">IF($R439="✓","✓",IF(ISNUMBER($R439),TEXT($R439,"yyyy-mm-dd"),IF($A439="","",IF($D439="Lisbonne","",IF(SUMPRODUCT(('Agences &amp; Après-vente'!$A$2:$A$1000=$A439)*(('Agences &amp; Après-vente'!$D$2:$D$1000="Agences")+('Agences &amp; Après-vente'!$D$2:$D$1000="Agences et Après-vente"))*('Agences &amp; Après-vente'!$I$2:$I$1000="DONE"))&gt;0,"✓",IF(SUMPRODUCT(MAX(('Agences &amp; Après-vente'!$A$2:$A$1000=$A439)*(('Agences &amp; Après-vente'!$D$2:$D$1000="Agences")+('Agences &amp; Après-vente'!$D$2:$D$1000="Agences et Après-vente"))*'Agences &amp; Après-vente'!$E$2:$E$1000))&gt;0,TEXT(SUMPRODUCT(MAX(('Agences &amp; Après-vente'!$A$2:$A$1000=$A439)*(('Agences &amp; Après-vente'!$D$2:$D$1000="Agences")+('Agences &amp; Après-vente'!$D$2:$D$1000="Agences et Après-vente"))*'Agences &amp; Après-vente'!$E$2:$E$1000)),"yyyy-mm-dd"),""))))))</f>
        <v/>
      </c>
      <c r="I439" s="131" t="str">
        <f aca="false">IF($S439="✓","✓",IF(ISNUMBER($S439),TEXT($S439,"yyyy-mm-dd"),IF($A439="","",IF(SUMPRODUCT(('Agences &amp; Après-vente'!$A$2:$A$1000=$A439)*(('Agences &amp; Après-vente'!$D$2:$D$1000="Après-vente")+('Agences &amp; Après-vente'!$D$2:$D$1000="Agences et Après-vente"))*('Agences &amp; Après-vente'!$I$2:$I$1000="DONE"))&gt;0,"✓",IF(SUMPRODUCT(MAX(('Agences &amp; Après-vente'!$A$2:$A$1000=$A439)*(('Agences &amp; Après-vente'!$D$2:$D$1000="Après-vente")+('Agences &amp; Après-vente'!$D$2:$D$1000="Agences et Après-vente"))*'Agences &amp; Après-vente'!$E$2:$E$1000))&gt;0,TEXT(SUMPRODUCT(MAX(('Agences &amp; Après-vente'!$A$2:$A$1000=$A439)*(('Agences &amp; Après-vente'!$D$2:$D$1000="Après-vente")+('Agences &amp; Après-vente'!$D$2:$D$1000="Agences et Après-vente"))*'Agences &amp; Après-vente'!$E$2:$E$1000)),"yyyy-mm-dd"),"")))))</f>
        <v/>
      </c>
      <c r="J439" s="131" t="str">
        <f aca="false">IF($T439="✓","✓",IF(ISNUMBER($T439),TEXT($T439,"yyyy-mm-dd"),IF($A439="","",IF($D439="Lisbonne","",IF(SUMPRODUCT(('Agences &amp; Après-vente'!$A$2:$A$1000=$A439)*(('Agences &amp; Après-vente'!$D$2:$D$1000="Après-vente")+('Agences &amp; Après-vente'!$D$2:$D$1000="Agences et Après-vente"))*('Agences &amp; Après-vente'!$I$2:$I$1000="DONE"))&gt;0,"✓",IF(SUMPRODUCT(MAX(('Agences &amp; Après-vente'!$A$2:$A$1000=$A439)*(('Agences &amp; Après-vente'!$D$2:$D$1000="Après-vente")+('Agences &amp; Après-vente'!$D$2:$D$1000="Agences et Après-vente"))*'Agences &amp; Après-vente'!$E$2:$E$1000))&gt;0,TEXT(SUMPRODUCT(MAX(('Agences &amp; Après-vente'!$A$2:$A$1000=$A439)*(('Agences &amp; Après-vente'!$D$2:$D$1000="Après-vente")+('Agences &amp; Après-vente'!$D$2:$D$1000="Agences et Après-vente"))*'Agences &amp; Après-vente'!$E$2:$E$1000)),"yyyy-mm-dd"),""))))))</f>
        <v/>
      </c>
      <c r="K439" s="131" t="str">
        <f aca="false">IF($U439="✓","✓",IF(ISNUMBER($U439),TEXT($U439,"yyyy-mm-dd"),IF($D439="Lisbonne","",IF($A439="","",IF(SUMPRODUCT((Evermont!$A$2:$A$1000=$A439)*(Evermont!$Q$2:$Q$1000="Terminé"))&gt;0,"✓",IF(SUMPRODUCT(MAX((Evermont!$A$2:$A$1000=$A439)*Evermont!$F$2:$F$1000))&gt;0,TEXT(SUMPRODUCT(MAX((Evermont!$A$2:$A$1000=$A439)*Evermont!$F$2:$F$1000)),"yyyy-mm-dd"),""))))))</f>
        <v/>
      </c>
      <c r="L439" s="131" t="str">
        <f aca="false">IF($A439="","",COUNTIF(E439:K439,"✓"))</f>
        <v/>
      </c>
      <c r="M439" s="131" t="str">
        <f aca="false">IF(B439="","","Active")</f>
        <v/>
      </c>
      <c r="W439" s="120" t="str">
        <f aca="false">IF($A439="","",IF($X439&lt;&gt;"",$X439,IFERROR(INDEX('Formation Initiale'!$B$2:$B$999,MATCH($A439,'Formation Initiale'!$A$2:$A$999,0)),"Général")))</f>
        <v/>
      </c>
    </row>
    <row r="440" customFormat="false" ht="15" hidden="true" customHeight="true" outlineLevel="0" collapsed="false">
      <c r="A440" s="142" t="str">
        <f aca="false">IF(B440="","","TR"&amp;TEXT(ROW()-1,"000"))</f>
        <v/>
      </c>
      <c r="E440" s="130" t="str">
        <f aca="false">IF($O440="✓","✓",IF(ISNUMBER($O440),TEXT($O440,"yyyy-mm-dd"),IF($A440="","",IF(SUMPRODUCT(('Formation Initiale'!$A$2:$A$999=$A440)*('Formation Initiale'!$R$2:$R$999="Terminé"))&gt;0,"✓",IF(SUMPRODUCT(MAX(('Formation Initiale'!$A$2:$A$999=$A440)*'Formation Initiale'!$G$2:$G$999))&gt;0,TEXT(SUMPRODUCT(MAX(('Formation Initiale'!$A$2:$A$999=$A440)*'Formation Initiale'!$G$2:$G$999)),"yyyy-mm-dd"),"")))))</f>
        <v/>
      </c>
      <c r="F440" s="131" t="str">
        <f aca="false">IF($P440="✓","✓",IF(ISNUMBER($P440),TEXT($P440,"yyyy-mm-dd"),IF($A440="","",IF($D440="Lisbonne","",IF(SUMPRODUCT(('Formation Initiale'!$A$2:$A$999=$A440)*('Formation Initiale'!$R$2:$R$999="Terminé"))&gt;0,"✓",IF(SUMPRODUCT(MAX(('Formation Initiale'!$A$2:$A$999=$A440)*'Formation Initiale'!$G$2:$G$999))&gt;0,TEXT(SUMPRODUCT(MAX(('Formation Initiale'!$A$2:$A$999=$A440)*'Formation Initiale'!$G$2:$G$999)),"yyyy-mm-dd"),""))))))</f>
        <v/>
      </c>
      <c r="G440" s="131" t="str">
        <f aca="false">IF($Q440="✓","✓",IF(ISNUMBER($Q440),TEXT($Q440,"yyyy-mm-dd"),IF($A440="","",IF(SUMPRODUCT(('Agences &amp; Après-vente'!$A$2:$A$1000=$A440)*(('Agences &amp; Après-vente'!$D$2:$D$1000="Agences")+('Agences &amp; Après-vente'!$D$2:$D$1000="Agences et Après-vente"))*('Agences &amp; Après-vente'!$I$2:$I$1000="DONE"))&gt;0,"✓",IF(SUMPRODUCT(MAX(('Agences &amp; Après-vente'!$A$2:$A$1000=$A440)*(('Agences &amp; Après-vente'!$D$2:$D$1000="Agences")+('Agences &amp; Après-vente'!$D$2:$D$1000="Agences et Après-vente"))*'Agences &amp; Après-vente'!$E$2:$E$1000))&gt;0,TEXT(SUMPRODUCT(MAX(('Agences &amp; Après-vente'!$A$2:$A$1000=$A440)*(('Agences &amp; Après-vente'!$D$2:$D$1000="Agences")+('Agences &amp; Après-vente'!$D$2:$D$1000="Agences et Après-vente"))*'Agences &amp; Après-vente'!$E$2:$E$1000)),"yyyy-mm-dd"),"")))))</f>
        <v/>
      </c>
      <c r="H440" s="131" t="str">
        <f aca="false">IF($R440="✓","✓",IF(ISNUMBER($R440),TEXT($R440,"yyyy-mm-dd"),IF($A440="","",IF($D440="Lisbonne","",IF(SUMPRODUCT(('Agences &amp; Après-vente'!$A$2:$A$1000=$A440)*(('Agences &amp; Après-vente'!$D$2:$D$1000="Agences")+('Agences &amp; Après-vente'!$D$2:$D$1000="Agences et Après-vente"))*('Agences &amp; Après-vente'!$I$2:$I$1000="DONE"))&gt;0,"✓",IF(SUMPRODUCT(MAX(('Agences &amp; Après-vente'!$A$2:$A$1000=$A440)*(('Agences &amp; Après-vente'!$D$2:$D$1000="Agences")+('Agences &amp; Après-vente'!$D$2:$D$1000="Agences et Après-vente"))*'Agences &amp; Après-vente'!$E$2:$E$1000))&gt;0,TEXT(SUMPRODUCT(MAX(('Agences &amp; Après-vente'!$A$2:$A$1000=$A440)*(('Agences &amp; Après-vente'!$D$2:$D$1000="Agences")+('Agences &amp; Après-vente'!$D$2:$D$1000="Agences et Après-vente"))*'Agences &amp; Après-vente'!$E$2:$E$1000)),"yyyy-mm-dd"),""))))))</f>
        <v/>
      </c>
      <c r="I440" s="131" t="str">
        <f aca="false">IF($S440="✓","✓",IF(ISNUMBER($S440),TEXT($S440,"yyyy-mm-dd"),IF($A440="","",IF(SUMPRODUCT(('Agences &amp; Après-vente'!$A$2:$A$1000=$A440)*(('Agences &amp; Après-vente'!$D$2:$D$1000="Après-vente")+('Agences &amp; Après-vente'!$D$2:$D$1000="Agences et Après-vente"))*('Agences &amp; Après-vente'!$I$2:$I$1000="DONE"))&gt;0,"✓",IF(SUMPRODUCT(MAX(('Agences &amp; Après-vente'!$A$2:$A$1000=$A440)*(('Agences &amp; Après-vente'!$D$2:$D$1000="Après-vente")+('Agences &amp; Après-vente'!$D$2:$D$1000="Agences et Après-vente"))*'Agences &amp; Après-vente'!$E$2:$E$1000))&gt;0,TEXT(SUMPRODUCT(MAX(('Agences &amp; Après-vente'!$A$2:$A$1000=$A440)*(('Agences &amp; Après-vente'!$D$2:$D$1000="Après-vente")+('Agences &amp; Après-vente'!$D$2:$D$1000="Agences et Après-vente"))*'Agences &amp; Après-vente'!$E$2:$E$1000)),"yyyy-mm-dd"),"")))))</f>
        <v/>
      </c>
      <c r="J440" s="131" t="str">
        <f aca="false">IF($T440="✓","✓",IF(ISNUMBER($T440),TEXT($T440,"yyyy-mm-dd"),IF($A440="","",IF($D440="Lisbonne","",IF(SUMPRODUCT(('Agences &amp; Après-vente'!$A$2:$A$1000=$A440)*(('Agences &amp; Après-vente'!$D$2:$D$1000="Après-vente")+('Agences &amp; Après-vente'!$D$2:$D$1000="Agences et Après-vente"))*('Agences &amp; Après-vente'!$I$2:$I$1000="DONE"))&gt;0,"✓",IF(SUMPRODUCT(MAX(('Agences &amp; Après-vente'!$A$2:$A$1000=$A440)*(('Agences &amp; Après-vente'!$D$2:$D$1000="Après-vente")+('Agences &amp; Après-vente'!$D$2:$D$1000="Agences et Après-vente"))*'Agences &amp; Après-vente'!$E$2:$E$1000))&gt;0,TEXT(SUMPRODUCT(MAX(('Agences &amp; Après-vente'!$A$2:$A$1000=$A440)*(('Agences &amp; Après-vente'!$D$2:$D$1000="Après-vente")+('Agences &amp; Après-vente'!$D$2:$D$1000="Agences et Après-vente"))*'Agences &amp; Après-vente'!$E$2:$E$1000)),"yyyy-mm-dd"),""))))))</f>
        <v/>
      </c>
      <c r="K440" s="131" t="str">
        <f aca="false">IF($U440="✓","✓",IF(ISNUMBER($U440),TEXT($U440,"yyyy-mm-dd"),IF($D440="Lisbonne","",IF($A440="","",IF(SUMPRODUCT((Evermont!$A$2:$A$1000=$A440)*(Evermont!$Q$2:$Q$1000="Terminé"))&gt;0,"✓",IF(SUMPRODUCT(MAX((Evermont!$A$2:$A$1000=$A440)*Evermont!$F$2:$F$1000))&gt;0,TEXT(SUMPRODUCT(MAX((Evermont!$A$2:$A$1000=$A440)*Evermont!$F$2:$F$1000)),"yyyy-mm-dd"),""))))))</f>
        <v/>
      </c>
      <c r="L440" s="131" t="str">
        <f aca="false">IF($A440="","",COUNTIF(E440:K440,"✓"))</f>
        <v/>
      </c>
      <c r="M440" s="131" t="str">
        <f aca="false">IF(B440="","","Active")</f>
        <v/>
      </c>
      <c r="W440" s="120" t="str">
        <f aca="false">IF($A440="","",IF($X440&lt;&gt;"",$X440,IFERROR(INDEX('Formation Initiale'!$B$2:$B$999,MATCH($A440,'Formation Initiale'!$A$2:$A$999,0)),"Général")))</f>
        <v/>
      </c>
    </row>
    <row r="441" customFormat="false" ht="15" hidden="true" customHeight="true" outlineLevel="0" collapsed="false">
      <c r="A441" s="142" t="str">
        <f aca="false">IF(B441="","","TR"&amp;TEXT(ROW()-1,"000"))</f>
        <v/>
      </c>
      <c r="E441" s="130" t="str">
        <f aca="false">IF($O441="✓","✓",IF(ISNUMBER($O441),TEXT($O441,"yyyy-mm-dd"),IF($A441="","",IF(SUMPRODUCT(('Formation Initiale'!$A$2:$A$999=$A441)*('Formation Initiale'!$R$2:$R$999="Terminé"))&gt;0,"✓",IF(SUMPRODUCT(MAX(('Formation Initiale'!$A$2:$A$999=$A441)*'Formation Initiale'!$G$2:$G$999))&gt;0,TEXT(SUMPRODUCT(MAX(('Formation Initiale'!$A$2:$A$999=$A441)*'Formation Initiale'!$G$2:$G$999)),"yyyy-mm-dd"),"")))))</f>
        <v/>
      </c>
      <c r="F441" s="131" t="str">
        <f aca="false">IF($P441="✓","✓",IF(ISNUMBER($P441),TEXT($P441,"yyyy-mm-dd"),IF($A441="","",IF($D441="Lisbonne","",IF(SUMPRODUCT(('Formation Initiale'!$A$2:$A$999=$A441)*('Formation Initiale'!$R$2:$R$999="Terminé"))&gt;0,"✓",IF(SUMPRODUCT(MAX(('Formation Initiale'!$A$2:$A$999=$A441)*'Formation Initiale'!$G$2:$G$999))&gt;0,TEXT(SUMPRODUCT(MAX(('Formation Initiale'!$A$2:$A$999=$A441)*'Formation Initiale'!$G$2:$G$999)),"yyyy-mm-dd"),""))))))</f>
        <v/>
      </c>
      <c r="G441" s="131" t="str">
        <f aca="false">IF($Q441="✓","✓",IF(ISNUMBER($Q441),TEXT($Q441,"yyyy-mm-dd"),IF($A441="","",IF(SUMPRODUCT(('Agences &amp; Après-vente'!$A$2:$A$1000=$A441)*(('Agences &amp; Après-vente'!$D$2:$D$1000="Agences")+('Agences &amp; Après-vente'!$D$2:$D$1000="Agences et Après-vente"))*('Agences &amp; Après-vente'!$I$2:$I$1000="DONE"))&gt;0,"✓",IF(SUMPRODUCT(MAX(('Agences &amp; Après-vente'!$A$2:$A$1000=$A441)*(('Agences &amp; Après-vente'!$D$2:$D$1000="Agences")+('Agences &amp; Après-vente'!$D$2:$D$1000="Agences et Après-vente"))*'Agences &amp; Après-vente'!$E$2:$E$1000))&gt;0,TEXT(SUMPRODUCT(MAX(('Agences &amp; Après-vente'!$A$2:$A$1000=$A441)*(('Agences &amp; Après-vente'!$D$2:$D$1000="Agences")+('Agences &amp; Après-vente'!$D$2:$D$1000="Agences et Après-vente"))*'Agences &amp; Après-vente'!$E$2:$E$1000)),"yyyy-mm-dd"),"")))))</f>
        <v/>
      </c>
      <c r="H441" s="131" t="str">
        <f aca="false">IF($R441="✓","✓",IF(ISNUMBER($R441),TEXT($R441,"yyyy-mm-dd"),IF($A441="","",IF($D441="Lisbonne","",IF(SUMPRODUCT(('Agences &amp; Après-vente'!$A$2:$A$1000=$A441)*(('Agences &amp; Après-vente'!$D$2:$D$1000="Agences")+('Agences &amp; Après-vente'!$D$2:$D$1000="Agences et Après-vente"))*('Agences &amp; Après-vente'!$I$2:$I$1000="DONE"))&gt;0,"✓",IF(SUMPRODUCT(MAX(('Agences &amp; Après-vente'!$A$2:$A$1000=$A441)*(('Agences &amp; Après-vente'!$D$2:$D$1000="Agences")+('Agences &amp; Après-vente'!$D$2:$D$1000="Agences et Après-vente"))*'Agences &amp; Après-vente'!$E$2:$E$1000))&gt;0,TEXT(SUMPRODUCT(MAX(('Agences &amp; Après-vente'!$A$2:$A$1000=$A441)*(('Agences &amp; Après-vente'!$D$2:$D$1000="Agences")+('Agences &amp; Après-vente'!$D$2:$D$1000="Agences et Après-vente"))*'Agences &amp; Après-vente'!$E$2:$E$1000)),"yyyy-mm-dd"),""))))))</f>
        <v/>
      </c>
      <c r="I441" s="131" t="str">
        <f aca="false">IF($S441="✓","✓",IF(ISNUMBER($S441),TEXT($S441,"yyyy-mm-dd"),IF($A441="","",IF(SUMPRODUCT(('Agences &amp; Après-vente'!$A$2:$A$1000=$A441)*(('Agences &amp; Après-vente'!$D$2:$D$1000="Après-vente")+('Agences &amp; Après-vente'!$D$2:$D$1000="Agences et Après-vente"))*('Agences &amp; Après-vente'!$I$2:$I$1000="DONE"))&gt;0,"✓",IF(SUMPRODUCT(MAX(('Agences &amp; Après-vente'!$A$2:$A$1000=$A441)*(('Agences &amp; Après-vente'!$D$2:$D$1000="Après-vente")+('Agences &amp; Après-vente'!$D$2:$D$1000="Agences et Après-vente"))*'Agences &amp; Après-vente'!$E$2:$E$1000))&gt;0,TEXT(SUMPRODUCT(MAX(('Agences &amp; Après-vente'!$A$2:$A$1000=$A441)*(('Agences &amp; Après-vente'!$D$2:$D$1000="Après-vente")+('Agences &amp; Après-vente'!$D$2:$D$1000="Agences et Après-vente"))*'Agences &amp; Après-vente'!$E$2:$E$1000)),"yyyy-mm-dd"),"")))))</f>
        <v/>
      </c>
      <c r="J441" s="131" t="str">
        <f aca="false">IF($T441="✓","✓",IF(ISNUMBER($T441),TEXT($T441,"yyyy-mm-dd"),IF($A441="","",IF($D441="Lisbonne","",IF(SUMPRODUCT(('Agences &amp; Après-vente'!$A$2:$A$1000=$A441)*(('Agences &amp; Après-vente'!$D$2:$D$1000="Après-vente")+('Agences &amp; Après-vente'!$D$2:$D$1000="Agences et Après-vente"))*('Agences &amp; Après-vente'!$I$2:$I$1000="DONE"))&gt;0,"✓",IF(SUMPRODUCT(MAX(('Agences &amp; Après-vente'!$A$2:$A$1000=$A441)*(('Agences &amp; Après-vente'!$D$2:$D$1000="Après-vente")+('Agences &amp; Après-vente'!$D$2:$D$1000="Agences et Après-vente"))*'Agences &amp; Après-vente'!$E$2:$E$1000))&gt;0,TEXT(SUMPRODUCT(MAX(('Agences &amp; Après-vente'!$A$2:$A$1000=$A441)*(('Agences &amp; Après-vente'!$D$2:$D$1000="Après-vente")+('Agences &amp; Après-vente'!$D$2:$D$1000="Agences et Après-vente"))*'Agences &amp; Après-vente'!$E$2:$E$1000)),"yyyy-mm-dd"),""))))))</f>
        <v/>
      </c>
      <c r="K441" s="131" t="str">
        <f aca="false">IF($U441="✓","✓",IF(ISNUMBER($U441),TEXT($U441,"yyyy-mm-dd"),IF($D441="Lisbonne","",IF($A441="","",IF(SUMPRODUCT((Evermont!$A$2:$A$1000=$A441)*(Evermont!$Q$2:$Q$1000="Terminé"))&gt;0,"✓",IF(SUMPRODUCT(MAX((Evermont!$A$2:$A$1000=$A441)*Evermont!$F$2:$F$1000))&gt;0,TEXT(SUMPRODUCT(MAX((Evermont!$A$2:$A$1000=$A441)*Evermont!$F$2:$F$1000)),"yyyy-mm-dd"),""))))))</f>
        <v/>
      </c>
      <c r="L441" s="131" t="str">
        <f aca="false">IF($A441="","",COUNTIF(E441:K441,"✓"))</f>
        <v/>
      </c>
      <c r="M441" s="131" t="str">
        <f aca="false">IF(B441="","","Active")</f>
        <v/>
      </c>
      <c r="W441" s="120" t="str">
        <f aca="false">IF($A441="","",IF($X441&lt;&gt;"",$X441,IFERROR(INDEX('Formation Initiale'!$B$2:$B$999,MATCH($A441,'Formation Initiale'!$A$2:$A$999,0)),"Général")))</f>
        <v/>
      </c>
    </row>
    <row r="442" customFormat="false" ht="15" hidden="true" customHeight="true" outlineLevel="0" collapsed="false">
      <c r="A442" s="142" t="str">
        <f aca="false">IF(B442="","","TR"&amp;TEXT(ROW()-1,"000"))</f>
        <v/>
      </c>
      <c r="E442" s="130" t="str">
        <f aca="false">IF($O442="✓","✓",IF(ISNUMBER($O442),TEXT($O442,"yyyy-mm-dd"),IF($A442="","",IF(SUMPRODUCT(('Formation Initiale'!$A$2:$A$999=$A442)*('Formation Initiale'!$R$2:$R$999="Terminé"))&gt;0,"✓",IF(SUMPRODUCT(MAX(('Formation Initiale'!$A$2:$A$999=$A442)*'Formation Initiale'!$G$2:$G$999))&gt;0,TEXT(SUMPRODUCT(MAX(('Formation Initiale'!$A$2:$A$999=$A442)*'Formation Initiale'!$G$2:$G$999)),"yyyy-mm-dd"),"")))))</f>
        <v/>
      </c>
      <c r="F442" s="131" t="str">
        <f aca="false">IF($P442="✓","✓",IF(ISNUMBER($P442),TEXT($P442,"yyyy-mm-dd"),IF($A442="","",IF($D442="Lisbonne","",IF(SUMPRODUCT(('Formation Initiale'!$A$2:$A$999=$A442)*('Formation Initiale'!$R$2:$R$999="Terminé"))&gt;0,"✓",IF(SUMPRODUCT(MAX(('Formation Initiale'!$A$2:$A$999=$A442)*'Formation Initiale'!$G$2:$G$999))&gt;0,TEXT(SUMPRODUCT(MAX(('Formation Initiale'!$A$2:$A$999=$A442)*'Formation Initiale'!$G$2:$G$999)),"yyyy-mm-dd"),""))))))</f>
        <v/>
      </c>
      <c r="G442" s="131" t="str">
        <f aca="false">IF($Q442="✓","✓",IF(ISNUMBER($Q442),TEXT($Q442,"yyyy-mm-dd"),IF($A442="","",IF(SUMPRODUCT(('Agences &amp; Après-vente'!$A$2:$A$1000=$A442)*(('Agences &amp; Après-vente'!$D$2:$D$1000="Agences")+('Agences &amp; Après-vente'!$D$2:$D$1000="Agences et Après-vente"))*('Agences &amp; Après-vente'!$I$2:$I$1000="DONE"))&gt;0,"✓",IF(SUMPRODUCT(MAX(('Agences &amp; Après-vente'!$A$2:$A$1000=$A442)*(('Agences &amp; Après-vente'!$D$2:$D$1000="Agences")+('Agences &amp; Après-vente'!$D$2:$D$1000="Agences et Après-vente"))*'Agences &amp; Après-vente'!$E$2:$E$1000))&gt;0,TEXT(SUMPRODUCT(MAX(('Agences &amp; Après-vente'!$A$2:$A$1000=$A442)*(('Agences &amp; Après-vente'!$D$2:$D$1000="Agences")+('Agences &amp; Après-vente'!$D$2:$D$1000="Agences et Après-vente"))*'Agences &amp; Après-vente'!$E$2:$E$1000)),"yyyy-mm-dd"),"")))))</f>
        <v/>
      </c>
      <c r="H442" s="131" t="str">
        <f aca="false">IF($R442="✓","✓",IF(ISNUMBER($R442),TEXT($R442,"yyyy-mm-dd"),IF($A442="","",IF($D442="Lisbonne","",IF(SUMPRODUCT(('Agences &amp; Après-vente'!$A$2:$A$1000=$A442)*(('Agences &amp; Après-vente'!$D$2:$D$1000="Agences")+('Agences &amp; Après-vente'!$D$2:$D$1000="Agences et Après-vente"))*('Agences &amp; Après-vente'!$I$2:$I$1000="DONE"))&gt;0,"✓",IF(SUMPRODUCT(MAX(('Agences &amp; Après-vente'!$A$2:$A$1000=$A442)*(('Agences &amp; Après-vente'!$D$2:$D$1000="Agences")+('Agences &amp; Après-vente'!$D$2:$D$1000="Agences et Après-vente"))*'Agences &amp; Après-vente'!$E$2:$E$1000))&gt;0,TEXT(SUMPRODUCT(MAX(('Agences &amp; Après-vente'!$A$2:$A$1000=$A442)*(('Agences &amp; Après-vente'!$D$2:$D$1000="Agences")+('Agences &amp; Après-vente'!$D$2:$D$1000="Agences et Après-vente"))*'Agences &amp; Après-vente'!$E$2:$E$1000)),"yyyy-mm-dd"),""))))))</f>
        <v/>
      </c>
      <c r="I442" s="131" t="str">
        <f aca="false">IF($S442="✓","✓",IF(ISNUMBER($S442),TEXT($S442,"yyyy-mm-dd"),IF($A442="","",IF(SUMPRODUCT(('Agences &amp; Après-vente'!$A$2:$A$1000=$A442)*(('Agences &amp; Après-vente'!$D$2:$D$1000="Après-vente")+('Agences &amp; Après-vente'!$D$2:$D$1000="Agences et Après-vente"))*('Agences &amp; Après-vente'!$I$2:$I$1000="DONE"))&gt;0,"✓",IF(SUMPRODUCT(MAX(('Agences &amp; Après-vente'!$A$2:$A$1000=$A442)*(('Agences &amp; Après-vente'!$D$2:$D$1000="Après-vente")+('Agences &amp; Après-vente'!$D$2:$D$1000="Agences et Après-vente"))*'Agences &amp; Après-vente'!$E$2:$E$1000))&gt;0,TEXT(SUMPRODUCT(MAX(('Agences &amp; Après-vente'!$A$2:$A$1000=$A442)*(('Agences &amp; Après-vente'!$D$2:$D$1000="Après-vente")+('Agences &amp; Après-vente'!$D$2:$D$1000="Agences et Après-vente"))*'Agences &amp; Après-vente'!$E$2:$E$1000)),"yyyy-mm-dd"),"")))))</f>
        <v/>
      </c>
      <c r="J442" s="131" t="str">
        <f aca="false">IF($T442="✓","✓",IF(ISNUMBER($T442),TEXT($T442,"yyyy-mm-dd"),IF($A442="","",IF($D442="Lisbonne","",IF(SUMPRODUCT(('Agences &amp; Après-vente'!$A$2:$A$1000=$A442)*(('Agences &amp; Après-vente'!$D$2:$D$1000="Après-vente")+('Agences &amp; Après-vente'!$D$2:$D$1000="Agences et Après-vente"))*('Agences &amp; Après-vente'!$I$2:$I$1000="DONE"))&gt;0,"✓",IF(SUMPRODUCT(MAX(('Agences &amp; Après-vente'!$A$2:$A$1000=$A442)*(('Agences &amp; Après-vente'!$D$2:$D$1000="Après-vente")+('Agences &amp; Après-vente'!$D$2:$D$1000="Agences et Après-vente"))*'Agences &amp; Après-vente'!$E$2:$E$1000))&gt;0,TEXT(SUMPRODUCT(MAX(('Agences &amp; Après-vente'!$A$2:$A$1000=$A442)*(('Agences &amp; Après-vente'!$D$2:$D$1000="Après-vente")+('Agences &amp; Après-vente'!$D$2:$D$1000="Agences et Après-vente"))*'Agences &amp; Après-vente'!$E$2:$E$1000)),"yyyy-mm-dd"),""))))))</f>
        <v/>
      </c>
      <c r="K442" s="131" t="str">
        <f aca="false">IF($U442="✓","✓",IF(ISNUMBER($U442),TEXT($U442,"yyyy-mm-dd"),IF($D442="Lisbonne","",IF($A442="","",IF(SUMPRODUCT((Evermont!$A$2:$A$1000=$A442)*(Evermont!$Q$2:$Q$1000="Terminé"))&gt;0,"✓",IF(SUMPRODUCT(MAX((Evermont!$A$2:$A$1000=$A442)*Evermont!$F$2:$F$1000))&gt;0,TEXT(SUMPRODUCT(MAX((Evermont!$A$2:$A$1000=$A442)*Evermont!$F$2:$F$1000)),"yyyy-mm-dd"),""))))))</f>
        <v/>
      </c>
      <c r="L442" s="131" t="str">
        <f aca="false">IF($A442="","",COUNTIF(E442:K442,"✓"))</f>
        <v/>
      </c>
      <c r="M442" s="131" t="str">
        <f aca="false">IF(B442="","","Active")</f>
        <v/>
      </c>
      <c r="W442" s="120" t="str">
        <f aca="false">IF($A442="","",IF($X442&lt;&gt;"",$X442,IFERROR(INDEX('Formation Initiale'!$B$2:$B$999,MATCH($A442,'Formation Initiale'!$A$2:$A$999,0)),"Général")))</f>
        <v/>
      </c>
    </row>
    <row r="443" customFormat="false" ht="15" hidden="true" customHeight="true" outlineLevel="0" collapsed="false">
      <c r="A443" s="142" t="str">
        <f aca="false">IF(B443="","","TR"&amp;TEXT(ROW()-1,"000"))</f>
        <v/>
      </c>
      <c r="E443" s="130" t="str">
        <f aca="false">IF($O443="✓","✓",IF(ISNUMBER($O443),TEXT($O443,"yyyy-mm-dd"),IF($A443="","",IF(SUMPRODUCT(('Formation Initiale'!$A$2:$A$999=$A443)*('Formation Initiale'!$R$2:$R$999="Terminé"))&gt;0,"✓",IF(SUMPRODUCT(MAX(('Formation Initiale'!$A$2:$A$999=$A443)*'Formation Initiale'!$G$2:$G$999))&gt;0,TEXT(SUMPRODUCT(MAX(('Formation Initiale'!$A$2:$A$999=$A443)*'Formation Initiale'!$G$2:$G$999)),"yyyy-mm-dd"),"")))))</f>
        <v/>
      </c>
      <c r="F443" s="131" t="str">
        <f aca="false">IF($P443="✓","✓",IF(ISNUMBER($P443),TEXT($P443,"yyyy-mm-dd"),IF($A443="","",IF($D443="Lisbonne","",IF(SUMPRODUCT(('Formation Initiale'!$A$2:$A$999=$A443)*('Formation Initiale'!$R$2:$R$999="Terminé"))&gt;0,"✓",IF(SUMPRODUCT(MAX(('Formation Initiale'!$A$2:$A$999=$A443)*'Formation Initiale'!$G$2:$G$999))&gt;0,TEXT(SUMPRODUCT(MAX(('Formation Initiale'!$A$2:$A$999=$A443)*'Formation Initiale'!$G$2:$G$999)),"yyyy-mm-dd"),""))))))</f>
        <v/>
      </c>
      <c r="G443" s="131" t="str">
        <f aca="false">IF($Q443="✓","✓",IF(ISNUMBER($Q443),TEXT($Q443,"yyyy-mm-dd"),IF($A443="","",IF(SUMPRODUCT(('Agences &amp; Après-vente'!$A$2:$A$1000=$A443)*(('Agences &amp; Après-vente'!$D$2:$D$1000="Agences")+('Agences &amp; Après-vente'!$D$2:$D$1000="Agences et Après-vente"))*('Agences &amp; Après-vente'!$I$2:$I$1000="DONE"))&gt;0,"✓",IF(SUMPRODUCT(MAX(('Agences &amp; Après-vente'!$A$2:$A$1000=$A443)*(('Agences &amp; Après-vente'!$D$2:$D$1000="Agences")+('Agences &amp; Après-vente'!$D$2:$D$1000="Agences et Après-vente"))*'Agences &amp; Après-vente'!$E$2:$E$1000))&gt;0,TEXT(SUMPRODUCT(MAX(('Agences &amp; Après-vente'!$A$2:$A$1000=$A443)*(('Agences &amp; Après-vente'!$D$2:$D$1000="Agences")+('Agences &amp; Après-vente'!$D$2:$D$1000="Agences et Après-vente"))*'Agences &amp; Après-vente'!$E$2:$E$1000)),"yyyy-mm-dd"),"")))))</f>
        <v/>
      </c>
      <c r="H443" s="131" t="str">
        <f aca="false">IF($R443="✓","✓",IF(ISNUMBER($R443),TEXT($R443,"yyyy-mm-dd"),IF($A443="","",IF($D443="Lisbonne","",IF(SUMPRODUCT(('Agences &amp; Après-vente'!$A$2:$A$1000=$A443)*(('Agences &amp; Après-vente'!$D$2:$D$1000="Agences")+('Agences &amp; Après-vente'!$D$2:$D$1000="Agences et Après-vente"))*('Agences &amp; Après-vente'!$I$2:$I$1000="DONE"))&gt;0,"✓",IF(SUMPRODUCT(MAX(('Agences &amp; Après-vente'!$A$2:$A$1000=$A443)*(('Agences &amp; Après-vente'!$D$2:$D$1000="Agences")+('Agences &amp; Après-vente'!$D$2:$D$1000="Agences et Après-vente"))*'Agences &amp; Après-vente'!$E$2:$E$1000))&gt;0,TEXT(SUMPRODUCT(MAX(('Agences &amp; Après-vente'!$A$2:$A$1000=$A443)*(('Agences &amp; Après-vente'!$D$2:$D$1000="Agences")+('Agences &amp; Après-vente'!$D$2:$D$1000="Agences et Après-vente"))*'Agences &amp; Après-vente'!$E$2:$E$1000)),"yyyy-mm-dd"),""))))))</f>
        <v/>
      </c>
      <c r="I443" s="131" t="str">
        <f aca="false">IF($S443="✓","✓",IF(ISNUMBER($S443),TEXT($S443,"yyyy-mm-dd"),IF($A443="","",IF(SUMPRODUCT(('Agences &amp; Après-vente'!$A$2:$A$1000=$A443)*(('Agences &amp; Après-vente'!$D$2:$D$1000="Après-vente")+('Agences &amp; Après-vente'!$D$2:$D$1000="Agences et Après-vente"))*('Agences &amp; Après-vente'!$I$2:$I$1000="DONE"))&gt;0,"✓",IF(SUMPRODUCT(MAX(('Agences &amp; Après-vente'!$A$2:$A$1000=$A443)*(('Agences &amp; Après-vente'!$D$2:$D$1000="Après-vente")+('Agences &amp; Après-vente'!$D$2:$D$1000="Agences et Après-vente"))*'Agences &amp; Après-vente'!$E$2:$E$1000))&gt;0,TEXT(SUMPRODUCT(MAX(('Agences &amp; Après-vente'!$A$2:$A$1000=$A443)*(('Agences &amp; Après-vente'!$D$2:$D$1000="Après-vente")+('Agences &amp; Après-vente'!$D$2:$D$1000="Agences et Après-vente"))*'Agences &amp; Après-vente'!$E$2:$E$1000)),"yyyy-mm-dd"),"")))))</f>
        <v/>
      </c>
      <c r="J443" s="131" t="str">
        <f aca="false">IF($T443="✓","✓",IF(ISNUMBER($T443),TEXT($T443,"yyyy-mm-dd"),IF($A443="","",IF($D443="Lisbonne","",IF(SUMPRODUCT(('Agences &amp; Après-vente'!$A$2:$A$1000=$A443)*(('Agences &amp; Après-vente'!$D$2:$D$1000="Après-vente")+('Agences &amp; Après-vente'!$D$2:$D$1000="Agences et Après-vente"))*('Agences &amp; Après-vente'!$I$2:$I$1000="DONE"))&gt;0,"✓",IF(SUMPRODUCT(MAX(('Agences &amp; Après-vente'!$A$2:$A$1000=$A443)*(('Agences &amp; Après-vente'!$D$2:$D$1000="Après-vente")+('Agences &amp; Après-vente'!$D$2:$D$1000="Agences et Après-vente"))*'Agences &amp; Après-vente'!$E$2:$E$1000))&gt;0,TEXT(SUMPRODUCT(MAX(('Agences &amp; Après-vente'!$A$2:$A$1000=$A443)*(('Agences &amp; Après-vente'!$D$2:$D$1000="Après-vente")+('Agences &amp; Après-vente'!$D$2:$D$1000="Agences et Après-vente"))*'Agences &amp; Après-vente'!$E$2:$E$1000)),"yyyy-mm-dd"),""))))))</f>
        <v/>
      </c>
      <c r="K443" s="131" t="str">
        <f aca="false">IF($U443="✓","✓",IF(ISNUMBER($U443),TEXT($U443,"yyyy-mm-dd"),IF($D443="Lisbonne","",IF($A443="","",IF(SUMPRODUCT((Evermont!$A$2:$A$1000=$A443)*(Evermont!$Q$2:$Q$1000="Terminé"))&gt;0,"✓",IF(SUMPRODUCT(MAX((Evermont!$A$2:$A$1000=$A443)*Evermont!$F$2:$F$1000))&gt;0,TEXT(SUMPRODUCT(MAX((Evermont!$A$2:$A$1000=$A443)*Evermont!$F$2:$F$1000)),"yyyy-mm-dd"),""))))))</f>
        <v/>
      </c>
      <c r="L443" s="131" t="str">
        <f aca="false">IF($A443="","",COUNTIF(E443:K443,"✓"))</f>
        <v/>
      </c>
      <c r="M443" s="131" t="str">
        <f aca="false">IF(B443="","","Active")</f>
        <v/>
      </c>
      <c r="W443" s="120" t="str">
        <f aca="false">IF($A443="","",IF($X443&lt;&gt;"",$X443,IFERROR(INDEX('Formation Initiale'!$B$2:$B$999,MATCH($A443,'Formation Initiale'!$A$2:$A$999,0)),"Général")))</f>
        <v/>
      </c>
    </row>
    <row r="444" customFormat="false" ht="15" hidden="true" customHeight="true" outlineLevel="0" collapsed="false">
      <c r="A444" s="142" t="str">
        <f aca="false">IF(B444="","","TR"&amp;TEXT(ROW()-1,"000"))</f>
        <v/>
      </c>
      <c r="E444" s="130" t="str">
        <f aca="false">IF($O444="✓","✓",IF(ISNUMBER($O444),TEXT($O444,"yyyy-mm-dd"),IF($A444="","",IF(SUMPRODUCT(('Formation Initiale'!$A$2:$A$999=$A444)*('Formation Initiale'!$R$2:$R$999="Terminé"))&gt;0,"✓",IF(SUMPRODUCT(MAX(('Formation Initiale'!$A$2:$A$999=$A444)*'Formation Initiale'!$G$2:$G$999))&gt;0,TEXT(SUMPRODUCT(MAX(('Formation Initiale'!$A$2:$A$999=$A444)*'Formation Initiale'!$G$2:$G$999)),"yyyy-mm-dd"),"")))))</f>
        <v/>
      </c>
      <c r="F444" s="131" t="str">
        <f aca="false">IF($P444="✓","✓",IF(ISNUMBER($P444),TEXT($P444,"yyyy-mm-dd"),IF($A444="","",IF($D444="Lisbonne","",IF(SUMPRODUCT(('Formation Initiale'!$A$2:$A$999=$A444)*('Formation Initiale'!$R$2:$R$999="Terminé"))&gt;0,"✓",IF(SUMPRODUCT(MAX(('Formation Initiale'!$A$2:$A$999=$A444)*'Formation Initiale'!$G$2:$G$999))&gt;0,TEXT(SUMPRODUCT(MAX(('Formation Initiale'!$A$2:$A$999=$A444)*'Formation Initiale'!$G$2:$G$999)),"yyyy-mm-dd"),""))))))</f>
        <v/>
      </c>
      <c r="G444" s="131" t="str">
        <f aca="false">IF($Q444="✓","✓",IF(ISNUMBER($Q444),TEXT($Q444,"yyyy-mm-dd"),IF($A444="","",IF(SUMPRODUCT(('Agences &amp; Après-vente'!$A$2:$A$1000=$A444)*(('Agences &amp; Après-vente'!$D$2:$D$1000="Agences")+('Agences &amp; Après-vente'!$D$2:$D$1000="Agences et Après-vente"))*('Agences &amp; Après-vente'!$I$2:$I$1000="DONE"))&gt;0,"✓",IF(SUMPRODUCT(MAX(('Agences &amp; Après-vente'!$A$2:$A$1000=$A444)*(('Agences &amp; Après-vente'!$D$2:$D$1000="Agences")+('Agences &amp; Après-vente'!$D$2:$D$1000="Agences et Après-vente"))*'Agences &amp; Après-vente'!$E$2:$E$1000))&gt;0,TEXT(SUMPRODUCT(MAX(('Agences &amp; Après-vente'!$A$2:$A$1000=$A444)*(('Agences &amp; Après-vente'!$D$2:$D$1000="Agences")+('Agences &amp; Après-vente'!$D$2:$D$1000="Agences et Après-vente"))*'Agences &amp; Après-vente'!$E$2:$E$1000)),"yyyy-mm-dd"),"")))))</f>
        <v/>
      </c>
      <c r="H444" s="131" t="str">
        <f aca="false">IF($R444="✓","✓",IF(ISNUMBER($R444),TEXT($R444,"yyyy-mm-dd"),IF($A444="","",IF($D444="Lisbonne","",IF(SUMPRODUCT(('Agences &amp; Après-vente'!$A$2:$A$1000=$A444)*(('Agences &amp; Après-vente'!$D$2:$D$1000="Agences")+('Agences &amp; Après-vente'!$D$2:$D$1000="Agences et Après-vente"))*('Agences &amp; Après-vente'!$I$2:$I$1000="DONE"))&gt;0,"✓",IF(SUMPRODUCT(MAX(('Agences &amp; Après-vente'!$A$2:$A$1000=$A444)*(('Agences &amp; Après-vente'!$D$2:$D$1000="Agences")+('Agences &amp; Après-vente'!$D$2:$D$1000="Agences et Après-vente"))*'Agences &amp; Après-vente'!$E$2:$E$1000))&gt;0,TEXT(SUMPRODUCT(MAX(('Agences &amp; Après-vente'!$A$2:$A$1000=$A444)*(('Agences &amp; Après-vente'!$D$2:$D$1000="Agences")+('Agences &amp; Après-vente'!$D$2:$D$1000="Agences et Après-vente"))*'Agences &amp; Après-vente'!$E$2:$E$1000)),"yyyy-mm-dd"),""))))))</f>
        <v/>
      </c>
      <c r="I444" s="131" t="str">
        <f aca="false">IF($S444="✓","✓",IF(ISNUMBER($S444),TEXT($S444,"yyyy-mm-dd"),IF($A444="","",IF(SUMPRODUCT(('Agences &amp; Après-vente'!$A$2:$A$1000=$A444)*(('Agences &amp; Après-vente'!$D$2:$D$1000="Après-vente")+('Agences &amp; Après-vente'!$D$2:$D$1000="Agences et Après-vente"))*('Agences &amp; Après-vente'!$I$2:$I$1000="DONE"))&gt;0,"✓",IF(SUMPRODUCT(MAX(('Agences &amp; Après-vente'!$A$2:$A$1000=$A444)*(('Agences &amp; Après-vente'!$D$2:$D$1000="Après-vente")+('Agences &amp; Après-vente'!$D$2:$D$1000="Agences et Après-vente"))*'Agences &amp; Après-vente'!$E$2:$E$1000))&gt;0,TEXT(SUMPRODUCT(MAX(('Agences &amp; Après-vente'!$A$2:$A$1000=$A444)*(('Agences &amp; Après-vente'!$D$2:$D$1000="Après-vente")+('Agences &amp; Après-vente'!$D$2:$D$1000="Agences et Après-vente"))*'Agences &amp; Après-vente'!$E$2:$E$1000)),"yyyy-mm-dd"),"")))))</f>
        <v/>
      </c>
      <c r="J444" s="131" t="str">
        <f aca="false">IF($T444="✓","✓",IF(ISNUMBER($T444),TEXT($T444,"yyyy-mm-dd"),IF($A444="","",IF($D444="Lisbonne","",IF(SUMPRODUCT(('Agences &amp; Après-vente'!$A$2:$A$1000=$A444)*(('Agences &amp; Après-vente'!$D$2:$D$1000="Après-vente")+('Agences &amp; Après-vente'!$D$2:$D$1000="Agences et Après-vente"))*('Agences &amp; Après-vente'!$I$2:$I$1000="DONE"))&gt;0,"✓",IF(SUMPRODUCT(MAX(('Agences &amp; Après-vente'!$A$2:$A$1000=$A444)*(('Agences &amp; Après-vente'!$D$2:$D$1000="Après-vente")+('Agences &amp; Après-vente'!$D$2:$D$1000="Agences et Après-vente"))*'Agences &amp; Après-vente'!$E$2:$E$1000))&gt;0,TEXT(SUMPRODUCT(MAX(('Agences &amp; Après-vente'!$A$2:$A$1000=$A444)*(('Agences &amp; Après-vente'!$D$2:$D$1000="Après-vente")+('Agences &amp; Après-vente'!$D$2:$D$1000="Agences et Après-vente"))*'Agences &amp; Après-vente'!$E$2:$E$1000)),"yyyy-mm-dd"),""))))))</f>
        <v/>
      </c>
      <c r="K444" s="131" t="str">
        <f aca="false">IF($U444="✓","✓",IF(ISNUMBER($U444),TEXT($U444,"yyyy-mm-dd"),IF($D444="Lisbonne","",IF($A444="","",IF(SUMPRODUCT((Evermont!$A$2:$A$1000=$A444)*(Evermont!$Q$2:$Q$1000="Terminé"))&gt;0,"✓",IF(SUMPRODUCT(MAX((Evermont!$A$2:$A$1000=$A444)*Evermont!$F$2:$F$1000))&gt;0,TEXT(SUMPRODUCT(MAX((Evermont!$A$2:$A$1000=$A444)*Evermont!$F$2:$F$1000)),"yyyy-mm-dd"),""))))))</f>
        <v/>
      </c>
      <c r="L444" s="131" t="str">
        <f aca="false">IF($A444="","",COUNTIF(E444:K444,"✓"))</f>
        <v/>
      </c>
      <c r="M444" s="131" t="str">
        <f aca="false">IF(B444="","","Active")</f>
        <v/>
      </c>
      <c r="W444" s="120" t="str">
        <f aca="false">IF($A444="","",IF($X444&lt;&gt;"",$X444,IFERROR(INDEX('Formation Initiale'!$B$2:$B$999,MATCH($A444,'Formation Initiale'!$A$2:$A$999,0)),"Général")))</f>
        <v/>
      </c>
    </row>
    <row r="445" customFormat="false" ht="15" hidden="true" customHeight="true" outlineLevel="0" collapsed="false">
      <c r="A445" s="142" t="str">
        <f aca="false">IF(B445="","","TR"&amp;TEXT(ROW()-1,"000"))</f>
        <v/>
      </c>
      <c r="E445" s="130" t="str">
        <f aca="false">IF($O445="✓","✓",IF(ISNUMBER($O445),TEXT($O445,"yyyy-mm-dd"),IF($A445="","",IF(SUMPRODUCT(('Formation Initiale'!$A$2:$A$999=$A445)*('Formation Initiale'!$R$2:$R$999="Terminé"))&gt;0,"✓",IF(SUMPRODUCT(MAX(('Formation Initiale'!$A$2:$A$999=$A445)*'Formation Initiale'!$G$2:$G$999))&gt;0,TEXT(SUMPRODUCT(MAX(('Formation Initiale'!$A$2:$A$999=$A445)*'Formation Initiale'!$G$2:$G$999)),"yyyy-mm-dd"),"")))))</f>
        <v/>
      </c>
      <c r="F445" s="131" t="str">
        <f aca="false">IF($P445="✓","✓",IF(ISNUMBER($P445),TEXT($P445,"yyyy-mm-dd"),IF($A445="","",IF($D445="Lisbonne","",IF(SUMPRODUCT(('Formation Initiale'!$A$2:$A$999=$A445)*('Formation Initiale'!$R$2:$R$999="Terminé"))&gt;0,"✓",IF(SUMPRODUCT(MAX(('Formation Initiale'!$A$2:$A$999=$A445)*'Formation Initiale'!$G$2:$G$999))&gt;0,TEXT(SUMPRODUCT(MAX(('Formation Initiale'!$A$2:$A$999=$A445)*'Formation Initiale'!$G$2:$G$999)),"yyyy-mm-dd"),""))))))</f>
        <v/>
      </c>
      <c r="G445" s="131" t="str">
        <f aca="false">IF($Q445="✓","✓",IF(ISNUMBER($Q445),TEXT($Q445,"yyyy-mm-dd"),IF($A445="","",IF(SUMPRODUCT(('Agences &amp; Après-vente'!$A$2:$A$1000=$A445)*(('Agences &amp; Après-vente'!$D$2:$D$1000="Agences")+('Agences &amp; Après-vente'!$D$2:$D$1000="Agences et Après-vente"))*('Agences &amp; Après-vente'!$I$2:$I$1000="DONE"))&gt;0,"✓",IF(SUMPRODUCT(MAX(('Agences &amp; Après-vente'!$A$2:$A$1000=$A445)*(('Agences &amp; Après-vente'!$D$2:$D$1000="Agences")+('Agences &amp; Après-vente'!$D$2:$D$1000="Agences et Après-vente"))*'Agences &amp; Après-vente'!$E$2:$E$1000))&gt;0,TEXT(SUMPRODUCT(MAX(('Agences &amp; Après-vente'!$A$2:$A$1000=$A445)*(('Agences &amp; Après-vente'!$D$2:$D$1000="Agences")+('Agences &amp; Après-vente'!$D$2:$D$1000="Agences et Après-vente"))*'Agences &amp; Après-vente'!$E$2:$E$1000)),"yyyy-mm-dd"),"")))))</f>
        <v/>
      </c>
      <c r="H445" s="131" t="str">
        <f aca="false">IF($R445="✓","✓",IF(ISNUMBER($R445),TEXT($R445,"yyyy-mm-dd"),IF($A445="","",IF($D445="Lisbonne","",IF(SUMPRODUCT(('Agences &amp; Après-vente'!$A$2:$A$1000=$A445)*(('Agences &amp; Après-vente'!$D$2:$D$1000="Agences")+('Agences &amp; Après-vente'!$D$2:$D$1000="Agences et Après-vente"))*('Agences &amp; Après-vente'!$I$2:$I$1000="DONE"))&gt;0,"✓",IF(SUMPRODUCT(MAX(('Agences &amp; Après-vente'!$A$2:$A$1000=$A445)*(('Agences &amp; Après-vente'!$D$2:$D$1000="Agences")+('Agences &amp; Après-vente'!$D$2:$D$1000="Agences et Après-vente"))*'Agences &amp; Après-vente'!$E$2:$E$1000))&gt;0,TEXT(SUMPRODUCT(MAX(('Agences &amp; Après-vente'!$A$2:$A$1000=$A445)*(('Agences &amp; Après-vente'!$D$2:$D$1000="Agences")+('Agences &amp; Après-vente'!$D$2:$D$1000="Agences et Après-vente"))*'Agences &amp; Après-vente'!$E$2:$E$1000)),"yyyy-mm-dd"),""))))))</f>
        <v/>
      </c>
      <c r="I445" s="131" t="str">
        <f aca="false">IF($S445="✓","✓",IF(ISNUMBER($S445),TEXT($S445,"yyyy-mm-dd"),IF($A445="","",IF(SUMPRODUCT(('Agences &amp; Après-vente'!$A$2:$A$1000=$A445)*(('Agences &amp; Après-vente'!$D$2:$D$1000="Après-vente")+('Agences &amp; Après-vente'!$D$2:$D$1000="Agences et Après-vente"))*('Agences &amp; Après-vente'!$I$2:$I$1000="DONE"))&gt;0,"✓",IF(SUMPRODUCT(MAX(('Agences &amp; Après-vente'!$A$2:$A$1000=$A445)*(('Agences &amp; Après-vente'!$D$2:$D$1000="Après-vente")+('Agences &amp; Après-vente'!$D$2:$D$1000="Agences et Après-vente"))*'Agences &amp; Après-vente'!$E$2:$E$1000))&gt;0,TEXT(SUMPRODUCT(MAX(('Agences &amp; Après-vente'!$A$2:$A$1000=$A445)*(('Agences &amp; Après-vente'!$D$2:$D$1000="Après-vente")+('Agences &amp; Après-vente'!$D$2:$D$1000="Agences et Après-vente"))*'Agences &amp; Après-vente'!$E$2:$E$1000)),"yyyy-mm-dd"),"")))))</f>
        <v/>
      </c>
      <c r="J445" s="131" t="str">
        <f aca="false">IF($T445="✓","✓",IF(ISNUMBER($T445),TEXT($T445,"yyyy-mm-dd"),IF($A445="","",IF($D445="Lisbonne","",IF(SUMPRODUCT(('Agences &amp; Après-vente'!$A$2:$A$1000=$A445)*(('Agences &amp; Après-vente'!$D$2:$D$1000="Après-vente")+('Agences &amp; Après-vente'!$D$2:$D$1000="Agences et Après-vente"))*('Agences &amp; Après-vente'!$I$2:$I$1000="DONE"))&gt;0,"✓",IF(SUMPRODUCT(MAX(('Agences &amp; Après-vente'!$A$2:$A$1000=$A445)*(('Agences &amp; Après-vente'!$D$2:$D$1000="Après-vente")+('Agences &amp; Après-vente'!$D$2:$D$1000="Agences et Après-vente"))*'Agences &amp; Après-vente'!$E$2:$E$1000))&gt;0,TEXT(SUMPRODUCT(MAX(('Agences &amp; Après-vente'!$A$2:$A$1000=$A445)*(('Agences &amp; Après-vente'!$D$2:$D$1000="Après-vente")+('Agences &amp; Après-vente'!$D$2:$D$1000="Agences et Après-vente"))*'Agences &amp; Après-vente'!$E$2:$E$1000)),"yyyy-mm-dd"),""))))))</f>
        <v/>
      </c>
      <c r="K445" s="131" t="str">
        <f aca="false">IF($U445="✓","✓",IF(ISNUMBER($U445),TEXT($U445,"yyyy-mm-dd"),IF($D445="Lisbonne","",IF($A445="","",IF(SUMPRODUCT((Evermont!$A$2:$A$1000=$A445)*(Evermont!$Q$2:$Q$1000="Terminé"))&gt;0,"✓",IF(SUMPRODUCT(MAX((Evermont!$A$2:$A$1000=$A445)*Evermont!$F$2:$F$1000))&gt;0,TEXT(SUMPRODUCT(MAX((Evermont!$A$2:$A$1000=$A445)*Evermont!$F$2:$F$1000)),"yyyy-mm-dd"),""))))))</f>
        <v/>
      </c>
      <c r="L445" s="131" t="str">
        <f aca="false">IF($A445="","",COUNTIF(E445:K445,"✓"))</f>
        <v/>
      </c>
      <c r="M445" s="131" t="str">
        <f aca="false">IF(B445="","","Active")</f>
        <v/>
      </c>
      <c r="W445" s="120" t="str">
        <f aca="false">IF($A445="","",IF($X445&lt;&gt;"",$X445,IFERROR(INDEX('Formation Initiale'!$B$2:$B$999,MATCH($A445,'Formation Initiale'!$A$2:$A$999,0)),"Général")))</f>
        <v/>
      </c>
    </row>
    <row r="446" customFormat="false" ht="15" hidden="true" customHeight="true" outlineLevel="0" collapsed="false">
      <c r="A446" s="142" t="str">
        <f aca="false">IF(B446="","","TR"&amp;TEXT(ROW()-1,"000"))</f>
        <v/>
      </c>
      <c r="E446" s="130" t="str">
        <f aca="false">IF($O446="✓","✓",IF(ISNUMBER($O446),TEXT($O446,"yyyy-mm-dd"),IF($A446="","",IF(SUMPRODUCT(('Formation Initiale'!$A$2:$A$999=$A446)*('Formation Initiale'!$R$2:$R$999="Terminé"))&gt;0,"✓",IF(SUMPRODUCT(MAX(('Formation Initiale'!$A$2:$A$999=$A446)*'Formation Initiale'!$G$2:$G$999))&gt;0,TEXT(SUMPRODUCT(MAX(('Formation Initiale'!$A$2:$A$999=$A446)*'Formation Initiale'!$G$2:$G$999)),"yyyy-mm-dd"),"")))))</f>
        <v/>
      </c>
      <c r="F446" s="131" t="str">
        <f aca="false">IF($P446="✓","✓",IF(ISNUMBER($P446),TEXT($P446,"yyyy-mm-dd"),IF($A446="","",IF($D446="Lisbonne","",IF(SUMPRODUCT(('Formation Initiale'!$A$2:$A$999=$A446)*('Formation Initiale'!$R$2:$R$999="Terminé"))&gt;0,"✓",IF(SUMPRODUCT(MAX(('Formation Initiale'!$A$2:$A$999=$A446)*'Formation Initiale'!$G$2:$G$999))&gt;0,TEXT(SUMPRODUCT(MAX(('Formation Initiale'!$A$2:$A$999=$A446)*'Formation Initiale'!$G$2:$G$999)),"yyyy-mm-dd"),""))))))</f>
        <v/>
      </c>
      <c r="G446" s="131" t="str">
        <f aca="false">IF($Q446="✓","✓",IF(ISNUMBER($Q446),TEXT($Q446,"yyyy-mm-dd"),IF($A446="","",IF(SUMPRODUCT(('Agences &amp; Après-vente'!$A$2:$A$1000=$A446)*(('Agences &amp; Après-vente'!$D$2:$D$1000="Agences")+('Agences &amp; Après-vente'!$D$2:$D$1000="Agences et Après-vente"))*('Agences &amp; Après-vente'!$I$2:$I$1000="DONE"))&gt;0,"✓",IF(SUMPRODUCT(MAX(('Agences &amp; Après-vente'!$A$2:$A$1000=$A446)*(('Agences &amp; Après-vente'!$D$2:$D$1000="Agences")+('Agences &amp; Après-vente'!$D$2:$D$1000="Agences et Après-vente"))*'Agences &amp; Après-vente'!$E$2:$E$1000))&gt;0,TEXT(SUMPRODUCT(MAX(('Agences &amp; Après-vente'!$A$2:$A$1000=$A446)*(('Agences &amp; Après-vente'!$D$2:$D$1000="Agences")+('Agences &amp; Après-vente'!$D$2:$D$1000="Agences et Après-vente"))*'Agences &amp; Après-vente'!$E$2:$E$1000)),"yyyy-mm-dd"),"")))))</f>
        <v/>
      </c>
      <c r="H446" s="131" t="str">
        <f aca="false">IF($R446="✓","✓",IF(ISNUMBER($R446),TEXT($R446,"yyyy-mm-dd"),IF($A446="","",IF($D446="Lisbonne","",IF(SUMPRODUCT(('Agences &amp; Après-vente'!$A$2:$A$1000=$A446)*(('Agences &amp; Après-vente'!$D$2:$D$1000="Agences")+('Agences &amp; Après-vente'!$D$2:$D$1000="Agences et Après-vente"))*('Agences &amp; Après-vente'!$I$2:$I$1000="DONE"))&gt;0,"✓",IF(SUMPRODUCT(MAX(('Agences &amp; Après-vente'!$A$2:$A$1000=$A446)*(('Agences &amp; Après-vente'!$D$2:$D$1000="Agences")+('Agences &amp; Après-vente'!$D$2:$D$1000="Agences et Après-vente"))*'Agences &amp; Après-vente'!$E$2:$E$1000))&gt;0,TEXT(SUMPRODUCT(MAX(('Agences &amp; Après-vente'!$A$2:$A$1000=$A446)*(('Agences &amp; Après-vente'!$D$2:$D$1000="Agences")+('Agences &amp; Après-vente'!$D$2:$D$1000="Agences et Après-vente"))*'Agences &amp; Après-vente'!$E$2:$E$1000)),"yyyy-mm-dd"),""))))))</f>
        <v/>
      </c>
      <c r="I446" s="131" t="str">
        <f aca="false">IF($S446="✓","✓",IF(ISNUMBER($S446),TEXT($S446,"yyyy-mm-dd"),IF($A446="","",IF(SUMPRODUCT(('Agences &amp; Après-vente'!$A$2:$A$1000=$A446)*(('Agences &amp; Après-vente'!$D$2:$D$1000="Après-vente")+('Agences &amp; Après-vente'!$D$2:$D$1000="Agences et Après-vente"))*('Agences &amp; Après-vente'!$I$2:$I$1000="DONE"))&gt;0,"✓",IF(SUMPRODUCT(MAX(('Agences &amp; Après-vente'!$A$2:$A$1000=$A446)*(('Agences &amp; Après-vente'!$D$2:$D$1000="Après-vente")+('Agences &amp; Après-vente'!$D$2:$D$1000="Agences et Après-vente"))*'Agences &amp; Après-vente'!$E$2:$E$1000))&gt;0,TEXT(SUMPRODUCT(MAX(('Agences &amp; Après-vente'!$A$2:$A$1000=$A446)*(('Agences &amp; Après-vente'!$D$2:$D$1000="Après-vente")+('Agences &amp; Après-vente'!$D$2:$D$1000="Agences et Après-vente"))*'Agences &amp; Après-vente'!$E$2:$E$1000)),"yyyy-mm-dd"),"")))))</f>
        <v/>
      </c>
      <c r="J446" s="131" t="str">
        <f aca="false">IF($T446="✓","✓",IF(ISNUMBER($T446),TEXT($T446,"yyyy-mm-dd"),IF($A446="","",IF($D446="Lisbonne","",IF(SUMPRODUCT(('Agences &amp; Après-vente'!$A$2:$A$1000=$A446)*(('Agences &amp; Après-vente'!$D$2:$D$1000="Après-vente")+('Agences &amp; Après-vente'!$D$2:$D$1000="Agences et Après-vente"))*('Agences &amp; Après-vente'!$I$2:$I$1000="DONE"))&gt;0,"✓",IF(SUMPRODUCT(MAX(('Agences &amp; Après-vente'!$A$2:$A$1000=$A446)*(('Agences &amp; Après-vente'!$D$2:$D$1000="Après-vente")+('Agences &amp; Après-vente'!$D$2:$D$1000="Agences et Après-vente"))*'Agences &amp; Après-vente'!$E$2:$E$1000))&gt;0,TEXT(SUMPRODUCT(MAX(('Agences &amp; Après-vente'!$A$2:$A$1000=$A446)*(('Agences &amp; Après-vente'!$D$2:$D$1000="Après-vente")+('Agences &amp; Après-vente'!$D$2:$D$1000="Agences et Après-vente"))*'Agences &amp; Après-vente'!$E$2:$E$1000)),"yyyy-mm-dd"),""))))))</f>
        <v/>
      </c>
      <c r="K446" s="131" t="str">
        <f aca="false">IF($U446="✓","✓",IF(ISNUMBER($U446),TEXT($U446,"yyyy-mm-dd"),IF($D446="Lisbonne","",IF($A446="","",IF(SUMPRODUCT((Evermont!$A$2:$A$1000=$A446)*(Evermont!$Q$2:$Q$1000="Terminé"))&gt;0,"✓",IF(SUMPRODUCT(MAX((Evermont!$A$2:$A$1000=$A446)*Evermont!$F$2:$F$1000))&gt;0,TEXT(SUMPRODUCT(MAX((Evermont!$A$2:$A$1000=$A446)*Evermont!$F$2:$F$1000)),"yyyy-mm-dd"),""))))))</f>
        <v/>
      </c>
      <c r="L446" s="131" t="str">
        <f aca="false">IF($A446="","",COUNTIF(E446:K446,"✓"))</f>
        <v/>
      </c>
      <c r="M446" s="131" t="str">
        <f aca="false">IF(B446="","","Active")</f>
        <v/>
      </c>
      <c r="W446" s="120" t="str">
        <f aca="false">IF($A446="","",IF($X446&lt;&gt;"",$X446,IFERROR(INDEX('Formation Initiale'!$B$2:$B$999,MATCH($A446,'Formation Initiale'!$A$2:$A$999,0)),"Général")))</f>
        <v/>
      </c>
    </row>
    <row r="447" customFormat="false" ht="15" hidden="true" customHeight="true" outlineLevel="0" collapsed="false">
      <c r="A447" s="142" t="str">
        <f aca="false">IF(B447="","","TR"&amp;TEXT(ROW()-1,"000"))</f>
        <v/>
      </c>
      <c r="E447" s="130" t="str">
        <f aca="false">IF($O447="✓","✓",IF(ISNUMBER($O447),TEXT($O447,"yyyy-mm-dd"),IF($A447="","",IF(SUMPRODUCT(('Formation Initiale'!$A$2:$A$999=$A447)*('Formation Initiale'!$R$2:$R$999="Terminé"))&gt;0,"✓",IF(SUMPRODUCT(MAX(('Formation Initiale'!$A$2:$A$999=$A447)*'Formation Initiale'!$G$2:$G$999))&gt;0,TEXT(SUMPRODUCT(MAX(('Formation Initiale'!$A$2:$A$999=$A447)*'Formation Initiale'!$G$2:$G$999)),"yyyy-mm-dd"),"")))))</f>
        <v/>
      </c>
      <c r="F447" s="131" t="str">
        <f aca="false">IF($P447="✓","✓",IF(ISNUMBER($P447),TEXT($P447,"yyyy-mm-dd"),IF($A447="","",IF($D447="Lisbonne","",IF(SUMPRODUCT(('Formation Initiale'!$A$2:$A$999=$A447)*('Formation Initiale'!$R$2:$R$999="Terminé"))&gt;0,"✓",IF(SUMPRODUCT(MAX(('Formation Initiale'!$A$2:$A$999=$A447)*'Formation Initiale'!$G$2:$G$999))&gt;0,TEXT(SUMPRODUCT(MAX(('Formation Initiale'!$A$2:$A$999=$A447)*'Formation Initiale'!$G$2:$G$999)),"yyyy-mm-dd"),""))))))</f>
        <v/>
      </c>
      <c r="G447" s="131" t="str">
        <f aca="false">IF($Q447="✓","✓",IF(ISNUMBER($Q447),TEXT($Q447,"yyyy-mm-dd"),IF($A447="","",IF(SUMPRODUCT(('Agences &amp; Après-vente'!$A$2:$A$1000=$A447)*(('Agences &amp; Après-vente'!$D$2:$D$1000="Agences")+('Agences &amp; Après-vente'!$D$2:$D$1000="Agences et Après-vente"))*('Agences &amp; Après-vente'!$I$2:$I$1000="DONE"))&gt;0,"✓",IF(SUMPRODUCT(MAX(('Agences &amp; Après-vente'!$A$2:$A$1000=$A447)*(('Agences &amp; Après-vente'!$D$2:$D$1000="Agences")+('Agences &amp; Après-vente'!$D$2:$D$1000="Agences et Après-vente"))*'Agences &amp; Après-vente'!$E$2:$E$1000))&gt;0,TEXT(SUMPRODUCT(MAX(('Agences &amp; Après-vente'!$A$2:$A$1000=$A447)*(('Agences &amp; Après-vente'!$D$2:$D$1000="Agences")+('Agences &amp; Après-vente'!$D$2:$D$1000="Agences et Après-vente"))*'Agences &amp; Après-vente'!$E$2:$E$1000)),"yyyy-mm-dd"),"")))))</f>
        <v/>
      </c>
      <c r="H447" s="131" t="str">
        <f aca="false">IF($R447="✓","✓",IF(ISNUMBER($R447),TEXT($R447,"yyyy-mm-dd"),IF($A447="","",IF($D447="Lisbonne","",IF(SUMPRODUCT(('Agences &amp; Après-vente'!$A$2:$A$1000=$A447)*(('Agences &amp; Après-vente'!$D$2:$D$1000="Agences")+('Agences &amp; Après-vente'!$D$2:$D$1000="Agences et Après-vente"))*('Agences &amp; Après-vente'!$I$2:$I$1000="DONE"))&gt;0,"✓",IF(SUMPRODUCT(MAX(('Agences &amp; Après-vente'!$A$2:$A$1000=$A447)*(('Agences &amp; Après-vente'!$D$2:$D$1000="Agences")+('Agences &amp; Après-vente'!$D$2:$D$1000="Agences et Après-vente"))*'Agences &amp; Après-vente'!$E$2:$E$1000))&gt;0,TEXT(SUMPRODUCT(MAX(('Agences &amp; Après-vente'!$A$2:$A$1000=$A447)*(('Agences &amp; Après-vente'!$D$2:$D$1000="Agences")+('Agences &amp; Après-vente'!$D$2:$D$1000="Agences et Après-vente"))*'Agences &amp; Après-vente'!$E$2:$E$1000)),"yyyy-mm-dd"),""))))))</f>
        <v/>
      </c>
      <c r="I447" s="131" t="str">
        <f aca="false">IF($S447="✓","✓",IF(ISNUMBER($S447),TEXT($S447,"yyyy-mm-dd"),IF($A447="","",IF(SUMPRODUCT(('Agences &amp; Après-vente'!$A$2:$A$1000=$A447)*(('Agences &amp; Après-vente'!$D$2:$D$1000="Après-vente")+('Agences &amp; Après-vente'!$D$2:$D$1000="Agences et Après-vente"))*('Agences &amp; Après-vente'!$I$2:$I$1000="DONE"))&gt;0,"✓",IF(SUMPRODUCT(MAX(('Agences &amp; Après-vente'!$A$2:$A$1000=$A447)*(('Agences &amp; Après-vente'!$D$2:$D$1000="Après-vente")+('Agences &amp; Après-vente'!$D$2:$D$1000="Agences et Après-vente"))*'Agences &amp; Après-vente'!$E$2:$E$1000))&gt;0,TEXT(SUMPRODUCT(MAX(('Agences &amp; Après-vente'!$A$2:$A$1000=$A447)*(('Agences &amp; Après-vente'!$D$2:$D$1000="Après-vente")+('Agences &amp; Après-vente'!$D$2:$D$1000="Agences et Après-vente"))*'Agences &amp; Après-vente'!$E$2:$E$1000)),"yyyy-mm-dd"),"")))))</f>
        <v/>
      </c>
      <c r="J447" s="131" t="str">
        <f aca="false">IF($T447="✓","✓",IF(ISNUMBER($T447),TEXT($T447,"yyyy-mm-dd"),IF($A447="","",IF($D447="Lisbonne","",IF(SUMPRODUCT(('Agences &amp; Après-vente'!$A$2:$A$1000=$A447)*(('Agences &amp; Après-vente'!$D$2:$D$1000="Après-vente")+('Agences &amp; Après-vente'!$D$2:$D$1000="Agences et Après-vente"))*('Agences &amp; Après-vente'!$I$2:$I$1000="DONE"))&gt;0,"✓",IF(SUMPRODUCT(MAX(('Agences &amp; Après-vente'!$A$2:$A$1000=$A447)*(('Agences &amp; Après-vente'!$D$2:$D$1000="Après-vente")+('Agences &amp; Après-vente'!$D$2:$D$1000="Agences et Après-vente"))*'Agences &amp; Après-vente'!$E$2:$E$1000))&gt;0,TEXT(SUMPRODUCT(MAX(('Agences &amp; Après-vente'!$A$2:$A$1000=$A447)*(('Agences &amp; Après-vente'!$D$2:$D$1000="Après-vente")+('Agences &amp; Après-vente'!$D$2:$D$1000="Agences et Après-vente"))*'Agences &amp; Après-vente'!$E$2:$E$1000)),"yyyy-mm-dd"),""))))))</f>
        <v/>
      </c>
      <c r="K447" s="131" t="str">
        <f aca="false">IF($U447="✓","✓",IF(ISNUMBER($U447),TEXT($U447,"yyyy-mm-dd"),IF($D447="Lisbonne","",IF($A447="","",IF(SUMPRODUCT((Evermont!$A$2:$A$1000=$A447)*(Evermont!$Q$2:$Q$1000="Terminé"))&gt;0,"✓",IF(SUMPRODUCT(MAX((Evermont!$A$2:$A$1000=$A447)*Evermont!$F$2:$F$1000))&gt;0,TEXT(SUMPRODUCT(MAX((Evermont!$A$2:$A$1000=$A447)*Evermont!$F$2:$F$1000)),"yyyy-mm-dd"),""))))))</f>
        <v/>
      </c>
      <c r="L447" s="131" t="str">
        <f aca="false">IF($A447="","",COUNTIF(E447:K447,"✓"))</f>
        <v/>
      </c>
      <c r="M447" s="131" t="str">
        <f aca="false">IF(B447="","","Active")</f>
        <v/>
      </c>
      <c r="W447" s="120" t="str">
        <f aca="false">IF($A447="","",IF($X447&lt;&gt;"",$X447,IFERROR(INDEX('Formation Initiale'!$B$2:$B$999,MATCH($A447,'Formation Initiale'!$A$2:$A$999,0)),"Général")))</f>
        <v/>
      </c>
    </row>
    <row r="448" customFormat="false" ht="15" hidden="true" customHeight="true" outlineLevel="0" collapsed="false">
      <c r="A448" s="142" t="str">
        <f aca="false">IF(B448="","","TR"&amp;TEXT(ROW()-1,"000"))</f>
        <v/>
      </c>
      <c r="E448" s="130" t="str">
        <f aca="false">IF($O448="✓","✓",IF(ISNUMBER($O448),TEXT($O448,"yyyy-mm-dd"),IF($A448="","",IF(SUMPRODUCT(('Formation Initiale'!$A$2:$A$999=$A448)*('Formation Initiale'!$R$2:$R$999="Terminé"))&gt;0,"✓",IF(SUMPRODUCT(MAX(('Formation Initiale'!$A$2:$A$999=$A448)*'Formation Initiale'!$G$2:$G$999))&gt;0,TEXT(SUMPRODUCT(MAX(('Formation Initiale'!$A$2:$A$999=$A448)*'Formation Initiale'!$G$2:$G$999)),"yyyy-mm-dd"),"")))))</f>
        <v/>
      </c>
      <c r="F448" s="131" t="str">
        <f aca="false">IF($P448="✓","✓",IF(ISNUMBER($P448),TEXT($P448,"yyyy-mm-dd"),IF($A448="","",IF($D448="Lisbonne","",IF(SUMPRODUCT(('Formation Initiale'!$A$2:$A$999=$A448)*('Formation Initiale'!$R$2:$R$999="Terminé"))&gt;0,"✓",IF(SUMPRODUCT(MAX(('Formation Initiale'!$A$2:$A$999=$A448)*'Formation Initiale'!$G$2:$G$999))&gt;0,TEXT(SUMPRODUCT(MAX(('Formation Initiale'!$A$2:$A$999=$A448)*'Formation Initiale'!$G$2:$G$999)),"yyyy-mm-dd"),""))))))</f>
        <v/>
      </c>
      <c r="G448" s="131" t="str">
        <f aca="false">IF($Q448="✓","✓",IF(ISNUMBER($Q448),TEXT($Q448,"yyyy-mm-dd"),IF($A448="","",IF(SUMPRODUCT(('Agences &amp; Après-vente'!$A$2:$A$1000=$A448)*(('Agences &amp; Après-vente'!$D$2:$D$1000="Agences")+('Agences &amp; Après-vente'!$D$2:$D$1000="Agences et Après-vente"))*('Agences &amp; Après-vente'!$I$2:$I$1000="DONE"))&gt;0,"✓",IF(SUMPRODUCT(MAX(('Agences &amp; Après-vente'!$A$2:$A$1000=$A448)*(('Agences &amp; Après-vente'!$D$2:$D$1000="Agences")+('Agences &amp; Après-vente'!$D$2:$D$1000="Agences et Après-vente"))*'Agences &amp; Après-vente'!$E$2:$E$1000))&gt;0,TEXT(SUMPRODUCT(MAX(('Agences &amp; Après-vente'!$A$2:$A$1000=$A448)*(('Agences &amp; Après-vente'!$D$2:$D$1000="Agences")+('Agences &amp; Après-vente'!$D$2:$D$1000="Agences et Après-vente"))*'Agences &amp; Après-vente'!$E$2:$E$1000)),"yyyy-mm-dd"),"")))))</f>
        <v/>
      </c>
      <c r="H448" s="131" t="str">
        <f aca="false">IF($R448="✓","✓",IF(ISNUMBER($R448),TEXT($R448,"yyyy-mm-dd"),IF($A448="","",IF($D448="Lisbonne","",IF(SUMPRODUCT(('Agences &amp; Après-vente'!$A$2:$A$1000=$A448)*(('Agences &amp; Après-vente'!$D$2:$D$1000="Agences")+('Agences &amp; Après-vente'!$D$2:$D$1000="Agences et Après-vente"))*('Agences &amp; Après-vente'!$I$2:$I$1000="DONE"))&gt;0,"✓",IF(SUMPRODUCT(MAX(('Agences &amp; Après-vente'!$A$2:$A$1000=$A448)*(('Agences &amp; Après-vente'!$D$2:$D$1000="Agences")+('Agences &amp; Après-vente'!$D$2:$D$1000="Agences et Après-vente"))*'Agences &amp; Après-vente'!$E$2:$E$1000))&gt;0,TEXT(SUMPRODUCT(MAX(('Agences &amp; Après-vente'!$A$2:$A$1000=$A448)*(('Agences &amp; Après-vente'!$D$2:$D$1000="Agences")+('Agences &amp; Après-vente'!$D$2:$D$1000="Agences et Après-vente"))*'Agences &amp; Après-vente'!$E$2:$E$1000)),"yyyy-mm-dd"),""))))))</f>
        <v/>
      </c>
      <c r="I448" s="131" t="str">
        <f aca="false">IF($S448="✓","✓",IF(ISNUMBER($S448),TEXT($S448,"yyyy-mm-dd"),IF($A448="","",IF(SUMPRODUCT(('Agences &amp; Après-vente'!$A$2:$A$1000=$A448)*(('Agences &amp; Après-vente'!$D$2:$D$1000="Après-vente")+('Agences &amp; Après-vente'!$D$2:$D$1000="Agences et Après-vente"))*('Agences &amp; Après-vente'!$I$2:$I$1000="DONE"))&gt;0,"✓",IF(SUMPRODUCT(MAX(('Agences &amp; Après-vente'!$A$2:$A$1000=$A448)*(('Agences &amp; Après-vente'!$D$2:$D$1000="Après-vente")+('Agences &amp; Après-vente'!$D$2:$D$1000="Agences et Après-vente"))*'Agences &amp; Après-vente'!$E$2:$E$1000))&gt;0,TEXT(SUMPRODUCT(MAX(('Agences &amp; Après-vente'!$A$2:$A$1000=$A448)*(('Agences &amp; Après-vente'!$D$2:$D$1000="Après-vente")+('Agences &amp; Après-vente'!$D$2:$D$1000="Agences et Après-vente"))*'Agences &amp; Après-vente'!$E$2:$E$1000)),"yyyy-mm-dd"),"")))))</f>
        <v/>
      </c>
      <c r="J448" s="131" t="str">
        <f aca="false">IF($T448="✓","✓",IF(ISNUMBER($T448),TEXT($T448,"yyyy-mm-dd"),IF($A448="","",IF($D448="Lisbonne","",IF(SUMPRODUCT(('Agences &amp; Après-vente'!$A$2:$A$1000=$A448)*(('Agences &amp; Après-vente'!$D$2:$D$1000="Après-vente")+('Agences &amp; Après-vente'!$D$2:$D$1000="Agences et Après-vente"))*('Agences &amp; Après-vente'!$I$2:$I$1000="DONE"))&gt;0,"✓",IF(SUMPRODUCT(MAX(('Agences &amp; Après-vente'!$A$2:$A$1000=$A448)*(('Agences &amp; Après-vente'!$D$2:$D$1000="Après-vente")+('Agences &amp; Après-vente'!$D$2:$D$1000="Agences et Après-vente"))*'Agences &amp; Après-vente'!$E$2:$E$1000))&gt;0,TEXT(SUMPRODUCT(MAX(('Agences &amp; Après-vente'!$A$2:$A$1000=$A448)*(('Agences &amp; Après-vente'!$D$2:$D$1000="Après-vente")+('Agences &amp; Après-vente'!$D$2:$D$1000="Agences et Après-vente"))*'Agences &amp; Après-vente'!$E$2:$E$1000)),"yyyy-mm-dd"),""))))))</f>
        <v/>
      </c>
      <c r="K448" s="131" t="str">
        <f aca="false">IF($U448="✓","✓",IF(ISNUMBER($U448),TEXT($U448,"yyyy-mm-dd"),IF($D448="Lisbonne","",IF($A448="","",IF(SUMPRODUCT((Evermont!$A$2:$A$1000=$A448)*(Evermont!$Q$2:$Q$1000="Terminé"))&gt;0,"✓",IF(SUMPRODUCT(MAX((Evermont!$A$2:$A$1000=$A448)*Evermont!$F$2:$F$1000))&gt;0,TEXT(SUMPRODUCT(MAX((Evermont!$A$2:$A$1000=$A448)*Evermont!$F$2:$F$1000)),"yyyy-mm-dd"),""))))))</f>
        <v/>
      </c>
      <c r="L448" s="131" t="str">
        <f aca="false">IF($A448="","",COUNTIF(E448:K448,"✓"))</f>
        <v/>
      </c>
      <c r="M448" s="131" t="str">
        <f aca="false">IF(B448="","","Active")</f>
        <v/>
      </c>
      <c r="W448" s="120" t="str">
        <f aca="false">IF($A448="","",IF($X448&lt;&gt;"",$X448,IFERROR(INDEX('Formation Initiale'!$B$2:$B$999,MATCH($A448,'Formation Initiale'!$A$2:$A$999,0)),"Général")))</f>
        <v/>
      </c>
    </row>
    <row r="449" customFormat="false" ht="15" hidden="true" customHeight="true" outlineLevel="0" collapsed="false">
      <c r="A449" s="142" t="str">
        <f aca="false">IF(B449="","","TR"&amp;TEXT(ROW()-1,"000"))</f>
        <v/>
      </c>
      <c r="E449" s="130" t="str">
        <f aca="false">IF($O449="✓","✓",IF(ISNUMBER($O449),TEXT($O449,"yyyy-mm-dd"),IF($A449="","",IF(SUMPRODUCT(('Formation Initiale'!$A$2:$A$999=$A449)*('Formation Initiale'!$R$2:$R$999="Terminé"))&gt;0,"✓",IF(SUMPRODUCT(MAX(('Formation Initiale'!$A$2:$A$999=$A449)*'Formation Initiale'!$G$2:$G$999))&gt;0,TEXT(SUMPRODUCT(MAX(('Formation Initiale'!$A$2:$A$999=$A449)*'Formation Initiale'!$G$2:$G$999)),"yyyy-mm-dd"),"")))))</f>
        <v/>
      </c>
      <c r="F449" s="131" t="str">
        <f aca="false">IF($P449="✓","✓",IF(ISNUMBER($P449),TEXT($P449,"yyyy-mm-dd"),IF($A449="","",IF($D449="Lisbonne","",IF(SUMPRODUCT(('Formation Initiale'!$A$2:$A$999=$A449)*('Formation Initiale'!$R$2:$R$999="Terminé"))&gt;0,"✓",IF(SUMPRODUCT(MAX(('Formation Initiale'!$A$2:$A$999=$A449)*'Formation Initiale'!$G$2:$G$999))&gt;0,TEXT(SUMPRODUCT(MAX(('Formation Initiale'!$A$2:$A$999=$A449)*'Formation Initiale'!$G$2:$G$999)),"yyyy-mm-dd"),""))))))</f>
        <v/>
      </c>
      <c r="G449" s="131" t="str">
        <f aca="false">IF($Q449="✓","✓",IF(ISNUMBER($Q449),TEXT($Q449,"yyyy-mm-dd"),IF($A449="","",IF(SUMPRODUCT(('Agences &amp; Après-vente'!$A$2:$A$1000=$A449)*(('Agences &amp; Après-vente'!$D$2:$D$1000="Agences")+('Agences &amp; Après-vente'!$D$2:$D$1000="Agences et Après-vente"))*('Agences &amp; Après-vente'!$I$2:$I$1000="DONE"))&gt;0,"✓",IF(SUMPRODUCT(MAX(('Agences &amp; Après-vente'!$A$2:$A$1000=$A449)*(('Agences &amp; Après-vente'!$D$2:$D$1000="Agences")+('Agences &amp; Après-vente'!$D$2:$D$1000="Agences et Après-vente"))*'Agences &amp; Après-vente'!$E$2:$E$1000))&gt;0,TEXT(SUMPRODUCT(MAX(('Agences &amp; Après-vente'!$A$2:$A$1000=$A449)*(('Agences &amp; Après-vente'!$D$2:$D$1000="Agences")+('Agences &amp; Après-vente'!$D$2:$D$1000="Agences et Après-vente"))*'Agences &amp; Après-vente'!$E$2:$E$1000)),"yyyy-mm-dd"),"")))))</f>
        <v/>
      </c>
      <c r="H449" s="131" t="str">
        <f aca="false">IF($R449="✓","✓",IF(ISNUMBER($R449),TEXT($R449,"yyyy-mm-dd"),IF($A449="","",IF($D449="Lisbonne","",IF(SUMPRODUCT(('Agences &amp; Après-vente'!$A$2:$A$1000=$A449)*(('Agences &amp; Après-vente'!$D$2:$D$1000="Agences")+('Agences &amp; Après-vente'!$D$2:$D$1000="Agences et Après-vente"))*('Agences &amp; Après-vente'!$I$2:$I$1000="DONE"))&gt;0,"✓",IF(SUMPRODUCT(MAX(('Agences &amp; Après-vente'!$A$2:$A$1000=$A449)*(('Agences &amp; Après-vente'!$D$2:$D$1000="Agences")+('Agences &amp; Après-vente'!$D$2:$D$1000="Agences et Après-vente"))*'Agences &amp; Après-vente'!$E$2:$E$1000))&gt;0,TEXT(SUMPRODUCT(MAX(('Agences &amp; Après-vente'!$A$2:$A$1000=$A449)*(('Agences &amp; Après-vente'!$D$2:$D$1000="Agences")+('Agences &amp; Après-vente'!$D$2:$D$1000="Agences et Après-vente"))*'Agences &amp; Après-vente'!$E$2:$E$1000)),"yyyy-mm-dd"),""))))))</f>
        <v/>
      </c>
      <c r="I449" s="131" t="str">
        <f aca="false">IF($S449="✓","✓",IF(ISNUMBER($S449),TEXT($S449,"yyyy-mm-dd"),IF($A449="","",IF(SUMPRODUCT(('Agences &amp; Après-vente'!$A$2:$A$1000=$A449)*(('Agences &amp; Après-vente'!$D$2:$D$1000="Après-vente")+('Agences &amp; Après-vente'!$D$2:$D$1000="Agences et Après-vente"))*('Agences &amp; Après-vente'!$I$2:$I$1000="DONE"))&gt;0,"✓",IF(SUMPRODUCT(MAX(('Agences &amp; Après-vente'!$A$2:$A$1000=$A449)*(('Agences &amp; Après-vente'!$D$2:$D$1000="Après-vente")+('Agences &amp; Après-vente'!$D$2:$D$1000="Agences et Après-vente"))*'Agences &amp; Après-vente'!$E$2:$E$1000))&gt;0,TEXT(SUMPRODUCT(MAX(('Agences &amp; Après-vente'!$A$2:$A$1000=$A449)*(('Agences &amp; Après-vente'!$D$2:$D$1000="Après-vente")+('Agences &amp; Après-vente'!$D$2:$D$1000="Agences et Après-vente"))*'Agences &amp; Après-vente'!$E$2:$E$1000)),"yyyy-mm-dd"),"")))))</f>
        <v/>
      </c>
      <c r="J449" s="131" t="str">
        <f aca="false">IF($T449="✓","✓",IF(ISNUMBER($T449),TEXT($T449,"yyyy-mm-dd"),IF($A449="","",IF($D449="Lisbonne","",IF(SUMPRODUCT(('Agences &amp; Après-vente'!$A$2:$A$1000=$A449)*(('Agences &amp; Après-vente'!$D$2:$D$1000="Après-vente")+('Agences &amp; Après-vente'!$D$2:$D$1000="Agences et Après-vente"))*('Agences &amp; Après-vente'!$I$2:$I$1000="DONE"))&gt;0,"✓",IF(SUMPRODUCT(MAX(('Agences &amp; Après-vente'!$A$2:$A$1000=$A449)*(('Agences &amp; Après-vente'!$D$2:$D$1000="Après-vente")+('Agences &amp; Après-vente'!$D$2:$D$1000="Agences et Après-vente"))*'Agences &amp; Après-vente'!$E$2:$E$1000))&gt;0,TEXT(SUMPRODUCT(MAX(('Agences &amp; Après-vente'!$A$2:$A$1000=$A449)*(('Agences &amp; Après-vente'!$D$2:$D$1000="Après-vente")+('Agences &amp; Après-vente'!$D$2:$D$1000="Agences et Après-vente"))*'Agences &amp; Après-vente'!$E$2:$E$1000)),"yyyy-mm-dd"),""))))))</f>
        <v/>
      </c>
      <c r="K449" s="131" t="str">
        <f aca="false">IF($U449="✓","✓",IF(ISNUMBER($U449),TEXT($U449,"yyyy-mm-dd"),IF($D449="Lisbonne","",IF($A449="","",IF(SUMPRODUCT((Evermont!$A$2:$A$1000=$A449)*(Evermont!$Q$2:$Q$1000="Terminé"))&gt;0,"✓",IF(SUMPRODUCT(MAX((Evermont!$A$2:$A$1000=$A449)*Evermont!$F$2:$F$1000))&gt;0,TEXT(SUMPRODUCT(MAX((Evermont!$A$2:$A$1000=$A449)*Evermont!$F$2:$F$1000)),"yyyy-mm-dd"),""))))))</f>
        <v/>
      </c>
      <c r="L449" s="131" t="str">
        <f aca="false">IF($A449="","",COUNTIF(E449:K449,"✓"))</f>
        <v/>
      </c>
      <c r="M449" s="131" t="str">
        <f aca="false">IF(B449="","","Active")</f>
        <v/>
      </c>
      <c r="W449" s="120" t="str">
        <f aca="false">IF($A449="","",IF($X449&lt;&gt;"",$X449,IFERROR(INDEX('Formation Initiale'!$B$2:$B$999,MATCH($A449,'Formation Initiale'!$A$2:$A$999,0)),"Général")))</f>
        <v/>
      </c>
    </row>
    <row r="450" customFormat="false" ht="15" hidden="true" customHeight="true" outlineLevel="0" collapsed="false">
      <c r="A450" s="142" t="str">
        <f aca="false">IF(B450="","","TR"&amp;TEXT(ROW()-1,"000"))</f>
        <v/>
      </c>
      <c r="E450" s="130" t="str">
        <f aca="false">IF($O450="✓","✓",IF(ISNUMBER($O450),TEXT($O450,"yyyy-mm-dd"),IF($A450="","",IF(SUMPRODUCT(('Formation Initiale'!$A$2:$A$999=$A450)*('Formation Initiale'!$R$2:$R$999="Terminé"))&gt;0,"✓",IF(SUMPRODUCT(MAX(('Formation Initiale'!$A$2:$A$999=$A450)*'Formation Initiale'!$G$2:$G$999))&gt;0,TEXT(SUMPRODUCT(MAX(('Formation Initiale'!$A$2:$A$999=$A450)*'Formation Initiale'!$G$2:$G$999)),"yyyy-mm-dd"),"")))))</f>
        <v/>
      </c>
      <c r="F450" s="131" t="str">
        <f aca="false">IF($P450="✓","✓",IF(ISNUMBER($P450),TEXT($P450,"yyyy-mm-dd"),IF($A450="","",IF($D450="Lisbonne","",IF(SUMPRODUCT(('Formation Initiale'!$A$2:$A$999=$A450)*('Formation Initiale'!$R$2:$R$999="Terminé"))&gt;0,"✓",IF(SUMPRODUCT(MAX(('Formation Initiale'!$A$2:$A$999=$A450)*'Formation Initiale'!$G$2:$G$999))&gt;0,TEXT(SUMPRODUCT(MAX(('Formation Initiale'!$A$2:$A$999=$A450)*'Formation Initiale'!$G$2:$G$999)),"yyyy-mm-dd"),""))))))</f>
        <v/>
      </c>
      <c r="G450" s="131" t="str">
        <f aca="false">IF($Q450="✓","✓",IF(ISNUMBER($Q450),TEXT($Q450,"yyyy-mm-dd"),IF($A450="","",IF(SUMPRODUCT(('Agences &amp; Après-vente'!$A$2:$A$1000=$A450)*(('Agences &amp; Après-vente'!$D$2:$D$1000="Agences")+('Agences &amp; Après-vente'!$D$2:$D$1000="Agences et Après-vente"))*('Agences &amp; Après-vente'!$I$2:$I$1000="DONE"))&gt;0,"✓",IF(SUMPRODUCT(MAX(('Agences &amp; Après-vente'!$A$2:$A$1000=$A450)*(('Agences &amp; Après-vente'!$D$2:$D$1000="Agences")+('Agences &amp; Après-vente'!$D$2:$D$1000="Agences et Après-vente"))*'Agences &amp; Après-vente'!$E$2:$E$1000))&gt;0,TEXT(SUMPRODUCT(MAX(('Agences &amp; Après-vente'!$A$2:$A$1000=$A450)*(('Agences &amp; Après-vente'!$D$2:$D$1000="Agences")+('Agences &amp; Après-vente'!$D$2:$D$1000="Agences et Après-vente"))*'Agences &amp; Après-vente'!$E$2:$E$1000)),"yyyy-mm-dd"),"")))))</f>
        <v/>
      </c>
      <c r="H450" s="131" t="str">
        <f aca="false">IF($R450="✓","✓",IF(ISNUMBER($R450),TEXT($R450,"yyyy-mm-dd"),IF($A450="","",IF($D450="Lisbonne","",IF(SUMPRODUCT(('Agences &amp; Après-vente'!$A$2:$A$1000=$A450)*(('Agences &amp; Après-vente'!$D$2:$D$1000="Agences")+('Agences &amp; Après-vente'!$D$2:$D$1000="Agences et Après-vente"))*('Agences &amp; Après-vente'!$I$2:$I$1000="DONE"))&gt;0,"✓",IF(SUMPRODUCT(MAX(('Agences &amp; Après-vente'!$A$2:$A$1000=$A450)*(('Agences &amp; Après-vente'!$D$2:$D$1000="Agences")+('Agences &amp; Après-vente'!$D$2:$D$1000="Agences et Après-vente"))*'Agences &amp; Après-vente'!$E$2:$E$1000))&gt;0,TEXT(SUMPRODUCT(MAX(('Agences &amp; Après-vente'!$A$2:$A$1000=$A450)*(('Agences &amp; Après-vente'!$D$2:$D$1000="Agences")+('Agences &amp; Après-vente'!$D$2:$D$1000="Agences et Après-vente"))*'Agences &amp; Après-vente'!$E$2:$E$1000)),"yyyy-mm-dd"),""))))))</f>
        <v/>
      </c>
      <c r="I450" s="131" t="str">
        <f aca="false">IF($S450="✓","✓",IF(ISNUMBER($S450),TEXT($S450,"yyyy-mm-dd"),IF($A450="","",IF(SUMPRODUCT(('Agences &amp; Après-vente'!$A$2:$A$1000=$A450)*(('Agences &amp; Après-vente'!$D$2:$D$1000="Après-vente")+('Agences &amp; Après-vente'!$D$2:$D$1000="Agences et Après-vente"))*('Agences &amp; Après-vente'!$I$2:$I$1000="DONE"))&gt;0,"✓",IF(SUMPRODUCT(MAX(('Agences &amp; Après-vente'!$A$2:$A$1000=$A450)*(('Agences &amp; Après-vente'!$D$2:$D$1000="Après-vente")+('Agences &amp; Après-vente'!$D$2:$D$1000="Agences et Après-vente"))*'Agences &amp; Après-vente'!$E$2:$E$1000))&gt;0,TEXT(SUMPRODUCT(MAX(('Agences &amp; Après-vente'!$A$2:$A$1000=$A450)*(('Agences &amp; Après-vente'!$D$2:$D$1000="Après-vente")+('Agences &amp; Après-vente'!$D$2:$D$1000="Agences et Après-vente"))*'Agences &amp; Après-vente'!$E$2:$E$1000)),"yyyy-mm-dd"),"")))))</f>
        <v/>
      </c>
      <c r="J450" s="131" t="str">
        <f aca="false">IF($T450="✓","✓",IF(ISNUMBER($T450),TEXT($T450,"yyyy-mm-dd"),IF($A450="","",IF($D450="Lisbonne","",IF(SUMPRODUCT(('Agences &amp; Après-vente'!$A$2:$A$1000=$A450)*(('Agences &amp; Après-vente'!$D$2:$D$1000="Après-vente")+('Agences &amp; Après-vente'!$D$2:$D$1000="Agences et Après-vente"))*('Agences &amp; Après-vente'!$I$2:$I$1000="DONE"))&gt;0,"✓",IF(SUMPRODUCT(MAX(('Agences &amp; Après-vente'!$A$2:$A$1000=$A450)*(('Agences &amp; Après-vente'!$D$2:$D$1000="Après-vente")+('Agences &amp; Après-vente'!$D$2:$D$1000="Agences et Après-vente"))*'Agences &amp; Après-vente'!$E$2:$E$1000))&gt;0,TEXT(SUMPRODUCT(MAX(('Agences &amp; Après-vente'!$A$2:$A$1000=$A450)*(('Agences &amp; Après-vente'!$D$2:$D$1000="Après-vente")+('Agences &amp; Après-vente'!$D$2:$D$1000="Agences et Après-vente"))*'Agences &amp; Après-vente'!$E$2:$E$1000)),"yyyy-mm-dd"),""))))))</f>
        <v/>
      </c>
      <c r="K450" s="131" t="str">
        <f aca="false">IF($U450="✓","✓",IF(ISNUMBER($U450),TEXT($U450,"yyyy-mm-dd"),IF($D450="Lisbonne","",IF($A450="","",IF(SUMPRODUCT((Evermont!$A$2:$A$1000=$A450)*(Evermont!$Q$2:$Q$1000="Terminé"))&gt;0,"✓",IF(SUMPRODUCT(MAX((Evermont!$A$2:$A$1000=$A450)*Evermont!$F$2:$F$1000))&gt;0,TEXT(SUMPRODUCT(MAX((Evermont!$A$2:$A$1000=$A450)*Evermont!$F$2:$F$1000)),"yyyy-mm-dd"),""))))))</f>
        <v/>
      </c>
      <c r="L450" s="131" t="str">
        <f aca="false">IF($A450="","",COUNTIF(E450:K450,"✓"))</f>
        <v/>
      </c>
      <c r="M450" s="131" t="str">
        <f aca="false">IF(B450="","","Active")</f>
        <v/>
      </c>
      <c r="W450" s="120" t="str">
        <f aca="false">IF($A450="","",IF($X450&lt;&gt;"",$X450,IFERROR(INDEX('Formation Initiale'!$B$2:$B$999,MATCH($A450,'Formation Initiale'!$A$2:$A$999,0)),"Général")))</f>
        <v/>
      </c>
    </row>
    <row r="451" customFormat="false" ht="15" hidden="true" customHeight="true" outlineLevel="0" collapsed="false">
      <c r="A451" s="142" t="str">
        <f aca="false">IF(B451="","","TR"&amp;TEXT(ROW()-1,"000"))</f>
        <v/>
      </c>
      <c r="E451" s="130" t="str">
        <f aca="false">IF($O451="✓","✓",IF(ISNUMBER($O451),TEXT($O451,"yyyy-mm-dd"),IF($A451="","",IF(SUMPRODUCT(('Formation Initiale'!$A$2:$A$999=$A451)*('Formation Initiale'!$R$2:$R$999="Terminé"))&gt;0,"✓",IF(SUMPRODUCT(MAX(('Formation Initiale'!$A$2:$A$999=$A451)*'Formation Initiale'!$G$2:$G$999))&gt;0,TEXT(SUMPRODUCT(MAX(('Formation Initiale'!$A$2:$A$999=$A451)*'Formation Initiale'!$G$2:$G$999)),"yyyy-mm-dd"),"")))))</f>
        <v/>
      </c>
      <c r="F451" s="131" t="str">
        <f aca="false">IF($P451="✓","✓",IF(ISNUMBER($P451),TEXT($P451,"yyyy-mm-dd"),IF($A451="","",IF($D451="Lisbonne","",IF(SUMPRODUCT(('Formation Initiale'!$A$2:$A$999=$A451)*('Formation Initiale'!$R$2:$R$999="Terminé"))&gt;0,"✓",IF(SUMPRODUCT(MAX(('Formation Initiale'!$A$2:$A$999=$A451)*'Formation Initiale'!$G$2:$G$999))&gt;0,TEXT(SUMPRODUCT(MAX(('Formation Initiale'!$A$2:$A$999=$A451)*'Formation Initiale'!$G$2:$G$999)),"yyyy-mm-dd"),""))))))</f>
        <v/>
      </c>
      <c r="G451" s="131" t="str">
        <f aca="false">IF($Q451="✓","✓",IF(ISNUMBER($Q451),TEXT($Q451,"yyyy-mm-dd"),IF($A451="","",IF(SUMPRODUCT(('Agences &amp; Après-vente'!$A$2:$A$1000=$A451)*(('Agences &amp; Après-vente'!$D$2:$D$1000="Agences")+('Agences &amp; Après-vente'!$D$2:$D$1000="Agences et Après-vente"))*('Agences &amp; Après-vente'!$I$2:$I$1000="DONE"))&gt;0,"✓",IF(SUMPRODUCT(MAX(('Agences &amp; Après-vente'!$A$2:$A$1000=$A451)*(('Agences &amp; Après-vente'!$D$2:$D$1000="Agences")+('Agences &amp; Après-vente'!$D$2:$D$1000="Agences et Après-vente"))*'Agences &amp; Après-vente'!$E$2:$E$1000))&gt;0,TEXT(SUMPRODUCT(MAX(('Agences &amp; Après-vente'!$A$2:$A$1000=$A451)*(('Agences &amp; Après-vente'!$D$2:$D$1000="Agences")+('Agences &amp; Après-vente'!$D$2:$D$1000="Agences et Après-vente"))*'Agences &amp; Après-vente'!$E$2:$E$1000)),"yyyy-mm-dd"),"")))))</f>
        <v/>
      </c>
      <c r="H451" s="131" t="str">
        <f aca="false">IF($R451="✓","✓",IF(ISNUMBER($R451),TEXT($R451,"yyyy-mm-dd"),IF($A451="","",IF($D451="Lisbonne","",IF(SUMPRODUCT(('Agences &amp; Après-vente'!$A$2:$A$1000=$A451)*(('Agences &amp; Après-vente'!$D$2:$D$1000="Agences")+('Agences &amp; Après-vente'!$D$2:$D$1000="Agences et Après-vente"))*('Agences &amp; Après-vente'!$I$2:$I$1000="DONE"))&gt;0,"✓",IF(SUMPRODUCT(MAX(('Agences &amp; Après-vente'!$A$2:$A$1000=$A451)*(('Agences &amp; Après-vente'!$D$2:$D$1000="Agences")+('Agences &amp; Après-vente'!$D$2:$D$1000="Agences et Après-vente"))*'Agences &amp; Après-vente'!$E$2:$E$1000))&gt;0,TEXT(SUMPRODUCT(MAX(('Agences &amp; Après-vente'!$A$2:$A$1000=$A451)*(('Agences &amp; Après-vente'!$D$2:$D$1000="Agences")+('Agences &amp; Après-vente'!$D$2:$D$1000="Agences et Après-vente"))*'Agences &amp; Après-vente'!$E$2:$E$1000)),"yyyy-mm-dd"),""))))))</f>
        <v/>
      </c>
      <c r="I451" s="131" t="str">
        <f aca="false">IF($S451="✓","✓",IF(ISNUMBER($S451),TEXT($S451,"yyyy-mm-dd"),IF($A451="","",IF(SUMPRODUCT(('Agences &amp; Après-vente'!$A$2:$A$1000=$A451)*(('Agences &amp; Après-vente'!$D$2:$D$1000="Après-vente")+('Agences &amp; Après-vente'!$D$2:$D$1000="Agences et Après-vente"))*('Agences &amp; Après-vente'!$I$2:$I$1000="DONE"))&gt;0,"✓",IF(SUMPRODUCT(MAX(('Agences &amp; Après-vente'!$A$2:$A$1000=$A451)*(('Agences &amp; Après-vente'!$D$2:$D$1000="Après-vente")+('Agences &amp; Après-vente'!$D$2:$D$1000="Agences et Après-vente"))*'Agences &amp; Après-vente'!$E$2:$E$1000))&gt;0,TEXT(SUMPRODUCT(MAX(('Agences &amp; Après-vente'!$A$2:$A$1000=$A451)*(('Agences &amp; Après-vente'!$D$2:$D$1000="Après-vente")+('Agences &amp; Après-vente'!$D$2:$D$1000="Agences et Après-vente"))*'Agences &amp; Après-vente'!$E$2:$E$1000)),"yyyy-mm-dd"),"")))))</f>
        <v/>
      </c>
      <c r="J451" s="131" t="str">
        <f aca="false">IF($T451="✓","✓",IF(ISNUMBER($T451),TEXT($T451,"yyyy-mm-dd"),IF($A451="","",IF($D451="Lisbonne","",IF(SUMPRODUCT(('Agences &amp; Après-vente'!$A$2:$A$1000=$A451)*(('Agences &amp; Après-vente'!$D$2:$D$1000="Après-vente")+('Agences &amp; Après-vente'!$D$2:$D$1000="Agences et Après-vente"))*('Agences &amp; Après-vente'!$I$2:$I$1000="DONE"))&gt;0,"✓",IF(SUMPRODUCT(MAX(('Agences &amp; Après-vente'!$A$2:$A$1000=$A451)*(('Agences &amp; Après-vente'!$D$2:$D$1000="Après-vente")+('Agences &amp; Après-vente'!$D$2:$D$1000="Agences et Après-vente"))*'Agences &amp; Après-vente'!$E$2:$E$1000))&gt;0,TEXT(SUMPRODUCT(MAX(('Agences &amp; Après-vente'!$A$2:$A$1000=$A451)*(('Agences &amp; Après-vente'!$D$2:$D$1000="Après-vente")+('Agences &amp; Après-vente'!$D$2:$D$1000="Agences et Après-vente"))*'Agences &amp; Après-vente'!$E$2:$E$1000)),"yyyy-mm-dd"),""))))))</f>
        <v/>
      </c>
      <c r="K451" s="131" t="str">
        <f aca="false">IF($U451="✓","✓",IF(ISNUMBER($U451),TEXT($U451,"yyyy-mm-dd"),IF($D451="Lisbonne","",IF($A451="","",IF(SUMPRODUCT((Evermont!$A$2:$A$1000=$A451)*(Evermont!$Q$2:$Q$1000="Terminé"))&gt;0,"✓",IF(SUMPRODUCT(MAX((Evermont!$A$2:$A$1000=$A451)*Evermont!$F$2:$F$1000))&gt;0,TEXT(SUMPRODUCT(MAX((Evermont!$A$2:$A$1000=$A451)*Evermont!$F$2:$F$1000)),"yyyy-mm-dd"),""))))))</f>
        <v/>
      </c>
      <c r="L451" s="131" t="str">
        <f aca="false">IF($A451="","",COUNTIF(E451:K451,"✓"))</f>
        <v/>
      </c>
      <c r="M451" s="131" t="str">
        <f aca="false">IF(B451="","","Active")</f>
        <v/>
      </c>
      <c r="W451" s="120" t="str">
        <f aca="false">IF($A451="","",IF($X451&lt;&gt;"",$X451,IFERROR(INDEX('Formation Initiale'!$B$2:$B$999,MATCH($A451,'Formation Initiale'!$A$2:$A$999,0)),"Général")))</f>
        <v/>
      </c>
    </row>
    <row r="452" customFormat="false" ht="15" hidden="true" customHeight="true" outlineLevel="0" collapsed="false">
      <c r="A452" s="142" t="str">
        <f aca="false">IF(B452="","","TR"&amp;TEXT(ROW()-1,"000"))</f>
        <v/>
      </c>
      <c r="E452" s="130" t="str">
        <f aca="false">IF($O452="✓","✓",IF(ISNUMBER($O452),TEXT($O452,"yyyy-mm-dd"),IF($A452="","",IF(SUMPRODUCT(('Formation Initiale'!$A$2:$A$999=$A452)*('Formation Initiale'!$R$2:$R$999="Terminé"))&gt;0,"✓",IF(SUMPRODUCT(MAX(('Formation Initiale'!$A$2:$A$999=$A452)*'Formation Initiale'!$G$2:$G$999))&gt;0,TEXT(SUMPRODUCT(MAX(('Formation Initiale'!$A$2:$A$999=$A452)*'Formation Initiale'!$G$2:$G$999)),"yyyy-mm-dd"),"")))))</f>
        <v/>
      </c>
      <c r="F452" s="131" t="str">
        <f aca="false">IF($P452="✓","✓",IF(ISNUMBER($P452),TEXT($P452,"yyyy-mm-dd"),IF($A452="","",IF($D452="Lisbonne","",IF(SUMPRODUCT(('Formation Initiale'!$A$2:$A$999=$A452)*('Formation Initiale'!$R$2:$R$999="Terminé"))&gt;0,"✓",IF(SUMPRODUCT(MAX(('Formation Initiale'!$A$2:$A$999=$A452)*'Formation Initiale'!$G$2:$G$999))&gt;0,TEXT(SUMPRODUCT(MAX(('Formation Initiale'!$A$2:$A$999=$A452)*'Formation Initiale'!$G$2:$G$999)),"yyyy-mm-dd"),""))))))</f>
        <v/>
      </c>
      <c r="G452" s="131" t="str">
        <f aca="false">IF($Q452="✓","✓",IF(ISNUMBER($Q452),TEXT($Q452,"yyyy-mm-dd"),IF($A452="","",IF(SUMPRODUCT(('Agences &amp; Après-vente'!$A$2:$A$1000=$A452)*(('Agences &amp; Après-vente'!$D$2:$D$1000="Agences")+('Agences &amp; Après-vente'!$D$2:$D$1000="Agences et Après-vente"))*('Agences &amp; Après-vente'!$I$2:$I$1000="DONE"))&gt;0,"✓",IF(SUMPRODUCT(MAX(('Agences &amp; Après-vente'!$A$2:$A$1000=$A452)*(('Agences &amp; Après-vente'!$D$2:$D$1000="Agences")+('Agences &amp; Après-vente'!$D$2:$D$1000="Agences et Après-vente"))*'Agences &amp; Après-vente'!$E$2:$E$1000))&gt;0,TEXT(SUMPRODUCT(MAX(('Agences &amp; Après-vente'!$A$2:$A$1000=$A452)*(('Agences &amp; Après-vente'!$D$2:$D$1000="Agences")+('Agences &amp; Après-vente'!$D$2:$D$1000="Agences et Après-vente"))*'Agences &amp; Après-vente'!$E$2:$E$1000)),"yyyy-mm-dd"),"")))))</f>
        <v/>
      </c>
      <c r="H452" s="131" t="str">
        <f aca="false">IF($R452="✓","✓",IF(ISNUMBER($R452),TEXT($R452,"yyyy-mm-dd"),IF($A452="","",IF($D452="Lisbonne","",IF(SUMPRODUCT(('Agences &amp; Après-vente'!$A$2:$A$1000=$A452)*(('Agences &amp; Après-vente'!$D$2:$D$1000="Agences")+('Agences &amp; Après-vente'!$D$2:$D$1000="Agences et Après-vente"))*('Agences &amp; Après-vente'!$I$2:$I$1000="DONE"))&gt;0,"✓",IF(SUMPRODUCT(MAX(('Agences &amp; Après-vente'!$A$2:$A$1000=$A452)*(('Agences &amp; Après-vente'!$D$2:$D$1000="Agences")+('Agences &amp; Après-vente'!$D$2:$D$1000="Agences et Après-vente"))*'Agences &amp; Après-vente'!$E$2:$E$1000))&gt;0,TEXT(SUMPRODUCT(MAX(('Agences &amp; Après-vente'!$A$2:$A$1000=$A452)*(('Agences &amp; Après-vente'!$D$2:$D$1000="Agences")+('Agences &amp; Après-vente'!$D$2:$D$1000="Agences et Après-vente"))*'Agences &amp; Après-vente'!$E$2:$E$1000)),"yyyy-mm-dd"),""))))))</f>
        <v/>
      </c>
      <c r="I452" s="131" t="str">
        <f aca="false">IF($S452="✓","✓",IF(ISNUMBER($S452),TEXT($S452,"yyyy-mm-dd"),IF($A452="","",IF(SUMPRODUCT(('Agences &amp; Après-vente'!$A$2:$A$1000=$A452)*(('Agences &amp; Après-vente'!$D$2:$D$1000="Après-vente")+('Agences &amp; Après-vente'!$D$2:$D$1000="Agences et Après-vente"))*('Agences &amp; Après-vente'!$I$2:$I$1000="DONE"))&gt;0,"✓",IF(SUMPRODUCT(MAX(('Agences &amp; Après-vente'!$A$2:$A$1000=$A452)*(('Agences &amp; Après-vente'!$D$2:$D$1000="Après-vente")+('Agences &amp; Après-vente'!$D$2:$D$1000="Agences et Après-vente"))*'Agences &amp; Après-vente'!$E$2:$E$1000))&gt;0,TEXT(SUMPRODUCT(MAX(('Agences &amp; Après-vente'!$A$2:$A$1000=$A452)*(('Agences &amp; Après-vente'!$D$2:$D$1000="Après-vente")+('Agences &amp; Après-vente'!$D$2:$D$1000="Agences et Après-vente"))*'Agences &amp; Après-vente'!$E$2:$E$1000)),"yyyy-mm-dd"),"")))))</f>
        <v/>
      </c>
      <c r="J452" s="131" t="str">
        <f aca="false">IF($T452="✓","✓",IF(ISNUMBER($T452),TEXT($T452,"yyyy-mm-dd"),IF($A452="","",IF($D452="Lisbonne","",IF(SUMPRODUCT(('Agences &amp; Après-vente'!$A$2:$A$1000=$A452)*(('Agences &amp; Après-vente'!$D$2:$D$1000="Après-vente")+('Agences &amp; Après-vente'!$D$2:$D$1000="Agences et Après-vente"))*('Agences &amp; Après-vente'!$I$2:$I$1000="DONE"))&gt;0,"✓",IF(SUMPRODUCT(MAX(('Agences &amp; Après-vente'!$A$2:$A$1000=$A452)*(('Agences &amp; Après-vente'!$D$2:$D$1000="Après-vente")+('Agences &amp; Après-vente'!$D$2:$D$1000="Agences et Après-vente"))*'Agences &amp; Après-vente'!$E$2:$E$1000))&gt;0,TEXT(SUMPRODUCT(MAX(('Agences &amp; Après-vente'!$A$2:$A$1000=$A452)*(('Agences &amp; Après-vente'!$D$2:$D$1000="Après-vente")+('Agences &amp; Après-vente'!$D$2:$D$1000="Agences et Après-vente"))*'Agences &amp; Après-vente'!$E$2:$E$1000)),"yyyy-mm-dd"),""))))))</f>
        <v/>
      </c>
      <c r="K452" s="131" t="str">
        <f aca="false">IF($U452="✓","✓",IF(ISNUMBER($U452),TEXT($U452,"yyyy-mm-dd"),IF($D452="Lisbonne","",IF($A452="","",IF(SUMPRODUCT((Evermont!$A$2:$A$1000=$A452)*(Evermont!$Q$2:$Q$1000="Terminé"))&gt;0,"✓",IF(SUMPRODUCT(MAX((Evermont!$A$2:$A$1000=$A452)*Evermont!$F$2:$F$1000))&gt;0,TEXT(SUMPRODUCT(MAX((Evermont!$A$2:$A$1000=$A452)*Evermont!$F$2:$F$1000)),"yyyy-mm-dd"),""))))))</f>
        <v/>
      </c>
      <c r="L452" s="131" t="str">
        <f aca="false">IF($A452="","",COUNTIF(E452:K452,"✓"))</f>
        <v/>
      </c>
      <c r="M452" s="131" t="str">
        <f aca="false">IF(B452="","","Active")</f>
        <v/>
      </c>
      <c r="W452" s="120" t="str">
        <f aca="false">IF($A452="","",IF($X452&lt;&gt;"",$X452,IFERROR(INDEX('Formation Initiale'!$B$2:$B$999,MATCH($A452,'Formation Initiale'!$A$2:$A$999,0)),"Général")))</f>
        <v/>
      </c>
    </row>
    <row r="453" customFormat="false" ht="15" hidden="true" customHeight="true" outlineLevel="0" collapsed="false">
      <c r="A453" s="142" t="str">
        <f aca="false">IF(B453="","","TR"&amp;TEXT(ROW()-1,"000"))</f>
        <v/>
      </c>
      <c r="E453" s="130" t="str">
        <f aca="false">IF($O453="✓","✓",IF(ISNUMBER($O453),TEXT($O453,"yyyy-mm-dd"),IF($A453="","",IF(SUMPRODUCT(('Formation Initiale'!$A$2:$A$999=$A453)*('Formation Initiale'!$R$2:$R$999="Terminé"))&gt;0,"✓",IF(SUMPRODUCT(MAX(('Formation Initiale'!$A$2:$A$999=$A453)*'Formation Initiale'!$G$2:$G$999))&gt;0,TEXT(SUMPRODUCT(MAX(('Formation Initiale'!$A$2:$A$999=$A453)*'Formation Initiale'!$G$2:$G$999)),"yyyy-mm-dd"),"")))))</f>
        <v/>
      </c>
      <c r="F453" s="131" t="str">
        <f aca="false">IF($P453="✓","✓",IF(ISNUMBER($P453),TEXT($P453,"yyyy-mm-dd"),IF($A453="","",IF($D453="Lisbonne","",IF(SUMPRODUCT(('Formation Initiale'!$A$2:$A$999=$A453)*('Formation Initiale'!$R$2:$R$999="Terminé"))&gt;0,"✓",IF(SUMPRODUCT(MAX(('Formation Initiale'!$A$2:$A$999=$A453)*'Formation Initiale'!$G$2:$G$999))&gt;0,TEXT(SUMPRODUCT(MAX(('Formation Initiale'!$A$2:$A$999=$A453)*'Formation Initiale'!$G$2:$G$999)),"yyyy-mm-dd"),""))))))</f>
        <v/>
      </c>
      <c r="G453" s="131" t="str">
        <f aca="false">IF($Q453="✓","✓",IF(ISNUMBER($Q453),TEXT($Q453,"yyyy-mm-dd"),IF($A453="","",IF(SUMPRODUCT(('Agences &amp; Après-vente'!$A$2:$A$1000=$A453)*(('Agences &amp; Après-vente'!$D$2:$D$1000="Agences")+('Agences &amp; Après-vente'!$D$2:$D$1000="Agences et Après-vente"))*('Agences &amp; Après-vente'!$I$2:$I$1000="DONE"))&gt;0,"✓",IF(SUMPRODUCT(MAX(('Agences &amp; Après-vente'!$A$2:$A$1000=$A453)*(('Agences &amp; Après-vente'!$D$2:$D$1000="Agences")+('Agences &amp; Après-vente'!$D$2:$D$1000="Agences et Après-vente"))*'Agences &amp; Après-vente'!$E$2:$E$1000))&gt;0,TEXT(SUMPRODUCT(MAX(('Agences &amp; Après-vente'!$A$2:$A$1000=$A453)*(('Agences &amp; Après-vente'!$D$2:$D$1000="Agences")+('Agences &amp; Après-vente'!$D$2:$D$1000="Agences et Après-vente"))*'Agences &amp; Après-vente'!$E$2:$E$1000)),"yyyy-mm-dd"),"")))))</f>
        <v/>
      </c>
      <c r="H453" s="131" t="str">
        <f aca="false">IF($R453="✓","✓",IF(ISNUMBER($R453),TEXT($R453,"yyyy-mm-dd"),IF($A453="","",IF($D453="Lisbonne","",IF(SUMPRODUCT(('Agences &amp; Après-vente'!$A$2:$A$1000=$A453)*(('Agences &amp; Après-vente'!$D$2:$D$1000="Agences")+('Agences &amp; Après-vente'!$D$2:$D$1000="Agences et Après-vente"))*('Agences &amp; Après-vente'!$I$2:$I$1000="DONE"))&gt;0,"✓",IF(SUMPRODUCT(MAX(('Agences &amp; Après-vente'!$A$2:$A$1000=$A453)*(('Agences &amp; Après-vente'!$D$2:$D$1000="Agences")+('Agences &amp; Après-vente'!$D$2:$D$1000="Agences et Après-vente"))*'Agences &amp; Après-vente'!$E$2:$E$1000))&gt;0,TEXT(SUMPRODUCT(MAX(('Agences &amp; Après-vente'!$A$2:$A$1000=$A453)*(('Agences &amp; Après-vente'!$D$2:$D$1000="Agences")+('Agences &amp; Après-vente'!$D$2:$D$1000="Agences et Après-vente"))*'Agences &amp; Après-vente'!$E$2:$E$1000)),"yyyy-mm-dd"),""))))))</f>
        <v/>
      </c>
      <c r="I453" s="131" t="str">
        <f aca="false">IF($S453="✓","✓",IF(ISNUMBER($S453),TEXT($S453,"yyyy-mm-dd"),IF($A453="","",IF(SUMPRODUCT(('Agences &amp; Après-vente'!$A$2:$A$1000=$A453)*(('Agences &amp; Après-vente'!$D$2:$D$1000="Après-vente")+('Agences &amp; Après-vente'!$D$2:$D$1000="Agences et Après-vente"))*('Agences &amp; Après-vente'!$I$2:$I$1000="DONE"))&gt;0,"✓",IF(SUMPRODUCT(MAX(('Agences &amp; Après-vente'!$A$2:$A$1000=$A453)*(('Agences &amp; Après-vente'!$D$2:$D$1000="Après-vente")+('Agences &amp; Après-vente'!$D$2:$D$1000="Agences et Après-vente"))*'Agences &amp; Après-vente'!$E$2:$E$1000))&gt;0,TEXT(SUMPRODUCT(MAX(('Agences &amp; Après-vente'!$A$2:$A$1000=$A453)*(('Agences &amp; Après-vente'!$D$2:$D$1000="Après-vente")+('Agences &amp; Après-vente'!$D$2:$D$1000="Agences et Après-vente"))*'Agences &amp; Après-vente'!$E$2:$E$1000)),"yyyy-mm-dd"),"")))))</f>
        <v/>
      </c>
      <c r="J453" s="131" t="str">
        <f aca="false">IF($T453="✓","✓",IF(ISNUMBER($T453),TEXT($T453,"yyyy-mm-dd"),IF($A453="","",IF($D453="Lisbonne","",IF(SUMPRODUCT(('Agences &amp; Après-vente'!$A$2:$A$1000=$A453)*(('Agences &amp; Après-vente'!$D$2:$D$1000="Après-vente")+('Agences &amp; Après-vente'!$D$2:$D$1000="Agences et Après-vente"))*('Agences &amp; Après-vente'!$I$2:$I$1000="DONE"))&gt;0,"✓",IF(SUMPRODUCT(MAX(('Agences &amp; Après-vente'!$A$2:$A$1000=$A453)*(('Agences &amp; Après-vente'!$D$2:$D$1000="Après-vente")+('Agences &amp; Après-vente'!$D$2:$D$1000="Agences et Après-vente"))*'Agences &amp; Après-vente'!$E$2:$E$1000))&gt;0,TEXT(SUMPRODUCT(MAX(('Agences &amp; Après-vente'!$A$2:$A$1000=$A453)*(('Agences &amp; Après-vente'!$D$2:$D$1000="Après-vente")+('Agences &amp; Après-vente'!$D$2:$D$1000="Agences et Après-vente"))*'Agences &amp; Après-vente'!$E$2:$E$1000)),"yyyy-mm-dd"),""))))))</f>
        <v/>
      </c>
      <c r="K453" s="131" t="str">
        <f aca="false">IF($U453="✓","✓",IF(ISNUMBER($U453),TEXT($U453,"yyyy-mm-dd"),IF($D453="Lisbonne","",IF($A453="","",IF(SUMPRODUCT((Evermont!$A$2:$A$1000=$A453)*(Evermont!$Q$2:$Q$1000="Terminé"))&gt;0,"✓",IF(SUMPRODUCT(MAX((Evermont!$A$2:$A$1000=$A453)*Evermont!$F$2:$F$1000))&gt;0,TEXT(SUMPRODUCT(MAX((Evermont!$A$2:$A$1000=$A453)*Evermont!$F$2:$F$1000)),"yyyy-mm-dd"),""))))))</f>
        <v/>
      </c>
      <c r="L453" s="131" t="str">
        <f aca="false">IF($A453="","",COUNTIF(E453:K453,"✓"))</f>
        <v/>
      </c>
      <c r="M453" s="131" t="str">
        <f aca="false">IF(B453="","","Active")</f>
        <v/>
      </c>
      <c r="W453" s="120" t="str">
        <f aca="false">IF($A453="","",IF($X453&lt;&gt;"",$X453,IFERROR(INDEX('Formation Initiale'!$B$2:$B$999,MATCH($A453,'Formation Initiale'!$A$2:$A$999,0)),"Général")))</f>
        <v/>
      </c>
    </row>
    <row r="454" customFormat="false" ht="15" hidden="true" customHeight="true" outlineLevel="0" collapsed="false">
      <c r="A454" s="142" t="str">
        <f aca="false">IF(B454="","","TR"&amp;TEXT(ROW()-1,"000"))</f>
        <v/>
      </c>
      <c r="E454" s="130" t="str">
        <f aca="false">IF($O454="✓","✓",IF(ISNUMBER($O454),TEXT($O454,"yyyy-mm-dd"),IF($A454="","",IF(SUMPRODUCT(('Formation Initiale'!$A$2:$A$999=$A454)*('Formation Initiale'!$R$2:$R$999="Terminé"))&gt;0,"✓",IF(SUMPRODUCT(MAX(('Formation Initiale'!$A$2:$A$999=$A454)*'Formation Initiale'!$G$2:$G$999))&gt;0,TEXT(SUMPRODUCT(MAX(('Formation Initiale'!$A$2:$A$999=$A454)*'Formation Initiale'!$G$2:$G$999)),"yyyy-mm-dd"),"")))))</f>
        <v/>
      </c>
      <c r="F454" s="131" t="str">
        <f aca="false">IF($P454="✓","✓",IF(ISNUMBER($P454),TEXT($P454,"yyyy-mm-dd"),IF($A454="","",IF($D454="Lisbonne","",IF(SUMPRODUCT(('Formation Initiale'!$A$2:$A$999=$A454)*('Formation Initiale'!$R$2:$R$999="Terminé"))&gt;0,"✓",IF(SUMPRODUCT(MAX(('Formation Initiale'!$A$2:$A$999=$A454)*'Formation Initiale'!$G$2:$G$999))&gt;0,TEXT(SUMPRODUCT(MAX(('Formation Initiale'!$A$2:$A$999=$A454)*'Formation Initiale'!$G$2:$G$999)),"yyyy-mm-dd"),""))))))</f>
        <v/>
      </c>
      <c r="G454" s="131" t="str">
        <f aca="false">IF($Q454="✓","✓",IF(ISNUMBER($Q454),TEXT($Q454,"yyyy-mm-dd"),IF($A454="","",IF(SUMPRODUCT(('Agences &amp; Après-vente'!$A$2:$A$1000=$A454)*(('Agences &amp; Après-vente'!$D$2:$D$1000="Agences")+('Agences &amp; Après-vente'!$D$2:$D$1000="Agences et Après-vente"))*('Agences &amp; Après-vente'!$I$2:$I$1000="DONE"))&gt;0,"✓",IF(SUMPRODUCT(MAX(('Agences &amp; Après-vente'!$A$2:$A$1000=$A454)*(('Agences &amp; Après-vente'!$D$2:$D$1000="Agences")+('Agences &amp; Après-vente'!$D$2:$D$1000="Agences et Après-vente"))*'Agences &amp; Après-vente'!$E$2:$E$1000))&gt;0,TEXT(SUMPRODUCT(MAX(('Agences &amp; Après-vente'!$A$2:$A$1000=$A454)*(('Agences &amp; Après-vente'!$D$2:$D$1000="Agences")+('Agences &amp; Après-vente'!$D$2:$D$1000="Agences et Après-vente"))*'Agences &amp; Après-vente'!$E$2:$E$1000)),"yyyy-mm-dd"),"")))))</f>
        <v/>
      </c>
      <c r="H454" s="131" t="str">
        <f aca="false">IF($R454="✓","✓",IF(ISNUMBER($R454),TEXT($R454,"yyyy-mm-dd"),IF($A454="","",IF($D454="Lisbonne","",IF(SUMPRODUCT(('Agences &amp; Après-vente'!$A$2:$A$1000=$A454)*(('Agences &amp; Après-vente'!$D$2:$D$1000="Agences")+('Agences &amp; Après-vente'!$D$2:$D$1000="Agences et Après-vente"))*('Agences &amp; Après-vente'!$I$2:$I$1000="DONE"))&gt;0,"✓",IF(SUMPRODUCT(MAX(('Agences &amp; Après-vente'!$A$2:$A$1000=$A454)*(('Agences &amp; Après-vente'!$D$2:$D$1000="Agences")+('Agences &amp; Après-vente'!$D$2:$D$1000="Agences et Après-vente"))*'Agences &amp; Après-vente'!$E$2:$E$1000))&gt;0,TEXT(SUMPRODUCT(MAX(('Agences &amp; Après-vente'!$A$2:$A$1000=$A454)*(('Agences &amp; Après-vente'!$D$2:$D$1000="Agences")+('Agences &amp; Après-vente'!$D$2:$D$1000="Agences et Après-vente"))*'Agences &amp; Après-vente'!$E$2:$E$1000)),"yyyy-mm-dd"),""))))))</f>
        <v/>
      </c>
      <c r="I454" s="131" t="str">
        <f aca="false">IF($S454="✓","✓",IF(ISNUMBER($S454),TEXT($S454,"yyyy-mm-dd"),IF($A454="","",IF(SUMPRODUCT(('Agences &amp; Après-vente'!$A$2:$A$1000=$A454)*(('Agences &amp; Après-vente'!$D$2:$D$1000="Après-vente")+('Agences &amp; Après-vente'!$D$2:$D$1000="Agences et Après-vente"))*('Agences &amp; Après-vente'!$I$2:$I$1000="DONE"))&gt;0,"✓",IF(SUMPRODUCT(MAX(('Agences &amp; Après-vente'!$A$2:$A$1000=$A454)*(('Agences &amp; Après-vente'!$D$2:$D$1000="Après-vente")+('Agences &amp; Après-vente'!$D$2:$D$1000="Agences et Après-vente"))*'Agences &amp; Après-vente'!$E$2:$E$1000))&gt;0,TEXT(SUMPRODUCT(MAX(('Agences &amp; Après-vente'!$A$2:$A$1000=$A454)*(('Agences &amp; Après-vente'!$D$2:$D$1000="Après-vente")+('Agences &amp; Après-vente'!$D$2:$D$1000="Agences et Après-vente"))*'Agences &amp; Après-vente'!$E$2:$E$1000)),"yyyy-mm-dd"),"")))))</f>
        <v/>
      </c>
      <c r="J454" s="131" t="str">
        <f aca="false">IF($T454="✓","✓",IF(ISNUMBER($T454),TEXT($T454,"yyyy-mm-dd"),IF($A454="","",IF($D454="Lisbonne","",IF(SUMPRODUCT(('Agences &amp; Après-vente'!$A$2:$A$1000=$A454)*(('Agences &amp; Après-vente'!$D$2:$D$1000="Après-vente")+('Agences &amp; Après-vente'!$D$2:$D$1000="Agences et Après-vente"))*('Agences &amp; Après-vente'!$I$2:$I$1000="DONE"))&gt;0,"✓",IF(SUMPRODUCT(MAX(('Agences &amp; Après-vente'!$A$2:$A$1000=$A454)*(('Agences &amp; Après-vente'!$D$2:$D$1000="Après-vente")+('Agences &amp; Après-vente'!$D$2:$D$1000="Agences et Après-vente"))*'Agences &amp; Après-vente'!$E$2:$E$1000))&gt;0,TEXT(SUMPRODUCT(MAX(('Agences &amp; Après-vente'!$A$2:$A$1000=$A454)*(('Agences &amp; Après-vente'!$D$2:$D$1000="Après-vente")+('Agences &amp; Après-vente'!$D$2:$D$1000="Agences et Après-vente"))*'Agences &amp; Après-vente'!$E$2:$E$1000)),"yyyy-mm-dd"),""))))))</f>
        <v/>
      </c>
      <c r="K454" s="131" t="str">
        <f aca="false">IF($U454="✓","✓",IF(ISNUMBER($U454),TEXT($U454,"yyyy-mm-dd"),IF($D454="Lisbonne","",IF($A454="","",IF(SUMPRODUCT((Evermont!$A$2:$A$1000=$A454)*(Evermont!$Q$2:$Q$1000="Terminé"))&gt;0,"✓",IF(SUMPRODUCT(MAX((Evermont!$A$2:$A$1000=$A454)*Evermont!$F$2:$F$1000))&gt;0,TEXT(SUMPRODUCT(MAX((Evermont!$A$2:$A$1000=$A454)*Evermont!$F$2:$F$1000)),"yyyy-mm-dd"),""))))))</f>
        <v/>
      </c>
      <c r="L454" s="131" t="str">
        <f aca="false">IF($A454="","",COUNTIF(E454:K454,"✓"))</f>
        <v/>
      </c>
      <c r="M454" s="131" t="str">
        <f aca="false">IF(B454="","","Active")</f>
        <v/>
      </c>
      <c r="W454" s="120" t="str">
        <f aca="false">IF($A454="","",IF($X454&lt;&gt;"",$X454,IFERROR(INDEX('Formation Initiale'!$B$2:$B$999,MATCH($A454,'Formation Initiale'!$A$2:$A$999,0)),"Général")))</f>
        <v/>
      </c>
    </row>
    <row r="455" customFormat="false" ht="15" hidden="true" customHeight="true" outlineLevel="0" collapsed="false">
      <c r="A455" s="142" t="str">
        <f aca="false">IF(B455="","","TR"&amp;TEXT(ROW()-1,"000"))</f>
        <v/>
      </c>
      <c r="E455" s="130" t="str">
        <f aca="false">IF($O455="✓","✓",IF(ISNUMBER($O455),TEXT($O455,"yyyy-mm-dd"),IF($A455="","",IF(SUMPRODUCT(('Formation Initiale'!$A$2:$A$999=$A455)*('Formation Initiale'!$R$2:$R$999="Terminé"))&gt;0,"✓",IF(SUMPRODUCT(MAX(('Formation Initiale'!$A$2:$A$999=$A455)*'Formation Initiale'!$G$2:$G$999))&gt;0,TEXT(SUMPRODUCT(MAX(('Formation Initiale'!$A$2:$A$999=$A455)*'Formation Initiale'!$G$2:$G$999)),"yyyy-mm-dd"),"")))))</f>
        <v/>
      </c>
      <c r="F455" s="131" t="str">
        <f aca="false">IF($P455="✓","✓",IF(ISNUMBER($P455),TEXT($P455,"yyyy-mm-dd"),IF($A455="","",IF($D455="Lisbonne","",IF(SUMPRODUCT(('Formation Initiale'!$A$2:$A$999=$A455)*('Formation Initiale'!$R$2:$R$999="Terminé"))&gt;0,"✓",IF(SUMPRODUCT(MAX(('Formation Initiale'!$A$2:$A$999=$A455)*'Formation Initiale'!$G$2:$G$999))&gt;0,TEXT(SUMPRODUCT(MAX(('Formation Initiale'!$A$2:$A$999=$A455)*'Formation Initiale'!$G$2:$G$999)),"yyyy-mm-dd"),""))))))</f>
        <v/>
      </c>
      <c r="G455" s="131" t="str">
        <f aca="false">IF($Q455="✓","✓",IF(ISNUMBER($Q455),TEXT($Q455,"yyyy-mm-dd"),IF($A455="","",IF(SUMPRODUCT(('Agences &amp; Après-vente'!$A$2:$A$1000=$A455)*(('Agences &amp; Après-vente'!$D$2:$D$1000="Agences")+('Agences &amp; Après-vente'!$D$2:$D$1000="Agences et Après-vente"))*('Agences &amp; Après-vente'!$I$2:$I$1000="DONE"))&gt;0,"✓",IF(SUMPRODUCT(MAX(('Agences &amp; Après-vente'!$A$2:$A$1000=$A455)*(('Agences &amp; Après-vente'!$D$2:$D$1000="Agences")+('Agences &amp; Après-vente'!$D$2:$D$1000="Agences et Après-vente"))*'Agences &amp; Après-vente'!$E$2:$E$1000))&gt;0,TEXT(SUMPRODUCT(MAX(('Agences &amp; Après-vente'!$A$2:$A$1000=$A455)*(('Agences &amp; Après-vente'!$D$2:$D$1000="Agences")+('Agences &amp; Après-vente'!$D$2:$D$1000="Agences et Après-vente"))*'Agences &amp; Après-vente'!$E$2:$E$1000)),"yyyy-mm-dd"),"")))))</f>
        <v/>
      </c>
      <c r="H455" s="131" t="str">
        <f aca="false">IF($R455="✓","✓",IF(ISNUMBER($R455),TEXT($R455,"yyyy-mm-dd"),IF($A455="","",IF($D455="Lisbonne","",IF(SUMPRODUCT(('Agences &amp; Après-vente'!$A$2:$A$1000=$A455)*(('Agences &amp; Après-vente'!$D$2:$D$1000="Agences")+('Agences &amp; Après-vente'!$D$2:$D$1000="Agences et Après-vente"))*('Agences &amp; Après-vente'!$I$2:$I$1000="DONE"))&gt;0,"✓",IF(SUMPRODUCT(MAX(('Agences &amp; Après-vente'!$A$2:$A$1000=$A455)*(('Agences &amp; Après-vente'!$D$2:$D$1000="Agences")+('Agences &amp; Après-vente'!$D$2:$D$1000="Agences et Après-vente"))*'Agences &amp; Après-vente'!$E$2:$E$1000))&gt;0,TEXT(SUMPRODUCT(MAX(('Agences &amp; Après-vente'!$A$2:$A$1000=$A455)*(('Agences &amp; Après-vente'!$D$2:$D$1000="Agences")+('Agences &amp; Après-vente'!$D$2:$D$1000="Agences et Après-vente"))*'Agences &amp; Après-vente'!$E$2:$E$1000)),"yyyy-mm-dd"),""))))))</f>
        <v/>
      </c>
      <c r="I455" s="131" t="str">
        <f aca="false">IF($S455="✓","✓",IF(ISNUMBER($S455),TEXT($S455,"yyyy-mm-dd"),IF($A455="","",IF(SUMPRODUCT(('Agences &amp; Après-vente'!$A$2:$A$1000=$A455)*(('Agences &amp; Après-vente'!$D$2:$D$1000="Après-vente")+('Agences &amp; Après-vente'!$D$2:$D$1000="Agences et Après-vente"))*('Agences &amp; Après-vente'!$I$2:$I$1000="DONE"))&gt;0,"✓",IF(SUMPRODUCT(MAX(('Agences &amp; Après-vente'!$A$2:$A$1000=$A455)*(('Agences &amp; Après-vente'!$D$2:$D$1000="Après-vente")+('Agences &amp; Après-vente'!$D$2:$D$1000="Agences et Après-vente"))*'Agences &amp; Après-vente'!$E$2:$E$1000))&gt;0,TEXT(SUMPRODUCT(MAX(('Agences &amp; Après-vente'!$A$2:$A$1000=$A455)*(('Agences &amp; Après-vente'!$D$2:$D$1000="Après-vente")+('Agences &amp; Après-vente'!$D$2:$D$1000="Agences et Après-vente"))*'Agences &amp; Après-vente'!$E$2:$E$1000)),"yyyy-mm-dd"),"")))))</f>
        <v/>
      </c>
      <c r="J455" s="131" t="str">
        <f aca="false">IF($T455="✓","✓",IF(ISNUMBER($T455),TEXT($T455,"yyyy-mm-dd"),IF($A455="","",IF($D455="Lisbonne","",IF(SUMPRODUCT(('Agences &amp; Après-vente'!$A$2:$A$1000=$A455)*(('Agences &amp; Après-vente'!$D$2:$D$1000="Après-vente")+('Agences &amp; Après-vente'!$D$2:$D$1000="Agences et Après-vente"))*('Agences &amp; Après-vente'!$I$2:$I$1000="DONE"))&gt;0,"✓",IF(SUMPRODUCT(MAX(('Agences &amp; Après-vente'!$A$2:$A$1000=$A455)*(('Agences &amp; Après-vente'!$D$2:$D$1000="Après-vente")+('Agences &amp; Après-vente'!$D$2:$D$1000="Agences et Après-vente"))*'Agences &amp; Après-vente'!$E$2:$E$1000))&gt;0,TEXT(SUMPRODUCT(MAX(('Agences &amp; Après-vente'!$A$2:$A$1000=$A455)*(('Agences &amp; Après-vente'!$D$2:$D$1000="Après-vente")+('Agences &amp; Après-vente'!$D$2:$D$1000="Agences et Après-vente"))*'Agences &amp; Après-vente'!$E$2:$E$1000)),"yyyy-mm-dd"),""))))))</f>
        <v/>
      </c>
      <c r="K455" s="131" t="str">
        <f aca="false">IF($U455="✓","✓",IF(ISNUMBER($U455),TEXT($U455,"yyyy-mm-dd"),IF($D455="Lisbonne","",IF($A455="","",IF(SUMPRODUCT((Evermont!$A$2:$A$1000=$A455)*(Evermont!$Q$2:$Q$1000="Terminé"))&gt;0,"✓",IF(SUMPRODUCT(MAX((Evermont!$A$2:$A$1000=$A455)*Evermont!$F$2:$F$1000))&gt;0,TEXT(SUMPRODUCT(MAX((Evermont!$A$2:$A$1000=$A455)*Evermont!$F$2:$F$1000)),"yyyy-mm-dd"),""))))))</f>
        <v/>
      </c>
      <c r="L455" s="131" t="str">
        <f aca="false">IF($A455="","",COUNTIF(E455:K455,"✓"))</f>
        <v/>
      </c>
      <c r="M455" s="131" t="str">
        <f aca="false">IF(B455="","","Active")</f>
        <v/>
      </c>
      <c r="W455" s="120" t="str">
        <f aca="false">IF($A455="","",IF($X455&lt;&gt;"",$X455,IFERROR(INDEX('Formation Initiale'!$B$2:$B$999,MATCH($A455,'Formation Initiale'!$A$2:$A$999,0)),"Général")))</f>
        <v/>
      </c>
    </row>
    <row r="456" customFormat="false" ht="15" hidden="true" customHeight="true" outlineLevel="0" collapsed="false">
      <c r="A456" s="142" t="str">
        <f aca="false">IF(B456="","","TR"&amp;TEXT(ROW()-1,"000"))</f>
        <v/>
      </c>
      <c r="E456" s="130" t="str">
        <f aca="false">IF($O456="✓","✓",IF(ISNUMBER($O456),TEXT($O456,"yyyy-mm-dd"),IF($A456="","",IF(SUMPRODUCT(('Formation Initiale'!$A$2:$A$999=$A456)*('Formation Initiale'!$R$2:$R$999="Terminé"))&gt;0,"✓",IF(SUMPRODUCT(MAX(('Formation Initiale'!$A$2:$A$999=$A456)*'Formation Initiale'!$G$2:$G$999))&gt;0,TEXT(SUMPRODUCT(MAX(('Formation Initiale'!$A$2:$A$999=$A456)*'Formation Initiale'!$G$2:$G$999)),"yyyy-mm-dd"),"")))))</f>
        <v/>
      </c>
      <c r="F456" s="131" t="str">
        <f aca="false">IF($P456="✓","✓",IF(ISNUMBER($P456),TEXT($P456,"yyyy-mm-dd"),IF($A456="","",IF($D456="Lisbonne","",IF(SUMPRODUCT(('Formation Initiale'!$A$2:$A$999=$A456)*('Formation Initiale'!$R$2:$R$999="Terminé"))&gt;0,"✓",IF(SUMPRODUCT(MAX(('Formation Initiale'!$A$2:$A$999=$A456)*'Formation Initiale'!$G$2:$G$999))&gt;0,TEXT(SUMPRODUCT(MAX(('Formation Initiale'!$A$2:$A$999=$A456)*'Formation Initiale'!$G$2:$G$999)),"yyyy-mm-dd"),""))))))</f>
        <v/>
      </c>
      <c r="G456" s="131" t="str">
        <f aca="false">IF($Q456="✓","✓",IF(ISNUMBER($Q456),TEXT($Q456,"yyyy-mm-dd"),IF($A456="","",IF(SUMPRODUCT(('Agences &amp; Après-vente'!$A$2:$A$1000=$A456)*(('Agences &amp; Après-vente'!$D$2:$D$1000="Agences")+('Agences &amp; Après-vente'!$D$2:$D$1000="Agences et Après-vente"))*('Agences &amp; Après-vente'!$I$2:$I$1000="DONE"))&gt;0,"✓",IF(SUMPRODUCT(MAX(('Agences &amp; Après-vente'!$A$2:$A$1000=$A456)*(('Agences &amp; Après-vente'!$D$2:$D$1000="Agences")+('Agences &amp; Après-vente'!$D$2:$D$1000="Agences et Après-vente"))*'Agences &amp; Après-vente'!$E$2:$E$1000))&gt;0,TEXT(SUMPRODUCT(MAX(('Agences &amp; Après-vente'!$A$2:$A$1000=$A456)*(('Agences &amp; Après-vente'!$D$2:$D$1000="Agences")+('Agences &amp; Après-vente'!$D$2:$D$1000="Agences et Après-vente"))*'Agences &amp; Après-vente'!$E$2:$E$1000)),"yyyy-mm-dd"),"")))))</f>
        <v/>
      </c>
      <c r="H456" s="131" t="str">
        <f aca="false">IF($R456="✓","✓",IF(ISNUMBER($R456),TEXT($R456,"yyyy-mm-dd"),IF($A456="","",IF($D456="Lisbonne","",IF(SUMPRODUCT(('Agences &amp; Après-vente'!$A$2:$A$1000=$A456)*(('Agences &amp; Après-vente'!$D$2:$D$1000="Agences")+('Agences &amp; Après-vente'!$D$2:$D$1000="Agences et Après-vente"))*('Agences &amp; Après-vente'!$I$2:$I$1000="DONE"))&gt;0,"✓",IF(SUMPRODUCT(MAX(('Agences &amp; Après-vente'!$A$2:$A$1000=$A456)*(('Agences &amp; Après-vente'!$D$2:$D$1000="Agences")+('Agences &amp; Après-vente'!$D$2:$D$1000="Agences et Après-vente"))*'Agences &amp; Après-vente'!$E$2:$E$1000))&gt;0,TEXT(SUMPRODUCT(MAX(('Agences &amp; Après-vente'!$A$2:$A$1000=$A456)*(('Agences &amp; Après-vente'!$D$2:$D$1000="Agences")+('Agences &amp; Après-vente'!$D$2:$D$1000="Agences et Après-vente"))*'Agences &amp; Après-vente'!$E$2:$E$1000)),"yyyy-mm-dd"),""))))))</f>
        <v/>
      </c>
      <c r="I456" s="131" t="str">
        <f aca="false">IF($S456="✓","✓",IF(ISNUMBER($S456),TEXT($S456,"yyyy-mm-dd"),IF($A456="","",IF(SUMPRODUCT(('Agences &amp; Après-vente'!$A$2:$A$1000=$A456)*(('Agences &amp; Après-vente'!$D$2:$D$1000="Après-vente")+('Agences &amp; Après-vente'!$D$2:$D$1000="Agences et Après-vente"))*('Agences &amp; Après-vente'!$I$2:$I$1000="DONE"))&gt;0,"✓",IF(SUMPRODUCT(MAX(('Agences &amp; Après-vente'!$A$2:$A$1000=$A456)*(('Agences &amp; Après-vente'!$D$2:$D$1000="Après-vente")+('Agences &amp; Après-vente'!$D$2:$D$1000="Agences et Après-vente"))*'Agences &amp; Après-vente'!$E$2:$E$1000))&gt;0,TEXT(SUMPRODUCT(MAX(('Agences &amp; Après-vente'!$A$2:$A$1000=$A456)*(('Agences &amp; Après-vente'!$D$2:$D$1000="Après-vente")+('Agences &amp; Après-vente'!$D$2:$D$1000="Agences et Après-vente"))*'Agences &amp; Après-vente'!$E$2:$E$1000)),"yyyy-mm-dd"),"")))))</f>
        <v/>
      </c>
      <c r="J456" s="131" t="str">
        <f aca="false">IF($T456="✓","✓",IF(ISNUMBER($T456),TEXT($T456,"yyyy-mm-dd"),IF($A456="","",IF($D456="Lisbonne","",IF(SUMPRODUCT(('Agences &amp; Après-vente'!$A$2:$A$1000=$A456)*(('Agences &amp; Après-vente'!$D$2:$D$1000="Après-vente")+('Agences &amp; Après-vente'!$D$2:$D$1000="Agences et Après-vente"))*('Agences &amp; Après-vente'!$I$2:$I$1000="DONE"))&gt;0,"✓",IF(SUMPRODUCT(MAX(('Agences &amp; Après-vente'!$A$2:$A$1000=$A456)*(('Agences &amp; Après-vente'!$D$2:$D$1000="Après-vente")+('Agences &amp; Après-vente'!$D$2:$D$1000="Agences et Après-vente"))*'Agences &amp; Après-vente'!$E$2:$E$1000))&gt;0,TEXT(SUMPRODUCT(MAX(('Agences &amp; Après-vente'!$A$2:$A$1000=$A456)*(('Agences &amp; Après-vente'!$D$2:$D$1000="Après-vente")+('Agences &amp; Après-vente'!$D$2:$D$1000="Agences et Après-vente"))*'Agences &amp; Après-vente'!$E$2:$E$1000)),"yyyy-mm-dd"),""))))))</f>
        <v/>
      </c>
      <c r="K456" s="131" t="str">
        <f aca="false">IF($U456="✓","✓",IF(ISNUMBER($U456),TEXT($U456,"yyyy-mm-dd"),IF($D456="Lisbonne","",IF($A456="","",IF(SUMPRODUCT((Evermont!$A$2:$A$1000=$A456)*(Evermont!$Q$2:$Q$1000="Terminé"))&gt;0,"✓",IF(SUMPRODUCT(MAX((Evermont!$A$2:$A$1000=$A456)*Evermont!$F$2:$F$1000))&gt;0,TEXT(SUMPRODUCT(MAX((Evermont!$A$2:$A$1000=$A456)*Evermont!$F$2:$F$1000)),"yyyy-mm-dd"),""))))))</f>
        <v/>
      </c>
      <c r="L456" s="131" t="str">
        <f aca="false">IF($A456="","",COUNTIF(E456:K456,"✓"))</f>
        <v/>
      </c>
      <c r="M456" s="131" t="str">
        <f aca="false">IF(B456="","","Active")</f>
        <v/>
      </c>
      <c r="W456" s="120" t="str">
        <f aca="false">IF($A456="","",IF($X456&lt;&gt;"",$X456,IFERROR(INDEX('Formation Initiale'!$B$2:$B$999,MATCH($A456,'Formation Initiale'!$A$2:$A$999,0)),"Général")))</f>
        <v/>
      </c>
    </row>
    <row r="457" customFormat="false" ht="15" hidden="true" customHeight="true" outlineLevel="0" collapsed="false">
      <c r="A457" s="142" t="str">
        <f aca="false">IF(B457="","","TR"&amp;TEXT(ROW()-1,"000"))</f>
        <v/>
      </c>
      <c r="E457" s="130" t="str">
        <f aca="false">IF($O457="✓","✓",IF(ISNUMBER($O457),TEXT($O457,"yyyy-mm-dd"),IF($A457="","",IF(SUMPRODUCT(('Formation Initiale'!$A$2:$A$999=$A457)*('Formation Initiale'!$R$2:$R$999="Terminé"))&gt;0,"✓",IF(SUMPRODUCT(MAX(('Formation Initiale'!$A$2:$A$999=$A457)*'Formation Initiale'!$G$2:$G$999))&gt;0,TEXT(SUMPRODUCT(MAX(('Formation Initiale'!$A$2:$A$999=$A457)*'Formation Initiale'!$G$2:$G$999)),"yyyy-mm-dd"),"")))))</f>
        <v/>
      </c>
      <c r="F457" s="131" t="str">
        <f aca="false">IF($P457="✓","✓",IF(ISNUMBER($P457),TEXT($P457,"yyyy-mm-dd"),IF($A457="","",IF($D457="Lisbonne","",IF(SUMPRODUCT(('Formation Initiale'!$A$2:$A$999=$A457)*('Formation Initiale'!$R$2:$R$999="Terminé"))&gt;0,"✓",IF(SUMPRODUCT(MAX(('Formation Initiale'!$A$2:$A$999=$A457)*'Formation Initiale'!$G$2:$G$999))&gt;0,TEXT(SUMPRODUCT(MAX(('Formation Initiale'!$A$2:$A$999=$A457)*'Formation Initiale'!$G$2:$G$999)),"yyyy-mm-dd"),""))))))</f>
        <v/>
      </c>
      <c r="G457" s="131" t="str">
        <f aca="false">IF($Q457="✓","✓",IF(ISNUMBER($Q457),TEXT($Q457,"yyyy-mm-dd"),IF($A457="","",IF(SUMPRODUCT(('Agences &amp; Après-vente'!$A$2:$A$1000=$A457)*(('Agences &amp; Après-vente'!$D$2:$D$1000="Agences")+('Agences &amp; Après-vente'!$D$2:$D$1000="Agences et Après-vente"))*('Agences &amp; Après-vente'!$I$2:$I$1000="DONE"))&gt;0,"✓",IF(SUMPRODUCT(MAX(('Agences &amp; Après-vente'!$A$2:$A$1000=$A457)*(('Agences &amp; Après-vente'!$D$2:$D$1000="Agences")+('Agences &amp; Après-vente'!$D$2:$D$1000="Agences et Après-vente"))*'Agences &amp; Après-vente'!$E$2:$E$1000))&gt;0,TEXT(SUMPRODUCT(MAX(('Agences &amp; Après-vente'!$A$2:$A$1000=$A457)*(('Agences &amp; Après-vente'!$D$2:$D$1000="Agences")+('Agences &amp; Après-vente'!$D$2:$D$1000="Agences et Après-vente"))*'Agences &amp; Après-vente'!$E$2:$E$1000)),"yyyy-mm-dd"),"")))))</f>
        <v/>
      </c>
      <c r="H457" s="131" t="str">
        <f aca="false">IF($R457="✓","✓",IF(ISNUMBER($R457),TEXT($R457,"yyyy-mm-dd"),IF($A457="","",IF($D457="Lisbonne","",IF(SUMPRODUCT(('Agences &amp; Après-vente'!$A$2:$A$1000=$A457)*(('Agences &amp; Après-vente'!$D$2:$D$1000="Agences")+('Agences &amp; Après-vente'!$D$2:$D$1000="Agences et Après-vente"))*('Agences &amp; Après-vente'!$I$2:$I$1000="DONE"))&gt;0,"✓",IF(SUMPRODUCT(MAX(('Agences &amp; Après-vente'!$A$2:$A$1000=$A457)*(('Agences &amp; Après-vente'!$D$2:$D$1000="Agences")+('Agences &amp; Après-vente'!$D$2:$D$1000="Agences et Après-vente"))*'Agences &amp; Après-vente'!$E$2:$E$1000))&gt;0,TEXT(SUMPRODUCT(MAX(('Agences &amp; Après-vente'!$A$2:$A$1000=$A457)*(('Agences &amp; Après-vente'!$D$2:$D$1000="Agences")+('Agences &amp; Après-vente'!$D$2:$D$1000="Agences et Après-vente"))*'Agences &amp; Après-vente'!$E$2:$E$1000)),"yyyy-mm-dd"),""))))))</f>
        <v/>
      </c>
      <c r="I457" s="131" t="str">
        <f aca="false">IF($S457="✓","✓",IF(ISNUMBER($S457),TEXT($S457,"yyyy-mm-dd"),IF($A457="","",IF(SUMPRODUCT(('Agences &amp; Après-vente'!$A$2:$A$1000=$A457)*(('Agences &amp; Après-vente'!$D$2:$D$1000="Après-vente")+('Agences &amp; Après-vente'!$D$2:$D$1000="Agences et Après-vente"))*('Agences &amp; Après-vente'!$I$2:$I$1000="DONE"))&gt;0,"✓",IF(SUMPRODUCT(MAX(('Agences &amp; Après-vente'!$A$2:$A$1000=$A457)*(('Agences &amp; Après-vente'!$D$2:$D$1000="Après-vente")+('Agences &amp; Après-vente'!$D$2:$D$1000="Agences et Après-vente"))*'Agences &amp; Après-vente'!$E$2:$E$1000))&gt;0,TEXT(SUMPRODUCT(MAX(('Agences &amp; Après-vente'!$A$2:$A$1000=$A457)*(('Agences &amp; Après-vente'!$D$2:$D$1000="Après-vente")+('Agences &amp; Après-vente'!$D$2:$D$1000="Agences et Après-vente"))*'Agences &amp; Après-vente'!$E$2:$E$1000)),"yyyy-mm-dd"),"")))))</f>
        <v/>
      </c>
      <c r="J457" s="131" t="str">
        <f aca="false">IF($T457="✓","✓",IF(ISNUMBER($T457),TEXT($T457,"yyyy-mm-dd"),IF($A457="","",IF($D457="Lisbonne","",IF(SUMPRODUCT(('Agences &amp; Après-vente'!$A$2:$A$1000=$A457)*(('Agences &amp; Après-vente'!$D$2:$D$1000="Après-vente")+('Agences &amp; Après-vente'!$D$2:$D$1000="Agences et Après-vente"))*('Agences &amp; Après-vente'!$I$2:$I$1000="DONE"))&gt;0,"✓",IF(SUMPRODUCT(MAX(('Agences &amp; Après-vente'!$A$2:$A$1000=$A457)*(('Agences &amp; Après-vente'!$D$2:$D$1000="Après-vente")+('Agences &amp; Après-vente'!$D$2:$D$1000="Agences et Après-vente"))*'Agences &amp; Après-vente'!$E$2:$E$1000))&gt;0,TEXT(SUMPRODUCT(MAX(('Agences &amp; Après-vente'!$A$2:$A$1000=$A457)*(('Agences &amp; Après-vente'!$D$2:$D$1000="Après-vente")+('Agences &amp; Après-vente'!$D$2:$D$1000="Agences et Après-vente"))*'Agences &amp; Après-vente'!$E$2:$E$1000)),"yyyy-mm-dd"),""))))))</f>
        <v/>
      </c>
      <c r="K457" s="131" t="str">
        <f aca="false">IF($U457="✓","✓",IF(ISNUMBER($U457),TEXT($U457,"yyyy-mm-dd"),IF($D457="Lisbonne","",IF($A457="","",IF(SUMPRODUCT((Evermont!$A$2:$A$1000=$A457)*(Evermont!$Q$2:$Q$1000="Terminé"))&gt;0,"✓",IF(SUMPRODUCT(MAX((Evermont!$A$2:$A$1000=$A457)*Evermont!$F$2:$F$1000))&gt;0,TEXT(SUMPRODUCT(MAX((Evermont!$A$2:$A$1000=$A457)*Evermont!$F$2:$F$1000)),"yyyy-mm-dd"),""))))))</f>
        <v/>
      </c>
      <c r="L457" s="131" t="str">
        <f aca="false">IF($A457="","",COUNTIF(E457:K457,"✓"))</f>
        <v/>
      </c>
      <c r="M457" s="131" t="str">
        <f aca="false">IF(B457="","","Active")</f>
        <v/>
      </c>
      <c r="W457" s="120" t="str">
        <f aca="false">IF($A457="","",IF($X457&lt;&gt;"",$X457,IFERROR(INDEX('Formation Initiale'!$B$2:$B$999,MATCH($A457,'Formation Initiale'!$A$2:$A$999,0)),"Général")))</f>
        <v/>
      </c>
    </row>
    <row r="458" customFormat="false" ht="15" hidden="true" customHeight="true" outlineLevel="0" collapsed="false">
      <c r="A458" s="142" t="str">
        <f aca="false">IF(B458="","","TR"&amp;TEXT(ROW()-1,"000"))</f>
        <v/>
      </c>
      <c r="E458" s="130" t="str">
        <f aca="false">IF($O458="✓","✓",IF(ISNUMBER($O458),TEXT($O458,"yyyy-mm-dd"),IF($A458="","",IF(SUMPRODUCT(('Formation Initiale'!$A$2:$A$999=$A458)*('Formation Initiale'!$R$2:$R$999="Terminé"))&gt;0,"✓",IF(SUMPRODUCT(MAX(('Formation Initiale'!$A$2:$A$999=$A458)*'Formation Initiale'!$G$2:$G$999))&gt;0,TEXT(SUMPRODUCT(MAX(('Formation Initiale'!$A$2:$A$999=$A458)*'Formation Initiale'!$G$2:$G$999)),"yyyy-mm-dd"),"")))))</f>
        <v/>
      </c>
      <c r="F458" s="131" t="str">
        <f aca="false">IF($P458="✓","✓",IF(ISNUMBER($P458),TEXT($P458,"yyyy-mm-dd"),IF($A458="","",IF($D458="Lisbonne","",IF(SUMPRODUCT(('Formation Initiale'!$A$2:$A$999=$A458)*('Formation Initiale'!$R$2:$R$999="Terminé"))&gt;0,"✓",IF(SUMPRODUCT(MAX(('Formation Initiale'!$A$2:$A$999=$A458)*'Formation Initiale'!$G$2:$G$999))&gt;0,TEXT(SUMPRODUCT(MAX(('Formation Initiale'!$A$2:$A$999=$A458)*'Formation Initiale'!$G$2:$G$999)),"yyyy-mm-dd"),""))))))</f>
        <v/>
      </c>
      <c r="G458" s="131" t="str">
        <f aca="false">IF($Q458="✓","✓",IF(ISNUMBER($Q458),TEXT($Q458,"yyyy-mm-dd"),IF($A458="","",IF(SUMPRODUCT(('Agences &amp; Après-vente'!$A$2:$A$1000=$A458)*(('Agences &amp; Après-vente'!$D$2:$D$1000="Agences")+('Agences &amp; Après-vente'!$D$2:$D$1000="Agences et Après-vente"))*('Agences &amp; Après-vente'!$I$2:$I$1000="DONE"))&gt;0,"✓",IF(SUMPRODUCT(MAX(('Agences &amp; Après-vente'!$A$2:$A$1000=$A458)*(('Agences &amp; Après-vente'!$D$2:$D$1000="Agences")+('Agences &amp; Après-vente'!$D$2:$D$1000="Agences et Après-vente"))*'Agences &amp; Après-vente'!$E$2:$E$1000))&gt;0,TEXT(SUMPRODUCT(MAX(('Agences &amp; Après-vente'!$A$2:$A$1000=$A458)*(('Agences &amp; Après-vente'!$D$2:$D$1000="Agences")+('Agences &amp; Après-vente'!$D$2:$D$1000="Agences et Après-vente"))*'Agences &amp; Après-vente'!$E$2:$E$1000)),"yyyy-mm-dd"),"")))))</f>
        <v/>
      </c>
      <c r="H458" s="131" t="str">
        <f aca="false">IF($R458="✓","✓",IF(ISNUMBER($R458),TEXT($R458,"yyyy-mm-dd"),IF($A458="","",IF($D458="Lisbonne","",IF(SUMPRODUCT(('Agences &amp; Après-vente'!$A$2:$A$1000=$A458)*(('Agences &amp; Après-vente'!$D$2:$D$1000="Agences")+('Agences &amp; Après-vente'!$D$2:$D$1000="Agences et Après-vente"))*('Agences &amp; Après-vente'!$I$2:$I$1000="DONE"))&gt;0,"✓",IF(SUMPRODUCT(MAX(('Agences &amp; Après-vente'!$A$2:$A$1000=$A458)*(('Agences &amp; Après-vente'!$D$2:$D$1000="Agences")+('Agences &amp; Après-vente'!$D$2:$D$1000="Agences et Après-vente"))*'Agences &amp; Après-vente'!$E$2:$E$1000))&gt;0,TEXT(SUMPRODUCT(MAX(('Agences &amp; Après-vente'!$A$2:$A$1000=$A458)*(('Agences &amp; Après-vente'!$D$2:$D$1000="Agences")+('Agences &amp; Après-vente'!$D$2:$D$1000="Agences et Après-vente"))*'Agences &amp; Après-vente'!$E$2:$E$1000)),"yyyy-mm-dd"),""))))))</f>
        <v/>
      </c>
      <c r="I458" s="131" t="str">
        <f aca="false">IF($S458="✓","✓",IF(ISNUMBER($S458),TEXT($S458,"yyyy-mm-dd"),IF($A458="","",IF(SUMPRODUCT(('Agences &amp; Après-vente'!$A$2:$A$1000=$A458)*(('Agences &amp; Après-vente'!$D$2:$D$1000="Après-vente")+('Agences &amp; Après-vente'!$D$2:$D$1000="Agences et Après-vente"))*('Agences &amp; Après-vente'!$I$2:$I$1000="DONE"))&gt;0,"✓",IF(SUMPRODUCT(MAX(('Agences &amp; Après-vente'!$A$2:$A$1000=$A458)*(('Agences &amp; Après-vente'!$D$2:$D$1000="Après-vente")+('Agences &amp; Après-vente'!$D$2:$D$1000="Agences et Après-vente"))*'Agences &amp; Après-vente'!$E$2:$E$1000))&gt;0,TEXT(SUMPRODUCT(MAX(('Agences &amp; Après-vente'!$A$2:$A$1000=$A458)*(('Agences &amp; Après-vente'!$D$2:$D$1000="Après-vente")+('Agences &amp; Après-vente'!$D$2:$D$1000="Agences et Après-vente"))*'Agences &amp; Après-vente'!$E$2:$E$1000)),"yyyy-mm-dd"),"")))))</f>
        <v/>
      </c>
      <c r="J458" s="131" t="str">
        <f aca="false">IF($T458="✓","✓",IF(ISNUMBER($T458),TEXT($T458,"yyyy-mm-dd"),IF($A458="","",IF($D458="Lisbonne","",IF(SUMPRODUCT(('Agences &amp; Après-vente'!$A$2:$A$1000=$A458)*(('Agences &amp; Après-vente'!$D$2:$D$1000="Après-vente")+('Agences &amp; Après-vente'!$D$2:$D$1000="Agences et Après-vente"))*('Agences &amp; Après-vente'!$I$2:$I$1000="DONE"))&gt;0,"✓",IF(SUMPRODUCT(MAX(('Agences &amp; Après-vente'!$A$2:$A$1000=$A458)*(('Agences &amp; Après-vente'!$D$2:$D$1000="Après-vente")+('Agences &amp; Après-vente'!$D$2:$D$1000="Agences et Après-vente"))*'Agences &amp; Après-vente'!$E$2:$E$1000))&gt;0,TEXT(SUMPRODUCT(MAX(('Agences &amp; Après-vente'!$A$2:$A$1000=$A458)*(('Agences &amp; Après-vente'!$D$2:$D$1000="Après-vente")+('Agences &amp; Après-vente'!$D$2:$D$1000="Agences et Après-vente"))*'Agences &amp; Après-vente'!$E$2:$E$1000)),"yyyy-mm-dd"),""))))))</f>
        <v/>
      </c>
      <c r="K458" s="131" t="str">
        <f aca="false">IF($U458="✓","✓",IF(ISNUMBER($U458),TEXT($U458,"yyyy-mm-dd"),IF($D458="Lisbonne","",IF($A458="","",IF(SUMPRODUCT((Evermont!$A$2:$A$1000=$A458)*(Evermont!$Q$2:$Q$1000="Terminé"))&gt;0,"✓",IF(SUMPRODUCT(MAX((Evermont!$A$2:$A$1000=$A458)*Evermont!$F$2:$F$1000))&gt;0,TEXT(SUMPRODUCT(MAX((Evermont!$A$2:$A$1000=$A458)*Evermont!$F$2:$F$1000)),"yyyy-mm-dd"),""))))))</f>
        <v/>
      </c>
      <c r="L458" s="131" t="str">
        <f aca="false">IF($A458="","",COUNTIF(E458:K458,"✓"))</f>
        <v/>
      </c>
      <c r="M458" s="131" t="str">
        <f aca="false">IF(B458="","","Active")</f>
        <v/>
      </c>
      <c r="W458" s="120" t="str">
        <f aca="false">IF($A458="","",IF($X458&lt;&gt;"",$X458,IFERROR(INDEX('Formation Initiale'!$B$2:$B$999,MATCH($A458,'Formation Initiale'!$A$2:$A$999,0)),"Général")))</f>
        <v/>
      </c>
    </row>
    <row r="459" customFormat="false" ht="15" hidden="true" customHeight="true" outlineLevel="0" collapsed="false">
      <c r="A459" s="142" t="str">
        <f aca="false">IF(B459="","","TR"&amp;TEXT(ROW()-1,"000"))</f>
        <v/>
      </c>
      <c r="E459" s="130" t="str">
        <f aca="false">IF($O459="✓","✓",IF(ISNUMBER($O459),TEXT($O459,"yyyy-mm-dd"),IF($A459="","",IF(SUMPRODUCT(('Formation Initiale'!$A$2:$A$999=$A459)*('Formation Initiale'!$R$2:$R$999="Terminé"))&gt;0,"✓",IF(SUMPRODUCT(MAX(('Formation Initiale'!$A$2:$A$999=$A459)*'Formation Initiale'!$G$2:$G$999))&gt;0,TEXT(SUMPRODUCT(MAX(('Formation Initiale'!$A$2:$A$999=$A459)*'Formation Initiale'!$G$2:$G$999)),"yyyy-mm-dd"),"")))))</f>
        <v/>
      </c>
      <c r="F459" s="131" t="str">
        <f aca="false">IF($P459="✓","✓",IF(ISNUMBER($P459),TEXT($P459,"yyyy-mm-dd"),IF($A459="","",IF($D459="Lisbonne","",IF(SUMPRODUCT(('Formation Initiale'!$A$2:$A$999=$A459)*('Formation Initiale'!$R$2:$R$999="Terminé"))&gt;0,"✓",IF(SUMPRODUCT(MAX(('Formation Initiale'!$A$2:$A$999=$A459)*'Formation Initiale'!$G$2:$G$999))&gt;0,TEXT(SUMPRODUCT(MAX(('Formation Initiale'!$A$2:$A$999=$A459)*'Formation Initiale'!$G$2:$G$999)),"yyyy-mm-dd"),""))))))</f>
        <v/>
      </c>
      <c r="G459" s="131" t="str">
        <f aca="false">IF($Q459="✓","✓",IF(ISNUMBER($Q459),TEXT($Q459,"yyyy-mm-dd"),IF($A459="","",IF(SUMPRODUCT(('Agences &amp; Après-vente'!$A$2:$A$1000=$A459)*(('Agences &amp; Après-vente'!$D$2:$D$1000="Agences")+('Agences &amp; Après-vente'!$D$2:$D$1000="Agences et Après-vente"))*('Agences &amp; Après-vente'!$I$2:$I$1000="DONE"))&gt;0,"✓",IF(SUMPRODUCT(MAX(('Agences &amp; Après-vente'!$A$2:$A$1000=$A459)*(('Agences &amp; Après-vente'!$D$2:$D$1000="Agences")+('Agences &amp; Après-vente'!$D$2:$D$1000="Agences et Après-vente"))*'Agences &amp; Après-vente'!$E$2:$E$1000))&gt;0,TEXT(SUMPRODUCT(MAX(('Agences &amp; Après-vente'!$A$2:$A$1000=$A459)*(('Agences &amp; Après-vente'!$D$2:$D$1000="Agences")+('Agences &amp; Après-vente'!$D$2:$D$1000="Agences et Après-vente"))*'Agences &amp; Après-vente'!$E$2:$E$1000)),"yyyy-mm-dd"),"")))))</f>
        <v/>
      </c>
      <c r="H459" s="131" t="str">
        <f aca="false">IF($R459="✓","✓",IF(ISNUMBER($R459),TEXT($R459,"yyyy-mm-dd"),IF($A459="","",IF($D459="Lisbonne","",IF(SUMPRODUCT(('Agences &amp; Après-vente'!$A$2:$A$1000=$A459)*(('Agences &amp; Après-vente'!$D$2:$D$1000="Agences")+('Agences &amp; Après-vente'!$D$2:$D$1000="Agences et Après-vente"))*('Agences &amp; Après-vente'!$I$2:$I$1000="DONE"))&gt;0,"✓",IF(SUMPRODUCT(MAX(('Agences &amp; Après-vente'!$A$2:$A$1000=$A459)*(('Agences &amp; Après-vente'!$D$2:$D$1000="Agences")+('Agences &amp; Après-vente'!$D$2:$D$1000="Agences et Après-vente"))*'Agences &amp; Après-vente'!$E$2:$E$1000))&gt;0,TEXT(SUMPRODUCT(MAX(('Agences &amp; Après-vente'!$A$2:$A$1000=$A459)*(('Agences &amp; Après-vente'!$D$2:$D$1000="Agences")+('Agences &amp; Après-vente'!$D$2:$D$1000="Agences et Après-vente"))*'Agences &amp; Après-vente'!$E$2:$E$1000)),"yyyy-mm-dd"),""))))))</f>
        <v/>
      </c>
      <c r="I459" s="131" t="str">
        <f aca="false">IF($S459="✓","✓",IF(ISNUMBER($S459),TEXT($S459,"yyyy-mm-dd"),IF($A459="","",IF(SUMPRODUCT(('Agences &amp; Après-vente'!$A$2:$A$1000=$A459)*(('Agences &amp; Après-vente'!$D$2:$D$1000="Après-vente")+('Agences &amp; Après-vente'!$D$2:$D$1000="Agences et Après-vente"))*('Agences &amp; Après-vente'!$I$2:$I$1000="DONE"))&gt;0,"✓",IF(SUMPRODUCT(MAX(('Agences &amp; Après-vente'!$A$2:$A$1000=$A459)*(('Agences &amp; Après-vente'!$D$2:$D$1000="Après-vente")+('Agences &amp; Après-vente'!$D$2:$D$1000="Agences et Après-vente"))*'Agences &amp; Après-vente'!$E$2:$E$1000))&gt;0,TEXT(SUMPRODUCT(MAX(('Agences &amp; Après-vente'!$A$2:$A$1000=$A459)*(('Agences &amp; Après-vente'!$D$2:$D$1000="Après-vente")+('Agences &amp; Après-vente'!$D$2:$D$1000="Agences et Après-vente"))*'Agences &amp; Après-vente'!$E$2:$E$1000)),"yyyy-mm-dd"),"")))))</f>
        <v/>
      </c>
      <c r="J459" s="131" t="str">
        <f aca="false">IF($T459="✓","✓",IF(ISNUMBER($T459),TEXT($T459,"yyyy-mm-dd"),IF($A459="","",IF($D459="Lisbonne","",IF(SUMPRODUCT(('Agences &amp; Après-vente'!$A$2:$A$1000=$A459)*(('Agences &amp; Après-vente'!$D$2:$D$1000="Après-vente")+('Agences &amp; Après-vente'!$D$2:$D$1000="Agences et Après-vente"))*('Agences &amp; Après-vente'!$I$2:$I$1000="DONE"))&gt;0,"✓",IF(SUMPRODUCT(MAX(('Agences &amp; Après-vente'!$A$2:$A$1000=$A459)*(('Agences &amp; Après-vente'!$D$2:$D$1000="Après-vente")+('Agences &amp; Après-vente'!$D$2:$D$1000="Agences et Après-vente"))*'Agences &amp; Après-vente'!$E$2:$E$1000))&gt;0,TEXT(SUMPRODUCT(MAX(('Agences &amp; Après-vente'!$A$2:$A$1000=$A459)*(('Agences &amp; Après-vente'!$D$2:$D$1000="Après-vente")+('Agences &amp; Après-vente'!$D$2:$D$1000="Agences et Après-vente"))*'Agences &amp; Après-vente'!$E$2:$E$1000)),"yyyy-mm-dd"),""))))))</f>
        <v/>
      </c>
      <c r="K459" s="131" t="str">
        <f aca="false">IF($U459="✓","✓",IF(ISNUMBER($U459),TEXT($U459,"yyyy-mm-dd"),IF($D459="Lisbonne","",IF($A459="","",IF(SUMPRODUCT((Evermont!$A$2:$A$1000=$A459)*(Evermont!$Q$2:$Q$1000="Terminé"))&gt;0,"✓",IF(SUMPRODUCT(MAX((Evermont!$A$2:$A$1000=$A459)*Evermont!$F$2:$F$1000))&gt;0,TEXT(SUMPRODUCT(MAX((Evermont!$A$2:$A$1000=$A459)*Evermont!$F$2:$F$1000)),"yyyy-mm-dd"),""))))))</f>
        <v/>
      </c>
      <c r="L459" s="131" t="str">
        <f aca="false">IF($A459="","",COUNTIF(E459:K459,"✓"))</f>
        <v/>
      </c>
      <c r="M459" s="131" t="str">
        <f aca="false">IF(B459="","","Active")</f>
        <v/>
      </c>
      <c r="W459" s="120" t="str">
        <f aca="false">IF($A459="","",IF($X459&lt;&gt;"",$X459,IFERROR(INDEX('Formation Initiale'!$B$2:$B$999,MATCH($A459,'Formation Initiale'!$A$2:$A$999,0)),"Général")))</f>
        <v/>
      </c>
    </row>
    <row r="460" customFormat="false" ht="15" hidden="true" customHeight="true" outlineLevel="0" collapsed="false">
      <c r="A460" s="142" t="str">
        <f aca="false">IF(B460="","","TR"&amp;TEXT(ROW()-1,"000"))</f>
        <v/>
      </c>
      <c r="E460" s="130" t="str">
        <f aca="false">IF($O460="✓","✓",IF(ISNUMBER($O460),TEXT($O460,"yyyy-mm-dd"),IF($A460="","",IF(SUMPRODUCT(('Formation Initiale'!$A$2:$A$999=$A460)*('Formation Initiale'!$R$2:$R$999="Terminé"))&gt;0,"✓",IF(SUMPRODUCT(MAX(('Formation Initiale'!$A$2:$A$999=$A460)*'Formation Initiale'!$G$2:$G$999))&gt;0,TEXT(SUMPRODUCT(MAX(('Formation Initiale'!$A$2:$A$999=$A460)*'Formation Initiale'!$G$2:$G$999)),"yyyy-mm-dd"),"")))))</f>
        <v/>
      </c>
      <c r="F460" s="131" t="str">
        <f aca="false">IF($P460="✓","✓",IF(ISNUMBER($P460),TEXT($P460,"yyyy-mm-dd"),IF($A460="","",IF($D460="Lisbonne","",IF(SUMPRODUCT(('Formation Initiale'!$A$2:$A$999=$A460)*('Formation Initiale'!$R$2:$R$999="Terminé"))&gt;0,"✓",IF(SUMPRODUCT(MAX(('Formation Initiale'!$A$2:$A$999=$A460)*'Formation Initiale'!$G$2:$G$999))&gt;0,TEXT(SUMPRODUCT(MAX(('Formation Initiale'!$A$2:$A$999=$A460)*'Formation Initiale'!$G$2:$G$999)),"yyyy-mm-dd"),""))))))</f>
        <v/>
      </c>
      <c r="G460" s="131" t="str">
        <f aca="false">IF($Q460="✓","✓",IF(ISNUMBER($Q460),TEXT($Q460,"yyyy-mm-dd"),IF($A460="","",IF(SUMPRODUCT(('Agences &amp; Après-vente'!$A$2:$A$1000=$A460)*(('Agences &amp; Après-vente'!$D$2:$D$1000="Agences")+('Agences &amp; Après-vente'!$D$2:$D$1000="Agences et Après-vente"))*('Agences &amp; Après-vente'!$I$2:$I$1000="DONE"))&gt;0,"✓",IF(SUMPRODUCT(MAX(('Agences &amp; Après-vente'!$A$2:$A$1000=$A460)*(('Agences &amp; Après-vente'!$D$2:$D$1000="Agences")+('Agences &amp; Après-vente'!$D$2:$D$1000="Agences et Après-vente"))*'Agences &amp; Après-vente'!$E$2:$E$1000))&gt;0,TEXT(SUMPRODUCT(MAX(('Agences &amp; Après-vente'!$A$2:$A$1000=$A460)*(('Agences &amp; Après-vente'!$D$2:$D$1000="Agences")+('Agences &amp; Après-vente'!$D$2:$D$1000="Agences et Après-vente"))*'Agences &amp; Après-vente'!$E$2:$E$1000)),"yyyy-mm-dd"),"")))))</f>
        <v/>
      </c>
      <c r="H460" s="131" t="str">
        <f aca="false">IF($R460="✓","✓",IF(ISNUMBER($R460),TEXT($R460,"yyyy-mm-dd"),IF($A460="","",IF($D460="Lisbonne","",IF(SUMPRODUCT(('Agences &amp; Après-vente'!$A$2:$A$1000=$A460)*(('Agences &amp; Après-vente'!$D$2:$D$1000="Agences")+('Agences &amp; Après-vente'!$D$2:$D$1000="Agences et Après-vente"))*('Agences &amp; Après-vente'!$I$2:$I$1000="DONE"))&gt;0,"✓",IF(SUMPRODUCT(MAX(('Agences &amp; Après-vente'!$A$2:$A$1000=$A460)*(('Agences &amp; Après-vente'!$D$2:$D$1000="Agences")+('Agences &amp; Après-vente'!$D$2:$D$1000="Agences et Après-vente"))*'Agences &amp; Après-vente'!$E$2:$E$1000))&gt;0,TEXT(SUMPRODUCT(MAX(('Agences &amp; Après-vente'!$A$2:$A$1000=$A460)*(('Agences &amp; Après-vente'!$D$2:$D$1000="Agences")+('Agences &amp; Après-vente'!$D$2:$D$1000="Agences et Après-vente"))*'Agences &amp; Après-vente'!$E$2:$E$1000)),"yyyy-mm-dd"),""))))))</f>
        <v/>
      </c>
      <c r="I460" s="131" t="str">
        <f aca="false">IF($S460="✓","✓",IF(ISNUMBER($S460),TEXT($S460,"yyyy-mm-dd"),IF($A460="","",IF(SUMPRODUCT(('Agences &amp; Après-vente'!$A$2:$A$1000=$A460)*(('Agences &amp; Après-vente'!$D$2:$D$1000="Après-vente")+('Agences &amp; Après-vente'!$D$2:$D$1000="Agences et Après-vente"))*('Agences &amp; Après-vente'!$I$2:$I$1000="DONE"))&gt;0,"✓",IF(SUMPRODUCT(MAX(('Agences &amp; Après-vente'!$A$2:$A$1000=$A460)*(('Agences &amp; Après-vente'!$D$2:$D$1000="Après-vente")+('Agences &amp; Après-vente'!$D$2:$D$1000="Agences et Après-vente"))*'Agences &amp; Après-vente'!$E$2:$E$1000))&gt;0,TEXT(SUMPRODUCT(MAX(('Agences &amp; Après-vente'!$A$2:$A$1000=$A460)*(('Agences &amp; Après-vente'!$D$2:$D$1000="Après-vente")+('Agences &amp; Après-vente'!$D$2:$D$1000="Agences et Après-vente"))*'Agences &amp; Après-vente'!$E$2:$E$1000)),"yyyy-mm-dd"),"")))))</f>
        <v/>
      </c>
      <c r="J460" s="131" t="str">
        <f aca="false">IF($T460="✓","✓",IF(ISNUMBER($T460),TEXT($T460,"yyyy-mm-dd"),IF($A460="","",IF($D460="Lisbonne","",IF(SUMPRODUCT(('Agences &amp; Après-vente'!$A$2:$A$1000=$A460)*(('Agences &amp; Après-vente'!$D$2:$D$1000="Après-vente")+('Agences &amp; Après-vente'!$D$2:$D$1000="Agences et Après-vente"))*('Agences &amp; Après-vente'!$I$2:$I$1000="DONE"))&gt;0,"✓",IF(SUMPRODUCT(MAX(('Agences &amp; Après-vente'!$A$2:$A$1000=$A460)*(('Agences &amp; Après-vente'!$D$2:$D$1000="Après-vente")+('Agences &amp; Après-vente'!$D$2:$D$1000="Agences et Après-vente"))*'Agences &amp; Après-vente'!$E$2:$E$1000))&gt;0,TEXT(SUMPRODUCT(MAX(('Agences &amp; Après-vente'!$A$2:$A$1000=$A460)*(('Agences &amp; Après-vente'!$D$2:$D$1000="Après-vente")+('Agences &amp; Après-vente'!$D$2:$D$1000="Agences et Après-vente"))*'Agences &amp; Après-vente'!$E$2:$E$1000)),"yyyy-mm-dd"),""))))))</f>
        <v/>
      </c>
      <c r="K460" s="131" t="str">
        <f aca="false">IF($U460="✓","✓",IF(ISNUMBER($U460),TEXT($U460,"yyyy-mm-dd"),IF($D460="Lisbonne","",IF($A460="","",IF(SUMPRODUCT((Evermont!$A$2:$A$1000=$A460)*(Evermont!$Q$2:$Q$1000="Terminé"))&gt;0,"✓",IF(SUMPRODUCT(MAX((Evermont!$A$2:$A$1000=$A460)*Evermont!$F$2:$F$1000))&gt;0,TEXT(SUMPRODUCT(MAX((Evermont!$A$2:$A$1000=$A460)*Evermont!$F$2:$F$1000)),"yyyy-mm-dd"),""))))))</f>
        <v/>
      </c>
      <c r="L460" s="131" t="str">
        <f aca="false">IF($A460="","",COUNTIF(E460:K460,"✓"))</f>
        <v/>
      </c>
      <c r="M460" s="131" t="str">
        <f aca="false">IF(B460="","","Active")</f>
        <v/>
      </c>
      <c r="W460" s="120" t="str">
        <f aca="false">IF($A460="","",IF($X460&lt;&gt;"",$X460,IFERROR(INDEX('Formation Initiale'!$B$2:$B$999,MATCH($A460,'Formation Initiale'!$A$2:$A$999,0)),"Général")))</f>
        <v/>
      </c>
    </row>
    <row r="461" customFormat="false" ht="15" hidden="true" customHeight="true" outlineLevel="0" collapsed="false">
      <c r="A461" s="142" t="str">
        <f aca="false">IF(B461="","","TR"&amp;TEXT(ROW()-1,"000"))</f>
        <v/>
      </c>
      <c r="E461" s="130" t="str">
        <f aca="false">IF($O461="✓","✓",IF(ISNUMBER($O461),TEXT($O461,"yyyy-mm-dd"),IF($A461="","",IF(SUMPRODUCT(('Formation Initiale'!$A$2:$A$999=$A461)*('Formation Initiale'!$R$2:$R$999="Terminé"))&gt;0,"✓",IF(SUMPRODUCT(MAX(('Formation Initiale'!$A$2:$A$999=$A461)*'Formation Initiale'!$G$2:$G$999))&gt;0,TEXT(SUMPRODUCT(MAX(('Formation Initiale'!$A$2:$A$999=$A461)*'Formation Initiale'!$G$2:$G$999)),"yyyy-mm-dd"),"")))))</f>
        <v/>
      </c>
      <c r="F461" s="131" t="str">
        <f aca="false">IF($P461="✓","✓",IF(ISNUMBER($P461),TEXT($P461,"yyyy-mm-dd"),IF($A461="","",IF($D461="Lisbonne","",IF(SUMPRODUCT(('Formation Initiale'!$A$2:$A$999=$A461)*('Formation Initiale'!$R$2:$R$999="Terminé"))&gt;0,"✓",IF(SUMPRODUCT(MAX(('Formation Initiale'!$A$2:$A$999=$A461)*'Formation Initiale'!$G$2:$G$999))&gt;0,TEXT(SUMPRODUCT(MAX(('Formation Initiale'!$A$2:$A$999=$A461)*'Formation Initiale'!$G$2:$G$999)),"yyyy-mm-dd"),""))))))</f>
        <v/>
      </c>
      <c r="G461" s="131" t="str">
        <f aca="false">IF($Q461="✓","✓",IF(ISNUMBER($Q461),TEXT($Q461,"yyyy-mm-dd"),IF($A461="","",IF(SUMPRODUCT(('Agences &amp; Après-vente'!$A$2:$A$1000=$A461)*(('Agences &amp; Après-vente'!$D$2:$D$1000="Agences")+('Agences &amp; Après-vente'!$D$2:$D$1000="Agences et Après-vente"))*('Agences &amp; Après-vente'!$I$2:$I$1000="DONE"))&gt;0,"✓",IF(SUMPRODUCT(MAX(('Agences &amp; Après-vente'!$A$2:$A$1000=$A461)*(('Agences &amp; Après-vente'!$D$2:$D$1000="Agences")+('Agences &amp; Après-vente'!$D$2:$D$1000="Agences et Après-vente"))*'Agences &amp; Après-vente'!$E$2:$E$1000))&gt;0,TEXT(SUMPRODUCT(MAX(('Agences &amp; Après-vente'!$A$2:$A$1000=$A461)*(('Agences &amp; Après-vente'!$D$2:$D$1000="Agences")+('Agences &amp; Après-vente'!$D$2:$D$1000="Agences et Après-vente"))*'Agences &amp; Après-vente'!$E$2:$E$1000)),"yyyy-mm-dd"),"")))))</f>
        <v/>
      </c>
      <c r="H461" s="131" t="str">
        <f aca="false">IF($R461="✓","✓",IF(ISNUMBER($R461),TEXT($R461,"yyyy-mm-dd"),IF($A461="","",IF($D461="Lisbonne","",IF(SUMPRODUCT(('Agences &amp; Après-vente'!$A$2:$A$1000=$A461)*(('Agences &amp; Après-vente'!$D$2:$D$1000="Agences")+('Agences &amp; Après-vente'!$D$2:$D$1000="Agences et Après-vente"))*('Agences &amp; Après-vente'!$I$2:$I$1000="DONE"))&gt;0,"✓",IF(SUMPRODUCT(MAX(('Agences &amp; Après-vente'!$A$2:$A$1000=$A461)*(('Agences &amp; Après-vente'!$D$2:$D$1000="Agences")+('Agences &amp; Après-vente'!$D$2:$D$1000="Agences et Après-vente"))*'Agences &amp; Après-vente'!$E$2:$E$1000))&gt;0,TEXT(SUMPRODUCT(MAX(('Agences &amp; Après-vente'!$A$2:$A$1000=$A461)*(('Agences &amp; Après-vente'!$D$2:$D$1000="Agences")+('Agences &amp; Après-vente'!$D$2:$D$1000="Agences et Après-vente"))*'Agences &amp; Après-vente'!$E$2:$E$1000)),"yyyy-mm-dd"),""))))))</f>
        <v/>
      </c>
      <c r="I461" s="131" t="str">
        <f aca="false">IF($S461="✓","✓",IF(ISNUMBER($S461),TEXT($S461,"yyyy-mm-dd"),IF($A461="","",IF(SUMPRODUCT(('Agences &amp; Après-vente'!$A$2:$A$1000=$A461)*(('Agences &amp; Après-vente'!$D$2:$D$1000="Après-vente")+('Agences &amp; Après-vente'!$D$2:$D$1000="Agences et Après-vente"))*('Agences &amp; Après-vente'!$I$2:$I$1000="DONE"))&gt;0,"✓",IF(SUMPRODUCT(MAX(('Agences &amp; Après-vente'!$A$2:$A$1000=$A461)*(('Agences &amp; Après-vente'!$D$2:$D$1000="Après-vente")+('Agences &amp; Après-vente'!$D$2:$D$1000="Agences et Après-vente"))*'Agences &amp; Après-vente'!$E$2:$E$1000))&gt;0,TEXT(SUMPRODUCT(MAX(('Agences &amp; Après-vente'!$A$2:$A$1000=$A461)*(('Agences &amp; Après-vente'!$D$2:$D$1000="Après-vente")+('Agences &amp; Après-vente'!$D$2:$D$1000="Agences et Après-vente"))*'Agences &amp; Après-vente'!$E$2:$E$1000)),"yyyy-mm-dd"),"")))))</f>
        <v/>
      </c>
      <c r="J461" s="131" t="str">
        <f aca="false">IF($T461="✓","✓",IF(ISNUMBER($T461),TEXT($T461,"yyyy-mm-dd"),IF($A461="","",IF($D461="Lisbonne","",IF(SUMPRODUCT(('Agences &amp; Après-vente'!$A$2:$A$1000=$A461)*(('Agences &amp; Après-vente'!$D$2:$D$1000="Après-vente")+('Agences &amp; Après-vente'!$D$2:$D$1000="Agences et Après-vente"))*('Agences &amp; Après-vente'!$I$2:$I$1000="DONE"))&gt;0,"✓",IF(SUMPRODUCT(MAX(('Agences &amp; Après-vente'!$A$2:$A$1000=$A461)*(('Agences &amp; Après-vente'!$D$2:$D$1000="Après-vente")+('Agences &amp; Après-vente'!$D$2:$D$1000="Agences et Après-vente"))*'Agences &amp; Après-vente'!$E$2:$E$1000))&gt;0,TEXT(SUMPRODUCT(MAX(('Agences &amp; Après-vente'!$A$2:$A$1000=$A461)*(('Agences &amp; Après-vente'!$D$2:$D$1000="Après-vente")+('Agences &amp; Après-vente'!$D$2:$D$1000="Agences et Après-vente"))*'Agences &amp; Après-vente'!$E$2:$E$1000)),"yyyy-mm-dd"),""))))))</f>
        <v/>
      </c>
      <c r="K461" s="131" t="str">
        <f aca="false">IF($U461="✓","✓",IF(ISNUMBER($U461),TEXT($U461,"yyyy-mm-dd"),IF($D461="Lisbonne","",IF($A461="","",IF(SUMPRODUCT((Evermont!$A$2:$A$1000=$A461)*(Evermont!$Q$2:$Q$1000="Terminé"))&gt;0,"✓",IF(SUMPRODUCT(MAX((Evermont!$A$2:$A$1000=$A461)*Evermont!$F$2:$F$1000))&gt;0,TEXT(SUMPRODUCT(MAX((Evermont!$A$2:$A$1000=$A461)*Evermont!$F$2:$F$1000)),"yyyy-mm-dd"),""))))))</f>
        <v/>
      </c>
      <c r="L461" s="131" t="str">
        <f aca="false">IF($A461="","",COUNTIF(E461:K461,"✓"))</f>
        <v/>
      </c>
      <c r="M461" s="131" t="str">
        <f aca="false">IF(B461="","","Active")</f>
        <v/>
      </c>
      <c r="W461" s="120" t="str">
        <f aca="false">IF($A461="","",IF($X461&lt;&gt;"",$X461,IFERROR(INDEX('Formation Initiale'!$B$2:$B$999,MATCH($A461,'Formation Initiale'!$A$2:$A$999,0)),"Général")))</f>
        <v/>
      </c>
    </row>
    <row r="462" customFormat="false" ht="15" hidden="true" customHeight="true" outlineLevel="0" collapsed="false">
      <c r="A462" s="142" t="str">
        <f aca="false">IF(B462="","","TR"&amp;TEXT(ROW()-1,"000"))</f>
        <v/>
      </c>
      <c r="E462" s="130" t="str">
        <f aca="false">IF($O462="✓","✓",IF(ISNUMBER($O462),TEXT($O462,"yyyy-mm-dd"),IF($A462="","",IF(SUMPRODUCT(('Formation Initiale'!$A$2:$A$999=$A462)*('Formation Initiale'!$R$2:$R$999="Terminé"))&gt;0,"✓",IF(SUMPRODUCT(MAX(('Formation Initiale'!$A$2:$A$999=$A462)*'Formation Initiale'!$G$2:$G$999))&gt;0,TEXT(SUMPRODUCT(MAX(('Formation Initiale'!$A$2:$A$999=$A462)*'Formation Initiale'!$G$2:$G$999)),"yyyy-mm-dd"),"")))))</f>
        <v/>
      </c>
      <c r="F462" s="131" t="str">
        <f aca="false">IF($P462="✓","✓",IF(ISNUMBER($P462),TEXT($P462,"yyyy-mm-dd"),IF($A462="","",IF($D462="Lisbonne","",IF(SUMPRODUCT(('Formation Initiale'!$A$2:$A$999=$A462)*('Formation Initiale'!$R$2:$R$999="Terminé"))&gt;0,"✓",IF(SUMPRODUCT(MAX(('Formation Initiale'!$A$2:$A$999=$A462)*'Formation Initiale'!$G$2:$G$999))&gt;0,TEXT(SUMPRODUCT(MAX(('Formation Initiale'!$A$2:$A$999=$A462)*'Formation Initiale'!$G$2:$G$999)),"yyyy-mm-dd"),""))))))</f>
        <v/>
      </c>
      <c r="G462" s="131" t="str">
        <f aca="false">IF($Q462="✓","✓",IF(ISNUMBER($Q462),TEXT($Q462,"yyyy-mm-dd"),IF($A462="","",IF(SUMPRODUCT(('Agences &amp; Après-vente'!$A$2:$A$1000=$A462)*(('Agences &amp; Après-vente'!$D$2:$D$1000="Agences")+('Agences &amp; Après-vente'!$D$2:$D$1000="Agences et Après-vente"))*('Agences &amp; Après-vente'!$I$2:$I$1000="DONE"))&gt;0,"✓",IF(SUMPRODUCT(MAX(('Agences &amp; Après-vente'!$A$2:$A$1000=$A462)*(('Agences &amp; Après-vente'!$D$2:$D$1000="Agences")+('Agences &amp; Après-vente'!$D$2:$D$1000="Agences et Après-vente"))*'Agences &amp; Après-vente'!$E$2:$E$1000))&gt;0,TEXT(SUMPRODUCT(MAX(('Agences &amp; Après-vente'!$A$2:$A$1000=$A462)*(('Agences &amp; Après-vente'!$D$2:$D$1000="Agences")+('Agences &amp; Après-vente'!$D$2:$D$1000="Agences et Après-vente"))*'Agences &amp; Après-vente'!$E$2:$E$1000)),"yyyy-mm-dd"),"")))))</f>
        <v/>
      </c>
      <c r="H462" s="131" t="str">
        <f aca="false">IF($R462="✓","✓",IF(ISNUMBER($R462),TEXT($R462,"yyyy-mm-dd"),IF($A462="","",IF($D462="Lisbonne","",IF(SUMPRODUCT(('Agences &amp; Après-vente'!$A$2:$A$1000=$A462)*(('Agences &amp; Après-vente'!$D$2:$D$1000="Agences")+('Agences &amp; Après-vente'!$D$2:$D$1000="Agences et Après-vente"))*('Agences &amp; Après-vente'!$I$2:$I$1000="DONE"))&gt;0,"✓",IF(SUMPRODUCT(MAX(('Agences &amp; Après-vente'!$A$2:$A$1000=$A462)*(('Agences &amp; Après-vente'!$D$2:$D$1000="Agences")+('Agences &amp; Après-vente'!$D$2:$D$1000="Agences et Après-vente"))*'Agences &amp; Après-vente'!$E$2:$E$1000))&gt;0,TEXT(SUMPRODUCT(MAX(('Agences &amp; Après-vente'!$A$2:$A$1000=$A462)*(('Agences &amp; Après-vente'!$D$2:$D$1000="Agences")+('Agences &amp; Après-vente'!$D$2:$D$1000="Agences et Après-vente"))*'Agences &amp; Après-vente'!$E$2:$E$1000)),"yyyy-mm-dd"),""))))))</f>
        <v/>
      </c>
      <c r="I462" s="131" t="str">
        <f aca="false">IF($S462="✓","✓",IF(ISNUMBER($S462),TEXT($S462,"yyyy-mm-dd"),IF($A462="","",IF(SUMPRODUCT(('Agences &amp; Après-vente'!$A$2:$A$1000=$A462)*(('Agences &amp; Après-vente'!$D$2:$D$1000="Après-vente")+('Agences &amp; Après-vente'!$D$2:$D$1000="Agences et Après-vente"))*('Agences &amp; Après-vente'!$I$2:$I$1000="DONE"))&gt;0,"✓",IF(SUMPRODUCT(MAX(('Agences &amp; Après-vente'!$A$2:$A$1000=$A462)*(('Agences &amp; Après-vente'!$D$2:$D$1000="Après-vente")+('Agences &amp; Après-vente'!$D$2:$D$1000="Agences et Après-vente"))*'Agences &amp; Après-vente'!$E$2:$E$1000))&gt;0,TEXT(SUMPRODUCT(MAX(('Agences &amp; Après-vente'!$A$2:$A$1000=$A462)*(('Agences &amp; Après-vente'!$D$2:$D$1000="Après-vente")+('Agences &amp; Après-vente'!$D$2:$D$1000="Agences et Après-vente"))*'Agences &amp; Après-vente'!$E$2:$E$1000)),"yyyy-mm-dd"),"")))))</f>
        <v/>
      </c>
      <c r="J462" s="131" t="str">
        <f aca="false">IF($T462="✓","✓",IF(ISNUMBER($T462),TEXT($T462,"yyyy-mm-dd"),IF($A462="","",IF($D462="Lisbonne","",IF(SUMPRODUCT(('Agences &amp; Après-vente'!$A$2:$A$1000=$A462)*(('Agences &amp; Après-vente'!$D$2:$D$1000="Après-vente")+('Agences &amp; Après-vente'!$D$2:$D$1000="Agences et Après-vente"))*('Agences &amp; Après-vente'!$I$2:$I$1000="DONE"))&gt;0,"✓",IF(SUMPRODUCT(MAX(('Agences &amp; Après-vente'!$A$2:$A$1000=$A462)*(('Agences &amp; Après-vente'!$D$2:$D$1000="Après-vente")+('Agences &amp; Après-vente'!$D$2:$D$1000="Agences et Après-vente"))*'Agences &amp; Après-vente'!$E$2:$E$1000))&gt;0,TEXT(SUMPRODUCT(MAX(('Agences &amp; Après-vente'!$A$2:$A$1000=$A462)*(('Agences &amp; Après-vente'!$D$2:$D$1000="Après-vente")+('Agences &amp; Après-vente'!$D$2:$D$1000="Agences et Après-vente"))*'Agences &amp; Après-vente'!$E$2:$E$1000)),"yyyy-mm-dd"),""))))))</f>
        <v/>
      </c>
      <c r="K462" s="131" t="str">
        <f aca="false">IF($U462="✓","✓",IF(ISNUMBER($U462),TEXT($U462,"yyyy-mm-dd"),IF($D462="Lisbonne","",IF($A462="","",IF(SUMPRODUCT((Evermont!$A$2:$A$1000=$A462)*(Evermont!$Q$2:$Q$1000="Terminé"))&gt;0,"✓",IF(SUMPRODUCT(MAX((Evermont!$A$2:$A$1000=$A462)*Evermont!$F$2:$F$1000))&gt;0,TEXT(SUMPRODUCT(MAX((Evermont!$A$2:$A$1000=$A462)*Evermont!$F$2:$F$1000)),"yyyy-mm-dd"),""))))))</f>
        <v/>
      </c>
      <c r="L462" s="131" t="str">
        <f aca="false">IF($A462="","",COUNTIF(E462:K462,"✓"))</f>
        <v/>
      </c>
      <c r="M462" s="131" t="str">
        <f aca="false">IF(B462="","","Active")</f>
        <v/>
      </c>
      <c r="W462" s="120" t="str">
        <f aca="false">IF($A462="","",IF($X462&lt;&gt;"",$X462,IFERROR(INDEX('Formation Initiale'!$B$2:$B$999,MATCH($A462,'Formation Initiale'!$A$2:$A$999,0)),"Général")))</f>
        <v/>
      </c>
    </row>
    <row r="463" customFormat="false" ht="15" hidden="true" customHeight="true" outlineLevel="0" collapsed="false">
      <c r="A463" s="142" t="str">
        <f aca="false">IF(B463="","","TR"&amp;TEXT(ROW()-1,"000"))</f>
        <v/>
      </c>
      <c r="E463" s="130" t="str">
        <f aca="false">IF($O463="✓","✓",IF(ISNUMBER($O463),TEXT($O463,"yyyy-mm-dd"),IF($A463="","",IF(SUMPRODUCT(('Formation Initiale'!$A$2:$A$999=$A463)*('Formation Initiale'!$R$2:$R$999="Terminé"))&gt;0,"✓",IF(SUMPRODUCT(MAX(('Formation Initiale'!$A$2:$A$999=$A463)*'Formation Initiale'!$G$2:$G$999))&gt;0,TEXT(SUMPRODUCT(MAX(('Formation Initiale'!$A$2:$A$999=$A463)*'Formation Initiale'!$G$2:$G$999)),"yyyy-mm-dd"),"")))))</f>
        <v/>
      </c>
      <c r="F463" s="131" t="str">
        <f aca="false">IF($P463="✓","✓",IF(ISNUMBER($P463),TEXT($P463,"yyyy-mm-dd"),IF($A463="","",IF($D463="Lisbonne","",IF(SUMPRODUCT(('Formation Initiale'!$A$2:$A$999=$A463)*('Formation Initiale'!$R$2:$R$999="Terminé"))&gt;0,"✓",IF(SUMPRODUCT(MAX(('Formation Initiale'!$A$2:$A$999=$A463)*'Formation Initiale'!$G$2:$G$999))&gt;0,TEXT(SUMPRODUCT(MAX(('Formation Initiale'!$A$2:$A$999=$A463)*'Formation Initiale'!$G$2:$G$999)),"yyyy-mm-dd"),""))))))</f>
        <v/>
      </c>
      <c r="G463" s="131" t="str">
        <f aca="false">IF($Q463="✓","✓",IF(ISNUMBER($Q463),TEXT($Q463,"yyyy-mm-dd"),IF($A463="","",IF(SUMPRODUCT(('Agences &amp; Après-vente'!$A$2:$A$1000=$A463)*(('Agences &amp; Après-vente'!$D$2:$D$1000="Agences")+('Agences &amp; Après-vente'!$D$2:$D$1000="Agences et Après-vente"))*('Agences &amp; Après-vente'!$I$2:$I$1000="DONE"))&gt;0,"✓",IF(SUMPRODUCT(MAX(('Agences &amp; Après-vente'!$A$2:$A$1000=$A463)*(('Agences &amp; Après-vente'!$D$2:$D$1000="Agences")+('Agences &amp; Après-vente'!$D$2:$D$1000="Agences et Après-vente"))*'Agences &amp; Après-vente'!$E$2:$E$1000))&gt;0,TEXT(SUMPRODUCT(MAX(('Agences &amp; Après-vente'!$A$2:$A$1000=$A463)*(('Agences &amp; Après-vente'!$D$2:$D$1000="Agences")+('Agences &amp; Après-vente'!$D$2:$D$1000="Agences et Après-vente"))*'Agences &amp; Après-vente'!$E$2:$E$1000)),"yyyy-mm-dd"),"")))))</f>
        <v/>
      </c>
      <c r="H463" s="131" t="str">
        <f aca="false">IF($R463="✓","✓",IF(ISNUMBER($R463),TEXT($R463,"yyyy-mm-dd"),IF($A463="","",IF($D463="Lisbonne","",IF(SUMPRODUCT(('Agences &amp; Après-vente'!$A$2:$A$1000=$A463)*(('Agences &amp; Après-vente'!$D$2:$D$1000="Agences")+('Agences &amp; Après-vente'!$D$2:$D$1000="Agences et Après-vente"))*('Agences &amp; Après-vente'!$I$2:$I$1000="DONE"))&gt;0,"✓",IF(SUMPRODUCT(MAX(('Agences &amp; Après-vente'!$A$2:$A$1000=$A463)*(('Agences &amp; Après-vente'!$D$2:$D$1000="Agences")+('Agences &amp; Après-vente'!$D$2:$D$1000="Agences et Après-vente"))*'Agences &amp; Après-vente'!$E$2:$E$1000))&gt;0,TEXT(SUMPRODUCT(MAX(('Agences &amp; Après-vente'!$A$2:$A$1000=$A463)*(('Agences &amp; Après-vente'!$D$2:$D$1000="Agences")+('Agences &amp; Après-vente'!$D$2:$D$1000="Agences et Après-vente"))*'Agences &amp; Après-vente'!$E$2:$E$1000)),"yyyy-mm-dd"),""))))))</f>
        <v/>
      </c>
      <c r="I463" s="131" t="str">
        <f aca="false">IF($S463="✓","✓",IF(ISNUMBER($S463),TEXT($S463,"yyyy-mm-dd"),IF($A463="","",IF(SUMPRODUCT(('Agences &amp; Après-vente'!$A$2:$A$1000=$A463)*(('Agences &amp; Après-vente'!$D$2:$D$1000="Après-vente")+('Agences &amp; Après-vente'!$D$2:$D$1000="Agences et Après-vente"))*('Agences &amp; Après-vente'!$I$2:$I$1000="DONE"))&gt;0,"✓",IF(SUMPRODUCT(MAX(('Agences &amp; Après-vente'!$A$2:$A$1000=$A463)*(('Agences &amp; Après-vente'!$D$2:$D$1000="Après-vente")+('Agences &amp; Après-vente'!$D$2:$D$1000="Agences et Après-vente"))*'Agences &amp; Après-vente'!$E$2:$E$1000))&gt;0,TEXT(SUMPRODUCT(MAX(('Agences &amp; Après-vente'!$A$2:$A$1000=$A463)*(('Agences &amp; Après-vente'!$D$2:$D$1000="Après-vente")+('Agences &amp; Après-vente'!$D$2:$D$1000="Agences et Après-vente"))*'Agences &amp; Après-vente'!$E$2:$E$1000)),"yyyy-mm-dd"),"")))))</f>
        <v/>
      </c>
      <c r="J463" s="131" t="str">
        <f aca="false">IF($T463="✓","✓",IF(ISNUMBER($T463),TEXT($T463,"yyyy-mm-dd"),IF($A463="","",IF($D463="Lisbonne","",IF(SUMPRODUCT(('Agences &amp; Après-vente'!$A$2:$A$1000=$A463)*(('Agences &amp; Après-vente'!$D$2:$D$1000="Après-vente")+('Agences &amp; Après-vente'!$D$2:$D$1000="Agences et Après-vente"))*('Agences &amp; Après-vente'!$I$2:$I$1000="DONE"))&gt;0,"✓",IF(SUMPRODUCT(MAX(('Agences &amp; Après-vente'!$A$2:$A$1000=$A463)*(('Agences &amp; Après-vente'!$D$2:$D$1000="Après-vente")+('Agences &amp; Après-vente'!$D$2:$D$1000="Agences et Après-vente"))*'Agences &amp; Après-vente'!$E$2:$E$1000))&gt;0,TEXT(SUMPRODUCT(MAX(('Agences &amp; Après-vente'!$A$2:$A$1000=$A463)*(('Agences &amp; Après-vente'!$D$2:$D$1000="Après-vente")+('Agences &amp; Après-vente'!$D$2:$D$1000="Agences et Après-vente"))*'Agences &amp; Après-vente'!$E$2:$E$1000)),"yyyy-mm-dd"),""))))))</f>
        <v/>
      </c>
      <c r="K463" s="131" t="str">
        <f aca="false">IF($U463="✓","✓",IF(ISNUMBER($U463),TEXT($U463,"yyyy-mm-dd"),IF($D463="Lisbonne","",IF($A463="","",IF(SUMPRODUCT((Evermont!$A$2:$A$1000=$A463)*(Evermont!$Q$2:$Q$1000="Terminé"))&gt;0,"✓",IF(SUMPRODUCT(MAX((Evermont!$A$2:$A$1000=$A463)*Evermont!$F$2:$F$1000))&gt;0,TEXT(SUMPRODUCT(MAX((Evermont!$A$2:$A$1000=$A463)*Evermont!$F$2:$F$1000)),"yyyy-mm-dd"),""))))))</f>
        <v/>
      </c>
      <c r="L463" s="131" t="str">
        <f aca="false">IF($A463="","",COUNTIF(E463:K463,"✓"))</f>
        <v/>
      </c>
      <c r="M463" s="131" t="str">
        <f aca="false">IF(B463="","","Active")</f>
        <v/>
      </c>
      <c r="W463" s="120" t="str">
        <f aca="false">IF($A463="","",IF($X463&lt;&gt;"",$X463,IFERROR(INDEX('Formation Initiale'!$B$2:$B$999,MATCH($A463,'Formation Initiale'!$A$2:$A$999,0)),"Général")))</f>
        <v/>
      </c>
    </row>
    <row r="464" customFormat="false" ht="15" hidden="true" customHeight="true" outlineLevel="0" collapsed="false">
      <c r="A464" s="142" t="str">
        <f aca="false">IF(B464="","","TR"&amp;TEXT(ROW()-1,"000"))</f>
        <v/>
      </c>
      <c r="E464" s="130" t="str">
        <f aca="false">IF($O464="✓","✓",IF(ISNUMBER($O464),TEXT($O464,"yyyy-mm-dd"),IF($A464="","",IF(SUMPRODUCT(('Formation Initiale'!$A$2:$A$999=$A464)*('Formation Initiale'!$R$2:$R$999="Terminé"))&gt;0,"✓",IF(SUMPRODUCT(MAX(('Formation Initiale'!$A$2:$A$999=$A464)*'Formation Initiale'!$G$2:$G$999))&gt;0,TEXT(SUMPRODUCT(MAX(('Formation Initiale'!$A$2:$A$999=$A464)*'Formation Initiale'!$G$2:$G$999)),"yyyy-mm-dd"),"")))))</f>
        <v/>
      </c>
      <c r="F464" s="131" t="str">
        <f aca="false">IF($P464="✓","✓",IF(ISNUMBER($P464),TEXT($P464,"yyyy-mm-dd"),IF($A464="","",IF($D464="Lisbonne","",IF(SUMPRODUCT(('Formation Initiale'!$A$2:$A$999=$A464)*('Formation Initiale'!$R$2:$R$999="Terminé"))&gt;0,"✓",IF(SUMPRODUCT(MAX(('Formation Initiale'!$A$2:$A$999=$A464)*'Formation Initiale'!$G$2:$G$999))&gt;0,TEXT(SUMPRODUCT(MAX(('Formation Initiale'!$A$2:$A$999=$A464)*'Formation Initiale'!$G$2:$G$999)),"yyyy-mm-dd"),""))))))</f>
        <v/>
      </c>
      <c r="G464" s="131" t="str">
        <f aca="false">IF($Q464="✓","✓",IF(ISNUMBER($Q464),TEXT($Q464,"yyyy-mm-dd"),IF($A464="","",IF(SUMPRODUCT(('Agences &amp; Après-vente'!$A$2:$A$1000=$A464)*(('Agences &amp; Après-vente'!$D$2:$D$1000="Agences")+('Agences &amp; Après-vente'!$D$2:$D$1000="Agences et Après-vente"))*('Agences &amp; Après-vente'!$I$2:$I$1000="DONE"))&gt;0,"✓",IF(SUMPRODUCT(MAX(('Agences &amp; Après-vente'!$A$2:$A$1000=$A464)*(('Agences &amp; Après-vente'!$D$2:$D$1000="Agences")+('Agences &amp; Après-vente'!$D$2:$D$1000="Agences et Après-vente"))*'Agences &amp; Après-vente'!$E$2:$E$1000))&gt;0,TEXT(SUMPRODUCT(MAX(('Agences &amp; Après-vente'!$A$2:$A$1000=$A464)*(('Agences &amp; Après-vente'!$D$2:$D$1000="Agences")+('Agences &amp; Après-vente'!$D$2:$D$1000="Agences et Après-vente"))*'Agences &amp; Après-vente'!$E$2:$E$1000)),"yyyy-mm-dd"),"")))))</f>
        <v/>
      </c>
      <c r="H464" s="131" t="str">
        <f aca="false">IF($R464="✓","✓",IF(ISNUMBER($R464),TEXT($R464,"yyyy-mm-dd"),IF($A464="","",IF($D464="Lisbonne","",IF(SUMPRODUCT(('Agences &amp; Après-vente'!$A$2:$A$1000=$A464)*(('Agences &amp; Après-vente'!$D$2:$D$1000="Agences")+('Agences &amp; Après-vente'!$D$2:$D$1000="Agences et Après-vente"))*('Agences &amp; Après-vente'!$I$2:$I$1000="DONE"))&gt;0,"✓",IF(SUMPRODUCT(MAX(('Agences &amp; Après-vente'!$A$2:$A$1000=$A464)*(('Agences &amp; Après-vente'!$D$2:$D$1000="Agences")+('Agences &amp; Après-vente'!$D$2:$D$1000="Agences et Après-vente"))*'Agences &amp; Après-vente'!$E$2:$E$1000))&gt;0,TEXT(SUMPRODUCT(MAX(('Agences &amp; Après-vente'!$A$2:$A$1000=$A464)*(('Agences &amp; Après-vente'!$D$2:$D$1000="Agences")+('Agences &amp; Après-vente'!$D$2:$D$1000="Agences et Après-vente"))*'Agences &amp; Après-vente'!$E$2:$E$1000)),"yyyy-mm-dd"),""))))))</f>
        <v/>
      </c>
      <c r="I464" s="131" t="str">
        <f aca="false">IF($S464="✓","✓",IF(ISNUMBER($S464),TEXT($S464,"yyyy-mm-dd"),IF($A464="","",IF(SUMPRODUCT(('Agences &amp; Après-vente'!$A$2:$A$1000=$A464)*(('Agences &amp; Après-vente'!$D$2:$D$1000="Après-vente")+('Agences &amp; Après-vente'!$D$2:$D$1000="Agences et Après-vente"))*('Agences &amp; Après-vente'!$I$2:$I$1000="DONE"))&gt;0,"✓",IF(SUMPRODUCT(MAX(('Agences &amp; Après-vente'!$A$2:$A$1000=$A464)*(('Agences &amp; Après-vente'!$D$2:$D$1000="Après-vente")+('Agences &amp; Après-vente'!$D$2:$D$1000="Agences et Après-vente"))*'Agences &amp; Après-vente'!$E$2:$E$1000))&gt;0,TEXT(SUMPRODUCT(MAX(('Agences &amp; Après-vente'!$A$2:$A$1000=$A464)*(('Agences &amp; Après-vente'!$D$2:$D$1000="Après-vente")+('Agences &amp; Après-vente'!$D$2:$D$1000="Agences et Après-vente"))*'Agences &amp; Après-vente'!$E$2:$E$1000)),"yyyy-mm-dd"),"")))))</f>
        <v/>
      </c>
      <c r="J464" s="131" t="str">
        <f aca="false">IF($T464="✓","✓",IF(ISNUMBER($T464),TEXT($T464,"yyyy-mm-dd"),IF($A464="","",IF($D464="Lisbonne","",IF(SUMPRODUCT(('Agences &amp; Après-vente'!$A$2:$A$1000=$A464)*(('Agences &amp; Après-vente'!$D$2:$D$1000="Après-vente")+('Agences &amp; Après-vente'!$D$2:$D$1000="Agences et Après-vente"))*('Agences &amp; Après-vente'!$I$2:$I$1000="DONE"))&gt;0,"✓",IF(SUMPRODUCT(MAX(('Agences &amp; Après-vente'!$A$2:$A$1000=$A464)*(('Agences &amp; Après-vente'!$D$2:$D$1000="Après-vente")+('Agences &amp; Après-vente'!$D$2:$D$1000="Agences et Après-vente"))*'Agences &amp; Après-vente'!$E$2:$E$1000))&gt;0,TEXT(SUMPRODUCT(MAX(('Agences &amp; Après-vente'!$A$2:$A$1000=$A464)*(('Agences &amp; Après-vente'!$D$2:$D$1000="Après-vente")+('Agences &amp; Après-vente'!$D$2:$D$1000="Agences et Après-vente"))*'Agences &amp; Après-vente'!$E$2:$E$1000)),"yyyy-mm-dd"),""))))))</f>
        <v/>
      </c>
      <c r="K464" s="131" t="str">
        <f aca="false">IF($U464="✓","✓",IF(ISNUMBER($U464),TEXT($U464,"yyyy-mm-dd"),IF($D464="Lisbonne","",IF($A464="","",IF(SUMPRODUCT((Evermont!$A$2:$A$1000=$A464)*(Evermont!$Q$2:$Q$1000="Terminé"))&gt;0,"✓",IF(SUMPRODUCT(MAX((Evermont!$A$2:$A$1000=$A464)*Evermont!$F$2:$F$1000))&gt;0,TEXT(SUMPRODUCT(MAX((Evermont!$A$2:$A$1000=$A464)*Evermont!$F$2:$F$1000)),"yyyy-mm-dd"),""))))))</f>
        <v/>
      </c>
      <c r="L464" s="131" t="str">
        <f aca="false">IF($A464="","",COUNTIF(E464:K464,"✓"))</f>
        <v/>
      </c>
      <c r="M464" s="131" t="str">
        <f aca="false">IF(B464="","","Active")</f>
        <v/>
      </c>
      <c r="W464" s="120" t="str">
        <f aca="false">IF($A464="","",IF($X464&lt;&gt;"",$X464,IFERROR(INDEX('Formation Initiale'!$B$2:$B$999,MATCH($A464,'Formation Initiale'!$A$2:$A$999,0)),"Général")))</f>
        <v/>
      </c>
    </row>
    <row r="465" customFormat="false" ht="15" hidden="true" customHeight="true" outlineLevel="0" collapsed="false">
      <c r="A465" s="142" t="str">
        <f aca="false">IF(B465="","","TR"&amp;TEXT(ROW()-1,"000"))</f>
        <v/>
      </c>
      <c r="E465" s="130" t="str">
        <f aca="false">IF($O465="✓","✓",IF(ISNUMBER($O465),TEXT($O465,"yyyy-mm-dd"),IF($A465="","",IF(SUMPRODUCT(('Formation Initiale'!$A$2:$A$999=$A465)*('Formation Initiale'!$R$2:$R$999="Terminé"))&gt;0,"✓",IF(SUMPRODUCT(MAX(('Formation Initiale'!$A$2:$A$999=$A465)*'Formation Initiale'!$G$2:$G$999))&gt;0,TEXT(SUMPRODUCT(MAX(('Formation Initiale'!$A$2:$A$999=$A465)*'Formation Initiale'!$G$2:$G$999)),"yyyy-mm-dd"),"")))))</f>
        <v/>
      </c>
      <c r="F465" s="131" t="str">
        <f aca="false">IF($P465="✓","✓",IF(ISNUMBER($P465),TEXT($P465,"yyyy-mm-dd"),IF($A465="","",IF($D465="Lisbonne","",IF(SUMPRODUCT(('Formation Initiale'!$A$2:$A$999=$A465)*('Formation Initiale'!$R$2:$R$999="Terminé"))&gt;0,"✓",IF(SUMPRODUCT(MAX(('Formation Initiale'!$A$2:$A$999=$A465)*'Formation Initiale'!$G$2:$G$999))&gt;0,TEXT(SUMPRODUCT(MAX(('Formation Initiale'!$A$2:$A$999=$A465)*'Formation Initiale'!$G$2:$G$999)),"yyyy-mm-dd"),""))))))</f>
        <v/>
      </c>
      <c r="G465" s="131" t="str">
        <f aca="false">IF($Q465="✓","✓",IF(ISNUMBER($Q465),TEXT($Q465,"yyyy-mm-dd"),IF($A465="","",IF(SUMPRODUCT(('Agences &amp; Après-vente'!$A$2:$A$1000=$A465)*(('Agences &amp; Après-vente'!$D$2:$D$1000="Agences")+('Agences &amp; Après-vente'!$D$2:$D$1000="Agences et Après-vente"))*('Agences &amp; Après-vente'!$I$2:$I$1000="DONE"))&gt;0,"✓",IF(SUMPRODUCT(MAX(('Agences &amp; Après-vente'!$A$2:$A$1000=$A465)*(('Agences &amp; Après-vente'!$D$2:$D$1000="Agences")+('Agences &amp; Après-vente'!$D$2:$D$1000="Agences et Après-vente"))*'Agences &amp; Après-vente'!$E$2:$E$1000))&gt;0,TEXT(SUMPRODUCT(MAX(('Agences &amp; Après-vente'!$A$2:$A$1000=$A465)*(('Agences &amp; Après-vente'!$D$2:$D$1000="Agences")+('Agences &amp; Après-vente'!$D$2:$D$1000="Agences et Après-vente"))*'Agences &amp; Après-vente'!$E$2:$E$1000)),"yyyy-mm-dd"),"")))))</f>
        <v/>
      </c>
      <c r="H465" s="131" t="str">
        <f aca="false">IF($R465="✓","✓",IF(ISNUMBER($R465),TEXT($R465,"yyyy-mm-dd"),IF($A465="","",IF($D465="Lisbonne","",IF(SUMPRODUCT(('Agences &amp; Après-vente'!$A$2:$A$1000=$A465)*(('Agences &amp; Après-vente'!$D$2:$D$1000="Agences")+('Agences &amp; Après-vente'!$D$2:$D$1000="Agences et Après-vente"))*('Agences &amp; Après-vente'!$I$2:$I$1000="DONE"))&gt;0,"✓",IF(SUMPRODUCT(MAX(('Agences &amp; Après-vente'!$A$2:$A$1000=$A465)*(('Agences &amp; Après-vente'!$D$2:$D$1000="Agences")+('Agences &amp; Après-vente'!$D$2:$D$1000="Agences et Après-vente"))*'Agences &amp; Après-vente'!$E$2:$E$1000))&gt;0,TEXT(SUMPRODUCT(MAX(('Agences &amp; Après-vente'!$A$2:$A$1000=$A465)*(('Agences &amp; Après-vente'!$D$2:$D$1000="Agences")+('Agences &amp; Après-vente'!$D$2:$D$1000="Agences et Après-vente"))*'Agences &amp; Après-vente'!$E$2:$E$1000)),"yyyy-mm-dd"),""))))))</f>
        <v/>
      </c>
      <c r="I465" s="131" t="str">
        <f aca="false">IF($S465="✓","✓",IF(ISNUMBER($S465),TEXT($S465,"yyyy-mm-dd"),IF($A465="","",IF(SUMPRODUCT(('Agences &amp; Après-vente'!$A$2:$A$1000=$A465)*(('Agences &amp; Après-vente'!$D$2:$D$1000="Après-vente")+('Agences &amp; Après-vente'!$D$2:$D$1000="Agences et Après-vente"))*('Agences &amp; Après-vente'!$I$2:$I$1000="DONE"))&gt;0,"✓",IF(SUMPRODUCT(MAX(('Agences &amp; Après-vente'!$A$2:$A$1000=$A465)*(('Agences &amp; Après-vente'!$D$2:$D$1000="Après-vente")+('Agences &amp; Après-vente'!$D$2:$D$1000="Agences et Après-vente"))*'Agences &amp; Après-vente'!$E$2:$E$1000))&gt;0,TEXT(SUMPRODUCT(MAX(('Agences &amp; Après-vente'!$A$2:$A$1000=$A465)*(('Agences &amp; Après-vente'!$D$2:$D$1000="Après-vente")+('Agences &amp; Après-vente'!$D$2:$D$1000="Agences et Après-vente"))*'Agences &amp; Après-vente'!$E$2:$E$1000)),"yyyy-mm-dd"),"")))))</f>
        <v/>
      </c>
      <c r="J465" s="131" t="str">
        <f aca="false">IF($T465="✓","✓",IF(ISNUMBER($T465),TEXT($T465,"yyyy-mm-dd"),IF($A465="","",IF($D465="Lisbonne","",IF(SUMPRODUCT(('Agences &amp; Après-vente'!$A$2:$A$1000=$A465)*(('Agences &amp; Après-vente'!$D$2:$D$1000="Après-vente")+('Agences &amp; Après-vente'!$D$2:$D$1000="Agences et Après-vente"))*('Agences &amp; Après-vente'!$I$2:$I$1000="DONE"))&gt;0,"✓",IF(SUMPRODUCT(MAX(('Agences &amp; Après-vente'!$A$2:$A$1000=$A465)*(('Agences &amp; Après-vente'!$D$2:$D$1000="Après-vente")+('Agences &amp; Après-vente'!$D$2:$D$1000="Agences et Après-vente"))*'Agences &amp; Après-vente'!$E$2:$E$1000))&gt;0,TEXT(SUMPRODUCT(MAX(('Agences &amp; Après-vente'!$A$2:$A$1000=$A465)*(('Agences &amp; Après-vente'!$D$2:$D$1000="Après-vente")+('Agences &amp; Après-vente'!$D$2:$D$1000="Agences et Après-vente"))*'Agences &amp; Après-vente'!$E$2:$E$1000)),"yyyy-mm-dd"),""))))))</f>
        <v/>
      </c>
      <c r="K465" s="131" t="str">
        <f aca="false">IF($U465="✓","✓",IF(ISNUMBER($U465),TEXT($U465,"yyyy-mm-dd"),IF($D465="Lisbonne","",IF($A465="","",IF(SUMPRODUCT((Evermont!$A$2:$A$1000=$A465)*(Evermont!$Q$2:$Q$1000="Terminé"))&gt;0,"✓",IF(SUMPRODUCT(MAX((Evermont!$A$2:$A$1000=$A465)*Evermont!$F$2:$F$1000))&gt;0,TEXT(SUMPRODUCT(MAX((Evermont!$A$2:$A$1000=$A465)*Evermont!$F$2:$F$1000)),"yyyy-mm-dd"),""))))))</f>
        <v/>
      </c>
      <c r="L465" s="131" t="str">
        <f aca="false">IF($A465="","",COUNTIF(E465:K465,"✓"))</f>
        <v/>
      </c>
      <c r="M465" s="131" t="str">
        <f aca="false">IF(B465="","","Active")</f>
        <v/>
      </c>
      <c r="W465" s="120" t="str">
        <f aca="false">IF($A465="","",IF($X465&lt;&gt;"",$X465,IFERROR(INDEX('Formation Initiale'!$B$2:$B$999,MATCH($A465,'Formation Initiale'!$A$2:$A$999,0)),"Général")))</f>
        <v/>
      </c>
    </row>
    <row r="466" customFormat="false" ht="15" hidden="true" customHeight="true" outlineLevel="0" collapsed="false">
      <c r="A466" s="142" t="str">
        <f aca="false">IF(B466="","","TR"&amp;TEXT(ROW()-1,"000"))</f>
        <v/>
      </c>
      <c r="E466" s="130" t="str">
        <f aca="false">IF($O466="✓","✓",IF(ISNUMBER($O466),TEXT($O466,"yyyy-mm-dd"),IF($A466="","",IF(SUMPRODUCT(('Formation Initiale'!$A$2:$A$999=$A466)*('Formation Initiale'!$R$2:$R$999="Terminé"))&gt;0,"✓",IF(SUMPRODUCT(MAX(('Formation Initiale'!$A$2:$A$999=$A466)*'Formation Initiale'!$G$2:$G$999))&gt;0,TEXT(SUMPRODUCT(MAX(('Formation Initiale'!$A$2:$A$999=$A466)*'Formation Initiale'!$G$2:$G$999)),"yyyy-mm-dd"),"")))))</f>
        <v/>
      </c>
      <c r="F466" s="131" t="str">
        <f aca="false">IF($P466="✓","✓",IF(ISNUMBER($P466),TEXT($P466,"yyyy-mm-dd"),IF($A466="","",IF($D466="Lisbonne","",IF(SUMPRODUCT(('Formation Initiale'!$A$2:$A$999=$A466)*('Formation Initiale'!$R$2:$R$999="Terminé"))&gt;0,"✓",IF(SUMPRODUCT(MAX(('Formation Initiale'!$A$2:$A$999=$A466)*'Formation Initiale'!$G$2:$G$999))&gt;0,TEXT(SUMPRODUCT(MAX(('Formation Initiale'!$A$2:$A$999=$A466)*'Formation Initiale'!$G$2:$G$999)),"yyyy-mm-dd"),""))))))</f>
        <v/>
      </c>
      <c r="G466" s="131" t="str">
        <f aca="false">IF($Q466="✓","✓",IF(ISNUMBER($Q466),TEXT($Q466,"yyyy-mm-dd"),IF($A466="","",IF(SUMPRODUCT(('Agences &amp; Après-vente'!$A$2:$A$1000=$A466)*(('Agences &amp; Après-vente'!$D$2:$D$1000="Agences")+('Agences &amp; Après-vente'!$D$2:$D$1000="Agences et Après-vente"))*('Agences &amp; Après-vente'!$I$2:$I$1000="DONE"))&gt;0,"✓",IF(SUMPRODUCT(MAX(('Agences &amp; Après-vente'!$A$2:$A$1000=$A466)*(('Agences &amp; Après-vente'!$D$2:$D$1000="Agences")+('Agences &amp; Après-vente'!$D$2:$D$1000="Agences et Après-vente"))*'Agences &amp; Après-vente'!$E$2:$E$1000))&gt;0,TEXT(SUMPRODUCT(MAX(('Agences &amp; Après-vente'!$A$2:$A$1000=$A466)*(('Agences &amp; Après-vente'!$D$2:$D$1000="Agences")+('Agences &amp; Après-vente'!$D$2:$D$1000="Agences et Après-vente"))*'Agences &amp; Après-vente'!$E$2:$E$1000)),"yyyy-mm-dd"),"")))))</f>
        <v/>
      </c>
      <c r="H466" s="131" t="str">
        <f aca="false">IF($R466="✓","✓",IF(ISNUMBER($R466),TEXT($R466,"yyyy-mm-dd"),IF($A466="","",IF($D466="Lisbonne","",IF(SUMPRODUCT(('Agences &amp; Après-vente'!$A$2:$A$1000=$A466)*(('Agences &amp; Après-vente'!$D$2:$D$1000="Agences")+('Agences &amp; Après-vente'!$D$2:$D$1000="Agences et Après-vente"))*('Agences &amp; Après-vente'!$I$2:$I$1000="DONE"))&gt;0,"✓",IF(SUMPRODUCT(MAX(('Agences &amp; Après-vente'!$A$2:$A$1000=$A466)*(('Agences &amp; Après-vente'!$D$2:$D$1000="Agences")+('Agences &amp; Après-vente'!$D$2:$D$1000="Agences et Après-vente"))*'Agences &amp; Après-vente'!$E$2:$E$1000))&gt;0,TEXT(SUMPRODUCT(MAX(('Agences &amp; Après-vente'!$A$2:$A$1000=$A466)*(('Agences &amp; Après-vente'!$D$2:$D$1000="Agences")+('Agences &amp; Après-vente'!$D$2:$D$1000="Agences et Après-vente"))*'Agences &amp; Après-vente'!$E$2:$E$1000)),"yyyy-mm-dd"),""))))))</f>
        <v/>
      </c>
      <c r="I466" s="131" t="str">
        <f aca="false">IF($S466="✓","✓",IF(ISNUMBER($S466),TEXT($S466,"yyyy-mm-dd"),IF($A466="","",IF(SUMPRODUCT(('Agences &amp; Après-vente'!$A$2:$A$1000=$A466)*(('Agences &amp; Après-vente'!$D$2:$D$1000="Après-vente")+('Agences &amp; Après-vente'!$D$2:$D$1000="Agences et Après-vente"))*('Agences &amp; Après-vente'!$I$2:$I$1000="DONE"))&gt;0,"✓",IF(SUMPRODUCT(MAX(('Agences &amp; Après-vente'!$A$2:$A$1000=$A466)*(('Agences &amp; Après-vente'!$D$2:$D$1000="Après-vente")+('Agences &amp; Après-vente'!$D$2:$D$1000="Agences et Après-vente"))*'Agences &amp; Après-vente'!$E$2:$E$1000))&gt;0,TEXT(SUMPRODUCT(MAX(('Agences &amp; Après-vente'!$A$2:$A$1000=$A466)*(('Agences &amp; Après-vente'!$D$2:$D$1000="Après-vente")+('Agences &amp; Après-vente'!$D$2:$D$1000="Agences et Après-vente"))*'Agences &amp; Après-vente'!$E$2:$E$1000)),"yyyy-mm-dd"),"")))))</f>
        <v/>
      </c>
      <c r="J466" s="131" t="str">
        <f aca="false">IF($T466="✓","✓",IF(ISNUMBER($T466),TEXT($T466,"yyyy-mm-dd"),IF($A466="","",IF($D466="Lisbonne","",IF(SUMPRODUCT(('Agences &amp; Après-vente'!$A$2:$A$1000=$A466)*(('Agences &amp; Après-vente'!$D$2:$D$1000="Après-vente")+('Agences &amp; Après-vente'!$D$2:$D$1000="Agences et Après-vente"))*('Agences &amp; Après-vente'!$I$2:$I$1000="DONE"))&gt;0,"✓",IF(SUMPRODUCT(MAX(('Agences &amp; Après-vente'!$A$2:$A$1000=$A466)*(('Agences &amp; Après-vente'!$D$2:$D$1000="Après-vente")+('Agences &amp; Après-vente'!$D$2:$D$1000="Agences et Après-vente"))*'Agences &amp; Après-vente'!$E$2:$E$1000))&gt;0,TEXT(SUMPRODUCT(MAX(('Agences &amp; Après-vente'!$A$2:$A$1000=$A466)*(('Agences &amp; Après-vente'!$D$2:$D$1000="Après-vente")+('Agences &amp; Après-vente'!$D$2:$D$1000="Agences et Après-vente"))*'Agences &amp; Après-vente'!$E$2:$E$1000)),"yyyy-mm-dd"),""))))))</f>
        <v/>
      </c>
      <c r="K466" s="131" t="str">
        <f aca="false">IF($U466="✓","✓",IF(ISNUMBER($U466),TEXT($U466,"yyyy-mm-dd"),IF($D466="Lisbonne","",IF($A466="","",IF(SUMPRODUCT((Evermont!$A$2:$A$1000=$A466)*(Evermont!$Q$2:$Q$1000="Terminé"))&gt;0,"✓",IF(SUMPRODUCT(MAX((Evermont!$A$2:$A$1000=$A466)*Evermont!$F$2:$F$1000))&gt;0,TEXT(SUMPRODUCT(MAX((Evermont!$A$2:$A$1000=$A466)*Evermont!$F$2:$F$1000)),"yyyy-mm-dd"),""))))))</f>
        <v/>
      </c>
      <c r="L466" s="131" t="str">
        <f aca="false">IF($A466="","",COUNTIF(E466:K466,"✓"))</f>
        <v/>
      </c>
      <c r="M466" s="131" t="str">
        <f aca="false">IF(B466="","","Active")</f>
        <v/>
      </c>
      <c r="W466" s="120" t="str">
        <f aca="false">IF($A466="","",IF($X466&lt;&gt;"",$X466,IFERROR(INDEX('Formation Initiale'!$B$2:$B$999,MATCH($A466,'Formation Initiale'!$A$2:$A$999,0)),"Général")))</f>
        <v/>
      </c>
    </row>
    <row r="467" customFormat="false" ht="15" hidden="true" customHeight="true" outlineLevel="0" collapsed="false">
      <c r="A467" s="142" t="str">
        <f aca="false">IF(B467="","","TR"&amp;TEXT(ROW()-1,"000"))</f>
        <v/>
      </c>
      <c r="E467" s="130" t="str">
        <f aca="false">IF($O467="✓","✓",IF(ISNUMBER($O467),TEXT($O467,"yyyy-mm-dd"),IF($A467="","",IF(SUMPRODUCT(('Formation Initiale'!$A$2:$A$999=$A467)*('Formation Initiale'!$R$2:$R$999="Terminé"))&gt;0,"✓",IF(SUMPRODUCT(MAX(('Formation Initiale'!$A$2:$A$999=$A467)*'Formation Initiale'!$G$2:$G$999))&gt;0,TEXT(SUMPRODUCT(MAX(('Formation Initiale'!$A$2:$A$999=$A467)*'Formation Initiale'!$G$2:$G$999)),"yyyy-mm-dd"),"")))))</f>
        <v/>
      </c>
      <c r="F467" s="131" t="str">
        <f aca="false">IF($P467="✓","✓",IF(ISNUMBER($P467),TEXT($P467,"yyyy-mm-dd"),IF($A467="","",IF($D467="Lisbonne","",IF(SUMPRODUCT(('Formation Initiale'!$A$2:$A$999=$A467)*('Formation Initiale'!$R$2:$R$999="Terminé"))&gt;0,"✓",IF(SUMPRODUCT(MAX(('Formation Initiale'!$A$2:$A$999=$A467)*'Formation Initiale'!$G$2:$G$999))&gt;0,TEXT(SUMPRODUCT(MAX(('Formation Initiale'!$A$2:$A$999=$A467)*'Formation Initiale'!$G$2:$G$999)),"yyyy-mm-dd"),""))))))</f>
        <v/>
      </c>
      <c r="G467" s="131" t="str">
        <f aca="false">IF($Q467="✓","✓",IF(ISNUMBER($Q467),TEXT($Q467,"yyyy-mm-dd"),IF($A467="","",IF(SUMPRODUCT(('Agences &amp; Après-vente'!$A$2:$A$1000=$A467)*(('Agences &amp; Après-vente'!$D$2:$D$1000="Agences")+('Agences &amp; Après-vente'!$D$2:$D$1000="Agences et Après-vente"))*('Agences &amp; Après-vente'!$I$2:$I$1000="DONE"))&gt;0,"✓",IF(SUMPRODUCT(MAX(('Agences &amp; Après-vente'!$A$2:$A$1000=$A467)*(('Agences &amp; Après-vente'!$D$2:$D$1000="Agences")+('Agences &amp; Après-vente'!$D$2:$D$1000="Agences et Après-vente"))*'Agences &amp; Après-vente'!$E$2:$E$1000))&gt;0,TEXT(SUMPRODUCT(MAX(('Agences &amp; Après-vente'!$A$2:$A$1000=$A467)*(('Agences &amp; Après-vente'!$D$2:$D$1000="Agences")+('Agences &amp; Après-vente'!$D$2:$D$1000="Agences et Après-vente"))*'Agences &amp; Après-vente'!$E$2:$E$1000)),"yyyy-mm-dd"),"")))))</f>
        <v/>
      </c>
      <c r="H467" s="131" t="str">
        <f aca="false">IF($R467="✓","✓",IF(ISNUMBER($R467),TEXT($R467,"yyyy-mm-dd"),IF($A467="","",IF($D467="Lisbonne","",IF(SUMPRODUCT(('Agences &amp; Après-vente'!$A$2:$A$1000=$A467)*(('Agences &amp; Après-vente'!$D$2:$D$1000="Agences")+('Agences &amp; Après-vente'!$D$2:$D$1000="Agences et Après-vente"))*('Agences &amp; Après-vente'!$I$2:$I$1000="DONE"))&gt;0,"✓",IF(SUMPRODUCT(MAX(('Agences &amp; Après-vente'!$A$2:$A$1000=$A467)*(('Agences &amp; Après-vente'!$D$2:$D$1000="Agences")+('Agences &amp; Après-vente'!$D$2:$D$1000="Agences et Après-vente"))*'Agences &amp; Après-vente'!$E$2:$E$1000))&gt;0,TEXT(SUMPRODUCT(MAX(('Agences &amp; Après-vente'!$A$2:$A$1000=$A467)*(('Agences &amp; Après-vente'!$D$2:$D$1000="Agences")+('Agences &amp; Après-vente'!$D$2:$D$1000="Agences et Après-vente"))*'Agences &amp; Après-vente'!$E$2:$E$1000)),"yyyy-mm-dd"),""))))))</f>
        <v/>
      </c>
      <c r="I467" s="131" t="str">
        <f aca="false">IF($S467="✓","✓",IF(ISNUMBER($S467),TEXT($S467,"yyyy-mm-dd"),IF($A467="","",IF(SUMPRODUCT(('Agences &amp; Après-vente'!$A$2:$A$1000=$A467)*(('Agences &amp; Après-vente'!$D$2:$D$1000="Après-vente")+('Agences &amp; Après-vente'!$D$2:$D$1000="Agences et Après-vente"))*('Agences &amp; Après-vente'!$I$2:$I$1000="DONE"))&gt;0,"✓",IF(SUMPRODUCT(MAX(('Agences &amp; Après-vente'!$A$2:$A$1000=$A467)*(('Agences &amp; Après-vente'!$D$2:$D$1000="Après-vente")+('Agences &amp; Après-vente'!$D$2:$D$1000="Agences et Après-vente"))*'Agences &amp; Après-vente'!$E$2:$E$1000))&gt;0,TEXT(SUMPRODUCT(MAX(('Agences &amp; Après-vente'!$A$2:$A$1000=$A467)*(('Agences &amp; Après-vente'!$D$2:$D$1000="Après-vente")+('Agences &amp; Après-vente'!$D$2:$D$1000="Agences et Après-vente"))*'Agences &amp; Après-vente'!$E$2:$E$1000)),"yyyy-mm-dd"),"")))))</f>
        <v/>
      </c>
      <c r="J467" s="131" t="str">
        <f aca="false">IF($T467="✓","✓",IF(ISNUMBER($T467),TEXT($T467,"yyyy-mm-dd"),IF($A467="","",IF($D467="Lisbonne","",IF(SUMPRODUCT(('Agences &amp; Après-vente'!$A$2:$A$1000=$A467)*(('Agences &amp; Après-vente'!$D$2:$D$1000="Après-vente")+('Agences &amp; Après-vente'!$D$2:$D$1000="Agences et Après-vente"))*('Agences &amp; Après-vente'!$I$2:$I$1000="DONE"))&gt;0,"✓",IF(SUMPRODUCT(MAX(('Agences &amp; Après-vente'!$A$2:$A$1000=$A467)*(('Agences &amp; Après-vente'!$D$2:$D$1000="Après-vente")+('Agences &amp; Après-vente'!$D$2:$D$1000="Agences et Après-vente"))*'Agences &amp; Après-vente'!$E$2:$E$1000))&gt;0,TEXT(SUMPRODUCT(MAX(('Agences &amp; Après-vente'!$A$2:$A$1000=$A467)*(('Agences &amp; Après-vente'!$D$2:$D$1000="Après-vente")+('Agences &amp; Après-vente'!$D$2:$D$1000="Agences et Après-vente"))*'Agences &amp; Après-vente'!$E$2:$E$1000)),"yyyy-mm-dd"),""))))))</f>
        <v/>
      </c>
      <c r="K467" s="131" t="str">
        <f aca="false">IF($U467="✓","✓",IF(ISNUMBER($U467),TEXT($U467,"yyyy-mm-dd"),IF($D467="Lisbonne","",IF($A467="","",IF(SUMPRODUCT((Evermont!$A$2:$A$1000=$A467)*(Evermont!$Q$2:$Q$1000="Terminé"))&gt;0,"✓",IF(SUMPRODUCT(MAX((Evermont!$A$2:$A$1000=$A467)*Evermont!$F$2:$F$1000))&gt;0,TEXT(SUMPRODUCT(MAX((Evermont!$A$2:$A$1000=$A467)*Evermont!$F$2:$F$1000)),"yyyy-mm-dd"),""))))))</f>
        <v/>
      </c>
      <c r="L467" s="131" t="str">
        <f aca="false">IF($A467="","",COUNTIF(E467:K467,"✓"))</f>
        <v/>
      </c>
      <c r="M467" s="131" t="str">
        <f aca="false">IF(B467="","","Active")</f>
        <v/>
      </c>
      <c r="W467" s="120" t="str">
        <f aca="false">IF($A467="","",IF($X467&lt;&gt;"",$X467,IFERROR(INDEX('Formation Initiale'!$B$2:$B$999,MATCH($A467,'Formation Initiale'!$A$2:$A$999,0)),"Général")))</f>
        <v/>
      </c>
    </row>
    <row r="468" customFormat="false" ht="15" hidden="true" customHeight="true" outlineLevel="0" collapsed="false">
      <c r="A468" s="142" t="str">
        <f aca="false">IF(B468="","","TR"&amp;TEXT(ROW()-1,"000"))</f>
        <v/>
      </c>
      <c r="E468" s="130" t="str">
        <f aca="false">IF($O468="✓","✓",IF(ISNUMBER($O468),TEXT($O468,"yyyy-mm-dd"),IF($A468="","",IF(SUMPRODUCT(('Formation Initiale'!$A$2:$A$999=$A468)*('Formation Initiale'!$R$2:$R$999="Terminé"))&gt;0,"✓",IF(SUMPRODUCT(MAX(('Formation Initiale'!$A$2:$A$999=$A468)*'Formation Initiale'!$G$2:$G$999))&gt;0,TEXT(SUMPRODUCT(MAX(('Formation Initiale'!$A$2:$A$999=$A468)*'Formation Initiale'!$G$2:$G$999)),"yyyy-mm-dd"),"")))))</f>
        <v/>
      </c>
      <c r="F468" s="131" t="str">
        <f aca="false">IF($P468="✓","✓",IF(ISNUMBER($P468),TEXT($P468,"yyyy-mm-dd"),IF($A468="","",IF($D468="Lisbonne","",IF(SUMPRODUCT(('Formation Initiale'!$A$2:$A$999=$A468)*('Formation Initiale'!$R$2:$R$999="Terminé"))&gt;0,"✓",IF(SUMPRODUCT(MAX(('Formation Initiale'!$A$2:$A$999=$A468)*'Formation Initiale'!$G$2:$G$999))&gt;0,TEXT(SUMPRODUCT(MAX(('Formation Initiale'!$A$2:$A$999=$A468)*'Formation Initiale'!$G$2:$G$999)),"yyyy-mm-dd"),""))))))</f>
        <v/>
      </c>
      <c r="G468" s="131" t="str">
        <f aca="false">IF($Q468="✓","✓",IF(ISNUMBER($Q468),TEXT($Q468,"yyyy-mm-dd"),IF($A468="","",IF(SUMPRODUCT(('Agences &amp; Après-vente'!$A$2:$A$1000=$A468)*(('Agences &amp; Après-vente'!$D$2:$D$1000="Agences")+('Agences &amp; Après-vente'!$D$2:$D$1000="Agences et Après-vente"))*('Agences &amp; Après-vente'!$I$2:$I$1000="DONE"))&gt;0,"✓",IF(SUMPRODUCT(MAX(('Agences &amp; Après-vente'!$A$2:$A$1000=$A468)*(('Agences &amp; Après-vente'!$D$2:$D$1000="Agences")+('Agences &amp; Après-vente'!$D$2:$D$1000="Agences et Après-vente"))*'Agences &amp; Après-vente'!$E$2:$E$1000))&gt;0,TEXT(SUMPRODUCT(MAX(('Agences &amp; Après-vente'!$A$2:$A$1000=$A468)*(('Agences &amp; Après-vente'!$D$2:$D$1000="Agences")+('Agences &amp; Après-vente'!$D$2:$D$1000="Agences et Après-vente"))*'Agences &amp; Après-vente'!$E$2:$E$1000)),"yyyy-mm-dd"),"")))))</f>
        <v/>
      </c>
      <c r="H468" s="131" t="str">
        <f aca="false">IF($R468="✓","✓",IF(ISNUMBER($R468),TEXT($R468,"yyyy-mm-dd"),IF($A468="","",IF($D468="Lisbonne","",IF(SUMPRODUCT(('Agences &amp; Après-vente'!$A$2:$A$1000=$A468)*(('Agences &amp; Après-vente'!$D$2:$D$1000="Agences")+('Agences &amp; Après-vente'!$D$2:$D$1000="Agences et Après-vente"))*('Agences &amp; Après-vente'!$I$2:$I$1000="DONE"))&gt;0,"✓",IF(SUMPRODUCT(MAX(('Agences &amp; Après-vente'!$A$2:$A$1000=$A468)*(('Agences &amp; Après-vente'!$D$2:$D$1000="Agences")+('Agences &amp; Après-vente'!$D$2:$D$1000="Agences et Après-vente"))*'Agences &amp; Après-vente'!$E$2:$E$1000))&gt;0,TEXT(SUMPRODUCT(MAX(('Agences &amp; Après-vente'!$A$2:$A$1000=$A468)*(('Agences &amp; Après-vente'!$D$2:$D$1000="Agences")+('Agences &amp; Après-vente'!$D$2:$D$1000="Agences et Après-vente"))*'Agences &amp; Après-vente'!$E$2:$E$1000)),"yyyy-mm-dd"),""))))))</f>
        <v/>
      </c>
      <c r="I468" s="131" t="str">
        <f aca="false">IF($S468="✓","✓",IF(ISNUMBER($S468),TEXT($S468,"yyyy-mm-dd"),IF($A468="","",IF(SUMPRODUCT(('Agences &amp; Après-vente'!$A$2:$A$1000=$A468)*(('Agences &amp; Après-vente'!$D$2:$D$1000="Après-vente")+('Agences &amp; Après-vente'!$D$2:$D$1000="Agences et Après-vente"))*('Agences &amp; Après-vente'!$I$2:$I$1000="DONE"))&gt;0,"✓",IF(SUMPRODUCT(MAX(('Agences &amp; Après-vente'!$A$2:$A$1000=$A468)*(('Agences &amp; Après-vente'!$D$2:$D$1000="Après-vente")+('Agences &amp; Après-vente'!$D$2:$D$1000="Agences et Après-vente"))*'Agences &amp; Après-vente'!$E$2:$E$1000))&gt;0,TEXT(SUMPRODUCT(MAX(('Agences &amp; Après-vente'!$A$2:$A$1000=$A468)*(('Agences &amp; Après-vente'!$D$2:$D$1000="Après-vente")+('Agences &amp; Après-vente'!$D$2:$D$1000="Agences et Après-vente"))*'Agences &amp; Après-vente'!$E$2:$E$1000)),"yyyy-mm-dd"),"")))))</f>
        <v/>
      </c>
      <c r="J468" s="131" t="str">
        <f aca="false">IF($T468="✓","✓",IF(ISNUMBER($T468),TEXT($T468,"yyyy-mm-dd"),IF($A468="","",IF($D468="Lisbonne","",IF(SUMPRODUCT(('Agences &amp; Après-vente'!$A$2:$A$1000=$A468)*(('Agences &amp; Après-vente'!$D$2:$D$1000="Après-vente")+('Agences &amp; Après-vente'!$D$2:$D$1000="Agences et Après-vente"))*('Agences &amp; Après-vente'!$I$2:$I$1000="DONE"))&gt;0,"✓",IF(SUMPRODUCT(MAX(('Agences &amp; Après-vente'!$A$2:$A$1000=$A468)*(('Agences &amp; Après-vente'!$D$2:$D$1000="Après-vente")+('Agences &amp; Après-vente'!$D$2:$D$1000="Agences et Après-vente"))*'Agences &amp; Après-vente'!$E$2:$E$1000))&gt;0,TEXT(SUMPRODUCT(MAX(('Agences &amp; Après-vente'!$A$2:$A$1000=$A468)*(('Agences &amp; Après-vente'!$D$2:$D$1000="Après-vente")+('Agences &amp; Après-vente'!$D$2:$D$1000="Agences et Après-vente"))*'Agences &amp; Après-vente'!$E$2:$E$1000)),"yyyy-mm-dd"),""))))))</f>
        <v/>
      </c>
      <c r="K468" s="131" t="str">
        <f aca="false">IF($U468="✓","✓",IF(ISNUMBER($U468),TEXT($U468,"yyyy-mm-dd"),IF($D468="Lisbonne","",IF($A468="","",IF(SUMPRODUCT((Evermont!$A$2:$A$1000=$A468)*(Evermont!$Q$2:$Q$1000="Terminé"))&gt;0,"✓",IF(SUMPRODUCT(MAX((Evermont!$A$2:$A$1000=$A468)*Evermont!$F$2:$F$1000))&gt;0,TEXT(SUMPRODUCT(MAX((Evermont!$A$2:$A$1000=$A468)*Evermont!$F$2:$F$1000)),"yyyy-mm-dd"),""))))))</f>
        <v/>
      </c>
      <c r="L468" s="131" t="str">
        <f aca="false">IF($A468="","",COUNTIF(E468:K468,"✓"))</f>
        <v/>
      </c>
      <c r="M468" s="131" t="str">
        <f aca="false">IF(B468="","","Active")</f>
        <v/>
      </c>
      <c r="W468" s="120" t="str">
        <f aca="false">IF($A468="","",IF($X468&lt;&gt;"",$X468,IFERROR(INDEX('Formation Initiale'!$B$2:$B$999,MATCH($A468,'Formation Initiale'!$A$2:$A$999,0)),"Général")))</f>
        <v/>
      </c>
    </row>
    <row r="469" customFormat="false" ht="15" hidden="true" customHeight="true" outlineLevel="0" collapsed="false">
      <c r="A469" s="142" t="str">
        <f aca="false">IF(B469="","","TR"&amp;TEXT(ROW()-1,"000"))</f>
        <v/>
      </c>
      <c r="E469" s="130" t="str">
        <f aca="false">IF($O469="✓","✓",IF(ISNUMBER($O469),TEXT($O469,"yyyy-mm-dd"),IF($A469="","",IF(SUMPRODUCT(('Formation Initiale'!$A$2:$A$999=$A469)*('Formation Initiale'!$R$2:$R$999="Terminé"))&gt;0,"✓",IF(SUMPRODUCT(MAX(('Formation Initiale'!$A$2:$A$999=$A469)*'Formation Initiale'!$G$2:$G$999))&gt;0,TEXT(SUMPRODUCT(MAX(('Formation Initiale'!$A$2:$A$999=$A469)*'Formation Initiale'!$G$2:$G$999)),"yyyy-mm-dd"),"")))))</f>
        <v/>
      </c>
      <c r="F469" s="131" t="str">
        <f aca="false">IF($P469="✓","✓",IF(ISNUMBER($P469),TEXT($P469,"yyyy-mm-dd"),IF($A469="","",IF($D469="Lisbonne","",IF(SUMPRODUCT(('Formation Initiale'!$A$2:$A$999=$A469)*('Formation Initiale'!$R$2:$R$999="Terminé"))&gt;0,"✓",IF(SUMPRODUCT(MAX(('Formation Initiale'!$A$2:$A$999=$A469)*'Formation Initiale'!$G$2:$G$999))&gt;0,TEXT(SUMPRODUCT(MAX(('Formation Initiale'!$A$2:$A$999=$A469)*'Formation Initiale'!$G$2:$G$999)),"yyyy-mm-dd"),""))))))</f>
        <v/>
      </c>
      <c r="G469" s="131" t="str">
        <f aca="false">IF($Q469="✓","✓",IF(ISNUMBER($Q469),TEXT($Q469,"yyyy-mm-dd"),IF($A469="","",IF(SUMPRODUCT(('Agences &amp; Après-vente'!$A$2:$A$1000=$A469)*(('Agences &amp; Après-vente'!$D$2:$D$1000="Agences")+('Agences &amp; Après-vente'!$D$2:$D$1000="Agences et Après-vente"))*('Agences &amp; Après-vente'!$I$2:$I$1000="DONE"))&gt;0,"✓",IF(SUMPRODUCT(MAX(('Agences &amp; Après-vente'!$A$2:$A$1000=$A469)*(('Agences &amp; Après-vente'!$D$2:$D$1000="Agences")+('Agences &amp; Après-vente'!$D$2:$D$1000="Agences et Après-vente"))*'Agences &amp; Après-vente'!$E$2:$E$1000))&gt;0,TEXT(SUMPRODUCT(MAX(('Agences &amp; Après-vente'!$A$2:$A$1000=$A469)*(('Agences &amp; Après-vente'!$D$2:$D$1000="Agences")+('Agences &amp; Après-vente'!$D$2:$D$1000="Agences et Après-vente"))*'Agences &amp; Après-vente'!$E$2:$E$1000)),"yyyy-mm-dd"),"")))))</f>
        <v/>
      </c>
      <c r="H469" s="131" t="str">
        <f aca="false">IF($R469="✓","✓",IF(ISNUMBER($R469),TEXT($R469,"yyyy-mm-dd"),IF($A469="","",IF($D469="Lisbonne","",IF(SUMPRODUCT(('Agences &amp; Après-vente'!$A$2:$A$1000=$A469)*(('Agences &amp; Après-vente'!$D$2:$D$1000="Agences")+('Agences &amp; Après-vente'!$D$2:$D$1000="Agences et Après-vente"))*('Agences &amp; Après-vente'!$I$2:$I$1000="DONE"))&gt;0,"✓",IF(SUMPRODUCT(MAX(('Agences &amp; Après-vente'!$A$2:$A$1000=$A469)*(('Agences &amp; Après-vente'!$D$2:$D$1000="Agences")+('Agences &amp; Après-vente'!$D$2:$D$1000="Agences et Après-vente"))*'Agences &amp; Après-vente'!$E$2:$E$1000))&gt;0,TEXT(SUMPRODUCT(MAX(('Agences &amp; Après-vente'!$A$2:$A$1000=$A469)*(('Agences &amp; Après-vente'!$D$2:$D$1000="Agences")+('Agences &amp; Après-vente'!$D$2:$D$1000="Agences et Après-vente"))*'Agences &amp; Après-vente'!$E$2:$E$1000)),"yyyy-mm-dd"),""))))))</f>
        <v/>
      </c>
      <c r="I469" s="131" t="str">
        <f aca="false">IF($S469="✓","✓",IF(ISNUMBER($S469),TEXT($S469,"yyyy-mm-dd"),IF($A469="","",IF(SUMPRODUCT(('Agences &amp; Après-vente'!$A$2:$A$1000=$A469)*(('Agences &amp; Après-vente'!$D$2:$D$1000="Après-vente")+('Agences &amp; Après-vente'!$D$2:$D$1000="Agences et Après-vente"))*('Agences &amp; Après-vente'!$I$2:$I$1000="DONE"))&gt;0,"✓",IF(SUMPRODUCT(MAX(('Agences &amp; Après-vente'!$A$2:$A$1000=$A469)*(('Agences &amp; Après-vente'!$D$2:$D$1000="Après-vente")+('Agences &amp; Après-vente'!$D$2:$D$1000="Agences et Après-vente"))*'Agences &amp; Après-vente'!$E$2:$E$1000))&gt;0,TEXT(SUMPRODUCT(MAX(('Agences &amp; Après-vente'!$A$2:$A$1000=$A469)*(('Agences &amp; Après-vente'!$D$2:$D$1000="Après-vente")+('Agences &amp; Après-vente'!$D$2:$D$1000="Agences et Après-vente"))*'Agences &amp; Après-vente'!$E$2:$E$1000)),"yyyy-mm-dd"),"")))))</f>
        <v/>
      </c>
      <c r="J469" s="131" t="str">
        <f aca="false">IF($T469="✓","✓",IF(ISNUMBER($T469),TEXT($T469,"yyyy-mm-dd"),IF($A469="","",IF($D469="Lisbonne","",IF(SUMPRODUCT(('Agences &amp; Après-vente'!$A$2:$A$1000=$A469)*(('Agences &amp; Après-vente'!$D$2:$D$1000="Après-vente")+('Agences &amp; Après-vente'!$D$2:$D$1000="Agences et Après-vente"))*('Agences &amp; Après-vente'!$I$2:$I$1000="DONE"))&gt;0,"✓",IF(SUMPRODUCT(MAX(('Agences &amp; Après-vente'!$A$2:$A$1000=$A469)*(('Agences &amp; Après-vente'!$D$2:$D$1000="Après-vente")+('Agences &amp; Après-vente'!$D$2:$D$1000="Agences et Après-vente"))*'Agences &amp; Après-vente'!$E$2:$E$1000))&gt;0,TEXT(SUMPRODUCT(MAX(('Agences &amp; Après-vente'!$A$2:$A$1000=$A469)*(('Agences &amp; Après-vente'!$D$2:$D$1000="Après-vente")+('Agences &amp; Après-vente'!$D$2:$D$1000="Agences et Après-vente"))*'Agences &amp; Après-vente'!$E$2:$E$1000)),"yyyy-mm-dd"),""))))))</f>
        <v/>
      </c>
      <c r="K469" s="131" t="str">
        <f aca="false">IF($U469="✓","✓",IF(ISNUMBER($U469),TEXT($U469,"yyyy-mm-dd"),IF($D469="Lisbonne","",IF($A469="","",IF(SUMPRODUCT((Evermont!$A$2:$A$1000=$A469)*(Evermont!$Q$2:$Q$1000="Terminé"))&gt;0,"✓",IF(SUMPRODUCT(MAX((Evermont!$A$2:$A$1000=$A469)*Evermont!$F$2:$F$1000))&gt;0,TEXT(SUMPRODUCT(MAX((Evermont!$A$2:$A$1000=$A469)*Evermont!$F$2:$F$1000)),"yyyy-mm-dd"),""))))))</f>
        <v/>
      </c>
      <c r="L469" s="131" t="str">
        <f aca="false">IF($A469="","",COUNTIF(E469:K469,"✓"))</f>
        <v/>
      </c>
      <c r="M469" s="131" t="str">
        <f aca="false">IF(B469="","","Active")</f>
        <v/>
      </c>
      <c r="W469" s="120" t="str">
        <f aca="false">IF($A469="","",IF($X469&lt;&gt;"",$X469,IFERROR(INDEX('Formation Initiale'!$B$2:$B$999,MATCH($A469,'Formation Initiale'!$A$2:$A$999,0)),"Général")))</f>
        <v/>
      </c>
    </row>
    <row r="470" customFormat="false" ht="15" hidden="true" customHeight="true" outlineLevel="0" collapsed="false">
      <c r="A470" s="142" t="str">
        <f aca="false">IF(B470="","","TR"&amp;TEXT(ROW()-1,"000"))</f>
        <v/>
      </c>
      <c r="E470" s="130" t="str">
        <f aca="false">IF($O470="✓","✓",IF(ISNUMBER($O470),TEXT($O470,"yyyy-mm-dd"),IF($A470="","",IF(SUMPRODUCT(('Formation Initiale'!$A$2:$A$999=$A470)*('Formation Initiale'!$R$2:$R$999="Terminé"))&gt;0,"✓",IF(SUMPRODUCT(MAX(('Formation Initiale'!$A$2:$A$999=$A470)*'Formation Initiale'!$G$2:$G$999))&gt;0,TEXT(SUMPRODUCT(MAX(('Formation Initiale'!$A$2:$A$999=$A470)*'Formation Initiale'!$G$2:$G$999)),"yyyy-mm-dd"),"")))))</f>
        <v/>
      </c>
      <c r="F470" s="131" t="str">
        <f aca="false">IF($P470="✓","✓",IF(ISNUMBER($P470),TEXT($P470,"yyyy-mm-dd"),IF($A470="","",IF($D470="Lisbonne","",IF(SUMPRODUCT(('Formation Initiale'!$A$2:$A$999=$A470)*('Formation Initiale'!$R$2:$R$999="Terminé"))&gt;0,"✓",IF(SUMPRODUCT(MAX(('Formation Initiale'!$A$2:$A$999=$A470)*'Formation Initiale'!$G$2:$G$999))&gt;0,TEXT(SUMPRODUCT(MAX(('Formation Initiale'!$A$2:$A$999=$A470)*'Formation Initiale'!$G$2:$G$999)),"yyyy-mm-dd"),""))))))</f>
        <v/>
      </c>
      <c r="G470" s="131" t="str">
        <f aca="false">IF($Q470="✓","✓",IF(ISNUMBER($Q470),TEXT($Q470,"yyyy-mm-dd"),IF($A470="","",IF(SUMPRODUCT(('Agences &amp; Après-vente'!$A$2:$A$1000=$A470)*(('Agences &amp; Après-vente'!$D$2:$D$1000="Agences")+('Agences &amp; Après-vente'!$D$2:$D$1000="Agences et Après-vente"))*('Agences &amp; Après-vente'!$I$2:$I$1000="DONE"))&gt;0,"✓",IF(SUMPRODUCT(MAX(('Agences &amp; Après-vente'!$A$2:$A$1000=$A470)*(('Agences &amp; Après-vente'!$D$2:$D$1000="Agences")+('Agences &amp; Après-vente'!$D$2:$D$1000="Agences et Après-vente"))*'Agences &amp; Après-vente'!$E$2:$E$1000))&gt;0,TEXT(SUMPRODUCT(MAX(('Agences &amp; Après-vente'!$A$2:$A$1000=$A470)*(('Agences &amp; Après-vente'!$D$2:$D$1000="Agences")+('Agences &amp; Après-vente'!$D$2:$D$1000="Agences et Après-vente"))*'Agences &amp; Après-vente'!$E$2:$E$1000)),"yyyy-mm-dd"),"")))))</f>
        <v/>
      </c>
      <c r="H470" s="131" t="str">
        <f aca="false">IF($R470="✓","✓",IF(ISNUMBER($R470),TEXT($R470,"yyyy-mm-dd"),IF($A470="","",IF($D470="Lisbonne","",IF(SUMPRODUCT(('Agences &amp; Après-vente'!$A$2:$A$1000=$A470)*(('Agences &amp; Après-vente'!$D$2:$D$1000="Agences")+('Agences &amp; Après-vente'!$D$2:$D$1000="Agences et Après-vente"))*('Agences &amp; Après-vente'!$I$2:$I$1000="DONE"))&gt;0,"✓",IF(SUMPRODUCT(MAX(('Agences &amp; Après-vente'!$A$2:$A$1000=$A470)*(('Agences &amp; Après-vente'!$D$2:$D$1000="Agences")+('Agences &amp; Après-vente'!$D$2:$D$1000="Agences et Après-vente"))*'Agences &amp; Après-vente'!$E$2:$E$1000))&gt;0,TEXT(SUMPRODUCT(MAX(('Agences &amp; Après-vente'!$A$2:$A$1000=$A470)*(('Agences &amp; Après-vente'!$D$2:$D$1000="Agences")+('Agences &amp; Après-vente'!$D$2:$D$1000="Agences et Après-vente"))*'Agences &amp; Après-vente'!$E$2:$E$1000)),"yyyy-mm-dd"),""))))))</f>
        <v/>
      </c>
      <c r="I470" s="131" t="str">
        <f aca="false">IF($S470="✓","✓",IF(ISNUMBER($S470),TEXT($S470,"yyyy-mm-dd"),IF($A470="","",IF(SUMPRODUCT(('Agences &amp; Après-vente'!$A$2:$A$1000=$A470)*(('Agences &amp; Après-vente'!$D$2:$D$1000="Après-vente")+('Agences &amp; Après-vente'!$D$2:$D$1000="Agences et Après-vente"))*('Agences &amp; Après-vente'!$I$2:$I$1000="DONE"))&gt;0,"✓",IF(SUMPRODUCT(MAX(('Agences &amp; Après-vente'!$A$2:$A$1000=$A470)*(('Agences &amp; Après-vente'!$D$2:$D$1000="Après-vente")+('Agences &amp; Après-vente'!$D$2:$D$1000="Agences et Après-vente"))*'Agences &amp; Après-vente'!$E$2:$E$1000))&gt;0,TEXT(SUMPRODUCT(MAX(('Agences &amp; Après-vente'!$A$2:$A$1000=$A470)*(('Agences &amp; Après-vente'!$D$2:$D$1000="Après-vente")+('Agences &amp; Après-vente'!$D$2:$D$1000="Agences et Après-vente"))*'Agences &amp; Après-vente'!$E$2:$E$1000)),"yyyy-mm-dd"),"")))))</f>
        <v/>
      </c>
      <c r="J470" s="131" t="str">
        <f aca="false">IF($T470="✓","✓",IF(ISNUMBER($T470),TEXT($T470,"yyyy-mm-dd"),IF($A470="","",IF($D470="Lisbonne","",IF(SUMPRODUCT(('Agences &amp; Après-vente'!$A$2:$A$1000=$A470)*(('Agences &amp; Après-vente'!$D$2:$D$1000="Après-vente")+('Agences &amp; Après-vente'!$D$2:$D$1000="Agences et Après-vente"))*('Agences &amp; Après-vente'!$I$2:$I$1000="DONE"))&gt;0,"✓",IF(SUMPRODUCT(MAX(('Agences &amp; Après-vente'!$A$2:$A$1000=$A470)*(('Agences &amp; Après-vente'!$D$2:$D$1000="Après-vente")+('Agences &amp; Après-vente'!$D$2:$D$1000="Agences et Après-vente"))*'Agences &amp; Après-vente'!$E$2:$E$1000))&gt;0,TEXT(SUMPRODUCT(MAX(('Agences &amp; Après-vente'!$A$2:$A$1000=$A470)*(('Agences &amp; Après-vente'!$D$2:$D$1000="Après-vente")+('Agences &amp; Après-vente'!$D$2:$D$1000="Agences et Après-vente"))*'Agences &amp; Après-vente'!$E$2:$E$1000)),"yyyy-mm-dd"),""))))))</f>
        <v/>
      </c>
      <c r="K470" s="131" t="str">
        <f aca="false">IF($U470="✓","✓",IF(ISNUMBER($U470),TEXT($U470,"yyyy-mm-dd"),IF($D470="Lisbonne","",IF($A470="","",IF(SUMPRODUCT((Evermont!$A$2:$A$1000=$A470)*(Evermont!$Q$2:$Q$1000="Terminé"))&gt;0,"✓",IF(SUMPRODUCT(MAX((Evermont!$A$2:$A$1000=$A470)*Evermont!$F$2:$F$1000))&gt;0,TEXT(SUMPRODUCT(MAX((Evermont!$A$2:$A$1000=$A470)*Evermont!$F$2:$F$1000)),"yyyy-mm-dd"),""))))))</f>
        <v/>
      </c>
      <c r="L470" s="131" t="str">
        <f aca="false">IF($A470="","",COUNTIF(E470:K470,"✓"))</f>
        <v/>
      </c>
      <c r="M470" s="131" t="str">
        <f aca="false">IF(B470="","","Active")</f>
        <v/>
      </c>
      <c r="W470" s="120" t="str">
        <f aca="false">IF($A470="","",IF($X470&lt;&gt;"",$X470,IFERROR(INDEX('Formation Initiale'!$B$2:$B$999,MATCH($A470,'Formation Initiale'!$A$2:$A$999,0)),"Général")))</f>
        <v/>
      </c>
    </row>
    <row r="471" customFormat="false" ht="15" hidden="true" customHeight="true" outlineLevel="0" collapsed="false">
      <c r="A471" s="142" t="str">
        <f aca="false">IF(B471="","","TR"&amp;TEXT(ROW()-1,"000"))</f>
        <v/>
      </c>
      <c r="E471" s="130" t="str">
        <f aca="false">IF($O471="✓","✓",IF(ISNUMBER($O471),TEXT($O471,"yyyy-mm-dd"),IF($A471="","",IF(SUMPRODUCT(('Formation Initiale'!$A$2:$A$999=$A471)*('Formation Initiale'!$R$2:$R$999="Terminé"))&gt;0,"✓",IF(SUMPRODUCT(MAX(('Formation Initiale'!$A$2:$A$999=$A471)*'Formation Initiale'!$G$2:$G$999))&gt;0,TEXT(SUMPRODUCT(MAX(('Formation Initiale'!$A$2:$A$999=$A471)*'Formation Initiale'!$G$2:$G$999)),"yyyy-mm-dd"),"")))))</f>
        <v/>
      </c>
      <c r="F471" s="131" t="str">
        <f aca="false">IF($P471="✓","✓",IF(ISNUMBER($P471),TEXT($P471,"yyyy-mm-dd"),IF($A471="","",IF($D471="Lisbonne","",IF(SUMPRODUCT(('Formation Initiale'!$A$2:$A$999=$A471)*('Formation Initiale'!$R$2:$R$999="Terminé"))&gt;0,"✓",IF(SUMPRODUCT(MAX(('Formation Initiale'!$A$2:$A$999=$A471)*'Formation Initiale'!$G$2:$G$999))&gt;0,TEXT(SUMPRODUCT(MAX(('Formation Initiale'!$A$2:$A$999=$A471)*'Formation Initiale'!$G$2:$G$999)),"yyyy-mm-dd"),""))))))</f>
        <v/>
      </c>
      <c r="G471" s="131" t="str">
        <f aca="false">IF($Q471="✓","✓",IF(ISNUMBER($Q471),TEXT($Q471,"yyyy-mm-dd"),IF($A471="","",IF(SUMPRODUCT(('Agences &amp; Après-vente'!$A$2:$A$1000=$A471)*(('Agences &amp; Après-vente'!$D$2:$D$1000="Agences")+('Agences &amp; Après-vente'!$D$2:$D$1000="Agences et Après-vente"))*('Agences &amp; Après-vente'!$I$2:$I$1000="DONE"))&gt;0,"✓",IF(SUMPRODUCT(MAX(('Agences &amp; Après-vente'!$A$2:$A$1000=$A471)*(('Agences &amp; Après-vente'!$D$2:$D$1000="Agences")+('Agences &amp; Après-vente'!$D$2:$D$1000="Agences et Après-vente"))*'Agences &amp; Après-vente'!$E$2:$E$1000))&gt;0,TEXT(SUMPRODUCT(MAX(('Agences &amp; Après-vente'!$A$2:$A$1000=$A471)*(('Agences &amp; Après-vente'!$D$2:$D$1000="Agences")+('Agences &amp; Après-vente'!$D$2:$D$1000="Agences et Après-vente"))*'Agences &amp; Après-vente'!$E$2:$E$1000)),"yyyy-mm-dd"),"")))))</f>
        <v/>
      </c>
      <c r="H471" s="131" t="str">
        <f aca="false">IF($R471="✓","✓",IF(ISNUMBER($R471),TEXT($R471,"yyyy-mm-dd"),IF($A471="","",IF($D471="Lisbonne","",IF(SUMPRODUCT(('Agences &amp; Après-vente'!$A$2:$A$1000=$A471)*(('Agences &amp; Après-vente'!$D$2:$D$1000="Agences")+('Agences &amp; Après-vente'!$D$2:$D$1000="Agences et Après-vente"))*('Agences &amp; Après-vente'!$I$2:$I$1000="DONE"))&gt;0,"✓",IF(SUMPRODUCT(MAX(('Agences &amp; Après-vente'!$A$2:$A$1000=$A471)*(('Agences &amp; Après-vente'!$D$2:$D$1000="Agences")+('Agences &amp; Après-vente'!$D$2:$D$1000="Agences et Après-vente"))*'Agences &amp; Après-vente'!$E$2:$E$1000))&gt;0,TEXT(SUMPRODUCT(MAX(('Agences &amp; Après-vente'!$A$2:$A$1000=$A471)*(('Agences &amp; Après-vente'!$D$2:$D$1000="Agences")+('Agences &amp; Après-vente'!$D$2:$D$1000="Agences et Après-vente"))*'Agences &amp; Après-vente'!$E$2:$E$1000)),"yyyy-mm-dd"),""))))))</f>
        <v/>
      </c>
      <c r="I471" s="131" t="str">
        <f aca="false">IF($S471="✓","✓",IF(ISNUMBER($S471),TEXT($S471,"yyyy-mm-dd"),IF($A471="","",IF(SUMPRODUCT(('Agences &amp; Après-vente'!$A$2:$A$1000=$A471)*(('Agences &amp; Après-vente'!$D$2:$D$1000="Après-vente")+('Agences &amp; Après-vente'!$D$2:$D$1000="Agences et Après-vente"))*('Agences &amp; Après-vente'!$I$2:$I$1000="DONE"))&gt;0,"✓",IF(SUMPRODUCT(MAX(('Agences &amp; Après-vente'!$A$2:$A$1000=$A471)*(('Agences &amp; Après-vente'!$D$2:$D$1000="Après-vente")+('Agences &amp; Après-vente'!$D$2:$D$1000="Agences et Après-vente"))*'Agences &amp; Après-vente'!$E$2:$E$1000))&gt;0,TEXT(SUMPRODUCT(MAX(('Agences &amp; Après-vente'!$A$2:$A$1000=$A471)*(('Agences &amp; Après-vente'!$D$2:$D$1000="Après-vente")+('Agences &amp; Après-vente'!$D$2:$D$1000="Agences et Après-vente"))*'Agences &amp; Après-vente'!$E$2:$E$1000)),"yyyy-mm-dd"),"")))))</f>
        <v/>
      </c>
      <c r="J471" s="131" t="str">
        <f aca="false">IF($T471="✓","✓",IF(ISNUMBER($T471),TEXT($T471,"yyyy-mm-dd"),IF($A471="","",IF($D471="Lisbonne","",IF(SUMPRODUCT(('Agences &amp; Après-vente'!$A$2:$A$1000=$A471)*(('Agences &amp; Après-vente'!$D$2:$D$1000="Après-vente")+('Agences &amp; Après-vente'!$D$2:$D$1000="Agences et Après-vente"))*('Agences &amp; Après-vente'!$I$2:$I$1000="DONE"))&gt;0,"✓",IF(SUMPRODUCT(MAX(('Agences &amp; Après-vente'!$A$2:$A$1000=$A471)*(('Agences &amp; Après-vente'!$D$2:$D$1000="Après-vente")+('Agences &amp; Après-vente'!$D$2:$D$1000="Agences et Après-vente"))*'Agences &amp; Après-vente'!$E$2:$E$1000))&gt;0,TEXT(SUMPRODUCT(MAX(('Agences &amp; Après-vente'!$A$2:$A$1000=$A471)*(('Agences &amp; Après-vente'!$D$2:$D$1000="Après-vente")+('Agences &amp; Après-vente'!$D$2:$D$1000="Agences et Après-vente"))*'Agences &amp; Après-vente'!$E$2:$E$1000)),"yyyy-mm-dd"),""))))))</f>
        <v/>
      </c>
      <c r="K471" s="131" t="str">
        <f aca="false">IF($U471="✓","✓",IF(ISNUMBER($U471),TEXT($U471,"yyyy-mm-dd"),IF($D471="Lisbonne","",IF($A471="","",IF(SUMPRODUCT((Evermont!$A$2:$A$1000=$A471)*(Evermont!$Q$2:$Q$1000="Terminé"))&gt;0,"✓",IF(SUMPRODUCT(MAX((Evermont!$A$2:$A$1000=$A471)*Evermont!$F$2:$F$1000))&gt;0,TEXT(SUMPRODUCT(MAX((Evermont!$A$2:$A$1000=$A471)*Evermont!$F$2:$F$1000)),"yyyy-mm-dd"),""))))))</f>
        <v/>
      </c>
      <c r="L471" s="131" t="str">
        <f aca="false">IF($A471="","",COUNTIF(E471:K471,"✓"))</f>
        <v/>
      </c>
      <c r="M471" s="131" t="str">
        <f aca="false">IF(B471="","","Active")</f>
        <v/>
      </c>
      <c r="W471" s="120" t="str">
        <f aca="false">IF($A471="","",IF($X471&lt;&gt;"",$X471,IFERROR(INDEX('Formation Initiale'!$B$2:$B$999,MATCH($A471,'Formation Initiale'!$A$2:$A$999,0)),"Général")))</f>
        <v/>
      </c>
    </row>
    <row r="472" customFormat="false" ht="15" hidden="true" customHeight="true" outlineLevel="0" collapsed="false">
      <c r="A472" s="142" t="str">
        <f aca="false">IF(B472="","","TR"&amp;TEXT(ROW()-1,"000"))</f>
        <v/>
      </c>
      <c r="E472" s="130" t="str">
        <f aca="false">IF($O472="✓","✓",IF(ISNUMBER($O472),TEXT($O472,"yyyy-mm-dd"),IF($A472="","",IF(SUMPRODUCT(('Formation Initiale'!$A$2:$A$999=$A472)*('Formation Initiale'!$R$2:$R$999="Terminé"))&gt;0,"✓",IF(SUMPRODUCT(MAX(('Formation Initiale'!$A$2:$A$999=$A472)*'Formation Initiale'!$G$2:$G$999))&gt;0,TEXT(SUMPRODUCT(MAX(('Formation Initiale'!$A$2:$A$999=$A472)*'Formation Initiale'!$G$2:$G$999)),"yyyy-mm-dd"),"")))))</f>
        <v/>
      </c>
      <c r="F472" s="131" t="str">
        <f aca="false">IF($P472="✓","✓",IF(ISNUMBER($P472),TEXT($P472,"yyyy-mm-dd"),IF($A472="","",IF($D472="Lisbonne","",IF(SUMPRODUCT(('Formation Initiale'!$A$2:$A$999=$A472)*('Formation Initiale'!$R$2:$R$999="Terminé"))&gt;0,"✓",IF(SUMPRODUCT(MAX(('Formation Initiale'!$A$2:$A$999=$A472)*'Formation Initiale'!$G$2:$G$999))&gt;0,TEXT(SUMPRODUCT(MAX(('Formation Initiale'!$A$2:$A$999=$A472)*'Formation Initiale'!$G$2:$G$999)),"yyyy-mm-dd"),""))))))</f>
        <v/>
      </c>
      <c r="G472" s="131" t="str">
        <f aca="false">IF($Q472="✓","✓",IF(ISNUMBER($Q472),TEXT($Q472,"yyyy-mm-dd"),IF($A472="","",IF(SUMPRODUCT(('Agences &amp; Après-vente'!$A$2:$A$1000=$A472)*(('Agences &amp; Après-vente'!$D$2:$D$1000="Agences")+('Agences &amp; Après-vente'!$D$2:$D$1000="Agences et Après-vente"))*('Agences &amp; Après-vente'!$I$2:$I$1000="DONE"))&gt;0,"✓",IF(SUMPRODUCT(MAX(('Agences &amp; Après-vente'!$A$2:$A$1000=$A472)*(('Agences &amp; Après-vente'!$D$2:$D$1000="Agences")+('Agences &amp; Après-vente'!$D$2:$D$1000="Agences et Après-vente"))*'Agences &amp; Après-vente'!$E$2:$E$1000))&gt;0,TEXT(SUMPRODUCT(MAX(('Agences &amp; Après-vente'!$A$2:$A$1000=$A472)*(('Agences &amp; Après-vente'!$D$2:$D$1000="Agences")+('Agences &amp; Après-vente'!$D$2:$D$1000="Agences et Après-vente"))*'Agences &amp; Après-vente'!$E$2:$E$1000)),"yyyy-mm-dd"),"")))))</f>
        <v/>
      </c>
      <c r="H472" s="131" t="str">
        <f aca="false">IF($R472="✓","✓",IF(ISNUMBER($R472),TEXT($R472,"yyyy-mm-dd"),IF($A472="","",IF($D472="Lisbonne","",IF(SUMPRODUCT(('Agences &amp; Après-vente'!$A$2:$A$1000=$A472)*(('Agences &amp; Après-vente'!$D$2:$D$1000="Agences")+('Agences &amp; Après-vente'!$D$2:$D$1000="Agences et Après-vente"))*('Agences &amp; Après-vente'!$I$2:$I$1000="DONE"))&gt;0,"✓",IF(SUMPRODUCT(MAX(('Agences &amp; Après-vente'!$A$2:$A$1000=$A472)*(('Agences &amp; Après-vente'!$D$2:$D$1000="Agences")+('Agences &amp; Après-vente'!$D$2:$D$1000="Agences et Après-vente"))*'Agences &amp; Après-vente'!$E$2:$E$1000))&gt;0,TEXT(SUMPRODUCT(MAX(('Agences &amp; Après-vente'!$A$2:$A$1000=$A472)*(('Agences &amp; Après-vente'!$D$2:$D$1000="Agences")+('Agences &amp; Après-vente'!$D$2:$D$1000="Agences et Après-vente"))*'Agences &amp; Après-vente'!$E$2:$E$1000)),"yyyy-mm-dd"),""))))))</f>
        <v/>
      </c>
      <c r="I472" s="131" t="str">
        <f aca="false">IF($S472="✓","✓",IF(ISNUMBER($S472),TEXT($S472,"yyyy-mm-dd"),IF($A472="","",IF(SUMPRODUCT(('Agences &amp; Après-vente'!$A$2:$A$1000=$A472)*(('Agences &amp; Après-vente'!$D$2:$D$1000="Après-vente")+('Agences &amp; Après-vente'!$D$2:$D$1000="Agences et Après-vente"))*('Agences &amp; Après-vente'!$I$2:$I$1000="DONE"))&gt;0,"✓",IF(SUMPRODUCT(MAX(('Agences &amp; Après-vente'!$A$2:$A$1000=$A472)*(('Agences &amp; Après-vente'!$D$2:$D$1000="Après-vente")+('Agences &amp; Après-vente'!$D$2:$D$1000="Agences et Après-vente"))*'Agences &amp; Après-vente'!$E$2:$E$1000))&gt;0,TEXT(SUMPRODUCT(MAX(('Agences &amp; Après-vente'!$A$2:$A$1000=$A472)*(('Agences &amp; Après-vente'!$D$2:$D$1000="Après-vente")+('Agences &amp; Après-vente'!$D$2:$D$1000="Agences et Après-vente"))*'Agences &amp; Après-vente'!$E$2:$E$1000)),"yyyy-mm-dd"),"")))))</f>
        <v/>
      </c>
      <c r="J472" s="131" t="str">
        <f aca="false">IF($T472="✓","✓",IF(ISNUMBER($T472),TEXT($T472,"yyyy-mm-dd"),IF($A472="","",IF($D472="Lisbonne","",IF(SUMPRODUCT(('Agences &amp; Après-vente'!$A$2:$A$1000=$A472)*(('Agences &amp; Après-vente'!$D$2:$D$1000="Après-vente")+('Agences &amp; Après-vente'!$D$2:$D$1000="Agences et Après-vente"))*('Agences &amp; Après-vente'!$I$2:$I$1000="DONE"))&gt;0,"✓",IF(SUMPRODUCT(MAX(('Agences &amp; Après-vente'!$A$2:$A$1000=$A472)*(('Agences &amp; Après-vente'!$D$2:$D$1000="Après-vente")+('Agences &amp; Après-vente'!$D$2:$D$1000="Agences et Après-vente"))*'Agences &amp; Après-vente'!$E$2:$E$1000))&gt;0,TEXT(SUMPRODUCT(MAX(('Agences &amp; Après-vente'!$A$2:$A$1000=$A472)*(('Agences &amp; Après-vente'!$D$2:$D$1000="Après-vente")+('Agences &amp; Après-vente'!$D$2:$D$1000="Agences et Après-vente"))*'Agences &amp; Après-vente'!$E$2:$E$1000)),"yyyy-mm-dd"),""))))))</f>
        <v/>
      </c>
      <c r="K472" s="131" t="str">
        <f aca="false">IF($U472="✓","✓",IF(ISNUMBER($U472),TEXT($U472,"yyyy-mm-dd"),IF($D472="Lisbonne","",IF($A472="","",IF(SUMPRODUCT((Evermont!$A$2:$A$1000=$A472)*(Evermont!$Q$2:$Q$1000="Terminé"))&gt;0,"✓",IF(SUMPRODUCT(MAX((Evermont!$A$2:$A$1000=$A472)*Evermont!$F$2:$F$1000))&gt;0,TEXT(SUMPRODUCT(MAX((Evermont!$A$2:$A$1000=$A472)*Evermont!$F$2:$F$1000)),"yyyy-mm-dd"),""))))))</f>
        <v/>
      </c>
      <c r="L472" s="131" t="str">
        <f aca="false">IF($A472="","",COUNTIF(E472:K472,"✓"))</f>
        <v/>
      </c>
      <c r="M472" s="131" t="str">
        <f aca="false">IF(B472="","","Active")</f>
        <v/>
      </c>
      <c r="W472" s="120" t="str">
        <f aca="false">IF($A472="","",IF($X472&lt;&gt;"",$X472,IFERROR(INDEX('Formation Initiale'!$B$2:$B$999,MATCH($A472,'Formation Initiale'!$A$2:$A$999,0)),"Général")))</f>
        <v/>
      </c>
    </row>
    <row r="473" customFormat="false" ht="15" hidden="true" customHeight="true" outlineLevel="0" collapsed="false">
      <c r="A473" s="142" t="str">
        <f aca="false">IF(B473="","","TR"&amp;TEXT(ROW()-1,"000"))</f>
        <v/>
      </c>
      <c r="E473" s="130" t="str">
        <f aca="false">IF($O473="✓","✓",IF(ISNUMBER($O473),TEXT($O473,"yyyy-mm-dd"),IF($A473="","",IF(SUMPRODUCT(('Formation Initiale'!$A$2:$A$999=$A473)*('Formation Initiale'!$R$2:$R$999="Terminé"))&gt;0,"✓",IF(SUMPRODUCT(MAX(('Formation Initiale'!$A$2:$A$999=$A473)*'Formation Initiale'!$G$2:$G$999))&gt;0,TEXT(SUMPRODUCT(MAX(('Formation Initiale'!$A$2:$A$999=$A473)*'Formation Initiale'!$G$2:$G$999)),"yyyy-mm-dd"),"")))))</f>
        <v/>
      </c>
      <c r="F473" s="131" t="str">
        <f aca="false">IF($P473="✓","✓",IF(ISNUMBER($P473),TEXT($P473,"yyyy-mm-dd"),IF($A473="","",IF($D473="Lisbonne","",IF(SUMPRODUCT(('Formation Initiale'!$A$2:$A$999=$A473)*('Formation Initiale'!$R$2:$R$999="Terminé"))&gt;0,"✓",IF(SUMPRODUCT(MAX(('Formation Initiale'!$A$2:$A$999=$A473)*'Formation Initiale'!$G$2:$G$999))&gt;0,TEXT(SUMPRODUCT(MAX(('Formation Initiale'!$A$2:$A$999=$A473)*'Formation Initiale'!$G$2:$G$999)),"yyyy-mm-dd"),""))))))</f>
        <v/>
      </c>
      <c r="G473" s="131" t="str">
        <f aca="false">IF($Q473="✓","✓",IF(ISNUMBER($Q473),TEXT($Q473,"yyyy-mm-dd"),IF($A473="","",IF(SUMPRODUCT(('Agences &amp; Après-vente'!$A$2:$A$1000=$A473)*(('Agences &amp; Après-vente'!$D$2:$D$1000="Agences")+('Agences &amp; Après-vente'!$D$2:$D$1000="Agences et Après-vente"))*('Agences &amp; Après-vente'!$I$2:$I$1000="DONE"))&gt;0,"✓",IF(SUMPRODUCT(MAX(('Agences &amp; Après-vente'!$A$2:$A$1000=$A473)*(('Agences &amp; Après-vente'!$D$2:$D$1000="Agences")+('Agences &amp; Après-vente'!$D$2:$D$1000="Agences et Après-vente"))*'Agences &amp; Après-vente'!$E$2:$E$1000))&gt;0,TEXT(SUMPRODUCT(MAX(('Agences &amp; Après-vente'!$A$2:$A$1000=$A473)*(('Agences &amp; Après-vente'!$D$2:$D$1000="Agences")+('Agences &amp; Après-vente'!$D$2:$D$1000="Agences et Après-vente"))*'Agences &amp; Après-vente'!$E$2:$E$1000)),"yyyy-mm-dd"),"")))))</f>
        <v/>
      </c>
      <c r="H473" s="131" t="str">
        <f aca="false">IF($R473="✓","✓",IF(ISNUMBER($R473),TEXT($R473,"yyyy-mm-dd"),IF($A473="","",IF($D473="Lisbonne","",IF(SUMPRODUCT(('Agences &amp; Après-vente'!$A$2:$A$1000=$A473)*(('Agences &amp; Après-vente'!$D$2:$D$1000="Agences")+('Agences &amp; Après-vente'!$D$2:$D$1000="Agences et Après-vente"))*('Agences &amp; Après-vente'!$I$2:$I$1000="DONE"))&gt;0,"✓",IF(SUMPRODUCT(MAX(('Agences &amp; Après-vente'!$A$2:$A$1000=$A473)*(('Agences &amp; Après-vente'!$D$2:$D$1000="Agences")+('Agences &amp; Après-vente'!$D$2:$D$1000="Agences et Après-vente"))*'Agences &amp; Après-vente'!$E$2:$E$1000))&gt;0,TEXT(SUMPRODUCT(MAX(('Agences &amp; Après-vente'!$A$2:$A$1000=$A473)*(('Agences &amp; Après-vente'!$D$2:$D$1000="Agences")+('Agences &amp; Après-vente'!$D$2:$D$1000="Agences et Après-vente"))*'Agences &amp; Après-vente'!$E$2:$E$1000)),"yyyy-mm-dd"),""))))))</f>
        <v/>
      </c>
      <c r="I473" s="131" t="str">
        <f aca="false">IF($S473="✓","✓",IF(ISNUMBER($S473),TEXT($S473,"yyyy-mm-dd"),IF($A473="","",IF(SUMPRODUCT(('Agences &amp; Après-vente'!$A$2:$A$1000=$A473)*(('Agences &amp; Après-vente'!$D$2:$D$1000="Après-vente")+('Agences &amp; Après-vente'!$D$2:$D$1000="Agences et Après-vente"))*('Agences &amp; Après-vente'!$I$2:$I$1000="DONE"))&gt;0,"✓",IF(SUMPRODUCT(MAX(('Agences &amp; Après-vente'!$A$2:$A$1000=$A473)*(('Agences &amp; Après-vente'!$D$2:$D$1000="Après-vente")+('Agences &amp; Après-vente'!$D$2:$D$1000="Agences et Après-vente"))*'Agences &amp; Après-vente'!$E$2:$E$1000))&gt;0,TEXT(SUMPRODUCT(MAX(('Agences &amp; Après-vente'!$A$2:$A$1000=$A473)*(('Agences &amp; Après-vente'!$D$2:$D$1000="Après-vente")+('Agences &amp; Après-vente'!$D$2:$D$1000="Agences et Après-vente"))*'Agences &amp; Après-vente'!$E$2:$E$1000)),"yyyy-mm-dd"),"")))))</f>
        <v/>
      </c>
      <c r="J473" s="131" t="str">
        <f aca="false">IF($T473="✓","✓",IF(ISNUMBER($T473),TEXT($T473,"yyyy-mm-dd"),IF($A473="","",IF($D473="Lisbonne","",IF(SUMPRODUCT(('Agences &amp; Après-vente'!$A$2:$A$1000=$A473)*(('Agences &amp; Après-vente'!$D$2:$D$1000="Après-vente")+('Agences &amp; Après-vente'!$D$2:$D$1000="Agences et Après-vente"))*('Agences &amp; Après-vente'!$I$2:$I$1000="DONE"))&gt;0,"✓",IF(SUMPRODUCT(MAX(('Agences &amp; Après-vente'!$A$2:$A$1000=$A473)*(('Agences &amp; Après-vente'!$D$2:$D$1000="Après-vente")+('Agences &amp; Après-vente'!$D$2:$D$1000="Agences et Après-vente"))*'Agences &amp; Après-vente'!$E$2:$E$1000))&gt;0,TEXT(SUMPRODUCT(MAX(('Agences &amp; Après-vente'!$A$2:$A$1000=$A473)*(('Agences &amp; Après-vente'!$D$2:$D$1000="Après-vente")+('Agences &amp; Après-vente'!$D$2:$D$1000="Agences et Après-vente"))*'Agences &amp; Après-vente'!$E$2:$E$1000)),"yyyy-mm-dd"),""))))))</f>
        <v/>
      </c>
      <c r="K473" s="131" t="str">
        <f aca="false">IF($U473="✓","✓",IF(ISNUMBER($U473),TEXT($U473,"yyyy-mm-dd"),IF($D473="Lisbonne","",IF($A473="","",IF(SUMPRODUCT((Evermont!$A$2:$A$1000=$A473)*(Evermont!$Q$2:$Q$1000="Terminé"))&gt;0,"✓",IF(SUMPRODUCT(MAX((Evermont!$A$2:$A$1000=$A473)*Evermont!$F$2:$F$1000))&gt;0,TEXT(SUMPRODUCT(MAX((Evermont!$A$2:$A$1000=$A473)*Evermont!$F$2:$F$1000)),"yyyy-mm-dd"),""))))))</f>
        <v/>
      </c>
      <c r="L473" s="131" t="str">
        <f aca="false">IF($A473="","",COUNTIF(E473:K473,"✓"))</f>
        <v/>
      </c>
      <c r="M473" s="131" t="str">
        <f aca="false">IF(B473="","","Active")</f>
        <v/>
      </c>
      <c r="W473" s="120" t="str">
        <f aca="false">IF($A473="","",IF($X473&lt;&gt;"",$X473,IFERROR(INDEX('Formation Initiale'!$B$2:$B$999,MATCH($A473,'Formation Initiale'!$A$2:$A$999,0)),"Général")))</f>
        <v/>
      </c>
    </row>
    <row r="474" customFormat="false" ht="15" hidden="true" customHeight="true" outlineLevel="0" collapsed="false">
      <c r="A474" s="142" t="str">
        <f aca="false">IF(B474="","","TR"&amp;TEXT(ROW()-1,"000"))</f>
        <v/>
      </c>
      <c r="E474" s="130" t="str">
        <f aca="false">IF($O474="✓","✓",IF(ISNUMBER($O474),TEXT($O474,"yyyy-mm-dd"),IF($A474="","",IF(SUMPRODUCT(('Formation Initiale'!$A$2:$A$999=$A474)*('Formation Initiale'!$R$2:$R$999="Terminé"))&gt;0,"✓",IF(SUMPRODUCT(MAX(('Formation Initiale'!$A$2:$A$999=$A474)*'Formation Initiale'!$G$2:$G$999))&gt;0,TEXT(SUMPRODUCT(MAX(('Formation Initiale'!$A$2:$A$999=$A474)*'Formation Initiale'!$G$2:$G$999)),"yyyy-mm-dd"),"")))))</f>
        <v/>
      </c>
      <c r="F474" s="131" t="str">
        <f aca="false">IF($P474="✓","✓",IF(ISNUMBER($P474),TEXT($P474,"yyyy-mm-dd"),IF($A474="","",IF($D474="Lisbonne","",IF(SUMPRODUCT(('Formation Initiale'!$A$2:$A$999=$A474)*('Formation Initiale'!$R$2:$R$999="Terminé"))&gt;0,"✓",IF(SUMPRODUCT(MAX(('Formation Initiale'!$A$2:$A$999=$A474)*'Formation Initiale'!$G$2:$G$999))&gt;0,TEXT(SUMPRODUCT(MAX(('Formation Initiale'!$A$2:$A$999=$A474)*'Formation Initiale'!$G$2:$G$999)),"yyyy-mm-dd"),""))))))</f>
        <v/>
      </c>
      <c r="G474" s="131" t="str">
        <f aca="false">IF($Q474="✓","✓",IF(ISNUMBER($Q474),TEXT($Q474,"yyyy-mm-dd"),IF($A474="","",IF(SUMPRODUCT(('Agences &amp; Après-vente'!$A$2:$A$1000=$A474)*(('Agences &amp; Après-vente'!$D$2:$D$1000="Agences")+('Agences &amp; Après-vente'!$D$2:$D$1000="Agences et Après-vente"))*('Agences &amp; Après-vente'!$I$2:$I$1000="DONE"))&gt;0,"✓",IF(SUMPRODUCT(MAX(('Agences &amp; Après-vente'!$A$2:$A$1000=$A474)*(('Agences &amp; Après-vente'!$D$2:$D$1000="Agences")+('Agences &amp; Après-vente'!$D$2:$D$1000="Agences et Après-vente"))*'Agences &amp; Après-vente'!$E$2:$E$1000))&gt;0,TEXT(SUMPRODUCT(MAX(('Agences &amp; Après-vente'!$A$2:$A$1000=$A474)*(('Agences &amp; Après-vente'!$D$2:$D$1000="Agences")+('Agences &amp; Après-vente'!$D$2:$D$1000="Agences et Après-vente"))*'Agences &amp; Après-vente'!$E$2:$E$1000)),"yyyy-mm-dd"),"")))))</f>
        <v/>
      </c>
      <c r="H474" s="131" t="str">
        <f aca="false">IF($R474="✓","✓",IF(ISNUMBER($R474),TEXT($R474,"yyyy-mm-dd"),IF($A474="","",IF($D474="Lisbonne","",IF(SUMPRODUCT(('Agences &amp; Après-vente'!$A$2:$A$1000=$A474)*(('Agences &amp; Après-vente'!$D$2:$D$1000="Agences")+('Agences &amp; Après-vente'!$D$2:$D$1000="Agences et Après-vente"))*('Agences &amp; Après-vente'!$I$2:$I$1000="DONE"))&gt;0,"✓",IF(SUMPRODUCT(MAX(('Agences &amp; Après-vente'!$A$2:$A$1000=$A474)*(('Agences &amp; Après-vente'!$D$2:$D$1000="Agences")+('Agences &amp; Après-vente'!$D$2:$D$1000="Agences et Après-vente"))*'Agences &amp; Après-vente'!$E$2:$E$1000))&gt;0,TEXT(SUMPRODUCT(MAX(('Agences &amp; Après-vente'!$A$2:$A$1000=$A474)*(('Agences &amp; Après-vente'!$D$2:$D$1000="Agences")+('Agences &amp; Après-vente'!$D$2:$D$1000="Agences et Après-vente"))*'Agences &amp; Après-vente'!$E$2:$E$1000)),"yyyy-mm-dd"),""))))))</f>
        <v/>
      </c>
      <c r="I474" s="131" t="str">
        <f aca="false">IF($S474="✓","✓",IF(ISNUMBER($S474),TEXT($S474,"yyyy-mm-dd"),IF($A474="","",IF(SUMPRODUCT(('Agences &amp; Après-vente'!$A$2:$A$1000=$A474)*(('Agences &amp; Après-vente'!$D$2:$D$1000="Après-vente")+('Agences &amp; Après-vente'!$D$2:$D$1000="Agences et Après-vente"))*('Agences &amp; Après-vente'!$I$2:$I$1000="DONE"))&gt;0,"✓",IF(SUMPRODUCT(MAX(('Agences &amp; Après-vente'!$A$2:$A$1000=$A474)*(('Agences &amp; Après-vente'!$D$2:$D$1000="Après-vente")+('Agences &amp; Après-vente'!$D$2:$D$1000="Agences et Après-vente"))*'Agences &amp; Après-vente'!$E$2:$E$1000))&gt;0,TEXT(SUMPRODUCT(MAX(('Agences &amp; Après-vente'!$A$2:$A$1000=$A474)*(('Agences &amp; Après-vente'!$D$2:$D$1000="Après-vente")+('Agences &amp; Après-vente'!$D$2:$D$1000="Agences et Après-vente"))*'Agences &amp; Après-vente'!$E$2:$E$1000)),"yyyy-mm-dd"),"")))))</f>
        <v/>
      </c>
      <c r="J474" s="131" t="str">
        <f aca="false">IF($T474="✓","✓",IF(ISNUMBER($T474),TEXT($T474,"yyyy-mm-dd"),IF($A474="","",IF($D474="Lisbonne","",IF(SUMPRODUCT(('Agences &amp; Après-vente'!$A$2:$A$1000=$A474)*(('Agences &amp; Après-vente'!$D$2:$D$1000="Après-vente")+('Agences &amp; Après-vente'!$D$2:$D$1000="Agences et Après-vente"))*('Agences &amp; Après-vente'!$I$2:$I$1000="DONE"))&gt;0,"✓",IF(SUMPRODUCT(MAX(('Agences &amp; Après-vente'!$A$2:$A$1000=$A474)*(('Agences &amp; Après-vente'!$D$2:$D$1000="Après-vente")+('Agences &amp; Après-vente'!$D$2:$D$1000="Agences et Après-vente"))*'Agences &amp; Après-vente'!$E$2:$E$1000))&gt;0,TEXT(SUMPRODUCT(MAX(('Agences &amp; Après-vente'!$A$2:$A$1000=$A474)*(('Agences &amp; Après-vente'!$D$2:$D$1000="Après-vente")+('Agences &amp; Après-vente'!$D$2:$D$1000="Agences et Après-vente"))*'Agences &amp; Après-vente'!$E$2:$E$1000)),"yyyy-mm-dd"),""))))))</f>
        <v/>
      </c>
      <c r="K474" s="131" t="str">
        <f aca="false">IF($U474="✓","✓",IF(ISNUMBER($U474),TEXT($U474,"yyyy-mm-dd"),IF($D474="Lisbonne","",IF($A474="","",IF(SUMPRODUCT((Evermont!$A$2:$A$1000=$A474)*(Evermont!$Q$2:$Q$1000="Terminé"))&gt;0,"✓",IF(SUMPRODUCT(MAX((Evermont!$A$2:$A$1000=$A474)*Evermont!$F$2:$F$1000))&gt;0,TEXT(SUMPRODUCT(MAX((Evermont!$A$2:$A$1000=$A474)*Evermont!$F$2:$F$1000)),"yyyy-mm-dd"),""))))))</f>
        <v/>
      </c>
      <c r="L474" s="131" t="str">
        <f aca="false">IF($A474="","",COUNTIF(E474:K474,"✓"))</f>
        <v/>
      </c>
      <c r="M474" s="131" t="str">
        <f aca="false">IF(B474="","","Active")</f>
        <v/>
      </c>
      <c r="W474" s="120" t="str">
        <f aca="false">IF($A474="","",IF($X474&lt;&gt;"",$X474,IFERROR(INDEX('Formation Initiale'!$B$2:$B$999,MATCH($A474,'Formation Initiale'!$A$2:$A$999,0)),"Général")))</f>
        <v/>
      </c>
    </row>
    <row r="475" customFormat="false" ht="15" hidden="true" customHeight="true" outlineLevel="0" collapsed="false">
      <c r="A475" s="142" t="str">
        <f aca="false">IF(B475="","","TR"&amp;TEXT(ROW()-1,"000"))</f>
        <v/>
      </c>
      <c r="E475" s="130" t="str">
        <f aca="false">IF($O475="✓","✓",IF(ISNUMBER($O475),TEXT($O475,"yyyy-mm-dd"),IF($A475="","",IF(SUMPRODUCT(('Formation Initiale'!$A$2:$A$999=$A475)*('Formation Initiale'!$R$2:$R$999="Terminé"))&gt;0,"✓",IF(SUMPRODUCT(MAX(('Formation Initiale'!$A$2:$A$999=$A475)*'Formation Initiale'!$G$2:$G$999))&gt;0,TEXT(SUMPRODUCT(MAX(('Formation Initiale'!$A$2:$A$999=$A475)*'Formation Initiale'!$G$2:$G$999)),"yyyy-mm-dd"),"")))))</f>
        <v/>
      </c>
      <c r="F475" s="131" t="str">
        <f aca="false">IF($P475="✓","✓",IF(ISNUMBER($P475),TEXT($P475,"yyyy-mm-dd"),IF($A475="","",IF($D475="Lisbonne","",IF(SUMPRODUCT(('Formation Initiale'!$A$2:$A$999=$A475)*('Formation Initiale'!$R$2:$R$999="Terminé"))&gt;0,"✓",IF(SUMPRODUCT(MAX(('Formation Initiale'!$A$2:$A$999=$A475)*'Formation Initiale'!$G$2:$G$999))&gt;0,TEXT(SUMPRODUCT(MAX(('Formation Initiale'!$A$2:$A$999=$A475)*'Formation Initiale'!$G$2:$G$999)),"yyyy-mm-dd"),""))))))</f>
        <v/>
      </c>
      <c r="G475" s="131" t="str">
        <f aca="false">IF($Q475="✓","✓",IF(ISNUMBER($Q475),TEXT($Q475,"yyyy-mm-dd"),IF($A475="","",IF(SUMPRODUCT(('Agences &amp; Après-vente'!$A$2:$A$1000=$A475)*(('Agences &amp; Après-vente'!$D$2:$D$1000="Agences")+('Agences &amp; Après-vente'!$D$2:$D$1000="Agences et Après-vente"))*('Agences &amp; Après-vente'!$I$2:$I$1000="DONE"))&gt;0,"✓",IF(SUMPRODUCT(MAX(('Agences &amp; Après-vente'!$A$2:$A$1000=$A475)*(('Agences &amp; Après-vente'!$D$2:$D$1000="Agences")+('Agences &amp; Après-vente'!$D$2:$D$1000="Agences et Après-vente"))*'Agences &amp; Après-vente'!$E$2:$E$1000))&gt;0,TEXT(SUMPRODUCT(MAX(('Agences &amp; Après-vente'!$A$2:$A$1000=$A475)*(('Agences &amp; Après-vente'!$D$2:$D$1000="Agences")+('Agences &amp; Après-vente'!$D$2:$D$1000="Agences et Après-vente"))*'Agences &amp; Après-vente'!$E$2:$E$1000)),"yyyy-mm-dd"),"")))))</f>
        <v/>
      </c>
      <c r="H475" s="131" t="str">
        <f aca="false">IF($R475="✓","✓",IF(ISNUMBER($R475),TEXT($R475,"yyyy-mm-dd"),IF($A475="","",IF($D475="Lisbonne","",IF(SUMPRODUCT(('Agences &amp; Après-vente'!$A$2:$A$1000=$A475)*(('Agences &amp; Après-vente'!$D$2:$D$1000="Agences")+('Agences &amp; Après-vente'!$D$2:$D$1000="Agences et Après-vente"))*('Agences &amp; Après-vente'!$I$2:$I$1000="DONE"))&gt;0,"✓",IF(SUMPRODUCT(MAX(('Agences &amp; Après-vente'!$A$2:$A$1000=$A475)*(('Agences &amp; Après-vente'!$D$2:$D$1000="Agences")+('Agences &amp; Après-vente'!$D$2:$D$1000="Agences et Après-vente"))*'Agences &amp; Après-vente'!$E$2:$E$1000))&gt;0,TEXT(SUMPRODUCT(MAX(('Agences &amp; Après-vente'!$A$2:$A$1000=$A475)*(('Agences &amp; Après-vente'!$D$2:$D$1000="Agences")+('Agences &amp; Après-vente'!$D$2:$D$1000="Agences et Après-vente"))*'Agences &amp; Après-vente'!$E$2:$E$1000)),"yyyy-mm-dd"),""))))))</f>
        <v/>
      </c>
      <c r="I475" s="131" t="str">
        <f aca="false">IF($S475="✓","✓",IF(ISNUMBER($S475),TEXT($S475,"yyyy-mm-dd"),IF($A475="","",IF(SUMPRODUCT(('Agences &amp; Après-vente'!$A$2:$A$1000=$A475)*(('Agences &amp; Après-vente'!$D$2:$D$1000="Après-vente")+('Agences &amp; Après-vente'!$D$2:$D$1000="Agences et Après-vente"))*('Agences &amp; Après-vente'!$I$2:$I$1000="DONE"))&gt;0,"✓",IF(SUMPRODUCT(MAX(('Agences &amp; Après-vente'!$A$2:$A$1000=$A475)*(('Agences &amp; Après-vente'!$D$2:$D$1000="Après-vente")+('Agences &amp; Après-vente'!$D$2:$D$1000="Agences et Après-vente"))*'Agences &amp; Après-vente'!$E$2:$E$1000))&gt;0,TEXT(SUMPRODUCT(MAX(('Agences &amp; Après-vente'!$A$2:$A$1000=$A475)*(('Agences &amp; Après-vente'!$D$2:$D$1000="Après-vente")+('Agences &amp; Après-vente'!$D$2:$D$1000="Agences et Après-vente"))*'Agences &amp; Après-vente'!$E$2:$E$1000)),"yyyy-mm-dd"),"")))))</f>
        <v/>
      </c>
      <c r="J475" s="131" t="str">
        <f aca="false">IF($T475="✓","✓",IF(ISNUMBER($T475),TEXT($T475,"yyyy-mm-dd"),IF($A475="","",IF($D475="Lisbonne","",IF(SUMPRODUCT(('Agences &amp; Après-vente'!$A$2:$A$1000=$A475)*(('Agences &amp; Après-vente'!$D$2:$D$1000="Après-vente")+('Agences &amp; Après-vente'!$D$2:$D$1000="Agences et Après-vente"))*('Agences &amp; Après-vente'!$I$2:$I$1000="DONE"))&gt;0,"✓",IF(SUMPRODUCT(MAX(('Agences &amp; Après-vente'!$A$2:$A$1000=$A475)*(('Agences &amp; Après-vente'!$D$2:$D$1000="Après-vente")+('Agences &amp; Après-vente'!$D$2:$D$1000="Agences et Après-vente"))*'Agences &amp; Après-vente'!$E$2:$E$1000))&gt;0,TEXT(SUMPRODUCT(MAX(('Agences &amp; Après-vente'!$A$2:$A$1000=$A475)*(('Agences &amp; Après-vente'!$D$2:$D$1000="Après-vente")+('Agences &amp; Après-vente'!$D$2:$D$1000="Agences et Après-vente"))*'Agences &amp; Après-vente'!$E$2:$E$1000)),"yyyy-mm-dd"),""))))))</f>
        <v/>
      </c>
      <c r="K475" s="131" t="str">
        <f aca="false">IF($U475="✓","✓",IF(ISNUMBER($U475),TEXT($U475,"yyyy-mm-dd"),IF($D475="Lisbonne","",IF($A475="","",IF(SUMPRODUCT((Evermont!$A$2:$A$1000=$A475)*(Evermont!$Q$2:$Q$1000="Terminé"))&gt;0,"✓",IF(SUMPRODUCT(MAX((Evermont!$A$2:$A$1000=$A475)*Evermont!$F$2:$F$1000))&gt;0,TEXT(SUMPRODUCT(MAX((Evermont!$A$2:$A$1000=$A475)*Evermont!$F$2:$F$1000)),"yyyy-mm-dd"),""))))))</f>
        <v/>
      </c>
      <c r="L475" s="131" t="str">
        <f aca="false">IF($A475="","",COUNTIF(E475:K475,"✓"))</f>
        <v/>
      </c>
      <c r="M475" s="131" t="str">
        <f aca="false">IF(B475="","","Active")</f>
        <v/>
      </c>
      <c r="W475" s="120" t="str">
        <f aca="false">IF($A475="","",IF($X475&lt;&gt;"",$X475,IFERROR(INDEX('Formation Initiale'!$B$2:$B$999,MATCH($A475,'Formation Initiale'!$A$2:$A$999,0)),"Général")))</f>
        <v/>
      </c>
    </row>
    <row r="476" customFormat="false" ht="15" hidden="true" customHeight="true" outlineLevel="0" collapsed="false">
      <c r="A476" s="142" t="str">
        <f aca="false">IF(B476="","","TR"&amp;TEXT(ROW()-1,"000"))</f>
        <v/>
      </c>
      <c r="E476" s="130" t="str">
        <f aca="false">IF($O476="✓","✓",IF(ISNUMBER($O476),TEXT($O476,"yyyy-mm-dd"),IF($A476="","",IF(SUMPRODUCT(('Formation Initiale'!$A$2:$A$999=$A476)*('Formation Initiale'!$R$2:$R$999="Terminé"))&gt;0,"✓",IF(SUMPRODUCT(MAX(('Formation Initiale'!$A$2:$A$999=$A476)*'Formation Initiale'!$G$2:$G$999))&gt;0,TEXT(SUMPRODUCT(MAX(('Formation Initiale'!$A$2:$A$999=$A476)*'Formation Initiale'!$G$2:$G$999)),"yyyy-mm-dd"),"")))))</f>
        <v/>
      </c>
      <c r="F476" s="131" t="str">
        <f aca="false">IF($P476="✓","✓",IF(ISNUMBER($P476),TEXT($P476,"yyyy-mm-dd"),IF($A476="","",IF($D476="Lisbonne","",IF(SUMPRODUCT(('Formation Initiale'!$A$2:$A$999=$A476)*('Formation Initiale'!$R$2:$R$999="Terminé"))&gt;0,"✓",IF(SUMPRODUCT(MAX(('Formation Initiale'!$A$2:$A$999=$A476)*'Formation Initiale'!$G$2:$G$999))&gt;0,TEXT(SUMPRODUCT(MAX(('Formation Initiale'!$A$2:$A$999=$A476)*'Formation Initiale'!$G$2:$G$999)),"yyyy-mm-dd"),""))))))</f>
        <v/>
      </c>
      <c r="G476" s="131" t="str">
        <f aca="false">IF($Q476="✓","✓",IF(ISNUMBER($Q476),TEXT($Q476,"yyyy-mm-dd"),IF($A476="","",IF(SUMPRODUCT(('Agences &amp; Après-vente'!$A$2:$A$1000=$A476)*(('Agences &amp; Après-vente'!$D$2:$D$1000="Agences")+('Agences &amp; Après-vente'!$D$2:$D$1000="Agences et Après-vente"))*('Agences &amp; Après-vente'!$I$2:$I$1000="DONE"))&gt;0,"✓",IF(SUMPRODUCT(MAX(('Agences &amp; Après-vente'!$A$2:$A$1000=$A476)*(('Agences &amp; Après-vente'!$D$2:$D$1000="Agences")+('Agences &amp; Après-vente'!$D$2:$D$1000="Agences et Après-vente"))*'Agences &amp; Après-vente'!$E$2:$E$1000))&gt;0,TEXT(SUMPRODUCT(MAX(('Agences &amp; Après-vente'!$A$2:$A$1000=$A476)*(('Agences &amp; Après-vente'!$D$2:$D$1000="Agences")+('Agences &amp; Après-vente'!$D$2:$D$1000="Agences et Après-vente"))*'Agences &amp; Après-vente'!$E$2:$E$1000)),"yyyy-mm-dd"),"")))))</f>
        <v/>
      </c>
      <c r="H476" s="131" t="str">
        <f aca="false">IF($R476="✓","✓",IF(ISNUMBER($R476),TEXT($R476,"yyyy-mm-dd"),IF($A476="","",IF($D476="Lisbonne","",IF(SUMPRODUCT(('Agences &amp; Après-vente'!$A$2:$A$1000=$A476)*(('Agences &amp; Après-vente'!$D$2:$D$1000="Agences")+('Agences &amp; Après-vente'!$D$2:$D$1000="Agences et Après-vente"))*('Agences &amp; Après-vente'!$I$2:$I$1000="DONE"))&gt;0,"✓",IF(SUMPRODUCT(MAX(('Agences &amp; Après-vente'!$A$2:$A$1000=$A476)*(('Agences &amp; Après-vente'!$D$2:$D$1000="Agences")+('Agences &amp; Après-vente'!$D$2:$D$1000="Agences et Après-vente"))*'Agences &amp; Après-vente'!$E$2:$E$1000))&gt;0,TEXT(SUMPRODUCT(MAX(('Agences &amp; Après-vente'!$A$2:$A$1000=$A476)*(('Agences &amp; Après-vente'!$D$2:$D$1000="Agences")+('Agences &amp; Après-vente'!$D$2:$D$1000="Agences et Après-vente"))*'Agences &amp; Après-vente'!$E$2:$E$1000)),"yyyy-mm-dd"),""))))))</f>
        <v/>
      </c>
      <c r="I476" s="131" t="str">
        <f aca="false">IF($S476="✓","✓",IF(ISNUMBER($S476),TEXT($S476,"yyyy-mm-dd"),IF($A476="","",IF(SUMPRODUCT(('Agences &amp; Après-vente'!$A$2:$A$1000=$A476)*(('Agences &amp; Après-vente'!$D$2:$D$1000="Après-vente")+('Agences &amp; Après-vente'!$D$2:$D$1000="Agences et Après-vente"))*('Agences &amp; Après-vente'!$I$2:$I$1000="DONE"))&gt;0,"✓",IF(SUMPRODUCT(MAX(('Agences &amp; Après-vente'!$A$2:$A$1000=$A476)*(('Agences &amp; Après-vente'!$D$2:$D$1000="Après-vente")+('Agences &amp; Après-vente'!$D$2:$D$1000="Agences et Après-vente"))*'Agences &amp; Après-vente'!$E$2:$E$1000))&gt;0,TEXT(SUMPRODUCT(MAX(('Agences &amp; Après-vente'!$A$2:$A$1000=$A476)*(('Agences &amp; Après-vente'!$D$2:$D$1000="Après-vente")+('Agences &amp; Après-vente'!$D$2:$D$1000="Agences et Après-vente"))*'Agences &amp; Après-vente'!$E$2:$E$1000)),"yyyy-mm-dd"),"")))))</f>
        <v/>
      </c>
      <c r="J476" s="131" t="str">
        <f aca="false">IF($T476="✓","✓",IF(ISNUMBER($T476),TEXT($T476,"yyyy-mm-dd"),IF($A476="","",IF($D476="Lisbonne","",IF(SUMPRODUCT(('Agences &amp; Après-vente'!$A$2:$A$1000=$A476)*(('Agences &amp; Après-vente'!$D$2:$D$1000="Après-vente")+('Agences &amp; Après-vente'!$D$2:$D$1000="Agences et Après-vente"))*('Agences &amp; Après-vente'!$I$2:$I$1000="DONE"))&gt;0,"✓",IF(SUMPRODUCT(MAX(('Agences &amp; Après-vente'!$A$2:$A$1000=$A476)*(('Agences &amp; Après-vente'!$D$2:$D$1000="Après-vente")+('Agences &amp; Après-vente'!$D$2:$D$1000="Agences et Après-vente"))*'Agences &amp; Après-vente'!$E$2:$E$1000))&gt;0,TEXT(SUMPRODUCT(MAX(('Agences &amp; Après-vente'!$A$2:$A$1000=$A476)*(('Agences &amp; Après-vente'!$D$2:$D$1000="Après-vente")+('Agences &amp; Après-vente'!$D$2:$D$1000="Agences et Après-vente"))*'Agences &amp; Après-vente'!$E$2:$E$1000)),"yyyy-mm-dd"),""))))))</f>
        <v/>
      </c>
      <c r="K476" s="131" t="str">
        <f aca="false">IF($U476="✓","✓",IF(ISNUMBER($U476),TEXT($U476,"yyyy-mm-dd"),IF($D476="Lisbonne","",IF($A476="","",IF(SUMPRODUCT((Evermont!$A$2:$A$1000=$A476)*(Evermont!$Q$2:$Q$1000="Terminé"))&gt;0,"✓",IF(SUMPRODUCT(MAX((Evermont!$A$2:$A$1000=$A476)*Evermont!$F$2:$F$1000))&gt;0,TEXT(SUMPRODUCT(MAX((Evermont!$A$2:$A$1000=$A476)*Evermont!$F$2:$F$1000)),"yyyy-mm-dd"),""))))))</f>
        <v/>
      </c>
      <c r="L476" s="131" t="str">
        <f aca="false">IF($A476="","",COUNTIF(E476:K476,"✓"))</f>
        <v/>
      </c>
      <c r="M476" s="131" t="str">
        <f aca="false">IF(B476="","","Active")</f>
        <v/>
      </c>
      <c r="W476" s="120" t="str">
        <f aca="false">IF($A476="","",IF($X476&lt;&gt;"",$X476,IFERROR(INDEX('Formation Initiale'!$B$2:$B$999,MATCH($A476,'Formation Initiale'!$A$2:$A$999,0)),"Général")))</f>
        <v/>
      </c>
    </row>
    <row r="477" customFormat="false" ht="15" hidden="true" customHeight="true" outlineLevel="0" collapsed="false">
      <c r="A477" s="142" t="str">
        <f aca="false">IF(B477="","","TR"&amp;TEXT(ROW()-1,"000"))</f>
        <v/>
      </c>
      <c r="E477" s="130" t="str">
        <f aca="false">IF($O477="✓","✓",IF(ISNUMBER($O477),TEXT($O477,"yyyy-mm-dd"),IF($A477="","",IF(SUMPRODUCT(('Formation Initiale'!$A$2:$A$999=$A477)*('Formation Initiale'!$R$2:$R$999="Terminé"))&gt;0,"✓",IF(SUMPRODUCT(MAX(('Formation Initiale'!$A$2:$A$999=$A477)*'Formation Initiale'!$G$2:$G$999))&gt;0,TEXT(SUMPRODUCT(MAX(('Formation Initiale'!$A$2:$A$999=$A477)*'Formation Initiale'!$G$2:$G$999)),"yyyy-mm-dd"),"")))))</f>
        <v/>
      </c>
      <c r="F477" s="131" t="str">
        <f aca="false">IF($P477="✓","✓",IF(ISNUMBER($P477),TEXT($P477,"yyyy-mm-dd"),IF($A477="","",IF($D477="Lisbonne","",IF(SUMPRODUCT(('Formation Initiale'!$A$2:$A$999=$A477)*('Formation Initiale'!$R$2:$R$999="Terminé"))&gt;0,"✓",IF(SUMPRODUCT(MAX(('Formation Initiale'!$A$2:$A$999=$A477)*'Formation Initiale'!$G$2:$G$999))&gt;0,TEXT(SUMPRODUCT(MAX(('Formation Initiale'!$A$2:$A$999=$A477)*'Formation Initiale'!$G$2:$G$999)),"yyyy-mm-dd"),""))))))</f>
        <v/>
      </c>
      <c r="G477" s="131" t="str">
        <f aca="false">IF($Q477="✓","✓",IF(ISNUMBER($Q477),TEXT($Q477,"yyyy-mm-dd"),IF($A477="","",IF(SUMPRODUCT(('Agences &amp; Après-vente'!$A$2:$A$1000=$A477)*(('Agences &amp; Après-vente'!$D$2:$D$1000="Agences")+('Agences &amp; Après-vente'!$D$2:$D$1000="Agences et Après-vente"))*('Agences &amp; Après-vente'!$I$2:$I$1000="DONE"))&gt;0,"✓",IF(SUMPRODUCT(MAX(('Agences &amp; Après-vente'!$A$2:$A$1000=$A477)*(('Agences &amp; Après-vente'!$D$2:$D$1000="Agences")+('Agences &amp; Après-vente'!$D$2:$D$1000="Agences et Après-vente"))*'Agences &amp; Après-vente'!$E$2:$E$1000))&gt;0,TEXT(SUMPRODUCT(MAX(('Agences &amp; Après-vente'!$A$2:$A$1000=$A477)*(('Agences &amp; Après-vente'!$D$2:$D$1000="Agences")+('Agences &amp; Après-vente'!$D$2:$D$1000="Agences et Après-vente"))*'Agences &amp; Après-vente'!$E$2:$E$1000)),"yyyy-mm-dd"),"")))))</f>
        <v/>
      </c>
      <c r="H477" s="131" t="str">
        <f aca="false">IF($R477="✓","✓",IF(ISNUMBER($R477),TEXT($R477,"yyyy-mm-dd"),IF($A477="","",IF($D477="Lisbonne","",IF(SUMPRODUCT(('Agences &amp; Après-vente'!$A$2:$A$1000=$A477)*(('Agences &amp; Après-vente'!$D$2:$D$1000="Agences")+('Agences &amp; Après-vente'!$D$2:$D$1000="Agences et Après-vente"))*('Agences &amp; Après-vente'!$I$2:$I$1000="DONE"))&gt;0,"✓",IF(SUMPRODUCT(MAX(('Agences &amp; Après-vente'!$A$2:$A$1000=$A477)*(('Agences &amp; Après-vente'!$D$2:$D$1000="Agences")+('Agences &amp; Après-vente'!$D$2:$D$1000="Agences et Après-vente"))*'Agences &amp; Après-vente'!$E$2:$E$1000))&gt;0,TEXT(SUMPRODUCT(MAX(('Agences &amp; Après-vente'!$A$2:$A$1000=$A477)*(('Agences &amp; Après-vente'!$D$2:$D$1000="Agences")+('Agences &amp; Après-vente'!$D$2:$D$1000="Agences et Après-vente"))*'Agences &amp; Après-vente'!$E$2:$E$1000)),"yyyy-mm-dd"),""))))))</f>
        <v/>
      </c>
      <c r="I477" s="131" t="str">
        <f aca="false">IF($S477="✓","✓",IF(ISNUMBER($S477),TEXT($S477,"yyyy-mm-dd"),IF($A477="","",IF(SUMPRODUCT(('Agences &amp; Après-vente'!$A$2:$A$1000=$A477)*(('Agences &amp; Après-vente'!$D$2:$D$1000="Après-vente")+('Agences &amp; Après-vente'!$D$2:$D$1000="Agences et Après-vente"))*('Agences &amp; Après-vente'!$I$2:$I$1000="DONE"))&gt;0,"✓",IF(SUMPRODUCT(MAX(('Agences &amp; Après-vente'!$A$2:$A$1000=$A477)*(('Agences &amp; Après-vente'!$D$2:$D$1000="Après-vente")+('Agences &amp; Après-vente'!$D$2:$D$1000="Agences et Après-vente"))*'Agences &amp; Après-vente'!$E$2:$E$1000))&gt;0,TEXT(SUMPRODUCT(MAX(('Agences &amp; Après-vente'!$A$2:$A$1000=$A477)*(('Agences &amp; Après-vente'!$D$2:$D$1000="Après-vente")+('Agences &amp; Après-vente'!$D$2:$D$1000="Agences et Après-vente"))*'Agences &amp; Après-vente'!$E$2:$E$1000)),"yyyy-mm-dd"),"")))))</f>
        <v/>
      </c>
      <c r="J477" s="131" t="str">
        <f aca="false">IF($T477="✓","✓",IF(ISNUMBER($T477),TEXT($T477,"yyyy-mm-dd"),IF($A477="","",IF($D477="Lisbonne","",IF(SUMPRODUCT(('Agences &amp; Après-vente'!$A$2:$A$1000=$A477)*(('Agences &amp; Après-vente'!$D$2:$D$1000="Après-vente")+('Agences &amp; Après-vente'!$D$2:$D$1000="Agences et Après-vente"))*('Agences &amp; Après-vente'!$I$2:$I$1000="DONE"))&gt;0,"✓",IF(SUMPRODUCT(MAX(('Agences &amp; Après-vente'!$A$2:$A$1000=$A477)*(('Agences &amp; Après-vente'!$D$2:$D$1000="Après-vente")+('Agences &amp; Après-vente'!$D$2:$D$1000="Agences et Après-vente"))*'Agences &amp; Après-vente'!$E$2:$E$1000))&gt;0,TEXT(SUMPRODUCT(MAX(('Agences &amp; Après-vente'!$A$2:$A$1000=$A477)*(('Agences &amp; Après-vente'!$D$2:$D$1000="Après-vente")+('Agences &amp; Après-vente'!$D$2:$D$1000="Agences et Après-vente"))*'Agences &amp; Après-vente'!$E$2:$E$1000)),"yyyy-mm-dd"),""))))))</f>
        <v/>
      </c>
      <c r="K477" s="131" t="str">
        <f aca="false">IF($U477="✓","✓",IF(ISNUMBER($U477),TEXT($U477,"yyyy-mm-dd"),IF($D477="Lisbonne","",IF($A477="","",IF(SUMPRODUCT((Evermont!$A$2:$A$1000=$A477)*(Evermont!$Q$2:$Q$1000="Terminé"))&gt;0,"✓",IF(SUMPRODUCT(MAX((Evermont!$A$2:$A$1000=$A477)*Evermont!$F$2:$F$1000))&gt;0,TEXT(SUMPRODUCT(MAX((Evermont!$A$2:$A$1000=$A477)*Evermont!$F$2:$F$1000)),"yyyy-mm-dd"),""))))))</f>
        <v/>
      </c>
      <c r="L477" s="131" t="str">
        <f aca="false">IF($A477="","",COUNTIF(E477:K477,"✓"))</f>
        <v/>
      </c>
      <c r="M477" s="131" t="str">
        <f aca="false">IF(B477="","","Active")</f>
        <v/>
      </c>
      <c r="W477" s="120" t="str">
        <f aca="false">IF($A477="","",IF($X477&lt;&gt;"",$X477,IFERROR(INDEX('Formation Initiale'!$B$2:$B$999,MATCH($A477,'Formation Initiale'!$A$2:$A$999,0)),"Général")))</f>
        <v/>
      </c>
    </row>
    <row r="478" customFormat="false" ht="15" hidden="true" customHeight="true" outlineLevel="0" collapsed="false">
      <c r="A478" s="142" t="str">
        <f aca="false">IF(B478="","","TR"&amp;TEXT(ROW()-1,"000"))</f>
        <v/>
      </c>
      <c r="E478" s="130" t="str">
        <f aca="false">IF($O478="✓","✓",IF(ISNUMBER($O478),TEXT($O478,"yyyy-mm-dd"),IF($A478="","",IF(SUMPRODUCT(('Formation Initiale'!$A$2:$A$999=$A478)*('Formation Initiale'!$R$2:$R$999="Terminé"))&gt;0,"✓",IF(SUMPRODUCT(MAX(('Formation Initiale'!$A$2:$A$999=$A478)*'Formation Initiale'!$G$2:$G$999))&gt;0,TEXT(SUMPRODUCT(MAX(('Formation Initiale'!$A$2:$A$999=$A478)*'Formation Initiale'!$G$2:$G$999)),"yyyy-mm-dd"),"")))))</f>
        <v/>
      </c>
      <c r="F478" s="131" t="str">
        <f aca="false">IF($P478="✓","✓",IF(ISNUMBER($P478),TEXT($P478,"yyyy-mm-dd"),IF($A478="","",IF($D478="Lisbonne","",IF(SUMPRODUCT(('Formation Initiale'!$A$2:$A$999=$A478)*('Formation Initiale'!$R$2:$R$999="Terminé"))&gt;0,"✓",IF(SUMPRODUCT(MAX(('Formation Initiale'!$A$2:$A$999=$A478)*'Formation Initiale'!$G$2:$G$999))&gt;0,TEXT(SUMPRODUCT(MAX(('Formation Initiale'!$A$2:$A$999=$A478)*'Formation Initiale'!$G$2:$G$999)),"yyyy-mm-dd"),""))))))</f>
        <v/>
      </c>
      <c r="G478" s="131" t="str">
        <f aca="false">IF($Q478="✓","✓",IF(ISNUMBER($Q478),TEXT($Q478,"yyyy-mm-dd"),IF($A478="","",IF(SUMPRODUCT(('Agences &amp; Après-vente'!$A$2:$A$1000=$A478)*(('Agences &amp; Après-vente'!$D$2:$D$1000="Agences")+('Agences &amp; Après-vente'!$D$2:$D$1000="Agences et Après-vente"))*('Agences &amp; Après-vente'!$I$2:$I$1000="DONE"))&gt;0,"✓",IF(SUMPRODUCT(MAX(('Agences &amp; Après-vente'!$A$2:$A$1000=$A478)*(('Agences &amp; Après-vente'!$D$2:$D$1000="Agences")+('Agences &amp; Après-vente'!$D$2:$D$1000="Agences et Après-vente"))*'Agences &amp; Après-vente'!$E$2:$E$1000))&gt;0,TEXT(SUMPRODUCT(MAX(('Agences &amp; Après-vente'!$A$2:$A$1000=$A478)*(('Agences &amp; Après-vente'!$D$2:$D$1000="Agences")+('Agences &amp; Après-vente'!$D$2:$D$1000="Agences et Après-vente"))*'Agences &amp; Après-vente'!$E$2:$E$1000)),"yyyy-mm-dd"),"")))))</f>
        <v/>
      </c>
      <c r="H478" s="131" t="str">
        <f aca="false">IF($R478="✓","✓",IF(ISNUMBER($R478),TEXT($R478,"yyyy-mm-dd"),IF($A478="","",IF($D478="Lisbonne","",IF(SUMPRODUCT(('Agences &amp; Après-vente'!$A$2:$A$1000=$A478)*(('Agences &amp; Après-vente'!$D$2:$D$1000="Agences")+('Agences &amp; Après-vente'!$D$2:$D$1000="Agences et Après-vente"))*('Agences &amp; Après-vente'!$I$2:$I$1000="DONE"))&gt;0,"✓",IF(SUMPRODUCT(MAX(('Agences &amp; Après-vente'!$A$2:$A$1000=$A478)*(('Agences &amp; Après-vente'!$D$2:$D$1000="Agences")+('Agences &amp; Après-vente'!$D$2:$D$1000="Agences et Après-vente"))*'Agences &amp; Après-vente'!$E$2:$E$1000))&gt;0,TEXT(SUMPRODUCT(MAX(('Agences &amp; Après-vente'!$A$2:$A$1000=$A478)*(('Agences &amp; Après-vente'!$D$2:$D$1000="Agences")+('Agences &amp; Après-vente'!$D$2:$D$1000="Agences et Après-vente"))*'Agences &amp; Après-vente'!$E$2:$E$1000)),"yyyy-mm-dd"),""))))))</f>
        <v/>
      </c>
      <c r="I478" s="131" t="str">
        <f aca="false">IF($S478="✓","✓",IF(ISNUMBER($S478),TEXT($S478,"yyyy-mm-dd"),IF($A478="","",IF(SUMPRODUCT(('Agences &amp; Après-vente'!$A$2:$A$1000=$A478)*(('Agences &amp; Après-vente'!$D$2:$D$1000="Après-vente")+('Agences &amp; Après-vente'!$D$2:$D$1000="Agences et Après-vente"))*('Agences &amp; Après-vente'!$I$2:$I$1000="DONE"))&gt;0,"✓",IF(SUMPRODUCT(MAX(('Agences &amp; Après-vente'!$A$2:$A$1000=$A478)*(('Agences &amp; Après-vente'!$D$2:$D$1000="Après-vente")+('Agences &amp; Après-vente'!$D$2:$D$1000="Agences et Après-vente"))*'Agences &amp; Après-vente'!$E$2:$E$1000))&gt;0,TEXT(SUMPRODUCT(MAX(('Agences &amp; Après-vente'!$A$2:$A$1000=$A478)*(('Agences &amp; Après-vente'!$D$2:$D$1000="Après-vente")+('Agences &amp; Après-vente'!$D$2:$D$1000="Agences et Après-vente"))*'Agences &amp; Après-vente'!$E$2:$E$1000)),"yyyy-mm-dd"),"")))))</f>
        <v/>
      </c>
      <c r="J478" s="131" t="str">
        <f aca="false">IF($T478="✓","✓",IF(ISNUMBER($T478),TEXT($T478,"yyyy-mm-dd"),IF($A478="","",IF($D478="Lisbonne","",IF(SUMPRODUCT(('Agences &amp; Après-vente'!$A$2:$A$1000=$A478)*(('Agences &amp; Après-vente'!$D$2:$D$1000="Après-vente")+('Agences &amp; Après-vente'!$D$2:$D$1000="Agences et Après-vente"))*('Agences &amp; Après-vente'!$I$2:$I$1000="DONE"))&gt;0,"✓",IF(SUMPRODUCT(MAX(('Agences &amp; Après-vente'!$A$2:$A$1000=$A478)*(('Agences &amp; Après-vente'!$D$2:$D$1000="Après-vente")+('Agences &amp; Après-vente'!$D$2:$D$1000="Agences et Après-vente"))*'Agences &amp; Après-vente'!$E$2:$E$1000))&gt;0,TEXT(SUMPRODUCT(MAX(('Agences &amp; Après-vente'!$A$2:$A$1000=$A478)*(('Agences &amp; Après-vente'!$D$2:$D$1000="Après-vente")+('Agences &amp; Après-vente'!$D$2:$D$1000="Agences et Après-vente"))*'Agences &amp; Après-vente'!$E$2:$E$1000)),"yyyy-mm-dd"),""))))))</f>
        <v/>
      </c>
      <c r="K478" s="131" t="str">
        <f aca="false">IF($U478="✓","✓",IF(ISNUMBER($U478),TEXT($U478,"yyyy-mm-dd"),IF($D478="Lisbonne","",IF($A478="","",IF(SUMPRODUCT((Evermont!$A$2:$A$1000=$A478)*(Evermont!$Q$2:$Q$1000="Terminé"))&gt;0,"✓",IF(SUMPRODUCT(MAX((Evermont!$A$2:$A$1000=$A478)*Evermont!$F$2:$F$1000))&gt;0,TEXT(SUMPRODUCT(MAX((Evermont!$A$2:$A$1000=$A478)*Evermont!$F$2:$F$1000)),"yyyy-mm-dd"),""))))))</f>
        <v/>
      </c>
      <c r="L478" s="131" t="str">
        <f aca="false">IF($A478="","",COUNTIF(E478:K478,"✓"))</f>
        <v/>
      </c>
      <c r="M478" s="131" t="str">
        <f aca="false">IF(B478="","","Active")</f>
        <v/>
      </c>
      <c r="W478" s="120" t="str">
        <f aca="false">IF($A478="","",IF($X478&lt;&gt;"",$X478,IFERROR(INDEX('Formation Initiale'!$B$2:$B$999,MATCH($A478,'Formation Initiale'!$A$2:$A$999,0)),"Général")))</f>
        <v/>
      </c>
    </row>
    <row r="479" customFormat="false" ht="15" hidden="true" customHeight="true" outlineLevel="0" collapsed="false">
      <c r="A479" s="142" t="str">
        <f aca="false">IF(B479="","","TR"&amp;TEXT(ROW()-1,"000"))</f>
        <v/>
      </c>
      <c r="E479" s="130" t="str">
        <f aca="false">IF($O479="✓","✓",IF(ISNUMBER($O479),TEXT($O479,"yyyy-mm-dd"),IF($A479="","",IF(SUMPRODUCT(('Formation Initiale'!$A$2:$A$999=$A479)*('Formation Initiale'!$R$2:$R$999="Terminé"))&gt;0,"✓",IF(SUMPRODUCT(MAX(('Formation Initiale'!$A$2:$A$999=$A479)*'Formation Initiale'!$G$2:$G$999))&gt;0,TEXT(SUMPRODUCT(MAX(('Formation Initiale'!$A$2:$A$999=$A479)*'Formation Initiale'!$G$2:$G$999)),"yyyy-mm-dd"),"")))))</f>
        <v/>
      </c>
      <c r="F479" s="131" t="str">
        <f aca="false">IF($P479="✓","✓",IF(ISNUMBER($P479),TEXT($P479,"yyyy-mm-dd"),IF($A479="","",IF($D479="Lisbonne","",IF(SUMPRODUCT(('Formation Initiale'!$A$2:$A$999=$A479)*('Formation Initiale'!$R$2:$R$999="Terminé"))&gt;0,"✓",IF(SUMPRODUCT(MAX(('Formation Initiale'!$A$2:$A$999=$A479)*'Formation Initiale'!$G$2:$G$999))&gt;0,TEXT(SUMPRODUCT(MAX(('Formation Initiale'!$A$2:$A$999=$A479)*'Formation Initiale'!$G$2:$G$999)),"yyyy-mm-dd"),""))))))</f>
        <v/>
      </c>
      <c r="G479" s="131" t="str">
        <f aca="false">IF($Q479="✓","✓",IF(ISNUMBER($Q479),TEXT($Q479,"yyyy-mm-dd"),IF($A479="","",IF(SUMPRODUCT(('Agences &amp; Après-vente'!$A$2:$A$1000=$A479)*(('Agences &amp; Après-vente'!$D$2:$D$1000="Agences")+('Agences &amp; Après-vente'!$D$2:$D$1000="Agences et Après-vente"))*('Agences &amp; Après-vente'!$I$2:$I$1000="DONE"))&gt;0,"✓",IF(SUMPRODUCT(MAX(('Agences &amp; Après-vente'!$A$2:$A$1000=$A479)*(('Agences &amp; Après-vente'!$D$2:$D$1000="Agences")+('Agences &amp; Après-vente'!$D$2:$D$1000="Agences et Après-vente"))*'Agences &amp; Après-vente'!$E$2:$E$1000))&gt;0,TEXT(SUMPRODUCT(MAX(('Agences &amp; Après-vente'!$A$2:$A$1000=$A479)*(('Agences &amp; Après-vente'!$D$2:$D$1000="Agences")+('Agences &amp; Après-vente'!$D$2:$D$1000="Agences et Après-vente"))*'Agences &amp; Après-vente'!$E$2:$E$1000)),"yyyy-mm-dd"),"")))))</f>
        <v/>
      </c>
      <c r="H479" s="131" t="str">
        <f aca="false">IF($R479="✓","✓",IF(ISNUMBER($R479),TEXT($R479,"yyyy-mm-dd"),IF($A479="","",IF($D479="Lisbonne","",IF(SUMPRODUCT(('Agences &amp; Après-vente'!$A$2:$A$1000=$A479)*(('Agences &amp; Après-vente'!$D$2:$D$1000="Agences")+('Agences &amp; Après-vente'!$D$2:$D$1000="Agences et Après-vente"))*('Agences &amp; Après-vente'!$I$2:$I$1000="DONE"))&gt;0,"✓",IF(SUMPRODUCT(MAX(('Agences &amp; Après-vente'!$A$2:$A$1000=$A479)*(('Agences &amp; Après-vente'!$D$2:$D$1000="Agences")+('Agences &amp; Après-vente'!$D$2:$D$1000="Agences et Après-vente"))*'Agences &amp; Après-vente'!$E$2:$E$1000))&gt;0,TEXT(SUMPRODUCT(MAX(('Agences &amp; Après-vente'!$A$2:$A$1000=$A479)*(('Agences &amp; Après-vente'!$D$2:$D$1000="Agences")+('Agences &amp; Après-vente'!$D$2:$D$1000="Agences et Après-vente"))*'Agences &amp; Après-vente'!$E$2:$E$1000)),"yyyy-mm-dd"),""))))))</f>
        <v/>
      </c>
      <c r="I479" s="131" t="str">
        <f aca="false">IF($S479="✓","✓",IF(ISNUMBER($S479),TEXT($S479,"yyyy-mm-dd"),IF($A479="","",IF(SUMPRODUCT(('Agences &amp; Après-vente'!$A$2:$A$1000=$A479)*(('Agences &amp; Après-vente'!$D$2:$D$1000="Après-vente")+('Agences &amp; Après-vente'!$D$2:$D$1000="Agences et Après-vente"))*('Agences &amp; Après-vente'!$I$2:$I$1000="DONE"))&gt;0,"✓",IF(SUMPRODUCT(MAX(('Agences &amp; Après-vente'!$A$2:$A$1000=$A479)*(('Agences &amp; Après-vente'!$D$2:$D$1000="Après-vente")+('Agences &amp; Après-vente'!$D$2:$D$1000="Agences et Après-vente"))*'Agences &amp; Après-vente'!$E$2:$E$1000))&gt;0,TEXT(SUMPRODUCT(MAX(('Agences &amp; Après-vente'!$A$2:$A$1000=$A479)*(('Agences &amp; Après-vente'!$D$2:$D$1000="Après-vente")+('Agences &amp; Après-vente'!$D$2:$D$1000="Agences et Après-vente"))*'Agences &amp; Après-vente'!$E$2:$E$1000)),"yyyy-mm-dd"),"")))))</f>
        <v/>
      </c>
      <c r="J479" s="131" t="str">
        <f aca="false">IF($T479="✓","✓",IF(ISNUMBER($T479),TEXT($T479,"yyyy-mm-dd"),IF($A479="","",IF($D479="Lisbonne","",IF(SUMPRODUCT(('Agences &amp; Après-vente'!$A$2:$A$1000=$A479)*(('Agences &amp; Après-vente'!$D$2:$D$1000="Après-vente")+('Agences &amp; Après-vente'!$D$2:$D$1000="Agences et Après-vente"))*('Agences &amp; Après-vente'!$I$2:$I$1000="DONE"))&gt;0,"✓",IF(SUMPRODUCT(MAX(('Agences &amp; Après-vente'!$A$2:$A$1000=$A479)*(('Agences &amp; Après-vente'!$D$2:$D$1000="Après-vente")+('Agences &amp; Après-vente'!$D$2:$D$1000="Agences et Après-vente"))*'Agences &amp; Après-vente'!$E$2:$E$1000))&gt;0,TEXT(SUMPRODUCT(MAX(('Agences &amp; Après-vente'!$A$2:$A$1000=$A479)*(('Agences &amp; Après-vente'!$D$2:$D$1000="Après-vente")+('Agences &amp; Après-vente'!$D$2:$D$1000="Agences et Après-vente"))*'Agences &amp; Après-vente'!$E$2:$E$1000)),"yyyy-mm-dd"),""))))))</f>
        <v/>
      </c>
      <c r="K479" s="131" t="str">
        <f aca="false">IF($U479="✓","✓",IF(ISNUMBER($U479),TEXT($U479,"yyyy-mm-dd"),IF($D479="Lisbonne","",IF($A479="","",IF(SUMPRODUCT((Evermont!$A$2:$A$1000=$A479)*(Evermont!$Q$2:$Q$1000="Terminé"))&gt;0,"✓",IF(SUMPRODUCT(MAX((Evermont!$A$2:$A$1000=$A479)*Evermont!$F$2:$F$1000))&gt;0,TEXT(SUMPRODUCT(MAX((Evermont!$A$2:$A$1000=$A479)*Evermont!$F$2:$F$1000)),"yyyy-mm-dd"),""))))))</f>
        <v/>
      </c>
      <c r="L479" s="131" t="str">
        <f aca="false">IF($A479="","",COUNTIF(E479:K479,"✓"))</f>
        <v/>
      </c>
      <c r="M479" s="131" t="str">
        <f aca="false">IF(B479="","","Active")</f>
        <v/>
      </c>
      <c r="W479" s="120" t="str">
        <f aca="false">IF($A479="","",IF($X479&lt;&gt;"",$X479,IFERROR(INDEX('Formation Initiale'!$B$2:$B$999,MATCH($A479,'Formation Initiale'!$A$2:$A$999,0)),"Général")))</f>
        <v/>
      </c>
    </row>
    <row r="480" customFormat="false" ht="15" hidden="true" customHeight="true" outlineLevel="0" collapsed="false">
      <c r="A480" s="142" t="str">
        <f aca="false">IF(B480="","","TR"&amp;TEXT(ROW()-1,"000"))</f>
        <v/>
      </c>
      <c r="E480" s="130" t="str">
        <f aca="false">IF($O480="✓","✓",IF(ISNUMBER($O480),TEXT($O480,"yyyy-mm-dd"),IF($A480="","",IF(SUMPRODUCT(('Formation Initiale'!$A$2:$A$999=$A480)*('Formation Initiale'!$R$2:$R$999="Terminé"))&gt;0,"✓",IF(SUMPRODUCT(MAX(('Formation Initiale'!$A$2:$A$999=$A480)*'Formation Initiale'!$G$2:$G$999))&gt;0,TEXT(SUMPRODUCT(MAX(('Formation Initiale'!$A$2:$A$999=$A480)*'Formation Initiale'!$G$2:$G$999)),"yyyy-mm-dd"),"")))))</f>
        <v/>
      </c>
      <c r="F480" s="131" t="str">
        <f aca="false">IF($P480="✓","✓",IF(ISNUMBER($P480),TEXT($P480,"yyyy-mm-dd"),IF($A480="","",IF($D480="Lisbonne","",IF(SUMPRODUCT(('Formation Initiale'!$A$2:$A$999=$A480)*('Formation Initiale'!$R$2:$R$999="Terminé"))&gt;0,"✓",IF(SUMPRODUCT(MAX(('Formation Initiale'!$A$2:$A$999=$A480)*'Formation Initiale'!$G$2:$G$999))&gt;0,TEXT(SUMPRODUCT(MAX(('Formation Initiale'!$A$2:$A$999=$A480)*'Formation Initiale'!$G$2:$G$999)),"yyyy-mm-dd"),""))))))</f>
        <v/>
      </c>
      <c r="G480" s="131" t="str">
        <f aca="false">IF($Q480="✓","✓",IF(ISNUMBER($Q480),TEXT($Q480,"yyyy-mm-dd"),IF($A480="","",IF(SUMPRODUCT(('Agences &amp; Après-vente'!$A$2:$A$1000=$A480)*(('Agences &amp; Après-vente'!$D$2:$D$1000="Agences")+('Agences &amp; Après-vente'!$D$2:$D$1000="Agences et Après-vente"))*('Agences &amp; Après-vente'!$I$2:$I$1000="DONE"))&gt;0,"✓",IF(SUMPRODUCT(MAX(('Agences &amp; Après-vente'!$A$2:$A$1000=$A480)*(('Agences &amp; Après-vente'!$D$2:$D$1000="Agences")+('Agences &amp; Après-vente'!$D$2:$D$1000="Agences et Après-vente"))*'Agences &amp; Après-vente'!$E$2:$E$1000))&gt;0,TEXT(SUMPRODUCT(MAX(('Agences &amp; Après-vente'!$A$2:$A$1000=$A480)*(('Agences &amp; Après-vente'!$D$2:$D$1000="Agences")+('Agences &amp; Après-vente'!$D$2:$D$1000="Agences et Après-vente"))*'Agences &amp; Après-vente'!$E$2:$E$1000)),"yyyy-mm-dd"),"")))))</f>
        <v/>
      </c>
      <c r="H480" s="131" t="str">
        <f aca="false">IF($R480="✓","✓",IF(ISNUMBER($R480),TEXT($R480,"yyyy-mm-dd"),IF($A480="","",IF($D480="Lisbonne","",IF(SUMPRODUCT(('Agences &amp; Après-vente'!$A$2:$A$1000=$A480)*(('Agences &amp; Après-vente'!$D$2:$D$1000="Agences")+('Agences &amp; Après-vente'!$D$2:$D$1000="Agences et Après-vente"))*('Agences &amp; Après-vente'!$I$2:$I$1000="DONE"))&gt;0,"✓",IF(SUMPRODUCT(MAX(('Agences &amp; Après-vente'!$A$2:$A$1000=$A480)*(('Agences &amp; Après-vente'!$D$2:$D$1000="Agences")+('Agences &amp; Après-vente'!$D$2:$D$1000="Agences et Après-vente"))*'Agences &amp; Après-vente'!$E$2:$E$1000))&gt;0,TEXT(SUMPRODUCT(MAX(('Agences &amp; Après-vente'!$A$2:$A$1000=$A480)*(('Agences &amp; Après-vente'!$D$2:$D$1000="Agences")+('Agences &amp; Après-vente'!$D$2:$D$1000="Agences et Après-vente"))*'Agences &amp; Après-vente'!$E$2:$E$1000)),"yyyy-mm-dd"),""))))))</f>
        <v/>
      </c>
      <c r="I480" s="131" t="str">
        <f aca="false">IF($S480="✓","✓",IF(ISNUMBER($S480),TEXT($S480,"yyyy-mm-dd"),IF($A480="","",IF(SUMPRODUCT(('Agences &amp; Après-vente'!$A$2:$A$1000=$A480)*(('Agences &amp; Après-vente'!$D$2:$D$1000="Après-vente")+('Agences &amp; Après-vente'!$D$2:$D$1000="Agences et Après-vente"))*('Agences &amp; Après-vente'!$I$2:$I$1000="DONE"))&gt;0,"✓",IF(SUMPRODUCT(MAX(('Agences &amp; Après-vente'!$A$2:$A$1000=$A480)*(('Agences &amp; Après-vente'!$D$2:$D$1000="Après-vente")+('Agences &amp; Après-vente'!$D$2:$D$1000="Agences et Après-vente"))*'Agences &amp; Après-vente'!$E$2:$E$1000))&gt;0,TEXT(SUMPRODUCT(MAX(('Agences &amp; Après-vente'!$A$2:$A$1000=$A480)*(('Agences &amp; Après-vente'!$D$2:$D$1000="Après-vente")+('Agences &amp; Après-vente'!$D$2:$D$1000="Agences et Après-vente"))*'Agences &amp; Après-vente'!$E$2:$E$1000)),"yyyy-mm-dd"),"")))))</f>
        <v/>
      </c>
      <c r="J480" s="131" t="str">
        <f aca="false">IF($T480="✓","✓",IF(ISNUMBER($T480),TEXT($T480,"yyyy-mm-dd"),IF($A480="","",IF($D480="Lisbonne","",IF(SUMPRODUCT(('Agences &amp; Après-vente'!$A$2:$A$1000=$A480)*(('Agences &amp; Après-vente'!$D$2:$D$1000="Après-vente")+('Agences &amp; Après-vente'!$D$2:$D$1000="Agences et Après-vente"))*('Agences &amp; Après-vente'!$I$2:$I$1000="DONE"))&gt;0,"✓",IF(SUMPRODUCT(MAX(('Agences &amp; Après-vente'!$A$2:$A$1000=$A480)*(('Agences &amp; Après-vente'!$D$2:$D$1000="Après-vente")+('Agences &amp; Après-vente'!$D$2:$D$1000="Agences et Après-vente"))*'Agences &amp; Après-vente'!$E$2:$E$1000))&gt;0,TEXT(SUMPRODUCT(MAX(('Agences &amp; Après-vente'!$A$2:$A$1000=$A480)*(('Agences &amp; Après-vente'!$D$2:$D$1000="Après-vente")+('Agences &amp; Après-vente'!$D$2:$D$1000="Agences et Après-vente"))*'Agences &amp; Après-vente'!$E$2:$E$1000)),"yyyy-mm-dd"),""))))))</f>
        <v/>
      </c>
      <c r="K480" s="131" t="str">
        <f aca="false">IF($U480="✓","✓",IF(ISNUMBER($U480),TEXT($U480,"yyyy-mm-dd"),IF($D480="Lisbonne","",IF($A480="","",IF(SUMPRODUCT((Evermont!$A$2:$A$1000=$A480)*(Evermont!$Q$2:$Q$1000="Terminé"))&gt;0,"✓",IF(SUMPRODUCT(MAX((Evermont!$A$2:$A$1000=$A480)*Evermont!$F$2:$F$1000))&gt;0,TEXT(SUMPRODUCT(MAX((Evermont!$A$2:$A$1000=$A480)*Evermont!$F$2:$F$1000)),"yyyy-mm-dd"),""))))))</f>
        <v/>
      </c>
      <c r="L480" s="131" t="str">
        <f aca="false">IF($A480="","",COUNTIF(E480:K480,"✓"))</f>
        <v/>
      </c>
      <c r="M480" s="131" t="str">
        <f aca="false">IF(B480="","","Active")</f>
        <v/>
      </c>
      <c r="W480" s="120" t="str">
        <f aca="false">IF($A480="","",IF($X480&lt;&gt;"",$X480,IFERROR(INDEX('Formation Initiale'!$B$2:$B$999,MATCH($A480,'Formation Initiale'!$A$2:$A$999,0)),"Général")))</f>
        <v/>
      </c>
    </row>
    <row r="481" customFormat="false" ht="15" hidden="true" customHeight="true" outlineLevel="0" collapsed="false">
      <c r="A481" s="142" t="str">
        <f aca="false">IF(B481="","","TR"&amp;TEXT(ROW()-1,"000"))</f>
        <v/>
      </c>
      <c r="E481" s="130" t="str">
        <f aca="false">IF($O481="✓","✓",IF(ISNUMBER($O481),TEXT($O481,"yyyy-mm-dd"),IF($A481="","",IF(SUMPRODUCT(('Formation Initiale'!$A$2:$A$999=$A481)*('Formation Initiale'!$R$2:$R$999="Terminé"))&gt;0,"✓",IF(SUMPRODUCT(MAX(('Formation Initiale'!$A$2:$A$999=$A481)*'Formation Initiale'!$G$2:$G$999))&gt;0,TEXT(SUMPRODUCT(MAX(('Formation Initiale'!$A$2:$A$999=$A481)*'Formation Initiale'!$G$2:$G$999)),"yyyy-mm-dd"),"")))))</f>
        <v/>
      </c>
      <c r="F481" s="131" t="str">
        <f aca="false">IF($P481="✓","✓",IF(ISNUMBER($P481),TEXT($P481,"yyyy-mm-dd"),IF($A481="","",IF($D481="Lisbonne","",IF(SUMPRODUCT(('Formation Initiale'!$A$2:$A$999=$A481)*('Formation Initiale'!$R$2:$R$999="Terminé"))&gt;0,"✓",IF(SUMPRODUCT(MAX(('Formation Initiale'!$A$2:$A$999=$A481)*'Formation Initiale'!$G$2:$G$999))&gt;0,TEXT(SUMPRODUCT(MAX(('Formation Initiale'!$A$2:$A$999=$A481)*'Formation Initiale'!$G$2:$G$999)),"yyyy-mm-dd"),""))))))</f>
        <v/>
      </c>
      <c r="G481" s="131" t="str">
        <f aca="false">IF($Q481="✓","✓",IF(ISNUMBER($Q481),TEXT($Q481,"yyyy-mm-dd"),IF($A481="","",IF(SUMPRODUCT(('Agences &amp; Après-vente'!$A$2:$A$1000=$A481)*(('Agences &amp; Après-vente'!$D$2:$D$1000="Agences")+('Agences &amp; Après-vente'!$D$2:$D$1000="Agences et Après-vente"))*('Agences &amp; Après-vente'!$I$2:$I$1000="DONE"))&gt;0,"✓",IF(SUMPRODUCT(MAX(('Agences &amp; Après-vente'!$A$2:$A$1000=$A481)*(('Agences &amp; Après-vente'!$D$2:$D$1000="Agences")+('Agences &amp; Après-vente'!$D$2:$D$1000="Agences et Après-vente"))*'Agences &amp; Après-vente'!$E$2:$E$1000))&gt;0,TEXT(SUMPRODUCT(MAX(('Agences &amp; Après-vente'!$A$2:$A$1000=$A481)*(('Agences &amp; Après-vente'!$D$2:$D$1000="Agences")+('Agences &amp; Après-vente'!$D$2:$D$1000="Agences et Après-vente"))*'Agences &amp; Après-vente'!$E$2:$E$1000)),"yyyy-mm-dd"),"")))))</f>
        <v/>
      </c>
      <c r="H481" s="131" t="str">
        <f aca="false">IF($R481="✓","✓",IF(ISNUMBER($R481),TEXT($R481,"yyyy-mm-dd"),IF($A481="","",IF($D481="Lisbonne","",IF(SUMPRODUCT(('Agences &amp; Après-vente'!$A$2:$A$1000=$A481)*(('Agences &amp; Après-vente'!$D$2:$D$1000="Agences")+('Agences &amp; Après-vente'!$D$2:$D$1000="Agences et Après-vente"))*('Agences &amp; Après-vente'!$I$2:$I$1000="DONE"))&gt;0,"✓",IF(SUMPRODUCT(MAX(('Agences &amp; Après-vente'!$A$2:$A$1000=$A481)*(('Agences &amp; Après-vente'!$D$2:$D$1000="Agences")+('Agences &amp; Après-vente'!$D$2:$D$1000="Agences et Après-vente"))*'Agences &amp; Après-vente'!$E$2:$E$1000))&gt;0,TEXT(SUMPRODUCT(MAX(('Agences &amp; Après-vente'!$A$2:$A$1000=$A481)*(('Agences &amp; Après-vente'!$D$2:$D$1000="Agences")+('Agences &amp; Après-vente'!$D$2:$D$1000="Agences et Après-vente"))*'Agences &amp; Après-vente'!$E$2:$E$1000)),"yyyy-mm-dd"),""))))))</f>
        <v/>
      </c>
      <c r="I481" s="131" t="str">
        <f aca="false">IF($S481="✓","✓",IF(ISNUMBER($S481),TEXT($S481,"yyyy-mm-dd"),IF($A481="","",IF(SUMPRODUCT(('Agences &amp; Après-vente'!$A$2:$A$1000=$A481)*(('Agences &amp; Après-vente'!$D$2:$D$1000="Après-vente")+('Agences &amp; Après-vente'!$D$2:$D$1000="Agences et Après-vente"))*('Agences &amp; Après-vente'!$I$2:$I$1000="DONE"))&gt;0,"✓",IF(SUMPRODUCT(MAX(('Agences &amp; Après-vente'!$A$2:$A$1000=$A481)*(('Agences &amp; Après-vente'!$D$2:$D$1000="Après-vente")+('Agences &amp; Après-vente'!$D$2:$D$1000="Agences et Après-vente"))*'Agences &amp; Après-vente'!$E$2:$E$1000))&gt;0,TEXT(SUMPRODUCT(MAX(('Agences &amp; Après-vente'!$A$2:$A$1000=$A481)*(('Agences &amp; Après-vente'!$D$2:$D$1000="Après-vente")+('Agences &amp; Après-vente'!$D$2:$D$1000="Agences et Après-vente"))*'Agences &amp; Après-vente'!$E$2:$E$1000)),"yyyy-mm-dd"),"")))))</f>
        <v/>
      </c>
      <c r="J481" s="131" t="str">
        <f aca="false">IF($T481="✓","✓",IF(ISNUMBER($T481),TEXT($T481,"yyyy-mm-dd"),IF($A481="","",IF($D481="Lisbonne","",IF(SUMPRODUCT(('Agences &amp; Après-vente'!$A$2:$A$1000=$A481)*(('Agences &amp; Après-vente'!$D$2:$D$1000="Après-vente")+('Agences &amp; Après-vente'!$D$2:$D$1000="Agences et Après-vente"))*('Agences &amp; Après-vente'!$I$2:$I$1000="DONE"))&gt;0,"✓",IF(SUMPRODUCT(MAX(('Agences &amp; Après-vente'!$A$2:$A$1000=$A481)*(('Agences &amp; Après-vente'!$D$2:$D$1000="Après-vente")+('Agences &amp; Après-vente'!$D$2:$D$1000="Agences et Après-vente"))*'Agences &amp; Après-vente'!$E$2:$E$1000))&gt;0,TEXT(SUMPRODUCT(MAX(('Agences &amp; Après-vente'!$A$2:$A$1000=$A481)*(('Agences &amp; Après-vente'!$D$2:$D$1000="Après-vente")+('Agences &amp; Après-vente'!$D$2:$D$1000="Agences et Après-vente"))*'Agences &amp; Après-vente'!$E$2:$E$1000)),"yyyy-mm-dd"),""))))))</f>
        <v/>
      </c>
      <c r="K481" s="131" t="str">
        <f aca="false">IF($U481="✓","✓",IF(ISNUMBER($U481),TEXT($U481,"yyyy-mm-dd"),IF($D481="Lisbonne","",IF($A481="","",IF(SUMPRODUCT((Evermont!$A$2:$A$1000=$A481)*(Evermont!$Q$2:$Q$1000="Terminé"))&gt;0,"✓",IF(SUMPRODUCT(MAX((Evermont!$A$2:$A$1000=$A481)*Evermont!$F$2:$F$1000))&gt;0,TEXT(SUMPRODUCT(MAX((Evermont!$A$2:$A$1000=$A481)*Evermont!$F$2:$F$1000)),"yyyy-mm-dd"),""))))))</f>
        <v/>
      </c>
      <c r="L481" s="131" t="str">
        <f aca="false">IF($A481="","",COUNTIF(E481:K481,"✓"))</f>
        <v/>
      </c>
      <c r="M481" s="131" t="str">
        <f aca="false">IF(B481="","","Active")</f>
        <v/>
      </c>
      <c r="W481" s="120" t="str">
        <f aca="false">IF($A481="","",IF($X481&lt;&gt;"",$X481,IFERROR(INDEX('Formation Initiale'!$B$2:$B$999,MATCH($A481,'Formation Initiale'!$A$2:$A$999,0)),"Général")))</f>
        <v/>
      </c>
    </row>
    <row r="482" customFormat="false" ht="15" hidden="true" customHeight="true" outlineLevel="0" collapsed="false">
      <c r="A482" s="142" t="str">
        <f aca="false">IF(B482="","","TR"&amp;TEXT(ROW()-1,"000"))</f>
        <v/>
      </c>
      <c r="E482" s="130" t="str">
        <f aca="false">IF($O482="✓","✓",IF(ISNUMBER($O482),TEXT($O482,"yyyy-mm-dd"),IF($A482="","",IF(SUMPRODUCT(('Formation Initiale'!$A$2:$A$999=$A482)*('Formation Initiale'!$R$2:$R$999="Terminé"))&gt;0,"✓",IF(SUMPRODUCT(MAX(('Formation Initiale'!$A$2:$A$999=$A482)*'Formation Initiale'!$G$2:$G$999))&gt;0,TEXT(SUMPRODUCT(MAX(('Formation Initiale'!$A$2:$A$999=$A482)*'Formation Initiale'!$G$2:$G$999)),"yyyy-mm-dd"),"")))))</f>
        <v/>
      </c>
      <c r="F482" s="131" t="str">
        <f aca="false">IF($P482="✓","✓",IF(ISNUMBER($P482),TEXT($P482,"yyyy-mm-dd"),IF($A482="","",IF($D482="Lisbonne","",IF(SUMPRODUCT(('Formation Initiale'!$A$2:$A$999=$A482)*('Formation Initiale'!$R$2:$R$999="Terminé"))&gt;0,"✓",IF(SUMPRODUCT(MAX(('Formation Initiale'!$A$2:$A$999=$A482)*'Formation Initiale'!$G$2:$G$999))&gt;0,TEXT(SUMPRODUCT(MAX(('Formation Initiale'!$A$2:$A$999=$A482)*'Formation Initiale'!$G$2:$G$999)),"yyyy-mm-dd"),""))))))</f>
        <v/>
      </c>
      <c r="G482" s="131" t="str">
        <f aca="false">IF($Q482="✓","✓",IF(ISNUMBER($Q482),TEXT($Q482,"yyyy-mm-dd"),IF($A482="","",IF(SUMPRODUCT(('Agences &amp; Après-vente'!$A$2:$A$1000=$A482)*(('Agences &amp; Après-vente'!$D$2:$D$1000="Agences")+('Agences &amp; Après-vente'!$D$2:$D$1000="Agences et Après-vente"))*('Agences &amp; Après-vente'!$I$2:$I$1000="DONE"))&gt;0,"✓",IF(SUMPRODUCT(MAX(('Agences &amp; Après-vente'!$A$2:$A$1000=$A482)*(('Agences &amp; Après-vente'!$D$2:$D$1000="Agences")+('Agences &amp; Après-vente'!$D$2:$D$1000="Agences et Après-vente"))*'Agences &amp; Après-vente'!$E$2:$E$1000))&gt;0,TEXT(SUMPRODUCT(MAX(('Agences &amp; Après-vente'!$A$2:$A$1000=$A482)*(('Agences &amp; Après-vente'!$D$2:$D$1000="Agences")+('Agences &amp; Après-vente'!$D$2:$D$1000="Agences et Après-vente"))*'Agences &amp; Après-vente'!$E$2:$E$1000)),"yyyy-mm-dd"),"")))))</f>
        <v/>
      </c>
      <c r="H482" s="131" t="str">
        <f aca="false">IF($R482="✓","✓",IF(ISNUMBER($R482),TEXT($R482,"yyyy-mm-dd"),IF($A482="","",IF($D482="Lisbonne","",IF(SUMPRODUCT(('Agences &amp; Après-vente'!$A$2:$A$1000=$A482)*(('Agences &amp; Après-vente'!$D$2:$D$1000="Agences")+('Agences &amp; Après-vente'!$D$2:$D$1000="Agences et Après-vente"))*('Agences &amp; Après-vente'!$I$2:$I$1000="DONE"))&gt;0,"✓",IF(SUMPRODUCT(MAX(('Agences &amp; Après-vente'!$A$2:$A$1000=$A482)*(('Agences &amp; Après-vente'!$D$2:$D$1000="Agences")+('Agences &amp; Après-vente'!$D$2:$D$1000="Agences et Après-vente"))*'Agences &amp; Après-vente'!$E$2:$E$1000))&gt;0,TEXT(SUMPRODUCT(MAX(('Agences &amp; Après-vente'!$A$2:$A$1000=$A482)*(('Agences &amp; Après-vente'!$D$2:$D$1000="Agences")+('Agences &amp; Après-vente'!$D$2:$D$1000="Agences et Après-vente"))*'Agences &amp; Après-vente'!$E$2:$E$1000)),"yyyy-mm-dd"),""))))))</f>
        <v/>
      </c>
      <c r="I482" s="131" t="str">
        <f aca="false">IF($S482="✓","✓",IF(ISNUMBER($S482),TEXT($S482,"yyyy-mm-dd"),IF($A482="","",IF(SUMPRODUCT(('Agences &amp; Après-vente'!$A$2:$A$1000=$A482)*(('Agences &amp; Après-vente'!$D$2:$D$1000="Après-vente")+('Agences &amp; Après-vente'!$D$2:$D$1000="Agences et Après-vente"))*('Agences &amp; Après-vente'!$I$2:$I$1000="DONE"))&gt;0,"✓",IF(SUMPRODUCT(MAX(('Agences &amp; Après-vente'!$A$2:$A$1000=$A482)*(('Agences &amp; Après-vente'!$D$2:$D$1000="Après-vente")+('Agences &amp; Après-vente'!$D$2:$D$1000="Agences et Après-vente"))*'Agences &amp; Après-vente'!$E$2:$E$1000))&gt;0,TEXT(SUMPRODUCT(MAX(('Agences &amp; Après-vente'!$A$2:$A$1000=$A482)*(('Agences &amp; Après-vente'!$D$2:$D$1000="Après-vente")+('Agences &amp; Après-vente'!$D$2:$D$1000="Agences et Après-vente"))*'Agences &amp; Après-vente'!$E$2:$E$1000)),"yyyy-mm-dd"),"")))))</f>
        <v/>
      </c>
      <c r="J482" s="131" t="str">
        <f aca="false">IF($T482="✓","✓",IF(ISNUMBER($T482),TEXT($T482,"yyyy-mm-dd"),IF($A482="","",IF($D482="Lisbonne","",IF(SUMPRODUCT(('Agences &amp; Après-vente'!$A$2:$A$1000=$A482)*(('Agences &amp; Après-vente'!$D$2:$D$1000="Après-vente")+('Agences &amp; Après-vente'!$D$2:$D$1000="Agences et Après-vente"))*('Agences &amp; Après-vente'!$I$2:$I$1000="DONE"))&gt;0,"✓",IF(SUMPRODUCT(MAX(('Agences &amp; Après-vente'!$A$2:$A$1000=$A482)*(('Agences &amp; Après-vente'!$D$2:$D$1000="Après-vente")+('Agences &amp; Après-vente'!$D$2:$D$1000="Agences et Après-vente"))*'Agences &amp; Après-vente'!$E$2:$E$1000))&gt;0,TEXT(SUMPRODUCT(MAX(('Agences &amp; Après-vente'!$A$2:$A$1000=$A482)*(('Agences &amp; Après-vente'!$D$2:$D$1000="Après-vente")+('Agences &amp; Après-vente'!$D$2:$D$1000="Agences et Après-vente"))*'Agences &amp; Après-vente'!$E$2:$E$1000)),"yyyy-mm-dd"),""))))))</f>
        <v/>
      </c>
      <c r="K482" s="131" t="str">
        <f aca="false">IF($U482="✓","✓",IF(ISNUMBER($U482),TEXT($U482,"yyyy-mm-dd"),IF($D482="Lisbonne","",IF($A482="","",IF(SUMPRODUCT((Evermont!$A$2:$A$1000=$A482)*(Evermont!$Q$2:$Q$1000="Terminé"))&gt;0,"✓",IF(SUMPRODUCT(MAX((Evermont!$A$2:$A$1000=$A482)*Evermont!$F$2:$F$1000))&gt;0,TEXT(SUMPRODUCT(MAX((Evermont!$A$2:$A$1000=$A482)*Evermont!$F$2:$F$1000)),"yyyy-mm-dd"),""))))))</f>
        <v/>
      </c>
      <c r="L482" s="131" t="str">
        <f aca="false">IF($A482="","",COUNTIF(E482:K482,"✓"))</f>
        <v/>
      </c>
      <c r="M482" s="131" t="str">
        <f aca="false">IF(B482="","","Active")</f>
        <v/>
      </c>
      <c r="W482" s="120" t="str">
        <f aca="false">IF($A482="","",IF($X482&lt;&gt;"",$X482,IFERROR(INDEX('Formation Initiale'!$B$2:$B$999,MATCH($A482,'Formation Initiale'!$A$2:$A$999,0)),"Général")))</f>
        <v/>
      </c>
    </row>
    <row r="483" customFormat="false" ht="15" hidden="true" customHeight="true" outlineLevel="0" collapsed="false">
      <c r="A483" s="142" t="str">
        <f aca="false">IF(B483="","","TR"&amp;TEXT(ROW()-1,"000"))</f>
        <v/>
      </c>
      <c r="E483" s="130" t="str">
        <f aca="false">IF($O483="✓","✓",IF(ISNUMBER($O483),TEXT($O483,"yyyy-mm-dd"),IF($A483="","",IF(SUMPRODUCT(('Formation Initiale'!$A$2:$A$999=$A483)*('Formation Initiale'!$R$2:$R$999="Terminé"))&gt;0,"✓",IF(SUMPRODUCT(MAX(('Formation Initiale'!$A$2:$A$999=$A483)*'Formation Initiale'!$G$2:$G$999))&gt;0,TEXT(SUMPRODUCT(MAX(('Formation Initiale'!$A$2:$A$999=$A483)*'Formation Initiale'!$G$2:$G$999)),"yyyy-mm-dd"),"")))))</f>
        <v/>
      </c>
      <c r="F483" s="131" t="str">
        <f aca="false">IF($P483="✓","✓",IF(ISNUMBER($P483),TEXT($P483,"yyyy-mm-dd"),IF($A483="","",IF($D483="Lisbonne","",IF(SUMPRODUCT(('Formation Initiale'!$A$2:$A$999=$A483)*('Formation Initiale'!$R$2:$R$999="Terminé"))&gt;0,"✓",IF(SUMPRODUCT(MAX(('Formation Initiale'!$A$2:$A$999=$A483)*'Formation Initiale'!$G$2:$G$999))&gt;0,TEXT(SUMPRODUCT(MAX(('Formation Initiale'!$A$2:$A$999=$A483)*'Formation Initiale'!$G$2:$G$999)),"yyyy-mm-dd"),""))))))</f>
        <v/>
      </c>
      <c r="G483" s="131" t="str">
        <f aca="false">IF($Q483="✓","✓",IF(ISNUMBER($Q483),TEXT($Q483,"yyyy-mm-dd"),IF($A483="","",IF(SUMPRODUCT(('Agences &amp; Après-vente'!$A$2:$A$1000=$A483)*(('Agences &amp; Après-vente'!$D$2:$D$1000="Agences")+('Agences &amp; Après-vente'!$D$2:$D$1000="Agences et Après-vente"))*('Agences &amp; Après-vente'!$I$2:$I$1000="DONE"))&gt;0,"✓",IF(SUMPRODUCT(MAX(('Agences &amp; Après-vente'!$A$2:$A$1000=$A483)*(('Agences &amp; Après-vente'!$D$2:$D$1000="Agences")+('Agences &amp; Après-vente'!$D$2:$D$1000="Agences et Après-vente"))*'Agences &amp; Après-vente'!$E$2:$E$1000))&gt;0,TEXT(SUMPRODUCT(MAX(('Agences &amp; Après-vente'!$A$2:$A$1000=$A483)*(('Agences &amp; Après-vente'!$D$2:$D$1000="Agences")+('Agences &amp; Après-vente'!$D$2:$D$1000="Agences et Après-vente"))*'Agences &amp; Après-vente'!$E$2:$E$1000)),"yyyy-mm-dd"),"")))))</f>
        <v/>
      </c>
      <c r="H483" s="131" t="str">
        <f aca="false">IF($R483="✓","✓",IF(ISNUMBER($R483),TEXT($R483,"yyyy-mm-dd"),IF($A483="","",IF($D483="Lisbonne","",IF(SUMPRODUCT(('Agences &amp; Après-vente'!$A$2:$A$1000=$A483)*(('Agences &amp; Après-vente'!$D$2:$D$1000="Agences")+('Agences &amp; Après-vente'!$D$2:$D$1000="Agences et Après-vente"))*('Agences &amp; Après-vente'!$I$2:$I$1000="DONE"))&gt;0,"✓",IF(SUMPRODUCT(MAX(('Agences &amp; Après-vente'!$A$2:$A$1000=$A483)*(('Agences &amp; Après-vente'!$D$2:$D$1000="Agences")+('Agences &amp; Après-vente'!$D$2:$D$1000="Agences et Après-vente"))*'Agences &amp; Après-vente'!$E$2:$E$1000))&gt;0,TEXT(SUMPRODUCT(MAX(('Agences &amp; Après-vente'!$A$2:$A$1000=$A483)*(('Agences &amp; Après-vente'!$D$2:$D$1000="Agences")+('Agences &amp; Après-vente'!$D$2:$D$1000="Agences et Après-vente"))*'Agences &amp; Après-vente'!$E$2:$E$1000)),"yyyy-mm-dd"),""))))))</f>
        <v/>
      </c>
      <c r="I483" s="131" t="str">
        <f aca="false">IF($S483="✓","✓",IF(ISNUMBER($S483),TEXT($S483,"yyyy-mm-dd"),IF($A483="","",IF(SUMPRODUCT(('Agences &amp; Après-vente'!$A$2:$A$1000=$A483)*(('Agences &amp; Après-vente'!$D$2:$D$1000="Après-vente")+('Agences &amp; Après-vente'!$D$2:$D$1000="Agences et Après-vente"))*('Agences &amp; Après-vente'!$I$2:$I$1000="DONE"))&gt;0,"✓",IF(SUMPRODUCT(MAX(('Agences &amp; Après-vente'!$A$2:$A$1000=$A483)*(('Agences &amp; Après-vente'!$D$2:$D$1000="Après-vente")+('Agences &amp; Après-vente'!$D$2:$D$1000="Agences et Après-vente"))*'Agences &amp; Après-vente'!$E$2:$E$1000))&gt;0,TEXT(SUMPRODUCT(MAX(('Agences &amp; Après-vente'!$A$2:$A$1000=$A483)*(('Agences &amp; Après-vente'!$D$2:$D$1000="Après-vente")+('Agences &amp; Après-vente'!$D$2:$D$1000="Agences et Après-vente"))*'Agences &amp; Après-vente'!$E$2:$E$1000)),"yyyy-mm-dd"),"")))))</f>
        <v/>
      </c>
      <c r="J483" s="131" t="str">
        <f aca="false">IF($T483="✓","✓",IF(ISNUMBER($T483),TEXT($T483,"yyyy-mm-dd"),IF($A483="","",IF($D483="Lisbonne","",IF(SUMPRODUCT(('Agences &amp; Après-vente'!$A$2:$A$1000=$A483)*(('Agences &amp; Après-vente'!$D$2:$D$1000="Après-vente")+('Agences &amp; Après-vente'!$D$2:$D$1000="Agences et Après-vente"))*('Agences &amp; Après-vente'!$I$2:$I$1000="DONE"))&gt;0,"✓",IF(SUMPRODUCT(MAX(('Agences &amp; Après-vente'!$A$2:$A$1000=$A483)*(('Agences &amp; Après-vente'!$D$2:$D$1000="Après-vente")+('Agences &amp; Après-vente'!$D$2:$D$1000="Agences et Après-vente"))*'Agences &amp; Après-vente'!$E$2:$E$1000))&gt;0,TEXT(SUMPRODUCT(MAX(('Agences &amp; Après-vente'!$A$2:$A$1000=$A483)*(('Agences &amp; Après-vente'!$D$2:$D$1000="Après-vente")+('Agences &amp; Après-vente'!$D$2:$D$1000="Agences et Après-vente"))*'Agences &amp; Après-vente'!$E$2:$E$1000)),"yyyy-mm-dd"),""))))))</f>
        <v/>
      </c>
      <c r="K483" s="131" t="str">
        <f aca="false">IF($U483="✓","✓",IF(ISNUMBER($U483),TEXT($U483,"yyyy-mm-dd"),IF($D483="Lisbonne","",IF($A483="","",IF(SUMPRODUCT((Evermont!$A$2:$A$1000=$A483)*(Evermont!$Q$2:$Q$1000="Terminé"))&gt;0,"✓",IF(SUMPRODUCT(MAX((Evermont!$A$2:$A$1000=$A483)*Evermont!$F$2:$F$1000))&gt;0,TEXT(SUMPRODUCT(MAX((Evermont!$A$2:$A$1000=$A483)*Evermont!$F$2:$F$1000)),"yyyy-mm-dd"),""))))))</f>
        <v/>
      </c>
      <c r="L483" s="131" t="str">
        <f aca="false">IF($A483="","",COUNTIF(E483:K483,"✓"))</f>
        <v/>
      </c>
      <c r="M483" s="131" t="str">
        <f aca="false">IF(B483="","","Active")</f>
        <v/>
      </c>
      <c r="W483" s="120" t="str">
        <f aca="false">IF($A483="","",IF($X483&lt;&gt;"",$X483,IFERROR(INDEX('Formation Initiale'!$B$2:$B$999,MATCH($A483,'Formation Initiale'!$A$2:$A$999,0)),"Général")))</f>
        <v/>
      </c>
    </row>
    <row r="484" customFormat="false" ht="15" hidden="true" customHeight="true" outlineLevel="0" collapsed="false">
      <c r="A484" s="142" t="str">
        <f aca="false">IF(B484="","","TR"&amp;TEXT(ROW()-1,"000"))</f>
        <v/>
      </c>
      <c r="E484" s="130" t="str">
        <f aca="false">IF($O484="✓","✓",IF(ISNUMBER($O484),TEXT($O484,"yyyy-mm-dd"),IF($A484="","",IF(SUMPRODUCT(('Formation Initiale'!$A$2:$A$999=$A484)*('Formation Initiale'!$R$2:$R$999="Terminé"))&gt;0,"✓",IF(SUMPRODUCT(MAX(('Formation Initiale'!$A$2:$A$999=$A484)*'Formation Initiale'!$G$2:$G$999))&gt;0,TEXT(SUMPRODUCT(MAX(('Formation Initiale'!$A$2:$A$999=$A484)*'Formation Initiale'!$G$2:$G$999)),"yyyy-mm-dd"),"")))))</f>
        <v/>
      </c>
      <c r="F484" s="131" t="str">
        <f aca="false">IF($P484="✓","✓",IF(ISNUMBER($P484),TEXT($P484,"yyyy-mm-dd"),IF($A484="","",IF($D484="Lisbonne","",IF(SUMPRODUCT(('Formation Initiale'!$A$2:$A$999=$A484)*('Formation Initiale'!$R$2:$R$999="Terminé"))&gt;0,"✓",IF(SUMPRODUCT(MAX(('Formation Initiale'!$A$2:$A$999=$A484)*'Formation Initiale'!$G$2:$G$999))&gt;0,TEXT(SUMPRODUCT(MAX(('Formation Initiale'!$A$2:$A$999=$A484)*'Formation Initiale'!$G$2:$G$999)),"yyyy-mm-dd"),""))))))</f>
        <v/>
      </c>
      <c r="G484" s="131" t="str">
        <f aca="false">IF($Q484="✓","✓",IF(ISNUMBER($Q484),TEXT($Q484,"yyyy-mm-dd"),IF($A484="","",IF(SUMPRODUCT(('Agences &amp; Après-vente'!$A$2:$A$1000=$A484)*(('Agences &amp; Après-vente'!$D$2:$D$1000="Agences")+('Agences &amp; Après-vente'!$D$2:$D$1000="Agences et Après-vente"))*('Agences &amp; Après-vente'!$I$2:$I$1000="DONE"))&gt;0,"✓",IF(SUMPRODUCT(MAX(('Agences &amp; Après-vente'!$A$2:$A$1000=$A484)*(('Agences &amp; Après-vente'!$D$2:$D$1000="Agences")+('Agences &amp; Après-vente'!$D$2:$D$1000="Agences et Après-vente"))*'Agences &amp; Après-vente'!$E$2:$E$1000))&gt;0,TEXT(SUMPRODUCT(MAX(('Agences &amp; Après-vente'!$A$2:$A$1000=$A484)*(('Agences &amp; Après-vente'!$D$2:$D$1000="Agences")+('Agences &amp; Après-vente'!$D$2:$D$1000="Agences et Après-vente"))*'Agences &amp; Après-vente'!$E$2:$E$1000)),"yyyy-mm-dd"),"")))))</f>
        <v/>
      </c>
      <c r="H484" s="131" t="str">
        <f aca="false">IF($R484="✓","✓",IF(ISNUMBER($R484),TEXT($R484,"yyyy-mm-dd"),IF($A484="","",IF($D484="Lisbonne","",IF(SUMPRODUCT(('Agences &amp; Après-vente'!$A$2:$A$1000=$A484)*(('Agences &amp; Après-vente'!$D$2:$D$1000="Agences")+('Agences &amp; Après-vente'!$D$2:$D$1000="Agences et Après-vente"))*('Agences &amp; Après-vente'!$I$2:$I$1000="DONE"))&gt;0,"✓",IF(SUMPRODUCT(MAX(('Agences &amp; Après-vente'!$A$2:$A$1000=$A484)*(('Agences &amp; Après-vente'!$D$2:$D$1000="Agences")+('Agences &amp; Après-vente'!$D$2:$D$1000="Agences et Après-vente"))*'Agences &amp; Après-vente'!$E$2:$E$1000))&gt;0,TEXT(SUMPRODUCT(MAX(('Agences &amp; Après-vente'!$A$2:$A$1000=$A484)*(('Agences &amp; Après-vente'!$D$2:$D$1000="Agences")+('Agences &amp; Après-vente'!$D$2:$D$1000="Agences et Après-vente"))*'Agences &amp; Après-vente'!$E$2:$E$1000)),"yyyy-mm-dd"),""))))))</f>
        <v/>
      </c>
      <c r="I484" s="131" t="str">
        <f aca="false">IF($S484="✓","✓",IF(ISNUMBER($S484),TEXT($S484,"yyyy-mm-dd"),IF($A484="","",IF(SUMPRODUCT(('Agences &amp; Après-vente'!$A$2:$A$1000=$A484)*(('Agences &amp; Après-vente'!$D$2:$D$1000="Après-vente")+('Agences &amp; Après-vente'!$D$2:$D$1000="Agences et Après-vente"))*('Agences &amp; Après-vente'!$I$2:$I$1000="DONE"))&gt;0,"✓",IF(SUMPRODUCT(MAX(('Agences &amp; Après-vente'!$A$2:$A$1000=$A484)*(('Agences &amp; Après-vente'!$D$2:$D$1000="Après-vente")+('Agences &amp; Après-vente'!$D$2:$D$1000="Agences et Après-vente"))*'Agences &amp; Après-vente'!$E$2:$E$1000))&gt;0,TEXT(SUMPRODUCT(MAX(('Agences &amp; Après-vente'!$A$2:$A$1000=$A484)*(('Agences &amp; Après-vente'!$D$2:$D$1000="Après-vente")+('Agences &amp; Après-vente'!$D$2:$D$1000="Agences et Après-vente"))*'Agences &amp; Après-vente'!$E$2:$E$1000)),"yyyy-mm-dd"),"")))))</f>
        <v/>
      </c>
      <c r="J484" s="131" t="str">
        <f aca="false">IF($T484="✓","✓",IF(ISNUMBER($T484),TEXT($T484,"yyyy-mm-dd"),IF($A484="","",IF($D484="Lisbonne","",IF(SUMPRODUCT(('Agences &amp; Après-vente'!$A$2:$A$1000=$A484)*(('Agences &amp; Après-vente'!$D$2:$D$1000="Après-vente")+('Agences &amp; Après-vente'!$D$2:$D$1000="Agences et Après-vente"))*('Agences &amp; Après-vente'!$I$2:$I$1000="DONE"))&gt;0,"✓",IF(SUMPRODUCT(MAX(('Agences &amp; Après-vente'!$A$2:$A$1000=$A484)*(('Agences &amp; Après-vente'!$D$2:$D$1000="Après-vente")+('Agences &amp; Après-vente'!$D$2:$D$1000="Agences et Après-vente"))*'Agences &amp; Après-vente'!$E$2:$E$1000))&gt;0,TEXT(SUMPRODUCT(MAX(('Agences &amp; Après-vente'!$A$2:$A$1000=$A484)*(('Agences &amp; Après-vente'!$D$2:$D$1000="Après-vente")+('Agences &amp; Après-vente'!$D$2:$D$1000="Agences et Après-vente"))*'Agences &amp; Après-vente'!$E$2:$E$1000)),"yyyy-mm-dd"),""))))))</f>
        <v/>
      </c>
      <c r="K484" s="131" t="str">
        <f aca="false">IF($U484="✓","✓",IF(ISNUMBER($U484),TEXT($U484,"yyyy-mm-dd"),IF($D484="Lisbonne","",IF($A484="","",IF(SUMPRODUCT((Evermont!$A$2:$A$1000=$A484)*(Evermont!$Q$2:$Q$1000="Terminé"))&gt;0,"✓",IF(SUMPRODUCT(MAX((Evermont!$A$2:$A$1000=$A484)*Evermont!$F$2:$F$1000))&gt;0,TEXT(SUMPRODUCT(MAX((Evermont!$A$2:$A$1000=$A484)*Evermont!$F$2:$F$1000)),"yyyy-mm-dd"),""))))))</f>
        <v/>
      </c>
      <c r="L484" s="131" t="str">
        <f aca="false">IF($A484="","",COUNTIF(E484:K484,"✓"))</f>
        <v/>
      </c>
      <c r="M484" s="131" t="str">
        <f aca="false">IF(B484="","","Active")</f>
        <v/>
      </c>
      <c r="W484" s="120" t="str">
        <f aca="false">IF($A484="","",IF($X484&lt;&gt;"",$X484,IFERROR(INDEX('Formation Initiale'!$B$2:$B$999,MATCH($A484,'Formation Initiale'!$A$2:$A$999,0)),"Général")))</f>
        <v/>
      </c>
    </row>
    <row r="485" customFormat="false" ht="15" hidden="true" customHeight="true" outlineLevel="0" collapsed="false">
      <c r="A485" s="142" t="str">
        <f aca="false">IF(B485="","","TR"&amp;TEXT(ROW()-1,"000"))</f>
        <v/>
      </c>
      <c r="E485" s="130" t="str">
        <f aca="false">IF($O485="✓","✓",IF(ISNUMBER($O485),TEXT($O485,"yyyy-mm-dd"),IF($A485="","",IF(SUMPRODUCT(('Formation Initiale'!$A$2:$A$999=$A485)*('Formation Initiale'!$R$2:$R$999="Terminé"))&gt;0,"✓",IF(SUMPRODUCT(MAX(('Formation Initiale'!$A$2:$A$999=$A485)*'Formation Initiale'!$G$2:$G$999))&gt;0,TEXT(SUMPRODUCT(MAX(('Formation Initiale'!$A$2:$A$999=$A485)*'Formation Initiale'!$G$2:$G$999)),"yyyy-mm-dd"),"")))))</f>
        <v/>
      </c>
      <c r="F485" s="131" t="str">
        <f aca="false">IF($P485="✓","✓",IF(ISNUMBER($P485),TEXT($P485,"yyyy-mm-dd"),IF($A485="","",IF($D485="Lisbonne","",IF(SUMPRODUCT(('Formation Initiale'!$A$2:$A$999=$A485)*('Formation Initiale'!$R$2:$R$999="Terminé"))&gt;0,"✓",IF(SUMPRODUCT(MAX(('Formation Initiale'!$A$2:$A$999=$A485)*'Formation Initiale'!$G$2:$G$999))&gt;0,TEXT(SUMPRODUCT(MAX(('Formation Initiale'!$A$2:$A$999=$A485)*'Formation Initiale'!$G$2:$G$999)),"yyyy-mm-dd"),""))))))</f>
        <v/>
      </c>
      <c r="G485" s="131" t="str">
        <f aca="false">IF($Q485="✓","✓",IF(ISNUMBER($Q485),TEXT($Q485,"yyyy-mm-dd"),IF($A485="","",IF(SUMPRODUCT(('Agences &amp; Après-vente'!$A$2:$A$1000=$A485)*(('Agences &amp; Après-vente'!$D$2:$D$1000="Agences")+('Agences &amp; Après-vente'!$D$2:$D$1000="Agences et Après-vente"))*('Agences &amp; Après-vente'!$I$2:$I$1000="DONE"))&gt;0,"✓",IF(SUMPRODUCT(MAX(('Agences &amp; Après-vente'!$A$2:$A$1000=$A485)*(('Agences &amp; Après-vente'!$D$2:$D$1000="Agences")+('Agences &amp; Après-vente'!$D$2:$D$1000="Agences et Après-vente"))*'Agences &amp; Après-vente'!$E$2:$E$1000))&gt;0,TEXT(SUMPRODUCT(MAX(('Agences &amp; Après-vente'!$A$2:$A$1000=$A485)*(('Agences &amp; Après-vente'!$D$2:$D$1000="Agences")+('Agences &amp; Après-vente'!$D$2:$D$1000="Agences et Après-vente"))*'Agences &amp; Après-vente'!$E$2:$E$1000)),"yyyy-mm-dd"),"")))))</f>
        <v/>
      </c>
      <c r="H485" s="131" t="str">
        <f aca="false">IF($R485="✓","✓",IF(ISNUMBER($R485),TEXT($R485,"yyyy-mm-dd"),IF($A485="","",IF($D485="Lisbonne","",IF(SUMPRODUCT(('Agences &amp; Après-vente'!$A$2:$A$1000=$A485)*(('Agences &amp; Après-vente'!$D$2:$D$1000="Agences")+('Agences &amp; Après-vente'!$D$2:$D$1000="Agences et Après-vente"))*('Agences &amp; Après-vente'!$I$2:$I$1000="DONE"))&gt;0,"✓",IF(SUMPRODUCT(MAX(('Agences &amp; Après-vente'!$A$2:$A$1000=$A485)*(('Agences &amp; Après-vente'!$D$2:$D$1000="Agences")+('Agences &amp; Après-vente'!$D$2:$D$1000="Agences et Après-vente"))*'Agences &amp; Après-vente'!$E$2:$E$1000))&gt;0,TEXT(SUMPRODUCT(MAX(('Agences &amp; Après-vente'!$A$2:$A$1000=$A485)*(('Agences &amp; Après-vente'!$D$2:$D$1000="Agences")+('Agences &amp; Après-vente'!$D$2:$D$1000="Agences et Après-vente"))*'Agences &amp; Après-vente'!$E$2:$E$1000)),"yyyy-mm-dd"),""))))))</f>
        <v/>
      </c>
      <c r="I485" s="131" t="str">
        <f aca="false">IF($S485="✓","✓",IF(ISNUMBER($S485),TEXT($S485,"yyyy-mm-dd"),IF($A485="","",IF(SUMPRODUCT(('Agences &amp; Après-vente'!$A$2:$A$1000=$A485)*(('Agences &amp; Après-vente'!$D$2:$D$1000="Après-vente")+('Agences &amp; Après-vente'!$D$2:$D$1000="Agences et Après-vente"))*('Agences &amp; Après-vente'!$I$2:$I$1000="DONE"))&gt;0,"✓",IF(SUMPRODUCT(MAX(('Agences &amp; Après-vente'!$A$2:$A$1000=$A485)*(('Agences &amp; Après-vente'!$D$2:$D$1000="Après-vente")+('Agences &amp; Après-vente'!$D$2:$D$1000="Agences et Après-vente"))*'Agences &amp; Après-vente'!$E$2:$E$1000))&gt;0,TEXT(SUMPRODUCT(MAX(('Agences &amp; Après-vente'!$A$2:$A$1000=$A485)*(('Agences &amp; Après-vente'!$D$2:$D$1000="Après-vente")+('Agences &amp; Après-vente'!$D$2:$D$1000="Agences et Après-vente"))*'Agences &amp; Après-vente'!$E$2:$E$1000)),"yyyy-mm-dd"),"")))))</f>
        <v/>
      </c>
      <c r="J485" s="131" t="str">
        <f aca="false">IF($T485="✓","✓",IF(ISNUMBER($T485),TEXT($T485,"yyyy-mm-dd"),IF($A485="","",IF($D485="Lisbonne","",IF(SUMPRODUCT(('Agences &amp; Après-vente'!$A$2:$A$1000=$A485)*(('Agences &amp; Après-vente'!$D$2:$D$1000="Après-vente")+('Agences &amp; Après-vente'!$D$2:$D$1000="Agences et Après-vente"))*('Agences &amp; Après-vente'!$I$2:$I$1000="DONE"))&gt;0,"✓",IF(SUMPRODUCT(MAX(('Agences &amp; Après-vente'!$A$2:$A$1000=$A485)*(('Agences &amp; Après-vente'!$D$2:$D$1000="Après-vente")+('Agences &amp; Après-vente'!$D$2:$D$1000="Agences et Après-vente"))*'Agences &amp; Après-vente'!$E$2:$E$1000))&gt;0,TEXT(SUMPRODUCT(MAX(('Agences &amp; Après-vente'!$A$2:$A$1000=$A485)*(('Agences &amp; Après-vente'!$D$2:$D$1000="Après-vente")+('Agences &amp; Après-vente'!$D$2:$D$1000="Agences et Après-vente"))*'Agences &amp; Après-vente'!$E$2:$E$1000)),"yyyy-mm-dd"),""))))))</f>
        <v/>
      </c>
      <c r="K485" s="131" t="str">
        <f aca="false">IF($U485="✓","✓",IF(ISNUMBER($U485),TEXT($U485,"yyyy-mm-dd"),IF($D485="Lisbonne","",IF($A485="","",IF(SUMPRODUCT((Evermont!$A$2:$A$1000=$A485)*(Evermont!$Q$2:$Q$1000="Terminé"))&gt;0,"✓",IF(SUMPRODUCT(MAX((Evermont!$A$2:$A$1000=$A485)*Evermont!$F$2:$F$1000))&gt;0,TEXT(SUMPRODUCT(MAX((Evermont!$A$2:$A$1000=$A485)*Evermont!$F$2:$F$1000)),"yyyy-mm-dd"),""))))))</f>
        <v/>
      </c>
      <c r="L485" s="131" t="str">
        <f aca="false">IF($A485="","",COUNTIF(E485:K485,"✓"))</f>
        <v/>
      </c>
      <c r="M485" s="131" t="str">
        <f aca="false">IF(B485="","","Active")</f>
        <v/>
      </c>
      <c r="W485" s="120" t="str">
        <f aca="false">IF($A485="","",IF($X485&lt;&gt;"",$X485,IFERROR(INDEX('Formation Initiale'!$B$2:$B$999,MATCH($A485,'Formation Initiale'!$A$2:$A$999,0)),"Général")))</f>
        <v/>
      </c>
    </row>
    <row r="486" customFormat="false" ht="15" hidden="true" customHeight="true" outlineLevel="0" collapsed="false">
      <c r="A486" s="142" t="str">
        <f aca="false">IF(B486="","","TR"&amp;TEXT(ROW()-1,"000"))</f>
        <v/>
      </c>
      <c r="E486" s="130" t="str">
        <f aca="false">IF($O486="✓","✓",IF(ISNUMBER($O486),TEXT($O486,"yyyy-mm-dd"),IF($A486="","",IF(SUMPRODUCT(('Formation Initiale'!$A$2:$A$999=$A486)*('Formation Initiale'!$R$2:$R$999="Terminé"))&gt;0,"✓",IF(SUMPRODUCT(MAX(('Formation Initiale'!$A$2:$A$999=$A486)*'Formation Initiale'!$G$2:$G$999))&gt;0,TEXT(SUMPRODUCT(MAX(('Formation Initiale'!$A$2:$A$999=$A486)*'Formation Initiale'!$G$2:$G$999)),"yyyy-mm-dd"),"")))))</f>
        <v/>
      </c>
      <c r="F486" s="131" t="str">
        <f aca="false">IF($P486="✓","✓",IF(ISNUMBER($P486),TEXT($P486,"yyyy-mm-dd"),IF($A486="","",IF($D486="Lisbonne","",IF(SUMPRODUCT(('Formation Initiale'!$A$2:$A$999=$A486)*('Formation Initiale'!$R$2:$R$999="Terminé"))&gt;0,"✓",IF(SUMPRODUCT(MAX(('Formation Initiale'!$A$2:$A$999=$A486)*'Formation Initiale'!$G$2:$G$999))&gt;0,TEXT(SUMPRODUCT(MAX(('Formation Initiale'!$A$2:$A$999=$A486)*'Formation Initiale'!$G$2:$G$999)),"yyyy-mm-dd"),""))))))</f>
        <v/>
      </c>
      <c r="G486" s="131" t="str">
        <f aca="false">IF($Q486="✓","✓",IF(ISNUMBER($Q486),TEXT($Q486,"yyyy-mm-dd"),IF($A486="","",IF(SUMPRODUCT(('Agences &amp; Après-vente'!$A$2:$A$1000=$A486)*(('Agences &amp; Après-vente'!$D$2:$D$1000="Agences")+('Agences &amp; Après-vente'!$D$2:$D$1000="Agences et Après-vente"))*('Agences &amp; Après-vente'!$I$2:$I$1000="DONE"))&gt;0,"✓",IF(SUMPRODUCT(MAX(('Agences &amp; Après-vente'!$A$2:$A$1000=$A486)*(('Agences &amp; Après-vente'!$D$2:$D$1000="Agences")+('Agences &amp; Après-vente'!$D$2:$D$1000="Agences et Après-vente"))*'Agences &amp; Après-vente'!$E$2:$E$1000))&gt;0,TEXT(SUMPRODUCT(MAX(('Agences &amp; Après-vente'!$A$2:$A$1000=$A486)*(('Agences &amp; Après-vente'!$D$2:$D$1000="Agences")+('Agences &amp; Après-vente'!$D$2:$D$1000="Agences et Après-vente"))*'Agences &amp; Après-vente'!$E$2:$E$1000)),"yyyy-mm-dd"),"")))))</f>
        <v/>
      </c>
      <c r="H486" s="131" t="str">
        <f aca="false">IF($R486="✓","✓",IF(ISNUMBER($R486),TEXT($R486,"yyyy-mm-dd"),IF($A486="","",IF($D486="Lisbonne","",IF(SUMPRODUCT(('Agences &amp; Après-vente'!$A$2:$A$1000=$A486)*(('Agences &amp; Après-vente'!$D$2:$D$1000="Agences")+('Agences &amp; Après-vente'!$D$2:$D$1000="Agences et Après-vente"))*('Agences &amp; Après-vente'!$I$2:$I$1000="DONE"))&gt;0,"✓",IF(SUMPRODUCT(MAX(('Agences &amp; Après-vente'!$A$2:$A$1000=$A486)*(('Agences &amp; Après-vente'!$D$2:$D$1000="Agences")+('Agences &amp; Après-vente'!$D$2:$D$1000="Agences et Après-vente"))*'Agences &amp; Après-vente'!$E$2:$E$1000))&gt;0,TEXT(SUMPRODUCT(MAX(('Agences &amp; Après-vente'!$A$2:$A$1000=$A486)*(('Agences &amp; Après-vente'!$D$2:$D$1000="Agences")+('Agences &amp; Après-vente'!$D$2:$D$1000="Agences et Après-vente"))*'Agences &amp; Après-vente'!$E$2:$E$1000)),"yyyy-mm-dd"),""))))))</f>
        <v/>
      </c>
      <c r="I486" s="131" t="str">
        <f aca="false">IF($S486="✓","✓",IF(ISNUMBER($S486),TEXT($S486,"yyyy-mm-dd"),IF($A486="","",IF(SUMPRODUCT(('Agences &amp; Après-vente'!$A$2:$A$1000=$A486)*(('Agences &amp; Après-vente'!$D$2:$D$1000="Après-vente")+('Agences &amp; Après-vente'!$D$2:$D$1000="Agences et Après-vente"))*('Agences &amp; Après-vente'!$I$2:$I$1000="DONE"))&gt;0,"✓",IF(SUMPRODUCT(MAX(('Agences &amp; Après-vente'!$A$2:$A$1000=$A486)*(('Agences &amp; Après-vente'!$D$2:$D$1000="Après-vente")+('Agences &amp; Après-vente'!$D$2:$D$1000="Agences et Après-vente"))*'Agences &amp; Après-vente'!$E$2:$E$1000))&gt;0,TEXT(SUMPRODUCT(MAX(('Agences &amp; Après-vente'!$A$2:$A$1000=$A486)*(('Agences &amp; Après-vente'!$D$2:$D$1000="Après-vente")+('Agences &amp; Après-vente'!$D$2:$D$1000="Agences et Après-vente"))*'Agences &amp; Après-vente'!$E$2:$E$1000)),"yyyy-mm-dd"),"")))))</f>
        <v/>
      </c>
      <c r="J486" s="131" t="str">
        <f aca="false">IF($T486="✓","✓",IF(ISNUMBER($T486),TEXT($T486,"yyyy-mm-dd"),IF($A486="","",IF($D486="Lisbonne","",IF(SUMPRODUCT(('Agences &amp; Après-vente'!$A$2:$A$1000=$A486)*(('Agences &amp; Après-vente'!$D$2:$D$1000="Après-vente")+('Agences &amp; Après-vente'!$D$2:$D$1000="Agences et Après-vente"))*('Agences &amp; Après-vente'!$I$2:$I$1000="DONE"))&gt;0,"✓",IF(SUMPRODUCT(MAX(('Agences &amp; Après-vente'!$A$2:$A$1000=$A486)*(('Agences &amp; Après-vente'!$D$2:$D$1000="Après-vente")+('Agences &amp; Après-vente'!$D$2:$D$1000="Agences et Après-vente"))*'Agences &amp; Après-vente'!$E$2:$E$1000))&gt;0,TEXT(SUMPRODUCT(MAX(('Agences &amp; Après-vente'!$A$2:$A$1000=$A486)*(('Agences &amp; Après-vente'!$D$2:$D$1000="Après-vente")+('Agences &amp; Après-vente'!$D$2:$D$1000="Agences et Après-vente"))*'Agences &amp; Après-vente'!$E$2:$E$1000)),"yyyy-mm-dd"),""))))))</f>
        <v/>
      </c>
      <c r="K486" s="131" t="str">
        <f aca="false">IF($U486="✓","✓",IF(ISNUMBER($U486),TEXT($U486,"yyyy-mm-dd"),IF($D486="Lisbonne","",IF($A486="","",IF(SUMPRODUCT((Evermont!$A$2:$A$1000=$A486)*(Evermont!$Q$2:$Q$1000="Terminé"))&gt;0,"✓",IF(SUMPRODUCT(MAX((Evermont!$A$2:$A$1000=$A486)*Evermont!$F$2:$F$1000))&gt;0,TEXT(SUMPRODUCT(MAX((Evermont!$A$2:$A$1000=$A486)*Evermont!$F$2:$F$1000)),"yyyy-mm-dd"),""))))))</f>
        <v/>
      </c>
      <c r="L486" s="131" t="str">
        <f aca="false">IF($A486="","",COUNTIF(E486:K486,"✓"))</f>
        <v/>
      </c>
      <c r="M486" s="131" t="str">
        <f aca="false">IF(B486="","","Active")</f>
        <v/>
      </c>
      <c r="W486" s="120" t="str">
        <f aca="false">IF($A486="","",IF($X486&lt;&gt;"",$X486,IFERROR(INDEX('Formation Initiale'!$B$2:$B$999,MATCH($A486,'Formation Initiale'!$A$2:$A$999,0)),"Général")))</f>
        <v/>
      </c>
    </row>
    <row r="487" customFormat="false" ht="15" hidden="true" customHeight="true" outlineLevel="0" collapsed="false">
      <c r="A487" s="142" t="str">
        <f aca="false">IF(B487="","","TR"&amp;TEXT(ROW()-1,"000"))</f>
        <v/>
      </c>
      <c r="E487" s="130" t="str">
        <f aca="false">IF($O487="✓","✓",IF(ISNUMBER($O487),TEXT($O487,"yyyy-mm-dd"),IF($A487="","",IF(SUMPRODUCT(('Formation Initiale'!$A$2:$A$999=$A487)*('Formation Initiale'!$R$2:$R$999="Terminé"))&gt;0,"✓",IF(SUMPRODUCT(MAX(('Formation Initiale'!$A$2:$A$999=$A487)*'Formation Initiale'!$G$2:$G$999))&gt;0,TEXT(SUMPRODUCT(MAX(('Formation Initiale'!$A$2:$A$999=$A487)*'Formation Initiale'!$G$2:$G$999)),"yyyy-mm-dd"),"")))))</f>
        <v/>
      </c>
      <c r="F487" s="131" t="str">
        <f aca="false">IF($P487="✓","✓",IF(ISNUMBER($P487),TEXT($P487,"yyyy-mm-dd"),IF($A487="","",IF($D487="Lisbonne","",IF(SUMPRODUCT(('Formation Initiale'!$A$2:$A$999=$A487)*('Formation Initiale'!$R$2:$R$999="Terminé"))&gt;0,"✓",IF(SUMPRODUCT(MAX(('Formation Initiale'!$A$2:$A$999=$A487)*'Formation Initiale'!$G$2:$G$999))&gt;0,TEXT(SUMPRODUCT(MAX(('Formation Initiale'!$A$2:$A$999=$A487)*'Formation Initiale'!$G$2:$G$999)),"yyyy-mm-dd"),""))))))</f>
        <v/>
      </c>
      <c r="G487" s="131" t="str">
        <f aca="false">IF($Q487="✓","✓",IF(ISNUMBER($Q487),TEXT($Q487,"yyyy-mm-dd"),IF($A487="","",IF(SUMPRODUCT(('Agences &amp; Après-vente'!$A$2:$A$1000=$A487)*(('Agences &amp; Après-vente'!$D$2:$D$1000="Agences")+('Agences &amp; Après-vente'!$D$2:$D$1000="Agences et Après-vente"))*('Agences &amp; Après-vente'!$I$2:$I$1000="DONE"))&gt;0,"✓",IF(SUMPRODUCT(MAX(('Agences &amp; Après-vente'!$A$2:$A$1000=$A487)*(('Agences &amp; Après-vente'!$D$2:$D$1000="Agences")+('Agences &amp; Après-vente'!$D$2:$D$1000="Agences et Après-vente"))*'Agences &amp; Après-vente'!$E$2:$E$1000))&gt;0,TEXT(SUMPRODUCT(MAX(('Agences &amp; Après-vente'!$A$2:$A$1000=$A487)*(('Agences &amp; Après-vente'!$D$2:$D$1000="Agences")+('Agences &amp; Après-vente'!$D$2:$D$1000="Agences et Après-vente"))*'Agences &amp; Après-vente'!$E$2:$E$1000)),"yyyy-mm-dd"),"")))))</f>
        <v/>
      </c>
      <c r="H487" s="131" t="str">
        <f aca="false">IF($R487="✓","✓",IF(ISNUMBER($R487),TEXT($R487,"yyyy-mm-dd"),IF($A487="","",IF($D487="Lisbonne","",IF(SUMPRODUCT(('Agences &amp; Après-vente'!$A$2:$A$1000=$A487)*(('Agences &amp; Après-vente'!$D$2:$D$1000="Agences")+('Agences &amp; Après-vente'!$D$2:$D$1000="Agences et Après-vente"))*('Agences &amp; Après-vente'!$I$2:$I$1000="DONE"))&gt;0,"✓",IF(SUMPRODUCT(MAX(('Agences &amp; Après-vente'!$A$2:$A$1000=$A487)*(('Agences &amp; Après-vente'!$D$2:$D$1000="Agences")+('Agences &amp; Après-vente'!$D$2:$D$1000="Agences et Après-vente"))*'Agences &amp; Après-vente'!$E$2:$E$1000))&gt;0,TEXT(SUMPRODUCT(MAX(('Agences &amp; Après-vente'!$A$2:$A$1000=$A487)*(('Agences &amp; Après-vente'!$D$2:$D$1000="Agences")+('Agences &amp; Après-vente'!$D$2:$D$1000="Agences et Après-vente"))*'Agences &amp; Après-vente'!$E$2:$E$1000)),"yyyy-mm-dd"),""))))))</f>
        <v/>
      </c>
      <c r="I487" s="131" t="str">
        <f aca="false">IF($S487="✓","✓",IF(ISNUMBER($S487),TEXT($S487,"yyyy-mm-dd"),IF($A487="","",IF(SUMPRODUCT(('Agences &amp; Après-vente'!$A$2:$A$1000=$A487)*(('Agences &amp; Après-vente'!$D$2:$D$1000="Après-vente")+('Agences &amp; Après-vente'!$D$2:$D$1000="Agences et Après-vente"))*('Agences &amp; Après-vente'!$I$2:$I$1000="DONE"))&gt;0,"✓",IF(SUMPRODUCT(MAX(('Agences &amp; Après-vente'!$A$2:$A$1000=$A487)*(('Agences &amp; Après-vente'!$D$2:$D$1000="Après-vente")+('Agences &amp; Après-vente'!$D$2:$D$1000="Agences et Après-vente"))*'Agences &amp; Après-vente'!$E$2:$E$1000))&gt;0,TEXT(SUMPRODUCT(MAX(('Agences &amp; Après-vente'!$A$2:$A$1000=$A487)*(('Agences &amp; Après-vente'!$D$2:$D$1000="Après-vente")+('Agences &amp; Après-vente'!$D$2:$D$1000="Agences et Après-vente"))*'Agences &amp; Après-vente'!$E$2:$E$1000)),"yyyy-mm-dd"),"")))))</f>
        <v/>
      </c>
      <c r="J487" s="131" t="str">
        <f aca="false">IF($T487="✓","✓",IF(ISNUMBER($T487),TEXT($T487,"yyyy-mm-dd"),IF($A487="","",IF($D487="Lisbonne","",IF(SUMPRODUCT(('Agences &amp; Après-vente'!$A$2:$A$1000=$A487)*(('Agences &amp; Après-vente'!$D$2:$D$1000="Après-vente")+('Agences &amp; Après-vente'!$D$2:$D$1000="Agences et Après-vente"))*('Agences &amp; Après-vente'!$I$2:$I$1000="DONE"))&gt;0,"✓",IF(SUMPRODUCT(MAX(('Agences &amp; Après-vente'!$A$2:$A$1000=$A487)*(('Agences &amp; Après-vente'!$D$2:$D$1000="Après-vente")+('Agences &amp; Après-vente'!$D$2:$D$1000="Agences et Après-vente"))*'Agences &amp; Après-vente'!$E$2:$E$1000))&gt;0,TEXT(SUMPRODUCT(MAX(('Agences &amp; Après-vente'!$A$2:$A$1000=$A487)*(('Agences &amp; Après-vente'!$D$2:$D$1000="Après-vente")+('Agences &amp; Après-vente'!$D$2:$D$1000="Agences et Après-vente"))*'Agences &amp; Après-vente'!$E$2:$E$1000)),"yyyy-mm-dd"),""))))))</f>
        <v/>
      </c>
      <c r="K487" s="131" t="str">
        <f aca="false">IF($U487="✓","✓",IF(ISNUMBER($U487),TEXT($U487,"yyyy-mm-dd"),IF($D487="Lisbonne","",IF($A487="","",IF(SUMPRODUCT((Evermont!$A$2:$A$1000=$A487)*(Evermont!$Q$2:$Q$1000="Terminé"))&gt;0,"✓",IF(SUMPRODUCT(MAX((Evermont!$A$2:$A$1000=$A487)*Evermont!$F$2:$F$1000))&gt;0,TEXT(SUMPRODUCT(MAX((Evermont!$A$2:$A$1000=$A487)*Evermont!$F$2:$F$1000)),"yyyy-mm-dd"),""))))))</f>
        <v/>
      </c>
      <c r="L487" s="131" t="str">
        <f aca="false">IF($A487="","",COUNTIF(E487:K487,"✓"))</f>
        <v/>
      </c>
      <c r="M487" s="131" t="str">
        <f aca="false">IF(B487="","","Active")</f>
        <v/>
      </c>
      <c r="W487" s="120" t="str">
        <f aca="false">IF($A487="","",IF($X487&lt;&gt;"",$X487,IFERROR(INDEX('Formation Initiale'!$B$2:$B$999,MATCH($A487,'Formation Initiale'!$A$2:$A$999,0)),"Général")))</f>
        <v/>
      </c>
    </row>
    <row r="488" customFormat="false" ht="15" hidden="true" customHeight="true" outlineLevel="0" collapsed="false">
      <c r="A488" s="142" t="str">
        <f aca="false">IF(B488="","","TR"&amp;TEXT(ROW()-1,"000"))</f>
        <v/>
      </c>
      <c r="E488" s="130" t="str">
        <f aca="false">IF($O488="✓","✓",IF(ISNUMBER($O488),TEXT($O488,"yyyy-mm-dd"),IF($A488="","",IF(SUMPRODUCT(('Formation Initiale'!$A$2:$A$999=$A488)*('Formation Initiale'!$R$2:$R$999="Terminé"))&gt;0,"✓",IF(SUMPRODUCT(MAX(('Formation Initiale'!$A$2:$A$999=$A488)*'Formation Initiale'!$G$2:$G$999))&gt;0,TEXT(SUMPRODUCT(MAX(('Formation Initiale'!$A$2:$A$999=$A488)*'Formation Initiale'!$G$2:$G$999)),"yyyy-mm-dd"),"")))))</f>
        <v/>
      </c>
      <c r="F488" s="131" t="str">
        <f aca="false">IF($P488="✓","✓",IF(ISNUMBER($P488),TEXT($P488,"yyyy-mm-dd"),IF($A488="","",IF($D488="Lisbonne","",IF(SUMPRODUCT(('Formation Initiale'!$A$2:$A$999=$A488)*('Formation Initiale'!$R$2:$R$999="Terminé"))&gt;0,"✓",IF(SUMPRODUCT(MAX(('Formation Initiale'!$A$2:$A$999=$A488)*'Formation Initiale'!$G$2:$G$999))&gt;0,TEXT(SUMPRODUCT(MAX(('Formation Initiale'!$A$2:$A$999=$A488)*'Formation Initiale'!$G$2:$G$999)),"yyyy-mm-dd"),""))))))</f>
        <v/>
      </c>
      <c r="G488" s="131" t="str">
        <f aca="false">IF($Q488="✓","✓",IF(ISNUMBER($Q488),TEXT($Q488,"yyyy-mm-dd"),IF($A488="","",IF(SUMPRODUCT(('Agences &amp; Après-vente'!$A$2:$A$1000=$A488)*(('Agences &amp; Après-vente'!$D$2:$D$1000="Agences")+('Agences &amp; Après-vente'!$D$2:$D$1000="Agences et Après-vente"))*('Agences &amp; Après-vente'!$I$2:$I$1000="DONE"))&gt;0,"✓",IF(SUMPRODUCT(MAX(('Agences &amp; Après-vente'!$A$2:$A$1000=$A488)*(('Agences &amp; Après-vente'!$D$2:$D$1000="Agences")+('Agences &amp; Après-vente'!$D$2:$D$1000="Agences et Après-vente"))*'Agences &amp; Après-vente'!$E$2:$E$1000))&gt;0,TEXT(SUMPRODUCT(MAX(('Agences &amp; Après-vente'!$A$2:$A$1000=$A488)*(('Agences &amp; Après-vente'!$D$2:$D$1000="Agences")+('Agences &amp; Après-vente'!$D$2:$D$1000="Agences et Après-vente"))*'Agences &amp; Après-vente'!$E$2:$E$1000)),"yyyy-mm-dd"),"")))))</f>
        <v/>
      </c>
      <c r="H488" s="131" t="str">
        <f aca="false">IF($R488="✓","✓",IF(ISNUMBER($R488),TEXT($R488,"yyyy-mm-dd"),IF($A488="","",IF($D488="Lisbonne","",IF(SUMPRODUCT(('Agences &amp; Après-vente'!$A$2:$A$1000=$A488)*(('Agences &amp; Après-vente'!$D$2:$D$1000="Agences")+('Agences &amp; Après-vente'!$D$2:$D$1000="Agences et Après-vente"))*('Agences &amp; Après-vente'!$I$2:$I$1000="DONE"))&gt;0,"✓",IF(SUMPRODUCT(MAX(('Agences &amp; Après-vente'!$A$2:$A$1000=$A488)*(('Agences &amp; Après-vente'!$D$2:$D$1000="Agences")+('Agences &amp; Après-vente'!$D$2:$D$1000="Agences et Après-vente"))*'Agences &amp; Après-vente'!$E$2:$E$1000))&gt;0,TEXT(SUMPRODUCT(MAX(('Agences &amp; Après-vente'!$A$2:$A$1000=$A488)*(('Agences &amp; Après-vente'!$D$2:$D$1000="Agences")+('Agences &amp; Après-vente'!$D$2:$D$1000="Agences et Après-vente"))*'Agences &amp; Après-vente'!$E$2:$E$1000)),"yyyy-mm-dd"),""))))))</f>
        <v/>
      </c>
      <c r="I488" s="131" t="str">
        <f aca="false">IF($S488="✓","✓",IF(ISNUMBER($S488),TEXT($S488,"yyyy-mm-dd"),IF($A488="","",IF(SUMPRODUCT(('Agences &amp; Après-vente'!$A$2:$A$1000=$A488)*(('Agences &amp; Après-vente'!$D$2:$D$1000="Après-vente")+('Agences &amp; Après-vente'!$D$2:$D$1000="Agences et Après-vente"))*('Agences &amp; Après-vente'!$I$2:$I$1000="DONE"))&gt;0,"✓",IF(SUMPRODUCT(MAX(('Agences &amp; Après-vente'!$A$2:$A$1000=$A488)*(('Agences &amp; Après-vente'!$D$2:$D$1000="Après-vente")+('Agences &amp; Après-vente'!$D$2:$D$1000="Agences et Après-vente"))*'Agences &amp; Après-vente'!$E$2:$E$1000))&gt;0,TEXT(SUMPRODUCT(MAX(('Agences &amp; Après-vente'!$A$2:$A$1000=$A488)*(('Agences &amp; Après-vente'!$D$2:$D$1000="Après-vente")+('Agences &amp; Après-vente'!$D$2:$D$1000="Agences et Après-vente"))*'Agences &amp; Après-vente'!$E$2:$E$1000)),"yyyy-mm-dd"),"")))))</f>
        <v/>
      </c>
      <c r="J488" s="131" t="str">
        <f aca="false">IF($T488="✓","✓",IF(ISNUMBER($T488),TEXT($T488,"yyyy-mm-dd"),IF($A488="","",IF($D488="Lisbonne","",IF(SUMPRODUCT(('Agences &amp; Après-vente'!$A$2:$A$1000=$A488)*(('Agences &amp; Après-vente'!$D$2:$D$1000="Après-vente")+('Agences &amp; Après-vente'!$D$2:$D$1000="Agences et Après-vente"))*('Agences &amp; Après-vente'!$I$2:$I$1000="DONE"))&gt;0,"✓",IF(SUMPRODUCT(MAX(('Agences &amp; Après-vente'!$A$2:$A$1000=$A488)*(('Agences &amp; Après-vente'!$D$2:$D$1000="Après-vente")+('Agences &amp; Après-vente'!$D$2:$D$1000="Agences et Après-vente"))*'Agences &amp; Après-vente'!$E$2:$E$1000))&gt;0,TEXT(SUMPRODUCT(MAX(('Agences &amp; Après-vente'!$A$2:$A$1000=$A488)*(('Agences &amp; Après-vente'!$D$2:$D$1000="Après-vente")+('Agences &amp; Après-vente'!$D$2:$D$1000="Agences et Après-vente"))*'Agences &amp; Après-vente'!$E$2:$E$1000)),"yyyy-mm-dd"),""))))))</f>
        <v/>
      </c>
      <c r="K488" s="131" t="str">
        <f aca="false">IF($U488="✓","✓",IF(ISNUMBER($U488),TEXT($U488,"yyyy-mm-dd"),IF($D488="Lisbonne","",IF($A488="","",IF(SUMPRODUCT((Evermont!$A$2:$A$1000=$A488)*(Evermont!$Q$2:$Q$1000="Terminé"))&gt;0,"✓",IF(SUMPRODUCT(MAX((Evermont!$A$2:$A$1000=$A488)*Evermont!$F$2:$F$1000))&gt;0,TEXT(SUMPRODUCT(MAX((Evermont!$A$2:$A$1000=$A488)*Evermont!$F$2:$F$1000)),"yyyy-mm-dd"),""))))))</f>
        <v/>
      </c>
      <c r="L488" s="131" t="str">
        <f aca="false">IF($A488="","",COUNTIF(E488:K488,"✓"))</f>
        <v/>
      </c>
      <c r="M488" s="131" t="str">
        <f aca="false">IF(B488="","","Active")</f>
        <v/>
      </c>
      <c r="W488" s="120" t="str">
        <f aca="false">IF($A488="","",IF($X488&lt;&gt;"",$X488,IFERROR(INDEX('Formation Initiale'!$B$2:$B$999,MATCH($A488,'Formation Initiale'!$A$2:$A$999,0)),"Général")))</f>
        <v/>
      </c>
    </row>
    <row r="489" customFormat="false" ht="15" hidden="true" customHeight="true" outlineLevel="0" collapsed="false">
      <c r="A489" s="142" t="str">
        <f aca="false">IF(B489="","","TR"&amp;TEXT(ROW()-1,"000"))</f>
        <v/>
      </c>
      <c r="E489" s="130" t="str">
        <f aca="false">IF($O489="✓","✓",IF(ISNUMBER($O489),TEXT($O489,"yyyy-mm-dd"),IF($A489="","",IF(SUMPRODUCT(('Formation Initiale'!$A$2:$A$999=$A489)*('Formation Initiale'!$R$2:$R$999="Terminé"))&gt;0,"✓",IF(SUMPRODUCT(MAX(('Formation Initiale'!$A$2:$A$999=$A489)*'Formation Initiale'!$G$2:$G$999))&gt;0,TEXT(SUMPRODUCT(MAX(('Formation Initiale'!$A$2:$A$999=$A489)*'Formation Initiale'!$G$2:$G$999)),"yyyy-mm-dd"),"")))))</f>
        <v/>
      </c>
      <c r="F489" s="131" t="str">
        <f aca="false">IF($P489="✓","✓",IF(ISNUMBER($P489),TEXT($P489,"yyyy-mm-dd"),IF($A489="","",IF($D489="Lisbonne","",IF(SUMPRODUCT(('Formation Initiale'!$A$2:$A$999=$A489)*('Formation Initiale'!$R$2:$R$999="Terminé"))&gt;0,"✓",IF(SUMPRODUCT(MAX(('Formation Initiale'!$A$2:$A$999=$A489)*'Formation Initiale'!$G$2:$G$999))&gt;0,TEXT(SUMPRODUCT(MAX(('Formation Initiale'!$A$2:$A$999=$A489)*'Formation Initiale'!$G$2:$G$999)),"yyyy-mm-dd"),""))))))</f>
        <v/>
      </c>
      <c r="G489" s="131" t="str">
        <f aca="false">IF($Q489="✓","✓",IF(ISNUMBER($Q489),TEXT($Q489,"yyyy-mm-dd"),IF($A489="","",IF(SUMPRODUCT(('Agences &amp; Après-vente'!$A$2:$A$1000=$A489)*(('Agences &amp; Après-vente'!$D$2:$D$1000="Agences")+('Agences &amp; Après-vente'!$D$2:$D$1000="Agences et Après-vente"))*('Agences &amp; Après-vente'!$I$2:$I$1000="DONE"))&gt;0,"✓",IF(SUMPRODUCT(MAX(('Agences &amp; Après-vente'!$A$2:$A$1000=$A489)*(('Agences &amp; Après-vente'!$D$2:$D$1000="Agences")+('Agences &amp; Après-vente'!$D$2:$D$1000="Agences et Après-vente"))*'Agences &amp; Après-vente'!$E$2:$E$1000))&gt;0,TEXT(SUMPRODUCT(MAX(('Agences &amp; Après-vente'!$A$2:$A$1000=$A489)*(('Agences &amp; Après-vente'!$D$2:$D$1000="Agences")+('Agences &amp; Après-vente'!$D$2:$D$1000="Agences et Après-vente"))*'Agences &amp; Après-vente'!$E$2:$E$1000)),"yyyy-mm-dd"),"")))))</f>
        <v/>
      </c>
      <c r="H489" s="131" t="str">
        <f aca="false">IF($R489="✓","✓",IF(ISNUMBER($R489),TEXT($R489,"yyyy-mm-dd"),IF($A489="","",IF($D489="Lisbonne","",IF(SUMPRODUCT(('Agences &amp; Après-vente'!$A$2:$A$1000=$A489)*(('Agences &amp; Après-vente'!$D$2:$D$1000="Agences")+('Agences &amp; Après-vente'!$D$2:$D$1000="Agences et Après-vente"))*('Agences &amp; Après-vente'!$I$2:$I$1000="DONE"))&gt;0,"✓",IF(SUMPRODUCT(MAX(('Agences &amp; Après-vente'!$A$2:$A$1000=$A489)*(('Agences &amp; Après-vente'!$D$2:$D$1000="Agences")+('Agences &amp; Après-vente'!$D$2:$D$1000="Agences et Après-vente"))*'Agences &amp; Après-vente'!$E$2:$E$1000))&gt;0,TEXT(SUMPRODUCT(MAX(('Agences &amp; Après-vente'!$A$2:$A$1000=$A489)*(('Agences &amp; Après-vente'!$D$2:$D$1000="Agences")+('Agences &amp; Après-vente'!$D$2:$D$1000="Agences et Après-vente"))*'Agences &amp; Après-vente'!$E$2:$E$1000)),"yyyy-mm-dd"),""))))))</f>
        <v/>
      </c>
      <c r="I489" s="131" t="str">
        <f aca="false">IF($S489="✓","✓",IF(ISNUMBER($S489),TEXT($S489,"yyyy-mm-dd"),IF($A489="","",IF(SUMPRODUCT(('Agences &amp; Après-vente'!$A$2:$A$1000=$A489)*(('Agences &amp; Après-vente'!$D$2:$D$1000="Après-vente")+('Agences &amp; Après-vente'!$D$2:$D$1000="Agences et Après-vente"))*('Agences &amp; Après-vente'!$I$2:$I$1000="DONE"))&gt;0,"✓",IF(SUMPRODUCT(MAX(('Agences &amp; Après-vente'!$A$2:$A$1000=$A489)*(('Agences &amp; Après-vente'!$D$2:$D$1000="Après-vente")+('Agences &amp; Après-vente'!$D$2:$D$1000="Agences et Après-vente"))*'Agences &amp; Après-vente'!$E$2:$E$1000))&gt;0,TEXT(SUMPRODUCT(MAX(('Agences &amp; Après-vente'!$A$2:$A$1000=$A489)*(('Agences &amp; Après-vente'!$D$2:$D$1000="Après-vente")+('Agences &amp; Après-vente'!$D$2:$D$1000="Agences et Après-vente"))*'Agences &amp; Après-vente'!$E$2:$E$1000)),"yyyy-mm-dd"),"")))))</f>
        <v/>
      </c>
      <c r="J489" s="131" t="str">
        <f aca="false">IF($T489="✓","✓",IF(ISNUMBER($T489),TEXT($T489,"yyyy-mm-dd"),IF($A489="","",IF($D489="Lisbonne","",IF(SUMPRODUCT(('Agences &amp; Après-vente'!$A$2:$A$1000=$A489)*(('Agences &amp; Après-vente'!$D$2:$D$1000="Après-vente")+('Agences &amp; Après-vente'!$D$2:$D$1000="Agences et Après-vente"))*('Agences &amp; Après-vente'!$I$2:$I$1000="DONE"))&gt;0,"✓",IF(SUMPRODUCT(MAX(('Agences &amp; Après-vente'!$A$2:$A$1000=$A489)*(('Agences &amp; Après-vente'!$D$2:$D$1000="Après-vente")+('Agences &amp; Après-vente'!$D$2:$D$1000="Agences et Après-vente"))*'Agences &amp; Après-vente'!$E$2:$E$1000))&gt;0,TEXT(SUMPRODUCT(MAX(('Agences &amp; Après-vente'!$A$2:$A$1000=$A489)*(('Agences &amp; Après-vente'!$D$2:$D$1000="Après-vente")+('Agences &amp; Après-vente'!$D$2:$D$1000="Agences et Après-vente"))*'Agences &amp; Après-vente'!$E$2:$E$1000)),"yyyy-mm-dd"),""))))))</f>
        <v/>
      </c>
      <c r="K489" s="131" t="str">
        <f aca="false">IF($U489="✓","✓",IF(ISNUMBER($U489),TEXT($U489,"yyyy-mm-dd"),IF($D489="Lisbonne","",IF($A489="","",IF(SUMPRODUCT((Evermont!$A$2:$A$1000=$A489)*(Evermont!$Q$2:$Q$1000="Terminé"))&gt;0,"✓",IF(SUMPRODUCT(MAX((Evermont!$A$2:$A$1000=$A489)*Evermont!$F$2:$F$1000))&gt;0,TEXT(SUMPRODUCT(MAX((Evermont!$A$2:$A$1000=$A489)*Evermont!$F$2:$F$1000)),"yyyy-mm-dd"),""))))))</f>
        <v/>
      </c>
      <c r="L489" s="131" t="str">
        <f aca="false">IF($A489="","",COUNTIF(E489:K489,"✓"))</f>
        <v/>
      </c>
      <c r="M489" s="131" t="str">
        <f aca="false">IF(B489="","","Active")</f>
        <v/>
      </c>
      <c r="W489" s="120" t="str">
        <f aca="false">IF($A489="","",IF($X489&lt;&gt;"",$X489,IFERROR(INDEX('Formation Initiale'!$B$2:$B$999,MATCH($A489,'Formation Initiale'!$A$2:$A$999,0)),"Général")))</f>
        <v/>
      </c>
    </row>
    <row r="490" customFormat="false" ht="15" hidden="true" customHeight="true" outlineLevel="0" collapsed="false">
      <c r="A490" s="142" t="str">
        <f aca="false">IF(B490="","","TR"&amp;TEXT(ROW()-1,"000"))</f>
        <v/>
      </c>
      <c r="E490" s="130" t="str">
        <f aca="false">IF($O490="✓","✓",IF(ISNUMBER($O490),TEXT($O490,"yyyy-mm-dd"),IF($A490="","",IF(SUMPRODUCT(('Formation Initiale'!$A$2:$A$999=$A490)*('Formation Initiale'!$R$2:$R$999="Terminé"))&gt;0,"✓",IF(SUMPRODUCT(MAX(('Formation Initiale'!$A$2:$A$999=$A490)*'Formation Initiale'!$G$2:$G$999))&gt;0,TEXT(SUMPRODUCT(MAX(('Formation Initiale'!$A$2:$A$999=$A490)*'Formation Initiale'!$G$2:$G$999)),"yyyy-mm-dd"),"")))))</f>
        <v/>
      </c>
      <c r="F490" s="131" t="str">
        <f aca="false">IF($P490="✓","✓",IF(ISNUMBER($P490),TEXT($P490,"yyyy-mm-dd"),IF($A490="","",IF($D490="Lisbonne","",IF(SUMPRODUCT(('Formation Initiale'!$A$2:$A$999=$A490)*('Formation Initiale'!$R$2:$R$999="Terminé"))&gt;0,"✓",IF(SUMPRODUCT(MAX(('Formation Initiale'!$A$2:$A$999=$A490)*'Formation Initiale'!$G$2:$G$999))&gt;0,TEXT(SUMPRODUCT(MAX(('Formation Initiale'!$A$2:$A$999=$A490)*'Formation Initiale'!$G$2:$G$999)),"yyyy-mm-dd"),""))))))</f>
        <v/>
      </c>
      <c r="G490" s="131" t="str">
        <f aca="false">IF($Q490="✓","✓",IF(ISNUMBER($Q490),TEXT($Q490,"yyyy-mm-dd"),IF($A490="","",IF(SUMPRODUCT(('Agences &amp; Après-vente'!$A$2:$A$1000=$A490)*(('Agences &amp; Après-vente'!$D$2:$D$1000="Agences")+('Agences &amp; Après-vente'!$D$2:$D$1000="Agences et Après-vente"))*('Agences &amp; Après-vente'!$I$2:$I$1000="DONE"))&gt;0,"✓",IF(SUMPRODUCT(MAX(('Agences &amp; Après-vente'!$A$2:$A$1000=$A490)*(('Agences &amp; Après-vente'!$D$2:$D$1000="Agences")+('Agences &amp; Après-vente'!$D$2:$D$1000="Agences et Après-vente"))*'Agences &amp; Après-vente'!$E$2:$E$1000))&gt;0,TEXT(SUMPRODUCT(MAX(('Agences &amp; Après-vente'!$A$2:$A$1000=$A490)*(('Agences &amp; Après-vente'!$D$2:$D$1000="Agences")+('Agences &amp; Après-vente'!$D$2:$D$1000="Agences et Après-vente"))*'Agences &amp; Après-vente'!$E$2:$E$1000)),"yyyy-mm-dd"),"")))))</f>
        <v/>
      </c>
      <c r="H490" s="131" t="str">
        <f aca="false">IF($R490="✓","✓",IF(ISNUMBER($R490),TEXT($R490,"yyyy-mm-dd"),IF($A490="","",IF($D490="Lisbonne","",IF(SUMPRODUCT(('Agences &amp; Après-vente'!$A$2:$A$1000=$A490)*(('Agences &amp; Après-vente'!$D$2:$D$1000="Agences")+('Agences &amp; Après-vente'!$D$2:$D$1000="Agences et Après-vente"))*('Agences &amp; Après-vente'!$I$2:$I$1000="DONE"))&gt;0,"✓",IF(SUMPRODUCT(MAX(('Agences &amp; Après-vente'!$A$2:$A$1000=$A490)*(('Agences &amp; Après-vente'!$D$2:$D$1000="Agences")+('Agences &amp; Après-vente'!$D$2:$D$1000="Agences et Après-vente"))*'Agences &amp; Après-vente'!$E$2:$E$1000))&gt;0,TEXT(SUMPRODUCT(MAX(('Agences &amp; Après-vente'!$A$2:$A$1000=$A490)*(('Agences &amp; Après-vente'!$D$2:$D$1000="Agences")+('Agences &amp; Après-vente'!$D$2:$D$1000="Agences et Après-vente"))*'Agences &amp; Après-vente'!$E$2:$E$1000)),"yyyy-mm-dd"),""))))))</f>
        <v/>
      </c>
      <c r="I490" s="131" t="str">
        <f aca="false">IF($S490="✓","✓",IF(ISNUMBER($S490),TEXT($S490,"yyyy-mm-dd"),IF($A490="","",IF(SUMPRODUCT(('Agences &amp; Après-vente'!$A$2:$A$1000=$A490)*(('Agences &amp; Après-vente'!$D$2:$D$1000="Après-vente")+('Agences &amp; Après-vente'!$D$2:$D$1000="Agences et Après-vente"))*('Agences &amp; Après-vente'!$I$2:$I$1000="DONE"))&gt;0,"✓",IF(SUMPRODUCT(MAX(('Agences &amp; Après-vente'!$A$2:$A$1000=$A490)*(('Agences &amp; Après-vente'!$D$2:$D$1000="Après-vente")+('Agences &amp; Après-vente'!$D$2:$D$1000="Agences et Après-vente"))*'Agences &amp; Après-vente'!$E$2:$E$1000))&gt;0,TEXT(SUMPRODUCT(MAX(('Agences &amp; Après-vente'!$A$2:$A$1000=$A490)*(('Agences &amp; Après-vente'!$D$2:$D$1000="Après-vente")+('Agences &amp; Après-vente'!$D$2:$D$1000="Agences et Après-vente"))*'Agences &amp; Après-vente'!$E$2:$E$1000)),"yyyy-mm-dd"),"")))))</f>
        <v/>
      </c>
      <c r="J490" s="131" t="str">
        <f aca="false">IF($T490="✓","✓",IF(ISNUMBER($T490),TEXT($T490,"yyyy-mm-dd"),IF($A490="","",IF($D490="Lisbonne","",IF(SUMPRODUCT(('Agences &amp; Après-vente'!$A$2:$A$1000=$A490)*(('Agences &amp; Après-vente'!$D$2:$D$1000="Après-vente")+('Agences &amp; Après-vente'!$D$2:$D$1000="Agences et Après-vente"))*('Agences &amp; Après-vente'!$I$2:$I$1000="DONE"))&gt;0,"✓",IF(SUMPRODUCT(MAX(('Agences &amp; Après-vente'!$A$2:$A$1000=$A490)*(('Agences &amp; Après-vente'!$D$2:$D$1000="Après-vente")+('Agences &amp; Après-vente'!$D$2:$D$1000="Agences et Après-vente"))*'Agences &amp; Après-vente'!$E$2:$E$1000))&gt;0,TEXT(SUMPRODUCT(MAX(('Agences &amp; Après-vente'!$A$2:$A$1000=$A490)*(('Agences &amp; Après-vente'!$D$2:$D$1000="Après-vente")+('Agences &amp; Après-vente'!$D$2:$D$1000="Agences et Après-vente"))*'Agences &amp; Après-vente'!$E$2:$E$1000)),"yyyy-mm-dd"),""))))))</f>
        <v/>
      </c>
      <c r="K490" s="131" t="str">
        <f aca="false">IF($U490="✓","✓",IF(ISNUMBER($U490),TEXT($U490,"yyyy-mm-dd"),IF($D490="Lisbonne","",IF($A490="","",IF(SUMPRODUCT((Evermont!$A$2:$A$1000=$A490)*(Evermont!$Q$2:$Q$1000="Terminé"))&gt;0,"✓",IF(SUMPRODUCT(MAX((Evermont!$A$2:$A$1000=$A490)*Evermont!$F$2:$F$1000))&gt;0,TEXT(SUMPRODUCT(MAX((Evermont!$A$2:$A$1000=$A490)*Evermont!$F$2:$F$1000)),"yyyy-mm-dd"),""))))))</f>
        <v/>
      </c>
      <c r="L490" s="131" t="str">
        <f aca="false">IF($A490="","",COUNTIF(E490:K490,"✓"))</f>
        <v/>
      </c>
      <c r="M490" s="131" t="str">
        <f aca="false">IF(B490="","","Active")</f>
        <v/>
      </c>
      <c r="W490" s="120" t="str">
        <f aca="false">IF($A490="","",IF($X490&lt;&gt;"",$X490,IFERROR(INDEX('Formation Initiale'!$B$2:$B$999,MATCH($A490,'Formation Initiale'!$A$2:$A$999,0)),"Général")))</f>
        <v/>
      </c>
    </row>
    <row r="491" customFormat="false" ht="15" hidden="true" customHeight="true" outlineLevel="0" collapsed="false">
      <c r="A491" s="142" t="str">
        <f aca="false">IF(B491="","","TR"&amp;TEXT(ROW()-1,"000"))</f>
        <v/>
      </c>
      <c r="E491" s="130" t="str">
        <f aca="false">IF($O491="✓","✓",IF(ISNUMBER($O491),TEXT($O491,"yyyy-mm-dd"),IF($A491="","",IF(SUMPRODUCT(('Formation Initiale'!$A$2:$A$999=$A491)*('Formation Initiale'!$R$2:$R$999="Terminé"))&gt;0,"✓",IF(SUMPRODUCT(MAX(('Formation Initiale'!$A$2:$A$999=$A491)*'Formation Initiale'!$G$2:$G$999))&gt;0,TEXT(SUMPRODUCT(MAX(('Formation Initiale'!$A$2:$A$999=$A491)*'Formation Initiale'!$G$2:$G$999)),"yyyy-mm-dd"),"")))))</f>
        <v/>
      </c>
      <c r="F491" s="131" t="str">
        <f aca="false">IF($P491="✓","✓",IF(ISNUMBER($P491),TEXT($P491,"yyyy-mm-dd"),IF($A491="","",IF($D491="Lisbonne","",IF(SUMPRODUCT(('Formation Initiale'!$A$2:$A$999=$A491)*('Formation Initiale'!$R$2:$R$999="Terminé"))&gt;0,"✓",IF(SUMPRODUCT(MAX(('Formation Initiale'!$A$2:$A$999=$A491)*'Formation Initiale'!$G$2:$G$999))&gt;0,TEXT(SUMPRODUCT(MAX(('Formation Initiale'!$A$2:$A$999=$A491)*'Formation Initiale'!$G$2:$G$999)),"yyyy-mm-dd"),""))))))</f>
        <v/>
      </c>
      <c r="G491" s="131" t="str">
        <f aca="false">IF($Q491="✓","✓",IF(ISNUMBER($Q491),TEXT($Q491,"yyyy-mm-dd"),IF($A491="","",IF(SUMPRODUCT(('Agences &amp; Après-vente'!$A$2:$A$1000=$A491)*(('Agences &amp; Après-vente'!$D$2:$D$1000="Agences")+('Agences &amp; Après-vente'!$D$2:$D$1000="Agences et Après-vente"))*('Agences &amp; Après-vente'!$I$2:$I$1000="DONE"))&gt;0,"✓",IF(SUMPRODUCT(MAX(('Agences &amp; Après-vente'!$A$2:$A$1000=$A491)*(('Agences &amp; Après-vente'!$D$2:$D$1000="Agences")+('Agences &amp; Après-vente'!$D$2:$D$1000="Agences et Après-vente"))*'Agences &amp; Après-vente'!$E$2:$E$1000))&gt;0,TEXT(SUMPRODUCT(MAX(('Agences &amp; Après-vente'!$A$2:$A$1000=$A491)*(('Agences &amp; Après-vente'!$D$2:$D$1000="Agences")+('Agences &amp; Après-vente'!$D$2:$D$1000="Agences et Après-vente"))*'Agences &amp; Après-vente'!$E$2:$E$1000)),"yyyy-mm-dd"),"")))))</f>
        <v/>
      </c>
      <c r="H491" s="131" t="str">
        <f aca="false">IF($R491="✓","✓",IF(ISNUMBER($R491),TEXT($R491,"yyyy-mm-dd"),IF($A491="","",IF($D491="Lisbonne","",IF(SUMPRODUCT(('Agences &amp; Après-vente'!$A$2:$A$1000=$A491)*(('Agences &amp; Après-vente'!$D$2:$D$1000="Agences")+('Agences &amp; Après-vente'!$D$2:$D$1000="Agences et Après-vente"))*('Agences &amp; Après-vente'!$I$2:$I$1000="DONE"))&gt;0,"✓",IF(SUMPRODUCT(MAX(('Agences &amp; Après-vente'!$A$2:$A$1000=$A491)*(('Agences &amp; Après-vente'!$D$2:$D$1000="Agences")+('Agences &amp; Après-vente'!$D$2:$D$1000="Agences et Après-vente"))*'Agences &amp; Après-vente'!$E$2:$E$1000))&gt;0,TEXT(SUMPRODUCT(MAX(('Agences &amp; Après-vente'!$A$2:$A$1000=$A491)*(('Agences &amp; Après-vente'!$D$2:$D$1000="Agences")+('Agences &amp; Après-vente'!$D$2:$D$1000="Agences et Après-vente"))*'Agences &amp; Après-vente'!$E$2:$E$1000)),"yyyy-mm-dd"),""))))))</f>
        <v/>
      </c>
      <c r="I491" s="131" t="str">
        <f aca="false">IF($S491="✓","✓",IF(ISNUMBER($S491),TEXT($S491,"yyyy-mm-dd"),IF($A491="","",IF(SUMPRODUCT(('Agences &amp; Après-vente'!$A$2:$A$1000=$A491)*(('Agences &amp; Après-vente'!$D$2:$D$1000="Après-vente")+('Agences &amp; Après-vente'!$D$2:$D$1000="Agences et Après-vente"))*('Agences &amp; Après-vente'!$I$2:$I$1000="DONE"))&gt;0,"✓",IF(SUMPRODUCT(MAX(('Agences &amp; Après-vente'!$A$2:$A$1000=$A491)*(('Agences &amp; Après-vente'!$D$2:$D$1000="Après-vente")+('Agences &amp; Après-vente'!$D$2:$D$1000="Agences et Après-vente"))*'Agences &amp; Après-vente'!$E$2:$E$1000))&gt;0,TEXT(SUMPRODUCT(MAX(('Agences &amp; Après-vente'!$A$2:$A$1000=$A491)*(('Agences &amp; Après-vente'!$D$2:$D$1000="Après-vente")+('Agences &amp; Après-vente'!$D$2:$D$1000="Agences et Après-vente"))*'Agences &amp; Après-vente'!$E$2:$E$1000)),"yyyy-mm-dd"),"")))))</f>
        <v/>
      </c>
      <c r="J491" s="131" t="str">
        <f aca="false">IF($T491="✓","✓",IF(ISNUMBER($T491),TEXT($T491,"yyyy-mm-dd"),IF($A491="","",IF($D491="Lisbonne","",IF(SUMPRODUCT(('Agences &amp; Après-vente'!$A$2:$A$1000=$A491)*(('Agences &amp; Après-vente'!$D$2:$D$1000="Après-vente")+('Agences &amp; Après-vente'!$D$2:$D$1000="Agences et Après-vente"))*('Agences &amp; Après-vente'!$I$2:$I$1000="DONE"))&gt;0,"✓",IF(SUMPRODUCT(MAX(('Agences &amp; Après-vente'!$A$2:$A$1000=$A491)*(('Agences &amp; Après-vente'!$D$2:$D$1000="Après-vente")+('Agences &amp; Après-vente'!$D$2:$D$1000="Agences et Après-vente"))*'Agences &amp; Après-vente'!$E$2:$E$1000))&gt;0,TEXT(SUMPRODUCT(MAX(('Agences &amp; Après-vente'!$A$2:$A$1000=$A491)*(('Agences &amp; Après-vente'!$D$2:$D$1000="Après-vente")+('Agences &amp; Après-vente'!$D$2:$D$1000="Agences et Après-vente"))*'Agences &amp; Après-vente'!$E$2:$E$1000)),"yyyy-mm-dd"),""))))))</f>
        <v/>
      </c>
      <c r="K491" s="131" t="str">
        <f aca="false">IF($U491="✓","✓",IF(ISNUMBER($U491),TEXT($U491,"yyyy-mm-dd"),IF($D491="Lisbonne","",IF($A491="","",IF(SUMPRODUCT((Evermont!$A$2:$A$1000=$A491)*(Evermont!$Q$2:$Q$1000="Terminé"))&gt;0,"✓",IF(SUMPRODUCT(MAX((Evermont!$A$2:$A$1000=$A491)*Evermont!$F$2:$F$1000))&gt;0,TEXT(SUMPRODUCT(MAX((Evermont!$A$2:$A$1000=$A491)*Evermont!$F$2:$F$1000)),"yyyy-mm-dd"),""))))))</f>
        <v/>
      </c>
      <c r="L491" s="131" t="str">
        <f aca="false">IF($A491="","",COUNTIF(E491:K491,"✓"))</f>
        <v/>
      </c>
      <c r="M491" s="131" t="str">
        <f aca="false">IF(B491="","","Active")</f>
        <v/>
      </c>
      <c r="W491" s="120" t="str">
        <f aca="false">IF($A491="","",IF($X491&lt;&gt;"",$X491,IFERROR(INDEX('Formation Initiale'!$B$2:$B$999,MATCH($A491,'Formation Initiale'!$A$2:$A$999,0)),"Général")))</f>
        <v/>
      </c>
    </row>
    <row r="492" customFormat="false" ht="15" hidden="true" customHeight="true" outlineLevel="0" collapsed="false">
      <c r="A492" s="142" t="str">
        <f aca="false">IF(B492="","","TR"&amp;TEXT(ROW()-1,"000"))</f>
        <v/>
      </c>
      <c r="E492" s="130" t="str">
        <f aca="false">IF($O492="✓","✓",IF(ISNUMBER($O492),TEXT($O492,"yyyy-mm-dd"),IF($A492="","",IF(SUMPRODUCT(('Formation Initiale'!$A$2:$A$999=$A492)*('Formation Initiale'!$R$2:$R$999="Terminé"))&gt;0,"✓",IF(SUMPRODUCT(MAX(('Formation Initiale'!$A$2:$A$999=$A492)*'Formation Initiale'!$G$2:$G$999))&gt;0,TEXT(SUMPRODUCT(MAX(('Formation Initiale'!$A$2:$A$999=$A492)*'Formation Initiale'!$G$2:$G$999)),"yyyy-mm-dd"),"")))))</f>
        <v/>
      </c>
      <c r="F492" s="131" t="str">
        <f aca="false">IF($P492="✓","✓",IF(ISNUMBER($P492),TEXT($P492,"yyyy-mm-dd"),IF($A492="","",IF($D492="Lisbonne","",IF(SUMPRODUCT(('Formation Initiale'!$A$2:$A$999=$A492)*('Formation Initiale'!$R$2:$R$999="Terminé"))&gt;0,"✓",IF(SUMPRODUCT(MAX(('Formation Initiale'!$A$2:$A$999=$A492)*'Formation Initiale'!$G$2:$G$999))&gt;0,TEXT(SUMPRODUCT(MAX(('Formation Initiale'!$A$2:$A$999=$A492)*'Formation Initiale'!$G$2:$G$999)),"yyyy-mm-dd"),""))))))</f>
        <v/>
      </c>
      <c r="G492" s="131" t="str">
        <f aca="false">IF($Q492="✓","✓",IF(ISNUMBER($Q492),TEXT($Q492,"yyyy-mm-dd"),IF($A492="","",IF(SUMPRODUCT(('Agences &amp; Après-vente'!$A$2:$A$1000=$A492)*(('Agences &amp; Après-vente'!$D$2:$D$1000="Agences")+('Agences &amp; Après-vente'!$D$2:$D$1000="Agences et Après-vente"))*('Agences &amp; Après-vente'!$I$2:$I$1000="DONE"))&gt;0,"✓",IF(SUMPRODUCT(MAX(('Agences &amp; Après-vente'!$A$2:$A$1000=$A492)*(('Agences &amp; Après-vente'!$D$2:$D$1000="Agences")+('Agences &amp; Après-vente'!$D$2:$D$1000="Agences et Après-vente"))*'Agences &amp; Après-vente'!$E$2:$E$1000))&gt;0,TEXT(SUMPRODUCT(MAX(('Agences &amp; Après-vente'!$A$2:$A$1000=$A492)*(('Agences &amp; Après-vente'!$D$2:$D$1000="Agences")+('Agences &amp; Après-vente'!$D$2:$D$1000="Agences et Après-vente"))*'Agences &amp; Après-vente'!$E$2:$E$1000)),"yyyy-mm-dd"),"")))))</f>
        <v/>
      </c>
      <c r="H492" s="131" t="str">
        <f aca="false">IF($R492="✓","✓",IF(ISNUMBER($R492),TEXT($R492,"yyyy-mm-dd"),IF($A492="","",IF($D492="Lisbonne","",IF(SUMPRODUCT(('Agences &amp; Après-vente'!$A$2:$A$1000=$A492)*(('Agences &amp; Après-vente'!$D$2:$D$1000="Agences")+('Agences &amp; Après-vente'!$D$2:$D$1000="Agences et Après-vente"))*('Agences &amp; Après-vente'!$I$2:$I$1000="DONE"))&gt;0,"✓",IF(SUMPRODUCT(MAX(('Agences &amp; Après-vente'!$A$2:$A$1000=$A492)*(('Agences &amp; Après-vente'!$D$2:$D$1000="Agences")+('Agences &amp; Après-vente'!$D$2:$D$1000="Agences et Après-vente"))*'Agences &amp; Après-vente'!$E$2:$E$1000))&gt;0,TEXT(SUMPRODUCT(MAX(('Agences &amp; Après-vente'!$A$2:$A$1000=$A492)*(('Agences &amp; Après-vente'!$D$2:$D$1000="Agences")+('Agences &amp; Après-vente'!$D$2:$D$1000="Agences et Après-vente"))*'Agences &amp; Après-vente'!$E$2:$E$1000)),"yyyy-mm-dd"),""))))))</f>
        <v/>
      </c>
      <c r="I492" s="131" t="str">
        <f aca="false">IF($S492="✓","✓",IF(ISNUMBER($S492),TEXT($S492,"yyyy-mm-dd"),IF($A492="","",IF(SUMPRODUCT(('Agences &amp; Après-vente'!$A$2:$A$1000=$A492)*(('Agences &amp; Après-vente'!$D$2:$D$1000="Après-vente")+('Agences &amp; Après-vente'!$D$2:$D$1000="Agences et Après-vente"))*('Agences &amp; Après-vente'!$I$2:$I$1000="DONE"))&gt;0,"✓",IF(SUMPRODUCT(MAX(('Agences &amp; Après-vente'!$A$2:$A$1000=$A492)*(('Agences &amp; Après-vente'!$D$2:$D$1000="Après-vente")+('Agences &amp; Après-vente'!$D$2:$D$1000="Agences et Après-vente"))*'Agences &amp; Après-vente'!$E$2:$E$1000))&gt;0,TEXT(SUMPRODUCT(MAX(('Agences &amp; Après-vente'!$A$2:$A$1000=$A492)*(('Agences &amp; Après-vente'!$D$2:$D$1000="Après-vente")+('Agences &amp; Après-vente'!$D$2:$D$1000="Agences et Après-vente"))*'Agences &amp; Après-vente'!$E$2:$E$1000)),"yyyy-mm-dd"),"")))))</f>
        <v/>
      </c>
      <c r="J492" s="131" t="str">
        <f aca="false">IF($T492="✓","✓",IF(ISNUMBER($T492),TEXT($T492,"yyyy-mm-dd"),IF($A492="","",IF($D492="Lisbonne","",IF(SUMPRODUCT(('Agences &amp; Après-vente'!$A$2:$A$1000=$A492)*(('Agences &amp; Après-vente'!$D$2:$D$1000="Après-vente")+('Agences &amp; Après-vente'!$D$2:$D$1000="Agences et Après-vente"))*('Agences &amp; Après-vente'!$I$2:$I$1000="DONE"))&gt;0,"✓",IF(SUMPRODUCT(MAX(('Agences &amp; Après-vente'!$A$2:$A$1000=$A492)*(('Agences &amp; Après-vente'!$D$2:$D$1000="Après-vente")+('Agences &amp; Après-vente'!$D$2:$D$1000="Agences et Après-vente"))*'Agences &amp; Après-vente'!$E$2:$E$1000))&gt;0,TEXT(SUMPRODUCT(MAX(('Agences &amp; Après-vente'!$A$2:$A$1000=$A492)*(('Agences &amp; Après-vente'!$D$2:$D$1000="Après-vente")+('Agences &amp; Après-vente'!$D$2:$D$1000="Agences et Après-vente"))*'Agences &amp; Après-vente'!$E$2:$E$1000)),"yyyy-mm-dd"),""))))))</f>
        <v/>
      </c>
      <c r="K492" s="131" t="str">
        <f aca="false">IF($U492="✓","✓",IF(ISNUMBER($U492),TEXT($U492,"yyyy-mm-dd"),IF($D492="Lisbonne","",IF($A492="","",IF(SUMPRODUCT((Evermont!$A$2:$A$1000=$A492)*(Evermont!$Q$2:$Q$1000="Terminé"))&gt;0,"✓",IF(SUMPRODUCT(MAX((Evermont!$A$2:$A$1000=$A492)*Evermont!$F$2:$F$1000))&gt;0,TEXT(SUMPRODUCT(MAX((Evermont!$A$2:$A$1000=$A492)*Evermont!$F$2:$F$1000)),"yyyy-mm-dd"),""))))))</f>
        <v/>
      </c>
      <c r="L492" s="131" t="str">
        <f aca="false">IF($A492="","",COUNTIF(E492:K492,"✓"))</f>
        <v/>
      </c>
      <c r="M492" s="131" t="str">
        <f aca="false">IF(B492="","","Active")</f>
        <v/>
      </c>
      <c r="W492" s="120" t="str">
        <f aca="false">IF($A492="","",IF($X492&lt;&gt;"",$X492,IFERROR(INDEX('Formation Initiale'!$B$2:$B$999,MATCH($A492,'Formation Initiale'!$A$2:$A$999,0)),"Général")))</f>
        <v/>
      </c>
    </row>
    <row r="493" customFormat="false" ht="15" hidden="true" customHeight="true" outlineLevel="0" collapsed="false">
      <c r="A493" s="142" t="str">
        <f aca="false">IF(B493="","","TR"&amp;TEXT(ROW()-1,"000"))</f>
        <v/>
      </c>
      <c r="E493" s="130" t="str">
        <f aca="false">IF($O493="✓","✓",IF(ISNUMBER($O493),TEXT($O493,"yyyy-mm-dd"),IF($A493="","",IF(SUMPRODUCT(('Formation Initiale'!$A$2:$A$999=$A493)*('Formation Initiale'!$R$2:$R$999="Terminé"))&gt;0,"✓",IF(SUMPRODUCT(MAX(('Formation Initiale'!$A$2:$A$999=$A493)*'Formation Initiale'!$G$2:$G$999))&gt;0,TEXT(SUMPRODUCT(MAX(('Formation Initiale'!$A$2:$A$999=$A493)*'Formation Initiale'!$G$2:$G$999)),"yyyy-mm-dd"),"")))))</f>
        <v/>
      </c>
      <c r="F493" s="131" t="str">
        <f aca="false">IF($P493="✓","✓",IF(ISNUMBER($P493),TEXT($P493,"yyyy-mm-dd"),IF($A493="","",IF($D493="Lisbonne","",IF(SUMPRODUCT(('Formation Initiale'!$A$2:$A$999=$A493)*('Formation Initiale'!$R$2:$R$999="Terminé"))&gt;0,"✓",IF(SUMPRODUCT(MAX(('Formation Initiale'!$A$2:$A$999=$A493)*'Formation Initiale'!$G$2:$G$999))&gt;0,TEXT(SUMPRODUCT(MAX(('Formation Initiale'!$A$2:$A$999=$A493)*'Formation Initiale'!$G$2:$G$999)),"yyyy-mm-dd"),""))))))</f>
        <v/>
      </c>
      <c r="G493" s="131" t="str">
        <f aca="false">IF($Q493="✓","✓",IF(ISNUMBER($Q493),TEXT($Q493,"yyyy-mm-dd"),IF($A493="","",IF(SUMPRODUCT(('Agences &amp; Après-vente'!$A$2:$A$1000=$A493)*(('Agences &amp; Après-vente'!$D$2:$D$1000="Agences")+('Agences &amp; Après-vente'!$D$2:$D$1000="Agences et Après-vente"))*('Agences &amp; Après-vente'!$I$2:$I$1000="DONE"))&gt;0,"✓",IF(SUMPRODUCT(MAX(('Agences &amp; Après-vente'!$A$2:$A$1000=$A493)*(('Agences &amp; Après-vente'!$D$2:$D$1000="Agences")+('Agences &amp; Après-vente'!$D$2:$D$1000="Agences et Après-vente"))*'Agences &amp; Après-vente'!$E$2:$E$1000))&gt;0,TEXT(SUMPRODUCT(MAX(('Agences &amp; Après-vente'!$A$2:$A$1000=$A493)*(('Agences &amp; Après-vente'!$D$2:$D$1000="Agences")+('Agences &amp; Après-vente'!$D$2:$D$1000="Agences et Après-vente"))*'Agences &amp; Après-vente'!$E$2:$E$1000)),"yyyy-mm-dd"),"")))))</f>
        <v/>
      </c>
      <c r="H493" s="131" t="str">
        <f aca="false">IF($R493="✓","✓",IF(ISNUMBER($R493),TEXT($R493,"yyyy-mm-dd"),IF($A493="","",IF($D493="Lisbonne","",IF(SUMPRODUCT(('Agences &amp; Après-vente'!$A$2:$A$1000=$A493)*(('Agences &amp; Après-vente'!$D$2:$D$1000="Agences")+('Agences &amp; Après-vente'!$D$2:$D$1000="Agences et Après-vente"))*('Agences &amp; Après-vente'!$I$2:$I$1000="DONE"))&gt;0,"✓",IF(SUMPRODUCT(MAX(('Agences &amp; Après-vente'!$A$2:$A$1000=$A493)*(('Agences &amp; Après-vente'!$D$2:$D$1000="Agences")+('Agences &amp; Après-vente'!$D$2:$D$1000="Agences et Après-vente"))*'Agences &amp; Après-vente'!$E$2:$E$1000))&gt;0,TEXT(SUMPRODUCT(MAX(('Agences &amp; Après-vente'!$A$2:$A$1000=$A493)*(('Agences &amp; Après-vente'!$D$2:$D$1000="Agences")+('Agences &amp; Après-vente'!$D$2:$D$1000="Agences et Après-vente"))*'Agences &amp; Après-vente'!$E$2:$E$1000)),"yyyy-mm-dd"),""))))))</f>
        <v/>
      </c>
      <c r="I493" s="131" t="str">
        <f aca="false">IF($S493="✓","✓",IF(ISNUMBER($S493),TEXT($S493,"yyyy-mm-dd"),IF($A493="","",IF(SUMPRODUCT(('Agences &amp; Après-vente'!$A$2:$A$1000=$A493)*(('Agences &amp; Après-vente'!$D$2:$D$1000="Après-vente")+('Agences &amp; Après-vente'!$D$2:$D$1000="Agences et Après-vente"))*('Agences &amp; Après-vente'!$I$2:$I$1000="DONE"))&gt;0,"✓",IF(SUMPRODUCT(MAX(('Agences &amp; Après-vente'!$A$2:$A$1000=$A493)*(('Agences &amp; Après-vente'!$D$2:$D$1000="Après-vente")+('Agences &amp; Après-vente'!$D$2:$D$1000="Agences et Après-vente"))*'Agences &amp; Après-vente'!$E$2:$E$1000))&gt;0,TEXT(SUMPRODUCT(MAX(('Agences &amp; Après-vente'!$A$2:$A$1000=$A493)*(('Agences &amp; Après-vente'!$D$2:$D$1000="Après-vente")+('Agences &amp; Après-vente'!$D$2:$D$1000="Agences et Après-vente"))*'Agences &amp; Après-vente'!$E$2:$E$1000)),"yyyy-mm-dd"),"")))))</f>
        <v/>
      </c>
      <c r="J493" s="131" t="str">
        <f aca="false">IF($T493="✓","✓",IF(ISNUMBER($T493),TEXT($T493,"yyyy-mm-dd"),IF($A493="","",IF($D493="Lisbonne","",IF(SUMPRODUCT(('Agences &amp; Après-vente'!$A$2:$A$1000=$A493)*(('Agences &amp; Après-vente'!$D$2:$D$1000="Après-vente")+('Agences &amp; Après-vente'!$D$2:$D$1000="Agences et Après-vente"))*('Agences &amp; Après-vente'!$I$2:$I$1000="DONE"))&gt;0,"✓",IF(SUMPRODUCT(MAX(('Agences &amp; Après-vente'!$A$2:$A$1000=$A493)*(('Agences &amp; Après-vente'!$D$2:$D$1000="Après-vente")+('Agences &amp; Après-vente'!$D$2:$D$1000="Agences et Après-vente"))*'Agences &amp; Après-vente'!$E$2:$E$1000))&gt;0,TEXT(SUMPRODUCT(MAX(('Agences &amp; Après-vente'!$A$2:$A$1000=$A493)*(('Agences &amp; Après-vente'!$D$2:$D$1000="Après-vente")+('Agences &amp; Après-vente'!$D$2:$D$1000="Agences et Après-vente"))*'Agences &amp; Après-vente'!$E$2:$E$1000)),"yyyy-mm-dd"),""))))))</f>
        <v/>
      </c>
      <c r="K493" s="131" t="str">
        <f aca="false">IF($U493="✓","✓",IF(ISNUMBER($U493),TEXT($U493,"yyyy-mm-dd"),IF($D493="Lisbonne","",IF($A493="","",IF(SUMPRODUCT((Evermont!$A$2:$A$1000=$A493)*(Evermont!$Q$2:$Q$1000="Terminé"))&gt;0,"✓",IF(SUMPRODUCT(MAX((Evermont!$A$2:$A$1000=$A493)*Evermont!$F$2:$F$1000))&gt;0,TEXT(SUMPRODUCT(MAX((Evermont!$A$2:$A$1000=$A493)*Evermont!$F$2:$F$1000)),"yyyy-mm-dd"),""))))))</f>
        <v/>
      </c>
      <c r="L493" s="131" t="str">
        <f aca="false">IF($A493="","",COUNTIF(E493:K493,"✓"))</f>
        <v/>
      </c>
      <c r="M493" s="131" t="str">
        <f aca="false">IF(B493="","","Active")</f>
        <v/>
      </c>
      <c r="W493" s="120" t="str">
        <f aca="false">IF($A493="","",IF($X493&lt;&gt;"",$X493,IFERROR(INDEX('Formation Initiale'!$B$2:$B$999,MATCH($A493,'Formation Initiale'!$A$2:$A$999,0)),"Général")))</f>
        <v/>
      </c>
    </row>
    <row r="494" customFormat="false" ht="15" hidden="true" customHeight="true" outlineLevel="0" collapsed="false">
      <c r="A494" s="142" t="str">
        <f aca="false">IF(B494="","","TR"&amp;TEXT(ROW()-1,"000"))</f>
        <v/>
      </c>
      <c r="E494" s="130" t="str">
        <f aca="false">IF($O494="✓","✓",IF(ISNUMBER($O494),TEXT($O494,"yyyy-mm-dd"),IF($A494="","",IF(SUMPRODUCT(('Formation Initiale'!$A$2:$A$999=$A494)*('Formation Initiale'!$R$2:$R$999="Terminé"))&gt;0,"✓",IF(SUMPRODUCT(MAX(('Formation Initiale'!$A$2:$A$999=$A494)*'Formation Initiale'!$G$2:$G$999))&gt;0,TEXT(SUMPRODUCT(MAX(('Formation Initiale'!$A$2:$A$999=$A494)*'Formation Initiale'!$G$2:$G$999)),"yyyy-mm-dd"),"")))))</f>
        <v/>
      </c>
      <c r="F494" s="131" t="str">
        <f aca="false">IF($P494="✓","✓",IF(ISNUMBER($P494),TEXT($P494,"yyyy-mm-dd"),IF($A494="","",IF($D494="Lisbonne","",IF(SUMPRODUCT(('Formation Initiale'!$A$2:$A$999=$A494)*('Formation Initiale'!$R$2:$R$999="Terminé"))&gt;0,"✓",IF(SUMPRODUCT(MAX(('Formation Initiale'!$A$2:$A$999=$A494)*'Formation Initiale'!$G$2:$G$999))&gt;0,TEXT(SUMPRODUCT(MAX(('Formation Initiale'!$A$2:$A$999=$A494)*'Formation Initiale'!$G$2:$G$999)),"yyyy-mm-dd"),""))))))</f>
        <v/>
      </c>
      <c r="G494" s="131" t="str">
        <f aca="false">IF($Q494="✓","✓",IF(ISNUMBER($Q494),TEXT($Q494,"yyyy-mm-dd"),IF($A494="","",IF(SUMPRODUCT(('Agences &amp; Après-vente'!$A$2:$A$1000=$A494)*(('Agences &amp; Après-vente'!$D$2:$D$1000="Agences")+('Agences &amp; Après-vente'!$D$2:$D$1000="Agences et Après-vente"))*('Agences &amp; Après-vente'!$I$2:$I$1000="DONE"))&gt;0,"✓",IF(SUMPRODUCT(MAX(('Agences &amp; Après-vente'!$A$2:$A$1000=$A494)*(('Agences &amp; Après-vente'!$D$2:$D$1000="Agences")+('Agences &amp; Après-vente'!$D$2:$D$1000="Agences et Après-vente"))*'Agences &amp; Après-vente'!$E$2:$E$1000))&gt;0,TEXT(SUMPRODUCT(MAX(('Agences &amp; Après-vente'!$A$2:$A$1000=$A494)*(('Agences &amp; Après-vente'!$D$2:$D$1000="Agences")+('Agences &amp; Après-vente'!$D$2:$D$1000="Agences et Après-vente"))*'Agences &amp; Après-vente'!$E$2:$E$1000)),"yyyy-mm-dd"),"")))))</f>
        <v/>
      </c>
      <c r="H494" s="131" t="str">
        <f aca="false">IF($R494="✓","✓",IF(ISNUMBER($R494),TEXT($R494,"yyyy-mm-dd"),IF($A494="","",IF($D494="Lisbonne","",IF(SUMPRODUCT(('Agences &amp; Après-vente'!$A$2:$A$1000=$A494)*(('Agences &amp; Après-vente'!$D$2:$D$1000="Agences")+('Agences &amp; Après-vente'!$D$2:$D$1000="Agences et Après-vente"))*('Agences &amp; Après-vente'!$I$2:$I$1000="DONE"))&gt;0,"✓",IF(SUMPRODUCT(MAX(('Agences &amp; Après-vente'!$A$2:$A$1000=$A494)*(('Agences &amp; Après-vente'!$D$2:$D$1000="Agences")+('Agences &amp; Après-vente'!$D$2:$D$1000="Agences et Après-vente"))*'Agences &amp; Après-vente'!$E$2:$E$1000))&gt;0,TEXT(SUMPRODUCT(MAX(('Agences &amp; Après-vente'!$A$2:$A$1000=$A494)*(('Agences &amp; Après-vente'!$D$2:$D$1000="Agences")+('Agences &amp; Après-vente'!$D$2:$D$1000="Agences et Après-vente"))*'Agences &amp; Après-vente'!$E$2:$E$1000)),"yyyy-mm-dd"),""))))))</f>
        <v/>
      </c>
      <c r="I494" s="131" t="str">
        <f aca="false">IF($S494="✓","✓",IF(ISNUMBER($S494),TEXT($S494,"yyyy-mm-dd"),IF($A494="","",IF(SUMPRODUCT(('Agences &amp; Après-vente'!$A$2:$A$1000=$A494)*(('Agences &amp; Après-vente'!$D$2:$D$1000="Après-vente")+('Agences &amp; Après-vente'!$D$2:$D$1000="Agences et Après-vente"))*('Agences &amp; Après-vente'!$I$2:$I$1000="DONE"))&gt;0,"✓",IF(SUMPRODUCT(MAX(('Agences &amp; Après-vente'!$A$2:$A$1000=$A494)*(('Agences &amp; Après-vente'!$D$2:$D$1000="Après-vente")+('Agences &amp; Après-vente'!$D$2:$D$1000="Agences et Après-vente"))*'Agences &amp; Après-vente'!$E$2:$E$1000))&gt;0,TEXT(SUMPRODUCT(MAX(('Agences &amp; Après-vente'!$A$2:$A$1000=$A494)*(('Agences &amp; Après-vente'!$D$2:$D$1000="Après-vente")+('Agences &amp; Après-vente'!$D$2:$D$1000="Agences et Après-vente"))*'Agences &amp; Après-vente'!$E$2:$E$1000)),"yyyy-mm-dd"),"")))))</f>
        <v/>
      </c>
      <c r="J494" s="131" t="str">
        <f aca="false">IF($T494="✓","✓",IF(ISNUMBER($T494),TEXT($T494,"yyyy-mm-dd"),IF($A494="","",IF($D494="Lisbonne","",IF(SUMPRODUCT(('Agences &amp; Après-vente'!$A$2:$A$1000=$A494)*(('Agences &amp; Après-vente'!$D$2:$D$1000="Après-vente")+('Agences &amp; Après-vente'!$D$2:$D$1000="Agences et Après-vente"))*('Agences &amp; Après-vente'!$I$2:$I$1000="DONE"))&gt;0,"✓",IF(SUMPRODUCT(MAX(('Agences &amp; Après-vente'!$A$2:$A$1000=$A494)*(('Agences &amp; Après-vente'!$D$2:$D$1000="Après-vente")+('Agences &amp; Après-vente'!$D$2:$D$1000="Agences et Après-vente"))*'Agences &amp; Après-vente'!$E$2:$E$1000))&gt;0,TEXT(SUMPRODUCT(MAX(('Agences &amp; Après-vente'!$A$2:$A$1000=$A494)*(('Agences &amp; Après-vente'!$D$2:$D$1000="Après-vente")+('Agences &amp; Après-vente'!$D$2:$D$1000="Agences et Après-vente"))*'Agences &amp; Après-vente'!$E$2:$E$1000)),"yyyy-mm-dd"),""))))))</f>
        <v/>
      </c>
      <c r="K494" s="131" t="str">
        <f aca="false">IF($U494="✓","✓",IF(ISNUMBER($U494),TEXT($U494,"yyyy-mm-dd"),IF($D494="Lisbonne","",IF($A494="","",IF(SUMPRODUCT((Evermont!$A$2:$A$1000=$A494)*(Evermont!$Q$2:$Q$1000="Terminé"))&gt;0,"✓",IF(SUMPRODUCT(MAX((Evermont!$A$2:$A$1000=$A494)*Evermont!$F$2:$F$1000))&gt;0,TEXT(SUMPRODUCT(MAX((Evermont!$A$2:$A$1000=$A494)*Evermont!$F$2:$F$1000)),"yyyy-mm-dd"),""))))))</f>
        <v/>
      </c>
      <c r="L494" s="131" t="str">
        <f aca="false">IF($A494="","",COUNTIF(E494:K494,"✓"))</f>
        <v/>
      </c>
      <c r="M494" s="131" t="str">
        <f aca="false">IF(B494="","","Active")</f>
        <v/>
      </c>
      <c r="W494" s="120" t="str">
        <f aca="false">IF($A494="","",IF($X494&lt;&gt;"",$X494,IFERROR(INDEX('Formation Initiale'!$B$2:$B$999,MATCH($A494,'Formation Initiale'!$A$2:$A$999,0)),"Général")))</f>
        <v/>
      </c>
    </row>
    <row r="495" customFormat="false" ht="15" hidden="true" customHeight="true" outlineLevel="0" collapsed="false">
      <c r="A495" s="142" t="str">
        <f aca="false">IF(B495="","","TR"&amp;TEXT(ROW()-1,"000"))</f>
        <v/>
      </c>
      <c r="E495" s="130" t="str">
        <f aca="false">IF($O495="✓","✓",IF(ISNUMBER($O495),TEXT($O495,"yyyy-mm-dd"),IF($A495="","",IF(SUMPRODUCT(('Formation Initiale'!$A$2:$A$999=$A495)*('Formation Initiale'!$R$2:$R$999="Terminé"))&gt;0,"✓",IF(SUMPRODUCT(MAX(('Formation Initiale'!$A$2:$A$999=$A495)*'Formation Initiale'!$G$2:$G$999))&gt;0,TEXT(SUMPRODUCT(MAX(('Formation Initiale'!$A$2:$A$999=$A495)*'Formation Initiale'!$G$2:$G$999)),"yyyy-mm-dd"),"")))))</f>
        <v/>
      </c>
      <c r="F495" s="131" t="str">
        <f aca="false">IF($P495="✓","✓",IF(ISNUMBER($P495),TEXT($P495,"yyyy-mm-dd"),IF($A495="","",IF($D495="Lisbonne","",IF(SUMPRODUCT(('Formation Initiale'!$A$2:$A$999=$A495)*('Formation Initiale'!$R$2:$R$999="Terminé"))&gt;0,"✓",IF(SUMPRODUCT(MAX(('Formation Initiale'!$A$2:$A$999=$A495)*'Formation Initiale'!$G$2:$G$999))&gt;0,TEXT(SUMPRODUCT(MAX(('Formation Initiale'!$A$2:$A$999=$A495)*'Formation Initiale'!$G$2:$G$999)),"yyyy-mm-dd"),""))))))</f>
        <v/>
      </c>
      <c r="G495" s="131" t="str">
        <f aca="false">IF($Q495="✓","✓",IF(ISNUMBER($Q495),TEXT($Q495,"yyyy-mm-dd"),IF($A495="","",IF(SUMPRODUCT(('Agences &amp; Après-vente'!$A$2:$A$1000=$A495)*(('Agences &amp; Après-vente'!$D$2:$D$1000="Agences")+('Agences &amp; Après-vente'!$D$2:$D$1000="Agences et Après-vente"))*('Agences &amp; Après-vente'!$I$2:$I$1000="DONE"))&gt;0,"✓",IF(SUMPRODUCT(MAX(('Agences &amp; Après-vente'!$A$2:$A$1000=$A495)*(('Agences &amp; Après-vente'!$D$2:$D$1000="Agences")+('Agences &amp; Après-vente'!$D$2:$D$1000="Agences et Après-vente"))*'Agences &amp; Après-vente'!$E$2:$E$1000))&gt;0,TEXT(SUMPRODUCT(MAX(('Agences &amp; Après-vente'!$A$2:$A$1000=$A495)*(('Agences &amp; Après-vente'!$D$2:$D$1000="Agences")+('Agences &amp; Après-vente'!$D$2:$D$1000="Agences et Après-vente"))*'Agences &amp; Après-vente'!$E$2:$E$1000)),"yyyy-mm-dd"),"")))))</f>
        <v/>
      </c>
      <c r="H495" s="131" t="str">
        <f aca="false">IF($R495="✓","✓",IF(ISNUMBER($R495),TEXT($R495,"yyyy-mm-dd"),IF($A495="","",IF($D495="Lisbonne","",IF(SUMPRODUCT(('Agences &amp; Après-vente'!$A$2:$A$1000=$A495)*(('Agences &amp; Après-vente'!$D$2:$D$1000="Agences")+('Agences &amp; Après-vente'!$D$2:$D$1000="Agences et Après-vente"))*('Agences &amp; Après-vente'!$I$2:$I$1000="DONE"))&gt;0,"✓",IF(SUMPRODUCT(MAX(('Agences &amp; Après-vente'!$A$2:$A$1000=$A495)*(('Agences &amp; Après-vente'!$D$2:$D$1000="Agences")+('Agences &amp; Après-vente'!$D$2:$D$1000="Agences et Après-vente"))*'Agences &amp; Après-vente'!$E$2:$E$1000))&gt;0,TEXT(SUMPRODUCT(MAX(('Agences &amp; Après-vente'!$A$2:$A$1000=$A495)*(('Agences &amp; Après-vente'!$D$2:$D$1000="Agences")+('Agences &amp; Après-vente'!$D$2:$D$1000="Agences et Après-vente"))*'Agences &amp; Après-vente'!$E$2:$E$1000)),"yyyy-mm-dd"),""))))))</f>
        <v/>
      </c>
      <c r="I495" s="131" t="str">
        <f aca="false">IF($S495="✓","✓",IF(ISNUMBER($S495),TEXT($S495,"yyyy-mm-dd"),IF($A495="","",IF(SUMPRODUCT(('Agences &amp; Après-vente'!$A$2:$A$1000=$A495)*(('Agences &amp; Après-vente'!$D$2:$D$1000="Après-vente")+('Agences &amp; Après-vente'!$D$2:$D$1000="Agences et Après-vente"))*('Agences &amp; Après-vente'!$I$2:$I$1000="DONE"))&gt;0,"✓",IF(SUMPRODUCT(MAX(('Agences &amp; Après-vente'!$A$2:$A$1000=$A495)*(('Agences &amp; Après-vente'!$D$2:$D$1000="Après-vente")+('Agences &amp; Après-vente'!$D$2:$D$1000="Agences et Après-vente"))*'Agences &amp; Après-vente'!$E$2:$E$1000))&gt;0,TEXT(SUMPRODUCT(MAX(('Agences &amp; Après-vente'!$A$2:$A$1000=$A495)*(('Agences &amp; Après-vente'!$D$2:$D$1000="Après-vente")+('Agences &amp; Après-vente'!$D$2:$D$1000="Agences et Après-vente"))*'Agences &amp; Après-vente'!$E$2:$E$1000)),"yyyy-mm-dd"),"")))))</f>
        <v/>
      </c>
      <c r="J495" s="131" t="str">
        <f aca="false">IF($T495="✓","✓",IF(ISNUMBER($T495),TEXT($T495,"yyyy-mm-dd"),IF($A495="","",IF($D495="Lisbonne","",IF(SUMPRODUCT(('Agences &amp; Après-vente'!$A$2:$A$1000=$A495)*(('Agences &amp; Après-vente'!$D$2:$D$1000="Après-vente")+('Agences &amp; Après-vente'!$D$2:$D$1000="Agences et Après-vente"))*('Agences &amp; Après-vente'!$I$2:$I$1000="DONE"))&gt;0,"✓",IF(SUMPRODUCT(MAX(('Agences &amp; Après-vente'!$A$2:$A$1000=$A495)*(('Agences &amp; Après-vente'!$D$2:$D$1000="Après-vente")+('Agences &amp; Après-vente'!$D$2:$D$1000="Agences et Après-vente"))*'Agences &amp; Après-vente'!$E$2:$E$1000))&gt;0,TEXT(SUMPRODUCT(MAX(('Agences &amp; Après-vente'!$A$2:$A$1000=$A495)*(('Agences &amp; Après-vente'!$D$2:$D$1000="Après-vente")+('Agences &amp; Après-vente'!$D$2:$D$1000="Agences et Après-vente"))*'Agences &amp; Après-vente'!$E$2:$E$1000)),"yyyy-mm-dd"),""))))))</f>
        <v/>
      </c>
      <c r="K495" s="131" t="str">
        <f aca="false">IF($U495="✓","✓",IF(ISNUMBER($U495),TEXT($U495,"yyyy-mm-dd"),IF($D495="Lisbonne","",IF($A495="","",IF(SUMPRODUCT((Evermont!$A$2:$A$1000=$A495)*(Evermont!$Q$2:$Q$1000="Terminé"))&gt;0,"✓",IF(SUMPRODUCT(MAX((Evermont!$A$2:$A$1000=$A495)*Evermont!$F$2:$F$1000))&gt;0,TEXT(SUMPRODUCT(MAX((Evermont!$A$2:$A$1000=$A495)*Evermont!$F$2:$F$1000)),"yyyy-mm-dd"),""))))))</f>
        <v/>
      </c>
      <c r="L495" s="131" t="str">
        <f aca="false">IF($A495="","",COUNTIF(E495:K495,"✓"))</f>
        <v/>
      </c>
      <c r="M495" s="131" t="str">
        <f aca="false">IF(B495="","","Active")</f>
        <v/>
      </c>
      <c r="W495" s="120" t="str">
        <f aca="false">IF($A495="","",IF($X495&lt;&gt;"",$X495,IFERROR(INDEX('Formation Initiale'!$B$2:$B$999,MATCH($A495,'Formation Initiale'!$A$2:$A$999,0)),"Général")))</f>
        <v/>
      </c>
    </row>
    <row r="496" customFormat="false" ht="15" hidden="true" customHeight="true" outlineLevel="0" collapsed="false">
      <c r="A496" s="142" t="str">
        <f aca="false">IF(B496="","","TR"&amp;TEXT(ROW()-1,"000"))</f>
        <v/>
      </c>
      <c r="E496" s="130" t="str">
        <f aca="false">IF($O496="✓","✓",IF(ISNUMBER($O496),TEXT($O496,"yyyy-mm-dd"),IF($A496="","",IF(SUMPRODUCT(('Formation Initiale'!$A$2:$A$999=$A496)*('Formation Initiale'!$R$2:$R$999="Terminé"))&gt;0,"✓",IF(SUMPRODUCT(MAX(('Formation Initiale'!$A$2:$A$999=$A496)*'Formation Initiale'!$G$2:$G$999))&gt;0,TEXT(SUMPRODUCT(MAX(('Formation Initiale'!$A$2:$A$999=$A496)*'Formation Initiale'!$G$2:$G$999)),"yyyy-mm-dd"),"")))))</f>
        <v/>
      </c>
      <c r="F496" s="131" t="str">
        <f aca="false">IF($P496="✓","✓",IF(ISNUMBER($P496),TEXT($P496,"yyyy-mm-dd"),IF($A496="","",IF($D496="Lisbonne","",IF(SUMPRODUCT(('Formation Initiale'!$A$2:$A$999=$A496)*('Formation Initiale'!$R$2:$R$999="Terminé"))&gt;0,"✓",IF(SUMPRODUCT(MAX(('Formation Initiale'!$A$2:$A$999=$A496)*'Formation Initiale'!$G$2:$G$999))&gt;0,TEXT(SUMPRODUCT(MAX(('Formation Initiale'!$A$2:$A$999=$A496)*'Formation Initiale'!$G$2:$G$999)),"yyyy-mm-dd"),""))))))</f>
        <v/>
      </c>
      <c r="G496" s="131" t="str">
        <f aca="false">IF($Q496="✓","✓",IF(ISNUMBER($Q496),TEXT($Q496,"yyyy-mm-dd"),IF($A496="","",IF(SUMPRODUCT(('Agences &amp; Après-vente'!$A$2:$A$1000=$A496)*(('Agences &amp; Après-vente'!$D$2:$D$1000="Agences")+('Agences &amp; Après-vente'!$D$2:$D$1000="Agences et Après-vente"))*('Agences &amp; Après-vente'!$I$2:$I$1000="DONE"))&gt;0,"✓",IF(SUMPRODUCT(MAX(('Agences &amp; Après-vente'!$A$2:$A$1000=$A496)*(('Agences &amp; Après-vente'!$D$2:$D$1000="Agences")+('Agences &amp; Après-vente'!$D$2:$D$1000="Agences et Après-vente"))*'Agences &amp; Après-vente'!$E$2:$E$1000))&gt;0,TEXT(SUMPRODUCT(MAX(('Agences &amp; Après-vente'!$A$2:$A$1000=$A496)*(('Agences &amp; Après-vente'!$D$2:$D$1000="Agences")+('Agences &amp; Après-vente'!$D$2:$D$1000="Agences et Après-vente"))*'Agences &amp; Après-vente'!$E$2:$E$1000)),"yyyy-mm-dd"),"")))))</f>
        <v/>
      </c>
      <c r="H496" s="131" t="str">
        <f aca="false">IF($R496="✓","✓",IF(ISNUMBER($R496),TEXT($R496,"yyyy-mm-dd"),IF($A496="","",IF($D496="Lisbonne","",IF(SUMPRODUCT(('Agences &amp; Après-vente'!$A$2:$A$1000=$A496)*(('Agences &amp; Après-vente'!$D$2:$D$1000="Agences")+('Agences &amp; Après-vente'!$D$2:$D$1000="Agences et Après-vente"))*('Agences &amp; Après-vente'!$I$2:$I$1000="DONE"))&gt;0,"✓",IF(SUMPRODUCT(MAX(('Agences &amp; Après-vente'!$A$2:$A$1000=$A496)*(('Agences &amp; Après-vente'!$D$2:$D$1000="Agences")+('Agences &amp; Après-vente'!$D$2:$D$1000="Agences et Après-vente"))*'Agences &amp; Après-vente'!$E$2:$E$1000))&gt;0,TEXT(SUMPRODUCT(MAX(('Agences &amp; Après-vente'!$A$2:$A$1000=$A496)*(('Agences &amp; Après-vente'!$D$2:$D$1000="Agences")+('Agences &amp; Après-vente'!$D$2:$D$1000="Agences et Après-vente"))*'Agences &amp; Après-vente'!$E$2:$E$1000)),"yyyy-mm-dd"),""))))))</f>
        <v/>
      </c>
      <c r="I496" s="131" t="str">
        <f aca="false">IF($S496="✓","✓",IF(ISNUMBER($S496),TEXT($S496,"yyyy-mm-dd"),IF($A496="","",IF(SUMPRODUCT(('Agences &amp; Après-vente'!$A$2:$A$1000=$A496)*(('Agences &amp; Après-vente'!$D$2:$D$1000="Après-vente")+('Agences &amp; Après-vente'!$D$2:$D$1000="Agences et Après-vente"))*('Agences &amp; Après-vente'!$I$2:$I$1000="DONE"))&gt;0,"✓",IF(SUMPRODUCT(MAX(('Agences &amp; Après-vente'!$A$2:$A$1000=$A496)*(('Agences &amp; Après-vente'!$D$2:$D$1000="Après-vente")+('Agences &amp; Après-vente'!$D$2:$D$1000="Agences et Après-vente"))*'Agences &amp; Après-vente'!$E$2:$E$1000))&gt;0,TEXT(SUMPRODUCT(MAX(('Agences &amp; Après-vente'!$A$2:$A$1000=$A496)*(('Agences &amp; Après-vente'!$D$2:$D$1000="Après-vente")+('Agences &amp; Après-vente'!$D$2:$D$1000="Agences et Après-vente"))*'Agences &amp; Après-vente'!$E$2:$E$1000)),"yyyy-mm-dd"),"")))))</f>
        <v/>
      </c>
      <c r="J496" s="131" t="str">
        <f aca="false">IF($T496="✓","✓",IF(ISNUMBER($T496),TEXT($T496,"yyyy-mm-dd"),IF($A496="","",IF($D496="Lisbonne","",IF(SUMPRODUCT(('Agences &amp; Après-vente'!$A$2:$A$1000=$A496)*(('Agences &amp; Après-vente'!$D$2:$D$1000="Après-vente")+('Agences &amp; Après-vente'!$D$2:$D$1000="Agences et Après-vente"))*('Agences &amp; Après-vente'!$I$2:$I$1000="DONE"))&gt;0,"✓",IF(SUMPRODUCT(MAX(('Agences &amp; Après-vente'!$A$2:$A$1000=$A496)*(('Agences &amp; Après-vente'!$D$2:$D$1000="Après-vente")+('Agences &amp; Après-vente'!$D$2:$D$1000="Agences et Après-vente"))*'Agences &amp; Après-vente'!$E$2:$E$1000))&gt;0,TEXT(SUMPRODUCT(MAX(('Agences &amp; Après-vente'!$A$2:$A$1000=$A496)*(('Agences &amp; Après-vente'!$D$2:$D$1000="Après-vente")+('Agences &amp; Après-vente'!$D$2:$D$1000="Agences et Après-vente"))*'Agences &amp; Après-vente'!$E$2:$E$1000)),"yyyy-mm-dd"),""))))))</f>
        <v/>
      </c>
      <c r="K496" s="131" t="str">
        <f aca="false">IF($U496="✓","✓",IF(ISNUMBER($U496),TEXT($U496,"yyyy-mm-dd"),IF($D496="Lisbonne","",IF($A496="","",IF(SUMPRODUCT((Evermont!$A$2:$A$1000=$A496)*(Evermont!$Q$2:$Q$1000="Terminé"))&gt;0,"✓",IF(SUMPRODUCT(MAX((Evermont!$A$2:$A$1000=$A496)*Evermont!$F$2:$F$1000))&gt;0,TEXT(SUMPRODUCT(MAX((Evermont!$A$2:$A$1000=$A496)*Evermont!$F$2:$F$1000)),"yyyy-mm-dd"),""))))))</f>
        <v/>
      </c>
      <c r="L496" s="131" t="str">
        <f aca="false">IF($A496="","",COUNTIF(E496:K496,"✓"))</f>
        <v/>
      </c>
      <c r="M496" s="131" t="str">
        <f aca="false">IF(B496="","","Active")</f>
        <v/>
      </c>
      <c r="W496" s="120" t="str">
        <f aca="false">IF($A496="","",IF($X496&lt;&gt;"",$X496,IFERROR(INDEX('Formation Initiale'!$B$2:$B$999,MATCH($A496,'Formation Initiale'!$A$2:$A$999,0)),"Général")))</f>
        <v/>
      </c>
    </row>
    <row r="497" customFormat="false" ht="15" hidden="true" customHeight="true" outlineLevel="0" collapsed="false">
      <c r="A497" s="142" t="str">
        <f aca="false">IF(B497="","","TR"&amp;TEXT(ROW()-1,"000"))</f>
        <v/>
      </c>
      <c r="E497" s="130" t="str">
        <f aca="false">IF($O497="✓","✓",IF(ISNUMBER($O497),TEXT($O497,"yyyy-mm-dd"),IF($A497="","",IF(SUMPRODUCT(('Formation Initiale'!$A$2:$A$999=$A497)*('Formation Initiale'!$R$2:$R$999="Terminé"))&gt;0,"✓",IF(SUMPRODUCT(MAX(('Formation Initiale'!$A$2:$A$999=$A497)*'Formation Initiale'!$G$2:$G$999))&gt;0,TEXT(SUMPRODUCT(MAX(('Formation Initiale'!$A$2:$A$999=$A497)*'Formation Initiale'!$G$2:$G$999)),"yyyy-mm-dd"),"")))))</f>
        <v/>
      </c>
      <c r="F497" s="131" t="str">
        <f aca="false">IF($P497="✓","✓",IF(ISNUMBER($P497),TEXT($P497,"yyyy-mm-dd"),IF($A497="","",IF($D497="Lisbonne","",IF(SUMPRODUCT(('Formation Initiale'!$A$2:$A$999=$A497)*('Formation Initiale'!$R$2:$R$999="Terminé"))&gt;0,"✓",IF(SUMPRODUCT(MAX(('Formation Initiale'!$A$2:$A$999=$A497)*'Formation Initiale'!$G$2:$G$999))&gt;0,TEXT(SUMPRODUCT(MAX(('Formation Initiale'!$A$2:$A$999=$A497)*'Formation Initiale'!$G$2:$G$999)),"yyyy-mm-dd"),""))))))</f>
        <v/>
      </c>
      <c r="G497" s="131" t="str">
        <f aca="false">IF($Q497="✓","✓",IF(ISNUMBER($Q497),TEXT($Q497,"yyyy-mm-dd"),IF($A497="","",IF(SUMPRODUCT(('Agences &amp; Après-vente'!$A$2:$A$1000=$A497)*(('Agences &amp; Après-vente'!$D$2:$D$1000="Agences")+('Agences &amp; Après-vente'!$D$2:$D$1000="Agences et Après-vente"))*('Agences &amp; Après-vente'!$I$2:$I$1000="DONE"))&gt;0,"✓",IF(SUMPRODUCT(MAX(('Agences &amp; Après-vente'!$A$2:$A$1000=$A497)*(('Agences &amp; Après-vente'!$D$2:$D$1000="Agences")+('Agences &amp; Après-vente'!$D$2:$D$1000="Agences et Après-vente"))*'Agences &amp; Après-vente'!$E$2:$E$1000))&gt;0,TEXT(SUMPRODUCT(MAX(('Agences &amp; Après-vente'!$A$2:$A$1000=$A497)*(('Agences &amp; Après-vente'!$D$2:$D$1000="Agences")+('Agences &amp; Après-vente'!$D$2:$D$1000="Agences et Après-vente"))*'Agences &amp; Après-vente'!$E$2:$E$1000)),"yyyy-mm-dd"),"")))))</f>
        <v/>
      </c>
      <c r="H497" s="131" t="str">
        <f aca="false">IF($R497="✓","✓",IF(ISNUMBER($R497),TEXT($R497,"yyyy-mm-dd"),IF($A497="","",IF($D497="Lisbonne","",IF(SUMPRODUCT(('Agences &amp; Après-vente'!$A$2:$A$1000=$A497)*(('Agences &amp; Après-vente'!$D$2:$D$1000="Agences")+('Agences &amp; Après-vente'!$D$2:$D$1000="Agences et Après-vente"))*('Agences &amp; Après-vente'!$I$2:$I$1000="DONE"))&gt;0,"✓",IF(SUMPRODUCT(MAX(('Agences &amp; Après-vente'!$A$2:$A$1000=$A497)*(('Agences &amp; Après-vente'!$D$2:$D$1000="Agences")+('Agences &amp; Après-vente'!$D$2:$D$1000="Agences et Après-vente"))*'Agences &amp; Après-vente'!$E$2:$E$1000))&gt;0,TEXT(SUMPRODUCT(MAX(('Agences &amp; Après-vente'!$A$2:$A$1000=$A497)*(('Agences &amp; Après-vente'!$D$2:$D$1000="Agences")+('Agences &amp; Après-vente'!$D$2:$D$1000="Agences et Après-vente"))*'Agences &amp; Après-vente'!$E$2:$E$1000)),"yyyy-mm-dd"),""))))))</f>
        <v/>
      </c>
      <c r="I497" s="131" t="str">
        <f aca="false">IF($S497="✓","✓",IF(ISNUMBER($S497),TEXT($S497,"yyyy-mm-dd"),IF($A497="","",IF(SUMPRODUCT(('Agences &amp; Après-vente'!$A$2:$A$1000=$A497)*(('Agences &amp; Après-vente'!$D$2:$D$1000="Après-vente")+('Agences &amp; Après-vente'!$D$2:$D$1000="Agences et Après-vente"))*('Agences &amp; Après-vente'!$I$2:$I$1000="DONE"))&gt;0,"✓",IF(SUMPRODUCT(MAX(('Agences &amp; Après-vente'!$A$2:$A$1000=$A497)*(('Agences &amp; Après-vente'!$D$2:$D$1000="Après-vente")+('Agences &amp; Après-vente'!$D$2:$D$1000="Agences et Après-vente"))*'Agences &amp; Après-vente'!$E$2:$E$1000))&gt;0,TEXT(SUMPRODUCT(MAX(('Agences &amp; Après-vente'!$A$2:$A$1000=$A497)*(('Agences &amp; Après-vente'!$D$2:$D$1000="Après-vente")+('Agences &amp; Après-vente'!$D$2:$D$1000="Agences et Après-vente"))*'Agences &amp; Après-vente'!$E$2:$E$1000)),"yyyy-mm-dd"),"")))))</f>
        <v/>
      </c>
      <c r="J497" s="131" t="str">
        <f aca="false">IF($T497="✓","✓",IF(ISNUMBER($T497),TEXT($T497,"yyyy-mm-dd"),IF($A497="","",IF($D497="Lisbonne","",IF(SUMPRODUCT(('Agences &amp; Après-vente'!$A$2:$A$1000=$A497)*(('Agences &amp; Après-vente'!$D$2:$D$1000="Après-vente")+('Agences &amp; Après-vente'!$D$2:$D$1000="Agences et Après-vente"))*('Agences &amp; Après-vente'!$I$2:$I$1000="DONE"))&gt;0,"✓",IF(SUMPRODUCT(MAX(('Agences &amp; Après-vente'!$A$2:$A$1000=$A497)*(('Agences &amp; Après-vente'!$D$2:$D$1000="Après-vente")+('Agences &amp; Après-vente'!$D$2:$D$1000="Agences et Après-vente"))*'Agences &amp; Après-vente'!$E$2:$E$1000))&gt;0,TEXT(SUMPRODUCT(MAX(('Agences &amp; Après-vente'!$A$2:$A$1000=$A497)*(('Agences &amp; Après-vente'!$D$2:$D$1000="Après-vente")+('Agences &amp; Après-vente'!$D$2:$D$1000="Agences et Après-vente"))*'Agences &amp; Après-vente'!$E$2:$E$1000)),"yyyy-mm-dd"),""))))))</f>
        <v/>
      </c>
      <c r="K497" s="131" t="str">
        <f aca="false">IF($U497="✓","✓",IF(ISNUMBER($U497),TEXT($U497,"yyyy-mm-dd"),IF($D497="Lisbonne","",IF($A497="","",IF(SUMPRODUCT((Evermont!$A$2:$A$1000=$A497)*(Evermont!$Q$2:$Q$1000="Terminé"))&gt;0,"✓",IF(SUMPRODUCT(MAX((Evermont!$A$2:$A$1000=$A497)*Evermont!$F$2:$F$1000))&gt;0,TEXT(SUMPRODUCT(MAX((Evermont!$A$2:$A$1000=$A497)*Evermont!$F$2:$F$1000)),"yyyy-mm-dd"),""))))))</f>
        <v/>
      </c>
      <c r="L497" s="131" t="str">
        <f aca="false">IF($A497="","",COUNTIF(E497:K497,"✓"))</f>
        <v/>
      </c>
      <c r="M497" s="131" t="str">
        <f aca="false">IF(B497="","","Active")</f>
        <v/>
      </c>
      <c r="W497" s="120" t="str">
        <f aca="false">IF($A497="","",IF($X497&lt;&gt;"",$X497,IFERROR(INDEX('Formation Initiale'!$B$2:$B$999,MATCH($A497,'Formation Initiale'!$A$2:$A$999,0)),"Général")))</f>
        <v/>
      </c>
    </row>
    <row r="498" customFormat="false" ht="15" hidden="true" customHeight="true" outlineLevel="0" collapsed="false">
      <c r="A498" s="142" t="str">
        <f aca="false">IF(B498="","","TR"&amp;TEXT(ROW()-1,"000"))</f>
        <v/>
      </c>
      <c r="E498" s="130" t="str">
        <f aca="false">IF($O498="✓","✓",IF(ISNUMBER($O498),TEXT($O498,"yyyy-mm-dd"),IF($A498="","",IF(SUMPRODUCT(('Formation Initiale'!$A$2:$A$999=$A498)*('Formation Initiale'!$R$2:$R$999="Terminé"))&gt;0,"✓",IF(SUMPRODUCT(MAX(('Formation Initiale'!$A$2:$A$999=$A498)*'Formation Initiale'!$G$2:$G$999))&gt;0,TEXT(SUMPRODUCT(MAX(('Formation Initiale'!$A$2:$A$999=$A498)*'Formation Initiale'!$G$2:$G$999)),"yyyy-mm-dd"),"")))))</f>
        <v/>
      </c>
      <c r="F498" s="131" t="str">
        <f aca="false">IF($P498="✓","✓",IF(ISNUMBER($P498),TEXT($P498,"yyyy-mm-dd"),IF($A498="","",IF($D498="Lisbonne","",IF(SUMPRODUCT(('Formation Initiale'!$A$2:$A$999=$A498)*('Formation Initiale'!$R$2:$R$999="Terminé"))&gt;0,"✓",IF(SUMPRODUCT(MAX(('Formation Initiale'!$A$2:$A$999=$A498)*'Formation Initiale'!$G$2:$G$999))&gt;0,TEXT(SUMPRODUCT(MAX(('Formation Initiale'!$A$2:$A$999=$A498)*'Formation Initiale'!$G$2:$G$999)),"yyyy-mm-dd"),""))))))</f>
        <v/>
      </c>
      <c r="G498" s="131" t="str">
        <f aca="false">IF($Q498="✓","✓",IF(ISNUMBER($Q498),TEXT($Q498,"yyyy-mm-dd"),IF($A498="","",IF(SUMPRODUCT(('Agences &amp; Après-vente'!$A$2:$A$1000=$A498)*(('Agences &amp; Après-vente'!$D$2:$D$1000="Agences")+('Agences &amp; Après-vente'!$D$2:$D$1000="Agences et Après-vente"))*('Agences &amp; Après-vente'!$I$2:$I$1000="DONE"))&gt;0,"✓",IF(SUMPRODUCT(MAX(('Agences &amp; Après-vente'!$A$2:$A$1000=$A498)*(('Agences &amp; Après-vente'!$D$2:$D$1000="Agences")+('Agences &amp; Après-vente'!$D$2:$D$1000="Agences et Après-vente"))*'Agences &amp; Après-vente'!$E$2:$E$1000))&gt;0,TEXT(SUMPRODUCT(MAX(('Agences &amp; Après-vente'!$A$2:$A$1000=$A498)*(('Agences &amp; Après-vente'!$D$2:$D$1000="Agences")+('Agences &amp; Après-vente'!$D$2:$D$1000="Agences et Après-vente"))*'Agences &amp; Après-vente'!$E$2:$E$1000)),"yyyy-mm-dd"),"")))))</f>
        <v/>
      </c>
      <c r="H498" s="131" t="str">
        <f aca="false">IF($R498="✓","✓",IF(ISNUMBER($R498),TEXT($R498,"yyyy-mm-dd"),IF($A498="","",IF($D498="Lisbonne","",IF(SUMPRODUCT(('Agences &amp; Après-vente'!$A$2:$A$1000=$A498)*(('Agences &amp; Après-vente'!$D$2:$D$1000="Agences")+('Agences &amp; Après-vente'!$D$2:$D$1000="Agences et Après-vente"))*('Agences &amp; Après-vente'!$I$2:$I$1000="DONE"))&gt;0,"✓",IF(SUMPRODUCT(MAX(('Agences &amp; Après-vente'!$A$2:$A$1000=$A498)*(('Agences &amp; Après-vente'!$D$2:$D$1000="Agences")+('Agences &amp; Après-vente'!$D$2:$D$1000="Agences et Après-vente"))*'Agences &amp; Après-vente'!$E$2:$E$1000))&gt;0,TEXT(SUMPRODUCT(MAX(('Agences &amp; Après-vente'!$A$2:$A$1000=$A498)*(('Agences &amp; Après-vente'!$D$2:$D$1000="Agences")+('Agences &amp; Après-vente'!$D$2:$D$1000="Agences et Après-vente"))*'Agences &amp; Après-vente'!$E$2:$E$1000)),"yyyy-mm-dd"),""))))))</f>
        <v/>
      </c>
      <c r="I498" s="131" t="str">
        <f aca="false">IF($S498="✓","✓",IF(ISNUMBER($S498),TEXT($S498,"yyyy-mm-dd"),IF($A498="","",IF(SUMPRODUCT(('Agences &amp; Après-vente'!$A$2:$A$1000=$A498)*(('Agences &amp; Après-vente'!$D$2:$D$1000="Après-vente")+('Agences &amp; Après-vente'!$D$2:$D$1000="Agences et Après-vente"))*('Agences &amp; Après-vente'!$I$2:$I$1000="DONE"))&gt;0,"✓",IF(SUMPRODUCT(MAX(('Agences &amp; Après-vente'!$A$2:$A$1000=$A498)*(('Agences &amp; Après-vente'!$D$2:$D$1000="Après-vente")+('Agences &amp; Après-vente'!$D$2:$D$1000="Agences et Après-vente"))*'Agences &amp; Après-vente'!$E$2:$E$1000))&gt;0,TEXT(SUMPRODUCT(MAX(('Agences &amp; Après-vente'!$A$2:$A$1000=$A498)*(('Agences &amp; Après-vente'!$D$2:$D$1000="Après-vente")+('Agences &amp; Après-vente'!$D$2:$D$1000="Agences et Après-vente"))*'Agences &amp; Après-vente'!$E$2:$E$1000)),"yyyy-mm-dd"),"")))))</f>
        <v/>
      </c>
      <c r="J498" s="131" t="str">
        <f aca="false">IF($T498="✓","✓",IF(ISNUMBER($T498),TEXT($T498,"yyyy-mm-dd"),IF($A498="","",IF($D498="Lisbonne","",IF(SUMPRODUCT(('Agences &amp; Après-vente'!$A$2:$A$1000=$A498)*(('Agences &amp; Après-vente'!$D$2:$D$1000="Après-vente")+('Agences &amp; Après-vente'!$D$2:$D$1000="Agences et Après-vente"))*('Agences &amp; Après-vente'!$I$2:$I$1000="DONE"))&gt;0,"✓",IF(SUMPRODUCT(MAX(('Agences &amp; Après-vente'!$A$2:$A$1000=$A498)*(('Agences &amp; Après-vente'!$D$2:$D$1000="Après-vente")+('Agences &amp; Après-vente'!$D$2:$D$1000="Agences et Après-vente"))*'Agences &amp; Après-vente'!$E$2:$E$1000))&gt;0,TEXT(SUMPRODUCT(MAX(('Agences &amp; Après-vente'!$A$2:$A$1000=$A498)*(('Agences &amp; Après-vente'!$D$2:$D$1000="Après-vente")+('Agences &amp; Après-vente'!$D$2:$D$1000="Agences et Après-vente"))*'Agences &amp; Après-vente'!$E$2:$E$1000)),"yyyy-mm-dd"),""))))))</f>
        <v/>
      </c>
      <c r="K498" s="131" t="str">
        <f aca="false">IF($U498="✓","✓",IF(ISNUMBER($U498),TEXT($U498,"yyyy-mm-dd"),IF($D498="Lisbonne","",IF($A498="","",IF(SUMPRODUCT((Evermont!$A$2:$A$1000=$A498)*(Evermont!$Q$2:$Q$1000="Terminé"))&gt;0,"✓",IF(SUMPRODUCT(MAX((Evermont!$A$2:$A$1000=$A498)*Evermont!$F$2:$F$1000))&gt;0,TEXT(SUMPRODUCT(MAX((Evermont!$A$2:$A$1000=$A498)*Evermont!$F$2:$F$1000)),"yyyy-mm-dd"),""))))))</f>
        <v/>
      </c>
      <c r="L498" s="131" t="str">
        <f aca="false">IF($A498="","",COUNTIF(E498:K498,"✓"))</f>
        <v/>
      </c>
      <c r="M498" s="131" t="str">
        <f aca="false">IF(B498="","","Active")</f>
        <v/>
      </c>
      <c r="W498" s="120" t="str">
        <f aca="false">IF($A498="","",IF($X498&lt;&gt;"",$X498,IFERROR(INDEX('Formation Initiale'!$B$2:$B$999,MATCH($A498,'Formation Initiale'!$A$2:$A$999,0)),"Général")))</f>
        <v/>
      </c>
    </row>
    <row r="499" customFormat="false" ht="15" hidden="true" customHeight="true" outlineLevel="0" collapsed="false">
      <c r="A499" s="142" t="str">
        <f aca="false">IF(B499="","","TR"&amp;TEXT(ROW()-1,"000"))</f>
        <v/>
      </c>
      <c r="E499" s="130" t="str">
        <f aca="false">IF($O499="✓","✓",IF(ISNUMBER($O499),TEXT($O499,"yyyy-mm-dd"),IF($A499="","",IF(SUMPRODUCT(('Formation Initiale'!$A$2:$A$999=$A499)*('Formation Initiale'!$R$2:$R$999="Terminé"))&gt;0,"✓",IF(SUMPRODUCT(MAX(('Formation Initiale'!$A$2:$A$999=$A499)*'Formation Initiale'!$G$2:$G$999))&gt;0,TEXT(SUMPRODUCT(MAX(('Formation Initiale'!$A$2:$A$999=$A499)*'Formation Initiale'!$G$2:$G$999)),"yyyy-mm-dd"),"")))))</f>
        <v/>
      </c>
      <c r="F499" s="131" t="str">
        <f aca="false">IF($P499="✓","✓",IF(ISNUMBER($P499),TEXT($P499,"yyyy-mm-dd"),IF($A499="","",IF($D499="Lisbonne","",IF(SUMPRODUCT(('Formation Initiale'!$A$2:$A$999=$A499)*('Formation Initiale'!$R$2:$R$999="Terminé"))&gt;0,"✓",IF(SUMPRODUCT(MAX(('Formation Initiale'!$A$2:$A$999=$A499)*'Formation Initiale'!$G$2:$G$999))&gt;0,TEXT(SUMPRODUCT(MAX(('Formation Initiale'!$A$2:$A$999=$A499)*'Formation Initiale'!$G$2:$G$999)),"yyyy-mm-dd"),""))))))</f>
        <v/>
      </c>
      <c r="G499" s="131" t="str">
        <f aca="false">IF($Q499="✓","✓",IF(ISNUMBER($Q499),TEXT($Q499,"yyyy-mm-dd"),IF($A499="","",IF(SUMPRODUCT(('Agences &amp; Après-vente'!$A$2:$A$1000=$A499)*(('Agences &amp; Après-vente'!$D$2:$D$1000="Agences")+('Agences &amp; Après-vente'!$D$2:$D$1000="Agences et Après-vente"))*('Agences &amp; Après-vente'!$I$2:$I$1000="DONE"))&gt;0,"✓",IF(SUMPRODUCT(MAX(('Agences &amp; Après-vente'!$A$2:$A$1000=$A499)*(('Agences &amp; Après-vente'!$D$2:$D$1000="Agences")+('Agences &amp; Après-vente'!$D$2:$D$1000="Agences et Après-vente"))*'Agences &amp; Après-vente'!$E$2:$E$1000))&gt;0,TEXT(SUMPRODUCT(MAX(('Agences &amp; Après-vente'!$A$2:$A$1000=$A499)*(('Agences &amp; Après-vente'!$D$2:$D$1000="Agences")+('Agences &amp; Après-vente'!$D$2:$D$1000="Agences et Après-vente"))*'Agences &amp; Après-vente'!$E$2:$E$1000)),"yyyy-mm-dd"),"")))))</f>
        <v/>
      </c>
      <c r="H499" s="131" t="str">
        <f aca="false">IF($R499="✓","✓",IF(ISNUMBER($R499),TEXT($R499,"yyyy-mm-dd"),IF($A499="","",IF($D499="Lisbonne","",IF(SUMPRODUCT(('Agences &amp; Après-vente'!$A$2:$A$1000=$A499)*(('Agences &amp; Après-vente'!$D$2:$D$1000="Agences")+('Agences &amp; Après-vente'!$D$2:$D$1000="Agences et Après-vente"))*('Agences &amp; Après-vente'!$I$2:$I$1000="DONE"))&gt;0,"✓",IF(SUMPRODUCT(MAX(('Agences &amp; Après-vente'!$A$2:$A$1000=$A499)*(('Agences &amp; Après-vente'!$D$2:$D$1000="Agences")+('Agences &amp; Après-vente'!$D$2:$D$1000="Agences et Après-vente"))*'Agences &amp; Après-vente'!$E$2:$E$1000))&gt;0,TEXT(SUMPRODUCT(MAX(('Agences &amp; Après-vente'!$A$2:$A$1000=$A499)*(('Agences &amp; Après-vente'!$D$2:$D$1000="Agences")+('Agences &amp; Après-vente'!$D$2:$D$1000="Agences et Après-vente"))*'Agences &amp; Après-vente'!$E$2:$E$1000)),"yyyy-mm-dd"),""))))))</f>
        <v/>
      </c>
      <c r="I499" s="131" t="str">
        <f aca="false">IF($S499="✓","✓",IF(ISNUMBER($S499),TEXT($S499,"yyyy-mm-dd"),IF($A499="","",IF(SUMPRODUCT(('Agences &amp; Après-vente'!$A$2:$A$1000=$A499)*(('Agences &amp; Après-vente'!$D$2:$D$1000="Après-vente")+('Agences &amp; Après-vente'!$D$2:$D$1000="Agences et Après-vente"))*('Agences &amp; Après-vente'!$I$2:$I$1000="DONE"))&gt;0,"✓",IF(SUMPRODUCT(MAX(('Agences &amp; Après-vente'!$A$2:$A$1000=$A499)*(('Agences &amp; Après-vente'!$D$2:$D$1000="Après-vente")+('Agences &amp; Après-vente'!$D$2:$D$1000="Agences et Après-vente"))*'Agences &amp; Après-vente'!$E$2:$E$1000))&gt;0,TEXT(SUMPRODUCT(MAX(('Agences &amp; Après-vente'!$A$2:$A$1000=$A499)*(('Agences &amp; Après-vente'!$D$2:$D$1000="Après-vente")+('Agences &amp; Après-vente'!$D$2:$D$1000="Agences et Après-vente"))*'Agences &amp; Après-vente'!$E$2:$E$1000)),"yyyy-mm-dd"),"")))))</f>
        <v/>
      </c>
      <c r="J499" s="131" t="str">
        <f aca="false">IF($T499="✓","✓",IF(ISNUMBER($T499),TEXT($T499,"yyyy-mm-dd"),IF($A499="","",IF($D499="Lisbonne","",IF(SUMPRODUCT(('Agences &amp; Après-vente'!$A$2:$A$1000=$A499)*(('Agences &amp; Après-vente'!$D$2:$D$1000="Après-vente")+('Agences &amp; Après-vente'!$D$2:$D$1000="Agences et Après-vente"))*('Agences &amp; Après-vente'!$I$2:$I$1000="DONE"))&gt;0,"✓",IF(SUMPRODUCT(MAX(('Agences &amp; Après-vente'!$A$2:$A$1000=$A499)*(('Agences &amp; Après-vente'!$D$2:$D$1000="Après-vente")+('Agences &amp; Après-vente'!$D$2:$D$1000="Agences et Après-vente"))*'Agences &amp; Après-vente'!$E$2:$E$1000))&gt;0,TEXT(SUMPRODUCT(MAX(('Agences &amp; Après-vente'!$A$2:$A$1000=$A499)*(('Agences &amp; Après-vente'!$D$2:$D$1000="Après-vente")+('Agences &amp; Après-vente'!$D$2:$D$1000="Agences et Après-vente"))*'Agences &amp; Après-vente'!$E$2:$E$1000)),"yyyy-mm-dd"),""))))))</f>
        <v/>
      </c>
      <c r="K499" s="131" t="str">
        <f aca="false">IF($U499="✓","✓",IF(ISNUMBER($U499),TEXT($U499,"yyyy-mm-dd"),IF($D499="Lisbonne","",IF($A499="","",IF(SUMPRODUCT((Evermont!$A$2:$A$1000=$A499)*(Evermont!$Q$2:$Q$1000="Terminé"))&gt;0,"✓",IF(SUMPRODUCT(MAX((Evermont!$A$2:$A$1000=$A499)*Evermont!$F$2:$F$1000))&gt;0,TEXT(SUMPRODUCT(MAX((Evermont!$A$2:$A$1000=$A499)*Evermont!$F$2:$F$1000)),"yyyy-mm-dd"),""))))))</f>
        <v/>
      </c>
      <c r="L499" s="131" t="str">
        <f aca="false">IF($A499="","",COUNTIF(E499:K499,"✓"))</f>
        <v/>
      </c>
      <c r="M499" s="131" t="str">
        <f aca="false">IF(B499="","","Active")</f>
        <v/>
      </c>
      <c r="W499" s="120" t="str">
        <f aca="false">IF($A499="","",IF($X499&lt;&gt;"",$X499,IFERROR(INDEX('Formation Initiale'!$B$2:$B$999,MATCH($A499,'Formation Initiale'!$A$2:$A$999,0)),"Général")))</f>
        <v/>
      </c>
    </row>
    <row r="500" customFormat="false" ht="15" hidden="true" customHeight="true" outlineLevel="0" collapsed="false">
      <c r="A500" s="142" t="str">
        <f aca="false">IF(B500="","","TR"&amp;TEXT(ROW()-1,"000"))</f>
        <v/>
      </c>
      <c r="E500" s="130" t="str">
        <f aca="false">IF($O500="✓","✓",IF(ISNUMBER($O500),TEXT($O500,"yyyy-mm-dd"),IF($A500="","",IF(SUMPRODUCT(('Formation Initiale'!$A$2:$A$999=$A500)*('Formation Initiale'!$R$2:$R$999="Terminé"))&gt;0,"✓",IF(SUMPRODUCT(MAX(('Formation Initiale'!$A$2:$A$999=$A500)*'Formation Initiale'!$G$2:$G$999))&gt;0,TEXT(SUMPRODUCT(MAX(('Formation Initiale'!$A$2:$A$999=$A500)*'Formation Initiale'!$G$2:$G$999)),"yyyy-mm-dd"),"")))))</f>
        <v/>
      </c>
      <c r="F500" s="131" t="str">
        <f aca="false">IF($P500="✓","✓",IF(ISNUMBER($P500),TEXT($P500,"yyyy-mm-dd"),IF($A500="","",IF($D500="Lisbonne","",IF(SUMPRODUCT(('Formation Initiale'!$A$2:$A$999=$A500)*('Formation Initiale'!$R$2:$R$999="Terminé"))&gt;0,"✓",IF(SUMPRODUCT(MAX(('Formation Initiale'!$A$2:$A$999=$A500)*'Formation Initiale'!$G$2:$G$999))&gt;0,TEXT(SUMPRODUCT(MAX(('Formation Initiale'!$A$2:$A$999=$A500)*'Formation Initiale'!$G$2:$G$999)),"yyyy-mm-dd"),""))))))</f>
        <v/>
      </c>
      <c r="G500" s="131" t="str">
        <f aca="false">IF($Q500="✓","✓",IF(ISNUMBER($Q500),TEXT($Q500,"yyyy-mm-dd"),IF($A500="","",IF(SUMPRODUCT(('Agences &amp; Après-vente'!$A$2:$A$1000=$A500)*(('Agences &amp; Après-vente'!$D$2:$D$1000="Agences")+('Agences &amp; Après-vente'!$D$2:$D$1000="Agences et Après-vente"))*('Agences &amp; Après-vente'!$I$2:$I$1000="DONE"))&gt;0,"✓",IF(SUMPRODUCT(MAX(('Agences &amp; Après-vente'!$A$2:$A$1000=$A500)*(('Agences &amp; Après-vente'!$D$2:$D$1000="Agences")+('Agences &amp; Après-vente'!$D$2:$D$1000="Agences et Après-vente"))*'Agences &amp; Après-vente'!$E$2:$E$1000))&gt;0,TEXT(SUMPRODUCT(MAX(('Agences &amp; Après-vente'!$A$2:$A$1000=$A500)*(('Agences &amp; Après-vente'!$D$2:$D$1000="Agences")+('Agences &amp; Après-vente'!$D$2:$D$1000="Agences et Après-vente"))*'Agences &amp; Après-vente'!$E$2:$E$1000)),"yyyy-mm-dd"),"")))))</f>
        <v/>
      </c>
      <c r="H500" s="131" t="str">
        <f aca="false">IF($R500="✓","✓",IF(ISNUMBER($R500),TEXT($R500,"yyyy-mm-dd"),IF($A500="","",IF($D500="Lisbonne","",IF(SUMPRODUCT(('Agences &amp; Après-vente'!$A$2:$A$1000=$A500)*(('Agences &amp; Après-vente'!$D$2:$D$1000="Agences")+('Agences &amp; Après-vente'!$D$2:$D$1000="Agences et Après-vente"))*('Agences &amp; Après-vente'!$I$2:$I$1000="DONE"))&gt;0,"✓",IF(SUMPRODUCT(MAX(('Agences &amp; Après-vente'!$A$2:$A$1000=$A500)*(('Agences &amp; Après-vente'!$D$2:$D$1000="Agences")+('Agences &amp; Après-vente'!$D$2:$D$1000="Agences et Après-vente"))*'Agences &amp; Après-vente'!$E$2:$E$1000))&gt;0,TEXT(SUMPRODUCT(MAX(('Agences &amp; Après-vente'!$A$2:$A$1000=$A500)*(('Agences &amp; Après-vente'!$D$2:$D$1000="Agences")+('Agences &amp; Après-vente'!$D$2:$D$1000="Agences et Après-vente"))*'Agences &amp; Après-vente'!$E$2:$E$1000)),"yyyy-mm-dd"),""))))))</f>
        <v/>
      </c>
      <c r="I500" s="131" t="str">
        <f aca="false">IF($S500="✓","✓",IF(ISNUMBER($S500),TEXT($S500,"yyyy-mm-dd"),IF($A500="","",IF(SUMPRODUCT(('Agences &amp; Après-vente'!$A$2:$A$1000=$A500)*(('Agences &amp; Après-vente'!$D$2:$D$1000="Après-vente")+('Agences &amp; Après-vente'!$D$2:$D$1000="Agences et Après-vente"))*('Agences &amp; Après-vente'!$I$2:$I$1000="DONE"))&gt;0,"✓",IF(SUMPRODUCT(MAX(('Agences &amp; Après-vente'!$A$2:$A$1000=$A500)*(('Agences &amp; Après-vente'!$D$2:$D$1000="Après-vente")+('Agences &amp; Après-vente'!$D$2:$D$1000="Agences et Après-vente"))*'Agences &amp; Après-vente'!$E$2:$E$1000))&gt;0,TEXT(SUMPRODUCT(MAX(('Agences &amp; Après-vente'!$A$2:$A$1000=$A500)*(('Agences &amp; Après-vente'!$D$2:$D$1000="Après-vente")+('Agences &amp; Après-vente'!$D$2:$D$1000="Agences et Après-vente"))*'Agences &amp; Après-vente'!$E$2:$E$1000)),"yyyy-mm-dd"),"")))))</f>
        <v/>
      </c>
      <c r="J500" s="131" t="str">
        <f aca="false">IF($T500="✓","✓",IF(ISNUMBER($T500),TEXT($T500,"yyyy-mm-dd"),IF($A500="","",IF($D500="Lisbonne","",IF(SUMPRODUCT(('Agences &amp; Après-vente'!$A$2:$A$1000=$A500)*(('Agences &amp; Après-vente'!$D$2:$D$1000="Après-vente")+('Agences &amp; Après-vente'!$D$2:$D$1000="Agences et Après-vente"))*('Agences &amp; Après-vente'!$I$2:$I$1000="DONE"))&gt;0,"✓",IF(SUMPRODUCT(MAX(('Agences &amp; Après-vente'!$A$2:$A$1000=$A500)*(('Agences &amp; Après-vente'!$D$2:$D$1000="Après-vente")+('Agences &amp; Après-vente'!$D$2:$D$1000="Agences et Après-vente"))*'Agences &amp; Après-vente'!$E$2:$E$1000))&gt;0,TEXT(SUMPRODUCT(MAX(('Agences &amp; Après-vente'!$A$2:$A$1000=$A500)*(('Agences &amp; Après-vente'!$D$2:$D$1000="Après-vente")+('Agences &amp; Après-vente'!$D$2:$D$1000="Agences et Après-vente"))*'Agences &amp; Après-vente'!$E$2:$E$1000)),"yyyy-mm-dd"),""))))))</f>
        <v/>
      </c>
      <c r="K500" s="131" t="str">
        <f aca="false">IF($U500="✓","✓",IF(ISNUMBER($U500),TEXT($U500,"yyyy-mm-dd"),IF($D500="Lisbonne","",IF($A500="","",IF(SUMPRODUCT((Evermont!$A$2:$A$1000=$A500)*(Evermont!$Q$2:$Q$1000="Terminé"))&gt;0,"✓",IF(SUMPRODUCT(MAX((Evermont!$A$2:$A$1000=$A500)*Evermont!$F$2:$F$1000))&gt;0,TEXT(SUMPRODUCT(MAX((Evermont!$A$2:$A$1000=$A500)*Evermont!$F$2:$F$1000)),"yyyy-mm-dd"),""))))))</f>
        <v/>
      </c>
      <c r="L500" s="131" t="str">
        <f aca="false">IF($A500="","",COUNTIF(E500:K500,"✓"))</f>
        <v/>
      </c>
      <c r="M500" s="131" t="str">
        <f aca="false">IF(B500="","","Active")</f>
        <v/>
      </c>
      <c r="W500" s="120" t="str">
        <f aca="false">IF($A500="","",IF($X500&lt;&gt;"",$X500,IFERROR(INDEX('Formation Initiale'!$B$2:$B$999,MATCH($A500,'Formation Initiale'!$A$2:$A$999,0)),"Général")))</f>
        <v/>
      </c>
    </row>
    <row r="501" customFormat="false" ht="15" hidden="true" customHeight="true" outlineLevel="0" collapsed="false">
      <c r="A501" s="142" t="str">
        <f aca="false">IF(B501="","","TR"&amp;TEXT(ROW()-1,"000"))</f>
        <v/>
      </c>
      <c r="E501" s="130" t="str">
        <f aca="false">IF($O501="✓","✓",IF(ISNUMBER($O501),TEXT($O501,"yyyy-mm-dd"),IF($A501="","",IF(SUMPRODUCT(('Formation Initiale'!$A$2:$A$999=$A501)*('Formation Initiale'!$R$2:$R$999="Terminé"))&gt;0,"✓",IF(SUMPRODUCT(MAX(('Formation Initiale'!$A$2:$A$999=$A501)*'Formation Initiale'!$G$2:$G$999))&gt;0,TEXT(SUMPRODUCT(MAX(('Formation Initiale'!$A$2:$A$999=$A501)*'Formation Initiale'!$G$2:$G$999)),"yyyy-mm-dd"),"")))))</f>
        <v/>
      </c>
      <c r="F501" s="131" t="str">
        <f aca="false">IF($P501="✓","✓",IF(ISNUMBER($P501),TEXT($P501,"yyyy-mm-dd"),IF($A501="","",IF($D501="Lisbonne","",IF(SUMPRODUCT(('Formation Initiale'!$A$2:$A$999=$A501)*('Formation Initiale'!$R$2:$R$999="Terminé"))&gt;0,"✓",IF(SUMPRODUCT(MAX(('Formation Initiale'!$A$2:$A$999=$A501)*'Formation Initiale'!$G$2:$G$999))&gt;0,TEXT(SUMPRODUCT(MAX(('Formation Initiale'!$A$2:$A$999=$A501)*'Formation Initiale'!$G$2:$G$999)),"yyyy-mm-dd"),""))))))</f>
        <v/>
      </c>
      <c r="G501" s="131" t="str">
        <f aca="false">IF($Q501="✓","✓",IF(ISNUMBER($Q501),TEXT($Q501,"yyyy-mm-dd"),IF($A501="","",IF(SUMPRODUCT(('Agences &amp; Après-vente'!$A$2:$A$1000=$A501)*(('Agences &amp; Après-vente'!$D$2:$D$1000="Agences")+('Agences &amp; Après-vente'!$D$2:$D$1000="Agences et Après-vente"))*('Agences &amp; Après-vente'!$I$2:$I$1000="DONE"))&gt;0,"✓",IF(SUMPRODUCT(MAX(('Agences &amp; Après-vente'!$A$2:$A$1000=$A501)*(('Agences &amp; Après-vente'!$D$2:$D$1000="Agences")+('Agences &amp; Après-vente'!$D$2:$D$1000="Agences et Après-vente"))*'Agences &amp; Après-vente'!$E$2:$E$1000))&gt;0,TEXT(SUMPRODUCT(MAX(('Agences &amp; Après-vente'!$A$2:$A$1000=$A501)*(('Agences &amp; Après-vente'!$D$2:$D$1000="Agences")+('Agences &amp; Après-vente'!$D$2:$D$1000="Agences et Après-vente"))*'Agences &amp; Après-vente'!$E$2:$E$1000)),"yyyy-mm-dd"),"")))))</f>
        <v/>
      </c>
      <c r="H501" s="131" t="str">
        <f aca="false">IF($R501="✓","✓",IF(ISNUMBER($R501),TEXT($R501,"yyyy-mm-dd"),IF($A501="","",IF($D501="Lisbonne","",IF(SUMPRODUCT(('Agences &amp; Après-vente'!$A$2:$A$1000=$A501)*(('Agences &amp; Après-vente'!$D$2:$D$1000="Agences")+('Agences &amp; Après-vente'!$D$2:$D$1000="Agences et Après-vente"))*('Agences &amp; Après-vente'!$I$2:$I$1000="DONE"))&gt;0,"✓",IF(SUMPRODUCT(MAX(('Agences &amp; Après-vente'!$A$2:$A$1000=$A501)*(('Agences &amp; Après-vente'!$D$2:$D$1000="Agences")+('Agences &amp; Après-vente'!$D$2:$D$1000="Agences et Après-vente"))*'Agences &amp; Après-vente'!$E$2:$E$1000))&gt;0,TEXT(SUMPRODUCT(MAX(('Agences &amp; Après-vente'!$A$2:$A$1000=$A501)*(('Agences &amp; Après-vente'!$D$2:$D$1000="Agences")+('Agences &amp; Après-vente'!$D$2:$D$1000="Agences et Après-vente"))*'Agences &amp; Après-vente'!$E$2:$E$1000)),"yyyy-mm-dd"),""))))))</f>
        <v/>
      </c>
      <c r="I501" s="131" t="str">
        <f aca="false">IF($S501="✓","✓",IF(ISNUMBER($S501),TEXT($S501,"yyyy-mm-dd"),IF($A501="","",IF(SUMPRODUCT(('Agences &amp; Après-vente'!$A$2:$A$1000=$A501)*(('Agences &amp; Après-vente'!$D$2:$D$1000="Après-vente")+('Agences &amp; Après-vente'!$D$2:$D$1000="Agences et Après-vente"))*('Agences &amp; Après-vente'!$I$2:$I$1000="DONE"))&gt;0,"✓",IF(SUMPRODUCT(MAX(('Agences &amp; Après-vente'!$A$2:$A$1000=$A501)*(('Agences &amp; Après-vente'!$D$2:$D$1000="Après-vente")+('Agences &amp; Après-vente'!$D$2:$D$1000="Agences et Après-vente"))*'Agences &amp; Après-vente'!$E$2:$E$1000))&gt;0,TEXT(SUMPRODUCT(MAX(('Agences &amp; Après-vente'!$A$2:$A$1000=$A501)*(('Agences &amp; Après-vente'!$D$2:$D$1000="Après-vente")+('Agences &amp; Après-vente'!$D$2:$D$1000="Agences et Après-vente"))*'Agences &amp; Après-vente'!$E$2:$E$1000)),"yyyy-mm-dd"),"")))))</f>
        <v/>
      </c>
      <c r="J501" s="131" t="str">
        <f aca="false">IF($T501="✓","✓",IF(ISNUMBER($T501),TEXT($T501,"yyyy-mm-dd"),IF($A501="","",IF($D501="Lisbonne","",IF(SUMPRODUCT(('Agences &amp; Après-vente'!$A$2:$A$1000=$A501)*(('Agences &amp; Après-vente'!$D$2:$D$1000="Après-vente")+('Agences &amp; Après-vente'!$D$2:$D$1000="Agences et Après-vente"))*('Agences &amp; Après-vente'!$I$2:$I$1000="DONE"))&gt;0,"✓",IF(SUMPRODUCT(MAX(('Agences &amp; Après-vente'!$A$2:$A$1000=$A501)*(('Agences &amp; Après-vente'!$D$2:$D$1000="Après-vente")+('Agences &amp; Après-vente'!$D$2:$D$1000="Agences et Après-vente"))*'Agences &amp; Après-vente'!$E$2:$E$1000))&gt;0,TEXT(SUMPRODUCT(MAX(('Agences &amp; Après-vente'!$A$2:$A$1000=$A501)*(('Agences &amp; Après-vente'!$D$2:$D$1000="Après-vente")+('Agences &amp; Après-vente'!$D$2:$D$1000="Agences et Après-vente"))*'Agences &amp; Après-vente'!$E$2:$E$1000)),"yyyy-mm-dd"),""))))))</f>
        <v/>
      </c>
      <c r="K501" s="131" t="str">
        <f aca="false">IF($U501="✓","✓",IF(ISNUMBER($U501),TEXT($U501,"yyyy-mm-dd"),IF($D501="Lisbonne","",IF($A501="","",IF(SUMPRODUCT((Evermont!$A$2:$A$1000=$A501)*(Evermont!$Q$2:$Q$1000="Terminé"))&gt;0,"✓",IF(SUMPRODUCT(MAX((Evermont!$A$2:$A$1000=$A501)*Evermont!$F$2:$F$1000))&gt;0,TEXT(SUMPRODUCT(MAX((Evermont!$A$2:$A$1000=$A501)*Evermont!$F$2:$F$1000)),"yyyy-mm-dd"),""))))))</f>
        <v/>
      </c>
      <c r="L501" s="131" t="str">
        <f aca="false">IF($A501="","",COUNTIF(E501:K501,"✓"))</f>
        <v/>
      </c>
      <c r="M501" s="131" t="str">
        <f aca="false">IF(B501="","","Active")</f>
        <v/>
      </c>
      <c r="W501" s="120" t="str">
        <f aca="false">IF($A501="","",IF($X501&lt;&gt;"",$X501,IFERROR(INDEX('Formation Initiale'!$B$2:$B$999,MATCH($A501,'Formation Initiale'!$A$2:$A$999,0)),"Général")))</f>
        <v/>
      </c>
    </row>
    <row r="502" customFormat="false" ht="15" hidden="true" customHeight="true" outlineLevel="0" collapsed="false">
      <c r="A502" s="142" t="str">
        <f aca="false">IF(B502="","","TR"&amp;TEXT(ROW()-1,"000"))</f>
        <v/>
      </c>
      <c r="E502" s="130" t="str">
        <f aca="false">IF($O502="✓","✓",IF(ISNUMBER($O502),TEXT($O502,"yyyy-mm-dd"),IF($A502="","",IF(SUMPRODUCT(('Formation Initiale'!$A$2:$A$999=$A502)*('Formation Initiale'!$R$2:$R$999="Terminé"))&gt;0,"✓",IF(SUMPRODUCT(MAX(('Formation Initiale'!$A$2:$A$999=$A502)*'Formation Initiale'!$G$2:$G$999))&gt;0,TEXT(SUMPRODUCT(MAX(('Formation Initiale'!$A$2:$A$999=$A502)*'Formation Initiale'!$G$2:$G$999)),"yyyy-mm-dd"),"")))))</f>
        <v/>
      </c>
      <c r="F502" s="131" t="str">
        <f aca="false">IF($P502="✓","✓",IF(ISNUMBER($P502),TEXT($P502,"yyyy-mm-dd"),IF($A502="","",IF($D502="Lisbonne","",IF(SUMPRODUCT(('Formation Initiale'!$A$2:$A$999=$A502)*('Formation Initiale'!$R$2:$R$999="Terminé"))&gt;0,"✓",IF(SUMPRODUCT(MAX(('Formation Initiale'!$A$2:$A$999=$A502)*'Formation Initiale'!$G$2:$G$999))&gt;0,TEXT(SUMPRODUCT(MAX(('Formation Initiale'!$A$2:$A$999=$A502)*'Formation Initiale'!$G$2:$G$999)),"yyyy-mm-dd"),""))))))</f>
        <v/>
      </c>
      <c r="G502" s="131" t="str">
        <f aca="false">IF($Q502="✓","✓",IF(ISNUMBER($Q502),TEXT($Q502,"yyyy-mm-dd"),IF($A502="","",IF(SUMPRODUCT(('Agences &amp; Après-vente'!$A$2:$A$1000=$A502)*(('Agences &amp; Après-vente'!$D$2:$D$1000="Agences")+('Agences &amp; Après-vente'!$D$2:$D$1000="Agences et Après-vente"))*('Agences &amp; Après-vente'!$I$2:$I$1000="DONE"))&gt;0,"✓",IF(SUMPRODUCT(MAX(('Agences &amp; Après-vente'!$A$2:$A$1000=$A502)*(('Agences &amp; Après-vente'!$D$2:$D$1000="Agences")+('Agences &amp; Après-vente'!$D$2:$D$1000="Agences et Après-vente"))*'Agences &amp; Après-vente'!$E$2:$E$1000))&gt;0,TEXT(SUMPRODUCT(MAX(('Agences &amp; Après-vente'!$A$2:$A$1000=$A502)*(('Agences &amp; Après-vente'!$D$2:$D$1000="Agences")+('Agences &amp; Après-vente'!$D$2:$D$1000="Agences et Après-vente"))*'Agences &amp; Après-vente'!$E$2:$E$1000)),"yyyy-mm-dd"),"")))))</f>
        <v/>
      </c>
      <c r="H502" s="131" t="str">
        <f aca="false">IF($R502="✓","✓",IF(ISNUMBER($R502),TEXT($R502,"yyyy-mm-dd"),IF($A502="","",IF($D502="Lisbonne","",IF(SUMPRODUCT(('Agences &amp; Après-vente'!$A$2:$A$1000=$A502)*(('Agences &amp; Après-vente'!$D$2:$D$1000="Agences")+('Agences &amp; Après-vente'!$D$2:$D$1000="Agences et Après-vente"))*('Agences &amp; Après-vente'!$I$2:$I$1000="DONE"))&gt;0,"✓",IF(SUMPRODUCT(MAX(('Agences &amp; Après-vente'!$A$2:$A$1000=$A502)*(('Agences &amp; Après-vente'!$D$2:$D$1000="Agences")+('Agences &amp; Après-vente'!$D$2:$D$1000="Agences et Après-vente"))*'Agences &amp; Après-vente'!$E$2:$E$1000))&gt;0,TEXT(SUMPRODUCT(MAX(('Agences &amp; Après-vente'!$A$2:$A$1000=$A502)*(('Agences &amp; Après-vente'!$D$2:$D$1000="Agences")+('Agences &amp; Après-vente'!$D$2:$D$1000="Agences et Après-vente"))*'Agences &amp; Après-vente'!$E$2:$E$1000)),"yyyy-mm-dd"),""))))))</f>
        <v/>
      </c>
      <c r="I502" s="131" t="str">
        <f aca="false">IF($S502="✓","✓",IF(ISNUMBER($S502),TEXT($S502,"yyyy-mm-dd"),IF($A502="","",IF(SUMPRODUCT(('Agences &amp; Après-vente'!$A$2:$A$1000=$A502)*(('Agences &amp; Après-vente'!$D$2:$D$1000="Après-vente")+('Agences &amp; Après-vente'!$D$2:$D$1000="Agences et Après-vente"))*('Agences &amp; Après-vente'!$I$2:$I$1000="DONE"))&gt;0,"✓",IF(SUMPRODUCT(MAX(('Agences &amp; Après-vente'!$A$2:$A$1000=$A502)*(('Agences &amp; Après-vente'!$D$2:$D$1000="Après-vente")+('Agences &amp; Après-vente'!$D$2:$D$1000="Agences et Après-vente"))*'Agences &amp; Après-vente'!$E$2:$E$1000))&gt;0,TEXT(SUMPRODUCT(MAX(('Agences &amp; Après-vente'!$A$2:$A$1000=$A502)*(('Agences &amp; Après-vente'!$D$2:$D$1000="Après-vente")+('Agences &amp; Après-vente'!$D$2:$D$1000="Agences et Après-vente"))*'Agences &amp; Après-vente'!$E$2:$E$1000)),"yyyy-mm-dd"),"")))))</f>
        <v/>
      </c>
      <c r="J502" s="131" t="str">
        <f aca="false">IF($T502="✓","✓",IF(ISNUMBER($T502),TEXT($T502,"yyyy-mm-dd"),IF($A502="","",IF($D502="Lisbonne","",IF(SUMPRODUCT(('Agences &amp; Après-vente'!$A$2:$A$1000=$A502)*(('Agences &amp; Après-vente'!$D$2:$D$1000="Après-vente")+('Agences &amp; Après-vente'!$D$2:$D$1000="Agences et Après-vente"))*('Agences &amp; Après-vente'!$I$2:$I$1000="DONE"))&gt;0,"✓",IF(SUMPRODUCT(MAX(('Agences &amp; Après-vente'!$A$2:$A$1000=$A502)*(('Agences &amp; Après-vente'!$D$2:$D$1000="Après-vente")+('Agences &amp; Après-vente'!$D$2:$D$1000="Agences et Après-vente"))*'Agences &amp; Après-vente'!$E$2:$E$1000))&gt;0,TEXT(SUMPRODUCT(MAX(('Agences &amp; Après-vente'!$A$2:$A$1000=$A502)*(('Agences &amp; Après-vente'!$D$2:$D$1000="Après-vente")+('Agences &amp; Après-vente'!$D$2:$D$1000="Agences et Après-vente"))*'Agences &amp; Après-vente'!$E$2:$E$1000)),"yyyy-mm-dd"),""))))))</f>
        <v/>
      </c>
      <c r="K502" s="131" t="str">
        <f aca="false">IF($U502="✓","✓",IF(ISNUMBER($U502),TEXT($U502,"yyyy-mm-dd"),IF($D502="Lisbonne","",IF($A502="","",IF(SUMPRODUCT((Evermont!$A$2:$A$1000=$A502)*(Evermont!$Q$2:$Q$1000="Terminé"))&gt;0,"✓",IF(SUMPRODUCT(MAX((Evermont!$A$2:$A$1000=$A502)*Evermont!$F$2:$F$1000))&gt;0,TEXT(SUMPRODUCT(MAX((Evermont!$A$2:$A$1000=$A502)*Evermont!$F$2:$F$1000)),"yyyy-mm-dd"),""))))))</f>
        <v/>
      </c>
      <c r="L502" s="131" t="str">
        <f aca="false">IF($A502="","",COUNTIF(E502:K502,"✓"))</f>
        <v/>
      </c>
      <c r="M502" s="131" t="str">
        <f aca="false">IF(B502="","","Active")</f>
        <v/>
      </c>
      <c r="W502" s="120" t="str">
        <f aca="false">IF($A502="","",IF($X502&lt;&gt;"",$X502,IFERROR(INDEX('Formation Initiale'!$B$2:$B$999,MATCH($A502,'Formation Initiale'!$A$2:$A$999,0)),"Général")))</f>
        <v/>
      </c>
    </row>
    <row r="503" customFormat="false" ht="15" hidden="true" customHeight="true" outlineLevel="0" collapsed="false">
      <c r="A503" s="142" t="str">
        <f aca="false">IF(B503="","","TR"&amp;TEXT(ROW()-1,"000"))</f>
        <v/>
      </c>
      <c r="E503" s="130" t="str">
        <f aca="false">IF($O503="✓","✓",IF(ISNUMBER($O503),TEXT($O503,"yyyy-mm-dd"),IF($A503="","",IF(SUMPRODUCT(('Formation Initiale'!$A$2:$A$999=$A503)*('Formation Initiale'!$R$2:$R$999="Terminé"))&gt;0,"✓",IF(SUMPRODUCT(MAX(('Formation Initiale'!$A$2:$A$999=$A503)*'Formation Initiale'!$G$2:$G$999))&gt;0,TEXT(SUMPRODUCT(MAX(('Formation Initiale'!$A$2:$A$999=$A503)*'Formation Initiale'!$G$2:$G$999)),"yyyy-mm-dd"),"")))))</f>
        <v/>
      </c>
      <c r="F503" s="131" t="str">
        <f aca="false">IF($P503="✓","✓",IF(ISNUMBER($P503),TEXT($P503,"yyyy-mm-dd"),IF($A503="","",IF($D503="Lisbonne","",IF(SUMPRODUCT(('Formation Initiale'!$A$2:$A$999=$A503)*('Formation Initiale'!$R$2:$R$999="Terminé"))&gt;0,"✓",IF(SUMPRODUCT(MAX(('Formation Initiale'!$A$2:$A$999=$A503)*'Formation Initiale'!$G$2:$G$999))&gt;0,TEXT(SUMPRODUCT(MAX(('Formation Initiale'!$A$2:$A$999=$A503)*'Formation Initiale'!$G$2:$G$999)),"yyyy-mm-dd"),""))))))</f>
        <v/>
      </c>
      <c r="G503" s="131" t="str">
        <f aca="false">IF($Q503="✓","✓",IF(ISNUMBER($Q503),TEXT($Q503,"yyyy-mm-dd"),IF($A503="","",IF(SUMPRODUCT(('Agences &amp; Après-vente'!$A$2:$A$1000=$A503)*(('Agences &amp; Après-vente'!$D$2:$D$1000="Agences")+('Agences &amp; Après-vente'!$D$2:$D$1000="Agences et Après-vente"))*('Agences &amp; Après-vente'!$I$2:$I$1000="DONE"))&gt;0,"✓",IF(SUMPRODUCT(MAX(('Agences &amp; Après-vente'!$A$2:$A$1000=$A503)*(('Agences &amp; Après-vente'!$D$2:$D$1000="Agences")+('Agences &amp; Après-vente'!$D$2:$D$1000="Agences et Après-vente"))*'Agences &amp; Après-vente'!$E$2:$E$1000))&gt;0,TEXT(SUMPRODUCT(MAX(('Agences &amp; Après-vente'!$A$2:$A$1000=$A503)*(('Agences &amp; Après-vente'!$D$2:$D$1000="Agences")+('Agences &amp; Après-vente'!$D$2:$D$1000="Agences et Après-vente"))*'Agences &amp; Après-vente'!$E$2:$E$1000)),"yyyy-mm-dd"),"")))))</f>
        <v/>
      </c>
      <c r="H503" s="131" t="str">
        <f aca="false">IF($R503="✓","✓",IF(ISNUMBER($R503),TEXT($R503,"yyyy-mm-dd"),IF($A503="","",IF($D503="Lisbonne","",IF(SUMPRODUCT(('Agences &amp; Après-vente'!$A$2:$A$1000=$A503)*(('Agences &amp; Après-vente'!$D$2:$D$1000="Agences")+('Agences &amp; Après-vente'!$D$2:$D$1000="Agences et Après-vente"))*('Agences &amp; Après-vente'!$I$2:$I$1000="DONE"))&gt;0,"✓",IF(SUMPRODUCT(MAX(('Agences &amp; Après-vente'!$A$2:$A$1000=$A503)*(('Agences &amp; Après-vente'!$D$2:$D$1000="Agences")+('Agences &amp; Après-vente'!$D$2:$D$1000="Agences et Après-vente"))*'Agences &amp; Après-vente'!$E$2:$E$1000))&gt;0,TEXT(SUMPRODUCT(MAX(('Agences &amp; Après-vente'!$A$2:$A$1000=$A503)*(('Agences &amp; Après-vente'!$D$2:$D$1000="Agences")+('Agences &amp; Après-vente'!$D$2:$D$1000="Agences et Après-vente"))*'Agences &amp; Après-vente'!$E$2:$E$1000)),"yyyy-mm-dd"),""))))))</f>
        <v/>
      </c>
      <c r="I503" s="131" t="str">
        <f aca="false">IF($S503="✓","✓",IF(ISNUMBER($S503),TEXT($S503,"yyyy-mm-dd"),IF($A503="","",IF(SUMPRODUCT(('Agences &amp; Après-vente'!$A$2:$A$1000=$A503)*(('Agences &amp; Après-vente'!$D$2:$D$1000="Après-vente")+('Agences &amp; Après-vente'!$D$2:$D$1000="Agences et Après-vente"))*('Agences &amp; Après-vente'!$I$2:$I$1000="DONE"))&gt;0,"✓",IF(SUMPRODUCT(MAX(('Agences &amp; Après-vente'!$A$2:$A$1000=$A503)*(('Agences &amp; Après-vente'!$D$2:$D$1000="Après-vente")+('Agences &amp; Après-vente'!$D$2:$D$1000="Agences et Après-vente"))*'Agences &amp; Après-vente'!$E$2:$E$1000))&gt;0,TEXT(SUMPRODUCT(MAX(('Agences &amp; Après-vente'!$A$2:$A$1000=$A503)*(('Agences &amp; Après-vente'!$D$2:$D$1000="Après-vente")+('Agences &amp; Après-vente'!$D$2:$D$1000="Agences et Après-vente"))*'Agences &amp; Après-vente'!$E$2:$E$1000)),"yyyy-mm-dd"),"")))))</f>
        <v/>
      </c>
      <c r="J503" s="131" t="str">
        <f aca="false">IF($T503="✓","✓",IF(ISNUMBER($T503),TEXT($T503,"yyyy-mm-dd"),IF($A503="","",IF($D503="Lisbonne","",IF(SUMPRODUCT(('Agences &amp; Après-vente'!$A$2:$A$1000=$A503)*(('Agences &amp; Après-vente'!$D$2:$D$1000="Après-vente")+('Agences &amp; Après-vente'!$D$2:$D$1000="Agences et Après-vente"))*('Agences &amp; Après-vente'!$I$2:$I$1000="DONE"))&gt;0,"✓",IF(SUMPRODUCT(MAX(('Agences &amp; Après-vente'!$A$2:$A$1000=$A503)*(('Agences &amp; Après-vente'!$D$2:$D$1000="Après-vente")+('Agences &amp; Après-vente'!$D$2:$D$1000="Agences et Après-vente"))*'Agences &amp; Après-vente'!$E$2:$E$1000))&gt;0,TEXT(SUMPRODUCT(MAX(('Agences &amp; Après-vente'!$A$2:$A$1000=$A503)*(('Agences &amp; Après-vente'!$D$2:$D$1000="Après-vente")+('Agences &amp; Après-vente'!$D$2:$D$1000="Agences et Après-vente"))*'Agences &amp; Après-vente'!$E$2:$E$1000)),"yyyy-mm-dd"),""))))))</f>
        <v/>
      </c>
      <c r="K503" s="131" t="str">
        <f aca="false">IF($U503="✓","✓",IF(ISNUMBER($U503),TEXT($U503,"yyyy-mm-dd"),IF($D503="Lisbonne","",IF($A503="","",IF(SUMPRODUCT((Evermont!$A$2:$A$1000=$A503)*(Evermont!$Q$2:$Q$1000="Terminé"))&gt;0,"✓",IF(SUMPRODUCT(MAX((Evermont!$A$2:$A$1000=$A503)*Evermont!$F$2:$F$1000))&gt;0,TEXT(SUMPRODUCT(MAX((Evermont!$A$2:$A$1000=$A503)*Evermont!$F$2:$F$1000)),"yyyy-mm-dd"),""))))))</f>
        <v/>
      </c>
      <c r="L503" s="131" t="str">
        <f aca="false">IF($A503="","",COUNTIF(E503:K503,"✓"))</f>
        <v/>
      </c>
      <c r="M503" s="131" t="str">
        <f aca="false">IF(B503="","","Active")</f>
        <v/>
      </c>
      <c r="W503" s="120" t="str">
        <f aca="false">IF($A503="","",IF($X503&lt;&gt;"",$X503,IFERROR(INDEX('Formation Initiale'!$B$2:$B$999,MATCH($A503,'Formation Initiale'!$A$2:$A$999,0)),"Général")))</f>
        <v/>
      </c>
    </row>
    <row r="504" customFormat="false" ht="15" hidden="true" customHeight="true" outlineLevel="0" collapsed="false">
      <c r="A504" s="142" t="str">
        <f aca="false">IF(B504="","","TR"&amp;TEXT(ROW()-1,"000"))</f>
        <v/>
      </c>
      <c r="E504" s="130" t="str">
        <f aca="false">IF($O504="✓","✓",IF(ISNUMBER($O504),TEXT($O504,"yyyy-mm-dd"),IF($A504="","",IF(SUMPRODUCT(('Formation Initiale'!$A$2:$A$999=$A504)*('Formation Initiale'!$R$2:$R$999="Terminé"))&gt;0,"✓",IF(SUMPRODUCT(MAX(('Formation Initiale'!$A$2:$A$999=$A504)*'Formation Initiale'!$G$2:$G$999))&gt;0,TEXT(SUMPRODUCT(MAX(('Formation Initiale'!$A$2:$A$999=$A504)*'Formation Initiale'!$G$2:$G$999)),"yyyy-mm-dd"),"")))))</f>
        <v/>
      </c>
      <c r="F504" s="131" t="str">
        <f aca="false">IF($P504="✓","✓",IF(ISNUMBER($P504),TEXT($P504,"yyyy-mm-dd"),IF($A504="","",IF($D504="Lisbonne","",IF(SUMPRODUCT(('Formation Initiale'!$A$2:$A$999=$A504)*('Formation Initiale'!$R$2:$R$999="Terminé"))&gt;0,"✓",IF(SUMPRODUCT(MAX(('Formation Initiale'!$A$2:$A$999=$A504)*'Formation Initiale'!$G$2:$G$999))&gt;0,TEXT(SUMPRODUCT(MAX(('Formation Initiale'!$A$2:$A$999=$A504)*'Formation Initiale'!$G$2:$G$999)),"yyyy-mm-dd"),""))))))</f>
        <v/>
      </c>
      <c r="G504" s="131" t="str">
        <f aca="false">IF($Q504="✓","✓",IF(ISNUMBER($Q504),TEXT($Q504,"yyyy-mm-dd"),IF($A504="","",IF(SUMPRODUCT(('Agences &amp; Après-vente'!$A$2:$A$1000=$A504)*(('Agences &amp; Après-vente'!$D$2:$D$1000="Agences")+('Agences &amp; Après-vente'!$D$2:$D$1000="Agences et Après-vente"))*('Agences &amp; Après-vente'!$I$2:$I$1000="DONE"))&gt;0,"✓",IF(SUMPRODUCT(MAX(('Agences &amp; Après-vente'!$A$2:$A$1000=$A504)*(('Agences &amp; Après-vente'!$D$2:$D$1000="Agences")+('Agences &amp; Après-vente'!$D$2:$D$1000="Agences et Après-vente"))*'Agences &amp; Après-vente'!$E$2:$E$1000))&gt;0,TEXT(SUMPRODUCT(MAX(('Agences &amp; Après-vente'!$A$2:$A$1000=$A504)*(('Agences &amp; Après-vente'!$D$2:$D$1000="Agences")+('Agences &amp; Après-vente'!$D$2:$D$1000="Agences et Après-vente"))*'Agences &amp; Après-vente'!$E$2:$E$1000)),"yyyy-mm-dd"),"")))))</f>
        <v/>
      </c>
      <c r="H504" s="131" t="str">
        <f aca="false">IF($R504="✓","✓",IF(ISNUMBER($R504),TEXT($R504,"yyyy-mm-dd"),IF($A504="","",IF($D504="Lisbonne","",IF(SUMPRODUCT(('Agences &amp; Après-vente'!$A$2:$A$1000=$A504)*(('Agences &amp; Après-vente'!$D$2:$D$1000="Agences")+('Agences &amp; Après-vente'!$D$2:$D$1000="Agences et Après-vente"))*('Agences &amp; Après-vente'!$I$2:$I$1000="DONE"))&gt;0,"✓",IF(SUMPRODUCT(MAX(('Agences &amp; Après-vente'!$A$2:$A$1000=$A504)*(('Agences &amp; Après-vente'!$D$2:$D$1000="Agences")+('Agences &amp; Après-vente'!$D$2:$D$1000="Agences et Après-vente"))*'Agences &amp; Après-vente'!$E$2:$E$1000))&gt;0,TEXT(SUMPRODUCT(MAX(('Agences &amp; Après-vente'!$A$2:$A$1000=$A504)*(('Agences &amp; Après-vente'!$D$2:$D$1000="Agences")+('Agences &amp; Après-vente'!$D$2:$D$1000="Agences et Après-vente"))*'Agences &amp; Après-vente'!$E$2:$E$1000)),"yyyy-mm-dd"),""))))))</f>
        <v/>
      </c>
      <c r="I504" s="131" t="str">
        <f aca="false">IF($S504="✓","✓",IF(ISNUMBER($S504),TEXT($S504,"yyyy-mm-dd"),IF($A504="","",IF(SUMPRODUCT(('Agences &amp; Après-vente'!$A$2:$A$1000=$A504)*(('Agences &amp; Après-vente'!$D$2:$D$1000="Après-vente")+('Agences &amp; Après-vente'!$D$2:$D$1000="Agences et Après-vente"))*('Agences &amp; Après-vente'!$I$2:$I$1000="DONE"))&gt;0,"✓",IF(SUMPRODUCT(MAX(('Agences &amp; Après-vente'!$A$2:$A$1000=$A504)*(('Agences &amp; Après-vente'!$D$2:$D$1000="Après-vente")+('Agences &amp; Après-vente'!$D$2:$D$1000="Agences et Après-vente"))*'Agences &amp; Après-vente'!$E$2:$E$1000))&gt;0,TEXT(SUMPRODUCT(MAX(('Agences &amp; Après-vente'!$A$2:$A$1000=$A504)*(('Agences &amp; Après-vente'!$D$2:$D$1000="Après-vente")+('Agences &amp; Après-vente'!$D$2:$D$1000="Agences et Après-vente"))*'Agences &amp; Après-vente'!$E$2:$E$1000)),"yyyy-mm-dd"),"")))))</f>
        <v/>
      </c>
      <c r="J504" s="131" t="str">
        <f aca="false">IF($T504="✓","✓",IF(ISNUMBER($T504),TEXT($T504,"yyyy-mm-dd"),IF($A504="","",IF($D504="Lisbonne","",IF(SUMPRODUCT(('Agences &amp; Après-vente'!$A$2:$A$1000=$A504)*(('Agences &amp; Après-vente'!$D$2:$D$1000="Après-vente")+('Agences &amp; Après-vente'!$D$2:$D$1000="Agences et Après-vente"))*('Agences &amp; Après-vente'!$I$2:$I$1000="DONE"))&gt;0,"✓",IF(SUMPRODUCT(MAX(('Agences &amp; Après-vente'!$A$2:$A$1000=$A504)*(('Agences &amp; Après-vente'!$D$2:$D$1000="Après-vente")+('Agences &amp; Après-vente'!$D$2:$D$1000="Agences et Après-vente"))*'Agences &amp; Après-vente'!$E$2:$E$1000))&gt;0,TEXT(SUMPRODUCT(MAX(('Agences &amp; Après-vente'!$A$2:$A$1000=$A504)*(('Agences &amp; Après-vente'!$D$2:$D$1000="Après-vente")+('Agences &amp; Après-vente'!$D$2:$D$1000="Agences et Après-vente"))*'Agences &amp; Après-vente'!$E$2:$E$1000)),"yyyy-mm-dd"),""))))))</f>
        <v/>
      </c>
      <c r="K504" s="131" t="str">
        <f aca="false">IF($U504="✓","✓",IF(ISNUMBER($U504),TEXT($U504,"yyyy-mm-dd"),IF($D504="Lisbonne","",IF($A504="","",IF(SUMPRODUCT((Evermont!$A$2:$A$1000=$A504)*(Evermont!$Q$2:$Q$1000="Terminé"))&gt;0,"✓",IF(SUMPRODUCT(MAX((Evermont!$A$2:$A$1000=$A504)*Evermont!$F$2:$F$1000))&gt;0,TEXT(SUMPRODUCT(MAX((Evermont!$A$2:$A$1000=$A504)*Evermont!$F$2:$F$1000)),"yyyy-mm-dd"),""))))))</f>
        <v/>
      </c>
      <c r="L504" s="131" t="str">
        <f aca="false">IF($A504="","",COUNTIF(E504:K504,"✓"))</f>
        <v/>
      </c>
      <c r="M504" s="131" t="str">
        <f aca="false">IF(B504="","","Active")</f>
        <v/>
      </c>
      <c r="W504" s="120" t="str">
        <f aca="false">IF($A504="","",IF($X504&lt;&gt;"",$X504,IFERROR(INDEX('Formation Initiale'!$B$2:$B$999,MATCH($A504,'Formation Initiale'!$A$2:$A$999,0)),"Général")))</f>
        <v/>
      </c>
    </row>
    <row r="505" customFormat="false" ht="15" hidden="true" customHeight="true" outlineLevel="0" collapsed="false">
      <c r="A505" s="142" t="str">
        <f aca="false">IF(B505="","","TR"&amp;TEXT(ROW()-1,"000"))</f>
        <v/>
      </c>
      <c r="E505" s="130" t="str">
        <f aca="false">IF($O505="✓","✓",IF(ISNUMBER($O505),TEXT($O505,"yyyy-mm-dd"),IF($A505="","",IF(SUMPRODUCT(('Formation Initiale'!$A$2:$A$999=$A505)*('Formation Initiale'!$R$2:$R$999="Terminé"))&gt;0,"✓",IF(SUMPRODUCT(MAX(('Formation Initiale'!$A$2:$A$999=$A505)*'Formation Initiale'!$G$2:$G$999))&gt;0,TEXT(SUMPRODUCT(MAX(('Formation Initiale'!$A$2:$A$999=$A505)*'Formation Initiale'!$G$2:$G$999)),"yyyy-mm-dd"),"")))))</f>
        <v/>
      </c>
      <c r="F505" s="131" t="str">
        <f aca="false">IF($P505="✓","✓",IF(ISNUMBER($P505),TEXT($P505,"yyyy-mm-dd"),IF($A505="","",IF($D505="Lisbonne","",IF(SUMPRODUCT(('Formation Initiale'!$A$2:$A$999=$A505)*('Formation Initiale'!$R$2:$R$999="Terminé"))&gt;0,"✓",IF(SUMPRODUCT(MAX(('Formation Initiale'!$A$2:$A$999=$A505)*'Formation Initiale'!$G$2:$G$999))&gt;0,TEXT(SUMPRODUCT(MAX(('Formation Initiale'!$A$2:$A$999=$A505)*'Formation Initiale'!$G$2:$G$999)),"yyyy-mm-dd"),""))))))</f>
        <v/>
      </c>
      <c r="G505" s="131" t="str">
        <f aca="false">IF($Q505="✓","✓",IF(ISNUMBER($Q505),TEXT($Q505,"yyyy-mm-dd"),IF($A505="","",IF(SUMPRODUCT(('Agences &amp; Après-vente'!$A$2:$A$1000=$A505)*(('Agences &amp; Après-vente'!$D$2:$D$1000="Agences")+('Agences &amp; Après-vente'!$D$2:$D$1000="Agences et Après-vente"))*('Agences &amp; Après-vente'!$I$2:$I$1000="DONE"))&gt;0,"✓",IF(SUMPRODUCT(MAX(('Agences &amp; Après-vente'!$A$2:$A$1000=$A505)*(('Agences &amp; Après-vente'!$D$2:$D$1000="Agences")+('Agences &amp; Après-vente'!$D$2:$D$1000="Agences et Après-vente"))*'Agences &amp; Après-vente'!$E$2:$E$1000))&gt;0,TEXT(SUMPRODUCT(MAX(('Agences &amp; Après-vente'!$A$2:$A$1000=$A505)*(('Agences &amp; Après-vente'!$D$2:$D$1000="Agences")+('Agences &amp; Après-vente'!$D$2:$D$1000="Agences et Après-vente"))*'Agences &amp; Après-vente'!$E$2:$E$1000)),"yyyy-mm-dd"),"")))))</f>
        <v/>
      </c>
      <c r="H505" s="131" t="str">
        <f aca="false">IF($R505="✓","✓",IF(ISNUMBER($R505),TEXT($R505,"yyyy-mm-dd"),IF($A505="","",IF($D505="Lisbonne","",IF(SUMPRODUCT(('Agences &amp; Après-vente'!$A$2:$A$1000=$A505)*(('Agences &amp; Après-vente'!$D$2:$D$1000="Agences")+('Agences &amp; Après-vente'!$D$2:$D$1000="Agences et Après-vente"))*('Agences &amp; Après-vente'!$I$2:$I$1000="DONE"))&gt;0,"✓",IF(SUMPRODUCT(MAX(('Agences &amp; Après-vente'!$A$2:$A$1000=$A505)*(('Agences &amp; Après-vente'!$D$2:$D$1000="Agences")+('Agences &amp; Après-vente'!$D$2:$D$1000="Agences et Après-vente"))*'Agences &amp; Après-vente'!$E$2:$E$1000))&gt;0,TEXT(SUMPRODUCT(MAX(('Agences &amp; Après-vente'!$A$2:$A$1000=$A505)*(('Agences &amp; Après-vente'!$D$2:$D$1000="Agences")+('Agences &amp; Après-vente'!$D$2:$D$1000="Agences et Après-vente"))*'Agences &amp; Après-vente'!$E$2:$E$1000)),"yyyy-mm-dd"),""))))))</f>
        <v/>
      </c>
      <c r="I505" s="131" t="str">
        <f aca="false">IF($S505="✓","✓",IF(ISNUMBER($S505),TEXT($S505,"yyyy-mm-dd"),IF($A505="","",IF(SUMPRODUCT(('Agences &amp; Après-vente'!$A$2:$A$1000=$A505)*(('Agences &amp; Après-vente'!$D$2:$D$1000="Après-vente")+('Agences &amp; Après-vente'!$D$2:$D$1000="Agences et Après-vente"))*('Agences &amp; Après-vente'!$I$2:$I$1000="DONE"))&gt;0,"✓",IF(SUMPRODUCT(MAX(('Agences &amp; Après-vente'!$A$2:$A$1000=$A505)*(('Agences &amp; Après-vente'!$D$2:$D$1000="Après-vente")+('Agences &amp; Après-vente'!$D$2:$D$1000="Agences et Après-vente"))*'Agences &amp; Après-vente'!$E$2:$E$1000))&gt;0,TEXT(SUMPRODUCT(MAX(('Agences &amp; Après-vente'!$A$2:$A$1000=$A505)*(('Agences &amp; Après-vente'!$D$2:$D$1000="Après-vente")+('Agences &amp; Après-vente'!$D$2:$D$1000="Agences et Après-vente"))*'Agences &amp; Après-vente'!$E$2:$E$1000)),"yyyy-mm-dd"),"")))))</f>
        <v/>
      </c>
      <c r="J505" s="131" t="str">
        <f aca="false">IF($T505="✓","✓",IF(ISNUMBER($T505),TEXT($T505,"yyyy-mm-dd"),IF($A505="","",IF($D505="Lisbonne","",IF(SUMPRODUCT(('Agences &amp; Après-vente'!$A$2:$A$1000=$A505)*(('Agences &amp; Après-vente'!$D$2:$D$1000="Après-vente")+('Agences &amp; Après-vente'!$D$2:$D$1000="Agences et Après-vente"))*('Agences &amp; Après-vente'!$I$2:$I$1000="DONE"))&gt;0,"✓",IF(SUMPRODUCT(MAX(('Agences &amp; Après-vente'!$A$2:$A$1000=$A505)*(('Agences &amp; Après-vente'!$D$2:$D$1000="Après-vente")+('Agences &amp; Après-vente'!$D$2:$D$1000="Agences et Après-vente"))*'Agences &amp; Après-vente'!$E$2:$E$1000))&gt;0,TEXT(SUMPRODUCT(MAX(('Agences &amp; Après-vente'!$A$2:$A$1000=$A505)*(('Agences &amp; Après-vente'!$D$2:$D$1000="Après-vente")+('Agences &amp; Après-vente'!$D$2:$D$1000="Agences et Après-vente"))*'Agences &amp; Après-vente'!$E$2:$E$1000)),"yyyy-mm-dd"),""))))))</f>
        <v/>
      </c>
      <c r="K505" s="131" t="str">
        <f aca="false">IF($U505="✓","✓",IF(ISNUMBER($U505),TEXT($U505,"yyyy-mm-dd"),IF($D505="Lisbonne","",IF($A505="","",IF(SUMPRODUCT((Evermont!$A$2:$A$1000=$A505)*(Evermont!$Q$2:$Q$1000="Terminé"))&gt;0,"✓",IF(SUMPRODUCT(MAX((Evermont!$A$2:$A$1000=$A505)*Evermont!$F$2:$F$1000))&gt;0,TEXT(SUMPRODUCT(MAX((Evermont!$A$2:$A$1000=$A505)*Evermont!$F$2:$F$1000)),"yyyy-mm-dd"),""))))))</f>
        <v/>
      </c>
      <c r="L505" s="131" t="str">
        <f aca="false">IF($A505="","",COUNTIF(E505:K505,"✓"))</f>
        <v/>
      </c>
      <c r="M505" s="131" t="str">
        <f aca="false">IF(B505="","","Active")</f>
        <v/>
      </c>
      <c r="W505" s="120" t="str">
        <f aca="false">IF($A505="","",IF($X505&lt;&gt;"",$X505,IFERROR(INDEX('Formation Initiale'!$B$2:$B$999,MATCH($A505,'Formation Initiale'!$A$2:$A$999,0)),"Général")))</f>
        <v/>
      </c>
    </row>
    <row r="506" customFormat="false" ht="15" hidden="true" customHeight="true" outlineLevel="0" collapsed="false">
      <c r="A506" s="142" t="str">
        <f aca="false">IF(B506="","","TR"&amp;TEXT(ROW()-1,"000"))</f>
        <v/>
      </c>
      <c r="E506" s="130" t="str">
        <f aca="false">IF($O506="✓","✓",IF(ISNUMBER($O506),TEXT($O506,"yyyy-mm-dd"),IF($A506="","",IF(SUMPRODUCT(('Formation Initiale'!$A$2:$A$999=$A506)*('Formation Initiale'!$R$2:$R$999="Terminé"))&gt;0,"✓",IF(SUMPRODUCT(MAX(('Formation Initiale'!$A$2:$A$999=$A506)*'Formation Initiale'!$G$2:$G$999))&gt;0,TEXT(SUMPRODUCT(MAX(('Formation Initiale'!$A$2:$A$999=$A506)*'Formation Initiale'!$G$2:$G$999)),"yyyy-mm-dd"),"")))))</f>
        <v/>
      </c>
      <c r="F506" s="131" t="str">
        <f aca="false">IF($P506="✓","✓",IF(ISNUMBER($P506),TEXT($P506,"yyyy-mm-dd"),IF($A506="","",IF($D506="Lisbonne","",IF(SUMPRODUCT(('Formation Initiale'!$A$2:$A$999=$A506)*('Formation Initiale'!$R$2:$R$999="Terminé"))&gt;0,"✓",IF(SUMPRODUCT(MAX(('Formation Initiale'!$A$2:$A$999=$A506)*'Formation Initiale'!$G$2:$G$999))&gt;0,TEXT(SUMPRODUCT(MAX(('Formation Initiale'!$A$2:$A$999=$A506)*'Formation Initiale'!$G$2:$G$999)),"yyyy-mm-dd"),""))))))</f>
        <v/>
      </c>
      <c r="G506" s="131" t="str">
        <f aca="false">IF($Q506="✓","✓",IF(ISNUMBER($Q506),TEXT($Q506,"yyyy-mm-dd"),IF($A506="","",IF(SUMPRODUCT(('Agences &amp; Après-vente'!$A$2:$A$1000=$A506)*(('Agences &amp; Après-vente'!$D$2:$D$1000="Agences")+('Agences &amp; Après-vente'!$D$2:$D$1000="Agences et Après-vente"))*('Agences &amp; Après-vente'!$I$2:$I$1000="DONE"))&gt;0,"✓",IF(SUMPRODUCT(MAX(('Agences &amp; Après-vente'!$A$2:$A$1000=$A506)*(('Agences &amp; Après-vente'!$D$2:$D$1000="Agences")+('Agences &amp; Après-vente'!$D$2:$D$1000="Agences et Après-vente"))*'Agences &amp; Après-vente'!$E$2:$E$1000))&gt;0,TEXT(SUMPRODUCT(MAX(('Agences &amp; Après-vente'!$A$2:$A$1000=$A506)*(('Agences &amp; Après-vente'!$D$2:$D$1000="Agences")+('Agences &amp; Après-vente'!$D$2:$D$1000="Agences et Après-vente"))*'Agences &amp; Après-vente'!$E$2:$E$1000)),"yyyy-mm-dd"),"")))))</f>
        <v/>
      </c>
      <c r="H506" s="131" t="str">
        <f aca="false">IF($R506="✓","✓",IF(ISNUMBER($R506),TEXT($R506,"yyyy-mm-dd"),IF($A506="","",IF($D506="Lisbonne","",IF(SUMPRODUCT(('Agences &amp; Après-vente'!$A$2:$A$1000=$A506)*(('Agences &amp; Après-vente'!$D$2:$D$1000="Agences")+('Agences &amp; Après-vente'!$D$2:$D$1000="Agences et Après-vente"))*('Agences &amp; Après-vente'!$I$2:$I$1000="DONE"))&gt;0,"✓",IF(SUMPRODUCT(MAX(('Agences &amp; Après-vente'!$A$2:$A$1000=$A506)*(('Agences &amp; Après-vente'!$D$2:$D$1000="Agences")+('Agences &amp; Après-vente'!$D$2:$D$1000="Agences et Après-vente"))*'Agences &amp; Après-vente'!$E$2:$E$1000))&gt;0,TEXT(SUMPRODUCT(MAX(('Agences &amp; Après-vente'!$A$2:$A$1000=$A506)*(('Agences &amp; Après-vente'!$D$2:$D$1000="Agences")+('Agences &amp; Après-vente'!$D$2:$D$1000="Agences et Après-vente"))*'Agences &amp; Après-vente'!$E$2:$E$1000)),"yyyy-mm-dd"),""))))))</f>
        <v/>
      </c>
      <c r="I506" s="131" t="str">
        <f aca="false">IF($S506="✓","✓",IF(ISNUMBER($S506),TEXT($S506,"yyyy-mm-dd"),IF($A506="","",IF(SUMPRODUCT(('Agences &amp; Après-vente'!$A$2:$A$1000=$A506)*(('Agences &amp; Après-vente'!$D$2:$D$1000="Après-vente")+('Agences &amp; Après-vente'!$D$2:$D$1000="Agences et Après-vente"))*('Agences &amp; Après-vente'!$I$2:$I$1000="DONE"))&gt;0,"✓",IF(SUMPRODUCT(MAX(('Agences &amp; Après-vente'!$A$2:$A$1000=$A506)*(('Agences &amp; Après-vente'!$D$2:$D$1000="Après-vente")+('Agences &amp; Après-vente'!$D$2:$D$1000="Agences et Après-vente"))*'Agences &amp; Après-vente'!$E$2:$E$1000))&gt;0,TEXT(SUMPRODUCT(MAX(('Agences &amp; Après-vente'!$A$2:$A$1000=$A506)*(('Agences &amp; Après-vente'!$D$2:$D$1000="Après-vente")+('Agences &amp; Après-vente'!$D$2:$D$1000="Agences et Après-vente"))*'Agences &amp; Après-vente'!$E$2:$E$1000)),"yyyy-mm-dd"),"")))))</f>
        <v/>
      </c>
      <c r="J506" s="131" t="str">
        <f aca="false">IF($T506="✓","✓",IF(ISNUMBER($T506),TEXT($T506,"yyyy-mm-dd"),IF($A506="","",IF($D506="Lisbonne","",IF(SUMPRODUCT(('Agences &amp; Après-vente'!$A$2:$A$1000=$A506)*(('Agences &amp; Après-vente'!$D$2:$D$1000="Après-vente")+('Agences &amp; Après-vente'!$D$2:$D$1000="Agences et Après-vente"))*('Agences &amp; Après-vente'!$I$2:$I$1000="DONE"))&gt;0,"✓",IF(SUMPRODUCT(MAX(('Agences &amp; Après-vente'!$A$2:$A$1000=$A506)*(('Agences &amp; Après-vente'!$D$2:$D$1000="Après-vente")+('Agences &amp; Après-vente'!$D$2:$D$1000="Agences et Après-vente"))*'Agences &amp; Après-vente'!$E$2:$E$1000))&gt;0,TEXT(SUMPRODUCT(MAX(('Agences &amp; Après-vente'!$A$2:$A$1000=$A506)*(('Agences &amp; Après-vente'!$D$2:$D$1000="Après-vente")+('Agences &amp; Après-vente'!$D$2:$D$1000="Agences et Après-vente"))*'Agences &amp; Après-vente'!$E$2:$E$1000)),"yyyy-mm-dd"),""))))))</f>
        <v/>
      </c>
      <c r="K506" s="131" t="str">
        <f aca="false">IF($U506="✓","✓",IF(ISNUMBER($U506),TEXT($U506,"yyyy-mm-dd"),IF($D506="Lisbonne","",IF($A506="","",IF(SUMPRODUCT((Evermont!$A$2:$A$1000=$A506)*(Evermont!$Q$2:$Q$1000="Terminé"))&gt;0,"✓",IF(SUMPRODUCT(MAX((Evermont!$A$2:$A$1000=$A506)*Evermont!$F$2:$F$1000))&gt;0,TEXT(SUMPRODUCT(MAX((Evermont!$A$2:$A$1000=$A506)*Evermont!$F$2:$F$1000)),"yyyy-mm-dd"),""))))))</f>
        <v/>
      </c>
      <c r="L506" s="131" t="str">
        <f aca="false">IF($A506="","",COUNTIF(E506:K506,"✓"))</f>
        <v/>
      </c>
      <c r="M506" s="131" t="str">
        <f aca="false">IF(B506="","","Active")</f>
        <v/>
      </c>
      <c r="W506" s="120" t="str">
        <f aca="false">IF($A506="","",IF($X506&lt;&gt;"",$X506,IFERROR(INDEX('Formation Initiale'!$B$2:$B$999,MATCH($A506,'Formation Initiale'!$A$2:$A$999,0)),"Général")))</f>
        <v/>
      </c>
    </row>
    <row r="507" customFormat="false" ht="15" hidden="true" customHeight="true" outlineLevel="0" collapsed="false">
      <c r="A507" s="142" t="str">
        <f aca="false">IF(B507="","","TR"&amp;TEXT(ROW()-1,"000"))</f>
        <v/>
      </c>
      <c r="E507" s="130" t="str">
        <f aca="false">IF($O507="✓","✓",IF(ISNUMBER($O507),TEXT($O507,"yyyy-mm-dd"),IF($A507="","",IF(SUMPRODUCT(('Formation Initiale'!$A$2:$A$999=$A507)*('Formation Initiale'!$R$2:$R$999="Terminé"))&gt;0,"✓",IF(SUMPRODUCT(MAX(('Formation Initiale'!$A$2:$A$999=$A507)*'Formation Initiale'!$G$2:$G$999))&gt;0,TEXT(SUMPRODUCT(MAX(('Formation Initiale'!$A$2:$A$999=$A507)*'Formation Initiale'!$G$2:$G$999)),"yyyy-mm-dd"),"")))))</f>
        <v/>
      </c>
      <c r="F507" s="131" t="str">
        <f aca="false">IF($P507="✓","✓",IF(ISNUMBER($P507),TEXT($P507,"yyyy-mm-dd"),IF($A507="","",IF($D507="Lisbonne","",IF(SUMPRODUCT(('Formation Initiale'!$A$2:$A$999=$A507)*('Formation Initiale'!$R$2:$R$999="Terminé"))&gt;0,"✓",IF(SUMPRODUCT(MAX(('Formation Initiale'!$A$2:$A$999=$A507)*'Formation Initiale'!$G$2:$G$999))&gt;0,TEXT(SUMPRODUCT(MAX(('Formation Initiale'!$A$2:$A$999=$A507)*'Formation Initiale'!$G$2:$G$999)),"yyyy-mm-dd"),""))))))</f>
        <v/>
      </c>
      <c r="G507" s="131" t="str">
        <f aca="false">IF($Q507="✓","✓",IF(ISNUMBER($Q507),TEXT($Q507,"yyyy-mm-dd"),IF($A507="","",IF(SUMPRODUCT(('Agences &amp; Après-vente'!$A$2:$A$1000=$A507)*(('Agences &amp; Après-vente'!$D$2:$D$1000="Agences")+('Agences &amp; Après-vente'!$D$2:$D$1000="Agences et Après-vente"))*('Agences &amp; Après-vente'!$I$2:$I$1000="DONE"))&gt;0,"✓",IF(SUMPRODUCT(MAX(('Agences &amp; Après-vente'!$A$2:$A$1000=$A507)*(('Agences &amp; Après-vente'!$D$2:$D$1000="Agences")+('Agences &amp; Après-vente'!$D$2:$D$1000="Agences et Après-vente"))*'Agences &amp; Après-vente'!$E$2:$E$1000))&gt;0,TEXT(SUMPRODUCT(MAX(('Agences &amp; Après-vente'!$A$2:$A$1000=$A507)*(('Agences &amp; Après-vente'!$D$2:$D$1000="Agences")+('Agences &amp; Après-vente'!$D$2:$D$1000="Agences et Après-vente"))*'Agences &amp; Après-vente'!$E$2:$E$1000)),"yyyy-mm-dd"),"")))))</f>
        <v/>
      </c>
      <c r="H507" s="131" t="str">
        <f aca="false">IF($R507="✓","✓",IF(ISNUMBER($R507),TEXT($R507,"yyyy-mm-dd"),IF($A507="","",IF($D507="Lisbonne","",IF(SUMPRODUCT(('Agences &amp; Après-vente'!$A$2:$A$1000=$A507)*(('Agences &amp; Après-vente'!$D$2:$D$1000="Agences")+('Agences &amp; Après-vente'!$D$2:$D$1000="Agences et Après-vente"))*('Agences &amp; Après-vente'!$I$2:$I$1000="DONE"))&gt;0,"✓",IF(SUMPRODUCT(MAX(('Agences &amp; Après-vente'!$A$2:$A$1000=$A507)*(('Agences &amp; Après-vente'!$D$2:$D$1000="Agences")+('Agences &amp; Après-vente'!$D$2:$D$1000="Agences et Après-vente"))*'Agences &amp; Après-vente'!$E$2:$E$1000))&gt;0,TEXT(SUMPRODUCT(MAX(('Agences &amp; Après-vente'!$A$2:$A$1000=$A507)*(('Agences &amp; Après-vente'!$D$2:$D$1000="Agences")+('Agences &amp; Après-vente'!$D$2:$D$1000="Agences et Après-vente"))*'Agences &amp; Après-vente'!$E$2:$E$1000)),"yyyy-mm-dd"),""))))))</f>
        <v/>
      </c>
      <c r="I507" s="131" t="str">
        <f aca="false">IF($S507="✓","✓",IF(ISNUMBER($S507),TEXT($S507,"yyyy-mm-dd"),IF($A507="","",IF(SUMPRODUCT(('Agences &amp; Après-vente'!$A$2:$A$1000=$A507)*(('Agences &amp; Après-vente'!$D$2:$D$1000="Après-vente")+('Agences &amp; Après-vente'!$D$2:$D$1000="Agences et Après-vente"))*('Agences &amp; Après-vente'!$I$2:$I$1000="DONE"))&gt;0,"✓",IF(SUMPRODUCT(MAX(('Agences &amp; Après-vente'!$A$2:$A$1000=$A507)*(('Agences &amp; Après-vente'!$D$2:$D$1000="Après-vente")+('Agences &amp; Après-vente'!$D$2:$D$1000="Agences et Après-vente"))*'Agences &amp; Après-vente'!$E$2:$E$1000))&gt;0,TEXT(SUMPRODUCT(MAX(('Agences &amp; Après-vente'!$A$2:$A$1000=$A507)*(('Agences &amp; Après-vente'!$D$2:$D$1000="Après-vente")+('Agences &amp; Après-vente'!$D$2:$D$1000="Agences et Après-vente"))*'Agences &amp; Après-vente'!$E$2:$E$1000)),"yyyy-mm-dd"),"")))))</f>
        <v/>
      </c>
      <c r="J507" s="131" t="str">
        <f aca="false">IF($T507="✓","✓",IF(ISNUMBER($T507),TEXT($T507,"yyyy-mm-dd"),IF($A507="","",IF($D507="Lisbonne","",IF(SUMPRODUCT(('Agences &amp; Après-vente'!$A$2:$A$1000=$A507)*(('Agences &amp; Après-vente'!$D$2:$D$1000="Après-vente")+('Agences &amp; Après-vente'!$D$2:$D$1000="Agences et Après-vente"))*('Agences &amp; Après-vente'!$I$2:$I$1000="DONE"))&gt;0,"✓",IF(SUMPRODUCT(MAX(('Agences &amp; Après-vente'!$A$2:$A$1000=$A507)*(('Agences &amp; Après-vente'!$D$2:$D$1000="Après-vente")+('Agences &amp; Après-vente'!$D$2:$D$1000="Agences et Après-vente"))*'Agences &amp; Après-vente'!$E$2:$E$1000))&gt;0,TEXT(SUMPRODUCT(MAX(('Agences &amp; Après-vente'!$A$2:$A$1000=$A507)*(('Agences &amp; Après-vente'!$D$2:$D$1000="Après-vente")+('Agences &amp; Après-vente'!$D$2:$D$1000="Agences et Après-vente"))*'Agences &amp; Après-vente'!$E$2:$E$1000)),"yyyy-mm-dd"),""))))))</f>
        <v/>
      </c>
      <c r="K507" s="131" t="str">
        <f aca="false">IF($U507="✓","✓",IF(ISNUMBER($U507),TEXT($U507,"yyyy-mm-dd"),IF($D507="Lisbonne","",IF($A507="","",IF(SUMPRODUCT((Evermont!$A$2:$A$1000=$A507)*(Evermont!$Q$2:$Q$1000="Terminé"))&gt;0,"✓",IF(SUMPRODUCT(MAX((Evermont!$A$2:$A$1000=$A507)*Evermont!$F$2:$F$1000))&gt;0,TEXT(SUMPRODUCT(MAX((Evermont!$A$2:$A$1000=$A507)*Evermont!$F$2:$F$1000)),"yyyy-mm-dd"),""))))))</f>
        <v/>
      </c>
      <c r="L507" s="131" t="str">
        <f aca="false">IF($A507="","",COUNTIF(E507:K507,"✓"))</f>
        <v/>
      </c>
      <c r="M507" s="131" t="str">
        <f aca="false">IF(B507="","","Active")</f>
        <v/>
      </c>
      <c r="W507" s="120" t="str">
        <f aca="false">IF($A507="","",IF($X507&lt;&gt;"",$X507,IFERROR(INDEX('Formation Initiale'!$B$2:$B$999,MATCH($A507,'Formation Initiale'!$A$2:$A$999,0)),"Général")))</f>
        <v/>
      </c>
    </row>
    <row r="508" customFormat="false" ht="15" hidden="true" customHeight="true" outlineLevel="0" collapsed="false">
      <c r="A508" s="142" t="str">
        <f aca="false">IF(B508="","","TR"&amp;TEXT(ROW()-1,"000"))</f>
        <v/>
      </c>
      <c r="E508" s="130" t="str">
        <f aca="false">IF($O508="✓","✓",IF(ISNUMBER($O508),TEXT($O508,"yyyy-mm-dd"),IF($A508="","",IF(SUMPRODUCT(('Formation Initiale'!$A$2:$A$999=$A508)*('Formation Initiale'!$R$2:$R$999="Terminé"))&gt;0,"✓",IF(SUMPRODUCT(MAX(('Formation Initiale'!$A$2:$A$999=$A508)*'Formation Initiale'!$G$2:$G$999))&gt;0,TEXT(SUMPRODUCT(MAX(('Formation Initiale'!$A$2:$A$999=$A508)*'Formation Initiale'!$G$2:$G$999)),"yyyy-mm-dd"),"")))))</f>
        <v/>
      </c>
      <c r="F508" s="131" t="str">
        <f aca="false">IF($P508="✓","✓",IF(ISNUMBER($P508),TEXT($P508,"yyyy-mm-dd"),IF($A508="","",IF($D508="Lisbonne","",IF(SUMPRODUCT(('Formation Initiale'!$A$2:$A$999=$A508)*('Formation Initiale'!$R$2:$R$999="Terminé"))&gt;0,"✓",IF(SUMPRODUCT(MAX(('Formation Initiale'!$A$2:$A$999=$A508)*'Formation Initiale'!$G$2:$G$999))&gt;0,TEXT(SUMPRODUCT(MAX(('Formation Initiale'!$A$2:$A$999=$A508)*'Formation Initiale'!$G$2:$G$999)),"yyyy-mm-dd"),""))))))</f>
        <v/>
      </c>
      <c r="G508" s="131" t="str">
        <f aca="false">IF($Q508="✓","✓",IF(ISNUMBER($Q508),TEXT($Q508,"yyyy-mm-dd"),IF($A508="","",IF(SUMPRODUCT(('Agences &amp; Après-vente'!$A$2:$A$1000=$A508)*(('Agences &amp; Après-vente'!$D$2:$D$1000="Agences")+('Agences &amp; Après-vente'!$D$2:$D$1000="Agences et Après-vente"))*('Agences &amp; Après-vente'!$I$2:$I$1000="DONE"))&gt;0,"✓",IF(SUMPRODUCT(MAX(('Agences &amp; Après-vente'!$A$2:$A$1000=$A508)*(('Agences &amp; Après-vente'!$D$2:$D$1000="Agences")+('Agences &amp; Après-vente'!$D$2:$D$1000="Agences et Après-vente"))*'Agences &amp; Après-vente'!$E$2:$E$1000))&gt;0,TEXT(SUMPRODUCT(MAX(('Agences &amp; Après-vente'!$A$2:$A$1000=$A508)*(('Agences &amp; Après-vente'!$D$2:$D$1000="Agences")+('Agences &amp; Après-vente'!$D$2:$D$1000="Agences et Après-vente"))*'Agences &amp; Après-vente'!$E$2:$E$1000)),"yyyy-mm-dd"),"")))))</f>
        <v/>
      </c>
      <c r="H508" s="131" t="str">
        <f aca="false">IF($R508="✓","✓",IF(ISNUMBER($R508),TEXT($R508,"yyyy-mm-dd"),IF($A508="","",IF($D508="Lisbonne","",IF(SUMPRODUCT(('Agences &amp; Après-vente'!$A$2:$A$1000=$A508)*(('Agences &amp; Après-vente'!$D$2:$D$1000="Agences")+('Agences &amp; Après-vente'!$D$2:$D$1000="Agences et Après-vente"))*('Agences &amp; Après-vente'!$I$2:$I$1000="DONE"))&gt;0,"✓",IF(SUMPRODUCT(MAX(('Agences &amp; Après-vente'!$A$2:$A$1000=$A508)*(('Agences &amp; Après-vente'!$D$2:$D$1000="Agences")+('Agences &amp; Après-vente'!$D$2:$D$1000="Agences et Après-vente"))*'Agences &amp; Après-vente'!$E$2:$E$1000))&gt;0,TEXT(SUMPRODUCT(MAX(('Agences &amp; Après-vente'!$A$2:$A$1000=$A508)*(('Agences &amp; Après-vente'!$D$2:$D$1000="Agences")+('Agences &amp; Après-vente'!$D$2:$D$1000="Agences et Après-vente"))*'Agences &amp; Après-vente'!$E$2:$E$1000)),"yyyy-mm-dd"),""))))))</f>
        <v/>
      </c>
      <c r="I508" s="131" t="str">
        <f aca="false">IF($S508="✓","✓",IF(ISNUMBER($S508),TEXT($S508,"yyyy-mm-dd"),IF($A508="","",IF(SUMPRODUCT(('Agences &amp; Après-vente'!$A$2:$A$1000=$A508)*(('Agences &amp; Après-vente'!$D$2:$D$1000="Après-vente")+('Agences &amp; Après-vente'!$D$2:$D$1000="Agences et Après-vente"))*('Agences &amp; Après-vente'!$I$2:$I$1000="DONE"))&gt;0,"✓",IF(SUMPRODUCT(MAX(('Agences &amp; Après-vente'!$A$2:$A$1000=$A508)*(('Agences &amp; Après-vente'!$D$2:$D$1000="Après-vente")+('Agences &amp; Après-vente'!$D$2:$D$1000="Agences et Après-vente"))*'Agences &amp; Après-vente'!$E$2:$E$1000))&gt;0,TEXT(SUMPRODUCT(MAX(('Agences &amp; Après-vente'!$A$2:$A$1000=$A508)*(('Agences &amp; Après-vente'!$D$2:$D$1000="Après-vente")+('Agences &amp; Après-vente'!$D$2:$D$1000="Agences et Après-vente"))*'Agences &amp; Après-vente'!$E$2:$E$1000)),"yyyy-mm-dd"),"")))))</f>
        <v/>
      </c>
      <c r="J508" s="131" t="str">
        <f aca="false">IF($T508="✓","✓",IF(ISNUMBER($T508),TEXT($T508,"yyyy-mm-dd"),IF($A508="","",IF($D508="Lisbonne","",IF(SUMPRODUCT(('Agences &amp; Après-vente'!$A$2:$A$1000=$A508)*(('Agences &amp; Après-vente'!$D$2:$D$1000="Après-vente")+('Agences &amp; Après-vente'!$D$2:$D$1000="Agences et Après-vente"))*('Agences &amp; Après-vente'!$I$2:$I$1000="DONE"))&gt;0,"✓",IF(SUMPRODUCT(MAX(('Agences &amp; Après-vente'!$A$2:$A$1000=$A508)*(('Agences &amp; Après-vente'!$D$2:$D$1000="Après-vente")+('Agences &amp; Après-vente'!$D$2:$D$1000="Agences et Après-vente"))*'Agences &amp; Après-vente'!$E$2:$E$1000))&gt;0,TEXT(SUMPRODUCT(MAX(('Agences &amp; Après-vente'!$A$2:$A$1000=$A508)*(('Agences &amp; Après-vente'!$D$2:$D$1000="Après-vente")+('Agences &amp; Après-vente'!$D$2:$D$1000="Agences et Après-vente"))*'Agences &amp; Après-vente'!$E$2:$E$1000)),"yyyy-mm-dd"),""))))))</f>
        <v/>
      </c>
      <c r="K508" s="131" t="str">
        <f aca="false">IF($U508="✓","✓",IF(ISNUMBER($U508),TEXT($U508,"yyyy-mm-dd"),IF($D508="Lisbonne","",IF($A508="","",IF(SUMPRODUCT((Evermont!$A$2:$A$1000=$A508)*(Evermont!$Q$2:$Q$1000="Terminé"))&gt;0,"✓",IF(SUMPRODUCT(MAX((Evermont!$A$2:$A$1000=$A508)*Evermont!$F$2:$F$1000))&gt;0,TEXT(SUMPRODUCT(MAX((Evermont!$A$2:$A$1000=$A508)*Evermont!$F$2:$F$1000)),"yyyy-mm-dd"),""))))))</f>
        <v/>
      </c>
      <c r="L508" s="131" t="str">
        <f aca="false">IF($A508="","",COUNTIF(E508:K508,"✓"))</f>
        <v/>
      </c>
      <c r="M508" s="131" t="str">
        <f aca="false">IF(B508="","","Active")</f>
        <v/>
      </c>
      <c r="W508" s="120" t="str">
        <f aca="false">IF($A508="","",IF($X508&lt;&gt;"",$X508,IFERROR(INDEX('Formation Initiale'!$B$2:$B$999,MATCH($A508,'Formation Initiale'!$A$2:$A$999,0)),"Général")))</f>
        <v/>
      </c>
    </row>
    <row r="509" customFormat="false" ht="15" hidden="true" customHeight="true" outlineLevel="0" collapsed="false">
      <c r="A509" s="142" t="str">
        <f aca="false">IF(B509="","","TR"&amp;TEXT(ROW()-1,"000"))</f>
        <v/>
      </c>
      <c r="E509" s="130" t="str">
        <f aca="false">IF($O509="✓","✓",IF(ISNUMBER($O509),TEXT($O509,"yyyy-mm-dd"),IF($A509="","",IF(SUMPRODUCT(('Formation Initiale'!$A$2:$A$999=$A509)*('Formation Initiale'!$R$2:$R$999="Terminé"))&gt;0,"✓",IF(SUMPRODUCT(MAX(('Formation Initiale'!$A$2:$A$999=$A509)*'Formation Initiale'!$G$2:$G$999))&gt;0,TEXT(SUMPRODUCT(MAX(('Formation Initiale'!$A$2:$A$999=$A509)*'Formation Initiale'!$G$2:$G$999)),"yyyy-mm-dd"),"")))))</f>
        <v/>
      </c>
      <c r="F509" s="131" t="str">
        <f aca="false">IF($P509="✓","✓",IF(ISNUMBER($P509),TEXT($P509,"yyyy-mm-dd"),IF($A509="","",IF($D509="Lisbonne","",IF(SUMPRODUCT(('Formation Initiale'!$A$2:$A$999=$A509)*('Formation Initiale'!$R$2:$R$999="Terminé"))&gt;0,"✓",IF(SUMPRODUCT(MAX(('Formation Initiale'!$A$2:$A$999=$A509)*'Formation Initiale'!$G$2:$G$999))&gt;0,TEXT(SUMPRODUCT(MAX(('Formation Initiale'!$A$2:$A$999=$A509)*'Formation Initiale'!$G$2:$G$999)),"yyyy-mm-dd"),""))))))</f>
        <v/>
      </c>
      <c r="G509" s="131" t="str">
        <f aca="false">IF($Q509="✓","✓",IF(ISNUMBER($Q509),TEXT($Q509,"yyyy-mm-dd"),IF($A509="","",IF(SUMPRODUCT(('Agences &amp; Après-vente'!$A$2:$A$1000=$A509)*(('Agences &amp; Après-vente'!$D$2:$D$1000="Agences")+('Agences &amp; Après-vente'!$D$2:$D$1000="Agences et Après-vente"))*('Agences &amp; Après-vente'!$I$2:$I$1000="DONE"))&gt;0,"✓",IF(SUMPRODUCT(MAX(('Agences &amp; Après-vente'!$A$2:$A$1000=$A509)*(('Agences &amp; Après-vente'!$D$2:$D$1000="Agences")+('Agences &amp; Après-vente'!$D$2:$D$1000="Agences et Après-vente"))*'Agences &amp; Après-vente'!$E$2:$E$1000))&gt;0,TEXT(SUMPRODUCT(MAX(('Agences &amp; Après-vente'!$A$2:$A$1000=$A509)*(('Agences &amp; Après-vente'!$D$2:$D$1000="Agences")+('Agences &amp; Après-vente'!$D$2:$D$1000="Agences et Après-vente"))*'Agences &amp; Après-vente'!$E$2:$E$1000)),"yyyy-mm-dd"),"")))))</f>
        <v/>
      </c>
      <c r="H509" s="131" t="str">
        <f aca="false">IF($R509="✓","✓",IF(ISNUMBER($R509),TEXT($R509,"yyyy-mm-dd"),IF($A509="","",IF($D509="Lisbonne","",IF(SUMPRODUCT(('Agences &amp; Après-vente'!$A$2:$A$1000=$A509)*(('Agences &amp; Après-vente'!$D$2:$D$1000="Agences")+('Agences &amp; Après-vente'!$D$2:$D$1000="Agences et Après-vente"))*('Agences &amp; Après-vente'!$I$2:$I$1000="DONE"))&gt;0,"✓",IF(SUMPRODUCT(MAX(('Agences &amp; Après-vente'!$A$2:$A$1000=$A509)*(('Agences &amp; Après-vente'!$D$2:$D$1000="Agences")+('Agences &amp; Après-vente'!$D$2:$D$1000="Agences et Après-vente"))*'Agences &amp; Après-vente'!$E$2:$E$1000))&gt;0,TEXT(SUMPRODUCT(MAX(('Agences &amp; Après-vente'!$A$2:$A$1000=$A509)*(('Agences &amp; Après-vente'!$D$2:$D$1000="Agences")+('Agences &amp; Après-vente'!$D$2:$D$1000="Agences et Après-vente"))*'Agences &amp; Après-vente'!$E$2:$E$1000)),"yyyy-mm-dd"),""))))))</f>
        <v/>
      </c>
      <c r="I509" s="131" t="str">
        <f aca="false">IF($S509="✓","✓",IF(ISNUMBER($S509),TEXT($S509,"yyyy-mm-dd"),IF($A509="","",IF(SUMPRODUCT(('Agences &amp; Après-vente'!$A$2:$A$1000=$A509)*(('Agences &amp; Après-vente'!$D$2:$D$1000="Après-vente")+('Agences &amp; Après-vente'!$D$2:$D$1000="Agences et Après-vente"))*('Agences &amp; Après-vente'!$I$2:$I$1000="DONE"))&gt;0,"✓",IF(SUMPRODUCT(MAX(('Agences &amp; Après-vente'!$A$2:$A$1000=$A509)*(('Agences &amp; Après-vente'!$D$2:$D$1000="Après-vente")+('Agences &amp; Après-vente'!$D$2:$D$1000="Agences et Après-vente"))*'Agences &amp; Après-vente'!$E$2:$E$1000))&gt;0,TEXT(SUMPRODUCT(MAX(('Agences &amp; Après-vente'!$A$2:$A$1000=$A509)*(('Agences &amp; Après-vente'!$D$2:$D$1000="Après-vente")+('Agences &amp; Après-vente'!$D$2:$D$1000="Agences et Après-vente"))*'Agences &amp; Après-vente'!$E$2:$E$1000)),"yyyy-mm-dd"),"")))))</f>
        <v/>
      </c>
      <c r="J509" s="131" t="str">
        <f aca="false">IF($T509="✓","✓",IF(ISNUMBER($T509),TEXT($T509,"yyyy-mm-dd"),IF($A509="","",IF($D509="Lisbonne","",IF(SUMPRODUCT(('Agences &amp; Après-vente'!$A$2:$A$1000=$A509)*(('Agences &amp; Après-vente'!$D$2:$D$1000="Après-vente")+('Agences &amp; Après-vente'!$D$2:$D$1000="Agences et Après-vente"))*('Agences &amp; Après-vente'!$I$2:$I$1000="DONE"))&gt;0,"✓",IF(SUMPRODUCT(MAX(('Agences &amp; Après-vente'!$A$2:$A$1000=$A509)*(('Agences &amp; Après-vente'!$D$2:$D$1000="Après-vente")+('Agences &amp; Après-vente'!$D$2:$D$1000="Agences et Après-vente"))*'Agences &amp; Après-vente'!$E$2:$E$1000))&gt;0,TEXT(SUMPRODUCT(MAX(('Agences &amp; Après-vente'!$A$2:$A$1000=$A509)*(('Agences &amp; Après-vente'!$D$2:$D$1000="Après-vente")+('Agences &amp; Après-vente'!$D$2:$D$1000="Agences et Après-vente"))*'Agences &amp; Après-vente'!$E$2:$E$1000)),"yyyy-mm-dd"),""))))))</f>
        <v/>
      </c>
      <c r="K509" s="131" t="str">
        <f aca="false">IF($U509="✓","✓",IF(ISNUMBER($U509),TEXT($U509,"yyyy-mm-dd"),IF($D509="Lisbonne","",IF($A509="","",IF(SUMPRODUCT((Evermont!$A$2:$A$1000=$A509)*(Evermont!$Q$2:$Q$1000="Terminé"))&gt;0,"✓",IF(SUMPRODUCT(MAX((Evermont!$A$2:$A$1000=$A509)*Evermont!$F$2:$F$1000))&gt;0,TEXT(SUMPRODUCT(MAX((Evermont!$A$2:$A$1000=$A509)*Evermont!$F$2:$F$1000)),"yyyy-mm-dd"),""))))))</f>
        <v/>
      </c>
      <c r="L509" s="131" t="str">
        <f aca="false">IF($A509="","",COUNTIF(E509:K509,"✓"))</f>
        <v/>
      </c>
      <c r="M509" s="131" t="str">
        <f aca="false">IF(B509="","","Active")</f>
        <v/>
      </c>
      <c r="W509" s="120" t="str">
        <f aca="false">IF($A509="","",IF($X509&lt;&gt;"",$X509,IFERROR(INDEX('Formation Initiale'!$B$2:$B$999,MATCH($A509,'Formation Initiale'!$A$2:$A$999,0)),"Général")))</f>
        <v/>
      </c>
    </row>
    <row r="510" customFormat="false" ht="15" hidden="true" customHeight="true" outlineLevel="0" collapsed="false">
      <c r="A510" s="142" t="str">
        <f aca="false">IF(B510="","","TR"&amp;TEXT(ROW()-1,"000"))</f>
        <v/>
      </c>
      <c r="E510" s="130" t="str">
        <f aca="false">IF($O510="✓","✓",IF(ISNUMBER($O510),TEXT($O510,"yyyy-mm-dd"),IF($A510="","",IF(SUMPRODUCT(('Formation Initiale'!$A$2:$A$999=$A510)*('Formation Initiale'!$R$2:$R$999="Terminé"))&gt;0,"✓",IF(SUMPRODUCT(MAX(('Formation Initiale'!$A$2:$A$999=$A510)*'Formation Initiale'!$G$2:$G$999))&gt;0,TEXT(SUMPRODUCT(MAX(('Formation Initiale'!$A$2:$A$999=$A510)*'Formation Initiale'!$G$2:$G$999)),"yyyy-mm-dd"),"")))))</f>
        <v/>
      </c>
      <c r="F510" s="131" t="str">
        <f aca="false">IF($P510="✓","✓",IF(ISNUMBER($P510),TEXT($P510,"yyyy-mm-dd"),IF($A510="","",IF($D510="Lisbonne","",IF(SUMPRODUCT(('Formation Initiale'!$A$2:$A$999=$A510)*('Formation Initiale'!$R$2:$R$999="Terminé"))&gt;0,"✓",IF(SUMPRODUCT(MAX(('Formation Initiale'!$A$2:$A$999=$A510)*'Formation Initiale'!$G$2:$G$999))&gt;0,TEXT(SUMPRODUCT(MAX(('Formation Initiale'!$A$2:$A$999=$A510)*'Formation Initiale'!$G$2:$G$999)),"yyyy-mm-dd"),""))))))</f>
        <v/>
      </c>
      <c r="G510" s="131" t="str">
        <f aca="false">IF($Q510="✓","✓",IF(ISNUMBER($Q510),TEXT($Q510,"yyyy-mm-dd"),IF($A510="","",IF(SUMPRODUCT(('Agences &amp; Après-vente'!$A$2:$A$1000=$A510)*(('Agences &amp; Après-vente'!$D$2:$D$1000="Agences")+('Agences &amp; Après-vente'!$D$2:$D$1000="Agences et Après-vente"))*('Agences &amp; Après-vente'!$I$2:$I$1000="DONE"))&gt;0,"✓",IF(SUMPRODUCT(MAX(('Agences &amp; Après-vente'!$A$2:$A$1000=$A510)*(('Agences &amp; Après-vente'!$D$2:$D$1000="Agences")+('Agences &amp; Après-vente'!$D$2:$D$1000="Agences et Après-vente"))*'Agences &amp; Après-vente'!$E$2:$E$1000))&gt;0,TEXT(SUMPRODUCT(MAX(('Agences &amp; Après-vente'!$A$2:$A$1000=$A510)*(('Agences &amp; Après-vente'!$D$2:$D$1000="Agences")+('Agences &amp; Après-vente'!$D$2:$D$1000="Agences et Après-vente"))*'Agences &amp; Après-vente'!$E$2:$E$1000)),"yyyy-mm-dd"),"")))))</f>
        <v/>
      </c>
      <c r="H510" s="131" t="str">
        <f aca="false">IF($R510="✓","✓",IF(ISNUMBER($R510),TEXT($R510,"yyyy-mm-dd"),IF($A510="","",IF($D510="Lisbonne","",IF(SUMPRODUCT(('Agences &amp; Après-vente'!$A$2:$A$1000=$A510)*(('Agences &amp; Après-vente'!$D$2:$D$1000="Agences")+('Agences &amp; Après-vente'!$D$2:$D$1000="Agences et Après-vente"))*('Agences &amp; Après-vente'!$I$2:$I$1000="DONE"))&gt;0,"✓",IF(SUMPRODUCT(MAX(('Agences &amp; Après-vente'!$A$2:$A$1000=$A510)*(('Agences &amp; Après-vente'!$D$2:$D$1000="Agences")+('Agences &amp; Après-vente'!$D$2:$D$1000="Agences et Après-vente"))*'Agences &amp; Après-vente'!$E$2:$E$1000))&gt;0,TEXT(SUMPRODUCT(MAX(('Agences &amp; Après-vente'!$A$2:$A$1000=$A510)*(('Agences &amp; Après-vente'!$D$2:$D$1000="Agences")+('Agences &amp; Après-vente'!$D$2:$D$1000="Agences et Après-vente"))*'Agences &amp; Après-vente'!$E$2:$E$1000)),"yyyy-mm-dd"),""))))))</f>
        <v/>
      </c>
      <c r="I510" s="131" t="str">
        <f aca="false">IF($S510="✓","✓",IF(ISNUMBER($S510),TEXT($S510,"yyyy-mm-dd"),IF($A510="","",IF(SUMPRODUCT(('Agences &amp; Après-vente'!$A$2:$A$1000=$A510)*(('Agences &amp; Après-vente'!$D$2:$D$1000="Après-vente")+('Agences &amp; Après-vente'!$D$2:$D$1000="Agences et Après-vente"))*('Agences &amp; Après-vente'!$I$2:$I$1000="DONE"))&gt;0,"✓",IF(SUMPRODUCT(MAX(('Agences &amp; Après-vente'!$A$2:$A$1000=$A510)*(('Agences &amp; Après-vente'!$D$2:$D$1000="Après-vente")+('Agences &amp; Après-vente'!$D$2:$D$1000="Agences et Après-vente"))*'Agences &amp; Après-vente'!$E$2:$E$1000))&gt;0,TEXT(SUMPRODUCT(MAX(('Agences &amp; Après-vente'!$A$2:$A$1000=$A510)*(('Agences &amp; Après-vente'!$D$2:$D$1000="Après-vente")+('Agences &amp; Après-vente'!$D$2:$D$1000="Agences et Après-vente"))*'Agences &amp; Après-vente'!$E$2:$E$1000)),"yyyy-mm-dd"),"")))))</f>
        <v/>
      </c>
      <c r="J510" s="131" t="str">
        <f aca="false">IF($T510="✓","✓",IF(ISNUMBER($T510),TEXT($T510,"yyyy-mm-dd"),IF($A510="","",IF($D510="Lisbonne","",IF(SUMPRODUCT(('Agences &amp; Après-vente'!$A$2:$A$1000=$A510)*(('Agences &amp; Après-vente'!$D$2:$D$1000="Après-vente")+('Agences &amp; Après-vente'!$D$2:$D$1000="Agences et Après-vente"))*('Agences &amp; Après-vente'!$I$2:$I$1000="DONE"))&gt;0,"✓",IF(SUMPRODUCT(MAX(('Agences &amp; Après-vente'!$A$2:$A$1000=$A510)*(('Agences &amp; Après-vente'!$D$2:$D$1000="Après-vente")+('Agences &amp; Après-vente'!$D$2:$D$1000="Agences et Après-vente"))*'Agences &amp; Après-vente'!$E$2:$E$1000))&gt;0,TEXT(SUMPRODUCT(MAX(('Agences &amp; Après-vente'!$A$2:$A$1000=$A510)*(('Agences &amp; Après-vente'!$D$2:$D$1000="Après-vente")+('Agences &amp; Après-vente'!$D$2:$D$1000="Agences et Après-vente"))*'Agences &amp; Après-vente'!$E$2:$E$1000)),"yyyy-mm-dd"),""))))))</f>
        <v/>
      </c>
      <c r="K510" s="131" t="str">
        <f aca="false">IF($U510="✓","✓",IF(ISNUMBER($U510),TEXT($U510,"yyyy-mm-dd"),IF($D510="Lisbonne","",IF($A510="","",IF(SUMPRODUCT((Evermont!$A$2:$A$1000=$A510)*(Evermont!$Q$2:$Q$1000="Terminé"))&gt;0,"✓",IF(SUMPRODUCT(MAX((Evermont!$A$2:$A$1000=$A510)*Evermont!$F$2:$F$1000))&gt;0,TEXT(SUMPRODUCT(MAX((Evermont!$A$2:$A$1000=$A510)*Evermont!$F$2:$F$1000)),"yyyy-mm-dd"),""))))))</f>
        <v/>
      </c>
      <c r="L510" s="131" t="str">
        <f aca="false">IF($A510="","",COUNTIF(E510:K510,"✓"))</f>
        <v/>
      </c>
      <c r="M510" s="131" t="str">
        <f aca="false">IF(B510="","","Active")</f>
        <v/>
      </c>
      <c r="W510" s="120" t="str">
        <f aca="false">IF($A510="","",IF($X510&lt;&gt;"",$X510,IFERROR(INDEX('Formation Initiale'!$B$2:$B$999,MATCH($A510,'Formation Initiale'!$A$2:$A$999,0)),"Général")))</f>
        <v/>
      </c>
    </row>
    <row r="511" customFormat="false" ht="15" hidden="true" customHeight="true" outlineLevel="0" collapsed="false">
      <c r="A511" s="142" t="str">
        <f aca="false">IF(B511="","","TR"&amp;TEXT(ROW()-1,"000"))</f>
        <v/>
      </c>
      <c r="E511" s="130" t="str">
        <f aca="false">IF($O511="✓","✓",IF(ISNUMBER($O511),TEXT($O511,"yyyy-mm-dd"),IF($A511="","",IF(SUMPRODUCT(('Formation Initiale'!$A$2:$A$999=$A511)*('Formation Initiale'!$R$2:$R$999="Terminé"))&gt;0,"✓",IF(SUMPRODUCT(MAX(('Formation Initiale'!$A$2:$A$999=$A511)*'Formation Initiale'!$G$2:$G$999))&gt;0,TEXT(SUMPRODUCT(MAX(('Formation Initiale'!$A$2:$A$999=$A511)*'Formation Initiale'!$G$2:$G$999)),"yyyy-mm-dd"),"")))))</f>
        <v/>
      </c>
      <c r="F511" s="131" t="str">
        <f aca="false">IF($P511="✓","✓",IF(ISNUMBER($P511),TEXT($P511,"yyyy-mm-dd"),IF($A511="","",IF($D511="Lisbonne","",IF(SUMPRODUCT(('Formation Initiale'!$A$2:$A$999=$A511)*('Formation Initiale'!$R$2:$R$999="Terminé"))&gt;0,"✓",IF(SUMPRODUCT(MAX(('Formation Initiale'!$A$2:$A$999=$A511)*'Formation Initiale'!$G$2:$G$999))&gt;0,TEXT(SUMPRODUCT(MAX(('Formation Initiale'!$A$2:$A$999=$A511)*'Formation Initiale'!$G$2:$G$999)),"yyyy-mm-dd"),""))))))</f>
        <v/>
      </c>
      <c r="G511" s="131" t="str">
        <f aca="false">IF($Q511="✓","✓",IF(ISNUMBER($Q511),TEXT($Q511,"yyyy-mm-dd"),IF($A511="","",IF(SUMPRODUCT(('Agences &amp; Après-vente'!$A$2:$A$1000=$A511)*(('Agences &amp; Après-vente'!$D$2:$D$1000="Agences")+('Agences &amp; Après-vente'!$D$2:$D$1000="Agences et Après-vente"))*('Agences &amp; Après-vente'!$I$2:$I$1000="DONE"))&gt;0,"✓",IF(SUMPRODUCT(MAX(('Agences &amp; Après-vente'!$A$2:$A$1000=$A511)*(('Agences &amp; Après-vente'!$D$2:$D$1000="Agences")+('Agences &amp; Après-vente'!$D$2:$D$1000="Agences et Après-vente"))*'Agences &amp; Après-vente'!$E$2:$E$1000))&gt;0,TEXT(SUMPRODUCT(MAX(('Agences &amp; Après-vente'!$A$2:$A$1000=$A511)*(('Agences &amp; Après-vente'!$D$2:$D$1000="Agences")+('Agences &amp; Après-vente'!$D$2:$D$1000="Agences et Après-vente"))*'Agences &amp; Après-vente'!$E$2:$E$1000)),"yyyy-mm-dd"),"")))))</f>
        <v/>
      </c>
      <c r="H511" s="131" t="str">
        <f aca="false">IF($R511="✓","✓",IF(ISNUMBER($R511),TEXT($R511,"yyyy-mm-dd"),IF($A511="","",IF($D511="Lisbonne","",IF(SUMPRODUCT(('Agences &amp; Après-vente'!$A$2:$A$1000=$A511)*(('Agences &amp; Après-vente'!$D$2:$D$1000="Agences")+('Agences &amp; Après-vente'!$D$2:$D$1000="Agences et Après-vente"))*('Agences &amp; Après-vente'!$I$2:$I$1000="DONE"))&gt;0,"✓",IF(SUMPRODUCT(MAX(('Agences &amp; Après-vente'!$A$2:$A$1000=$A511)*(('Agences &amp; Après-vente'!$D$2:$D$1000="Agences")+('Agences &amp; Après-vente'!$D$2:$D$1000="Agences et Après-vente"))*'Agences &amp; Après-vente'!$E$2:$E$1000))&gt;0,TEXT(SUMPRODUCT(MAX(('Agences &amp; Après-vente'!$A$2:$A$1000=$A511)*(('Agences &amp; Après-vente'!$D$2:$D$1000="Agences")+('Agences &amp; Après-vente'!$D$2:$D$1000="Agences et Après-vente"))*'Agences &amp; Après-vente'!$E$2:$E$1000)),"yyyy-mm-dd"),""))))))</f>
        <v/>
      </c>
      <c r="I511" s="131" t="str">
        <f aca="false">IF($S511="✓","✓",IF(ISNUMBER($S511),TEXT($S511,"yyyy-mm-dd"),IF($A511="","",IF(SUMPRODUCT(('Agences &amp; Après-vente'!$A$2:$A$1000=$A511)*(('Agences &amp; Après-vente'!$D$2:$D$1000="Après-vente")+('Agences &amp; Après-vente'!$D$2:$D$1000="Agences et Après-vente"))*('Agences &amp; Après-vente'!$I$2:$I$1000="DONE"))&gt;0,"✓",IF(SUMPRODUCT(MAX(('Agences &amp; Après-vente'!$A$2:$A$1000=$A511)*(('Agences &amp; Après-vente'!$D$2:$D$1000="Après-vente")+('Agences &amp; Après-vente'!$D$2:$D$1000="Agences et Après-vente"))*'Agences &amp; Après-vente'!$E$2:$E$1000))&gt;0,TEXT(SUMPRODUCT(MAX(('Agences &amp; Après-vente'!$A$2:$A$1000=$A511)*(('Agences &amp; Après-vente'!$D$2:$D$1000="Après-vente")+('Agences &amp; Après-vente'!$D$2:$D$1000="Agences et Après-vente"))*'Agences &amp; Après-vente'!$E$2:$E$1000)),"yyyy-mm-dd"),"")))))</f>
        <v/>
      </c>
      <c r="J511" s="131" t="str">
        <f aca="false">IF($T511="✓","✓",IF(ISNUMBER($T511),TEXT($T511,"yyyy-mm-dd"),IF($A511="","",IF($D511="Lisbonne","",IF(SUMPRODUCT(('Agences &amp; Après-vente'!$A$2:$A$1000=$A511)*(('Agences &amp; Après-vente'!$D$2:$D$1000="Après-vente")+('Agences &amp; Après-vente'!$D$2:$D$1000="Agences et Après-vente"))*('Agences &amp; Après-vente'!$I$2:$I$1000="DONE"))&gt;0,"✓",IF(SUMPRODUCT(MAX(('Agences &amp; Après-vente'!$A$2:$A$1000=$A511)*(('Agences &amp; Après-vente'!$D$2:$D$1000="Après-vente")+('Agences &amp; Après-vente'!$D$2:$D$1000="Agences et Après-vente"))*'Agences &amp; Après-vente'!$E$2:$E$1000))&gt;0,TEXT(SUMPRODUCT(MAX(('Agences &amp; Après-vente'!$A$2:$A$1000=$A511)*(('Agences &amp; Après-vente'!$D$2:$D$1000="Après-vente")+('Agences &amp; Après-vente'!$D$2:$D$1000="Agences et Après-vente"))*'Agences &amp; Après-vente'!$E$2:$E$1000)),"yyyy-mm-dd"),""))))))</f>
        <v/>
      </c>
      <c r="K511" s="131" t="str">
        <f aca="false">IF($U511="✓","✓",IF(ISNUMBER($U511),TEXT($U511,"yyyy-mm-dd"),IF($D511="Lisbonne","",IF($A511="","",IF(SUMPRODUCT((Evermont!$A$2:$A$1000=$A511)*(Evermont!$Q$2:$Q$1000="Terminé"))&gt;0,"✓",IF(SUMPRODUCT(MAX((Evermont!$A$2:$A$1000=$A511)*Evermont!$F$2:$F$1000))&gt;0,TEXT(SUMPRODUCT(MAX((Evermont!$A$2:$A$1000=$A511)*Evermont!$F$2:$F$1000)),"yyyy-mm-dd"),""))))))</f>
        <v/>
      </c>
      <c r="L511" s="131" t="str">
        <f aca="false">IF($A511="","",COUNTIF(E511:K511,"✓"))</f>
        <v/>
      </c>
      <c r="M511" s="131" t="str">
        <f aca="false">IF(B511="","","Active")</f>
        <v/>
      </c>
      <c r="W511" s="120" t="str">
        <f aca="false">IF($A511="","",IF($X511&lt;&gt;"",$X511,IFERROR(INDEX('Formation Initiale'!$B$2:$B$999,MATCH($A511,'Formation Initiale'!$A$2:$A$999,0)),"Général")))</f>
        <v/>
      </c>
    </row>
    <row r="512" customFormat="false" ht="15" hidden="true" customHeight="true" outlineLevel="0" collapsed="false">
      <c r="A512" s="142" t="str">
        <f aca="false">IF(B512="","","TR"&amp;TEXT(ROW()-1,"000"))</f>
        <v/>
      </c>
      <c r="E512" s="130" t="str">
        <f aca="false">IF($O512="✓","✓",IF(ISNUMBER($O512),TEXT($O512,"yyyy-mm-dd"),IF($A512="","",IF(SUMPRODUCT(('Formation Initiale'!$A$2:$A$999=$A512)*('Formation Initiale'!$R$2:$R$999="Terminé"))&gt;0,"✓",IF(SUMPRODUCT(MAX(('Formation Initiale'!$A$2:$A$999=$A512)*'Formation Initiale'!$G$2:$G$999))&gt;0,TEXT(SUMPRODUCT(MAX(('Formation Initiale'!$A$2:$A$999=$A512)*'Formation Initiale'!$G$2:$G$999)),"yyyy-mm-dd"),"")))))</f>
        <v/>
      </c>
      <c r="F512" s="131" t="str">
        <f aca="false">IF($P512="✓","✓",IF(ISNUMBER($P512),TEXT($P512,"yyyy-mm-dd"),IF($A512="","",IF($D512="Lisbonne","",IF(SUMPRODUCT(('Formation Initiale'!$A$2:$A$999=$A512)*('Formation Initiale'!$R$2:$R$999="Terminé"))&gt;0,"✓",IF(SUMPRODUCT(MAX(('Formation Initiale'!$A$2:$A$999=$A512)*'Formation Initiale'!$G$2:$G$999))&gt;0,TEXT(SUMPRODUCT(MAX(('Formation Initiale'!$A$2:$A$999=$A512)*'Formation Initiale'!$G$2:$G$999)),"yyyy-mm-dd"),""))))))</f>
        <v/>
      </c>
      <c r="G512" s="131" t="str">
        <f aca="false">IF($Q512="✓","✓",IF(ISNUMBER($Q512),TEXT($Q512,"yyyy-mm-dd"),IF($A512="","",IF(SUMPRODUCT(('Agences &amp; Après-vente'!$A$2:$A$1000=$A512)*(('Agences &amp; Après-vente'!$D$2:$D$1000="Agences")+('Agences &amp; Après-vente'!$D$2:$D$1000="Agences et Après-vente"))*('Agences &amp; Après-vente'!$I$2:$I$1000="DONE"))&gt;0,"✓",IF(SUMPRODUCT(MAX(('Agences &amp; Après-vente'!$A$2:$A$1000=$A512)*(('Agences &amp; Après-vente'!$D$2:$D$1000="Agences")+('Agences &amp; Après-vente'!$D$2:$D$1000="Agences et Après-vente"))*'Agences &amp; Après-vente'!$E$2:$E$1000))&gt;0,TEXT(SUMPRODUCT(MAX(('Agences &amp; Après-vente'!$A$2:$A$1000=$A512)*(('Agences &amp; Après-vente'!$D$2:$D$1000="Agences")+('Agences &amp; Après-vente'!$D$2:$D$1000="Agences et Après-vente"))*'Agences &amp; Après-vente'!$E$2:$E$1000)),"yyyy-mm-dd"),"")))))</f>
        <v/>
      </c>
      <c r="H512" s="131" t="str">
        <f aca="false">IF($R512="✓","✓",IF(ISNUMBER($R512),TEXT($R512,"yyyy-mm-dd"),IF($A512="","",IF($D512="Lisbonne","",IF(SUMPRODUCT(('Agences &amp; Après-vente'!$A$2:$A$1000=$A512)*(('Agences &amp; Après-vente'!$D$2:$D$1000="Agences")+('Agences &amp; Après-vente'!$D$2:$D$1000="Agences et Après-vente"))*('Agences &amp; Après-vente'!$I$2:$I$1000="DONE"))&gt;0,"✓",IF(SUMPRODUCT(MAX(('Agences &amp; Après-vente'!$A$2:$A$1000=$A512)*(('Agences &amp; Après-vente'!$D$2:$D$1000="Agences")+('Agences &amp; Après-vente'!$D$2:$D$1000="Agences et Après-vente"))*'Agences &amp; Après-vente'!$E$2:$E$1000))&gt;0,TEXT(SUMPRODUCT(MAX(('Agences &amp; Après-vente'!$A$2:$A$1000=$A512)*(('Agences &amp; Après-vente'!$D$2:$D$1000="Agences")+('Agences &amp; Après-vente'!$D$2:$D$1000="Agences et Après-vente"))*'Agences &amp; Après-vente'!$E$2:$E$1000)),"yyyy-mm-dd"),""))))))</f>
        <v/>
      </c>
      <c r="I512" s="131" t="str">
        <f aca="false">IF($S512="✓","✓",IF(ISNUMBER($S512),TEXT($S512,"yyyy-mm-dd"),IF($A512="","",IF(SUMPRODUCT(('Agences &amp; Après-vente'!$A$2:$A$1000=$A512)*(('Agences &amp; Après-vente'!$D$2:$D$1000="Après-vente")+('Agences &amp; Après-vente'!$D$2:$D$1000="Agences et Après-vente"))*('Agences &amp; Après-vente'!$I$2:$I$1000="DONE"))&gt;0,"✓",IF(SUMPRODUCT(MAX(('Agences &amp; Après-vente'!$A$2:$A$1000=$A512)*(('Agences &amp; Après-vente'!$D$2:$D$1000="Après-vente")+('Agences &amp; Après-vente'!$D$2:$D$1000="Agences et Après-vente"))*'Agences &amp; Après-vente'!$E$2:$E$1000))&gt;0,TEXT(SUMPRODUCT(MAX(('Agences &amp; Après-vente'!$A$2:$A$1000=$A512)*(('Agences &amp; Après-vente'!$D$2:$D$1000="Après-vente")+('Agences &amp; Après-vente'!$D$2:$D$1000="Agences et Après-vente"))*'Agences &amp; Après-vente'!$E$2:$E$1000)),"yyyy-mm-dd"),"")))))</f>
        <v/>
      </c>
      <c r="J512" s="131" t="str">
        <f aca="false">IF($T512="✓","✓",IF(ISNUMBER($T512),TEXT($T512,"yyyy-mm-dd"),IF($A512="","",IF($D512="Lisbonne","",IF(SUMPRODUCT(('Agences &amp; Après-vente'!$A$2:$A$1000=$A512)*(('Agences &amp; Après-vente'!$D$2:$D$1000="Après-vente")+('Agences &amp; Après-vente'!$D$2:$D$1000="Agences et Après-vente"))*('Agences &amp; Après-vente'!$I$2:$I$1000="DONE"))&gt;0,"✓",IF(SUMPRODUCT(MAX(('Agences &amp; Après-vente'!$A$2:$A$1000=$A512)*(('Agences &amp; Après-vente'!$D$2:$D$1000="Après-vente")+('Agences &amp; Après-vente'!$D$2:$D$1000="Agences et Après-vente"))*'Agences &amp; Après-vente'!$E$2:$E$1000))&gt;0,TEXT(SUMPRODUCT(MAX(('Agences &amp; Après-vente'!$A$2:$A$1000=$A512)*(('Agences &amp; Après-vente'!$D$2:$D$1000="Après-vente")+('Agences &amp; Après-vente'!$D$2:$D$1000="Agences et Après-vente"))*'Agences &amp; Après-vente'!$E$2:$E$1000)),"yyyy-mm-dd"),""))))))</f>
        <v/>
      </c>
      <c r="K512" s="131" t="str">
        <f aca="false">IF($U512="✓","✓",IF(ISNUMBER($U512),TEXT($U512,"yyyy-mm-dd"),IF($D512="Lisbonne","",IF($A512="","",IF(SUMPRODUCT((Evermont!$A$2:$A$1000=$A512)*(Evermont!$Q$2:$Q$1000="Terminé"))&gt;0,"✓",IF(SUMPRODUCT(MAX((Evermont!$A$2:$A$1000=$A512)*Evermont!$F$2:$F$1000))&gt;0,TEXT(SUMPRODUCT(MAX((Evermont!$A$2:$A$1000=$A512)*Evermont!$F$2:$F$1000)),"yyyy-mm-dd"),""))))))</f>
        <v/>
      </c>
      <c r="L512" s="131" t="str">
        <f aca="false">IF($A512="","",COUNTIF(E512:K512,"✓"))</f>
        <v/>
      </c>
      <c r="M512" s="131" t="str">
        <f aca="false">IF(B512="","","Active")</f>
        <v/>
      </c>
      <c r="W512" s="120" t="str">
        <f aca="false">IF($A512="","",IF($X512&lt;&gt;"",$X512,IFERROR(INDEX('Formation Initiale'!$B$2:$B$999,MATCH($A512,'Formation Initiale'!$A$2:$A$999,0)),"Général")))</f>
        <v/>
      </c>
    </row>
    <row r="513" customFormat="false" ht="15" hidden="true" customHeight="true" outlineLevel="0" collapsed="false">
      <c r="A513" s="142" t="str">
        <f aca="false">IF(B513="","","TR"&amp;TEXT(ROW()-1,"000"))</f>
        <v/>
      </c>
      <c r="E513" s="130" t="str">
        <f aca="false">IF($O513="✓","✓",IF(ISNUMBER($O513),TEXT($O513,"yyyy-mm-dd"),IF($A513="","",IF(SUMPRODUCT(('Formation Initiale'!$A$2:$A$999=$A513)*('Formation Initiale'!$R$2:$R$999="Terminé"))&gt;0,"✓",IF(SUMPRODUCT(MAX(('Formation Initiale'!$A$2:$A$999=$A513)*'Formation Initiale'!$G$2:$G$999))&gt;0,TEXT(SUMPRODUCT(MAX(('Formation Initiale'!$A$2:$A$999=$A513)*'Formation Initiale'!$G$2:$G$999)),"yyyy-mm-dd"),"")))))</f>
        <v/>
      </c>
      <c r="F513" s="131" t="str">
        <f aca="false">IF($P513="✓","✓",IF(ISNUMBER($P513),TEXT($P513,"yyyy-mm-dd"),IF($A513="","",IF($D513="Lisbonne","",IF(SUMPRODUCT(('Formation Initiale'!$A$2:$A$999=$A513)*('Formation Initiale'!$R$2:$R$999="Terminé"))&gt;0,"✓",IF(SUMPRODUCT(MAX(('Formation Initiale'!$A$2:$A$999=$A513)*'Formation Initiale'!$G$2:$G$999))&gt;0,TEXT(SUMPRODUCT(MAX(('Formation Initiale'!$A$2:$A$999=$A513)*'Formation Initiale'!$G$2:$G$999)),"yyyy-mm-dd"),""))))))</f>
        <v/>
      </c>
      <c r="G513" s="131" t="str">
        <f aca="false">IF($Q513="✓","✓",IF(ISNUMBER($Q513),TEXT($Q513,"yyyy-mm-dd"),IF($A513="","",IF(SUMPRODUCT(('Agences &amp; Après-vente'!$A$2:$A$1000=$A513)*(('Agences &amp; Après-vente'!$D$2:$D$1000="Agences")+('Agences &amp; Après-vente'!$D$2:$D$1000="Agences et Après-vente"))*('Agences &amp; Après-vente'!$I$2:$I$1000="DONE"))&gt;0,"✓",IF(SUMPRODUCT(MAX(('Agences &amp; Après-vente'!$A$2:$A$1000=$A513)*(('Agences &amp; Après-vente'!$D$2:$D$1000="Agences")+('Agences &amp; Après-vente'!$D$2:$D$1000="Agences et Après-vente"))*'Agences &amp; Après-vente'!$E$2:$E$1000))&gt;0,TEXT(SUMPRODUCT(MAX(('Agences &amp; Après-vente'!$A$2:$A$1000=$A513)*(('Agences &amp; Après-vente'!$D$2:$D$1000="Agences")+('Agences &amp; Après-vente'!$D$2:$D$1000="Agences et Après-vente"))*'Agences &amp; Après-vente'!$E$2:$E$1000)),"yyyy-mm-dd"),"")))))</f>
        <v/>
      </c>
      <c r="H513" s="131" t="str">
        <f aca="false">IF($R513="✓","✓",IF(ISNUMBER($R513),TEXT($R513,"yyyy-mm-dd"),IF($A513="","",IF($D513="Lisbonne","",IF(SUMPRODUCT(('Agences &amp; Après-vente'!$A$2:$A$1000=$A513)*(('Agences &amp; Après-vente'!$D$2:$D$1000="Agences")+('Agences &amp; Après-vente'!$D$2:$D$1000="Agences et Après-vente"))*('Agences &amp; Après-vente'!$I$2:$I$1000="DONE"))&gt;0,"✓",IF(SUMPRODUCT(MAX(('Agences &amp; Après-vente'!$A$2:$A$1000=$A513)*(('Agences &amp; Après-vente'!$D$2:$D$1000="Agences")+('Agences &amp; Après-vente'!$D$2:$D$1000="Agences et Après-vente"))*'Agences &amp; Après-vente'!$E$2:$E$1000))&gt;0,TEXT(SUMPRODUCT(MAX(('Agences &amp; Après-vente'!$A$2:$A$1000=$A513)*(('Agences &amp; Après-vente'!$D$2:$D$1000="Agences")+('Agences &amp; Après-vente'!$D$2:$D$1000="Agences et Après-vente"))*'Agences &amp; Après-vente'!$E$2:$E$1000)),"yyyy-mm-dd"),""))))))</f>
        <v/>
      </c>
      <c r="I513" s="131" t="str">
        <f aca="false">IF($S513="✓","✓",IF(ISNUMBER($S513),TEXT($S513,"yyyy-mm-dd"),IF($A513="","",IF(SUMPRODUCT(('Agences &amp; Après-vente'!$A$2:$A$1000=$A513)*(('Agences &amp; Après-vente'!$D$2:$D$1000="Après-vente")+('Agences &amp; Après-vente'!$D$2:$D$1000="Agences et Après-vente"))*('Agences &amp; Après-vente'!$I$2:$I$1000="DONE"))&gt;0,"✓",IF(SUMPRODUCT(MAX(('Agences &amp; Après-vente'!$A$2:$A$1000=$A513)*(('Agences &amp; Après-vente'!$D$2:$D$1000="Après-vente")+('Agences &amp; Après-vente'!$D$2:$D$1000="Agences et Après-vente"))*'Agences &amp; Après-vente'!$E$2:$E$1000))&gt;0,TEXT(SUMPRODUCT(MAX(('Agences &amp; Après-vente'!$A$2:$A$1000=$A513)*(('Agences &amp; Après-vente'!$D$2:$D$1000="Après-vente")+('Agences &amp; Après-vente'!$D$2:$D$1000="Agences et Après-vente"))*'Agences &amp; Après-vente'!$E$2:$E$1000)),"yyyy-mm-dd"),"")))))</f>
        <v/>
      </c>
      <c r="J513" s="131" t="str">
        <f aca="false">IF($T513="✓","✓",IF(ISNUMBER($T513),TEXT($T513,"yyyy-mm-dd"),IF($A513="","",IF($D513="Lisbonne","",IF(SUMPRODUCT(('Agences &amp; Après-vente'!$A$2:$A$1000=$A513)*(('Agences &amp; Après-vente'!$D$2:$D$1000="Après-vente")+('Agences &amp; Après-vente'!$D$2:$D$1000="Agences et Après-vente"))*('Agences &amp; Après-vente'!$I$2:$I$1000="DONE"))&gt;0,"✓",IF(SUMPRODUCT(MAX(('Agences &amp; Après-vente'!$A$2:$A$1000=$A513)*(('Agences &amp; Après-vente'!$D$2:$D$1000="Après-vente")+('Agences &amp; Après-vente'!$D$2:$D$1000="Agences et Après-vente"))*'Agences &amp; Après-vente'!$E$2:$E$1000))&gt;0,TEXT(SUMPRODUCT(MAX(('Agences &amp; Après-vente'!$A$2:$A$1000=$A513)*(('Agences &amp; Après-vente'!$D$2:$D$1000="Après-vente")+('Agences &amp; Après-vente'!$D$2:$D$1000="Agences et Après-vente"))*'Agences &amp; Après-vente'!$E$2:$E$1000)),"yyyy-mm-dd"),""))))))</f>
        <v/>
      </c>
      <c r="K513" s="131" t="str">
        <f aca="false">IF($U513="✓","✓",IF(ISNUMBER($U513),TEXT($U513,"yyyy-mm-dd"),IF($D513="Lisbonne","",IF($A513="","",IF(SUMPRODUCT((Evermont!$A$2:$A$1000=$A513)*(Evermont!$Q$2:$Q$1000="Terminé"))&gt;0,"✓",IF(SUMPRODUCT(MAX((Evermont!$A$2:$A$1000=$A513)*Evermont!$F$2:$F$1000))&gt;0,TEXT(SUMPRODUCT(MAX((Evermont!$A$2:$A$1000=$A513)*Evermont!$F$2:$F$1000)),"yyyy-mm-dd"),""))))))</f>
        <v/>
      </c>
      <c r="L513" s="131" t="str">
        <f aca="false">IF($A513="","",COUNTIF(E513:K513,"✓"))</f>
        <v/>
      </c>
      <c r="M513" s="131" t="str">
        <f aca="false">IF(B513="","","Active")</f>
        <v/>
      </c>
      <c r="W513" s="120" t="str">
        <f aca="false">IF($A513="","",IF($X513&lt;&gt;"",$X513,IFERROR(INDEX('Formation Initiale'!$B$2:$B$999,MATCH($A513,'Formation Initiale'!$A$2:$A$999,0)),"Général")))</f>
        <v/>
      </c>
    </row>
    <row r="514" customFormat="false" ht="15" hidden="true" customHeight="true" outlineLevel="0" collapsed="false">
      <c r="A514" s="142" t="str">
        <f aca="false">IF(B514="","","TR"&amp;TEXT(ROW()-1,"000"))</f>
        <v/>
      </c>
      <c r="E514" s="130" t="str">
        <f aca="false">IF($O514="✓","✓",IF(ISNUMBER($O514),TEXT($O514,"yyyy-mm-dd"),IF($A514="","",IF(SUMPRODUCT(('Formation Initiale'!$A$2:$A$999=$A514)*('Formation Initiale'!$R$2:$R$999="Terminé"))&gt;0,"✓",IF(SUMPRODUCT(MAX(('Formation Initiale'!$A$2:$A$999=$A514)*'Formation Initiale'!$G$2:$G$999))&gt;0,TEXT(SUMPRODUCT(MAX(('Formation Initiale'!$A$2:$A$999=$A514)*'Formation Initiale'!$G$2:$G$999)),"yyyy-mm-dd"),"")))))</f>
        <v/>
      </c>
      <c r="F514" s="131" t="str">
        <f aca="false">IF($P514="✓","✓",IF(ISNUMBER($P514),TEXT($P514,"yyyy-mm-dd"),IF($A514="","",IF($D514="Lisbonne","",IF(SUMPRODUCT(('Formation Initiale'!$A$2:$A$999=$A514)*('Formation Initiale'!$R$2:$R$999="Terminé"))&gt;0,"✓",IF(SUMPRODUCT(MAX(('Formation Initiale'!$A$2:$A$999=$A514)*'Formation Initiale'!$G$2:$G$999))&gt;0,TEXT(SUMPRODUCT(MAX(('Formation Initiale'!$A$2:$A$999=$A514)*'Formation Initiale'!$G$2:$G$999)),"yyyy-mm-dd"),""))))))</f>
        <v/>
      </c>
      <c r="G514" s="131" t="str">
        <f aca="false">IF($Q514="✓","✓",IF(ISNUMBER($Q514),TEXT($Q514,"yyyy-mm-dd"),IF($A514="","",IF(SUMPRODUCT(('Agences &amp; Après-vente'!$A$2:$A$1000=$A514)*(('Agences &amp; Après-vente'!$D$2:$D$1000="Agences")+('Agences &amp; Après-vente'!$D$2:$D$1000="Agences et Après-vente"))*('Agences &amp; Après-vente'!$I$2:$I$1000="DONE"))&gt;0,"✓",IF(SUMPRODUCT(MAX(('Agences &amp; Après-vente'!$A$2:$A$1000=$A514)*(('Agences &amp; Après-vente'!$D$2:$D$1000="Agences")+('Agences &amp; Après-vente'!$D$2:$D$1000="Agences et Après-vente"))*'Agences &amp; Après-vente'!$E$2:$E$1000))&gt;0,TEXT(SUMPRODUCT(MAX(('Agences &amp; Après-vente'!$A$2:$A$1000=$A514)*(('Agences &amp; Après-vente'!$D$2:$D$1000="Agences")+('Agences &amp; Après-vente'!$D$2:$D$1000="Agences et Après-vente"))*'Agences &amp; Après-vente'!$E$2:$E$1000)),"yyyy-mm-dd"),"")))))</f>
        <v/>
      </c>
      <c r="H514" s="131" t="str">
        <f aca="false">IF($R514="✓","✓",IF(ISNUMBER($R514),TEXT($R514,"yyyy-mm-dd"),IF($A514="","",IF($D514="Lisbonne","",IF(SUMPRODUCT(('Agences &amp; Après-vente'!$A$2:$A$1000=$A514)*(('Agences &amp; Après-vente'!$D$2:$D$1000="Agences")+('Agences &amp; Après-vente'!$D$2:$D$1000="Agences et Après-vente"))*('Agences &amp; Après-vente'!$I$2:$I$1000="DONE"))&gt;0,"✓",IF(SUMPRODUCT(MAX(('Agences &amp; Après-vente'!$A$2:$A$1000=$A514)*(('Agences &amp; Après-vente'!$D$2:$D$1000="Agences")+('Agences &amp; Après-vente'!$D$2:$D$1000="Agences et Après-vente"))*'Agences &amp; Après-vente'!$E$2:$E$1000))&gt;0,TEXT(SUMPRODUCT(MAX(('Agences &amp; Après-vente'!$A$2:$A$1000=$A514)*(('Agences &amp; Après-vente'!$D$2:$D$1000="Agences")+('Agences &amp; Après-vente'!$D$2:$D$1000="Agences et Après-vente"))*'Agences &amp; Après-vente'!$E$2:$E$1000)),"yyyy-mm-dd"),""))))))</f>
        <v/>
      </c>
      <c r="I514" s="131" t="str">
        <f aca="false">IF($S514="✓","✓",IF(ISNUMBER($S514),TEXT($S514,"yyyy-mm-dd"),IF($A514="","",IF(SUMPRODUCT(('Agences &amp; Après-vente'!$A$2:$A$1000=$A514)*(('Agences &amp; Après-vente'!$D$2:$D$1000="Après-vente")+('Agences &amp; Après-vente'!$D$2:$D$1000="Agences et Après-vente"))*('Agences &amp; Après-vente'!$I$2:$I$1000="DONE"))&gt;0,"✓",IF(SUMPRODUCT(MAX(('Agences &amp; Après-vente'!$A$2:$A$1000=$A514)*(('Agences &amp; Après-vente'!$D$2:$D$1000="Après-vente")+('Agences &amp; Après-vente'!$D$2:$D$1000="Agences et Après-vente"))*'Agences &amp; Après-vente'!$E$2:$E$1000))&gt;0,TEXT(SUMPRODUCT(MAX(('Agences &amp; Après-vente'!$A$2:$A$1000=$A514)*(('Agences &amp; Après-vente'!$D$2:$D$1000="Après-vente")+('Agences &amp; Après-vente'!$D$2:$D$1000="Agences et Après-vente"))*'Agences &amp; Après-vente'!$E$2:$E$1000)),"yyyy-mm-dd"),"")))))</f>
        <v/>
      </c>
      <c r="J514" s="131" t="str">
        <f aca="false">IF($T514="✓","✓",IF(ISNUMBER($T514),TEXT($T514,"yyyy-mm-dd"),IF($A514="","",IF($D514="Lisbonne","",IF(SUMPRODUCT(('Agences &amp; Après-vente'!$A$2:$A$1000=$A514)*(('Agences &amp; Après-vente'!$D$2:$D$1000="Après-vente")+('Agences &amp; Après-vente'!$D$2:$D$1000="Agences et Après-vente"))*('Agences &amp; Après-vente'!$I$2:$I$1000="DONE"))&gt;0,"✓",IF(SUMPRODUCT(MAX(('Agences &amp; Après-vente'!$A$2:$A$1000=$A514)*(('Agences &amp; Après-vente'!$D$2:$D$1000="Après-vente")+('Agences &amp; Après-vente'!$D$2:$D$1000="Agences et Après-vente"))*'Agences &amp; Après-vente'!$E$2:$E$1000))&gt;0,TEXT(SUMPRODUCT(MAX(('Agences &amp; Après-vente'!$A$2:$A$1000=$A514)*(('Agences &amp; Après-vente'!$D$2:$D$1000="Après-vente")+('Agences &amp; Après-vente'!$D$2:$D$1000="Agences et Après-vente"))*'Agences &amp; Après-vente'!$E$2:$E$1000)),"yyyy-mm-dd"),""))))))</f>
        <v/>
      </c>
      <c r="K514" s="131" t="str">
        <f aca="false">IF($U514="✓","✓",IF(ISNUMBER($U514),TEXT($U514,"yyyy-mm-dd"),IF($D514="Lisbonne","",IF($A514="","",IF(SUMPRODUCT((Evermont!$A$2:$A$1000=$A514)*(Evermont!$Q$2:$Q$1000="Terminé"))&gt;0,"✓",IF(SUMPRODUCT(MAX((Evermont!$A$2:$A$1000=$A514)*Evermont!$F$2:$F$1000))&gt;0,TEXT(SUMPRODUCT(MAX((Evermont!$A$2:$A$1000=$A514)*Evermont!$F$2:$F$1000)),"yyyy-mm-dd"),""))))))</f>
        <v/>
      </c>
      <c r="L514" s="131" t="str">
        <f aca="false">IF($A514="","",COUNTIF(E514:K514,"✓"))</f>
        <v/>
      </c>
      <c r="M514" s="131" t="str">
        <f aca="false">IF(B514="","","Active")</f>
        <v/>
      </c>
      <c r="W514" s="120" t="str">
        <f aca="false">IF($A514="","",IF($X514&lt;&gt;"",$X514,IFERROR(INDEX('Formation Initiale'!$B$2:$B$999,MATCH($A514,'Formation Initiale'!$A$2:$A$999,0)),"Général")))</f>
        <v/>
      </c>
    </row>
    <row r="515" customFormat="false" ht="15" hidden="true" customHeight="true" outlineLevel="0" collapsed="false">
      <c r="A515" s="142" t="str">
        <f aca="false">IF(B515="","","TR"&amp;TEXT(ROW()-1,"000"))</f>
        <v/>
      </c>
      <c r="E515" s="130" t="str">
        <f aca="false">IF($O515="✓","✓",IF(ISNUMBER($O515),TEXT($O515,"yyyy-mm-dd"),IF($A515="","",IF(SUMPRODUCT(('Formation Initiale'!$A$2:$A$999=$A515)*('Formation Initiale'!$R$2:$R$999="Terminé"))&gt;0,"✓",IF(SUMPRODUCT(MAX(('Formation Initiale'!$A$2:$A$999=$A515)*'Formation Initiale'!$G$2:$G$999))&gt;0,TEXT(SUMPRODUCT(MAX(('Formation Initiale'!$A$2:$A$999=$A515)*'Formation Initiale'!$G$2:$G$999)),"yyyy-mm-dd"),"")))))</f>
        <v/>
      </c>
      <c r="F515" s="131" t="str">
        <f aca="false">IF($P515="✓","✓",IF(ISNUMBER($P515),TEXT($P515,"yyyy-mm-dd"),IF($A515="","",IF($D515="Lisbonne","",IF(SUMPRODUCT(('Formation Initiale'!$A$2:$A$999=$A515)*('Formation Initiale'!$R$2:$R$999="Terminé"))&gt;0,"✓",IF(SUMPRODUCT(MAX(('Formation Initiale'!$A$2:$A$999=$A515)*'Formation Initiale'!$G$2:$G$999))&gt;0,TEXT(SUMPRODUCT(MAX(('Formation Initiale'!$A$2:$A$999=$A515)*'Formation Initiale'!$G$2:$G$999)),"yyyy-mm-dd"),""))))))</f>
        <v/>
      </c>
      <c r="G515" s="131" t="str">
        <f aca="false">IF($Q515="✓","✓",IF(ISNUMBER($Q515),TEXT($Q515,"yyyy-mm-dd"),IF($A515="","",IF(SUMPRODUCT(('Agences &amp; Après-vente'!$A$2:$A$1000=$A515)*(('Agences &amp; Après-vente'!$D$2:$D$1000="Agences")+('Agences &amp; Après-vente'!$D$2:$D$1000="Agences et Après-vente"))*('Agences &amp; Après-vente'!$I$2:$I$1000="DONE"))&gt;0,"✓",IF(SUMPRODUCT(MAX(('Agences &amp; Après-vente'!$A$2:$A$1000=$A515)*(('Agences &amp; Après-vente'!$D$2:$D$1000="Agences")+('Agences &amp; Après-vente'!$D$2:$D$1000="Agences et Après-vente"))*'Agences &amp; Après-vente'!$E$2:$E$1000))&gt;0,TEXT(SUMPRODUCT(MAX(('Agences &amp; Après-vente'!$A$2:$A$1000=$A515)*(('Agences &amp; Après-vente'!$D$2:$D$1000="Agences")+('Agences &amp; Après-vente'!$D$2:$D$1000="Agences et Après-vente"))*'Agences &amp; Après-vente'!$E$2:$E$1000)),"yyyy-mm-dd"),"")))))</f>
        <v/>
      </c>
      <c r="H515" s="131" t="str">
        <f aca="false">IF($R515="✓","✓",IF(ISNUMBER($R515),TEXT($R515,"yyyy-mm-dd"),IF($A515="","",IF($D515="Lisbonne","",IF(SUMPRODUCT(('Agences &amp; Après-vente'!$A$2:$A$1000=$A515)*(('Agences &amp; Après-vente'!$D$2:$D$1000="Agences")+('Agences &amp; Après-vente'!$D$2:$D$1000="Agences et Après-vente"))*('Agences &amp; Après-vente'!$I$2:$I$1000="DONE"))&gt;0,"✓",IF(SUMPRODUCT(MAX(('Agences &amp; Après-vente'!$A$2:$A$1000=$A515)*(('Agences &amp; Après-vente'!$D$2:$D$1000="Agences")+('Agences &amp; Après-vente'!$D$2:$D$1000="Agences et Après-vente"))*'Agences &amp; Après-vente'!$E$2:$E$1000))&gt;0,TEXT(SUMPRODUCT(MAX(('Agences &amp; Après-vente'!$A$2:$A$1000=$A515)*(('Agences &amp; Après-vente'!$D$2:$D$1000="Agences")+('Agences &amp; Après-vente'!$D$2:$D$1000="Agences et Après-vente"))*'Agences &amp; Après-vente'!$E$2:$E$1000)),"yyyy-mm-dd"),""))))))</f>
        <v/>
      </c>
      <c r="I515" s="131" t="str">
        <f aca="false">IF($S515="✓","✓",IF(ISNUMBER($S515),TEXT($S515,"yyyy-mm-dd"),IF($A515="","",IF(SUMPRODUCT(('Agences &amp; Après-vente'!$A$2:$A$1000=$A515)*(('Agences &amp; Après-vente'!$D$2:$D$1000="Après-vente")+('Agences &amp; Après-vente'!$D$2:$D$1000="Agences et Après-vente"))*('Agences &amp; Après-vente'!$I$2:$I$1000="DONE"))&gt;0,"✓",IF(SUMPRODUCT(MAX(('Agences &amp; Après-vente'!$A$2:$A$1000=$A515)*(('Agences &amp; Après-vente'!$D$2:$D$1000="Après-vente")+('Agences &amp; Après-vente'!$D$2:$D$1000="Agences et Après-vente"))*'Agences &amp; Après-vente'!$E$2:$E$1000))&gt;0,TEXT(SUMPRODUCT(MAX(('Agences &amp; Après-vente'!$A$2:$A$1000=$A515)*(('Agences &amp; Après-vente'!$D$2:$D$1000="Après-vente")+('Agences &amp; Après-vente'!$D$2:$D$1000="Agences et Après-vente"))*'Agences &amp; Après-vente'!$E$2:$E$1000)),"yyyy-mm-dd"),"")))))</f>
        <v/>
      </c>
      <c r="J515" s="131" t="str">
        <f aca="false">IF($T515="✓","✓",IF(ISNUMBER($T515),TEXT($T515,"yyyy-mm-dd"),IF($A515="","",IF($D515="Lisbonne","",IF(SUMPRODUCT(('Agences &amp; Après-vente'!$A$2:$A$1000=$A515)*(('Agences &amp; Après-vente'!$D$2:$D$1000="Après-vente")+('Agences &amp; Après-vente'!$D$2:$D$1000="Agences et Après-vente"))*('Agences &amp; Après-vente'!$I$2:$I$1000="DONE"))&gt;0,"✓",IF(SUMPRODUCT(MAX(('Agences &amp; Après-vente'!$A$2:$A$1000=$A515)*(('Agences &amp; Après-vente'!$D$2:$D$1000="Après-vente")+('Agences &amp; Après-vente'!$D$2:$D$1000="Agences et Après-vente"))*'Agences &amp; Après-vente'!$E$2:$E$1000))&gt;0,TEXT(SUMPRODUCT(MAX(('Agences &amp; Après-vente'!$A$2:$A$1000=$A515)*(('Agences &amp; Après-vente'!$D$2:$D$1000="Après-vente")+('Agences &amp; Après-vente'!$D$2:$D$1000="Agences et Après-vente"))*'Agences &amp; Après-vente'!$E$2:$E$1000)),"yyyy-mm-dd"),""))))))</f>
        <v/>
      </c>
      <c r="K515" s="131" t="str">
        <f aca="false">IF($U515="✓","✓",IF(ISNUMBER($U515),TEXT($U515,"yyyy-mm-dd"),IF($D515="Lisbonne","",IF($A515="","",IF(SUMPRODUCT((Evermont!$A$2:$A$1000=$A515)*(Evermont!$Q$2:$Q$1000="Terminé"))&gt;0,"✓",IF(SUMPRODUCT(MAX((Evermont!$A$2:$A$1000=$A515)*Evermont!$F$2:$F$1000))&gt;0,TEXT(SUMPRODUCT(MAX((Evermont!$A$2:$A$1000=$A515)*Evermont!$F$2:$F$1000)),"yyyy-mm-dd"),""))))))</f>
        <v/>
      </c>
      <c r="L515" s="131" t="str">
        <f aca="false">IF($A515="","",COUNTIF(E515:K515,"✓"))</f>
        <v/>
      </c>
      <c r="M515" s="131" t="str">
        <f aca="false">IF(B515="","","Active")</f>
        <v/>
      </c>
      <c r="W515" s="120" t="str">
        <f aca="false">IF($A515="","",IF($X515&lt;&gt;"",$X515,IFERROR(INDEX('Formation Initiale'!$B$2:$B$999,MATCH($A515,'Formation Initiale'!$A$2:$A$999,0)),"Général")))</f>
        <v/>
      </c>
    </row>
    <row r="516" customFormat="false" ht="15" hidden="true" customHeight="true" outlineLevel="0" collapsed="false">
      <c r="A516" s="142" t="str">
        <f aca="false">IF(B516="","","TR"&amp;TEXT(ROW()-1,"000"))</f>
        <v/>
      </c>
      <c r="E516" s="130" t="str">
        <f aca="false">IF($O516="✓","✓",IF(ISNUMBER($O516),TEXT($O516,"yyyy-mm-dd"),IF($A516="","",IF(SUMPRODUCT(('Formation Initiale'!$A$2:$A$999=$A516)*('Formation Initiale'!$R$2:$R$999="Terminé"))&gt;0,"✓",IF(SUMPRODUCT(MAX(('Formation Initiale'!$A$2:$A$999=$A516)*'Formation Initiale'!$G$2:$G$999))&gt;0,TEXT(SUMPRODUCT(MAX(('Formation Initiale'!$A$2:$A$999=$A516)*'Formation Initiale'!$G$2:$G$999)),"yyyy-mm-dd"),"")))))</f>
        <v/>
      </c>
      <c r="F516" s="131" t="str">
        <f aca="false">IF($P516="✓","✓",IF(ISNUMBER($P516),TEXT($P516,"yyyy-mm-dd"),IF($A516="","",IF($D516="Lisbonne","",IF(SUMPRODUCT(('Formation Initiale'!$A$2:$A$999=$A516)*('Formation Initiale'!$R$2:$R$999="Terminé"))&gt;0,"✓",IF(SUMPRODUCT(MAX(('Formation Initiale'!$A$2:$A$999=$A516)*'Formation Initiale'!$G$2:$G$999))&gt;0,TEXT(SUMPRODUCT(MAX(('Formation Initiale'!$A$2:$A$999=$A516)*'Formation Initiale'!$G$2:$G$999)),"yyyy-mm-dd"),""))))))</f>
        <v/>
      </c>
      <c r="G516" s="131" t="str">
        <f aca="false">IF($Q516="✓","✓",IF(ISNUMBER($Q516),TEXT($Q516,"yyyy-mm-dd"),IF($A516="","",IF(SUMPRODUCT(('Agences &amp; Après-vente'!$A$2:$A$1000=$A516)*(('Agences &amp; Après-vente'!$D$2:$D$1000="Agences")+('Agences &amp; Après-vente'!$D$2:$D$1000="Agences et Après-vente"))*('Agences &amp; Après-vente'!$I$2:$I$1000="DONE"))&gt;0,"✓",IF(SUMPRODUCT(MAX(('Agences &amp; Après-vente'!$A$2:$A$1000=$A516)*(('Agences &amp; Après-vente'!$D$2:$D$1000="Agences")+('Agences &amp; Après-vente'!$D$2:$D$1000="Agences et Après-vente"))*'Agences &amp; Après-vente'!$E$2:$E$1000))&gt;0,TEXT(SUMPRODUCT(MAX(('Agences &amp; Après-vente'!$A$2:$A$1000=$A516)*(('Agences &amp; Après-vente'!$D$2:$D$1000="Agences")+('Agences &amp; Après-vente'!$D$2:$D$1000="Agences et Après-vente"))*'Agences &amp; Après-vente'!$E$2:$E$1000)),"yyyy-mm-dd"),"")))))</f>
        <v/>
      </c>
      <c r="H516" s="131" t="str">
        <f aca="false">IF($R516="✓","✓",IF(ISNUMBER($R516),TEXT($R516,"yyyy-mm-dd"),IF($A516="","",IF($D516="Lisbonne","",IF(SUMPRODUCT(('Agences &amp; Après-vente'!$A$2:$A$1000=$A516)*(('Agences &amp; Après-vente'!$D$2:$D$1000="Agences")+('Agences &amp; Après-vente'!$D$2:$D$1000="Agences et Après-vente"))*('Agences &amp; Après-vente'!$I$2:$I$1000="DONE"))&gt;0,"✓",IF(SUMPRODUCT(MAX(('Agences &amp; Après-vente'!$A$2:$A$1000=$A516)*(('Agences &amp; Après-vente'!$D$2:$D$1000="Agences")+('Agences &amp; Après-vente'!$D$2:$D$1000="Agences et Après-vente"))*'Agences &amp; Après-vente'!$E$2:$E$1000))&gt;0,TEXT(SUMPRODUCT(MAX(('Agences &amp; Après-vente'!$A$2:$A$1000=$A516)*(('Agences &amp; Après-vente'!$D$2:$D$1000="Agences")+('Agences &amp; Après-vente'!$D$2:$D$1000="Agences et Après-vente"))*'Agences &amp; Après-vente'!$E$2:$E$1000)),"yyyy-mm-dd"),""))))))</f>
        <v/>
      </c>
      <c r="I516" s="131" t="str">
        <f aca="false">IF($S516="✓","✓",IF(ISNUMBER($S516),TEXT($S516,"yyyy-mm-dd"),IF($A516="","",IF(SUMPRODUCT(('Agences &amp; Après-vente'!$A$2:$A$1000=$A516)*(('Agences &amp; Après-vente'!$D$2:$D$1000="Après-vente")+('Agences &amp; Après-vente'!$D$2:$D$1000="Agences et Après-vente"))*('Agences &amp; Après-vente'!$I$2:$I$1000="DONE"))&gt;0,"✓",IF(SUMPRODUCT(MAX(('Agences &amp; Après-vente'!$A$2:$A$1000=$A516)*(('Agences &amp; Après-vente'!$D$2:$D$1000="Après-vente")+('Agences &amp; Après-vente'!$D$2:$D$1000="Agences et Après-vente"))*'Agences &amp; Après-vente'!$E$2:$E$1000))&gt;0,TEXT(SUMPRODUCT(MAX(('Agences &amp; Après-vente'!$A$2:$A$1000=$A516)*(('Agences &amp; Après-vente'!$D$2:$D$1000="Après-vente")+('Agences &amp; Après-vente'!$D$2:$D$1000="Agences et Après-vente"))*'Agences &amp; Après-vente'!$E$2:$E$1000)),"yyyy-mm-dd"),"")))))</f>
        <v/>
      </c>
      <c r="J516" s="131" t="str">
        <f aca="false">IF($T516="✓","✓",IF(ISNUMBER($T516),TEXT($T516,"yyyy-mm-dd"),IF($A516="","",IF($D516="Lisbonne","",IF(SUMPRODUCT(('Agences &amp; Après-vente'!$A$2:$A$1000=$A516)*(('Agences &amp; Après-vente'!$D$2:$D$1000="Après-vente")+('Agences &amp; Après-vente'!$D$2:$D$1000="Agences et Après-vente"))*('Agences &amp; Après-vente'!$I$2:$I$1000="DONE"))&gt;0,"✓",IF(SUMPRODUCT(MAX(('Agences &amp; Après-vente'!$A$2:$A$1000=$A516)*(('Agences &amp; Après-vente'!$D$2:$D$1000="Après-vente")+('Agences &amp; Après-vente'!$D$2:$D$1000="Agences et Après-vente"))*'Agences &amp; Après-vente'!$E$2:$E$1000))&gt;0,TEXT(SUMPRODUCT(MAX(('Agences &amp; Après-vente'!$A$2:$A$1000=$A516)*(('Agences &amp; Après-vente'!$D$2:$D$1000="Après-vente")+('Agences &amp; Après-vente'!$D$2:$D$1000="Agences et Après-vente"))*'Agences &amp; Après-vente'!$E$2:$E$1000)),"yyyy-mm-dd"),""))))))</f>
        <v/>
      </c>
      <c r="K516" s="131" t="str">
        <f aca="false">IF($U516="✓","✓",IF(ISNUMBER($U516),TEXT($U516,"yyyy-mm-dd"),IF($D516="Lisbonne","",IF($A516="","",IF(SUMPRODUCT((Evermont!$A$2:$A$1000=$A516)*(Evermont!$Q$2:$Q$1000="Terminé"))&gt;0,"✓",IF(SUMPRODUCT(MAX((Evermont!$A$2:$A$1000=$A516)*Evermont!$F$2:$F$1000))&gt;0,TEXT(SUMPRODUCT(MAX((Evermont!$A$2:$A$1000=$A516)*Evermont!$F$2:$F$1000)),"yyyy-mm-dd"),""))))))</f>
        <v/>
      </c>
      <c r="L516" s="131" t="str">
        <f aca="false">IF($A516="","",COUNTIF(E516:K516,"✓"))</f>
        <v/>
      </c>
      <c r="M516" s="131" t="str">
        <f aca="false">IF(B516="","","Active")</f>
        <v/>
      </c>
      <c r="W516" s="120" t="str">
        <f aca="false">IF($A516="","",IF($X516&lt;&gt;"",$X516,IFERROR(INDEX('Formation Initiale'!$B$2:$B$999,MATCH($A516,'Formation Initiale'!$A$2:$A$999,0)),"Général")))</f>
        <v/>
      </c>
    </row>
    <row r="517" customFormat="false" ht="15" hidden="true" customHeight="true" outlineLevel="0" collapsed="false">
      <c r="A517" s="142" t="str">
        <f aca="false">IF(B517="","","TR"&amp;TEXT(ROW()-1,"000"))</f>
        <v/>
      </c>
      <c r="E517" s="130" t="str">
        <f aca="false">IF($O517="✓","✓",IF(ISNUMBER($O517),TEXT($O517,"yyyy-mm-dd"),IF($A517="","",IF(SUMPRODUCT(('Formation Initiale'!$A$2:$A$999=$A517)*('Formation Initiale'!$R$2:$R$999="Terminé"))&gt;0,"✓",IF(SUMPRODUCT(MAX(('Formation Initiale'!$A$2:$A$999=$A517)*'Formation Initiale'!$G$2:$G$999))&gt;0,TEXT(SUMPRODUCT(MAX(('Formation Initiale'!$A$2:$A$999=$A517)*'Formation Initiale'!$G$2:$G$999)),"yyyy-mm-dd"),"")))))</f>
        <v/>
      </c>
      <c r="F517" s="131" t="str">
        <f aca="false">IF($P517="✓","✓",IF(ISNUMBER($P517),TEXT($P517,"yyyy-mm-dd"),IF($A517="","",IF($D517="Lisbonne","",IF(SUMPRODUCT(('Formation Initiale'!$A$2:$A$999=$A517)*('Formation Initiale'!$R$2:$R$999="Terminé"))&gt;0,"✓",IF(SUMPRODUCT(MAX(('Formation Initiale'!$A$2:$A$999=$A517)*'Formation Initiale'!$G$2:$G$999))&gt;0,TEXT(SUMPRODUCT(MAX(('Formation Initiale'!$A$2:$A$999=$A517)*'Formation Initiale'!$G$2:$G$999)),"yyyy-mm-dd"),""))))))</f>
        <v/>
      </c>
      <c r="G517" s="131" t="str">
        <f aca="false">IF($Q517="✓","✓",IF(ISNUMBER($Q517),TEXT($Q517,"yyyy-mm-dd"),IF($A517="","",IF(SUMPRODUCT(('Agences &amp; Après-vente'!$A$2:$A$1000=$A517)*(('Agences &amp; Après-vente'!$D$2:$D$1000="Agences")+('Agences &amp; Après-vente'!$D$2:$D$1000="Agences et Après-vente"))*('Agences &amp; Après-vente'!$I$2:$I$1000="DONE"))&gt;0,"✓",IF(SUMPRODUCT(MAX(('Agences &amp; Après-vente'!$A$2:$A$1000=$A517)*(('Agences &amp; Après-vente'!$D$2:$D$1000="Agences")+('Agences &amp; Après-vente'!$D$2:$D$1000="Agences et Après-vente"))*'Agences &amp; Après-vente'!$E$2:$E$1000))&gt;0,TEXT(SUMPRODUCT(MAX(('Agences &amp; Après-vente'!$A$2:$A$1000=$A517)*(('Agences &amp; Après-vente'!$D$2:$D$1000="Agences")+('Agences &amp; Après-vente'!$D$2:$D$1000="Agences et Après-vente"))*'Agences &amp; Après-vente'!$E$2:$E$1000)),"yyyy-mm-dd"),"")))))</f>
        <v/>
      </c>
      <c r="H517" s="131" t="str">
        <f aca="false">IF($R517="✓","✓",IF(ISNUMBER($R517),TEXT($R517,"yyyy-mm-dd"),IF($A517="","",IF($D517="Lisbonne","",IF(SUMPRODUCT(('Agences &amp; Après-vente'!$A$2:$A$1000=$A517)*(('Agences &amp; Après-vente'!$D$2:$D$1000="Agences")+('Agences &amp; Après-vente'!$D$2:$D$1000="Agences et Après-vente"))*('Agences &amp; Après-vente'!$I$2:$I$1000="DONE"))&gt;0,"✓",IF(SUMPRODUCT(MAX(('Agences &amp; Après-vente'!$A$2:$A$1000=$A517)*(('Agences &amp; Après-vente'!$D$2:$D$1000="Agences")+('Agences &amp; Après-vente'!$D$2:$D$1000="Agences et Après-vente"))*'Agences &amp; Après-vente'!$E$2:$E$1000))&gt;0,TEXT(SUMPRODUCT(MAX(('Agences &amp; Après-vente'!$A$2:$A$1000=$A517)*(('Agences &amp; Après-vente'!$D$2:$D$1000="Agences")+('Agences &amp; Après-vente'!$D$2:$D$1000="Agences et Après-vente"))*'Agences &amp; Après-vente'!$E$2:$E$1000)),"yyyy-mm-dd"),""))))))</f>
        <v/>
      </c>
      <c r="I517" s="131" t="str">
        <f aca="false">IF($S517="✓","✓",IF(ISNUMBER($S517),TEXT($S517,"yyyy-mm-dd"),IF($A517="","",IF(SUMPRODUCT(('Agences &amp; Après-vente'!$A$2:$A$1000=$A517)*(('Agences &amp; Après-vente'!$D$2:$D$1000="Après-vente")+('Agences &amp; Après-vente'!$D$2:$D$1000="Agences et Après-vente"))*('Agences &amp; Après-vente'!$I$2:$I$1000="DONE"))&gt;0,"✓",IF(SUMPRODUCT(MAX(('Agences &amp; Après-vente'!$A$2:$A$1000=$A517)*(('Agences &amp; Après-vente'!$D$2:$D$1000="Après-vente")+('Agences &amp; Après-vente'!$D$2:$D$1000="Agences et Après-vente"))*'Agences &amp; Après-vente'!$E$2:$E$1000))&gt;0,TEXT(SUMPRODUCT(MAX(('Agences &amp; Après-vente'!$A$2:$A$1000=$A517)*(('Agences &amp; Après-vente'!$D$2:$D$1000="Après-vente")+('Agences &amp; Après-vente'!$D$2:$D$1000="Agences et Après-vente"))*'Agences &amp; Après-vente'!$E$2:$E$1000)),"yyyy-mm-dd"),"")))))</f>
        <v/>
      </c>
      <c r="J517" s="131" t="str">
        <f aca="false">IF($T517="✓","✓",IF(ISNUMBER($T517),TEXT($T517,"yyyy-mm-dd"),IF($A517="","",IF($D517="Lisbonne","",IF(SUMPRODUCT(('Agences &amp; Après-vente'!$A$2:$A$1000=$A517)*(('Agences &amp; Après-vente'!$D$2:$D$1000="Après-vente")+('Agences &amp; Après-vente'!$D$2:$D$1000="Agences et Après-vente"))*('Agences &amp; Après-vente'!$I$2:$I$1000="DONE"))&gt;0,"✓",IF(SUMPRODUCT(MAX(('Agences &amp; Après-vente'!$A$2:$A$1000=$A517)*(('Agences &amp; Après-vente'!$D$2:$D$1000="Après-vente")+('Agences &amp; Après-vente'!$D$2:$D$1000="Agences et Après-vente"))*'Agences &amp; Après-vente'!$E$2:$E$1000))&gt;0,TEXT(SUMPRODUCT(MAX(('Agences &amp; Après-vente'!$A$2:$A$1000=$A517)*(('Agences &amp; Après-vente'!$D$2:$D$1000="Après-vente")+('Agences &amp; Après-vente'!$D$2:$D$1000="Agences et Après-vente"))*'Agences &amp; Après-vente'!$E$2:$E$1000)),"yyyy-mm-dd"),""))))))</f>
        <v/>
      </c>
      <c r="K517" s="131" t="str">
        <f aca="false">IF($U517="✓","✓",IF(ISNUMBER($U517),TEXT($U517,"yyyy-mm-dd"),IF($D517="Lisbonne","",IF($A517="","",IF(SUMPRODUCT((Evermont!$A$2:$A$1000=$A517)*(Evermont!$Q$2:$Q$1000="Terminé"))&gt;0,"✓",IF(SUMPRODUCT(MAX((Evermont!$A$2:$A$1000=$A517)*Evermont!$F$2:$F$1000))&gt;0,TEXT(SUMPRODUCT(MAX((Evermont!$A$2:$A$1000=$A517)*Evermont!$F$2:$F$1000)),"yyyy-mm-dd"),""))))))</f>
        <v/>
      </c>
      <c r="L517" s="131" t="str">
        <f aca="false">IF($A517="","",COUNTIF(E517:K517,"✓"))</f>
        <v/>
      </c>
      <c r="M517" s="131" t="str">
        <f aca="false">IF(B517="","","Active")</f>
        <v/>
      </c>
      <c r="W517" s="120" t="str">
        <f aca="false">IF($A517="","",IF($X517&lt;&gt;"",$X517,IFERROR(INDEX('Formation Initiale'!$B$2:$B$999,MATCH($A517,'Formation Initiale'!$A$2:$A$999,0)),"Général")))</f>
        <v/>
      </c>
    </row>
    <row r="518" customFormat="false" ht="15" hidden="true" customHeight="true" outlineLevel="0" collapsed="false">
      <c r="A518" s="142" t="str">
        <f aca="false">IF(B518="","","TR"&amp;TEXT(ROW()-1,"000"))</f>
        <v/>
      </c>
      <c r="E518" s="130" t="str">
        <f aca="false">IF($O518="✓","✓",IF(ISNUMBER($O518),TEXT($O518,"yyyy-mm-dd"),IF($A518="","",IF(SUMPRODUCT(('Formation Initiale'!$A$2:$A$999=$A518)*('Formation Initiale'!$R$2:$R$999="Terminé"))&gt;0,"✓",IF(SUMPRODUCT(MAX(('Formation Initiale'!$A$2:$A$999=$A518)*'Formation Initiale'!$G$2:$G$999))&gt;0,TEXT(SUMPRODUCT(MAX(('Formation Initiale'!$A$2:$A$999=$A518)*'Formation Initiale'!$G$2:$G$999)),"yyyy-mm-dd"),"")))))</f>
        <v/>
      </c>
      <c r="F518" s="131" t="str">
        <f aca="false">IF($P518="✓","✓",IF(ISNUMBER($P518),TEXT($P518,"yyyy-mm-dd"),IF($A518="","",IF($D518="Lisbonne","",IF(SUMPRODUCT(('Formation Initiale'!$A$2:$A$999=$A518)*('Formation Initiale'!$R$2:$R$999="Terminé"))&gt;0,"✓",IF(SUMPRODUCT(MAX(('Formation Initiale'!$A$2:$A$999=$A518)*'Formation Initiale'!$G$2:$G$999))&gt;0,TEXT(SUMPRODUCT(MAX(('Formation Initiale'!$A$2:$A$999=$A518)*'Formation Initiale'!$G$2:$G$999)),"yyyy-mm-dd"),""))))))</f>
        <v/>
      </c>
      <c r="G518" s="131" t="str">
        <f aca="false">IF($Q518="✓","✓",IF(ISNUMBER($Q518),TEXT($Q518,"yyyy-mm-dd"),IF($A518="","",IF(SUMPRODUCT(('Agences &amp; Après-vente'!$A$2:$A$1000=$A518)*(('Agences &amp; Après-vente'!$D$2:$D$1000="Agences")+('Agences &amp; Après-vente'!$D$2:$D$1000="Agences et Après-vente"))*('Agences &amp; Après-vente'!$I$2:$I$1000="DONE"))&gt;0,"✓",IF(SUMPRODUCT(MAX(('Agences &amp; Après-vente'!$A$2:$A$1000=$A518)*(('Agences &amp; Après-vente'!$D$2:$D$1000="Agences")+('Agences &amp; Après-vente'!$D$2:$D$1000="Agences et Après-vente"))*'Agences &amp; Après-vente'!$E$2:$E$1000))&gt;0,TEXT(SUMPRODUCT(MAX(('Agences &amp; Après-vente'!$A$2:$A$1000=$A518)*(('Agences &amp; Après-vente'!$D$2:$D$1000="Agences")+('Agences &amp; Après-vente'!$D$2:$D$1000="Agences et Après-vente"))*'Agences &amp; Après-vente'!$E$2:$E$1000)),"yyyy-mm-dd"),"")))))</f>
        <v/>
      </c>
      <c r="H518" s="131" t="str">
        <f aca="false">IF($R518="✓","✓",IF(ISNUMBER($R518),TEXT($R518,"yyyy-mm-dd"),IF($A518="","",IF($D518="Lisbonne","",IF(SUMPRODUCT(('Agences &amp; Après-vente'!$A$2:$A$1000=$A518)*(('Agences &amp; Après-vente'!$D$2:$D$1000="Agences")+('Agences &amp; Après-vente'!$D$2:$D$1000="Agences et Après-vente"))*('Agences &amp; Après-vente'!$I$2:$I$1000="DONE"))&gt;0,"✓",IF(SUMPRODUCT(MAX(('Agences &amp; Après-vente'!$A$2:$A$1000=$A518)*(('Agences &amp; Après-vente'!$D$2:$D$1000="Agences")+('Agences &amp; Après-vente'!$D$2:$D$1000="Agences et Après-vente"))*'Agences &amp; Après-vente'!$E$2:$E$1000))&gt;0,TEXT(SUMPRODUCT(MAX(('Agences &amp; Après-vente'!$A$2:$A$1000=$A518)*(('Agences &amp; Après-vente'!$D$2:$D$1000="Agences")+('Agences &amp; Après-vente'!$D$2:$D$1000="Agences et Après-vente"))*'Agences &amp; Après-vente'!$E$2:$E$1000)),"yyyy-mm-dd"),""))))))</f>
        <v/>
      </c>
      <c r="I518" s="131" t="str">
        <f aca="false">IF($S518="✓","✓",IF(ISNUMBER($S518),TEXT($S518,"yyyy-mm-dd"),IF($A518="","",IF(SUMPRODUCT(('Agences &amp; Après-vente'!$A$2:$A$1000=$A518)*(('Agences &amp; Après-vente'!$D$2:$D$1000="Après-vente")+('Agences &amp; Après-vente'!$D$2:$D$1000="Agences et Après-vente"))*('Agences &amp; Après-vente'!$I$2:$I$1000="DONE"))&gt;0,"✓",IF(SUMPRODUCT(MAX(('Agences &amp; Après-vente'!$A$2:$A$1000=$A518)*(('Agences &amp; Après-vente'!$D$2:$D$1000="Après-vente")+('Agences &amp; Après-vente'!$D$2:$D$1000="Agences et Après-vente"))*'Agences &amp; Après-vente'!$E$2:$E$1000))&gt;0,TEXT(SUMPRODUCT(MAX(('Agences &amp; Après-vente'!$A$2:$A$1000=$A518)*(('Agences &amp; Après-vente'!$D$2:$D$1000="Après-vente")+('Agences &amp; Après-vente'!$D$2:$D$1000="Agences et Après-vente"))*'Agences &amp; Après-vente'!$E$2:$E$1000)),"yyyy-mm-dd"),"")))))</f>
        <v/>
      </c>
      <c r="J518" s="131" t="str">
        <f aca="false">IF($T518="✓","✓",IF(ISNUMBER($T518),TEXT($T518,"yyyy-mm-dd"),IF($A518="","",IF($D518="Lisbonne","",IF(SUMPRODUCT(('Agences &amp; Après-vente'!$A$2:$A$1000=$A518)*(('Agences &amp; Après-vente'!$D$2:$D$1000="Après-vente")+('Agences &amp; Après-vente'!$D$2:$D$1000="Agences et Après-vente"))*('Agences &amp; Après-vente'!$I$2:$I$1000="DONE"))&gt;0,"✓",IF(SUMPRODUCT(MAX(('Agences &amp; Après-vente'!$A$2:$A$1000=$A518)*(('Agences &amp; Après-vente'!$D$2:$D$1000="Après-vente")+('Agences &amp; Après-vente'!$D$2:$D$1000="Agences et Après-vente"))*'Agences &amp; Après-vente'!$E$2:$E$1000))&gt;0,TEXT(SUMPRODUCT(MAX(('Agences &amp; Après-vente'!$A$2:$A$1000=$A518)*(('Agences &amp; Après-vente'!$D$2:$D$1000="Après-vente")+('Agences &amp; Après-vente'!$D$2:$D$1000="Agences et Après-vente"))*'Agences &amp; Après-vente'!$E$2:$E$1000)),"yyyy-mm-dd"),""))))))</f>
        <v/>
      </c>
      <c r="K518" s="131" t="str">
        <f aca="false">IF($U518="✓","✓",IF(ISNUMBER($U518),TEXT($U518,"yyyy-mm-dd"),IF($D518="Lisbonne","",IF($A518="","",IF(SUMPRODUCT((Evermont!$A$2:$A$1000=$A518)*(Evermont!$Q$2:$Q$1000="Terminé"))&gt;0,"✓",IF(SUMPRODUCT(MAX((Evermont!$A$2:$A$1000=$A518)*Evermont!$F$2:$F$1000))&gt;0,TEXT(SUMPRODUCT(MAX((Evermont!$A$2:$A$1000=$A518)*Evermont!$F$2:$F$1000)),"yyyy-mm-dd"),""))))))</f>
        <v/>
      </c>
      <c r="L518" s="131" t="str">
        <f aca="false">IF($A518="","",COUNTIF(E518:K518,"✓"))</f>
        <v/>
      </c>
      <c r="M518" s="131" t="str">
        <f aca="false">IF(B518="","","Active")</f>
        <v/>
      </c>
      <c r="W518" s="120" t="str">
        <f aca="false">IF($A518="","",IF($X518&lt;&gt;"",$X518,IFERROR(INDEX('Formation Initiale'!$B$2:$B$999,MATCH($A518,'Formation Initiale'!$A$2:$A$999,0)),"Général")))</f>
        <v/>
      </c>
    </row>
    <row r="519" customFormat="false" ht="15" hidden="true" customHeight="true" outlineLevel="0" collapsed="false">
      <c r="A519" s="142" t="str">
        <f aca="false">IF(B519="","","TR"&amp;TEXT(ROW()-1,"000"))</f>
        <v/>
      </c>
      <c r="E519" s="130" t="str">
        <f aca="false">IF($O519="✓","✓",IF(ISNUMBER($O519),TEXT($O519,"yyyy-mm-dd"),IF($A519="","",IF(SUMPRODUCT(('Formation Initiale'!$A$2:$A$999=$A519)*('Formation Initiale'!$R$2:$R$999="Terminé"))&gt;0,"✓",IF(SUMPRODUCT(MAX(('Formation Initiale'!$A$2:$A$999=$A519)*'Formation Initiale'!$G$2:$G$999))&gt;0,TEXT(SUMPRODUCT(MAX(('Formation Initiale'!$A$2:$A$999=$A519)*'Formation Initiale'!$G$2:$G$999)),"yyyy-mm-dd"),"")))))</f>
        <v/>
      </c>
      <c r="F519" s="131" t="str">
        <f aca="false">IF($P519="✓","✓",IF(ISNUMBER($P519),TEXT($P519,"yyyy-mm-dd"),IF($A519="","",IF($D519="Lisbonne","",IF(SUMPRODUCT(('Formation Initiale'!$A$2:$A$999=$A519)*('Formation Initiale'!$R$2:$R$999="Terminé"))&gt;0,"✓",IF(SUMPRODUCT(MAX(('Formation Initiale'!$A$2:$A$999=$A519)*'Formation Initiale'!$G$2:$G$999))&gt;0,TEXT(SUMPRODUCT(MAX(('Formation Initiale'!$A$2:$A$999=$A519)*'Formation Initiale'!$G$2:$G$999)),"yyyy-mm-dd"),""))))))</f>
        <v/>
      </c>
      <c r="G519" s="131" t="str">
        <f aca="false">IF($Q519="✓","✓",IF(ISNUMBER($Q519),TEXT($Q519,"yyyy-mm-dd"),IF($A519="","",IF(SUMPRODUCT(('Agences &amp; Après-vente'!$A$2:$A$1000=$A519)*(('Agences &amp; Après-vente'!$D$2:$D$1000="Agences")+('Agences &amp; Après-vente'!$D$2:$D$1000="Agences et Après-vente"))*('Agences &amp; Après-vente'!$I$2:$I$1000="DONE"))&gt;0,"✓",IF(SUMPRODUCT(MAX(('Agences &amp; Après-vente'!$A$2:$A$1000=$A519)*(('Agences &amp; Après-vente'!$D$2:$D$1000="Agences")+('Agences &amp; Après-vente'!$D$2:$D$1000="Agences et Après-vente"))*'Agences &amp; Après-vente'!$E$2:$E$1000))&gt;0,TEXT(SUMPRODUCT(MAX(('Agences &amp; Après-vente'!$A$2:$A$1000=$A519)*(('Agences &amp; Après-vente'!$D$2:$D$1000="Agences")+('Agences &amp; Après-vente'!$D$2:$D$1000="Agences et Après-vente"))*'Agences &amp; Après-vente'!$E$2:$E$1000)),"yyyy-mm-dd"),"")))))</f>
        <v/>
      </c>
      <c r="H519" s="131" t="str">
        <f aca="false">IF($R519="✓","✓",IF(ISNUMBER($R519),TEXT($R519,"yyyy-mm-dd"),IF($A519="","",IF($D519="Lisbonne","",IF(SUMPRODUCT(('Agences &amp; Après-vente'!$A$2:$A$1000=$A519)*(('Agences &amp; Après-vente'!$D$2:$D$1000="Agences")+('Agences &amp; Après-vente'!$D$2:$D$1000="Agences et Après-vente"))*('Agences &amp; Après-vente'!$I$2:$I$1000="DONE"))&gt;0,"✓",IF(SUMPRODUCT(MAX(('Agences &amp; Après-vente'!$A$2:$A$1000=$A519)*(('Agences &amp; Après-vente'!$D$2:$D$1000="Agences")+('Agences &amp; Après-vente'!$D$2:$D$1000="Agences et Après-vente"))*'Agences &amp; Après-vente'!$E$2:$E$1000))&gt;0,TEXT(SUMPRODUCT(MAX(('Agences &amp; Après-vente'!$A$2:$A$1000=$A519)*(('Agences &amp; Après-vente'!$D$2:$D$1000="Agences")+('Agences &amp; Après-vente'!$D$2:$D$1000="Agences et Après-vente"))*'Agences &amp; Après-vente'!$E$2:$E$1000)),"yyyy-mm-dd"),""))))))</f>
        <v/>
      </c>
      <c r="I519" s="131" t="str">
        <f aca="false">IF($S519="✓","✓",IF(ISNUMBER($S519),TEXT($S519,"yyyy-mm-dd"),IF($A519="","",IF(SUMPRODUCT(('Agences &amp; Après-vente'!$A$2:$A$1000=$A519)*(('Agences &amp; Après-vente'!$D$2:$D$1000="Après-vente")+('Agences &amp; Après-vente'!$D$2:$D$1000="Agences et Après-vente"))*('Agences &amp; Après-vente'!$I$2:$I$1000="DONE"))&gt;0,"✓",IF(SUMPRODUCT(MAX(('Agences &amp; Après-vente'!$A$2:$A$1000=$A519)*(('Agences &amp; Après-vente'!$D$2:$D$1000="Après-vente")+('Agences &amp; Après-vente'!$D$2:$D$1000="Agences et Après-vente"))*'Agences &amp; Après-vente'!$E$2:$E$1000))&gt;0,TEXT(SUMPRODUCT(MAX(('Agences &amp; Après-vente'!$A$2:$A$1000=$A519)*(('Agences &amp; Après-vente'!$D$2:$D$1000="Après-vente")+('Agences &amp; Après-vente'!$D$2:$D$1000="Agences et Après-vente"))*'Agences &amp; Après-vente'!$E$2:$E$1000)),"yyyy-mm-dd"),"")))))</f>
        <v/>
      </c>
      <c r="J519" s="131" t="str">
        <f aca="false">IF($T519="✓","✓",IF(ISNUMBER($T519),TEXT($T519,"yyyy-mm-dd"),IF($A519="","",IF($D519="Lisbonne","",IF(SUMPRODUCT(('Agences &amp; Après-vente'!$A$2:$A$1000=$A519)*(('Agences &amp; Après-vente'!$D$2:$D$1000="Après-vente")+('Agences &amp; Après-vente'!$D$2:$D$1000="Agences et Après-vente"))*('Agences &amp; Après-vente'!$I$2:$I$1000="DONE"))&gt;0,"✓",IF(SUMPRODUCT(MAX(('Agences &amp; Après-vente'!$A$2:$A$1000=$A519)*(('Agences &amp; Après-vente'!$D$2:$D$1000="Après-vente")+('Agences &amp; Après-vente'!$D$2:$D$1000="Agences et Après-vente"))*'Agences &amp; Après-vente'!$E$2:$E$1000))&gt;0,TEXT(SUMPRODUCT(MAX(('Agences &amp; Après-vente'!$A$2:$A$1000=$A519)*(('Agences &amp; Après-vente'!$D$2:$D$1000="Après-vente")+('Agences &amp; Après-vente'!$D$2:$D$1000="Agences et Après-vente"))*'Agences &amp; Après-vente'!$E$2:$E$1000)),"yyyy-mm-dd"),""))))))</f>
        <v/>
      </c>
      <c r="K519" s="131" t="str">
        <f aca="false">IF($U519="✓","✓",IF(ISNUMBER($U519),TEXT($U519,"yyyy-mm-dd"),IF($D519="Lisbonne","",IF($A519="","",IF(SUMPRODUCT((Evermont!$A$2:$A$1000=$A519)*(Evermont!$Q$2:$Q$1000="Terminé"))&gt;0,"✓",IF(SUMPRODUCT(MAX((Evermont!$A$2:$A$1000=$A519)*Evermont!$F$2:$F$1000))&gt;0,TEXT(SUMPRODUCT(MAX((Evermont!$A$2:$A$1000=$A519)*Evermont!$F$2:$F$1000)),"yyyy-mm-dd"),""))))))</f>
        <v/>
      </c>
      <c r="L519" s="131" t="str">
        <f aca="false">IF($A519="","",COUNTIF(E519:K519,"✓"))</f>
        <v/>
      </c>
      <c r="M519" s="131" t="str">
        <f aca="false">IF(B519="","","Active")</f>
        <v/>
      </c>
      <c r="W519" s="120" t="str">
        <f aca="false">IF($A519="","",IF($X519&lt;&gt;"",$X519,IFERROR(INDEX('Formation Initiale'!$B$2:$B$999,MATCH($A519,'Formation Initiale'!$A$2:$A$999,0)),"Général")))</f>
        <v/>
      </c>
    </row>
    <row r="520" customFormat="false" ht="15" hidden="true" customHeight="true" outlineLevel="0" collapsed="false">
      <c r="A520" s="142" t="str">
        <f aca="false">IF(B520="","","TR"&amp;TEXT(ROW()-1,"000"))</f>
        <v/>
      </c>
      <c r="E520" s="130" t="str">
        <f aca="false">IF($O520="✓","✓",IF(ISNUMBER($O520),TEXT($O520,"yyyy-mm-dd"),IF($A520="","",IF(SUMPRODUCT(('Formation Initiale'!$A$2:$A$999=$A520)*('Formation Initiale'!$R$2:$R$999="Terminé"))&gt;0,"✓",IF(SUMPRODUCT(MAX(('Formation Initiale'!$A$2:$A$999=$A520)*'Formation Initiale'!$G$2:$G$999))&gt;0,TEXT(SUMPRODUCT(MAX(('Formation Initiale'!$A$2:$A$999=$A520)*'Formation Initiale'!$G$2:$G$999)),"yyyy-mm-dd"),"")))))</f>
        <v/>
      </c>
      <c r="F520" s="131" t="str">
        <f aca="false">IF($P520="✓","✓",IF(ISNUMBER($P520),TEXT($P520,"yyyy-mm-dd"),IF($A520="","",IF($D520="Lisbonne","",IF(SUMPRODUCT(('Formation Initiale'!$A$2:$A$999=$A520)*('Formation Initiale'!$R$2:$R$999="Terminé"))&gt;0,"✓",IF(SUMPRODUCT(MAX(('Formation Initiale'!$A$2:$A$999=$A520)*'Formation Initiale'!$G$2:$G$999))&gt;0,TEXT(SUMPRODUCT(MAX(('Formation Initiale'!$A$2:$A$999=$A520)*'Formation Initiale'!$G$2:$G$999)),"yyyy-mm-dd"),""))))))</f>
        <v/>
      </c>
      <c r="G520" s="131" t="str">
        <f aca="false">IF($Q520="✓","✓",IF(ISNUMBER($Q520),TEXT($Q520,"yyyy-mm-dd"),IF($A520="","",IF(SUMPRODUCT(('Agences &amp; Après-vente'!$A$2:$A$1000=$A520)*(('Agences &amp; Après-vente'!$D$2:$D$1000="Agences")+('Agences &amp; Après-vente'!$D$2:$D$1000="Agences et Après-vente"))*('Agences &amp; Après-vente'!$I$2:$I$1000="DONE"))&gt;0,"✓",IF(SUMPRODUCT(MAX(('Agences &amp; Après-vente'!$A$2:$A$1000=$A520)*(('Agences &amp; Après-vente'!$D$2:$D$1000="Agences")+('Agences &amp; Après-vente'!$D$2:$D$1000="Agences et Après-vente"))*'Agences &amp; Après-vente'!$E$2:$E$1000))&gt;0,TEXT(SUMPRODUCT(MAX(('Agences &amp; Après-vente'!$A$2:$A$1000=$A520)*(('Agences &amp; Après-vente'!$D$2:$D$1000="Agences")+('Agences &amp; Après-vente'!$D$2:$D$1000="Agences et Après-vente"))*'Agences &amp; Après-vente'!$E$2:$E$1000)),"yyyy-mm-dd"),"")))))</f>
        <v/>
      </c>
      <c r="H520" s="131" t="str">
        <f aca="false">IF($R520="✓","✓",IF(ISNUMBER($R520),TEXT($R520,"yyyy-mm-dd"),IF($A520="","",IF($D520="Lisbonne","",IF(SUMPRODUCT(('Agences &amp; Après-vente'!$A$2:$A$1000=$A520)*(('Agences &amp; Après-vente'!$D$2:$D$1000="Agences")+('Agences &amp; Après-vente'!$D$2:$D$1000="Agences et Après-vente"))*('Agences &amp; Après-vente'!$I$2:$I$1000="DONE"))&gt;0,"✓",IF(SUMPRODUCT(MAX(('Agences &amp; Après-vente'!$A$2:$A$1000=$A520)*(('Agences &amp; Après-vente'!$D$2:$D$1000="Agences")+('Agences &amp; Après-vente'!$D$2:$D$1000="Agences et Après-vente"))*'Agences &amp; Après-vente'!$E$2:$E$1000))&gt;0,TEXT(SUMPRODUCT(MAX(('Agences &amp; Après-vente'!$A$2:$A$1000=$A520)*(('Agences &amp; Après-vente'!$D$2:$D$1000="Agences")+('Agences &amp; Après-vente'!$D$2:$D$1000="Agences et Après-vente"))*'Agences &amp; Après-vente'!$E$2:$E$1000)),"yyyy-mm-dd"),""))))))</f>
        <v/>
      </c>
      <c r="I520" s="131" t="str">
        <f aca="false">IF($S520="✓","✓",IF(ISNUMBER($S520),TEXT($S520,"yyyy-mm-dd"),IF($A520="","",IF(SUMPRODUCT(('Agences &amp; Après-vente'!$A$2:$A$1000=$A520)*(('Agences &amp; Après-vente'!$D$2:$D$1000="Après-vente")+('Agences &amp; Après-vente'!$D$2:$D$1000="Agences et Après-vente"))*('Agences &amp; Après-vente'!$I$2:$I$1000="DONE"))&gt;0,"✓",IF(SUMPRODUCT(MAX(('Agences &amp; Après-vente'!$A$2:$A$1000=$A520)*(('Agences &amp; Après-vente'!$D$2:$D$1000="Après-vente")+('Agences &amp; Après-vente'!$D$2:$D$1000="Agences et Après-vente"))*'Agences &amp; Après-vente'!$E$2:$E$1000))&gt;0,TEXT(SUMPRODUCT(MAX(('Agences &amp; Après-vente'!$A$2:$A$1000=$A520)*(('Agences &amp; Après-vente'!$D$2:$D$1000="Après-vente")+('Agences &amp; Après-vente'!$D$2:$D$1000="Agences et Après-vente"))*'Agences &amp; Après-vente'!$E$2:$E$1000)),"yyyy-mm-dd"),"")))))</f>
        <v/>
      </c>
      <c r="J520" s="131" t="str">
        <f aca="false">IF($T520="✓","✓",IF(ISNUMBER($T520),TEXT($T520,"yyyy-mm-dd"),IF($A520="","",IF($D520="Lisbonne","",IF(SUMPRODUCT(('Agences &amp; Après-vente'!$A$2:$A$1000=$A520)*(('Agences &amp; Après-vente'!$D$2:$D$1000="Après-vente")+('Agences &amp; Après-vente'!$D$2:$D$1000="Agences et Après-vente"))*('Agences &amp; Après-vente'!$I$2:$I$1000="DONE"))&gt;0,"✓",IF(SUMPRODUCT(MAX(('Agences &amp; Après-vente'!$A$2:$A$1000=$A520)*(('Agences &amp; Après-vente'!$D$2:$D$1000="Après-vente")+('Agences &amp; Après-vente'!$D$2:$D$1000="Agences et Après-vente"))*'Agences &amp; Après-vente'!$E$2:$E$1000))&gt;0,TEXT(SUMPRODUCT(MAX(('Agences &amp; Après-vente'!$A$2:$A$1000=$A520)*(('Agences &amp; Après-vente'!$D$2:$D$1000="Après-vente")+('Agences &amp; Après-vente'!$D$2:$D$1000="Agences et Après-vente"))*'Agences &amp; Après-vente'!$E$2:$E$1000)),"yyyy-mm-dd"),""))))))</f>
        <v/>
      </c>
      <c r="K520" s="131" t="str">
        <f aca="false">IF($U520="✓","✓",IF(ISNUMBER($U520),TEXT($U520,"yyyy-mm-dd"),IF($D520="Lisbonne","",IF($A520="","",IF(SUMPRODUCT((Evermont!$A$2:$A$1000=$A520)*(Evermont!$Q$2:$Q$1000="Terminé"))&gt;0,"✓",IF(SUMPRODUCT(MAX((Evermont!$A$2:$A$1000=$A520)*Evermont!$F$2:$F$1000))&gt;0,TEXT(SUMPRODUCT(MAX((Evermont!$A$2:$A$1000=$A520)*Evermont!$F$2:$F$1000)),"yyyy-mm-dd"),""))))))</f>
        <v/>
      </c>
      <c r="L520" s="131" t="str">
        <f aca="false">IF($A520="","",COUNTIF(E520:K520,"✓"))</f>
        <v/>
      </c>
      <c r="M520" s="131" t="str">
        <f aca="false">IF(B520="","","Active")</f>
        <v/>
      </c>
      <c r="W520" s="120" t="str">
        <f aca="false">IF($A520="","",IF($X520&lt;&gt;"",$X520,IFERROR(INDEX('Formation Initiale'!$B$2:$B$999,MATCH($A520,'Formation Initiale'!$A$2:$A$999,0)),"Général")))</f>
        <v/>
      </c>
    </row>
    <row r="521" customFormat="false" ht="15" hidden="true" customHeight="true" outlineLevel="0" collapsed="false">
      <c r="A521" s="142" t="str">
        <f aca="false">IF(B521="","","TR"&amp;TEXT(ROW()-1,"000"))</f>
        <v/>
      </c>
      <c r="E521" s="130" t="str">
        <f aca="false">IF($O521="✓","✓",IF(ISNUMBER($O521),TEXT($O521,"yyyy-mm-dd"),IF($A521="","",IF(SUMPRODUCT(('Formation Initiale'!$A$2:$A$999=$A521)*('Formation Initiale'!$R$2:$R$999="Terminé"))&gt;0,"✓",IF(SUMPRODUCT(MAX(('Formation Initiale'!$A$2:$A$999=$A521)*'Formation Initiale'!$G$2:$G$999))&gt;0,TEXT(SUMPRODUCT(MAX(('Formation Initiale'!$A$2:$A$999=$A521)*'Formation Initiale'!$G$2:$G$999)),"yyyy-mm-dd"),"")))))</f>
        <v/>
      </c>
      <c r="F521" s="131" t="str">
        <f aca="false">IF($P521="✓","✓",IF(ISNUMBER($P521),TEXT($P521,"yyyy-mm-dd"),IF($A521="","",IF($D521="Lisbonne","",IF(SUMPRODUCT(('Formation Initiale'!$A$2:$A$999=$A521)*('Formation Initiale'!$R$2:$R$999="Terminé"))&gt;0,"✓",IF(SUMPRODUCT(MAX(('Formation Initiale'!$A$2:$A$999=$A521)*'Formation Initiale'!$G$2:$G$999))&gt;0,TEXT(SUMPRODUCT(MAX(('Formation Initiale'!$A$2:$A$999=$A521)*'Formation Initiale'!$G$2:$G$999)),"yyyy-mm-dd"),""))))))</f>
        <v/>
      </c>
      <c r="G521" s="131" t="str">
        <f aca="false">IF($Q521="✓","✓",IF(ISNUMBER($Q521),TEXT($Q521,"yyyy-mm-dd"),IF($A521="","",IF(SUMPRODUCT(('Agences &amp; Après-vente'!$A$2:$A$1000=$A521)*(('Agences &amp; Après-vente'!$D$2:$D$1000="Agences")+('Agences &amp; Après-vente'!$D$2:$D$1000="Agences et Après-vente"))*('Agences &amp; Après-vente'!$I$2:$I$1000="DONE"))&gt;0,"✓",IF(SUMPRODUCT(MAX(('Agences &amp; Après-vente'!$A$2:$A$1000=$A521)*(('Agences &amp; Après-vente'!$D$2:$D$1000="Agences")+('Agences &amp; Après-vente'!$D$2:$D$1000="Agences et Après-vente"))*'Agences &amp; Après-vente'!$E$2:$E$1000))&gt;0,TEXT(SUMPRODUCT(MAX(('Agences &amp; Après-vente'!$A$2:$A$1000=$A521)*(('Agences &amp; Après-vente'!$D$2:$D$1000="Agences")+('Agences &amp; Après-vente'!$D$2:$D$1000="Agences et Après-vente"))*'Agences &amp; Après-vente'!$E$2:$E$1000)),"yyyy-mm-dd"),"")))))</f>
        <v/>
      </c>
      <c r="H521" s="131" t="str">
        <f aca="false">IF($R521="✓","✓",IF(ISNUMBER($R521),TEXT($R521,"yyyy-mm-dd"),IF($A521="","",IF($D521="Lisbonne","",IF(SUMPRODUCT(('Agences &amp; Après-vente'!$A$2:$A$1000=$A521)*(('Agences &amp; Après-vente'!$D$2:$D$1000="Agences")+('Agences &amp; Après-vente'!$D$2:$D$1000="Agences et Après-vente"))*('Agences &amp; Après-vente'!$I$2:$I$1000="DONE"))&gt;0,"✓",IF(SUMPRODUCT(MAX(('Agences &amp; Après-vente'!$A$2:$A$1000=$A521)*(('Agences &amp; Après-vente'!$D$2:$D$1000="Agences")+('Agences &amp; Après-vente'!$D$2:$D$1000="Agences et Après-vente"))*'Agences &amp; Après-vente'!$E$2:$E$1000))&gt;0,TEXT(SUMPRODUCT(MAX(('Agences &amp; Après-vente'!$A$2:$A$1000=$A521)*(('Agences &amp; Après-vente'!$D$2:$D$1000="Agences")+('Agences &amp; Après-vente'!$D$2:$D$1000="Agences et Après-vente"))*'Agences &amp; Après-vente'!$E$2:$E$1000)),"yyyy-mm-dd"),""))))))</f>
        <v/>
      </c>
      <c r="I521" s="131" t="str">
        <f aca="false">IF($S521="✓","✓",IF(ISNUMBER($S521),TEXT($S521,"yyyy-mm-dd"),IF($A521="","",IF(SUMPRODUCT(('Agences &amp; Après-vente'!$A$2:$A$1000=$A521)*(('Agences &amp; Après-vente'!$D$2:$D$1000="Après-vente")+('Agences &amp; Après-vente'!$D$2:$D$1000="Agences et Après-vente"))*('Agences &amp; Après-vente'!$I$2:$I$1000="DONE"))&gt;0,"✓",IF(SUMPRODUCT(MAX(('Agences &amp; Après-vente'!$A$2:$A$1000=$A521)*(('Agences &amp; Après-vente'!$D$2:$D$1000="Après-vente")+('Agences &amp; Après-vente'!$D$2:$D$1000="Agences et Après-vente"))*'Agences &amp; Après-vente'!$E$2:$E$1000))&gt;0,TEXT(SUMPRODUCT(MAX(('Agences &amp; Après-vente'!$A$2:$A$1000=$A521)*(('Agences &amp; Après-vente'!$D$2:$D$1000="Après-vente")+('Agences &amp; Après-vente'!$D$2:$D$1000="Agences et Après-vente"))*'Agences &amp; Après-vente'!$E$2:$E$1000)),"yyyy-mm-dd"),"")))))</f>
        <v/>
      </c>
      <c r="J521" s="131" t="str">
        <f aca="false">IF($T521="✓","✓",IF(ISNUMBER($T521),TEXT($T521,"yyyy-mm-dd"),IF($A521="","",IF($D521="Lisbonne","",IF(SUMPRODUCT(('Agences &amp; Après-vente'!$A$2:$A$1000=$A521)*(('Agences &amp; Après-vente'!$D$2:$D$1000="Après-vente")+('Agences &amp; Après-vente'!$D$2:$D$1000="Agences et Après-vente"))*('Agences &amp; Après-vente'!$I$2:$I$1000="DONE"))&gt;0,"✓",IF(SUMPRODUCT(MAX(('Agences &amp; Après-vente'!$A$2:$A$1000=$A521)*(('Agences &amp; Après-vente'!$D$2:$D$1000="Après-vente")+('Agences &amp; Après-vente'!$D$2:$D$1000="Agences et Après-vente"))*'Agences &amp; Après-vente'!$E$2:$E$1000))&gt;0,TEXT(SUMPRODUCT(MAX(('Agences &amp; Après-vente'!$A$2:$A$1000=$A521)*(('Agences &amp; Après-vente'!$D$2:$D$1000="Après-vente")+('Agences &amp; Après-vente'!$D$2:$D$1000="Agences et Après-vente"))*'Agences &amp; Après-vente'!$E$2:$E$1000)),"yyyy-mm-dd"),""))))))</f>
        <v/>
      </c>
      <c r="K521" s="131" t="str">
        <f aca="false">IF($U521="✓","✓",IF(ISNUMBER($U521),TEXT($U521,"yyyy-mm-dd"),IF($D521="Lisbonne","",IF($A521="","",IF(SUMPRODUCT((Evermont!$A$2:$A$1000=$A521)*(Evermont!$Q$2:$Q$1000="Terminé"))&gt;0,"✓",IF(SUMPRODUCT(MAX((Evermont!$A$2:$A$1000=$A521)*Evermont!$F$2:$F$1000))&gt;0,TEXT(SUMPRODUCT(MAX((Evermont!$A$2:$A$1000=$A521)*Evermont!$F$2:$F$1000)),"yyyy-mm-dd"),""))))))</f>
        <v/>
      </c>
      <c r="L521" s="131" t="str">
        <f aca="false">IF($A521="","",COUNTIF(E521:K521,"✓"))</f>
        <v/>
      </c>
      <c r="M521" s="131" t="str">
        <f aca="false">IF(B521="","","Active")</f>
        <v/>
      </c>
      <c r="W521" s="120" t="str">
        <f aca="false">IF($A521="","",IF($X521&lt;&gt;"",$X521,IFERROR(INDEX('Formation Initiale'!$B$2:$B$999,MATCH($A521,'Formation Initiale'!$A$2:$A$999,0)),"Général")))</f>
        <v/>
      </c>
    </row>
    <row r="522" customFormat="false" ht="15" hidden="true" customHeight="true" outlineLevel="0" collapsed="false">
      <c r="A522" s="142" t="str">
        <f aca="false">IF(B522="","","TR"&amp;TEXT(ROW()-1,"000"))</f>
        <v/>
      </c>
      <c r="E522" s="130" t="str">
        <f aca="false">IF($O522="✓","✓",IF(ISNUMBER($O522),TEXT($O522,"yyyy-mm-dd"),IF($A522="","",IF(SUMPRODUCT(('Formation Initiale'!$A$2:$A$999=$A522)*('Formation Initiale'!$R$2:$R$999="Terminé"))&gt;0,"✓",IF(SUMPRODUCT(MAX(('Formation Initiale'!$A$2:$A$999=$A522)*'Formation Initiale'!$G$2:$G$999))&gt;0,TEXT(SUMPRODUCT(MAX(('Formation Initiale'!$A$2:$A$999=$A522)*'Formation Initiale'!$G$2:$G$999)),"yyyy-mm-dd"),"")))))</f>
        <v/>
      </c>
      <c r="F522" s="131" t="str">
        <f aca="false">IF($P522="✓","✓",IF(ISNUMBER($P522),TEXT($P522,"yyyy-mm-dd"),IF($A522="","",IF($D522="Lisbonne","",IF(SUMPRODUCT(('Formation Initiale'!$A$2:$A$999=$A522)*('Formation Initiale'!$R$2:$R$999="Terminé"))&gt;0,"✓",IF(SUMPRODUCT(MAX(('Formation Initiale'!$A$2:$A$999=$A522)*'Formation Initiale'!$G$2:$G$999))&gt;0,TEXT(SUMPRODUCT(MAX(('Formation Initiale'!$A$2:$A$999=$A522)*'Formation Initiale'!$G$2:$G$999)),"yyyy-mm-dd"),""))))))</f>
        <v/>
      </c>
      <c r="G522" s="131" t="str">
        <f aca="false">IF($Q522="✓","✓",IF(ISNUMBER($Q522),TEXT($Q522,"yyyy-mm-dd"),IF($A522="","",IF(SUMPRODUCT(('Agences &amp; Après-vente'!$A$2:$A$1000=$A522)*(('Agences &amp; Après-vente'!$D$2:$D$1000="Agences")+('Agences &amp; Après-vente'!$D$2:$D$1000="Agences et Après-vente"))*('Agences &amp; Après-vente'!$I$2:$I$1000="DONE"))&gt;0,"✓",IF(SUMPRODUCT(MAX(('Agences &amp; Après-vente'!$A$2:$A$1000=$A522)*(('Agences &amp; Après-vente'!$D$2:$D$1000="Agences")+('Agences &amp; Après-vente'!$D$2:$D$1000="Agences et Après-vente"))*'Agences &amp; Après-vente'!$E$2:$E$1000))&gt;0,TEXT(SUMPRODUCT(MAX(('Agences &amp; Après-vente'!$A$2:$A$1000=$A522)*(('Agences &amp; Après-vente'!$D$2:$D$1000="Agences")+('Agences &amp; Après-vente'!$D$2:$D$1000="Agences et Après-vente"))*'Agences &amp; Après-vente'!$E$2:$E$1000)),"yyyy-mm-dd"),"")))))</f>
        <v/>
      </c>
      <c r="H522" s="131" t="str">
        <f aca="false">IF($R522="✓","✓",IF(ISNUMBER($R522),TEXT($R522,"yyyy-mm-dd"),IF($A522="","",IF($D522="Lisbonne","",IF(SUMPRODUCT(('Agences &amp; Après-vente'!$A$2:$A$1000=$A522)*(('Agences &amp; Après-vente'!$D$2:$D$1000="Agences")+('Agences &amp; Après-vente'!$D$2:$D$1000="Agences et Après-vente"))*('Agences &amp; Après-vente'!$I$2:$I$1000="DONE"))&gt;0,"✓",IF(SUMPRODUCT(MAX(('Agences &amp; Après-vente'!$A$2:$A$1000=$A522)*(('Agences &amp; Après-vente'!$D$2:$D$1000="Agences")+('Agences &amp; Après-vente'!$D$2:$D$1000="Agences et Après-vente"))*'Agences &amp; Après-vente'!$E$2:$E$1000))&gt;0,TEXT(SUMPRODUCT(MAX(('Agences &amp; Après-vente'!$A$2:$A$1000=$A522)*(('Agences &amp; Après-vente'!$D$2:$D$1000="Agences")+('Agences &amp; Après-vente'!$D$2:$D$1000="Agences et Après-vente"))*'Agences &amp; Après-vente'!$E$2:$E$1000)),"yyyy-mm-dd"),""))))))</f>
        <v/>
      </c>
      <c r="I522" s="131" t="str">
        <f aca="false">IF($S522="✓","✓",IF(ISNUMBER($S522),TEXT($S522,"yyyy-mm-dd"),IF($A522="","",IF(SUMPRODUCT(('Agences &amp; Après-vente'!$A$2:$A$1000=$A522)*(('Agences &amp; Après-vente'!$D$2:$D$1000="Après-vente")+('Agences &amp; Après-vente'!$D$2:$D$1000="Agences et Après-vente"))*('Agences &amp; Après-vente'!$I$2:$I$1000="DONE"))&gt;0,"✓",IF(SUMPRODUCT(MAX(('Agences &amp; Après-vente'!$A$2:$A$1000=$A522)*(('Agences &amp; Après-vente'!$D$2:$D$1000="Après-vente")+('Agences &amp; Après-vente'!$D$2:$D$1000="Agences et Après-vente"))*'Agences &amp; Après-vente'!$E$2:$E$1000))&gt;0,TEXT(SUMPRODUCT(MAX(('Agences &amp; Après-vente'!$A$2:$A$1000=$A522)*(('Agences &amp; Après-vente'!$D$2:$D$1000="Après-vente")+('Agences &amp; Après-vente'!$D$2:$D$1000="Agences et Après-vente"))*'Agences &amp; Après-vente'!$E$2:$E$1000)),"yyyy-mm-dd"),"")))))</f>
        <v/>
      </c>
      <c r="J522" s="131" t="str">
        <f aca="false">IF($T522="✓","✓",IF(ISNUMBER($T522),TEXT($T522,"yyyy-mm-dd"),IF($A522="","",IF($D522="Lisbonne","",IF(SUMPRODUCT(('Agences &amp; Après-vente'!$A$2:$A$1000=$A522)*(('Agences &amp; Après-vente'!$D$2:$D$1000="Après-vente")+('Agences &amp; Après-vente'!$D$2:$D$1000="Agences et Après-vente"))*('Agences &amp; Après-vente'!$I$2:$I$1000="DONE"))&gt;0,"✓",IF(SUMPRODUCT(MAX(('Agences &amp; Après-vente'!$A$2:$A$1000=$A522)*(('Agences &amp; Après-vente'!$D$2:$D$1000="Après-vente")+('Agences &amp; Après-vente'!$D$2:$D$1000="Agences et Après-vente"))*'Agences &amp; Après-vente'!$E$2:$E$1000))&gt;0,TEXT(SUMPRODUCT(MAX(('Agences &amp; Après-vente'!$A$2:$A$1000=$A522)*(('Agences &amp; Après-vente'!$D$2:$D$1000="Après-vente")+('Agences &amp; Après-vente'!$D$2:$D$1000="Agences et Après-vente"))*'Agences &amp; Après-vente'!$E$2:$E$1000)),"yyyy-mm-dd"),""))))))</f>
        <v/>
      </c>
      <c r="K522" s="131" t="str">
        <f aca="false">IF($U522="✓","✓",IF(ISNUMBER($U522),TEXT($U522,"yyyy-mm-dd"),IF($D522="Lisbonne","",IF($A522="","",IF(SUMPRODUCT((Evermont!$A$2:$A$1000=$A522)*(Evermont!$Q$2:$Q$1000="Terminé"))&gt;0,"✓",IF(SUMPRODUCT(MAX((Evermont!$A$2:$A$1000=$A522)*Evermont!$F$2:$F$1000))&gt;0,TEXT(SUMPRODUCT(MAX((Evermont!$A$2:$A$1000=$A522)*Evermont!$F$2:$F$1000)),"yyyy-mm-dd"),""))))))</f>
        <v/>
      </c>
      <c r="L522" s="131" t="str">
        <f aca="false">IF($A522="","",COUNTIF(E522:K522,"✓"))</f>
        <v/>
      </c>
      <c r="M522" s="131" t="str">
        <f aca="false">IF(B522="","","Active")</f>
        <v/>
      </c>
      <c r="W522" s="120" t="str">
        <f aca="false">IF($A522="","",IF($X522&lt;&gt;"",$X522,IFERROR(INDEX('Formation Initiale'!$B$2:$B$999,MATCH($A522,'Formation Initiale'!$A$2:$A$999,0)),"Général")))</f>
        <v/>
      </c>
    </row>
    <row r="523" customFormat="false" ht="15" hidden="true" customHeight="true" outlineLevel="0" collapsed="false">
      <c r="A523" s="142" t="str">
        <f aca="false">IF(B523="","","TR"&amp;TEXT(ROW()-1,"000"))</f>
        <v/>
      </c>
      <c r="E523" s="130" t="str">
        <f aca="false">IF($O523="✓","✓",IF(ISNUMBER($O523),TEXT($O523,"yyyy-mm-dd"),IF($A523="","",IF(SUMPRODUCT(('Formation Initiale'!$A$2:$A$999=$A523)*('Formation Initiale'!$R$2:$R$999="Terminé"))&gt;0,"✓",IF(SUMPRODUCT(MAX(('Formation Initiale'!$A$2:$A$999=$A523)*'Formation Initiale'!$G$2:$G$999))&gt;0,TEXT(SUMPRODUCT(MAX(('Formation Initiale'!$A$2:$A$999=$A523)*'Formation Initiale'!$G$2:$G$999)),"yyyy-mm-dd"),"")))))</f>
        <v/>
      </c>
      <c r="F523" s="131" t="str">
        <f aca="false">IF($P523="✓","✓",IF(ISNUMBER($P523),TEXT($P523,"yyyy-mm-dd"),IF($A523="","",IF($D523="Lisbonne","",IF(SUMPRODUCT(('Formation Initiale'!$A$2:$A$999=$A523)*('Formation Initiale'!$R$2:$R$999="Terminé"))&gt;0,"✓",IF(SUMPRODUCT(MAX(('Formation Initiale'!$A$2:$A$999=$A523)*'Formation Initiale'!$G$2:$G$999))&gt;0,TEXT(SUMPRODUCT(MAX(('Formation Initiale'!$A$2:$A$999=$A523)*'Formation Initiale'!$G$2:$G$999)),"yyyy-mm-dd"),""))))))</f>
        <v/>
      </c>
      <c r="G523" s="131" t="str">
        <f aca="false">IF($Q523="✓","✓",IF(ISNUMBER($Q523),TEXT($Q523,"yyyy-mm-dd"),IF($A523="","",IF(SUMPRODUCT(('Agences &amp; Après-vente'!$A$2:$A$1000=$A523)*(('Agences &amp; Après-vente'!$D$2:$D$1000="Agences")+('Agences &amp; Après-vente'!$D$2:$D$1000="Agences et Après-vente"))*('Agences &amp; Après-vente'!$I$2:$I$1000="DONE"))&gt;0,"✓",IF(SUMPRODUCT(MAX(('Agences &amp; Après-vente'!$A$2:$A$1000=$A523)*(('Agences &amp; Après-vente'!$D$2:$D$1000="Agences")+('Agences &amp; Après-vente'!$D$2:$D$1000="Agences et Après-vente"))*'Agences &amp; Après-vente'!$E$2:$E$1000))&gt;0,TEXT(SUMPRODUCT(MAX(('Agences &amp; Après-vente'!$A$2:$A$1000=$A523)*(('Agences &amp; Après-vente'!$D$2:$D$1000="Agences")+('Agences &amp; Après-vente'!$D$2:$D$1000="Agences et Après-vente"))*'Agences &amp; Après-vente'!$E$2:$E$1000)),"yyyy-mm-dd"),"")))))</f>
        <v/>
      </c>
      <c r="H523" s="131" t="str">
        <f aca="false">IF($R523="✓","✓",IF(ISNUMBER($R523),TEXT($R523,"yyyy-mm-dd"),IF($A523="","",IF($D523="Lisbonne","",IF(SUMPRODUCT(('Agences &amp; Après-vente'!$A$2:$A$1000=$A523)*(('Agences &amp; Après-vente'!$D$2:$D$1000="Agences")+('Agences &amp; Après-vente'!$D$2:$D$1000="Agences et Après-vente"))*('Agences &amp; Après-vente'!$I$2:$I$1000="DONE"))&gt;0,"✓",IF(SUMPRODUCT(MAX(('Agences &amp; Après-vente'!$A$2:$A$1000=$A523)*(('Agences &amp; Après-vente'!$D$2:$D$1000="Agences")+('Agences &amp; Après-vente'!$D$2:$D$1000="Agences et Après-vente"))*'Agences &amp; Après-vente'!$E$2:$E$1000))&gt;0,TEXT(SUMPRODUCT(MAX(('Agences &amp; Après-vente'!$A$2:$A$1000=$A523)*(('Agences &amp; Après-vente'!$D$2:$D$1000="Agences")+('Agences &amp; Après-vente'!$D$2:$D$1000="Agences et Après-vente"))*'Agences &amp; Après-vente'!$E$2:$E$1000)),"yyyy-mm-dd"),""))))))</f>
        <v/>
      </c>
      <c r="I523" s="131" t="str">
        <f aca="false">IF($S523="✓","✓",IF(ISNUMBER($S523),TEXT($S523,"yyyy-mm-dd"),IF($A523="","",IF(SUMPRODUCT(('Agences &amp; Après-vente'!$A$2:$A$1000=$A523)*(('Agences &amp; Après-vente'!$D$2:$D$1000="Après-vente")+('Agences &amp; Après-vente'!$D$2:$D$1000="Agences et Après-vente"))*('Agences &amp; Après-vente'!$I$2:$I$1000="DONE"))&gt;0,"✓",IF(SUMPRODUCT(MAX(('Agences &amp; Après-vente'!$A$2:$A$1000=$A523)*(('Agences &amp; Après-vente'!$D$2:$D$1000="Après-vente")+('Agences &amp; Après-vente'!$D$2:$D$1000="Agences et Après-vente"))*'Agences &amp; Après-vente'!$E$2:$E$1000))&gt;0,TEXT(SUMPRODUCT(MAX(('Agences &amp; Après-vente'!$A$2:$A$1000=$A523)*(('Agences &amp; Après-vente'!$D$2:$D$1000="Après-vente")+('Agences &amp; Après-vente'!$D$2:$D$1000="Agences et Après-vente"))*'Agences &amp; Après-vente'!$E$2:$E$1000)),"yyyy-mm-dd"),"")))))</f>
        <v/>
      </c>
      <c r="J523" s="131" t="str">
        <f aca="false">IF($T523="✓","✓",IF(ISNUMBER($T523),TEXT($T523,"yyyy-mm-dd"),IF($A523="","",IF($D523="Lisbonne","",IF(SUMPRODUCT(('Agences &amp; Après-vente'!$A$2:$A$1000=$A523)*(('Agences &amp; Après-vente'!$D$2:$D$1000="Après-vente")+('Agences &amp; Après-vente'!$D$2:$D$1000="Agences et Après-vente"))*('Agences &amp; Après-vente'!$I$2:$I$1000="DONE"))&gt;0,"✓",IF(SUMPRODUCT(MAX(('Agences &amp; Après-vente'!$A$2:$A$1000=$A523)*(('Agences &amp; Après-vente'!$D$2:$D$1000="Après-vente")+('Agences &amp; Après-vente'!$D$2:$D$1000="Agences et Après-vente"))*'Agences &amp; Après-vente'!$E$2:$E$1000))&gt;0,TEXT(SUMPRODUCT(MAX(('Agences &amp; Après-vente'!$A$2:$A$1000=$A523)*(('Agences &amp; Après-vente'!$D$2:$D$1000="Après-vente")+('Agences &amp; Après-vente'!$D$2:$D$1000="Agences et Après-vente"))*'Agences &amp; Après-vente'!$E$2:$E$1000)),"yyyy-mm-dd"),""))))))</f>
        <v/>
      </c>
      <c r="K523" s="131" t="str">
        <f aca="false">IF($U523="✓","✓",IF(ISNUMBER($U523),TEXT($U523,"yyyy-mm-dd"),IF($D523="Lisbonne","",IF($A523="","",IF(SUMPRODUCT((Evermont!$A$2:$A$1000=$A523)*(Evermont!$Q$2:$Q$1000="Terminé"))&gt;0,"✓",IF(SUMPRODUCT(MAX((Evermont!$A$2:$A$1000=$A523)*Evermont!$F$2:$F$1000))&gt;0,TEXT(SUMPRODUCT(MAX((Evermont!$A$2:$A$1000=$A523)*Evermont!$F$2:$F$1000)),"yyyy-mm-dd"),""))))))</f>
        <v/>
      </c>
      <c r="L523" s="131" t="str">
        <f aca="false">IF($A523="","",COUNTIF(E523:K523,"✓"))</f>
        <v/>
      </c>
      <c r="M523" s="131" t="str">
        <f aca="false">IF(B523="","","Active")</f>
        <v/>
      </c>
      <c r="W523" s="120" t="str">
        <f aca="false">IF($A523="","",IF($X523&lt;&gt;"",$X523,IFERROR(INDEX('Formation Initiale'!$B$2:$B$999,MATCH($A523,'Formation Initiale'!$A$2:$A$999,0)),"Général")))</f>
        <v/>
      </c>
    </row>
    <row r="524" customFormat="false" ht="15" hidden="true" customHeight="true" outlineLevel="0" collapsed="false">
      <c r="A524" s="142" t="str">
        <f aca="false">IF(B524="","","TR"&amp;TEXT(ROW()-1,"000"))</f>
        <v/>
      </c>
      <c r="E524" s="130" t="str">
        <f aca="false">IF($O524="✓","✓",IF(ISNUMBER($O524),TEXT($O524,"yyyy-mm-dd"),IF($A524="","",IF(SUMPRODUCT(('Formation Initiale'!$A$2:$A$999=$A524)*('Formation Initiale'!$R$2:$R$999="Terminé"))&gt;0,"✓",IF(SUMPRODUCT(MAX(('Formation Initiale'!$A$2:$A$999=$A524)*'Formation Initiale'!$G$2:$G$999))&gt;0,TEXT(SUMPRODUCT(MAX(('Formation Initiale'!$A$2:$A$999=$A524)*'Formation Initiale'!$G$2:$G$999)),"yyyy-mm-dd"),"")))))</f>
        <v/>
      </c>
      <c r="F524" s="131" t="str">
        <f aca="false">IF($P524="✓","✓",IF(ISNUMBER($P524),TEXT($P524,"yyyy-mm-dd"),IF($A524="","",IF($D524="Lisbonne","",IF(SUMPRODUCT(('Formation Initiale'!$A$2:$A$999=$A524)*('Formation Initiale'!$R$2:$R$999="Terminé"))&gt;0,"✓",IF(SUMPRODUCT(MAX(('Formation Initiale'!$A$2:$A$999=$A524)*'Formation Initiale'!$G$2:$G$999))&gt;0,TEXT(SUMPRODUCT(MAX(('Formation Initiale'!$A$2:$A$999=$A524)*'Formation Initiale'!$G$2:$G$999)),"yyyy-mm-dd"),""))))))</f>
        <v/>
      </c>
      <c r="G524" s="131" t="str">
        <f aca="false">IF($Q524="✓","✓",IF(ISNUMBER($Q524),TEXT($Q524,"yyyy-mm-dd"),IF($A524="","",IF(SUMPRODUCT(('Agences &amp; Après-vente'!$A$2:$A$1000=$A524)*(('Agences &amp; Après-vente'!$D$2:$D$1000="Agences")+('Agences &amp; Après-vente'!$D$2:$D$1000="Agences et Après-vente"))*('Agences &amp; Après-vente'!$I$2:$I$1000="DONE"))&gt;0,"✓",IF(SUMPRODUCT(MAX(('Agences &amp; Après-vente'!$A$2:$A$1000=$A524)*(('Agences &amp; Après-vente'!$D$2:$D$1000="Agences")+('Agences &amp; Après-vente'!$D$2:$D$1000="Agences et Après-vente"))*'Agences &amp; Après-vente'!$E$2:$E$1000))&gt;0,TEXT(SUMPRODUCT(MAX(('Agences &amp; Après-vente'!$A$2:$A$1000=$A524)*(('Agences &amp; Après-vente'!$D$2:$D$1000="Agences")+('Agences &amp; Après-vente'!$D$2:$D$1000="Agences et Après-vente"))*'Agences &amp; Après-vente'!$E$2:$E$1000)),"yyyy-mm-dd"),"")))))</f>
        <v/>
      </c>
      <c r="H524" s="131" t="str">
        <f aca="false">IF($R524="✓","✓",IF(ISNUMBER($R524),TEXT($R524,"yyyy-mm-dd"),IF($A524="","",IF($D524="Lisbonne","",IF(SUMPRODUCT(('Agences &amp; Après-vente'!$A$2:$A$1000=$A524)*(('Agences &amp; Après-vente'!$D$2:$D$1000="Agences")+('Agences &amp; Après-vente'!$D$2:$D$1000="Agences et Après-vente"))*('Agences &amp; Après-vente'!$I$2:$I$1000="DONE"))&gt;0,"✓",IF(SUMPRODUCT(MAX(('Agences &amp; Après-vente'!$A$2:$A$1000=$A524)*(('Agences &amp; Après-vente'!$D$2:$D$1000="Agences")+('Agences &amp; Après-vente'!$D$2:$D$1000="Agences et Après-vente"))*'Agences &amp; Après-vente'!$E$2:$E$1000))&gt;0,TEXT(SUMPRODUCT(MAX(('Agences &amp; Après-vente'!$A$2:$A$1000=$A524)*(('Agences &amp; Après-vente'!$D$2:$D$1000="Agences")+('Agences &amp; Après-vente'!$D$2:$D$1000="Agences et Après-vente"))*'Agences &amp; Après-vente'!$E$2:$E$1000)),"yyyy-mm-dd"),""))))))</f>
        <v/>
      </c>
      <c r="I524" s="131" t="str">
        <f aca="false">IF($S524="✓","✓",IF(ISNUMBER($S524),TEXT($S524,"yyyy-mm-dd"),IF($A524="","",IF(SUMPRODUCT(('Agences &amp; Après-vente'!$A$2:$A$1000=$A524)*(('Agences &amp; Après-vente'!$D$2:$D$1000="Après-vente")+('Agences &amp; Après-vente'!$D$2:$D$1000="Agences et Après-vente"))*('Agences &amp; Après-vente'!$I$2:$I$1000="DONE"))&gt;0,"✓",IF(SUMPRODUCT(MAX(('Agences &amp; Après-vente'!$A$2:$A$1000=$A524)*(('Agences &amp; Après-vente'!$D$2:$D$1000="Après-vente")+('Agences &amp; Après-vente'!$D$2:$D$1000="Agences et Après-vente"))*'Agences &amp; Après-vente'!$E$2:$E$1000))&gt;0,TEXT(SUMPRODUCT(MAX(('Agences &amp; Après-vente'!$A$2:$A$1000=$A524)*(('Agences &amp; Après-vente'!$D$2:$D$1000="Après-vente")+('Agences &amp; Après-vente'!$D$2:$D$1000="Agences et Après-vente"))*'Agences &amp; Après-vente'!$E$2:$E$1000)),"yyyy-mm-dd"),"")))))</f>
        <v/>
      </c>
      <c r="J524" s="131" t="str">
        <f aca="false">IF($T524="✓","✓",IF(ISNUMBER($T524),TEXT($T524,"yyyy-mm-dd"),IF($A524="","",IF($D524="Lisbonne","",IF(SUMPRODUCT(('Agences &amp; Après-vente'!$A$2:$A$1000=$A524)*(('Agences &amp; Après-vente'!$D$2:$D$1000="Après-vente")+('Agences &amp; Après-vente'!$D$2:$D$1000="Agences et Après-vente"))*('Agences &amp; Après-vente'!$I$2:$I$1000="DONE"))&gt;0,"✓",IF(SUMPRODUCT(MAX(('Agences &amp; Après-vente'!$A$2:$A$1000=$A524)*(('Agences &amp; Après-vente'!$D$2:$D$1000="Après-vente")+('Agences &amp; Après-vente'!$D$2:$D$1000="Agences et Après-vente"))*'Agences &amp; Après-vente'!$E$2:$E$1000))&gt;0,TEXT(SUMPRODUCT(MAX(('Agences &amp; Après-vente'!$A$2:$A$1000=$A524)*(('Agences &amp; Après-vente'!$D$2:$D$1000="Après-vente")+('Agences &amp; Après-vente'!$D$2:$D$1000="Agences et Après-vente"))*'Agences &amp; Après-vente'!$E$2:$E$1000)),"yyyy-mm-dd"),""))))))</f>
        <v/>
      </c>
      <c r="K524" s="131" t="str">
        <f aca="false">IF($U524="✓","✓",IF(ISNUMBER($U524),TEXT($U524,"yyyy-mm-dd"),IF($D524="Lisbonne","",IF($A524="","",IF(SUMPRODUCT((Evermont!$A$2:$A$1000=$A524)*(Evermont!$Q$2:$Q$1000="Terminé"))&gt;0,"✓",IF(SUMPRODUCT(MAX((Evermont!$A$2:$A$1000=$A524)*Evermont!$F$2:$F$1000))&gt;0,TEXT(SUMPRODUCT(MAX((Evermont!$A$2:$A$1000=$A524)*Evermont!$F$2:$F$1000)),"yyyy-mm-dd"),""))))))</f>
        <v/>
      </c>
      <c r="L524" s="131" t="str">
        <f aca="false">IF($A524="","",COUNTIF(E524:K524,"✓"))</f>
        <v/>
      </c>
      <c r="M524" s="131" t="str">
        <f aca="false">IF(B524="","","Active")</f>
        <v/>
      </c>
      <c r="W524" s="120" t="str">
        <f aca="false">IF($A524="","",IF($X524&lt;&gt;"",$X524,IFERROR(INDEX('Formation Initiale'!$B$2:$B$999,MATCH($A524,'Formation Initiale'!$A$2:$A$999,0)),"Général")))</f>
        <v/>
      </c>
    </row>
    <row r="525" customFormat="false" ht="15" hidden="true" customHeight="true" outlineLevel="0" collapsed="false">
      <c r="A525" s="142" t="str">
        <f aca="false">IF(B525="","","TR"&amp;TEXT(ROW()-1,"000"))</f>
        <v/>
      </c>
      <c r="E525" s="130" t="str">
        <f aca="false">IF($O525="✓","✓",IF(ISNUMBER($O525),TEXT($O525,"yyyy-mm-dd"),IF($A525="","",IF(SUMPRODUCT(('Formation Initiale'!$A$2:$A$999=$A525)*('Formation Initiale'!$R$2:$R$999="Terminé"))&gt;0,"✓",IF(SUMPRODUCT(MAX(('Formation Initiale'!$A$2:$A$999=$A525)*'Formation Initiale'!$G$2:$G$999))&gt;0,TEXT(SUMPRODUCT(MAX(('Formation Initiale'!$A$2:$A$999=$A525)*'Formation Initiale'!$G$2:$G$999)),"yyyy-mm-dd"),"")))))</f>
        <v/>
      </c>
      <c r="F525" s="131" t="str">
        <f aca="false">IF($P525="✓","✓",IF(ISNUMBER($P525),TEXT($P525,"yyyy-mm-dd"),IF($A525="","",IF($D525="Lisbonne","",IF(SUMPRODUCT(('Formation Initiale'!$A$2:$A$999=$A525)*('Formation Initiale'!$R$2:$R$999="Terminé"))&gt;0,"✓",IF(SUMPRODUCT(MAX(('Formation Initiale'!$A$2:$A$999=$A525)*'Formation Initiale'!$G$2:$G$999))&gt;0,TEXT(SUMPRODUCT(MAX(('Formation Initiale'!$A$2:$A$999=$A525)*'Formation Initiale'!$G$2:$G$999)),"yyyy-mm-dd"),""))))))</f>
        <v/>
      </c>
      <c r="G525" s="131" t="str">
        <f aca="false">IF($Q525="✓","✓",IF(ISNUMBER($Q525),TEXT($Q525,"yyyy-mm-dd"),IF($A525="","",IF(SUMPRODUCT(('Agences &amp; Après-vente'!$A$2:$A$1000=$A525)*(('Agences &amp; Après-vente'!$D$2:$D$1000="Agences")+('Agences &amp; Après-vente'!$D$2:$D$1000="Agences et Après-vente"))*('Agences &amp; Après-vente'!$I$2:$I$1000="DONE"))&gt;0,"✓",IF(SUMPRODUCT(MAX(('Agences &amp; Après-vente'!$A$2:$A$1000=$A525)*(('Agences &amp; Après-vente'!$D$2:$D$1000="Agences")+('Agences &amp; Après-vente'!$D$2:$D$1000="Agences et Après-vente"))*'Agences &amp; Après-vente'!$E$2:$E$1000))&gt;0,TEXT(SUMPRODUCT(MAX(('Agences &amp; Après-vente'!$A$2:$A$1000=$A525)*(('Agences &amp; Après-vente'!$D$2:$D$1000="Agences")+('Agences &amp; Après-vente'!$D$2:$D$1000="Agences et Après-vente"))*'Agences &amp; Après-vente'!$E$2:$E$1000)),"yyyy-mm-dd"),"")))))</f>
        <v/>
      </c>
      <c r="H525" s="131" t="str">
        <f aca="false">IF($R525="✓","✓",IF(ISNUMBER($R525),TEXT($R525,"yyyy-mm-dd"),IF($A525="","",IF($D525="Lisbonne","",IF(SUMPRODUCT(('Agences &amp; Après-vente'!$A$2:$A$1000=$A525)*(('Agences &amp; Après-vente'!$D$2:$D$1000="Agences")+('Agences &amp; Après-vente'!$D$2:$D$1000="Agences et Après-vente"))*('Agences &amp; Après-vente'!$I$2:$I$1000="DONE"))&gt;0,"✓",IF(SUMPRODUCT(MAX(('Agences &amp; Après-vente'!$A$2:$A$1000=$A525)*(('Agences &amp; Après-vente'!$D$2:$D$1000="Agences")+('Agences &amp; Après-vente'!$D$2:$D$1000="Agences et Après-vente"))*'Agences &amp; Après-vente'!$E$2:$E$1000))&gt;0,TEXT(SUMPRODUCT(MAX(('Agences &amp; Après-vente'!$A$2:$A$1000=$A525)*(('Agences &amp; Après-vente'!$D$2:$D$1000="Agences")+('Agences &amp; Après-vente'!$D$2:$D$1000="Agences et Après-vente"))*'Agences &amp; Après-vente'!$E$2:$E$1000)),"yyyy-mm-dd"),""))))))</f>
        <v/>
      </c>
      <c r="I525" s="131" t="str">
        <f aca="false">IF($S525="✓","✓",IF(ISNUMBER($S525),TEXT($S525,"yyyy-mm-dd"),IF($A525="","",IF(SUMPRODUCT(('Agences &amp; Après-vente'!$A$2:$A$1000=$A525)*(('Agences &amp; Après-vente'!$D$2:$D$1000="Après-vente")+('Agences &amp; Après-vente'!$D$2:$D$1000="Agences et Après-vente"))*('Agences &amp; Après-vente'!$I$2:$I$1000="DONE"))&gt;0,"✓",IF(SUMPRODUCT(MAX(('Agences &amp; Après-vente'!$A$2:$A$1000=$A525)*(('Agences &amp; Après-vente'!$D$2:$D$1000="Après-vente")+('Agences &amp; Après-vente'!$D$2:$D$1000="Agences et Après-vente"))*'Agences &amp; Après-vente'!$E$2:$E$1000))&gt;0,TEXT(SUMPRODUCT(MAX(('Agences &amp; Après-vente'!$A$2:$A$1000=$A525)*(('Agences &amp; Après-vente'!$D$2:$D$1000="Après-vente")+('Agences &amp; Après-vente'!$D$2:$D$1000="Agences et Après-vente"))*'Agences &amp; Après-vente'!$E$2:$E$1000)),"yyyy-mm-dd"),"")))))</f>
        <v/>
      </c>
      <c r="J525" s="131" t="str">
        <f aca="false">IF($T525="✓","✓",IF(ISNUMBER($T525),TEXT($T525,"yyyy-mm-dd"),IF($A525="","",IF($D525="Lisbonne","",IF(SUMPRODUCT(('Agences &amp; Après-vente'!$A$2:$A$1000=$A525)*(('Agences &amp; Après-vente'!$D$2:$D$1000="Après-vente")+('Agences &amp; Après-vente'!$D$2:$D$1000="Agences et Après-vente"))*('Agences &amp; Après-vente'!$I$2:$I$1000="DONE"))&gt;0,"✓",IF(SUMPRODUCT(MAX(('Agences &amp; Après-vente'!$A$2:$A$1000=$A525)*(('Agences &amp; Après-vente'!$D$2:$D$1000="Après-vente")+('Agences &amp; Après-vente'!$D$2:$D$1000="Agences et Après-vente"))*'Agences &amp; Après-vente'!$E$2:$E$1000))&gt;0,TEXT(SUMPRODUCT(MAX(('Agences &amp; Après-vente'!$A$2:$A$1000=$A525)*(('Agences &amp; Après-vente'!$D$2:$D$1000="Après-vente")+('Agences &amp; Après-vente'!$D$2:$D$1000="Agences et Après-vente"))*'Agences &amp; Après-vente'!$E$2:$E$1000)),"yyyy-mm-dd"),""))))))</f>
        <v/>
      </c>
      <c r="K525" s="131" t="str">
        <f aca="false">IF($U525="✓","✓",IF(ISNUMBER($U525),TEXT($U525,"yyyy-mm-dd"),IF($D525="Lisbonne","",IF($A525="","",IF(SUMPRODUCT((Evermont!$A$2:$A$1000=$A525)*(Evermont!$Q$2:$Q$1000="Terminé"))&gt;0,"✓",IF(SUMPRODUCT(MAX((Evermont!$A$2:$A$1000=$A525)*Evermont!$F$2:$F$1000))&gt;0,TEXT(SUMPRODUCT(MAX((Evermont!$A$2:$A$1000=$A525)*Evermont!$F$2:$F$1000)),"yyyy-mm-dd"),""))))))</f>
        <v/>
      </c>
      <c r="L525" s="131" t="str">
        <f aca="false">IF($A525="","",COUNTIF(E525:K525,"✓"))</f>
        <v/>
      </c>
      <c r="M525" s="131" t="str">
        <f aca="false">IF(B525="","","Active")</f>
        <v/>
      </c>
      <c r="W525" s="120" t="str">
        <f aca="false">IF($A525="","",IF($X525&lt;&gt;"",$X525,IFERROR(INDEX('Formation Initiale'!$B$2:$B$999,MATCH($A525,'Formation Initiale'!$A$2:$A$999,0)),"Général")))</f>
        <v/>
      </c>
    </row>
    <row r="526" customFormat="false" ht="15" hidden="true" customHeight="true" outlineLevel="0" collapsed="false">
      <c r="A526" s="142" t="str">
        <f aca="false">IF(B526="","","TR"&amp;TEXT(ROW()-1,"000"))</f>
        <v/>
      </c>
      <c r="E526" s="130" t="str">
        <f aca="false">IF($O526="✓","✓",IF(ISNUMBER($O526),TEXT($O526,"yyyy-mm-dd"),IF($A526="","",IF(SUMPRODUCT(('Formation Initiale'!$A$2:$A$999=$A526)*('Formation Initiale'!$R$2:$R$999="Terminé"))&gt;0,"✓",IF(SUMPRODUCT(MAX(('Formation Initiale'!$A$2:$A$999=$A526)*'Formation Initiale'!$G$2:$G$999))&gt;0,TEXT(SUMPRODUCT(MAX(('Formation Initiale'!$A$2:$A$999=$A526)*'Formation Initiale'!$G$2:$G$999)),"yyyy-mm-dd"),"")))))</f>
        <v/>
      </c>
      <c r="F526" s="131" t="str">
        <f aca="false">IF($P526="✓","✓",IF(ISNUMBER($P526),TEXT($P526,"yyyy-mm-dd"),IF($A526="","",IF($D526="Lisbonne","",IF(SUMPRODUCT(('Formation Initiale'!$A$2:$A$999=$A526)*('Formation Initiale'!$R$2:$R$999="Terminé"))&gt;0,"✓",IF(SUMPRODUCT(MAX(('Formation Initiale'!$A$2:$A$999=$A526)*'Formation Initiale'!$G$2:$G$999))&gt;0,TEXT(SUMPRODUCT(MAX(('Formation Initiale'!$A$2:$A$999=$A526)*'Formation Initiale'!$G$2:$G$999)),"yyyy-mm-dd"),""))))))</f>
        <v/>
      </c>
      <c r="G526" s="131" t="str">
        <f aca="false">IF($Q526="✓","✓",IF(ISNUMBER($Q526),TEXT($Q526,"yyyy-mm-dd"),IF($A526="","",IF(SUMPRODUCT(('Agences &amp; Après-vente'!$A$2:$A$1000=$A526)*(('Agences &amp; Après-vente'!$D$2:$D$1000="Agences")+('Agences &amp; Après-vente'!$D$2:$D$1000="Agences et Après-vente"))*('Agences &amp; Après-vente'!$I$2:$I$1000="DONE"))&gt;0,"✓",IF(SUMPRODUCT(MAX(('Agences &amp; Après-vente'!$A$2:$A$1000=$A526)*(('Agences &amp; Après-vente'!$D$2:$D$1000="Agences")+('Agences &amp; Après-vente'!$D$2:$D$1000="Agences et Après-vente"))*'Agences &amp; Après-vente'!$E$2:$E$1000))&gt;0,TEXT(SUMPRODUCT(MAX(('Agences &amp; Après-vente'!$A$2:$A$1000=$A526)*(('Agences &amp; Après-vente'!$D$2:$D$1000="Agences")+('Agences &amp; Après-vente'!$D$2:$D$1000="Agences et Après-vente"))*'Agences &amp; Après-vente'!$E$2:$E$1000)),"yyyy-mm-dd"),"")))))</f>
        <v/>
      </c>
      <c r="H526" s="131" t="str">
        <f aca="false">IF($R526="✓","✓",IF(ISNUMBER($R526),TEXT($R526,"yyyy-mm-dd"),IF($A526="","",IF($D526="Lisbonne","",IF(SUMPRODUCT(('Agences &amp; Après-vente'!$A$2:$A$1000=$A526)*(('Agences &amp; Après-vente'!$D$2:$D$1000="Agences")+('Agences &amp; Après-vente'!$D$2:$D$1000="Agences et Après-vente"))*('Agences &amp; Après-vente'!$I$2:$I$1000="DONE"))&gt;0,"✓",IF(SUMPRODUCT(MAX(('Agences &amp; Après-vente'!$A$2:$A$1000=$A526)*(('Agences &amp; Après-vente'!$D$2:$D$1000="Agences")+('Agences &amp; Après-vente'!$D$2:$D$1000="Agences et Après-vente"))*'Agences &amp; Après-vente'!$E$2:$E$1000))&gt;0,TEXT(SUMPRODUCT(MAX(('Agences &amp; Après-vente'!$A$2:$A$1000=$A526)*(('Agences &amp; Après-vente'!$D$2:$D$1000="Agences")+('Agences &amp; Après-vente'!$D$2:$D$1000="Agences et Après-vente"))*'Agences &amp; Après-vente'!$E$2:$E$1000)),"yyyy-mm-dd"),""))))))</f>
        <v/>
      </c>
      <c r="I526" s="131" t="str">
        <f aca="false">IF($S526="✓","✓",IF(ISNUMBER($S526),TEXT($S526,"yyyy-mm-dd"),IF($A526="","",IF(SUMPRODUCT(('Agences &amp; Après-vente'!$A$2:$A$1000=$A526)*(('Agences &amp; Après-vente'!$D$2:$D$1000="Après-vente")+('Agences &amp; Après-vente'!$D$2:$D$1000="Agences et Après-vente"))*('Agences &amp; Après-vente'!$I$2:$I$1000="DONE"))&gt;0,"✓",IF(SUMPRODUCT(MAX(('Agences &amp; Après-vente'!$A$2:$A$1000=$A526)*(('Agences &amp; Après-vente'!$D$2:$D$1000="Après-vente")+('Agences &amp; Après-vente'!$D$2:$D$1000="Agences et Après-vente"))*'Agences &amp; Après-vente'!$E$2:$E$1000))&gt;0,TEXT(SUMPRODUCT(MAX(('Agences &amp; Après-vente'!$A$2:$A$1000=$A526)*(('Agences &amp; Après-vente'!$D$2:$D$1000="Après-vente")+('Agences &amp; Après-vente'!$D$2:$D$1000="Agences et Après-vente"))*'Agences &amp; Après-vente'!$E$2:$E$1000)),"yyyy-mm-dd"),"")))))</f>
        <v/>
      </c>
      <c r="J526" s="131" t="str">
        <f aca="false">IF($T526="✓","✓",IF(ISNUMBER($T526),TEXT($T526,"yyyy-mm-dd"),IF($A526="","",IF($D526="Lisbonne","",IF(SUMPRODUCT(('Agences &amp; Après-vente'!$A$2:$A$1000=$A526)*(('Agences &amp; Après-vente'!$D$2:$D$1000="Après-vente")+('Agences &amp; Après-vente'!$D$2:$D$1000="Agences et Après-vente"))*('Agences &amp; Après-vente'!$I$2:$I$1000="DONE"))&gt;0,"✓",IF(SUMPRODUCT(MAX(('Agences &amp; Après-vente'!$A$2:$A$1000=$A526)*(('Agences &amp; Après-vente'!$D$2:$D$1000="Après-vente")+('Agences &amp; Après-vente'!$D$2:$D$1000="Agences et Après-vente"))*'Agences &amp; Après-vente'!$E$2:$E$1000))&gt;0,TEXT(SUMPRODUCT(MAX(('Agences &amp; Après-vente'!$A$2:$A$1000=$A526)*(('Agences &amp; Après-vente'!$D$2:$D$1000="Après-vente")+('Agences &amp; Après-vente'!$D$2:$D$1000="Agences et Après-vente"))*'Agences &amp; Après-vente'!$E$2:$E$1000)),"yyyy-mm-dd"),""))))))</f>
        <v/>
      </c>
      <c r="K526" s="131" t="str">
        <f aca="false">IF($U526="✓","✓",IF(ISNUMBER($U526),TEXT($U526,"yyyy-mm-dd"),IF($D526="Lisbonne","",IF($A526="","",IF(SUMPRODUCT((Evermont!$A$2:$A$1000=$A526)*(Evermont!$Q$2:$Q$1000="Terminé"))&gt;0,"✓",IF(SUMPRODUCT(MAX((Evermont!$A$2:$A$1000=$A526)*Evermont!$F$2:$F$1000))&gt;0,TEXT(SUMPRODUCT(MAX((Evermont!$A$2:$A$1000=$A526)*Evermont!$F$2:$F$1000)),"yyyy-mm-dd"),""))))))</f>
        <v/>
      </c>
      <c r="L526" s="131" t="str">
        <f aca="false">IF($A526="","",COUNTIF(E526:K526,"✓"))</f>
        <v/>
      </c>
      <c r="M526" s="131" t="str">
        <f aca="false">IF(B526="","","Active")</f>
        <v/>
      </c>
      <c r="W526" s="120" t="str">
        <f aca="false">IF($A526="","",IF($X526&lt;&gt;"",$X526,IFERROR(INDEX('Formation Initiale'!$B$2:$B$999,MATCH($A526,'Formation Initiale'!$A$2:$A$999,0)),"Général")))</f>
        <v/>
      </c>
    </row>
    <row r="527" customFormat="false" ht="15" hidden="true" customHeight="true" outlineLevel="0" collapsed="false">
      <c r="A527" s="142" t="str">
        <f aca="false">IF(B527="","","TR"&amp;TEXT(ROW()-1,"000"))</f>
        <v/>
      </c>
      <c r="E527" s="130" t="str">
        <f aca="false">IF($O527="✓","✓",IF(ISNUMBER($O527),TEXT($O527,"yyyy-mm-dd"),IF($A527="","",IF(SUMPRODUCT(('Formation Initiale'!$A$2:$A$999=$A527)*('Formation Initiale'!$R$2:$R$999="Terminé"))&gt;0,"✓",IF(SUMPRODUCT(MAX(('Formation Initiale'!$A$2:$A$999=$A527)*'Formation Initiale'!$G$2:$G$999))&gt;0,TEXT(SUMPRODUCT(MAX(('Formation Initiale'!$A$2:$A$999=$A527)*'Formation Initiale'!$G$2:$G$999)),"yyyy-mm-dd"),"")))))</f>
        <v/>
      </c>
      <c r="F527" s="131" t="str">
        <f aca="false">IF($P527="✓","✓",IF(ISNUMBER($P527),TEXT($P527,"yyyy-mm-dd"),IF($A527="","",IF($D527="Lisbonne","",IF(SUMPRODUCT(('Formation Initiale'!$A$2:$A$999=$A527)*('Formation Initiale'!$R$2:$R$999="Terminé"))&gt;0,"✓",IF(SUMPRODUCT(MAX(('Formation Initiale'!$A$2:$A$999=$A527)*'Formation Initiale'!$G$2:$G$999))&gt;0,TEXT(SUMPRODUCT(MAX(('Formation Initiale'!$A$2:$A$999=$A527)*'Formation Initiale'!$G$2:$G$999)),"yyyy-mm-dd"),""))))))</f>
        <v/>
      </c>
      <c r="G527" s="131" t="str">
        <f aca="false">IF($Q527="✓","✓",IF(ISNUMBER($Q527),TEXT($Q527,"yyyy-mm-dd"),IF($A527="","",IF(SUMPRODUCT(('Agences &amp; Après-vente'!$A$2:$A$1000=$A527)*(('Agences &amp; Après-vente'!$D$2:$D$1000="Agences")+('Agences &amp; Après-vente'!$D$2:$D$1000="Agences et Après-vente"))*('Agences &amp; Après-vente'!$I$2:$I$1000="DONE"))&gt;0,"✓",IF(SUMPRODUCT(MAX(('Agences &amp; Après-vente'!$A$2:$A$1000=$A527)*(('Agences &amp; Après-vente'!$D$2:$D$1000="Agences")+('Agences &amp; Après-vente'!$D$2:$D$1000="Agences et Après-vente"))*'Agences &amp; Après-vente'!$E$2:$E$1000))&gt;0,TEXT(SUMPRODUCT(MAX(('Agences &amp; Après-vente'!$A$2:$A$1000=$A527)*(('Agences &amp; Après-vente'!$D$2:$D$1000="Agences")+('Agences &amp; Après-vente'!$D$2:$D$1000="Agences et Après-vente"))*'Agences &amp; Après-vente'!$E$2:$E$1000)),"yyyy-mm-dd"),"")))))</f>
        <v/>
      </c>
      <c r="H527" s="131" t="str">
        <f aca="false">IF($R527="✓","✓",IF(ISNUMBER($R527),TEXT($R527,"yyyy-mm-dd"),IF($A527="","",IF($D527="Lisbonne","",IF(SUMPRODUCT(('Agences &amp; Après-vente'!$A$2:$A$1000=$A527)*(('Agences &amp; Après-vente'!$D$2:$D$1000="Agences")+('Agences &amp; Après-vente'!$D$2:$D$1000="Agences et Après-vente"))*('Agences &amp; Après-vente'!$I$2:$I$1000="DONE"))&gt;0,"✓",IF(SUMPRODUCT(MAX(('Agences &amp; Après-vente'!$A$2:$A$1000=$A527)*(('Agences &amp; Après-vente'!$D$2:$D$1000="Agences")+('Agences &amp; Après-vente'!$D$2:$D$1000="Agences et Après-vente"))*'Agences &amp; Après-vente'!$E$2:$E$1000))&gt;0,TEXT(SUMPRODUCT(MAX(('Agences &amp; Après-vente'!$A$2:$A$1000=$A527)*(('Agences &amp; Après-vente'!$D$2:$D$1000="Agences")+('Agences &amp; Après-vente'!$D$2:$D$1000="Agences et Après-vente"))*'Agences &amp; Après-vente'!$E$2:$E$1000)),"yyyy-mm-dd"),""))))))</f>
        <v/>
      </c>
      <c r="I527" s="131" t="str">
        <f aca="false">IF($S527="✓","✓",IF(ISNUMBER($S527),TEXT($S527,"yyyy-mm-dd"),IF($A527="","",IF(SUMPRODUCT(('Agences &amp; Après-vente'!$A$2:$A$1000=$A527)*(('Agences &amp; Après-vente'!$D$2:$D$1000="Après-vente")+('Agences &amp; Après-vente'!$D$2:$D$1000="Agences et Après-vente"))*('Agences &amp; Après-vente'!$I$2:$I$1000="DONE"))&gt;0,"✓",IF(SUMPRODUCT(MAX(('Agences &amp; Après-vente'!$A$2:$A$1000=$A527)*(('Agences &amp; Après-vente'!$D$2:$D$1000="Après-vente")+('Agences &amp; Après-vente'!$D$2:$D$1000="Agences et Après-vente"))*'Agences &amp; Après-vente'!$E$2:$E$1000))&gt;0,TEXT(SUMPRODUCT(MAX(('Agences &amp; Après-vente'!$A$2:$A$1000=$A527)*(('Agences &amp; Après-vente'!$D$2:$D$1000="Après-vente")+('Agences &amp; Après-vente'!$D$2:$D$1000="Agences et Après-vente"))*'Agences &amp; Après-vente'!$E$2:$E$1000)),"yyyy-mm-dd"),"")))))</f>
        <v/>
      </c>
      <c r="J527" s="131" t="str">
        <f aca="false">IF($T527="✓","✓",IF(ISNUMBER($T527),TEXT($T527,"yyyy-mm-dd"),IF($A527="","",IF($D527="Lisbonne","",IF(SUMPRODUCT(('Agences &amp; Après-vente'!$A$2:$A$1000=$A527)*(('Agences &amp; Après-vente'!$D$2:$D$1000="Après-vente")+('Agences &amp; Après-vente'!$D$2:$D$1000="Agences et Après-vente"))*('Agences &amp; Après-vente'!$I$2:$I$1000="DONE"))&gt;0,"✓",IF(SUMPRODUCT(MAX(('Agences &amp; Après-vente'!$A$2:$A$1000=$A527)*(('Agences &amp; Après-vente'!$D$2:$D$1000="Après-vente")+('Agences &amp; Après-vente'!$D$2:$D$1000="Agences et Après-vente"))*'Agences &amp; Après-vente'!$E$2:$E$1000))&gt;0,TEXT(SUMPRODUCT(MAX(('Agences &amp; Après-vente'!$A$2:$A$1000=$A527)*(('Agences &amp; Après-vente'!$D$2:$D$1000="Après-vente")+('Agences &amp; Après-vente'!$D$2:$D$1000="Agences et Après-vente"))*'Agences &amp; Après-vente'!$E$2:$E$1000)),"yyyy-mm-dd"),""))))))</f>
        <v/>
      </c>
      <c r="K527" s="131" t="str">
        <f aca="false">IF($U527="✓","✓",IF(ISNUMBER($U527),TEXT($U527,"yyyy-mm-dd"),IF($D527="Lisbonne","",IF($A527="","",IF(SUMPRODUCT((Evermont!$A$2:$A$1000=$A527)*(Evermont!$Q$2:$Q$1000="Terminé"))&gt;0,"✓",IF(SUMPRODUCT(MAX((Evermont!$A$2:$A$1000=$A527)*Evermont!$F$2:$F$1000))&gt;0,TEXT(SUMPRODUCT(MAX((Evermont!$A$2:$A$1000=$A527)*Evermont!$F$2:$F$1000)),"yyyy-mm-dd"),""))))))</f>
        <v/>
      </c>
      <c r="L527" s="131" t="str">
        <f aca="false">IF($A527="","",COUNTIF(E527:K527,"✓"))</f>
        <v/>
      </c>
      <c r="M527" s="131" t="str">
        <f aca="false">IF(B527="","","Active")</f>
        <v/>
      </c>
      <c r="W527" s="120" t="str">
        <f aca="false">IF($A527="","",IF($X527&lt;&gt;"",$X527,IFERROR(INDEX('Formation Initiale'!$B$2:$B$999,MATCH($A527,'Formation Initiale'!$A$2:$A$999,0)),"Général")))</f>
        <v/>
      </c>
    </row>
    <row r="528" customFormat="false" ht="15" hidden="true" customHeight="true" outlineLevel="0" collapsed="false">
      <c r="A528" s="142" t="str">
        <f aca="false">IF(B528="","","TR"&amp;TEXT(ROW()-1,"000"))</f>
        <v/>
      </c>
      <c r="E528" s="130" t="str">
        <f aca="false">IF($O528="✓","✓",IF(ISNUMBER($O528),TEXT($O528,"yyyy-mm-dd"),IF($A528="","",IF(SUMPRODUCT(('Formation Initiale'!$A$2:$A$999=$A528)*('Formation Initiale'!$R$2:$R$999="Terminé"))&gt;0,"✓",IF(SUMPRODUCT(MAX(('Formation Initiale'!$A$2:$A$999=$A528)*'Formation Initiale'!$G$2:$G$999))&gt;0,TEXT(SUMPRODUCT(MAX(('Formation Initiale'!$A$2:$A$999=$A528)*'Formation Initiale'!$G$2:$G$999)),"yyyy-mm-dd"),"")))))</f>
        <v/>
      </c>
      <c r="F528" s="131" t="str">
        <f aca="false">IF($P528="✓","✓",IF(ISNUMBER($P528),TEXT($P528,"yyyy-mm-dd"),IF($A528="","",IF($D528="Lisbonne","",IF(SUMPRODUCT(('Formation Initiale'!$A$2:$A$999=$A528)*('Formation Initiale'!$R$2:$R$999="Terminé"))&gt;0,"✓",IF(SUMPRODUCT(MAX(('Formation Initiale'!$A$2:$A$999=$A528)*'Formation Initiale'!$G$2:$G$999))&gt;0,TEXT(SUMPRODUCT(MAX(('Formation Initiale'!$A$2:$A$999=$A528)*'Formation Initiale'!$G$2:$G$999)),"yyyy-mm-dd"),""))))))</f>
        <v/>
      </c>
      <c r="G528" s="131" t="str">
        <f aca="false">IF($Q528="✓","✓",IF(ISNUMBER($Q528),TEXT($Q528,"yyyy-mm-dd"),IF($A528="","",IF(SUMPRODUCT(('Agences &amp; Après-vente'!$A$2:$A$1000=$A528)*(('Agences &amp; Après-vente'!$D$2:$D$1000="Agences")+('Agences &amp; Après-vente'!$D$2:$D$1000="Agences et Après-vente"))*('Agences &amp; Après-vente'!$I$2:$I$1000="DONE"))&gt;0,"✓",IF(SUMPRODUCT(MAX(('Agences &amp; Après-vente'!$A$2:$A$1000=$A528)*(('Agences &amp; Après-vente'!$D$2:$D$1000="Agences")+('Agences &amp; Après-vente'!$D$2:$D$1000="Agences et Après-vente"))*'Agences &amp; Après-vente'!$E$2:$E$1000))&gt;0,TEXT(SUMPRODUCT(MAX(('Agences &amp; Après-vente'!$A$2:$A$1000=$A528)*(('Agences &amp; Après-vente'!$D$2:$D$1000="Agences")+('Agences &amp; Après-vente'!$D$2:$D$1000="Agences et Après-vente"))*'Agences &amp; Après-vente'!$E$2:$E$1000)),"yyyy-mm-dd"),"")))))</f>
        <v/>
      </c>
      <c r="H528" s="131" t="str">
        <f aca="false">IF($R528="✓","✓",IF(ISNUMBER($R528),TEXT($R528,"yyyy-mm-dd"),IF($A528="","",IF($D528="Lisbonne","",IF(SUMPRODUCT(('Agences &amp; Après-vente'!$A$2:$A$1000=$A528)*(('Agences &amp; Après-vente'!$D$2:$D$1000="Agences")+('Agences &amp; Après-vente'!$D$2:$D$1000="Agences et Après-vente"))*('Agences &amp; Après-vente'!$I$2:$I$1000="DONE"))&gt;0,"✓",IF(SUMPRODUCT(MAX(('Agences &amp; Après-vente'!$A$2:$A$1000=$A528)*(('Agences &amp; Après-vente'!$D$2:$D$1000="Agences")+('Agences &amp; Après-vente'!$D$2:$D$1000="Agences et Après-vente"))*'Agences &amp; Après-vente'!$E$2:$E$1000))&gt;0,TEXT(SUMPRODUCT(MAX(('Agences &amp; Après-vente'!$A$2:$A$1000=$A528)*(('Agences &amp; Après-vente'!$D$2:$D$1000="Agences")+('Agences &amp; Après-vente'!$D$2:$D$1000="Agences et Après-vente"))*'Agences &amp; Après-vente'!$E$2:$E$1000)),"yyyy-mm-dd"),""))))))</f>
        <v/>
      </c>
      <c r="I528" s="131" t="str">
        <f aca="false">IF($S528="✓","✓",IF(ISNUMBER($S528),TEXT($S528,"yyyy-mm-dd"),IF($A528="","",IF(SUMPRODUCT(('Agences &amp; Après-vente'!$A$2:$A$1000=$A528)*(('Agences &amp; Après-vente'!$D$2:$D$1000="Après-vente")+('Agences &amp; Après-vente'!$D$2:$D$1000="Agences et Après-vente"))*('Agences &amp; Après-vente'!$I$2:$I$1000="DONE"))&gt;0,"✓",IF(SUMPRODUCT(MAX(('Agences &amp; Après-vente'!$A$2:$A$1000=$A528)*(('Agences &amp; Après-vente'!$D$2:$D$1000="Après-vente")+('Agences &amp; Après-vente'!$D$2:$D$1000="Agences et Après-vente"))*'Agences &amp; Après-vente'!$E$2:$E$1000))&gt;0,TEXT(SUMPRODUCT(MAX(('Agences &amp; Après-vente'!$A$2:$A$1000=$A528)*(('Agences &amp; Après-vente'!$D$2:$D$1000="Après-vente")+('Agences &amp; Après-vente'!$D$2:$D$1000="Agences et Après-vente"))*'Agences &amp; Après-vente'!$E$2:$E$1000)),"yyyy-mm-dd"),"")))))</f>
        <v/>
      </c>
      <c r="J528" s="131" t="str">
        <f aca="false">IF($T528="✓","✓",IF(ISNUMBER($T528),TEXT($T528,"yyyy-mm-dd"),IF($A528="","",IF($D528="Lisbonne","",IF(SUMPRODUCT(('Agences &amp; Après-vente'!$A$2:$A$1000=$A528)*(('Agences &amp; Après-vente'!$D$2:$D$1000="Après-vente")+('Agences &amp; Après-vente'!$D$2:$D$1000="Agences et Après-vente"))*('Agences &amp; Après-vente'!$I$2:$I$1000="DONE"))&gt;0,"✓",IF(SUMPRODUCT(MAX(('Agences &amp; Après-vente'!$A$2:$A$1000=$A528)*(('Agences &amp; Après-vente'!$D$2:$D$1000="Après-vente")+('Agences &amp; Après-vente'!$D$2:$D$1000="Agences et Après-vente"))*'Agences &amp; Après-vente'!$E$2:$E$1000))&gt;0,TEXT(SUMPRODUCT(MAX(('Agences &amp; Après-vente'!$A$2:$A$1000=$A528)*(('Agences &amp; Après-vente'!$D$2:$D$1000="Après-vente")+('Agences &amp; Après-vente'!$D$2:$D$1000="Agences et Après-vente"))*'Agences &amp; Après-vente'!$E$2:$E$1000)),"yyyy-mm-dd"),""))))))</f>
        <v/>
      </c>
      <c r="K528" s="131" t="str">
        <f aca="false">IF($U528="✓","✓",IF(ISNUMBER($U528),TEXT($U528,"yyyy-mm-dd"),IF($D528="Lisbonne","",IF($A528="","",IF(SUMPRODUCT((Evermont!$A$2:$A$1000=$A528)*(Evermont!$Q$2:$Q$1000="Terminé"))&gt;0,"✓",IF(SUMPRODUCT(MAX((Evermont!$A$2:$A$1000=$A528)*Evermont!$F$2:$F$1000))&gt;0,TEXT(SUMPRODUCT(MAX((Evermont!$A$2:$A$1000=$A528)*Evermont!$F$2:$F$1000)),"yyyy-mm-dd"),""))))))</f>
        <v/>
      </c>
      <c r="L528" s="131" t="str">
        <f aca="false">IF($A528="","",COUNTIF(E528:K528,"✓"))</f>
        <v/>
      </c>
      <c r="M528" s="131" t="str">
        <f aca="false">IF(B528="","","Active")</f>
        <v/>
      </c>
      <c r="W528" s="120" t="str">
        <f aca="false">IF($A528="","",IF($X528&lt;&gt;"",$X528,IFERROR(INDEX('Formation Initiale'!$B$2:$B$999,MATCH($A528,'Formation Initiale'!$A$2:$A$999,0)),"Général")))</f>
        <v/>
      </c>
    </row>
    <row r="529" customFormat="false" ht="15" hidden="true" customHeight="true" outlineLevel="0" collapsed="false">
      <c r="A529" s="142" t="str">
        <f aca="false">IF(B529="","","TR"&amp;TEXT(ROW()-1,"000"))</f>
        <v/>
      </c>
      <c r="E529" s="130" t="str">
        <f aca="false">IF($O529="✓","✓",IF(ISNUMBER($O529),TEXT($O529,"yyyy-mm-dd"),IF($A529="","",IF(SUMPRODUCT(('Formation Initiale'!$A$2:$A$999=$A529)*('Formation Initiale'!$R$2:$R$999="Terminé"))&gt;0,"✓",IF(SUMPRODUCT(MAX(('Formation Initiale'!$A$2:$A$999=$A529)*'Formation Initiale'!$G$2:$G$999))&gt;0,TEXT(SUMPRODUCT(MAX(('Formation Initiale'!$A$2:$A$999=$A529)*'Formation Initiale'!$G$2:$G$999)),"yyyy-mm-dd"),"")))))</f>
        <v/>
      </c>
      <c r="F529" s="131" t="str">
        <f aca="false">IF($P529="✓","✓",IF(ISNUMBER($P529),TEXT($P529,"yyyy-mm-dd"),IF($A529="","",IF($D529="Lisbonne","",IF(SUMPRODUCT(('Formation Initiale'!$A$2:$A$999=$A529)*('Formation Initiale'!$R$2:$R$999="Terminé"))&gt;0,"✓",IF(SUMPRODUCT(MAX(('Formation Initiale'!$A$2:$A$999=$A529)*'Formation Initiale'!$G$2:$G$999))&gt;0,TEXT(SUMPRODUCT(MAX(('Formation Initiale'!$A$2:$A$999=$A529)*'Formation Initiale'!$G$2:$G$999)),"yyyy-mm-dd"),""))))))</f>
        <v/>
      </c>
      <c r="G529" s="131" t="str">
        <f aca="false">IF($Q529="✓","✓",IF(ISNUMBER($Q529),TEXT($Q529,"yyyy-mm-dd"),IF($A529="","",IF(SUMPRODUCT(('Agences &amp; Après-vente'!$A$2:$A$1000=$A529)*(('Agences &amp; Après-vente'!$D$2:$D$1000="Agences")+('Agences &amp; Après-vente'!$D$2:$D$1000="Agences et Après-vente"))*('Agences &amp; Après-vente'!$I$2:$I$1000="DONE"))&gt;0,"✓",IF(SUMPRODUCT(MAX(('Agences &amp; Après-vente'!$A$2:$A$1000=$A529)*(('Agences &amp; Après-vente'!$D$2:$D$1000="Agences")+('Agences &amp; Après-vente'!$D$2:$D$1000="Agences et Après-vente"))*'Agences &amp; Après-vente'!$E$2:$E$1000))&gt;0,TEXT(SUMPRODUCT(MAX(('Agences &amp; Après-vente'!$A$2:$A$1000=$A529)*(('Agences &amp; Après-vente'!$D$2:$D$1000="Agences")+('Agences &amp; Après-vente'!$D$2:$D$1000="Agences et Après-vente"))*'Agences &amp; Après-vente'!$E$2:$E$1000)),"yyyy-mm-dd"),"")))))</f>
        <v/>
      </c>
      <c r="H529" s="131" t="str">
        <f aca="false">IF($R529="✓","✓",IF(ISNUMBER($R529),TEXT($R529,"yyyy-mm-dd"),IF($A529="","",IF($D529="Lisbonne","",IF(SUMPRODUCT(('Agences &amp; Après-vente'!$A$2:$A$1000=$A529)*(('Agences &amp; Après-vente'!$D$2:$D$1000="Agences")+('Agences &amp; Après-vente'!$D$2:$D$1000="Agences et Après-vente"))*('Agences &amp; Après-vente'!$I$2:$I$1000="DONE"))&gt;0,"✓",IF(SUMPRODUCT(MAX(('Agences &amp; Après-vente'!$A$2:$A$1000=$A529)*(('Agences &amp; Après-vente'!$D$2:$D$1000="Agences")+('Agences &amp; Après-vente'!$D$2:$D$1000="Agences et Après-vente"))*'Agences &amp; Après-vente'!$E$2:$E$1000))&gt;0,TEXT(SUMPRODUCT(MAX(('Agences &amp; Après-vente'!$A$2:$A$1000=$A529)*(('Agences &amp; Après-vente'!$D$2:$D$1000="Agences")+('Agences &amp; Après-vente'!$D$2:$D$1000="Agences et Après-vente"))*'Agences &amp; Après-vente'!$E$2:$E$1000)),"yyyy-mm-dd"),""))))))</f>
        <v/>
      </c>
      <c r="I529" s="131" t="str">
        <f aca="false">IF($S529="✓","✓",IF(ISNUMBER($S529),TEXT($S529,"yyyy-mm-dd"),IF($A529="","",IF(SUMPRODUCT(('Agences &amp; Après-vente'!$A$2:$A$1000=$A529)*(('Agences &amp; Après-vente'!$D$2:$D$1000="Après-vente")+('Agences &amp; Après-vente'!$D$2:$D$1000="Agences et Après-vente"))*('Agences &amp; Après-vente'!$I$2:$I$1000="DONE"))&gt;0,"✓",IF(SUMPRODUCT(MAX(('Agences &amp; Après-vente'!$A$2:$A$1000=$A529)*(('Agences &amp; Après-vente'!$D$2:$D$1000="Après-vente")+('Agences &amp; Après-vente'!$D$2:$D$1000="Agences et Après-vente"))*'Agences &amp; Après-vente'!$E$2:$E$1000))&gt;0,TEXT(SUMPRODUCT(MAX(('Agences &amp; Après-vente'!$A$2:$A$1000=$A529)*(('Agences &amp; Après-vente'!$D$2:$D$1000="Après-vente")+('Agences &amp; Après-vente'!$D$2:$D$1000="Agences et Après-vente"))*'Agences &amp; Après-vente'!$E$2:$E$1000)),"yyyy-mm-dd"),"")))))</f>
        <v/>
      </c>
      <c r="J529" s="131" t="str">
        <f aca="false">IF($T529="✓","✓",IF(ISNUMBER($T529),TEXT($T529,"yyyy-mm-dd"),IF($A529="","",IF($D529="Lisbonne","",IF(SUMPRODUCT(('Agences &amp; Après-vente'!$A$2:$A$1000=$A529)*(('Agences &amp; Après-vente'!$D$2:$D$1000="Après-vente")+('Agences &amp; Après-vente'!$D$2:$D$1000="Agences et Après-vente"))*('Agences &amp; Après-vente'!$I$2:$I$1000="DONE"))&gt;0,"✓",IF(SUMPRODUCT(MAX(('Agences &amp; Après-vente'!$A$2:$A$1000=$A529)*(('Agences &amp; Après-vente'!$D$2:$D$1000="Après-vente")+('Agences &amp; Après-vente'!$D$2:$D$1000="Agences et Après-vente"))*'Agences &amp; Après-vente'!$E$2:$E$1000))&gt;0,TEXT(SUMPRODUCT(MAX(('Agences &amp; Après-vente'!$A$2:$A$1000=$A529)*(('Agences &amp; Après-vente'!$D$2:$D$1000="Après-vente")+('Agences &amp; Après-vente'!$D$2:$D$1000="Agences et Après-vente"))*'Agences &amp; Après-vente'!$E$2:$E$1000)),"yyyy-mm-dd"),""))))))</f>
        <v/>
      </c>
      <c r="K529" s="131" t="str">
        <f aca="false">IF($U529="✓","✓",IF(ISNUMBER($U529),TEXT($U529,"yyyy-mm-dd"),IF($D529="Lisbonne","",IF($A529="","",IF(SUMPRODUCT((Evermont!$A$2:$A$1000=$A529)*(Evermont!$Q$2:$Q$1000="Terminé"))&gt;0,"✓",IF(SUMPRODUCT(MAX((Evermont!$A$2:$A$1000=$A529)*Evermont!$F$2:$F$1000))&gt;0,TEXT(SUMPRODUCT(MAX((Evermont!$A$2:$A$1000=$A529)*Evermont!$F$2:$F$1000)),"yyyy-mm-dd"),""))))))</f>
        <v/>
      </c>
      <c r="L529" s="131" t="str">
        <f aca="false">IF($A529="","",COUNTIF(E529:K529,"✓"))</f>
        <v/>
      </c>
      <c r="M529" s="131" t="str">
        <f aca="false">IF(B529="","","Active")</f>
        <v/>
      </c>
      <c r="W529" s="120" t="str">
        <f aca="false">IF($A529="","",IF($X529&lt;&gt;"",$X529,IFERROR(INDEX('Formation Initiale'!$B$2:$B$999,MATCH($A529,'Formation Initiale'!$A$2:$A$999,0)),"Général")))</f>
        <v/>
      </c>
    </row>
    <row r="530" customFormat="false" ht="15" hidden="true" customHeight="true" outlineLevel="0" collapsed="false">
      <c r="A530" s="142" t="str">
        <f aca="false">IF(B530="","","TR"&amp;TEXT(ROW()-1,"000"))</f>
        <v/>
      </c>
      <c r="E530" s="130" t="str">
        <f aca="false">IF($O530="✓","✓",IF(ISNUMBER($O530),TEXT($O530,"yyyy-mm-dd"),IF($A530="","",IF(SUMPRODUCT(('Formation Initiale'!$A$2:$A$999=$A530)*('Formation Initiale'!$R$2:$R$999="Terminé"))&gt;0,"✓",IF(SUMPRODUCT(MAX(('Formation Initiale'!$A$2:$A$999=$A530)*'Formation Initiale'!$G$2:$G$999))&gt;0,TEXT(SUMPRODUCT(MAX(('Formation Initiale'!$A$2:$A$999=$A530)*'Formation Initiale'!$G$2:$G$999)),"yyyy-mm-dd"),"")))))</f>
        <v/>
      </c>
      <c r="F530" s="131" t="str">
        <f aca="false">IF($P530="✓","✓",IF(ISNUMBER($P530),TEXT($P530,"yyyy-mm-dd"),IF($A530="","",IF($D530="Lisbonne","",IF(SUMPRODUCT(('Formation Initiale'!$A$2:$A$999=$A530)*('Formation Initiale'!$R$2:$R$999="Terminé"))&gt;0,"✓",IF(SUMPRODUCT(MAX(('Formation Initiale'!$A$2:$A$999=$A530)*'Formation Initiale'!$G$2:$G$999))&gt;0,TEXT(SUMPRODUCT(MAX(('Formation Initiale'!$A$2:$A$999=$A530)*'Formation Initiale'!$G$2:$G$999)),"yyyy-mm-dd"),""))))))</f>
        <v/>
      </c>
      <c r="G530" s="131" t="str">
        <f aca="false">IF($Q530="✓","✓",IF(ISNUMBER($Q530),TEXT($Q530,"yyyy-mm-dd"),IF($A530="","",IF(SUMPRODUCT(('Agences &amp; Après-vente'!$A$2:$A$1000=$A530)*(('Agences &amp; Après-vente'!$D$2:$D$1000="Agences")+('Agences &amp; Après-vente'!$D$2:$D$1000="Agences et Après-vente"))*('Agences &amp; Après-vente'!$I$2:$I$1000="DONE"))&gt;0,"✓",IF(SUMPRODUCT(MAX(('Agences &amp; Après-vente'!$A$2:$A$1000=$A530)*(('Agences &amp; Après-vente'!$D$2:$D$1000="Agences")+('Agences &amp; Après-vente'!$D$2:$D$1000="Agences et Après-vente"))*'Agences &amp; Après-vente'!$E$2:$E$1000))&gt;0,TEXT(SUMPRODUCT(MAX(('Agences &amp; Après-vente'!$A$2:$A$1000=$A530)*(('Agences &amp; Après-vente'!$D$2:$D$1000="Agences")+('Agences &amp; Après-vente'!$D$2:$D$1000="Agences et Après-vente"))*'Agences &amp; Après-vente'!$E$2:$E$1000)),"yyyy-mm-dd"),"")))))</f>
        <v/>
      </c>
      <c r="H530" s="131" t="str">
        <f aca="false">IF($R530="✓","✓",IF(ISNUMBER($R530),TEXT($R530,"yyyy-mm-dd"),IF($A530="","",IF($D530="Lisbonne","",IF(SUMPRODUCT(('Agences &amp; Après-vente'!$A$2:$A$1000=$A530)*(('Agences &amp; Après-vente'!$D$2:$D$1000="Agences")+('Agences &amp; Après-vente'!$D$2:$D$1000="Agences et Après-vente"))*('Agences &amp; Après-vente'!$I$2:$I$1000="DONE"))&gt;0,"✓",IF(SUMPRODUCT(MAX(('Agences &amp; Après-vente'!$A$2:$A$1000=$A530)*(('Agences &amp; Après-vente'!$D$2:$D$1000="Agences")+('Agences &amp; Après-vente'!$D$2:$D$1000="Agences et Après-vente"))*'Agences &amp; Après-vente'!$E$2:$E$1000))&gt;0,TEXT(SUMPRODUCT(MAX(('Agences &amp; Après-vente'!$A$2:$A$1000=$A530)*(('Agences &amp; Après-vente'!$D$2:$D$1000="Agences")+('Agences &amp; Après-vente'!$D$2:$D$1000="Agences et Après-vente"))*'Agences &amp; Après-vente'!$E$2:$E$1000)),"yyyy-mm-dd"),""))))))</f>
        <v/>
      </c>
      <c r="I530" s="131" t="str">
        <f aca="false">IF($S530="✓","✓",IF(ISNUMBER($S530),TEXT($S530,"yyyy-mm-dd"),IF($A530="","",IF(SUMPRODUCT(('Agences &amp; Après-vente'!$A$2:$A$1000=$A530)*(('Agences &amp; Après-vente'!$D$2:$D$1000="Après-vente")+('Agences &amp; Après-vente'!$D$2:$D$1000="Agences et Après-vente"))*('Agences &amp; Après-vente'!$I$2:$I$1000="DONE"))&gt;0,"✓",IF(SUMPRODUCT(MAX(('Agences &amp; Après-vente'!$A$2:$A$1000=$A530)*(('Agences &amp; Après-vente'!$D$2:$D$1000="Après-vente")+('Agences &amp; Après-vente'!$D$2:$D$1000="Agences et Après-vente"))*'Agences &amp; Après-vente'!$E$2:$E$1000))&gt;0,TEXT(SUMPRODUCT(MAX(('Agences &amp; Après-vente'!$A$2:$A$1000=$A530)*(('Agences &amp; Après-vente'!$D$2:$D$1000="Après-vente")+('Agences &amp; Après-vente'!$D$2:$D$1000="Agences et Après-vente"))*'Agences &amp; Après-vente'!$E$2:$E$1000)),"yyyy-mm-dd"),"")))))</f>
        <v/>
      </c>
      <c r="J530" s="131" t="str">
        <f aca="false">IF($T530="✓","✓",IF(ISNUMBER($T530),TEXT($T530,"yyyy-mm-dd"),IF($A530="","",IF($D530="Lisbonne","",IF(SUMPRODUCT(('Agences &amp; Après-vente'!$A$2:$A$1000=$A530)*(('Agences &amp; Après-vente'!$D$2:$D$1000="Après-vente")+('Agences &amp; Après-vente'!$D$2:$D$1000="Agences et Après-vente"))*('Agences &amp; Après-vente'!$I$2:$I$1000="DONE"))&gt;0,"✓",IF(SUMPRODUCT(MAX(('Agences &amp; Après-vente'!$A$2:$A$1000=$A530)*(('Agences &amp; Après-vente'!$D$2:$D$1000="Après-vente")+('Agences &amp; Après-vente'!$D$2:$D$1000="Agences et Après-vente"))*'Agences &amp; Après-vente'!$E$2:$E$1000))&gt;0,TEXT(SUMPRODUCT(MAX(('Agences &amp; Après-vente'!$A$2:$A$1000=$A530)*(('Agences &amp; Après-vente'!$D$2:$D$1000="Après-vente")+('Agences &amp; Après-vente'!$D$2:$D$1000="Agences et Après-vente"))*'Agences &amp; Après-vente'!$E$2:$E$1000)),"yyyy-mm-dd"),""))))))</f>
        <v/>
      </c>
      <c r="K530" s="131" t="str">
        <f aca="false">IF($U530="✓","✓",IF(ISNUMBER($U530),TEXT($U530,"yyyy-mm-dd"),IF($D530="Lisbonne","",IF($A530="","",IF(SUMPRODUCT((Evermont!$A$2:$A$1000=$A530)*(Evermont!$Q$2:$Q$1000="Terminé"))&gt;0,"✓",IF(SUMPRODUCT(MAX((Evermont!$A$2:$A$1000=$A530)*Evermont!$F$2:$F$1000))&gt;0,TEXT(SUMPRODUCT(MAX((Evermont!$A$2:$A$1000=$A530)*Evermont!$F$2:$F$1000)),"yyyy-mm-dd"),""))))))</f>
        <v/>
      </c>
      <c r="L530" s="131" t="str">
        <f aca="false">IF($A530="","",COUNTIF(E530:K530,"✓"))</f>
        <v/>
      </c>
      <c r="M530" s="131" t="str">
        <f aca="false">IF(B530="","","Active")</f>
        <v/>
      </c>
      <c r="W530" s="120" t="str">
        <f aca="false">IF($A530="","",IF($X530&lt;&gt;"",$X530,IFERROR(INDEX('Formation Initiale'!$B$2:$B$999,MATCH($A530,'Formation Initiale'!$A$2:$A$999,0)),"Général")))</f>
        <v/>
      </c>
    </row>
    <row r="531" customFormat="false" ht="15" hidden="true" customHeight="true" outlineLevel="0" collapsed="false">
      <c r="A531" s="142" t="str">
        <f aca="false">IF(B531="","","TR"&amp;TEXT(ROW()-1,"000"))</f>
        <v/>
      </c>
      <c r="E531" s="130" t="str">
        <f aca="false">IF($O531="✓","✓",IF(ISNUMBER($O531),TEXT($O531,"yyyy-mm-dd"),IF($A531="","",IF(SUMPRODUCT(('Formation Initiale'!$A$2:$A$999=$A531)*('Formation Initiale'!$R$2:$R$999="Terminé"))&gt;0,"✓",IF(SUMPRODUCT(MAX(('Formation Initiale'!$A$2:$A$999=$A531)*'Formation Initiale'!$G$2:$G$999))&gt;0,TEXT(SUMPRODUCT(MAX(('Formation Initiale'!$A$2:$A$999=$A531)*'Formation Initiale'!$G$2:$G$999)),"yyyy-mm-dd"),"")))))</f>
        <v/>
      </c>
      <c r="F531" s="131" t="str">
        <f aca="false">IF($P531="✓","✓",IF(ISNUMBER($P531),TEXT($P531,"yyyy-mm-dd"),IF($A531="","",IF($D531="Lisbonne","",IF(SUMPRODUCT(('Formation Initiale'!$A$2:$A$999=$A531)*('Formation Initiale'!$R$2:$R$999="Terminé"))&gt;0,"✓",IF(SUMPRODUCT(MAX(('Formation Initiale'!$A$2:$A$999=$A531)*'Formation Initiale'!$G$2:$G$999))&gt;0,TEXT(SUMPRODUCT(MAX(('Formation Initiale'!$A$2:$A$999=$A531)*'Formation Initiale'!$G$2:$G$999)),"yyyy-mm-dd"),""))))))</f>
        <v/>
      </c>
      <c r="G531" s="131" t="str">
        <f aca="false">IF($Q531="✓","✓",IF(ISNUMBER($Q531),TEXT($Q531,"yyyy-mm-dd"),IF($A531="","",IF(SUMPRODUCT(('Agences &amp; Après-vente'!$A$2:$A$1000=$A531)*(('Agences &amp; Après-vente'!$D$2:$D$1000="Agences")+('Agences &amp; Après-vente'!$D$2:$D$1000="Agences et Après-vente"))*('Agences &amp; Après-vente'!$I$2:$I$1000="DONE"))&gt;0,"✓",IF(SUMPRODUCT(MAX(('Agences &amp; Après-vente'!$A$2:$A$1000=$A531)*(('Agences &amp; Après-vente'!$D$2:$D$1000="Agences")+('Agences &amp; Après-vente'!$D$2:$D$1000="Agences et Après-vente"))*'Agences &amp; Après-vente'!$E$2:$E$1000))&gt;0,TEXT(SUMPRODUCT(MAX(('Agences &amp; Après-vente'!$A$2:$A$1000=$A531)*(('Agences &amp; Après-vente'!$D$2:$D$1000="Agences")+('Agences &amp; Après-vente'!$D$2:$D$1000="Agences et Après-vente"))*'Agences &amp; Après-vente'!$E$2:$E$1000)),"yyyy-mm-dd"),"")))))</f>
        <v/>
      </c>
      <c r="H531" s="131" t="str">
        <f aca="false">IF($R531="✓","✓",IF(ISNUMBER($R531),TEXT($R531,"yyyy-mm-dd"),IF($A531="","",IF($D531="Lisbonne","",IF(SUMPRODUCT(('Agences &amp; Après-vente'!$A$2:$A$1000=$A531)*(('Agences &amp; Après-vente'!$D$2:$D$1000="Agences")+('Agences &amp; Après-vente'!$D$2:$D$1000="Agences et Après-vente"))*('Agences &amp; Après-vente'!$I$2:$I$1000="DONE"))&gt;0,"✓",IF(SUMPRODUCT(MAX(('Agences &amp; Après-vente'!$A$2:$A$1000=$A531)*(('Agences &amp; Après-vente'!$D$2:$D$1000="Agences")+('Agences &amp; Après-vente'!$D$2:$D$1000="Agences et Après-vente"))*'Agences &amp; Après-vente'!$E$2:$E$1000))&gt;0,TEXT(SUMPRODUCT(MAX(('Agences &amp; Après-vente'!$A$2:$A$1000=$A531)*(('Agences &amp; Après-vente'!$D$2:$D$1000="Agences")+('Agences &amp; Après-vente'!$D$2:$D$1000="Agences et Après-vente"))*'Agences &amp; Après-vente'!$E$2:$E$1000)),"yyyy-mm-dd"),""))))))</f>
        <v/>
      </c>
      <c r="I531" s="131" t="str">
        <f aca="false">IF($S531="✓","✓",IF(ISNUMBER($S531),TEXT($S531,"yyyy-mm-dd"),IF($A531="","",IF(SUMPRODUCT(('Agences &amp; Après-vente'!$A$2:$A$1000=$A531)*(('Agences &amp; Après-vente'!$D$2:$D$1000="Après-vente")+('Agences &amp; Après-vente'!$D$2:$D$1000="Agences et Après-vente"))*('Agences &amp; Après-vente'!$I$2:$I$1000="DONE"))&gt;0,"✓",IF(SUMPRODUCT(MAX(('Agences &amp; Après-vente'!$A$2:$A$1000=$A531)*(('Agences &amp; Après-vente'!$D$2:$D$1000="Après-vente")+('Agences &amp; Après-vente'!$D$2:$D$1000="Agences et Après-vente"))*'Agences &amp; Après-vente'!$E$2:$E$1000))&gt;0,TEXT(SUMPRODUCT(MAX(('Agences &amp; Après-vente'!$A$2:$A$1000=$A531)*(('Agences &amp; Après-vente'!$D$2:$D$1000="Après-vente")+('Agences &amp; Après-vente'!$D$2:$D$1000="Agences et Après-vente"))*'Agences &amp; Après-vente'!$E$2:$E$1000)),"yyyy-mm-dd"),"")))))</f>
        <v/>
      </c>
      <c r="J531" s="131" t="str">
        <f aca="false">IF($T531="✓","✓",IF(ISNUMBER($T531),TEXT($T531,"yyyy-mm-dd"),IF($A531="","",IF($D531="Lisbonne","",IF(SUMPRODUCT(('Agences &amp; Après-vente'!$A$2:$A$1000=$A531)*(('Agences &amp; Après-vente'!$D$2:$D$1000="Après-vente")+('Agences &amp; Après-vente'!$D$2:$D$1000="Agences et Après-vente"))*('Agences &amp; Après-vente'!$I$2:$I$1000="DONE"))&gt;0,"✓",IF(SUMPRODUCT(MAX(('Agences &amp; Après-vente'!$A$2:$A$1000=$A531)*(('Agences &amp; Après-vente'!$D$2:$D$1000="Après-vente")+('Agences &amp; Après-vente'!$D$2:$D$1000="Agences et Après-vente"))*'Agences &amp; Après-vente'!$E$2:$E$1000))&gt;0,TEXT(SUMPRODUCT(MAX(('Agences &amp; Après-vente'!$A$2:$A$1000=$A531)*(('Agences &amp; Après-vente'!$D$2:$D$1000="Après-vente")+('Agences &amp; Après-vente'!$D$2:$D$1000="Agences et Après-vente"))*'Agences &amp; Après-vente'!$E$2:$E$1000)),"yyyy-mm-dd"),""))))))</f>
        <v/>
      </c>
      <c r="K531" s="131" t="str">
        <f aca="false">IF($U531="✓","✓",IF(ISNUMBER($U531),TEXT($U531,"yyyy-mm-dd"),IF($D531="Lisbonne","",IF($A531="","",IF(SUMPRODUCT((Evermont!$A$2:$A$1000=$A531)*(Evermont!$Q$2:$Q$1000="Terminé"))&gt;0,"✓",IF(SUMPRODUCT(MAX((Evermont!$A$2:$A$1000=$A531)*Evermont!$F$2:$F$1000))&gt;0,TEXT(SUMPRODUCT(MAX((Evermont!$A$2:$A$1000=$A531)*Evermont!$F$2:$F$1000)),"yyyy-mm-dd"),""))))))</f>
        <v/>
      </c>
      <c r="L531" s="131" t="str">
        <f aca="false">IF($A531="","",COUNTIF(E531:K531,"✓"))</f>
        <v/>
      </c>
      <c r="M531" s="131" t="str">
        <f aca="false">IF(B531="","","Active")</f>
        <v/>
      </c>
      <c r="W531" s="120" t="str">
        <f aca="false">IF($A531="","",IF($X531&lt;&gt;"",$X531,IFERROR(INDEX('Formation Initiale'!$B$2:$B$999,MATCH($A531,'Formation Initiale'!$A$2:$A$999,0)),"Général")))</f>
        <v/>
      </c>
    </row>
    <row r="532" customFormat="false" ht="15" hidden="true" customHeight="true" outlineLevel="0" collapsed="false">
      <c r="A532" s="142" t="str">
        <f aca="false">IF(B532="","","TR"&amp;TEXT(ROW()-1,"000"))</f>
        <v/>
      </c>
      <c r="E532" s="130" t="str">
        <f aca="false">IF($O532="✓","✓",IF(ISNUMBER($O532),TEXT($O532,"yyyy-mm-dd"),IF($A532="","",IF(SUMPRODUCT(('Formation Initiale'!$A$2:$A$999=$A532)*('Formation Initiale'!$R$2:$R$999="Terminé"))&gt;0,"✓",IF(SUMPRODUCT(MAX(('Formation Initiale'!$A$2:$A$999=$A532)*'Formation Initiale'!$G$2:$G$999))&gt;0,TEXT(SUMPRODUCT(MAX(('Formation Initiale'!$A$2:$A$999=$A532)*'Formation Initiale'!$G$2:$G$999)),"yyyy-mm-dd"),"")))))</f>
        <v/>
      </c>
      <c r="F532" s="131" t="str">
        <f aca="false">IF($P532="✓","✓",IF(ISNUMBER($P532),TEXT($P532,"yyyy-mm-dd"),IF($A532="","",IF($D532="Lisbonne","",IF(SUMPRODUCT(('Formation Initiale'!$A$2:$A$999=$A532)*('Formation Initiale'!$R$2:$R$999="Terminé"))&gt;0,"✓",IF(SUMPRODUCT(MAX(('Formation Initiale'!$A$2:$A$999=$A532)*'Formation Initiale'!$G$2:$G$999))&gt;0,TEXT(SUMPRODUCT(MAX(('Formation Initiale'!$A$2:$A$999=$A532)*'Formation Initiale'!$G$2:$G$999)),"yyyy-mm-dd"),""))))))</f>
        <v/>
      </c>
      <c r="G532" s="131" t="str">
        <f aca="false">IF($Q532="✓","✓",IF(ISNUMBER($Q532),TEXT($Q532,"yyyy-mm-dd"),IF($A532="","",IF(SUMPRODUCT(('Agences &amp; Après-vente'!$A$2:$A$1000=$A532)*(('Agences &amp; Après-vente'!$D$2:$D$1000="Agences")+('Agences &amp; Après-vente'!$D$2:$D$1000="Agences et Après-vente"))*('Agences &amp; Après-vente'!$I$2:$I$1000="DONE"))&gt;0,"✓",IF(SUMPRODUCT(MAX(('Agences &amp; Après-vente'!$A$2:$A$1000=$A532)*(('Agences &amp; Après-vente'!$D$2:$D$1000="Agences")+('Agences &amp; Après-vente'!$D$2:$D$1000="Agences et Après-vente"))*'Agences &amp; Après-vente'!$E$2:$E$1000))&gt;0,TEXT(SUMPRODUCT(MAX(('Agences &amp; Après-vente'!$A$2:$A$1000=$A532)*(('Agences &amp; Après-vente'!$D$2:$D$1000="Agences")+('Agences &amp; Après-vente'!$D$2:$D$1000="Agences et Après-vente"))*'Agences &amp; Après-vente'!$E$2:$E$1000)),"yyyy-mm-dd"),"")))))</f>
        <v/>
      </c>
      <c r="H532" s="131" t="str">
        <f aca="false">IF($R532="✓","✓",IF(ISNUMBER($R532),TEXT($R532,"yyyy-mm-dd"),IF($A532="","",IF($D532="Lisbonne","",IF(SUMPRODUCT(('Agences &amp; Après-vente'!$A$2:$A$1000=$A532)*(('Agences &amp; Après-vente'!$D$2:$D$1000="Agences")+('Agences &amp; Après-vente'!$D$2:$D$1000="Agences et Après-vente"))*('Agences &amp; Après-vente'!$I$2:$I$1000="DONE"))&gt;0,"✓",IF(SUMPRODUCT(MAX(('Agences &amp; Après-vente'!$A$2:$A$1000=$A532)*(('Agences &amp; Après-vente'!$D$2:$D$1000="Agences")+('Agences &amp; Après-vente'!$D$2:$D$1000="Agences et Après-vente"))*'Agences &amp; Après-vente'!$E$2:$E$1000))&gt;0,TEXT(SUMPRODUCT(MAX(('Agences &amp; Après-vente'!$A$2:$A$1000=$A532)*(('Agences &amp; Après-vente'!$D$2:$D$1000="Agences")+('Agences &amp; Après-vente'!$D$2:$D$1000="Agences et Après-vente"))*'Agences &amp; Après-vente'!$E$2:$E$1000)),"yyyy-mm-dd"),""))))))</f>
        <v/>
      </c>
      <c r="I532" s="131" t="str">
        <f aca="false">IF($S532="✓","✓",IF(ISNUMBER($S532),TEXT($S532,"yyyy-mm-dd"),IF($A532="","",IF(SUMPRODUCT(('Agences &amp; Après-vente'!$A$2:$A$1000=$A532)*(('Agences &amp; Après-vente'!$D$2:$D$1000="Après-vente")+('Agences &amp; Après-vente'!$D$2:$D$1000="Agences et Après-vente"))*('Agences &amp; Après-vente'!$I$2:$I$1000="DONE"))&gt;0,"✓",IF(SUMPRODUCT(MAX(('Agences &amp; Après-vente'!$A$2:$A$1000=$A532)*(('Agences &amp; Après-vente'!$D$2:$D$1000="Après-vente")+('Agences &amp; Après-vente'!$D$2:$D$1000="Agences et Après-vente"))*'Agences &amp; Après-vente'!$E$2:$E$1000))&gt;0,TEXT(SUMPRODUCT(MAX(('Agences &amp; Après-vente'!$A$2:$A$1000=$A532)*(('Agences &amp; Après-vente'!$D$2:$D$1000="Après-vente")+('Agences &amp; Après-vente'!$D$2:$D$1000="Agences et Après-vente"))*'Agences &amp; Après-vente'!$E$2:$E$1000)),"yyyy-mm-dd"),"")))))</f>
        <v/>
      </c>
      <c r="J532" s="131" t="str">
        <f aca="false">IF($T532="✓","✓",IF(ISNUMBER($T532),TEXT($T532,"yyyy-mm-dd"),IF($A532="","",IF($D532="Lisbonne","",IF(SUMPRODUCT(('Agences &amp; Après-vente'!$A$2:$A$1000=$A532)*(('Agences &amp; Après-vente'!$D$2:$D$1000="Après-vente")+('Agences &amp; Après-vente'!$D$2:$D$1000="Agences et Après-vente"))*('Agences &amp; Après-vente'!$I$2:$I$1000="DONE"))&gt;0,"✓",IF(SUMPRODUCT(MAX(('Agences &amp; Après-vente'!$A$2:$A$1000=$A532)*(('Agences &amp; Après-vente'!$D$2:$D$1000="Après-vente")+('Agences &amp; Après-vente'!$D$2:$D$1000="Agences et Après-vente"))*'Agences &amp; Après-vente'!$E$2:$E$1000))&gt;0,TEXT(SUMPRODUCT(MAX(('Agences &amp; Après-vente'!$A$2:$A$1000=$A532)*(('Agences &amp; Après-vente'!$D$2:$D$1000="Après-vente")+('Agences &amp; Après-vente'!$D$2:$D$1000="Agences et Après-vente"))*'Agences &amp; Après-vente'!$E$2:$E$1000)),"yyyy-mm-dd"),""))))))</f>
        <v/>
      </c>
      <c r="K532" s="131" t="str">
        <f aca="false">IF($U532="✓","✓",IF(ISNUMBER($U532),TEXT($U532,"yyyy-mm-dd"),IF($D532="Lisbonne","",IF($A532="","",IF(SUMPRODUCT((Evermont!$A$2:$A$1000=$A532)*(Evermont!$Q$2:$Q$1000="Terminé"))&gt;0,"✓",IF(SUMPRODUCT(MAX((Evermont!$A$2:$A$1000=$A532)*Evermont!$F$2:$F$1000))&gt;0,TEXT(SUMPRODUCT(MAX((Evermont!$A$2:$A$1000=$A532)*Evermont!$F$2:$F$1000)),"yyyy-mm-dd"),""))))))</f>
        <v/>
      </c>
      <c r="L532" s="131" t="str">
        <f aca="false">IF($A532="","",COUNTIF(E532:K532,"✓"))</f>
        <v/>
      </c>
      <c r="M532" s="131" t="str">
        <f aca="false">IF(B532="","","Active")</f>
        <v/>
      </c>
      <c r="W532" s="120" t="str">
        <f aca="false">IF($A532="","",IF($X532&lt;&gt;"",$X532,IFERROR(INDEX('Formation Initiale'!$B$2:$B$999,MATCH($A532,'Formation Initiale'!$A$2:$A$999,0)),"Général")))</f>
        <v/>
      </c>
    </row>
    <row r="533" customFormat="false" ht="15" hidden="true" customHeight="true" outlineLevel="0" collapsed="false">
      <c r="A533" s="142" t="str">
        <f aca="false">IF(B533="","","TR"&amp;TEXT(ROW()-1,"000"))</f>
        <v/>
      </c>
      <c r="E533" s="130" t="str">
        <f aca="false">IF($O533="✓","✓",IF(ISNUMBER($O533),TEXT($O533,"yyyy-mm-dd"),IF($A533="","",IF(SUMPRODUCT(('Formation Initiale'!$A$2:$A$999=$A533)*('Formation Initiale'!$R$2:$R$999="Terminé"))&gt;0,"✓",IF(SUMPRODUCT(MAX(('Formation Initiale'!$A$2:$A$999=$A533)*'Formation Initiale'!$G$2:$G$999))&gt;0,TEXT(SUMPRODUCT(MAX(('Formation Initiale'!$A$2:$A$999=$A533)*'Formation Initiale'!$G$2:$G$999)),"yyyy-mm-dd"),"")))))</f>
        <v/>
      </c>
      <c r="F533" s="131" t="str">
        <f aca="false">IF($P533="✓","✓",IF(ISNUMBER($P533),TEXT($P533,"yyyy-mm-dd"),IF($A533="","",IF($D533="Lisbonne","",IF(SUMPRODUCT(('Formation Initiale'!$A$2:$A$999=$A533)*('Formation Initiale'!$R$2:$R$999="Terminé"))&gt;0,"✓",IF(SUMPRODUCT(MAX(('Formation Initiale'!$A$2:$A$999=$A533)*'Formation Initiale'!$G$2:$G$999))&gt;0,TEXT(SUMPRODUCT(MAX(('Formation Initiale'!$A$2:$A$999=$A533)*'Formation Initiale'!$G$2:$G$999)),"yyyy-mm-dd"),""))))))</f>
        <v/>
      </c>
      <c r="G533" s="131" t="str">
        <f aca="false">IF($Q533="✓","✓",IF(ISNUMBER($Q533),TEXT($Q533,"yyyy-mm-dd"),IF($A533="","",IF(SUMPRODUCT(('Agences &amp; Après-vente'!$A$2:$A$1000=$A533)*(('Agences &amp; Après-vente'!$D$2:$D$1000="Agences")+('Agences &amp; Après-vente'!$D$2:$D$1000="Agences et Après-vente"))*('Agences &amp; Après-vente'!$I$2:$I$1000="DONE"))&gt;0,"✓",IF(SUMPRODUCT(MAX(('Agences &amp; Après-vente'!$A$2:$A$1000=$A533)*(('Agences &amp; Après-vente'!$D$2:$D$1000="Agences")+('Agences &amp; Après-vente'!$D$2:$D$1000="Agences et Après-vente"))*'Agences &amp; Après-vente'!$E$2:$E$1000))&gt;0,TEXT(SUMPRODUCT(MAX(('Agences &amp; Après-vente'!$A$2:$A$1000=$A533)*(('Agences &amp; Après-vente'!$D$2:$D$1000="Agences")+('Agences &amp; Après-vente'!$D$2:$D$1000="Agences et Après-vente"))*'Agences &amp; Après-vente'!$E$2:$E$1000)),"yyyy-mm-dd"),"")))))</f>
        <v/>
      </c>
      <c r="H533" s="131" t="str">
        <f aca="false">IF($R533="✓","✓",IF(ISNUMBER($R533),TEXT($R533,"yyyy-mm-dd"),IF($A533="","",IF($D533="Lisbonne","",IF(SUMPRODUCT(('Agences &amp; Après-vente'!$A$2:$A$1000=$A533)*(('Agences &amp; Après-vente'!$D$2:$D$1000="Agences")+('Agences &amp; Après-vente'!$D$2:$D$1000="Agences et Après-vente"))*('Agences &amp; Après-vente'!$I$2:$I$1000="DONE"))&gt;0,"✓",IF(SUMPRODUCT(MAX(('Agences &amp; Après-vente'!$A$2:$A$1000=$A533)*(('Agences &amp; Après-vente'!$D$2:$D$1000="Agences")+('Agences &amp; Après-vente'!$D$2:$D$1000="Agences et Après-vente"))*'Agences &amp; Après-vente'!$E$2:$E$1000))&gt;0,TEXT(SUMPRODUCT(MAX(('Agences &amp; Après-vente'!$A$2:$A$1000=$A533)*(('Agences &amp; Après-vente'!$D$2:$D$1000="Agences")+('Agences &amp; Après-vente'!$D$2:$D$1000="Agences et Après-vente"))*'Agences &amp; Après-vente'!$E$2:$E$1000)),"yyyy-mm-dd"),""))))))</f>
        <v/>
      </c>
      <c r="I533" s="131" t="str">
        <f aca="false">IF($S533="✓","✓",IF(ISNUMBER($S533),TEXT($S533,"yyyy-mm-dd"),IF($A533="","",IF(SUMPRODUCT(('Agences &amp; Après-vente'!$A$2:$A$1000=$A533)*(('Agences &amp; Après-vente'!$D$2:$D$1000="Après-vente")+('Agences &amp; Après-vente'!$D$2:$D$1000="Agences et Après-vente"))*('Agences &amp; Après-vente'!$I$2:$I$1000="DONE"))&gt;0,"✓",IF(SUMPRODUCT(MAX(('Agences &amp; Après-vente'!$A$2:$A$1000=$A533)*(('Agences &amp; Après-vente'!$D$2:$D$1000="Après-vente")+('Agences &amp; Après-vente'!$D$2:$D$1000="Agences et Après-vente"))*'Agences &amp; Après-vente'!$E$2:$E$1000))&gt;0,TEXT(SUMPRODUCT(MAX(('Agences &amp; Après-vente'!$A$2:$A$1000=$A533)*(('Agences &amp; Après-vente'!$D$2:$D$1000="Après-vente")+('Agences &amp; Après-vente'!$D$2:$D$1000="Agences et Après-vente"))*'Agences &amp; Après-vente'!$E$2:$E$1000)),"yyyy-mm-dd"),"")))))</f>
        <v/>
      </c>
      <c r="J533" s="131" t="str">
        <f aca="false">IF($T533="✓","✓",IF(ISNUMBER($T533),TEXT($T533,"yyyy-mm-dd"),IF($A533="","",IF($D533="Lisbonne","",IF(SUMPRODUCT(('Agences &amp; Après-vente'!$A$2:$A$1000=$A533)*(('Agences &amp; Après-vente'!$D$2:$D$1000="Après-vente")+('Agences &amp; Après-vente'!$D$2:$D$1000="Agences et Après-vente"))*('Agences &amp; Après-vente'!$I$2:$I$1000="DONE"))&gt;0,"✓",IF(SUMPRODUCT(MAX(('Agences &amp; Après-vente'!$A$2:$A$1000=$A533)*(('Agences &amp; Après-vente'!$D$2:$D$1000="Après-vente")+('Agences &amp; Après-vente'!$D$2:$D$1000="Agences et Après-vente"))*'Agences &amp; Après-vente'!$E$2:$E$1000))&gt;0,TEXT(SUMPRODUCT(MAX(('Agences &amp; Après-vente'!$A$2:$A$1000=$A533)*(('Agences &amp; Après-vente'!$D$2:$D$1000="Après-vente")+('Agences &amp; Après-vente'!$D$2:$D$1000="Agences et Après-vente"))*'Agences &amp; Après-vente'!$E$2:$E$1000)),"yyyy-mm-dd"),""))))))</f>
        <v/>
      </c>
      <c r="K533" s="131" t="str">
        <f aca="false">IF($U533="✓","✓",IF(ISNUMBER($U533),TEXT($U533,"yyyy-mm-dd"),IF($D533="Lisbonne","",IF($A533="","",IF(SUMPRODUCT((Evermont!$A$2:$A$1000=$A533)*(Evermont!$Q$2:$Q$1000="Terminé"))&gt;0,"✓",IF(SUMPRODUCT(MAX((Evermont!$A$2:$A$1000=$A533)*Evermont!$F$2:$F$1000))&gt;0,TEXT(SUMPRODUCT(MAX((Evermont!$A$2:$A$1000=$A533)*Evermont!$F$2:$F$1000)),"yyyy-mm-dd"),""))))))</f>
        <v/>
      </c>
      <c r="L533" s="131" t="str">
        <f aca="false">IF($A533="","",COUNTIF(E533:K533,"✓"))</f>
        <v/>
      </c>
      <c r="M533" s="131" t="str">
        <f aca="false">IF(B533="","","Active")</f>
        <v/>
      </c>
      <c r="W533" s="120" t="str">
        <f aca="false">IF($A533="","",IF($X533&lt;&gt;"",$X533,IFERROR(INDEX('Formation Initiale'!$B$2:$B$999,MATCH($A533,'Formation Initiale'!$A$2:$A$999,0)),"Général")))</f>
        <v/>
      </c>
    </row>
    <row r="534" customFormat="false" ht="15" hidden="true" customHeight="true" outlineLevel="0" collapsed="false">
      <c r="A534" s="142" t="str">
        <f aca="false">IF(B534="","","TR"&amp;TEXT(ROW()-1,"000"))</f>
        <v/>
      </c>
      <c r="E534" s="130" t="str">
        <f aca="false">IF($O534="✓","✓",IF(ISNUMBER($O534),TEXT($O534,"yyyy-mm-dd"),IF($A534="","",IF(SUMPRODUCT(('Formation Initiale'!$A$2:$A$999=$A534)*('Formation Initiale'!$R$2:$R$999="Terminé"))&gt;0,"✓",IF(SUMPRODUCT(MAX(('Formation Initiale'!$A$2:$A$999=$A534)*'Formation Initiale'!$G$2:$G$999))&gt;0,TEXT(SUMPRODUCT(MAX(('Formation Initiale'!$A$2:$A$999=$A534)*'Formation Initiale'!$G$2:$G$999)),"yyyy-mm-dd"),"")))))</f>
        <v/>
      </c>
      <c r="F534" s="131" t="str">
        <f aca="false">IF($P534="✓","✓",IF(ISNUMBER($P534),TEXT($P534,"yyyy-mm-dd"),IF($A534="","",IF($D534="Lisbonne","",IF(SUMPRODUCT(('Formation Initiale'!$A$2:$A$999=$A534)*('Formation Initiale'!$R$2:$R$999="Terminé"))&gt;0,"✓",IF(SUMPRODUCT(MAX(('Formation Initiale'!$A$2:$A$999=$A534)*'Formation Initiale'!$G$2:$G$999))&gt;0,TEXT(SUMPRODUCT(MAX(('Formation Initiale'!$A$2:$A$999=$A534)*'Formation Initiale'!$G$2:$G$999)),"yyyy-mm-dd"),""))))))</f>
        <v/>
      </c>
      <c r="G534" s="131" t="str">
        <f aca="false">IF($Q534="✓","✓",IF(ISNUMBER($Q534),TEXT($Q534,"yyyy-mm-dd"),IF($A534="","",IF(SUMPRODUCT(('Agences &amp; Après-vente'!$A$2:$A$1000=$A534)*(('Agences &amp; Après-vente'!$D$2:$D$1000="Agences")+('Agences &amp; Après-vente'!$D$2:$D$1000="Agences et Après-vente"))*('Agences &amp; Après-vente'!$I$2:$I$1000="DONE"))&gt;0,"✓",IF(SUMPRODUCT(MAX(('Agences &amp; Après-vente'!$A$2:$A$1000=$A534)*(('Agences &amp; Après-vente'!$D$2:$D$1000="Agences")+('Agences &amp; Après-vente'!$D$2:$D$1000="Agences et Après-vente"))*'Agences &amp; Après-vente'!$E$2:$E$1000))&gt;0,TEXT(SUMPRODUCT(MAX(('Agences &amp; Après-vente'!$A$2:$A$1000=$A534)*(('Agences &amp; Après-vente'!$D$2:$D$1000="Agences")+('Agences &amp; Après-vente'!$D$2:$D$1000="Agences et Après-vente"))*'Agences &amp; Après-vente'!$E$2:$E$1000)),"yyyy-mm-dd"),"")))))</f>
        <v/>
      </c>
      <c r="H534" s="131" t="str">
        <f aca="false">IF($R534="✓","✓",IF(ISNUMBER($R534),TEXT($R534,"yyyy-mm-dd"),IF($A534="","",IF($D534="Lisbonne","",IF(SUMPRODUCT(('Agences &amp; Après-vente'!$A$2:$A$1000=$A534)*(('Agences &amp; Après-vente'!$D$2:$D$1000="Agences")+('Agences &amp; Après-vente'!$D$2:$D$1000="Agences et Après-vente"))*('Agences &amp; Après-vente'!$I$2:$I$1000="DONE"))&gt;0,"✓",IF(SUMPRODUCT(MAX(('Agences &amp; Après-vente'!$A$2:$A$1000=$A534)*(('Agences &amp; Après-vente'!$D$2:$D$1000="Agences")+('Agences &amp; Après-vente'!$D$2:$D$1000="Agences et Après-vente"))*'Agences &amp; Après-vente'!$E$2:$E$1000))&gt;0,TEXT(SUMPRODUCT(MAX(('Agences &amp; Après-vente'!$A$2:$A$1000=$A534)*(('Agences &amp; Après-vente'!$D$2:$D$1000="Agences")+('Agences &amp; Après-vente'!$D$2:$D$1000="Agences et Après-vente"))*'Agences &amp; Après-vente'!$E$2:$E$1000)),"yyyy-mm-dd"),""))))))</f>
        <v/>
      </c>
      <c r="I534" s="131" t="str">
        <f aca="false">IF($S534="✓","✓",IF(ISNUMBER($S534),TEXT($S534,"yyyy-mm-dd"),IF($A534="","",IF(SUMPRODUCT(('Agences &amp; Après-vente'!$A$2:$A$1000=$A534)*(('Agences &amp; Après-vente'!$D$2:$D$1000="Après-vente")+('Agences &amp; Après-vente'!$D$2:$D$1000="Agences et Après-vente"))*('Agences &amp; Après-vente'!$I$2:$I$1000="DONE"))&gt;0,"✓",IF(SUMPRODUCT(MAX(('Agences &amp; Après-vente'!$A$2:$A$1000=$A534)*(('Agences &amp; Après-vente'!$D$2:$D$1000="Après-vente")+('Agences &amp; Après-vente'!$D$2:$D$1000="Agences et Après-vente"))*'Agences &amp; Après-vente'!$E$2:$E$1000))&gt;0,TEXT(SUMPRODUCT(MAX(('Agences &amp; Après-vente'!$A$2:$A$1000=$A534)*(('Agences &amp; Après-vente'!$D$2:$D$1000="Après-vente")+('Agences &amp; Après-vente'!$D$2:$D$1000="Agences et Après-vente"))*'Agences &amp; Après-vente'!$E$2:$E$1000)),"yyyy-mm-dd"),"")))))</f>
        <v/>
      </c>
      <c r="J534" s="131" t="str">
        <f aca="false">IF($T534="✓","✓",IF(ISNUMBER($T534),TEXT($T534,"yyyy-mm-dd"),IF($A534="","",IF($D534="Lisbonne","",IF(SUMPRODUCT(('Agences &amp; Après-vente'!$A$2:$A$1000=$A534)*(('Agences &amp; Après-vente'!$D$2:$D$1000="Après-vente")+('Agences &amp; Après-vente'!$D$2:$D$1000="Agences et Après-vente"))*('Agences &amp; Après-vente'!$I$2:$I$1000="DONE"))&gt;0,"✓",IF(SUMPRODUCT(MAX(('Agences &amp; Après-vente'!$A$2:$A$1000=$A534)*(('Agences &amp; Après-vente'!$D$2:$D$1000="Après-vente")+('Agences &amp; Après-vente'!$D$2:$D$1000="Agences et Après-vente"))*'Agences &amp; Après-vente'!$E$2:$E$1000))&gt;0,TEXT(SUMPRODUCT(MAX(('Agences &amp; Après-vente'!$A$2:$A$1000=$A534)*(('Agences &amp; Après-vente'!$D$2:$D$1000="Après-vente")+('Agences &amp; Après-vente'!$D$2:$D$1000="Agences et Après-vente"))*'Agences &amp; Après-vente'!$E$2:$E$1000)),"yyyy-mm-dd"),""))))))</f>
        <v/>
      </c>
      <c r="K534" s="131" t="str">
        <f aca="false">IF($U534="✓","✓",IF(ISNUMBER($U534),TEXT($U534,"yyyy-mm-dd"),IF($D534="Lisbonne","",IF($A534="","",IF(SUMPRODUCT((Evermont!$A$2:$A$1000=$A534)*(Evermont!$Q$2:$Q$1000="Terminé"))&gt;0,"✓",IF(SUMPRODUCT(MAX((Evermont!$A$2:$A$1000=$A534)*Evermont!$F$2:$F$1000))&gt;0,TEXT(SUMPRODUCT(MAX((Evermont!$A$2:$A$1000=$A534)*Evermont!$F$2:$F$1000)),"yyyy-mm-dd"),""))))))</f>
        <v/>
      </c>
      <c r="L534" s="131" t="str">
        <f aca="false">IF($A534="","",COUNTIF(E534:K534,"✓"))</f>
        <v/>
      </c>
      <c r="M534" s="131" t="str">
        <f aca="false">IF(B534="","","Active")</f>
        <v/>
      </c>
      <c r="W534" s="120" t="str">
        <f aca="false">IF($A534="","",IF($X534&lt;&gt;"",$X534,IFERROR(INDEX('Formation Initiale'!$B$2:$B$999,MATCH($A534,'Formation Initiale'!$A$2:$A$999,0)),"Général")))</f>
        <v/>
      </c>
    </row>
    <row r="535" customFormat="false" ht="15" hidden="true" customHeight="true" outlineLevel="0" collapsed="false">
      <c r="A535" s="142" t="str">
        <f aca="false">IF(B535="","","TR"&amp;TEXT(ROW()-1,"000"))</f>
        <v/>
      </c>
      <c r="E535" s="130" t="str">
        <f aca="false">IF($O535="✓","✓",IF(ISNUMBER($O535),TEXT($O535,"yyyy-mm-dd"),IF($A535="","",IF(SUMPRODUCT(('Formation Initiale'!$A$2:$A$999=$A535)*('Formation Initiale'!$R$2:$R$999="Terminé"))&gt;0,"✓",IF(SUMPRODUCT(MAX(('Formation Initiale'!$A$2:$A$999=$A535)*'Formation Initiale'!$G$2:$G$999))&gt;0,TEXT(SUMPRODUCT(MAX(('Formation Initiale'!$A$2:$A$999=$A535)*'Formation Initiale'!$G$2:$G$999)),"yyyy-mm-dd"),"")))))</f>
        <v/>
      </c>
      <c r="F535" s="131" t="str">
        <f aca="false">IF($P535="✓","✓",IF(ISNUMBER($P535),TEXT($P535,"yyyy-mm-dd"),IF($A535="","",IF($D535="Lisbonne","",IF(SUMPRODUCT(('Formation Initiale'!$A$2:$A$999=$A535)*('Formation Initiale'!$R$2:$R$999="Terminé"))&gt;0,"✓",IF(SUMPRODUCT(MAX(('Formation Initiale'!$A$2:$A$999=$A535)*'Formation Initiale'!$G$2:$G$999))&gt;0,TEXT(SUMPRODUCT(MAX(('Formation Initiale'!$A$2:$A$999=$A535)*'Formation Initiale'!$G$2:$G$999)),"yyyy-mm-dd"),""))))))</f>
        <v/>
      </c>
      <c r="G535" s="131" t="str">
        <f aca="false">IF($Q535="✓","✓",IF(ISNUMBER($Q535),TEXT($Q535,"yyyy-mm-dd"),IF($A535="","",IF(SUMPRODUCT(('Agences &amp; Après-vente'!$A$2:$A$1000=$A535)*(('Agences &amp; Après-vente'!$D$2:$D$1000="Agences")+('Agences &amp; Après-vente'!$D$2:$D$1000="Agences et Après-vente"))*('Agences &amp; Après-vente'!$I$2:$I$1000="DONE"))&gt;0,"✓",IF(SUMPRODUCT(MAX(('Agences &amp; Après-vente'!$A$2:$A$1000=$A535)*(('Agences &amp; Après-vente'!$D$2:$D$1000="Agences")+('Agences &amp; Après-vente'!$D$2:$D$1000="Agences et Après-vente"))*'Agences &amp; Après-vente'!$E$2:$E$1000))&gt;0,TEXT(SUMPRODUCT(MAX(('Agences &amp; Après-vente'!$A$2:$A$1000=$A535)*(('Agences &amp; Après-vente'!$D$2:$D$1000="Agences")+('Agences &amp; Après-vente'!$D$2:$D$1000="Agences et Après-vente"))*'Agences &amp; Après-vente'!$E$2:$E$1000)),"yyyy-mm-dd"),"")))))</f>
        <v/>
      </c>
      <c r="H535" s="131" t="str">
        <f aca="false">IF($R535="✓","✓",IF(ISNUMBER($R535),TEXT($R535,"yyyy-mm-dd"),IF($A535="","",IF($D535="Lisbonne","",IF(SUMPRODUCT(('Agences &amp; Après-vente'!$A$2:$A$1000=$A535)*(('Agences &amp; Après-vente'!$D$2:$D$1000="Agences")+('Agences &amp; Après-vente'!$D$2:$D$1000="Agences et Après-vente"))*('Agences &amp; Après-vente'!$I$2:$I$1000="DONE"))&gt;0,"✓",IF(SUMPRODUCT(MAX(('Agences &amp; Après-vente'!$A$2:$A$1000=$A535)*(('Agences &amp; Après-vente'!$D$2:$D$1000="Agences")+('Agences &amp; Après-vente'!$D$2:$D$1000="Agences et Après-vente"))*'Agences &amp; Après-vente'!$E$2:$E$1000))&gt;0,TEXT(SUMPRODUCT(MAX(('Agences &amp; Après-vente'!$A$2:$A$1000=$A535)*(('Agences &amp; Après-vente'!$D$2:$D$1000="Agences")+('Agences &amp; Après-vente'!$D$2:$D$1000="Agences et Après-vente"))*'Agences &amp; Après-vente'!$E$2:$E$1000)),"yyyy-mm-dd"),""))))))</f>
        <v/>
      </c>
      <c r="I535" s="131" t="str">
        <f aca="false">IF($S535="✓","✓",IF(ISNUMBER($S535),TEXT($S535,"yyyy-mm-dd"),IF($A535="","",IF(SUMPRODUCT(('Agences &amp; Après-vente'!$A$2:$A$1000=$A535)*(('Agences &amp; Après-vente'!$D$2:$D$1000="Après-vente")+('Agences &amp; Après-vente'!$D$2:$D$1000="Agences et Après-vente"))*('Agences &amp; Après-vente'!$I$2:$I$1000="DONE"))&gt;0,"✓",IF(SUMPRODUCT(MAX(('Agences &amp; Après-vente'!$A$2:$A$1000=$A535)*(('Agences &amp; Après-vente'!$D$2:$D$1000="Après-vente")+('Agences &amp; Après-vente'!$D$2:$D$1000="Agences et Après-vente"))*'Agences &amp; Après-vente'!$E$2:$E$1000))&gt;0,TEXT(SUMPRODUCT(MAX(('Agences &amp; Après-vente'!$A$2:$A$1000=$A535)*(('Agences &amp; Après-vente'!$D$2:$D$1000="Après-vente")+('Agences &amp; Après-vente'!$D$2:$D$1000="Agences et Après-vente"))*'Agences &amp; Après-vente'!$E$2:$E$1000)),"yyyy-mm-dd"),"")))))</f>
        <v/>
      </c>
      <c r="J535" s="131" t="str">
        <f aca="false">IF($T535="✓","✓",IF(ISNUMBER($T535),TEXT($T535,"yyyy-mm-dd"),IF($A535="","",IF($D535="Lisbonne","",IF(SUMPRODUCT(('Agences &amp; Après-vente'!$A$2:$A$1000=$A535)*(('Agences &amp; Après-vente'!$D$2:$D$1000="Après-vente")+('Agences &amp; Après-vente'!$D$2:$D$1000="Agences et Après-vente"))*('Agences &amp; Après-vente'!$I$2:$I$1000="DONE"))&gt;0,"✓",IF(SUMPRODUCT(MAX(('Agences &amp; Après-vente'!$A$2:$A$1000=$A535)*(('Agences &amp; Après-vente'!$D$2:$D$1000="Après-vente")+('Agences &amp; Après-vente'!$D$2:$D$1000="Agences et Après-vente"))*'Agences &amp; Après-vente'!$E$2:$E$1000))&gt;0,TEXT(SUMPRODUCT(MAX(('Agences &amp; Après-vente'!$A$2:$A$1000=$A535)*(('Agences &amp; Après-vente'!$D$2:$D$1000="Après-vente")+('Agences &amp; Après-vente'!$D$2:$D$1000="Agences et Après-vente"))*'Agences &amp; Après-vente'!$E$2:$E$1000)),"yyyy-mm-dd"),""))))))</f>
        <v/>
      </c>
      <c r="K535" s="131" t="str">
        <f aca="false">IF($U535="✓","✓",IF(ISNUMBER($U535),TEXT($U535,"yyyy-mm-dd"),IF($D535="Lisbonne","",IF($A535="","",IF(SUMPRODUCT((Evermont!$A$2:$A$1000=$A535)*(Evermont!$Q$2:$Q$1000="Terminé"))&gt;0,"✓",IF(SUMPRODUCT(MAX((Evermont!$A$2:$A$1000=$A535)*Evermont!$F$2:$F$1000))&gt;0,TEXT(SUMPRODUCT(MAX((Evermont!$A$2:$A$1000=$A535)*Evermont!$F$2:$F$1000)),"yyyy-mm-dd"),""))))))</f>
        <v/>
      </c>
      <c r="L535" s="131" t="str">
        <f aca="false">IF($A535="","",COUNTIF(E535:K535,"✓"))</f>
        <v/>
      </c>
      <c r="M535" s="131" t="str">
        <f aca="false">IF(B535="","","Active")</f>
        <v/>
      </c>
      <c r="W535" s="120" t="str">
        <f aca="false">IF($A535="","",IF($X535&lt;&gt;"",$X535,IFERROR(INDEX('Formation Initiale'!$B$2:$B$999,MATCH($A535,'Formation Initiale'!$A$2:$A$999,0)),"Général")))</f>
        <v/>
      </c>
    </row>
    <row r="536" customFormat="false" ht="15" hidden="true" customHeight="true" outlineLevel="0" collapsed="false">
      <c r="A536" s="142" t="str">
        <f aca="false">IF(B536="","","TR"&amp;TEXT(ROW()-1,"000"))</f>
        <v/>
      </c>
      <c r="E536" s="130" t="str">
        <f aca="false">IF($O536="✓","✓",IF(ISNUMBER($O536),TEXT($O536,"yyyy-mm-dd"),IF($A536="","",IF(SUMPRODUCT(('Formation Initiale'!$A$2:$A$999=$A536)*('Formation Initiale'!$R$2:$R$999="Terminé"))&gt;0,"✓",IF(SUMPRODUCT(MAX(('Formation Initiale'!$A$2:$A$999=$A536)*'Formation Initiale'!$G$2:$G$999))&gt;0,TEXT(SUMPRODUCT(MAX(('Formation Initiale'!$A$2:$A$999=$A536)*'Formation Initiale'!$G$2:$G$999)),"yyyy-mm-dd"),"")))))</f>
        <v/>
      </c>
      <c r="F536" s="131" t="str">
        <f aca="false">IF($P536="✓","✓",IF(ISNUMBER($P536),TEXT($P536,"yyyy-mm-dd"),IF($A536="","",IF($D536="Lisbonne","",IF(SUMPRODUCT(('Formation Initiale'!$A$2:$A$999=$A536)*('Formation Initiale'!$R$2:$R$999="Terminé"))&gt;0,"✓",IF(SUMPRODUCT(MAX(('Formation Initiale'!$A$2:$A$999=$A536)*'Formation Initiale'!$G$2:$G$999))&gt;0,TEXT(SUMPRODUCT(MAX(('Formation Initiale'!$A$2:$A$999=$A536)*'Formation Initiale'!$G$2:$G$999)),"yyyy-mm-dd"),""))))))</f>
        <v/>
      </c>
      <c r="G536" s="131" t="str">
        <f aca="false">IF($Q536="✓","✓",IF(ISNUMBER($Q536),TEXT($Q536,"yyyy-mm-dd"),IF($A536="","",IF(SUMPRODUCT(('Agences &amp; Après-vente'!$A$2:$A$1000=$A536)*(('Agences &amp; Après-vente'!$D$2:$D$1000="Agences")+('Agences &amp; Après-vente'!$D$2:$D$1000="Agences et Après-vente"))*('Agences &amp; Après-vente'!$I$2:$I$1000="DONE"))&gt;0,"✓",IF(SUMPRODUCT(MAX(('Agences &amp; Après-vente'!$A$2:$A$1000=$A536)*(('Agences &amp; Après-vente'!$D$2:$D$1000="Agences")+('Agences &amp; Après-vente'!$D$2:$D$1000="Agences et Après-vente"))*'Agences &amp; Après-vente'!$E$2:$E$1000))&gt;0,TEXT(SUMPRODUCT(MAX(('Agences &amp; Après-vente'!$A$2:$A$1000=$A536)*(('Agences &amp; Après-vente'!$D$2:$D$1000="Agences")+('Agences &amp; Après-vente'!$D$2:$D$1000="Agences et Après-vente"))*'Agences &amp; Après-vente'!$E$2:$E$1000)),"yyyy-mm-dd"),"")))))</f>
        <v/>
      </c>
      <c r="H536" s="131" t="str">
        <f aca="false">IF($R536="✓","✓",IF(ISNUMBER($R536),TEXT($R536,"yyyy-mm-dd"),IF($A536="","",IF($D536="Lisbonne","",IF(SUMPRODUCT(('Agences &amp; Après-vente'!$A$2:$A$1000=$A536)*(('Agences &amp; Après-vente'!$D$2:$D$1000="Agences")+('Agences &amp; Après-vente'!$D$2:$D$1000="Agences et Après-vente"))*('Agences &amp; Après-vente'!$I$2:$I$1000="DONE"))&gt;0,"✓",IF(SUMPRODUCT(MAX(('Agences &amp; Après-vente'!$A$2:$A$1000=$A536)*(('Agences &amp; Après-vente'!$D$2:$D$1000="Agences")+('Agences &amp; Après-vente'!$D$2:$D$1000="Agences et Après-vente"))*'Agences &amp; Après-vente'!$E$2:$E$1000))&gt;0,TEXT(SUMPRODUCT(MAX(('Agences &amp; Après-vente'!$A$2:$A$1000=$A536)*(('Agences &amp; Après-vente'!$D$2:$D$1000="Agences")+('Agences &amp; Après-vente'!$D$2:$D$1000="Agences et Après-vente"))*'Agences &amp; Après-vente'!$E$2:$E$1000)),"yyyy-mm-dd"),""))))))</f>
        <v/>
      </c>
      <c r="I536" s="131" t="str">
        <f aca="false">IF($S536="✓","✓",IF(ISNUMBER($S536),TEXT($S536,"yyyy-mm-dd"),IF($A536="","",IF(SUMPRODUCT(('Agences &amp; Après-vente'!$A$2:$A$1000=$A536)*(('Agences &amp; Après-vente'!$D$2:$D$1000="Après-vente")+('Agences &amp; Après-vente'!$D$2:$D$1000="Agences et Après-vente"))*('Agences &amp; Après-vente'!$I$2:$I$1000="DONE"))&gt;0,"✓",IF(SUMPRODUCT(MAX(('Agences &amp; Après-vente'!$A$2:$A$1000=$A536)*(('Agences &amp; Après-vente'!$D$2:$D$1000="Après-vente")+('Agences &amp; Après-vente'!$D$2:$D$1000="Agences et Après-vente"))*'Agences &amp; Après-vente'!$E$2:$E$1000))&gt;0,TEXT(SUMPRODUCT(MAX(('Agences &amp; Après-vente'!$A$2:$A$1000=$A536)*(('Agences &amp; Après-vente'!$D$2:$D$1000="Après-vente")+('Agences &amp; Après-vente'!$D$2:$D$1000="Agences et Après-vente"))*'Agences &amp; Après-vente'!$E$2:$E$1000)),"yyyy-mm-dd"),"")))))</f>
        <v/>
      </c>
      <c r="J536" s="131" t="str">
        <f aca="false">IF($T536="✓","✓",IF(ISNUMBER($T536),TEXT($T536,"yyyy-mm-dd"),IF($A536="","",IF($D536="Lisbonne","",IF(SUMPRODUCT(('Agences &amp; Après-vente'!$A$2:$A$1000=$A536)*(('Agences &amp; Après-vente'!$D$2:$D$1000="Après-vente")+('Agences &amp; Après-vente'!$D$2:$D$1000="Agences et Après-vente"))*('Agences &amp; Après-vente'!$I$2:$I$1000="DONE"))&gt;0,"✓",IF(SUMPRODUCT(MAX(('Agences &amp; Après-vente'!$A$2:$A$1000=$A536)*(('Agences &amp; Après-vente'!$D$2:$D$1000="Après-vente")+('Agences &amp; Après-vente'!$D$2:$D$1000="Agences et Après-vente"))*'Agences &amp; Après-vente'!$E$2:$E$1000))&gt;0,TEXT(SUMPRODUCT(MAX(('Agences &amp; Après-vente'!$A$2:$A$1000=$A536)*(('Agences &amp; Après-vente'!$D$2:$D$1000="Après-vente")+('Agences &amp; Après-vente'!$D$2:$D$1000="Agences et Après-vente"))*'Agences &amp; Après-vente'!$E$2:$E$1000)),"yyyy-mm-dd"),""))))))</f>
        <v/>
      </c>
      <c r="K536" s="131" t="str">
        <f aca="false">IF($U536="✓","✓",IF(ISNUMBER($U536),TEXT($U536,"yyyy-mm-dd"),IF($D536="Lisbonne","",IF($A536="","",IF(SUMPRODUCT((Evermont!$A$2:$A$1000=$A536)*(Evermont!$Q$2:$Q$1000="Terminé"))&gt;0,"✓",IF(SUMPRODUCT(MAX((Evermont!$A$2:$A$1000=$A536)*Evermont!$F$2:$F$1000))&gt;0,TEXT(SUMPRODUCT(MAX((Evermont!$A$2:$A$1000=$A536)*Evermont!$F$2:$F$1000)),"yyyy-mm-dd"),""))))))</f>
        <v/>
      </c>
      <c r="L536" s="131" t="str">
        <f aca="false">IF($A536="","",COUNTIF(E536:K536,"✓"))</f>
        <v/>
      </c>
      <c r="M536" s="131" t="str">
        <f aca="false">IF(B536="","","Active")</f>
        <v/>
      </c>
      <c r="W536" s="120" t="str">
        <f aca="false">IF($A536="","",IF($X536&lt;&gt;"",$X536,IFERROR(INDEX('Formation Initiale'!$B$2:$B$999,MATCH($A536,'Formation Initiale'!$A$2:$A$999,0)),"Général")))</f>
        <v/>
      </c>
    </row>
    <row r="537" customFormat="false" ht="15" hidden="true" customHeight="true" outlineLevel="0" collapsed="false">
      <c r="A537" s="142" t="str">
        <f aca="false">IF(B537="","","TR"&amp;TEXT(ROW()-1,"000"))</f>
        <v/>
      </c>
      <c r="E537" s="130" t="str">
        <f aca="false">IF($O537="✓","✓",IF(ISNUMBER($O537),TEXT($O537,"yyyy-mm-dd"),IF($A537="","",IF(SUMPRODUCT(('Formation Initiale'!$A$2:$A$999=$A537)*('Formation Initiale'!$R$2:$R$999="Terminé"))&gt;0,"✓",IF(SUMPRODUCT(MAX(('Formation Initiale'!$A$2:$A$999=$A537)*'Formation Initiale'!$G$2:$G$999))&gt;0,TEXT(SUMPRODUCT(MAX(('Formation Initiale'!$A$2:$A$999=$A537)*'Formation Initiale'!$G$2:$G$999)),"yyyy-mm-dd"),"")))))</f>
        <v/>
      </c>
      <c r="F537" s="131" t="str">
        <f aca="false">IF($P537="✓","✓",IF(ISNUMBER($P537),TEXT($P537,"yyyy-mm-dd"),IF($A537="","",IF($D537="Lisbonne","",IF(SUMPRODUCT(('Formation Initiale'!$A$2:$A$999=$A537)*('Formation Initiale'!$R$2:$R$999="Terminé"))&gt;0,"✓",IF(SUMPRODUCT(MAX(('Formation Initiale'!$A$2:$A$999=$A537)*'Formation Initiale'!$G$2:$G$999))&gt;0,TEXT(SUMPRODUCT(MAX(('Formation Initiale'!$A$2:$A$999=$A537)*'Formation Initiale'!$G$2:$G$999)),"yyyy-mm-dd"),""))))))</f>
        <v/>
      </c>
      <c r="G537" s="131" t="str">
        <f aca="false">IF($Q537="✓","✓",IF(ISNUMBER($Q537),TEXT($Q537,"yyyy-mm-dd"),IF($A537="","",IF(SUMPRODUCT(('Agences &amp; Après-vente'!$A$2:$A$1000=$A537)*(('Agences &amp; Après-vente'!$D$2:$D$1000="Agences")+('Agences &amp; Après-vente'!$D$2:$D$1000="Agences et Après-vente"))*('Agences &amp; Après-vente'!$I$2:$I$1000="DONE"))&gt;0,"✓",IF(SUMPRODUCT(MAX(('Agences &amp; Après-vente'!$A$2:$A$1000=$A537)*(('Agences &amp; Après-vente'!$D$2:$D$1000="Agences")+('Agences &amp; Après-vente'!$D$2:$D$1000="Agences et Après-vente"))*'Agences &amp; Après-vente'!$E$2:$E$1000))&gt;0,TEXT(SUMPRODUCT(MAX(('Agences &amp; Après-vente'!$A$2:$A$1000=$A537)*(('Agences &amp; Après-vente'!$D$2:$D$1000="Agences")+('Agences &amp; Après-vente'!$D$2:$D$1000="Agences et Après-vente"))*'Agences &amp; Après-vente'!$E$2:$E$1000)),"yyyy-mm-dd"),"")))))</f>
        <v/>
      </c>
      <c r="H537" s="131" t="str">
        <f aca="false">IF($R537="✓","✓",IF(ISNUMBER($R537),TEXT($R537,"yyyy-mm-dd"),IF($A537="","",IF($D537="Lisbonne","",IF(SUMPRODUCT(('Agences &amp; Après-vente'!$A$2:$A$1000=$A537)*(('Agences &amp; Après-vente'!$D$2:$D$1000="Agences")+('Agences &amp; Après-vente'!$D$2:$D$1000="Agences et Après-vente"))*('Agences &amp; Après-vente'!$I$2:$I$1000="DONE"))&gt;0,"✓",IF(SUMPRODUCT(MAX(('Agences &amp; Après-vente'!$A$2:$A$1000=$A537)*(('Agences &amp; Après-vente'!$D$2:$D$1000="Agences")+('Agences &amp; Après-vente'!$D$2:$D$1000="Agences et Après-vente"))*'Agences &amp; Après-vente'!$E$2:$E$1000))&gt;0,TEXT(SUMPRODUCT(MAX(('Agences &amp; Après-vente'!$A$2:$A$1000=$A537)*(('Agences &amp; Après-vente'!$D$2:$D$1000="Agences")+('Agences &amp; Après-vente'!$D$2:$D$1000="Agences et Après-vente"))*'Agences &amp; Après-vente'!$E$2:$E$1000)),"yyyy-mm-dd"),""))))))</f>
        <v/>
      </c>
      <c r="I537" s="131" t="str">
        <f aca="false">IF($S537="✓","✓",IF(ISNUMBER($S537),TEXT($S537,"yyyy-mm-dd"),IF($A537="","",IF(SUMPRODUCT(('Agences &amp; Après-vente'!$A$2:$A$1000=$A537)*(('Agences &amp; Après-vente'!$D$2:$D$1000="Après-vente")+('Agences &amp; Après-vente'!$D$2:$D$1000="Agences et Après-vente"))*('Agences &amp; Après-vente'!$I$2:$I$1000="DONE"))&gt;0,"✓",IF(SUMPRODUCT(MAX(('Agences &amp; Après-vente'!$A$2:$A$1000=$A537)*(('Agences &amp; Après-vente'!$D$2:$D$1000="Après-vente")+('Agences &amp; Après-vente'!$D$2:$D$1000="Agences et Après-vente"))*'Agences &amp; Après-vente'!$E$2:$E$1000))&gt;0,TEXT(SUMPRODUCT(MAX(('Agences &amp; Après-vente'!$A$2:$A$1000=$A537)*(('Agences &amp; Après-vente'!$D$2:$D$1000="Après-vente")+('Agences &amp; Après-vente'!$D$2:$D$1000="Agences et Après-vente"))*'Agences &amp; Après-vente'!$E$2:$E$1000)),"yyyy-mm-dd"),"")))))</f>
        <v/>
      </c>
      <c r="J537" s="131" t="str">
        <f aca="false">IF($T537="✓","✓",IF(ISNUMBER($T537),TEXT($T537,"yyyy-mm-dd"),IF($A537="","",IF($D537="Lisbonne","",IF(SUMPRODUCT(('Agences &amp; Après-vente'!$A$2:$A$1000=$A537)*(('Agences &amp; Après-vente'!$D$2:$D$1000="Après-vente")+('Agences &amp; Après-vente'!$D$2:$D$1000="Agences et Après-vente"))*('Agences &amp; Après-vente'!$I$2:$I$1000="DONE"))&gt;0,"✓",IF(SUMPRODUCT(MAX(('Agences &amp; Après-vente'!$A$2:$A$1000=$A537)*(('Agences &amp; Après-vente'!$D$2:$D$1000="Après-vente")+('Agences &amp; Après-vente'!$D$2:$D$1000="Agences et Après-vente"))*'Agences &amp; Après-vente'!$E$2:$E$1000))&gt;0,TEXT(SUMPRODUCT(MAX(('Agences &amp; Après-vente'!$A$2:$A$1000=$A537)*(('Agences &amp; Après-vente'!$D$2:$D$1000="Après-vente")+('Agences &amp; Après-vente'!$D$2:$D$1000="Agences et Après-vente"))*'Agences &amp; Après-vente'!$E$2:$E$1000)),"yyyy-mm-dd"),""))))))</f>
        <v/>
      </c>
      <c r="K537" s="131" t="str">
        <f aca="false">IF($U537="✓","✓",IF(ISNUMBER($U537),TEXT($U537,"yyyy-mm-dd"),IF($D537="Lisbonne","",IF($A537="","",IF(SUMPRODUCT((Evermont!$A$2:$A$1000=$A537)*(Evermont!$Q$2:$Q$1000="Terminé"))&gt;0,"✓",IF(SUMPRODUCT(MAX((Evermont!$A$2:$A$1000=$A537)*Evermont!$F$2:$F$1000))&gt;0,TEXT(SUMPRODUCT(MAX((Evermont!$A$2:$A$1000=$A537)*Evermont!$F$2:$F$1000)),"yyyy-mm-dd"),""))))))</f>
        <v/>
      </c>
      <c r="L537" s="131" t="str">
        <f aca="false">IF($A537="","",COUNTIF(E537:K537,"✓"))</f>
        <v/>
      </c>
      <c r="M537" s="131" t="str">
        <f aca="false">IF(B537="","","Active")</f>
        <v/>
      </c>
      <c r="W537" s="120" t="str">
        <f aca="false">IF($A537="","",IF($X537&lt;&gt;"",$X537,IFERROR(INDEX('Formation Initiale'!$B$2:$B$999,MATCH($A537,'Formation Initiale'!$A$2:$A$999,0)),"Général")))</f>
        <v/>
      </c>
    </row>
    <row r="538" customFormat="false" ht="15" hidden="true" customHeight="true" outlineLevel="0" collapsed="false">
      <c r="A538" s="142" t="str">
        <f aca="false">IF(B538="","","TR"&amp;TEXT(ROW()-1,"000"))</f>
        <v/>
      </c>
      <c r="E538" s="130" t="str">
        <f aca="false">IF($O538="✓","✓",IF(ISNUMBER($O538),TEXT($O538,"yyyy-mm-dd"),IF($A538="","",IF(SUMPRODUCT(('Formation Initiale'!$A$2:$A$999=$A538)*('Formation Initiale'!$R$2:$R$999="Terminé"))&gt;0,"✓",IF(SUMPRODUCT(MAX(('Formation Initiale'!$A$2:$A$999=$A538)*'Formation Initiale'!$G$2:$G$999))&gt;0,TEXT(SUMPRODUCT(MAX(('Formation Initiale'!$A$2:$A$999=$A538)*'Formation Initiale'!$G$2:$G$999)),"yyyy-mm-dd"),"")))))</f>
        <v/>
      </c>
      <c r="F538" s="131" t="str">
        <f aca="false">IF($P538="✓","✓",IF(ISNUMBER($P538),TEXT($P538,"yyyy-mm-dd"),IF($A538="","",IF($D538="Lisbonne","",IF(SUMPRODUCT(('Formation Initiale'!$A$2:$A$999=$A538)*('Formation Initiale'!$R$2:$R$999="Terminé"))&gt;0,"✓",IF(SUMPRODUCT(MAX(('Formation Initiale'!$A$2:$A$999=$A538)*'Formation Initiale'!$G$2:$G$999))&gt;0,TEXT(SUMPRODUCT(MAX(('Formation Initiale'!$A$2:$A$999=$A538)*'Formation Initiale'!$G$2:$G$999)),"yyyy-mm-dd"),""))))))</f>
        <v/>
      </c>
      <c r="G538" s="131" t="str">
        <f aca="false">IF($Q538="✓","✓",IF(ISNUMBER($Q538),TEXT($Q538,"yyyy-mm-dd"),IF($A538="","",IF(SUMPRODUCT(('Agences &amp; Après-vente'!$A$2:$A$1000=$A538)*(('Agences &amp; Après-vente'!$D$2:$D$1000="Agences")+('Agences &amp; Après-vente'!$D$2:$D$1000="Agences et Après-vente"))*('Agences &amp; Après-vente'!$I$2:$I$1000="DONE"))&gt;0,"✓",IF(SUMPRODUCT(MAX(('Agences &amp; Après-vente'!$A$2:$A$1000=$A538)*(('Agences &amp; Après-vente'!$D$2:$D$1000="Agences")+('Agences &amp; Après-vente'!$D$2:$D$1000="Agences et Après-vente"))*'Agences &amp; Après-vente'!$E$2:$E$1000))&gt;0,TEXT(SUMPRODUCT(MAX(('Agences &amp; Après-vente'!$A$2:$A$1000=$A538)*(('Agences &amp; Après-vente'!$D$2:$D$1000="Agences")+('Agences &amp; Après-vente'!$D$2:$D$1000="Agences et Après-vente"))*'Agences &amp; Après-vente'!$E$2:$E$1000)),"yyyy-mm-dd"),"")))))</f>
        <v/>
      </c>
      <c r="H538" s="131" t="str">
        <f aca="false">IF($R538="✓","✓",IF(ISNUMBER($R538),TEXT($R538,"yyyy-mm-dd"),IF($A538="","",IF($D538="Lisbonne","",IF(SUMPRODUCT(('Agences &amp; Après-vente'!$A$2:$A$1000=$A538)*(('Agences &amp; Après-vente'!$D$2:$D$1000="Agences")+('Agences &amp; Après-vente'!$D$2:$D$1000="Agences et Après-vente"))*('Agences &amp; Après-vente'!$I$2:$I$1000="DONE"))&gt;0,"✓",IF(SUMPRODUCT(MAX(('Agences &amp; Après-vente'!$A$2:$A$1000=$A538)*(('Agences &amp; Après-vente'!$D$2:$D$1000="Agences")+('Agences &amp; Après-vente'!$D$2:$D$1000="Agences et Après-vente"))*'Agences &amp; Après-vente'!$E$2:$E$1000))&gt;0,TEXT(SUMPRODUCT(MAX(('Agences &amp; Après-vente'!$A$2:$A$1000=$A538)*(('Agences &amp; Après-vente'!$D$2:$D$1000="Agences")+('Agences &amp; Après-vente'!$D$2:$D$1000="Agences et Après-vente"))*'Agences &amp; Après-vente'!$E$2:$E$1000)),"yyyy-mm-dd"),""))))))</f>
        <v/>
      </c>
      <c r="I538" s="131" t="str">
        <f aca="false">IF($S538="✓","✓",IF(ISNUMBER($S538),TEXT($S538,"yyyy-mm-dd"),IF($A538="","",IF(SUMPRODUCT(('Agences &amp; Après-vente'!$A$2:$A$1000=$A538)*(('Agences &amp; Après-vente'!$D$2:$D$1000="Après-vente")+('Agences &amp; Après-vente'!$D$2:$D$1000="Agences et Après-vente"))*('Agences &amp; Après-vente'!$I$2:$I$1000="DONE"))&gt;0,"✓",IF(SUMPRODUCT(MAX(('Agences &amp; Après-vente'!$A$2:$A$1000=$A538)*(('Agences &amp; Après-vente'!$D$2:$D$1000="Après-vente")+('Agences &amp; Après-vente'!$D$2:$D$1000="Agences et Après-vente"))*'Agences &amp; Après-vente'!$E$2:$E$1000))&gt;0,TEXT(SUMPRODUCT(MAX(('Agences &amp; Après-vente'!$A$2:$A$1000=$A538)*(('Agences &amp; Après-vente'!$D$2:$D$1000="Après-vente")+('Agences &amp; Après-vente'!$D$2:$D$1000="Agences et Après-vente"))*'Agences &amp; Après-vente'!$E$2:$E$1000)),"yyyy-mm-dd"),"")))))</f>
        <v/>
      </c>
      <c r="J538" s="131" t="str">
        <f aca="false">IF($T538="✓","✓",IF(ISNUMBER($T538),TEXT($T538,"yyyy-mm-dd"),IF($A538="","",IF($D538="Lisbonne","",IF(SUMPRODUCT(('Agences &amp; Après-vente'!$A$2:$A$1000=$A538)*(('Agences &amp; Après-vente'!$D$2:$D$1000="Après-vente")+('Agences &amp; Après-vente'!$D$2:$D$1000="Agences et Après-vente"))*('Agences &amp; Après-vente'!$I$2:$I$1000="DONE"))&gt;0,"✓",IF(SUMPRODUCT(MAX(('Agences &amp; Après-vente'!$A$2:$A$1000=$A538)*(('Agences &amp; Après-vente'!$D$2:$D$1000="Après-vente")+('Agences &amp; Après-vente'!$D$2:$D$1000="Agences et Après-vente"))*'Agences &amp; Après-vente'!$E$2:$E$1000))&gt;0,TEXT(SUMPRODUCT(MAX(('Agences &amp; Après-vente'!$A$2:$A$1000=$A538)*(('Agences &amp; Après-vente'!$D$2:$D$1000="Après-vente")+('Agences &amp; Après-vente'!$D$2:$D$1000="Agences et Après-vente"))*'Agences &amp; Après-vente'!$E$2:$E$1000)),"yyyy-mm-dd"),""))))))</f>
        <v/>
      </c>
      <c r="K538" s="131" t="str">
        <f aca="false">IF($U538="✓","✓",IF(ISNUMBER($U538),TEXT($U538,"yyyy-mm-dd"),IF($D538="Lisbonne","",IF($A538="","",IF(SUMPRODUCT((Evermont!$A$2:$A$1000=$A538)*(Evermont!$Q$2:$Q$1000="Terminé"))&gt;0,"✓",IF(SUMPRODUCT(MAX((Evermont!$A$2:$A$1000=$A538)*Evermont!$F$2:$F$1000))&gt;0,TEXT(SUMPRODUCT(MAX((Evermont!$A$2:$A$1000=$A538)*Evermont!$F$2:$F$1000)),"yyyy-mm-dd"),""))))))</f>
        <v/>
      </c>
      <c r="L538" s="131" t="str">
        <f aca="false">IF($A538="","",COUNTIF(E538:K538,"✓"))</f>
        <v/>
      </c>
      <c r="M538" s="131" t="str">
        <f aca="false">IF(B538="","","Active")</f>
        <v/>
      </c>
      <c r="W538" s="120" t="str">
        <f aca="false">IF($A538="","",IF($X538&lt;&gt;"",$X538,IFERROR(INDEX('Formation Initiale'!$B$2:$B$999,MATCH($A538,'Formation Initiale'!$A$2:$A$999,0)),"Général")))</f>
        <v/>
      </c>
    </row>
    <row r="539" customFormat="false" ht="15" hidden="true" customHeight="true" outlineLevel="0" collapsed="false">
      <c r="A539" s="142" t="str">
        <f aca="false">IF(B539="","","TR"&amp;TEXT(ROW()-1,"000"))</f>
        <v/>
      </c>
      <c r="E539" s="130" t="str">
        <f aca="false">IF($O539="✓","✓",IF(ISNUMBER($O539),TEXT($O539,"yyyy-mm-dd"),IF($A539="","",IF(SUMPRODUCT(('Formation Initiale'!$A$2:$A$999=$A539)*('Formation Initiale'!$R$2:$R$999="Terminé"))&gt;0,"✓",IF(SUMPRODUCT(MAX(('Formation Initiale'!$A$2:$A$999=$A539)*'Formation Initiale'!$G$2:$G$999))&gt;0,TEXT(SUMPRODUCT(MAX(('Formation Initiale'!$A$2:$A$999=$A539)*'Formation Initiale'!$G$2:$G$999)),"yyyy-mm-dd"),"")))))</f>
        <v/>
      </c>
      <c r="F539" s="131" t="str">
        <f aca="false">IF($P539="✓","✓",IF(ISNUMBER($P539),TEXT($P539,"yyyy-mm-dd"),IF($A539="","",IF($D539="Lisbonne","",IF(SUMPRODUCT(('Formation Initiale'!$A$2:$A$999=$A539)*('Formation Initiale'!$R$2:$R$999="Terminé"))&gt;0,"✓",IF(SUMPRODUCT(MAX(('Formation Initiale'!$A$2:$A$999=$A539)*'Formation Initiale'!$G$2:$G$999))&gt;0,TEXT(SUMPRODUCT(MAX(('Formation Initiale'!$A$2:$A$999=$A539)*'Formation Initiale'!$G$2:$G$999)),"yyyy-mm-dd"),""))))))</f>
        <v/>
      </c>
      <c r="G539" s="131" t="str">
        <f aca="false">IF($Q539="✓","✓",IF(ISNUMBER($Q539),TEXT($Q539,"yyyy-mm-dd"),IF($A539="","",IF(SUMPRODUCT(('Agences &amp; Après-vente'!$A$2:$A$1000=$A539)*(('Agences &amp; Après-vente'!$D$2:$D$1000="Agences")+('Agences &amp; Après-vente'!$D$2:$D$1000="Agences et Après-vente"))*('Agences &amp; Après-vente'!$I$2:$I$1000="DONE"))&gt;0,"✓",IF(SUMPRODUCT(MAX(('Agences &amp; Après-vente'!$A$2:$A$1000=$A539)*(('Agences &amp; Après-vente'!$D$2:$D$1000="Agences")+('Agences &amp; Après-vente'!$D$2:$D$1000="Agences et Après-vente"))*'Agences &amp; Après-vente'!$E$2:$E$1000))&gt;0,TEXT(SUMPRODUCT(MAX(('Agences &amp; Après-vente'!$A$2:$A$1000=$A539)*(('Agences &amp; Après-vente'!$D$2:$D$1000="Agences")+('Agences &amp; Après-vente'!$D$2:$D$1000="Agences et Après-vente"))*'Agences &amp; Après-vente'!$E$2:$E$1000)),"yyyy-mm-dd"),"")))))</f>
        <v/>
      </c>
      <c r="H539" s="131" t="str">
        <f aca="false">IF($R539="✓","✓",IF(ISNUMBER($R539),TEXT($R539,"yyyy-mm-dd"),IF($A539="","",IF($D539="Lisbonne","",IF(SUMPRODUCT(('Agences &amp; Après-vente'!$A$2:$A$1000=$A539)*(('Agences &amp; Après-vente'!$D$2:$D$1000="Agences")+('Agences &amp; Après-vente'!$D$2:$D$1000="Agences et Après-vente"))*('Agences &amp; Après-vente'!$I$2:$I$1000="DONE"))&gt;0,"✓",IF(SUMPRODUCT(MAX(('Agences &amp; Après-vente'!$A$2:$A$1000=$A539)*(('Agences &amp; Après-vente'!$D$2:$D$1000="Agences")+('Agences &amp; Après-vente'!$D$2:$D$1000="Agences et Après-vente"))*'Agences &amp; Après-vente'!$E$2:$E$1000))&gt;0,TEXT(SUMPRODUCT(MAX(('Agences &amp; Après-vente'!$A$2:$A$1000=$A539)*(('Agences &amp; Après-vente'!$D$2:$D$1000="Agences")+('Agences &amp; Après-vente'!$D$2:$D$1000="Agences et Après-vente"))*'Agences &amp; Après-vente'!$E$2:$E$1000)),"yyyy-mm-dd"),""))))))</f>
        <v/>
      </c>
      <c r="I539" s="131" t="str">
        <f aca="false">IF($S539="✓","✓",IF(ISNUMBER($S539),TEXT($S539,"yyyy-mm-dd"),IF($A539="","",IF(SUMPRODUCT(('Agences &amp; Après-vente'!$A$2:$A$1000=$A539)*(('Agences &amp; Après-vente'!$D$2:$D$1000="Après-vente")+('Agences &amp; Après-vente'!$D$2:$D$1000="Agences et Après-vente"))*('Agences &amp; Après-vente'!$I$2:$I$1000="DONE"))&gt;0,"✓",IF(SUMPRODUCT(MAX(('Agences &amp; Après-vente'!$A$2:$A$1000=$A539)*(('Agences &amp; Après-vente'!$D$2:$D$1000="Après-vente")+('Agences &amp; Après-vente'!$D$2:$D$1000="Agences et Après-vente"))*'Agences &amp; Après-vente'!$E$2:$E$1000))&gt;0,TEXT(SUMPRODUCT(MAX(('Agences &amp; Après-vente'!$A$2:$A$1000=$A539)*(('Agences &amp; Après-vente'!$D$2:$D$1000="Après-vente")+('Agences &amp; Après-vente'!$D$2:$D$1000="Agences et Après-vente"))*'Agences &amp; Après-vente'!$E$2:$E$1000)),"yyyy-mm-dd"),"")))))</f>
        <v/>
      </c>
      <c r="J539" s="131" t="str">
        <f aca="false">IF($T539="✓","✓",IF(ISNUMBER($T539),TEXT($T539,"yyyy-mm-dd"),IF($A539="","",IF($D539="Lisbonne","",IF(SUMPRODUCT(('Agences &amp; Après-vente'!$A$2:$A$1000=$A539)*(('Agences &amp; Après-vente'!$D$2:$D$1000="Après-vente")+('Agences &amp; Après-vente'!$D$2:$D$1000="Agences et Après-vente"))*('Agences &amp; Après-vente'!$I$2:$I$1000="DONE"))&gt;0,"✓",IF(SUMPRODUCT(MAX(('Agences &amp; Après-vente'!$A$2:$A$1000=$A539)*(('Agences &amp; Après-vente'!$D$2:$D$1000="Après-vente")+('Agences &amp; Après-vente'!$D$2:$D$1000="Agences et Après-vente"))*'Agences &amp; Après-vente'!$E$2:$E$1000))&gt;0,TEXT(SUMPRODUCT(MAX(('Agences &amp; Après-vente'!$A$2:$A$1000=$A539)*(('Agences &amp; Après-vente'!$D$2:$D$1000="Après-vente")+('Agences &amp; Après-vente'!$D$2:$D$1000="Agences et Après-vente"))*'Agences &amp; Après-vente'!$E$2:$E$1000)),"yyyy-mm-dd"),""))))))</f>
        <v/>
      </c>
      <c r="K539" s="131" t="str">
        <f aca="false">IF($U539="✓","✓",IF(ISNUMBER($U539),TEXT($U539,"yyyy-mm-dd"),IF($D539="Lisbonne","",IF($A539="","",IF(SUMPRODUCT((Evermont!$A$2:$A$1000=$A539)*(Evermont!$Q$2:$Q$1000="Terminé"))&gt;0,"✓",IF(SUMPRODUCT(MAX((Evermont!$A$2:$A$1000=$A539)*Evermont!$F$2:$F$1000))&gt;0,TEXT(SUMPRODUCT(MAX((Evermont!$A$2:$A$1000=$A539)*Evermont!$F$2:$F$1000)),"yyyy-mm-dd"),""))))))</f>
        <v/>
      </c>
      <c r="L539" s="131" t="str">
        <f aca="false">IF($A539="","",COUNTIF(E539:K539,"✓"))</f>
        <v/>
      </c>
      <c r="M539" s="131" t="str">
        <f aca="false">IF(B539="","","Active")</f>
        <v/>
      </c>
      <c r="W539" s="120" t="str">
        <f aca="false">IF($A539="","",IF($X539&lt;&gt;"",$X539,IFERROR(INDEX('Formation Initiale'!$B$2:$B$999,MATCH($A539,'Formation Initiale'!$A$2:$A$999,0)),"Général")))</f>
        <v/>
      </c>
    </row>
    <row r="540" customFormat="false" ht="15" hidden="true" customHeight="true" outlineLevel="0" collapsed="false">
      <c r="A540" s="142" t="str">
        <f aca="false">IF(B540="","","TR"&amp;TEXT(ROW()-1,"000"))</f>
        <v/>
      </c>
      <c r="E540" s="130" t="str">
        <f aca="false">IF($O540="✓","✓",IF(ISNUMBER($O540),TEXT($O540,"yyyy-mm-dd"),IF($A540="","",IF(SUMPRODUCT(('Formation Initiale'!$A$2:$A$999=$A540)*('Formation Initiale'!$R$2:$R$999="Terminé"))&gt;0,"✓",IF(SUMPRODUCT(MAX(('Formation Initiale'!$A$2:$A$999=$A540)*'Formation Initiale'!$G$2:$G$999))&gt;0,TEXT(SUMPRODUCT(MAX(('Formation Initiale'!$A$2:$A$999=$A540)*'Formation Initiale'!$G$2:$G$999)),"yyyy-mm-dd"),"")))))</f>
        <v/>
      </c>
      <c r="F540" s="131" t="str">
        <f aca="false">IF($P540="✓","✓",IF(ISNUMBER($P540),TEXT($P540,"yyyy-mm-dd"),IF($A540="","",IF($D540="Lisbonne","",IF(SUMPRODUCT(('Formation Initiale'!$A$2:$A$999=$A540)*('Formation Initiale'!$R$2:$R$999="Terminé"))&gt;0,"✓",IF(SUMPRODUCT(MAX(('Formation Initiale'!$A$2:$A$999=$A540)*'Formation Initiale'!$G$2:$G$999))&gt;0,TEXT(SUMPRODUCT(MAX(('Formation Initiale'!$A$2:$A$999=$A540)*'Formation Initiale'!$G$2:$G$999)),"yyyy-mm-dd"),""))))))</f>
        <v/>
      </c>
      <c r="G540" s="131" t="str">
        <f aca="false">IF($Q540="✓","✓",IF(ISNUMBER($Q540),TEXT($Q540,"yyyy-mm-dd"),IF($A540="","",IF(SUMPRODUCT(('Agences &amp; Après-vente'!$A$2:$A$1000=$A540)*(('Agences &amp; Après-vente'!$D$2:$D$1000="Agences")+('Agences &amp; Après-vente'!$D$2:$D$1000="Agences et Après-vente"))*('Agences &amp; Après-vente'!$I$2:$I$1000="DONE"))&gt;0,"✓",IF(SUMPRODUCT(MAX(('Agences &amp; Après-vente'!$A$2:$A$1000=$A540)*(('Agences &amp; Après-vente'!$D$2:$D$1000="Agences")+('Agences &amp; Après-vente'!$D$2:$D$1000="Agences et Après-vente"))*'Agences &amp; Après-vente'!$E$2:$E$1000))&gt;0,TEXT(SUMPRODUCT(MAX(('Agences &amp; Après-vente'!$A$2:$A$1000=$A540)*(('Agences &amp; Après-vente'!$D$2:$D$1000="Agences")+('Agences &amp; Après-vente'!$D$2:$D$1000="Agences et Après-vente"))*'Agences &amp; Après-vente'!$E$2:$E$1000)),"yyyy-mm-dd"),"")))))</f>
        <v/>
      </c>
      <c r="H540" s="131" t="str">
        <f aca="false">IF($R540="✓","✓",IF(ISNUMBER($R540),TEXT($R540,"yyyy-mm-dd"),IF($A540="","",IF($D540="Lisbonne","",IF(SUMPRODUCT(('Agences &amp; Après-vente'!$A$2:$A$1000=$A540)*(('Agences &amp; Après-vente'!$D$2:$D$1000="Agences")+('Agences &amp; Après-vente'!$D$2:$D$1000="Agences et Après-vente"))*('Agences &amp; Après-vente'!$I$2:$I$1000="DONE"))&gt;0,"✓",IF(SUMPRODUCT(MAX(('Agences &amp; Après-vente'!$A$2:$A$1000=$A540)*(('Agences &amp; Après-vente'!$D$2:$D$1000="Agences")+('Agences &amp; Après-vente'!$D$2:$D$1000="Agences et Après-vente"))*'Agences &amp; Après-vente'!$E$2:$E$1000))&gt;0,TEXT(SUMPRODUCT(MAX(('Agences &amp; Après-vente'!$A$2:$A$1000=$A540)*(('Agences &amp; Après-vente'!$D$2:$D$1000="Agences")+('Agences &amp; Après-vente'!$D$2:$D$1000="Agences et Après-vente"))*'Agences &amp; Après-vente'!$E$2:$E$1000)),"yyyy-mm-dd"),""))))))</f>
        <v/>
      </c>
      <c r="I540" s="131" t="str">
        <f aca="false">IF($S540="✓","✓",IF(ISNUMBER($S540),TEXT($S540,"yyyy-mm-dd"),IF($A540="","",IF(SUMPRODUCT(('Agences &amp; Après-vente'!$A$2:$A$1000=$A540)*(('Agences &amp; Après-vente'!$D$2:$D$1000="Après-vente")+('Agences &amp; Après-vente'!$D$2:$D$1000="Agences et Après-vente"))*('Agences &amp; Après-vente'!$I$2:$I$1000="DONE"))&gt;0,"✓",IF(SUMPRODUCT(MAX(('Agences &amp; Après-vente'!$A$2:$A$1000=$A540)*(('Agences &amp; Après-vente'!$D$2:$D$1000="Après-vente")+('Agences &amp; Après-vente'!$D$2:$D$1000="Agences et Après-vente"))*'Agences &amp; Après-vente'!$E$2:$E$1000))&gt;0,TEXT(SUMPRODUCT(MAX(('Agences &amp; Après-vente'!$A$2:$A$1000=$A540)*(('Agences &amp; Après-vente'!$D$2:$D$1000="Après-vente")+('Agences &amp; Après-vente'!$D$2:$D$1000="Agences et Après-vente"))*'Agences &amp; Après-vente'!$E$2:$E$1000)),"yyyy-mm-dd"),"")))))</f>
        <v/>
      </c>
      <c r="J540" s="131" t="str">
        <f aca="false">IF($T540="✓","✓",IF(ISNUMBER($T540),TEXT($T540,"yyyy-mm-dd"),IF($A540="","",IF($D540="Lisbonne","",IF(SUMPRODUCT(('Agences &amp; Après-vente'!$A$2:$A$1000=$A540)*(('Agences &amp; Après-vente'!$D$2:$D$1000="Après-vente")+('Agences &amp; Après-vente'!$D$2:$D$1000="Agences et Après-vente"))*('Agences &amp; Après-vente'!$I$2:$I$1000="DONE"))&gt;0,"✓",IF(SUMPRODUCT(MAX(('Agences &amp; Après-vente'!$A$2:$A$1000=$A540)*(('Agences &amp; Après-vente'!$D$2:$D$1000="Après-vente")+('Agences &amp; Après-vente'!$D$2:$D$1000="Agences et Après-vente"))*'Agences &amp; Après-vente'!$E$2:$E$1000))&gt;0,TEXT(SUMPRODUCT(MAX(('Agences &amp; Après-vente'!$A$2:$A$1000=$A540)*(('Agences &amp; Après-vente'!$D$2:$D$1000="Après-vente")+('Agences &amp; Après-vente'!$D$2:$D$1000="Agences et Après-vente"))*'Agences &amp; Après-vente'!$E$2:$E$1000)),"yyyy-mm-dd"),""))))))</f>
        <v/>
      </c>
      <c r="K540" s="131" t="str">
        <f aca="false">IF($U540="✓","✓",IF(ISNUMBER($U540),TEXT($U540,"yyyy-mm-dd"),IF($D540="Lisbonne","",IF($A540="","",IF(SUMPRODUCT((Evermont!$A$2:$A$1000=$A540)*(Evermont!$Q$2:$Q$1000="Terminé"))&gt;0,"✓",IF(SUMPRODUCT(MAX((Evermont!$A$2:$A$1000=$A540)*Evermont!$F$2:$F$1000))&gt;0,TEXT(SUMPRODUCT(MAX((Evermont!$A$2:$A$1000=$A540)*Evermont!$F$2:$F$1000)),"yyyy-mm-dd"),""))))))</f>
        <v/>
      </c>
      <c r="L540" s="131" t="str">
        <f aca="false">IF($A540="","",COUNTIF(E540:K540,"✓"))</f>
        <v/>
      </c>
      <c r="M540" s="131" t="str">
        <f aca="false">IF(B540="","","Active")</f>
        <v/>
      </c>
      <c r="W540" s="120" t="str">
        <f aca="false">IF($A540="","",IF($X540&lt;&gt;"",$X540,IFERROR(INDEX('Formation Initiale'!$B$2:$B$999,MATCH($A540,'Formation Initiale'!$A$2:$A$999,0)),"Général")))</f>
        <v/>
      </c>
    </row>
    <row r="541" customFormat="false" ht="15" hidden="true" customHeight="true" outlineLevel="0" collapsed="false">
      <c r="A541" s="142" t="str">
        <f aca="false">IF(B541="","","TR"&amp;TEXT(ROW()-1,"000"))</f>
        <v/>
      </c>
      <c r="E541" s="130" t="str">
        <f aca="false">IF($O541="✓","✓",IF(ISNUMBER($O541),TEXT($O541,"yyyy-mm-dd"),IF($A541="","",IF(SUMPRODUCT(('Formation Initiale'!$A$2:$A$999=$A541)*('Formation Initiale'!$R$2:$R$999="Terminé"))&gt;0,"✓",IF(SUMPRODUCT(MAX(('Formation Initiale'!$A$2:$A$999=$A541)*'Formation Initiale'!$G$2:$G$999))&gt;0,TEXT(SUMPRODUCT(MAX(('Formation Initiale'!$A$2:$A$999=$A541)*'Formation Initiale'!$G$2:$G$999)),"yyyy-mm-dd"),"")))))</f>
        <v/>
      </c>
      <c r="F541" s="131" t="str">
        <f aca="false">IF($P541="✓","✓",IF(ISNUMBER($P541),TEXT($P541,"yyyy-mm-dd"),IF($A541="","",IF($D541="Lisbonne","",IF(SUMPRODUCT(('Formation Initiale'!$A$2:$A$999=$A541)*('Formation Initiale'!$R$2:$R$999="Terminé"))&gt;0,"✓",IF(SUMPRODUCT(MAX(('Formation Initiale'!$A$2:$A$999=$A541)*'Formation Initiale'!$G$2:$G$999))&gt;0,TEXT(SUMPRODUCT(MAX(('Formation Initiale'!$A$2:$A$999=$A541)*'Formation Initiale'!$G$2:$G$999)),"yyyy-mm-dd"),""))))))</f>
        <v/>
      </c>
      <c r="G541" s="131" t="str">
        <f aca="false">IF($Q541="✓","✓",IF(ISNUMBER($Q541),TEXT($Q541,"yyyy-mm-dd"),IF($A541="","",IF(SUMPRODUCT(('Agences &amp; Après-vente'!$A$2:$A$1000=$A541)*(('Agences &amp; Après-vente'!$D$2:$D$1000="Agences")+('Agences &amp; Après-vente'!$D$2:$D$1000="Agences et Après-vente"))*('Agences &amp; Après-vente'!$I$2:$I$1000="DONE"))&gt;0,"✓",IF(SUMPRODUCT(MAX(('Agences &amp; Après-vente'!$A$2:$A$1000=$A541)*(('Agences &amp; Après-vente'!$D$2:$D$1000="Agences")+('Agences &amp; Après-vente'!$D$2:$D$1000="Agences et Après-vente"))*'Agences &amp; Après-vente'!$E$2:$E$1000))&gt;0,TEXT(SUMPRODUCT(MAX(('Agences &amp; Après-vente'!$A$2:$A$1000=$A541)*(('Agences &amp; Après-vente'!$D$2:$D$1000="Agences")+('Agences &amp; Après-vente'!$D$2:$D$1000="Agences et Après-vente"))*'Agences &amp; Après-vente'!$E$2:$E$1000)),"yyyy-mm-dd"),"")))))</f>
        <v/>
      </c>
      <c r="H541" s="131" t="str">
        <f aca="false">IF($R541="✓","✓",IF(ISNUMBER($R541),TEXT($R541,"yyyy-mm-dd"),IF($A541="","",IF($D541="Lisbonne","",IF(SUMPRODUCT(('Agences &amp; Après-vente'!$A$2:$A$1000=$A541)*(('Agences &amp; Après-vente'!$D$2:$D$1000="Agences")+('Agences &amp; Après-vente'!$D$2:$D$1000="Agences et Après-vente"))*('Agences &amp; Après-vente'!$I$2:$I$1000="DONE"))&gt;0,"✓",IF(SUMPRODUCT(MAX(('Agences &amp; Après-vente'!$A$2:$A$1000=$A541)*(('Agences &amp; Après-vente'!$D$2:$D$1000="Agences")+('Agences &amp; Après-vente'!$D$2:$D$1000="Agences et Après-vente"))*'Agences &amp; Après-vente'!$E$2:$E$1000))&gt;0,TEXT(SUMPRODUCT(MAX(('Agences &amp; Après-vente'!$A$2:$A$1000=$A541)*(('Agences &amp; Après-vente'!$D$2:$D$1000="Agences")+('Agences &amp; Après-vente'!$D$2:$D$1000="Agences et Après-vente"))*'Agences &amp; Après-vente'!$E$2:$E$1000)),"yyyy-mm-dd"),""))))))</f>
        <v/>
      </c>
      <c r="I541" s="131" t="str">
        <f aca="false">IF($S541="✓","✓",IF(ISNUMBER($S541),TEXT($S541,"yyyy-mm-dd"),IF($A541="","",IF(SUMPRODUCT(('Agences &amp; Après-vente'!$A$2:$A$1000=$A541)*(('Agences &amp; Après-vente'!$D$2:$D$1000="Après-vente")+('Agences &amp; Après-vente'!$D$2:$D$1000="Agences et Après-vente"))*('Agences &amp; Après-vente'!$I$2:$I$1000="DONE"))&gt;0,"✓",IF(SUMPRODUCT(MAX(('Agences &amp; Après-vente'!$A$2:$A$1000=$A541)*(('Agences &amp; Après-vente'!$D$2:$D$1000="Après-vente")+('Agences &amp; Après-vente'!$D$2:$D$1000="Agences et Après-vente"))*'Agences &amp; Après-vente'!$E$2:$E$1000))&gt;0,TEXT(SUMPRODUCT(MAX(('Agences &amp; Après-vente'!$A$2:$A$1000=$A541)*(('Agences &amp; Après-vente'!$D$2:$D$1000="Après-vente")+('Agences &amp; Après-vente'!$D$2:$D$1000="Agences et Après-vente"))*'Agences &amp; Après-vente'!$E$2:$E$1000)),"yyyy-mm-dd"),"")))))</f>
        <v/>
      </c>
      <c r="J541" s="131" t="str">
        <f aca="false">IF($T541="✓","✓",IF(ISNUMBER($T541),TEXT($T541,"yyyy-mm-dd"),IF($A541="","",IF($D541="Lisbonne","",IF(SUMPRODUCT(('Agences &amp; Après-vente'!$A$2:$A$1000=$A541)*(('Agences &amp; Après-vente'!$D$2:$D$1000="Après-vente")+('Agences &amp; Après-vente'!$D$2:$D$1000="Agences et Après-vente"))*('Agences &amp; Après-vente'!$I$2:$I$1000="DONE"))&gt;0,"✓",IF(SUMPRODUCT(MAX(('Agences &amp; Après-vente'!$A$2:$A$1000=$A541)*(('Agences &amp; Après-vente'!$D$2:$D$1000="Après-vente")+('Agences &amp; Après-vente'!$D$2:$D$1000="Agences et Après-vente"))*'Agences &amp; Après-vente'!$E$2:$E$1000))&gt;0,TEXT(SUMPRODUCT(MAX(('Agences &amp; Après-vente'!$A$2:$A$1000=$A541)*(('Agences &amp; Après-vente'!$D$2:$D$1000="Après-vente")+('Agences &amp; Après-vente'!$D$2:$D$1000="Agences et Après-vente"))*'Agences &amp; Après-vente'!$E$2:$E$1000)),"yyyy-mm-dd"),""))))))</f>
        <v/>
      </c>
      <c r="K541" s="131" t="str">
        <f aca="false">IF($U541="✓","✓",IF(ISNUMBER($U541),TEXT($U541,"yyyy-mm-dd"),IF($D541="Lisbonne","",IF($A541="","",IF(SUMPRODUCT((Evermont!$A$2:$A$1000=$A541)*(Evermont!$Q$2:$Q$1000="Terminé"))&gt;0,"✓",IF(SUMPRODUCT(MAX((Evermont!$A$2:$A$1000=$A541)*Evermont!$F$2:$F$1000))&gt;0,TEXT(SUMPRODUCT(MAX((Evermont!$A$2:$A$1000=$A541)*Evermont!$F$2:$F$1000)),"yyyy-mm-dd"),""))))))</f>
        <v/>
      </c>
      <c r="L541" s="131" t="str">
        <f aca="false">IF($A541="","",COUNTIF(E541:K541,"✓"))</f>
        <v/>
      </c>
      <c r="M541" s="131" t="str">
        <f aca="false">IF(B541="","","Active")</f>
        <v/>
      </c>
      <c r="W541" s="120" t="str">
        <f aca="false">IF($A541="","",IF($X541&lt;&gt;"",$X541,IFERROR(INDEX('Formation Initiale'!$B$2:$B$999,MATCH($A541,'Formation Initiale'!$A$2:$A$999,0)),"Général")))</f>
        <v/>
      </c>
    </row>
    <row r="542" customFormat="false" ht="15" hidden="true" customHeight="true" outlineLevel="0" collapsed="false">
      <c r="A542" s="142" t="str">
        <f aca="false">IF(B542="","","TR"&amp;TEXT(ROW()-1,"000"))</f>
        <v/>
      </c>
      <c r="E542" s="130" t="str">
        <f aca="false">IF($O542="✓","✓",IF(ISNUMBER($O542),TEXT($O542,"yyyy-mm-dd"),IF($A542="","",IF(SUMPRODUCT(('Formation Initiale'!$A$2:$A$999=$A542)*('Formation Initiale'!$R$2:$R$999="Terminé"))&gt;0,"✓",IF(SUMPRODUCT(MAX(('Formation Initiale'!$A$2:$A$999=$A542)*'Formation Initiale'!$G$2:$G$999))&gt;0,TEXT(SUMPRODUCT(MAX(('Formation Initiale'!$A$2:$A$999=$A542)*'Formation Initiale'!$G$2:$G$999)),"yyyy-mm-dd"),"")))))</f>
        <v/>
      </c>
      <c r="F542" s="131" t="str">
        <f aca="false">IF($P542="✓","✓",IF(ISNUMBER($P542),TEXT($P542,"yyyy-mm-dd"),IF($A542="","",IF($D542="Lisbonne","",IF(SUMPRODUCT(('Formation Initiale'!$A$2:$A$999=$A542)*('Formation Initiale'!$R$2:$R$999="Terminé"))&gt;0,"✓",IF(SUMPRODUCT(MAX(('Formation Initiale'!$A$2:$A$999=$A542)*'Formation Initiale'!$G$2:$G$999))&gt;0,TEXT(SUMPRODUCT(MAX(('Formation Initiale'!$A$2:$A$999=$A542)*'Formation Initiale'!$G$2:$G$999)),"yyyy-mm-dd"),""))))))</f>
        <v/>
      </c>
      <c r="G542" s="131" t="str">
        <f aca="false">IF($Q542="✓","✓",IF(ISNUMBER($Q542),TEXT($Q542,"yyyy-mm-dd"),IF($A542="","",IF(SUMPRODUCT(('Agences &amp; Après-vente'!$A$2:$A$1000=$A542)*(('Agences &amp; Après-vente'!$D$2:$D$1000="Agences")+('Agences &amp; Après-vente'!$D$2:$D$1000="Agences et Après-vente"))*('Agences &amp; Après-vente'!$I$2:$I$1000="DONE"))&gt;0,"✓",IF(SUMPRODUCT(MAX(('Agences &amp; Après-vente'!$A$2:$A$1000=$A542)*(('Agences &amp; Après-vente'!$D$2:$D$1000="Agences")+('Agences &amp; Après-vente'!$D$2:$D$1000="Agences et Après-vente"))*'Agences &amp; Après-vente'!$E$2:$E$1000))&gt;0,TEXT(SUMPRODUCT(MAX(('Agences &amp; Après-vente'!$A$2:$A$1000=$A542)*(('Agences &amp; Après-vente'!$D$2:$D$1000="Agences")+('Agences &amp; Après-vente'!$D$2:$D$1000="Agences et Après-vente"))*'Agences &amp; Après-vente'!$E$2:$E$1000)),"yyyy-mm-dd"),"")))))</f>
        <v/>
      </c>
      <c r="H542" s="131" t="str">
        <f aca="false">IF($R542="✓","✓",IF(ISNUMBER($R542),TEXT($R542,"yyyy-mm-dd"),IF($A542="","",IF($D542="Lisbonne","",IF(SUMPRODUCT(('Agences &amp; Après-vente'!$A$2:$A$1000=$A542)*(('Agences &amp; Après-vente'!$D$2:$D$1000="Agences")+('Agences &amp; Après-vente'!$D$2:$D$1000="Agences et Après-vente"))*('Agences &amp; Après-vente'!$I$2:$I$1000="DONE"))&gt;0,"✓",IF(SUMPRODUCT(MAX(('Agences &amp; Après-vente'!$A$2:$A$1000=$A542)*(('Agences &amp; Après-vente'!$D$2:$D$1000="Agences")+('Agences &amp; Après-vente'!$D$2:$D$1000="Agences et Après-vente"))*'Agences &amp; Après-vente'!$E$2:$E$1000))&gt;0,TEXT(SUMPRODUCT(MAX(('Agences &amp; Après-vente'!$A$2:$A$1000=$A542)*(('Agences &amp; Après-vente'!$D$2:$D$1000="Agences")+('Agences &amp; Après-vente'!$D$2:$D$1000="Agences et Après-vente"))*'Agences &amp; Après-vente'!$E$2:$E$1000)),"yyyy-mm-dd"),""))))))</f>
        <v/>
      </c>
      <c r="I542" s="131" t="str">
        <f aca="false">IF($S542="✓","✓",IF(ISNUMBER($S542),TEXT($S542,"yyyy-mm-dd"),IF($A542="","",IF(SUMPRODUCT(('Agences &amp; Après-vente'!$A$2:$A$1000=$A542)*(('Agences &amp; Après-vente'!$D$2:$D$1000="Après-vente")+('Agences &amp; Après-vente'!$D$2:$D$1000="Agences et Après-vente"))*('Agences &amp; Après-vente'!$I$2:$I$1000="DONE"))&gt;0,"✓",IF(SUMPRODUCT(MAX(('Agences &amp; Après-vente'!$A$2:$A$1000=$A542)*(('Agences &amp; Après-vente'!$D$2:$D$1000="Après-vente")+('Agences &amp; Après-vente'!$D$2:$D$1000="Agences et Après-vente"))*'Agences &amp; Après-vente'!$E$2:$E$1000))&gt;0,TEXT(SUMPRODUCT(MAX(('Agences &amp; Après-vente'!$A$2:$A$1000=$A542)*(('Agences &amp; Après-vente'!$D$2:$D$1000="Après-vente")+('Agences &amp; Après-vente'!$D$2:$D$1000="Agences et Après-vente"))*'Agences &amp; Après-vente'!$E$2:$E$1000)),"yyyy-mm-dd"),"")))))</f>
        <v/>
      </c>
      <c r="J542" s="131" t="str">
        <f aca="false">IF($T542="✓","✓",IF(ISNUMBER($T542),TEXT($T542,"yyyy-mm-dd"),IF($A542="","",IF($D542="Lisbonne","",IF(SUMPRODUCT(('Agences &amp; Après-vente'!$A$2:$A$1000=$A542)*(('Agences &amp; Après-vente'!$D$2:$D$1000="Après-vente")+('Agences &amp; Après-vente'!$D$2:$D$1000="Agences et Après-vente"))*('Agences &amp; Après-vente'!$I$2:$I$1000="DONE"))&gt;0,"✓",IF(SUMPRODUCT(MAX(('Agences &amp; Après-vente'!$A$2:$A$1000=$A542)*(('Agences &amp; Après-vente'!$D$2:$D$1000="Après-vente")+('Agences &amp; Après-vente'!$D$2:$D$1000="Agences et Après-vente"))*'Agences &amp; Après-vente'!$E$2:$E$1000))&gt;0,TEXT(SUMPRODUCT(MAX(('Agences &amp; Après-vente'!$A$2:$A$1000=$A542)*(('Agences &amp; Après-vente'!$D$2:$D$1000="Après-vente")+('Agences &amp; Après-vente'!$D$2:$D$1000="Agences et Après-vente"))*'Agences &amp; Après-vente'!$E$2:$E$1000)),"yyyy-mm-dd"),""))))))</f>
        <v/>
      </c>
      <c r="K542" s="131" t="str">
        <f aca="false">IF($U542="✓","✓",IF(ISNUMBER($U542),TEXT($U542,"yyyy-mm-dd"),IF($D542="Lisbonne","",IF($A542="","",IF(SUMPRODUCT((Evermont!$A$2:$A$1000=$A542)*(Evermont!$Q$2:$Q$1000="Terminé"))&gt;0,"✓",IF(SUMPRODUCT(MAX((Evermont!$A$2:$A$1000=$A542)*Evermont!$F$2:$F$1000))&gt;0,TEXT(SUMPRODUCT(MAX((Evermont!$A$2:$A$1000=$A542)*Evermont!$F$2:$F$1000)),"yyyy-mm-dd"),""))))))</f>
        <v/>
      </c>
      <c r="L542" s="131" t="str">
        <f aca="false">IF($A542="","",COUNTIF(E542:K542,"✓"))</f>
        <v/>
      </c>
      <c r="M542" s="131" t="str">
        <f aca="false">IF(B542="","","Active")</f>
        <v/>
      </c>
      <c r="W542" s="120" t="str">
        <f aca="false">IF($A542="","",IF($X542&lt;&gt;"",$X542,IFERROR(INDEX('Formation Initiale'!$B$2:$B$999,MATCH($A542,'Formation Initiale'!$A$2:$A$999,0)),"Général")))</f>
        <v/>
      </c>
    </row>
    <row r="543" customFormat="false" ht="15" hidden="true" customHeight="true" outlineLevel="0" collapsed="false">
      <c r="A543" s="142" t="str">
        <f aca="false">IF(B543="","","TR"&amp;TEXT(ROW()-1,"000"))</f>
        <v/>
      </c>
      <c r="E543" s="130" t="str">
        <f aca="false">IF($O543="✓","✓",IF(ISNUMBER($O543),TEXT($O543,"yyyy-mm-dd"),IF($A543="","",IF(SUMPRODUCT(('Formation Initiale'!$A$2:$A$999=$A543)*('Formation Initiale'!$R$2:$R$999="Terminé"))&gt;0,"✓",IF(SUMPRODUCT(MAX(('Formation Initiale'!$A$2:$A$999=$A543)*'Formation Initiale'!$G$2:$G$999))&gt;0,TEXT(SUMPRODUCT(MAX(('Formation Initiale'!$A$2:$A$999=$A543)*'Formation Initiale'!$G$2:$G$999)),"yyyy-mm-dd"),"")))))</f>
        <v/>
      </c>
      <c r="F543" s="131" t="str">
        <f aca="false">IF($P543="✓","✓",IF(ISNUMBER($P543),TEXT($P543,"yyyy-mm-dd"),IF($A543="","",IF($D543="Lisbonne","",IF(SUMPRODUCT(('Formation Initiale'!$A$2:$A$999=$A543)*('Formation Initiale'!$R$2:$R$999="Terminé"))&gt;0,"✓",IF(SUMPRODUCT(MAX(('Formation Initiale'!$A$2:$A$999=$A543)*'Formation Initiale'!$G$2:$G$999))&gt;0,TEXT(SUMPRODUCT(MAX(('Formation Initiale'!$A$2:$A$999=$A543)*'Formation Initiale'!$G$2:$G$999)),"yyyy-mm-dd"),""))))))</f>
        <v/>
      </c>
      <c r="G543" s="131" t="str">
        <f aca="false">IF($Q543="✓","✓",IF(ISNUMBER($Q543),TEXT($Q543,"yyyy-mm-dd"),IF($A543="","",IF(SUMPRODUCT(('Agences &amp; Après-vente'!$A$2:$A$1000=$A543)*(('Agences &amp; Après-vente'!$D$2:$D$1000="Agences")+('Agences &amp; Après-vente'!$D$2:$D$1000="Agences et Après-vente"))*('Agences &amp; Après-vente'!$I$2:$I$1000="DONE"))&gt;0,"✓",IF(SUMPRODUCT(MAX(('Agences &amp; Après-vente'!$A$2:$A$1000=$A543)*(('Agences &amp; Après-vente'!$D$2:$D$1000="Agences")+('Agences &amp; Après-vente'!$D$2:$D$1000="Agences et Après-vente"))*'Agences &amp; Après-vente'!$E$2:$E$1000))&gt;0,TEXT(SUMPRODUCT(MAX(('Agences &amp; Après-vente'!$A$2:$A$1000=$A543)*(('Agences &amp; Après-vente'!$D$2:$D$1000="Agences")+('Agences &amp; Après-vente'!$D$2:$D$1000="Agences et Après-vente"))*'Agences &amp; Après-vente'!$E$2:$E$1000)),"yyyy-mm-dd"),"")))))</f>
        <v/>
      </c>
      <c r="H543" s="131" t="str">
        <f aca="false">IF($R543="✓","✓",IF(ISNUMBER($R543),TEXT($R543,"yyyy-mm-dd"),IF($A543="","",IF($D543="Lisbonne","",IF(SUMPRODUCT(('Agences &amp; Après-vente'!$A$2:$A$1000=$A543)*(('Agences &amp; Après-vente'!$D$2:$D$1000="Agences")+('Agences &amp; Après-vente'!$D$2:$D$1000="Agences et Après-vente"))*('Agences &amp; Après-vente'!$I$2:$I$1000="DONE"))&gt;0,"✓",IF(SUMPRODUCT(MAX(('Agences &amp; Après-vente'!$A$2:$A$1000=$A543)*(('Agences &amp; Après-vente'!$D$2:$D$1000="Agences")+('Agences &amp; Après-vente'!$D$2:$D$1000="Agences et Après-vente"))*'Agences &amp; Après-vente'!$E$2:$E$1000))&gt;0,TEXT(SUMPRODUCT(MAX(('Agences &amp; Après-vente'!$A$2:$A$1000=$A543)*(('Agences &amp; Après-vente'!$D$2:$D$1000="Agences")+('Agences &amp; Après-vente'!$D$2:$D$1000="Agences et Après-vente"))*'Agences &amp; Après-vente'!$E$2:$E$1000)),"yyyy-mm-dd"),""))))))</f>
        <v/>
      </c>
      <c r="I543" s="131" t="str">
        <f aca="false">IF($S543="✓","✓",IF(ISNUMBER($S543),TEXT($S543,"yyyy-mm-dd"),IF($A543="","",IF(SUMPRODUCT(('Agences &amp; Après-vente'!$A$2:$A$1000=$A543)*(('Agences &amp; Après-vente'!$D$2:$D$1000="Après-vente")+('Agences &amp; Après-vente'!$D$2:$D$1000="Agences et Après-vente"))*('Agences &amp; Après-vente'!$I$2:$I$1000="DONE"))&gt;0,"✓",IF(SUMPRODUCT(MAX(('Agences &amp; Après-vente'!$A$2:$A$1000=$A543)*(('Agences &amp; Après-vente'!$D$2:$D$1000="Après-vente")+('Agences &amp; Après-vente'!$D$2:$D$1000="Agences et Après-vente"))*'Agences &amp; Après-vente'!$E$2:$E$1000))&gt;0,TEXT(SUMPRODUCT(MAX(('Agences &amp; Après-vente'!$A$2:$A$1000=$A543)*(('Agences &amp; Après-vente'!$D$2:$D$1000="Après-vente")+('Agences &amp; Après-vente'!$D$2:$D$1000="Agences et Après-vente"))*'Agences &amp; Après-vente'!$E$2:$E$1000)),"yyyy-mm-dd"),"")))))</f>
        <v/>
      </c>
      <c r="J543" s="131" t="str">
        <f aca="false">IF($T543="✓","✓",IF(ISNUMBER($T543),TEXT($T543,"yyyy-mm-dd"),IF($A543="","",IF($D543="Lisbonne","",IF(SUMPRODUCT(('Agences &amp; Après-vente'!$A$2:$A$1000=$A543)*(('Agences &amp; Après-vente'!$D$2:$D$1000="Après-vente")+('Agences &amp; Après-vente'!$D$2:$D$1000="Agences et Après-vente"))*('Agences &amp; Après-vente'!$I$2:$I$1000="DONE"))&gt;0,"✓",IF(SUMPRODUCT(MAX(('Agences &amp; Après-vente'!$A$2:$A$1000=$A543)*(('Agences &amp; Après-vente'!$D$2:$D$1000="Après-vente")+('Agences &amp; Après-vente'!$D$2:$D$1000="Agences et Après-vente"))*'Agences &amp; Après-vente'!$E$2:$E$1000))&gt;0,TEXT(SUMPRODUCT(MAX(('Agences &amp; Après-vente'!$A$2:$A$1000=$A543)*(('Agences &amp; Après-vente'!$D$2:$D$1000="Après-vente")+('Agences &amp; Après-vente'!$D$2:$D$1000="Agences et Après-vente"))*'Agences &amp; Après-vente'!$E$2:$E$1000)),"yyyy-mm-dd"),""))))))</f>
        <v/>
      </c>
      <c r="K543" s="131" t="str">
        <f aca="false">IF($U543="✓","✓",IF(ISNUMBER($U543),TEXT($U543,"yyyy-mm-dd"),IF($D543="Lisbonne","",IF($A543="","",IF(SUMPRODUCT((Evermont!$A$2:$A$1000=$A543)*(Evermont!$Q$2:$Q$1000="Terminé"))&gt;0,"✓",IF(SUMPRODUCT(MAX((Evermont!$A$2:$A$1000=$A543)*Evermont!$F$2:$F$1000))&gt;0,TEXT(SUMPRODUCT(MAX((Evermont!$A$2:$A$1000=$A543)*Evermont!$F$2:$F$1000)),"yyyy-mm-dd"),""))))))</f>
        <v/>
      </c>
      <c r="L543" s="131" t="str">
        <f aca="false">IF($A543="","",COUNTIF(E543:K543,"✓"))</f>
        <v/>
      </c>
      <c r="M543" s="131" t="str">
        <f aca="false">IF(B543="","","Active")</f>
        <v/>
      </c>
      <c r="W543" s="120" t="str">
        <f aca="false">IF($A543="","",IF($X543&lt;&gt;"",$X543,IFERROR(INDEX('Formation Initiale'!$B$2:$B$999,MATCH($A543,'Formation Initiale'!$A$2:$A$999,0)),"Général")))</f>
        <v/>
      </c>
    </row>
    <row r="544" customFormat="false" ht="15" hidden="true" customHeight="true" outlineLevel="0" collapsed="false">
      <c r="A544" s="142" t="str">
        <f aca="false">IF(B544="","","TR"&amp;TEXT(ROW()-1,"000"))</f>
        <v/>
      </c>
      <c r="E544" s="130" t="str">
        <f aca="false">IF($O544="✓","✓",IF(ISNUMBER($O544),TEXT($O544,"yyyy-mm-dd"),IF($A544="","",IF(SUMPRODUCT(('Formation Initiale'!$A$2:$A$999=$A544)*('Formation Initiale'!$R$2:$R$999="Terminé"))&gt;0,"✓",IF(SUMPRODUCT(MAX(('Formation Initiale'!$A$2:$A$999=$A544)*'Formation Initiale'!$G$2:$G$999))&gt;0,TEXT(SUMPRODUCT(MAX(('Formation Initiale'!$A$2:$A$999=$A544)*'Formation Initiale'!$G$2:$G$999)),"yyyy-mm-dd"),"")))))</f>
        <v/>
      </c>
      <c r="F544" s="131" t="str">
        <f aca="false">IF($P544="✓","✓",IF(ISNUMBER($P544),TEXT($P544,"yyyy-mm-dd"),IF($A544="","",IF($D544="Lisbonne","",IF(SUMPRODUCT(('Formation Initiale'!$A$2:$A$999=$A544)*('Formation Initiale'!$R$2:$R$999="Terminé"))&gt;0,"✓",IF(SUMPRODUCT(MAX(('Formation Initiale'!$A$2:$A$999=$A544)*'Formation Initiale'!$G$2:$G$999))&gt;0,TEXT(SUMPRODUCT(MAX(('Formation Initiale'!$A$2:$A$999=$A544)*'Formation Initiale'!$G$2:$G$999)),"yyyy-mm-dd"),""))))))</f>
        <v/>
      </c>
      <c r="G544" s="131" t="str">
        <f aca="false">IF($Q544="✓","✓",IF(ISNUMBER($Q544),TEXT($Q544,"yyyy-mm-dd"),IF($A544="","",IF(SUMPRODUCT(('Agences &amp; Après-vente'!$A$2:$A$1000=$A544)*(('Agences &amp; Après-vente'!$D$2:$D$1000="Agences")+('Agences &amp; Après-vente'!$D$2:$D$1000="Agences et Après-vente"))*('Agences &amp; Après-vente'!$I$2:$I$1000="DONE"))&gt;0,"✓",IF(SUMPRODUCT(MAX(('Agences &amp; Après-vente'!$A$2:$A$1000=$A544)*(('Agences &amp; Après-vente'!$D$2:$D$1000="Agences")+('Agences &amp; Après-vente'!$D$2:$D$1000="Agences et Après-vente"))*'Agences &amp; Après-vente'!$E$2:$E$1000))&gt;0,TEXT(SUMPRODUCT(MAX(('Agences &amp; Après-vente'!$A$2:$A$1000=$A544)*(('Agences &amp; Après-vente'!$D$2:$D$1000="Agences")+('Agences &amp; Après-vente'!$D$2:$D$1000="Agences et Après-vente"))*'Agences &amp; Après-vente'!$E$2:$E$1000)),"yyyy-mm-dd"),"")))))</f>
        <v/>
      </c>
      <c r="H544" s="131" t="str">
        <f aca="false">IF($R544="✓","✓",IF(ISNUMBER($R544),TEXT($R544,"yyyy-mm-dd"),IF($A544="","",IF($D544="Lisbonne","",IF(SUMPRODUCT(('Agences &amp; Après-vente'!$A$2:$A$1000=$A544)*(('Agences &amp; Après-vente'!$D$2:$D$1000="Agences")+('Agences &amp; Après-vente'!$D$2:$D$1000="Agences et Après-vente"))*('Agences &amp; Après-vente'!$I$2:$I$1000="DONE"))&gt;0,"✓",IF(SUMPRODUCT(MAX(('Agences &amp; Après-vente'!$A$2:$A$1000=$A544)*(('Agences &amp; Après-vente'!$D$2:$D$1000="Agences")+('Agences &amp; Après-vente'!$D$2:$D$1000="Agences et Après-vente"))*'Agences &amp; Après-vente'!$E$2:$E$1000))&gt;0,TEXT(SUMPRODUCT(MAX(('Agences &amp; Après-vente'!$A$2:$A$1000=$A544)*(('Agences &amp; Après-vente'!$D$2:$D$1000="Agences")+('Agences &amp; Après-vente'!$D$2:$D$1000="Agences et Après-vente"))*'Agences &amp; Après-vente'!$E$2:$E$1000)),"yyyy-mm-dd"),""))))))</f>
        <v/>
      </c>
      <c r="I544" s="131" t="str">
        <f aca="false">IF($S544="✓","✓",IF(ISNUMBER($S544),TEXT($S544,"yyyy-mm-dd"),IF($A544="","",IF(SUMPRODUCT(('Agences &amp; Après-vente'!$A$2:$A$1000=$A544)*(('Agences &amp; Après-vente'!$D$2:$D$1000="Après-vente")+('Agences &amp; Après-vente'!$D$2:$D$1000="Agences et Après-vente"))*('Agences &amp; Après-vente'!$I$2:$I$1000="DONE"))&gt;0,"✓",IF(SUMPRODUCT(MAX(('Agences &amp; Après-vente'!$A$2:$A$1000=$A544)*(('Agences &amp; Après-vente'!$D$2:$D$1000="Après-vente")+('Agences &amp; Après-vente'!$D$2:$D$1000="Agences et Après-vente"))*'Agences &amp; Après-vente'!$E$2:$E$1000))&gt;0,TEXT(SUMPRODUCT(MAX(('Agences &amp; Après-vente'!$A$2:$A$1000=$A544)*(('Agences &amp; Après-vente'!$D$2:$D$1000="Après-vente")+('Agences &amp; Après-vente'!$D$2:$D$1000="Agences et Après-vente"))*'Agences &amp; Après-vente'!$E$2:$E$1000)),"yyyy-mm-dd"),"")))))</f>
        <v/>
      </c>
      <c r="J544" s="131" t="str">
        <f aca="false">IF($T544="✓","✓",IF(ISNUMBER($T544),TEXT($T544,"yyyy-mm-dd"),IF($A544="","",IF($D544="Lisbonne","",IF(SUMPRODUCT(('Agences &amp; Après-vente'!$A$2:$A$1000=$A544)*(('Agences &amp; Après-vente'!$D$2:$D$1000="Après-vente")+('Agences &amp; Après-vente'!$D$2:$D$1000="Agences et Après-vente"))*('Agences &amp; Après-vente'!$I$2:$I$1000="DONE"))&gt;0,"✓",IF(SUMPRODUCT(MAX(('Agences &amp; Après-vente'!$A$2:$A$1000=$A544)*(('Agences &amp; Après-vente'!$D$2:$D$1000="Après-vente")+('Agences &amp; Après-vente'!$D$2:$D$1000="Agences et Après-vente"))*'Agences &amp; Après-vente'!$E$2:$E$1000))&gt;0,TEXT(SUMPRODUCT(MAX(('Agences &amp; Après-vente'!$A$2:$A$1000=$A544)*(('Agences &amp; Après-vente'!$D$2:$D$1000="Après-vente")+('Agences &amp; Après-vente'!$D$2:$D$1000="Agences et Après-vente"))*'Agences &amp; Après-vente'!$E$2:$E$1000)),"yyyy-mm-dd"),""))))))</f>
        <v/>
      </c>
      <c r="K544" s="131" t="str">
        <f aca="false">IF($U544="✓","✓",IF(ISNUMBER($U544),TEXT($U544,"yyyy-mm-dd"),IF($D544="Lisbonne","",IF($A544="","",IF(SUMPRODUCT((Evermont!$A$2:$A$1000=$A544)*(Evermont!$Q$2:$Q$1000="Terminé"))&gt;0,"✓",IF(SUMPRODUCT(MAX((Evermont!$A$2:$A$1000=$A544)*Evermont!$F$2:$F$1000))&gt;0,TEXT(SUMPRODUCT(MAX((Evermont!$A$2:$A$1000=$A544)*Evermont!$F$2:$F$1000)),"yyyy-mm-dd"),""))))))</f>
        <v/>
      </c>
      <c r="L544" s="131" t="str">
        <f aca="false">IF($A544="","",COUNTIF(E544:K544,"✓"))</f>
        <v/>
      </c>
      <c r="M544" s="131" t="str">
        <f aca="false">IF(B544="","","Active")</f>
        <v/>
      </c>
      <c r="W544" s="120" t="str">
        <f aca="false">IF($A544="","",IF($X544&lt;&gt;"",$X544,IFERROR(INDEX('Formation Initiale'!$B$2:$B$999,MATCH($A544,'Formation Initiale'!$A$2:$A$999,0)),"Général")))</f>
        <v/>
      </c>
    </row>
    <row r="545" customFormat="false" ht="15" hidden="true" customHeight="true" outlineLevel="0" collapsed="false">
      <c r="A545" s="142" t="str">
        <f aca="false">IF(B545="","","TR"&amp;TEXT(ROW()-1,"000"))</f>
        <v/>
      </c>
      <c r="E545" s="130" t="str">
        <f aca="false">IF($O545="✓","✓",IF(ISNUMBER($O545),TEXT($O545,"yyyy-mm-dd"),IF($A545="","",IF(SUMPRODUCT(('Formation Initiale'!$A$2:$A$999=$A545)*('Formation Initiale'!$R$2:$R$999="Terminé"))&gt;0,"✓",IF(SUMPRODUCT(MAX(('Formation Initiale'!$A$2:$A$999=$A545)*'Formation Initiale'!$G$2:$G$999))&gt;0,TEXT(SUMPRODUCT(MAX(('Formation Initiale'!$A$2:$A$999=$A545)*'Formation Initiale'!$G$2:$G$999)),"yyyy-mm-dd"),"")))))</f>
        <v/>
      </c>
      <c r="F545" s="131" t="str">
        <f aca="false">IF($P545="✓","✓",IF(ISNUMBER($P545),TEXT($P545,"yyyy-mm-dd"),IF($A545="","",IF($D545="Lisbonne","",IF(SUMPRODUCT(('Formation Initiale'!$A$2:$A$999=$A545)*('Formation Initiale'!$R$2:$R$999="Terminé"))&gt;0,"✓",IF(SUMPRODUCT(MAX(('Formation Initiale'!$A$2:$A$999=$A545)*'Formation Initiale'!$G$2:$G$999))&gt;0,TEXT(SUMPRODUCT(MAX(('Formation Initiale'!$A$2:$A$999=$A545)*'Formation Initiale'!$G$2:$G$999)),"yyyy-mm-dd"),""))))))</f>
        <v/>
      </c>
      <c r="G545" s="131" t="str">
        <f aca="false">IF($Q545="✓","✓",IF(ISNUMBER($Q545),TEXT($Q545,"yyyy-mm-dd"),IF($A545="","",IF(SUMPRODUCT(('Agences &amp; Après-vente'!$A$2:$A$1000=$A545)*(('Agences &amp; Après-vente'!$D$2:$D$1000="Agences")+('Agences &amp; Après-vente'!$D$2:$D$1000="Agences et Après-vente"))*('Agences &amp; Après-vente'!$I$2:$I$1000="DONE"))&gt;0,"✓",IF(SUMPRODUCT(MAX(('Agences &amp; Après-vente'!$A$2:$A$1000=$A545)*(('Agences &amp; Après-vente'!$D$2:$D$1000="Agences")+('Agences &amp; Après-vente'!$D$2:$D$1000="Agences et Après-vente"))*'Agences &amp; Après-vente'!$E$2:$E$1000))&gt;0,TEXT(SUMPRODUCT(MAX(('Agences &amp; Après-vente'!$A$2:$A$1000=$A545)*(('Agences &amp; Après-vente'!$D$2:$D$1000="Agences")+('Agences &amp; Après-vente'!$D$2:$D$1000="Agences et Après-vente"))*'Agences &amp; Après-vente'!$E$2:$E$1000)),"yyyy-mm-dd"),"")))))</f>
        <v/>
      </c>
      <c r="H545" s="131" t="str">
        <f aca="false">IF($R545="✓","✓",IF(ISNUMBER($R545),TEXT($R545,"yyyy-mm-dd"),IF($A545="","",IF($D545="Lisbonne","",IF(SUMPRODUCT(('Agences &amp; Après-vente'!$A$2:$A$1000=$A545)*(('Agences &amp; Après-vente'!$D$2:$D$1000="Agences")+('Agences &amp; Après-vente'!$D$2:$D$1000="Agences et Après-vente"))*('Agences &amp; Après-vente'!$I$2:$I$1000="DONE"))&gt;0,"✓",IF(SUMPRODUCT(MAX(('Agences &amp; Après-vente'!$A$2:$A$1000=$A545)*(('Agences &amp; Après-vente'!$D$2:$D$1000="Agences")+('Agences &amp; Après-vente'!$D$2:$D$1000="Agences et Après-vente"))*'Agences &amp; Après-vente'!$E$2:$E$1000))&gt;0,TEXT(SUMPRODUCT(MAX(('Agences &amp; Après-vente'!$A$2:$A$1000=$A545)*(('Agences &amp; Après-vente'!$D$2:$D$1000="Agences")+('Agences &amp; Après-vente'!$D$2:$D$1000="Agences et Après-vente"))*'Agences &amp; Après-vente'!$E$2:$E$1000)),"yyyy-mm-dd"),""))))))</f>
        <v/>
      </c>
      <c r="I545" s="131" t="str">
        <f aca="false">IF($S545="✓","✓",IF(ISNUMBER($S545),TEXT($S545,"yyyy-mm-dd"),IF($A545="","",IF(SUMPRODUCT(('Agences &amp; Après-vente'!$A$2:$A$1000=$A545)*(('Agences &amp; Après-vente'!$D$2:$D$1000="Après-vente")+('Agences &amp; Après-vente'!$D$2:$D$1000="Agences et Après-vente"))*('Agences &amp; Après-vente'!$I$2:$I$1000="DONE"))&gt;0,"✓",IF(SUMPRODUCT(MAX(('Agences &amp; Après-vente'!$A$2:$A$1000=$A545)*(('Agences &amp; Après-vente'!$D$2:$D$1000="Après-vente")+('Agences &amp; Après-vente'!$D$2:$D$1000="Agences et Après-vente"))*'Agences &amp; Après-vente'!$E$2:$E$1000))&gt;0,TEXT(SUMPRODUCT(MAX(('Agences &amp; Après-vente'!$A$2:$A$1000=$A545)*(('Agences &amp; Après-vente'!$D$2:$D$1000="Après-vente")+('Agences &amp; Après-vente'!$D$2:$D$1000="Agences et Après-vente"))*'Agences &amp; Après-vente'!$E$2:$E$1000)),"yyyy-mm-dd"),"")))))</f>
        <v/>
      </c>
      <c r="J545" s="131" t="str">
        <f aca="false">IF($T545="✓","✓",IF(ISNUMBER($T545),TEXT($T545,"yyyy-mm-dd"),IF($A545="","",IF($D545="Lisbonne","",IF(SUMPRODUCT(('Agences &amp; Après-vente'!$A$2:$A$1000=$A545)*(('Agences &amp; Après-vente'!$D$2:$D$1000="Après-vente")+('Agences &amp; Après-vente'!$D$2:$D$1000="Agences et Après-vente"))*('Agences &amp; Après-vente'!$I$2:$I$1000="DONE"))&gt;0,"✓",IF(SUMPRODUCT(MAX(('Agences &amp; Après-vente'!$A$2:$A$1000=$A545)*(('Agences &amp; Après-vente'!$D$2:$D$1000="Après-vente")+('Agences &amp; Après-vente'!$D$2:$D$1000="Agences et Après-vente"))*'Agences &amp; Après-vente'!$E$2:$E$1000))&gt;0,TEXT(SUMPRODUCT(MAX(('Agences &amp; Après-vente'!$A$2:$A$1000=$A545)*(('Agences &amp; Après-vente'!$D$2:$D$1000="Après-vente")+('Agences &amp; Après-vente'!$D$2:$D$1000="Agences et Après-vente"))*'Agences &amp; Après-vente'!$E$2:$E$1000)),"yyyy-mm-dd"),""))))))</f>
        <v/>
      </c>
      <c r="K545" s="131" t="str">
        <f aca="false">IF($U545="✓","✓",IF(ISNUMBER($U545),TEXT($U545,"yyyy-mm-dd"),IF($D545="Lisbonne","",IF($A545="","",IF(SUMPRODUCT((Evermont!$A$2:$A$1000=$A545)*(Evermont!$Q$2:$Q$1000="Terminé"))&gt;0,"✓",IF(SUMPRODUCT(MAX((Evermont!$A$2:$A$1000=$A545)*Evermont!$F$2:$F$1000))&gt;0,TEXT(SUMPRODUCT(MAX((Evermont!$A$2:$A$1000=$A545)*Evermont!$F$2:$F$1000)),"yyyy-mm-dd"),""))))))</f>
        <v/>
      </c>
      <c r="L545" s="131" t="str">
        <f aca="false">IF($A545="","",COUNTIF(E545:K545,"✓"))</f>
        <v/>
      </c>
      <c r="M545" s="131" t="str">
        <f aca="false">IF(B545="","","Active")</f>
        <v/>
      </c>
      <c r="W545" s="120" t="str">
        <f aca="false">IF($A545="","",IF($X545&lt;&gt;"",$X545,IFERROR(INDEX('Formation Initiale'!$B$2:$B$999,MATCH($A545,'Formation Initiale'!$A$2:$A$999,0)),"Général")))</f>
        <v/>
      </c>
    </row>
    <row r="546" customFormat="false" ht="15" hidden="true" customHeight="true" outlineLevel="0" collapsed="false">
      <c r="A546" s="142" t="str">
        <f aca="false">IF(B546="","","TR"&amp;TEXT(ROW()-1,"000"))</f>
        <v/>
      </c>
      <c r="E546" s="130" t="str">
        <f aca="false">IF($O546="✓","✓",IF(ISNUMBER($O546),TEXT($O546,"yyyy-mm-dd"),IF($A546="","",IF(SUMPRODUCT(('Formation Initiale'!$A$2:$A$999=$A546)*('Formation Initiale'!$R$2:$R$999="Terminé"))&gt;0,"✓",IF(SUMPRODUCT(MAX(('Formation Initiale'!$A$2:$A$999=$A546)*'Formation Initiale'!$G$2:$G$999))&gt;0,TEXT(SUMPRODUCT(MAX(('Formation Initiale'!$A$2:$A$999=$A546)*'Formation Initiale'!$G$2:$G$999)),"yyyy-mm-dd"),"")))))</f>
        <v/>
      </c>
      <c r="F546" s="131" t="str">
        <f aca="false">IF($P546="✓","✓",IF(ISNUMBER($P546),TEXT($P546,"yyyy-mm-dd"),IF($A546="","",IF($D546="Lisbonne","",IF(SUMPRODUCT(('Formation Initiale'!$A$2:$A$999=$A546)*('Formation Initiale'!$R$2:$R$999="Terminé"))&gt;0,"✓",IF(SUMPRODUCT(MAX(('Formation Initiale'!$A$2:$A$999=$A546)*'Formation Initiale'!$G$2:$G$999))&gt;0,TEXT(SUMPRODUCT(MAX(('Formation Initiale'!$A$2:$A$999=$A546)*'Formation Initiale'!$G$2:$G$999)),"yyyy-mm-dd"),""))))))</f>
        <v/>
      </c>
      <c r="G546" s="131" t="str">
        <f aca="false">IF($Q546="✓","✓",IF(ISNUMBER($Q546),TEXT($Q546,"yyyy-mm-dd"),IF($A546="","",IF(SUMPRODUCT(('Agences &amp; Après-vente'!$A$2:$A$1000=$A546)*(('Agences &amp; Après-vente'!$D$2:$D$1000="Agences")+('Agences &amp; Après-vente'!$D$2:$D$1000="Agences et Après-vente"))*('Agences &amp; Après-vente'!$I$2:$I$1000="DONE"))&gt;0,"✓",IF(SUMPRODUCT(MAX(('Agences &amp; Après-vente'!$A$2:$A$1000=$A546)*(('Agences &amp; Après-vente'!$D$2:$D$1000="Agences")+('Agences &amp; Après-vente'!$D$2:$D$1000="Agences et Après-vente"))*'Agences &amp; Après-vente'!$E$2:$E$1000))&gt;0,TEXT(SUMPRODUCT(MAX(('Agences &amp; Après-vente'!$A$2:$A$1000=$A546)*(('Agences &amp; Après-vente'!$D$2:$D$1000="Agences")+('Agences &amp; Après-vente'!$D$2:$D$1000="Agences et Après-vente"))*'Agences &amp; Après-vente'!$E$2:$E$1000)),"yyyy-mm-dd"),"")))))</f>
        <v/>
      </c>
      <c r="H546" s="131" t="str">
        <f aca="false">IF($R546="✓","✓",IF(ISNUMBER($R546),TEXT($R546,"yyyy-mm-dd"),IF($A546="","",IF($D546="Lisbonne","",IF(SUMPRODUCT(('Agences &amp; Après-vente'!$A$2:$A$1000=$A546)*(('Agences &amp; Après-vente'!$D$2:$D$1000="Agences")+('Agences &amp; Après-vente'!$D$2:$D$1000="Agences et Après-vente"))*('Agences &amp; Après-vente'!$I$2:$I$1000="DONE"))&gt;0,"✓",IF(SUMPRODUCT(MAX(('Agences &amp; Après-vente'!$A$2:$A$1000=$A546)*(('Agences &amp; Après-vente'!$D$2:$D$1000="Agences")+('Agences &amp; Après-vente'!$D$2:$D$1000="Agences et Après-vente"))*'Agences &amp; Après-vente'!$E$2:$E$1000))&gt;0,TEXT(SUMPRODUCT(MAX(('Agences &amp; Après-vente'!$A$2:$A$1000=$A546)*(('Agences &amp; Après-vente'!$D$2:$D$1000="Agences")+('Agences &amp; Après-vente'!$D$2:$D$1000="Agences et Après-vente"))*'Agences &amp; Après-vente'!$E$2:$E$1000)),"yyyy-mm-dd"),""))))))</f>
        <v/>
      </c>
      <c r="I546" s="131" t="str">
        <f aca="false">IF($S546="✓","✓",IF(ISNUMBER($S546),TEXT($S546,"yyyy-mm-dd"),IF($A546="","",IF(SUMPRODUCT(('Agences &amp; Après-vente'!$A$2:$A$1000=$A546)*(('Agences &amp; Après-vente'!$D$2:$D$1000="Après-vente")+('Agences &amp; Après-vente'!$D$2:$D$1000="Agences et Après-vente"))*('Agences &amp; Après-vente'!$I$2:$I$1000="DONE"))&gt;0,"✓",IF(SUMPRODUCT(MAX(('Agences &amp; Après-vente'!$A$2:$A$1000=$A546)*(('Agences &amp; Après-vente'!$D$2:$D$1000="Après-vente")+('Agences &amp; Après-vente'!$D$2:$D$1000="Agences et Après-vente"))*'Agences &amp; Après-vente'!$E$2:$E$1000))&gt;0,TEXT(SUMPRODUCT(MAX(('Agences &amp; Après-vente'!$A$2:$A$1000=$A546)*(('Agences &amp; Après-vente'!$D$2:$D$1000="Après-vente")+('Agences &amp; Après-vente'!$D$2:$D$1000="Agences et Après-vente"))*'Agences &amp; Après-vente'!$E$2:$E$1000)),"yyyy-mm-dd"),"")))))</f>
        <v/>
      </c>
      <c r="J546" s="131" t="str">
        <f aca="false">IF($T546="✓","✓",IF(ISNUMBER($T546),TEXT($T546,"yyyy-mm-dd"),IF($A546="","",IF($D546="Lisbonne","",IF(SUMPRODUCT(('Agences &amp; Après-vente'!$A$2:$A$1000=$A546)*(('Agences &amp; Après-vente'!$D$2:$D$1000="Après-vente")+('Agences &amp; Après-vente'!$D$2:$D$1000="Agences et Après-vente"))*('Agences &amp; Après-vente'!$I$2:$I$1000="DONE"))&gt;0,"✓",IF(SUMPRODUCT(MAX(('Agences &amp; Après-vente'!$A$2:$A$1000=$A546)*(('Agences &amp; Après-vente'!$D$2:$D$1000="Après-vente")+('Agences &amp; Après-vente'!$D$2:$D$1000="Agences et Après-vente"))*'Agences &amp; Après-vente'!$E$2:$E$1000))&gt;0,TEXT(SUMPRODUCT(MAX(('Agences &amp; Après-vente'!$A$2:$A$1000=$A546)*(('Agences &amp; Après-vente'!$D$2:$D$1000="Après-vente")+('Agences &amp; Après-vente'!$D$2:$D$1000="Agences et Après-vente"))*'Agences &amp; Après-vente'!$E$2:$E$1000)),"yyyy-mm-dd"),""))))))</f>
        <v/>
      </c>
      <c r="K546" s="131" t="str">
        <f aca="false">IF($U546="✓","✓",IF(ISNUMBER($U546),TEXT($U546,"yyyy-mm-dd"),IF($D546="Lisbonne","",IF($A546="","",IF(SUMPRODUCT((Evermont!$A$2:$A$1000=$A546)*(Evermont!$Q$2:$Q$1000="Terminé"))&gt;0,"✓",IF(SUMPRODUCT(MAX((Evermont!$A$2:$A$1000=$A546)*Evermont!$F$2:$F$1000))&gt;0,TEXT(SUMPRODUCT(MAX((Evermont!$A$2:$A$1000=$A546)*Evermont!$F$2:$F$1000)),"yyyy-mm-dd"),""))))))</f>
        <v/>
      </c>
      <c r="L546" s="131" t="str">
        <f aca="false">IF($A546="","",COUNTIF(E546:K546,"✓"))</f>
        <v/>
      </c>
      <c r="M546" s="131" t="str">
        <f aca="false">IF(B546="","","Active")</f>
        <v/>
      </c>
      <c r="W546" s="120" t="str">
        <f aca="false">IF($A546="","",IF($X546&lt;&gt;"",$X546,IFERROR(INDEX('Formation Initiale'!$B$2:$B$999,MATCH($A546,'Formation Initiale'!$A$2:$A$999,0)),"Général")))</f>
        <v/>
      </c>
    </row>
    <row r="547" customFormat="false" ht="15" hidden="true" customHeight="true" outlineLevel="0" collapsed="false">
      <c r="A547" s="142" t="str">
        <f aca="false">IF(B547="","","TR"&amp;TEXT(ROW()-1,"000"))</f>
        <v/>
      </c>
      <c r="E547" s="130" t="str">
        <f aca="false">IF($O547="✓","✓",IF(ISNUMBER($O547),TEXT($O547,"yyyy-mm-dd"),IF($A547="","",IF(SUMPRODUCT(('Formation Initiale'!$A$2:$A$999=$A547)*('Formation Initiale'!$R$2:$R$999="Terminé"))&gt;0,"✓",IF(SUMPRODUCT(MAX(('Formation Initiale'!$A$2:$A$999=$A547)*'Formation Initiale'!$G$2:$G$999))&gt;0,TEXT(SUMPRODUCT(MAX(('Formation Initiale'!$A$2:$A$999=$A547)*'Formation Initiale'!$G$2:$G$999)),"yyyy-mm-dd"),"")))))</f>
        <v/>
      </c>
      <c r="F547" s="131" t="str">
        <f aca="false">IF($P547="✓","✓",IF(ISNUMBER($P547),TEXT($P547,"yyyy-mm-dd"),IF($A547="","",IF($D547="Lisbonne","",IF(SUMPRODUCT(('Formation Initiale'!$A$2:$A$999=$A547)*('Formation Initiale'!$R$2:$R$999="Terminé"))&gt;0,"✓",IF(SUMPRODUCT(MAX(('Formation Initiale'!$A$2:$A$999=$A547)*'Formation Initiale'!$G$2:$G$999))&gt;0,TEXT(SUMPRODUCT(MAX(('Formation Initiale'!$A$2:$A$999=$A547)*'Formation Initiale'!$G$2:$G$999)),"yyyy-mm-dd"),""))))))</f>
        <v/>
      </c>
      <c r="G547" s="131" t="str">
        <f aca="false">IF($Q547="✓","✓",IF(ISNUMBER($Q547),TEXT($Q547,"yyyy-mm-dd"),IF($A547="","",IF(SUMPRODUCT(('Agences &amp; Après-vente'!$A$2:$A$1000=$A547)*(('Agences &amp; Après-vente'!$D$2:$D$1000="Agences")+('Agences &amp; Après-vente'!$D$2:$D$1000="Agences et Après-vente"))*('Agences &amp; Après-vente'!$I$2:$I$1000="DONE"))&gt;0,"✓",IF(SUMPRODUCT(MAX(('Agences &amp; Après-vente'!$A$2:$A$1000=$A547)*(('Agences &amp; Après-vente'!$D$2:$D$1000="Agences")+('Agences &amp; Après-vente'!$D$2:$D$1000="Agences et Après-vente"))*'Agences &amp; Après-vente'!$E$2:$E$1000))&gt;0,TEXT(SUMPRODUCT(MAX(('Agences &amp; Après-vente'!$A$2:$A$1000=$A547)*(('Agences &amp; Après-vente'!$D$2:$D$1000="Agences")+('Agences &amp; Après-vente'!$D$2:$D$1000="Agences et Après-vente"))*'Agences &amp; Après-vente'!$E$2:$E$1000)),"yyyy-mm-dd"),"")))))</f>
        <v/>
      </c>
      <c r="H547" s="131" t="str">
        <f aca="false">IF($R547="✓","✓",IF(ISNUMBER($R547),TEXT($R547,"yyyy-mm-dd"),IF($A547="","",IF($D547="Lisbonne","",IF(SUMPRODUCT(('Agences &amp; Après-vente'!$A$2:$A$1000=$A547)*(('Agences &amp; Après-vente'!$D$2:$D$1000="Agences")+('Agences &amp; Après-vente'!$D$2:$D$1000="Agences et Après-vente"))*('Agences &amp; Après-vente'!$I$2:$I$1000="DONE"))&gt;0,"✓",IF(SUMPRODUCT(MAX(('Agences &amp; Après-vente'!$A$2:$A$1000=$A547)*(('Agences &amp; Après-vente'!$D$2:$D$1000="Agences")+('Agences &amp; Après-vente'!$D$2:$D$1000="Agences et Après-vente"))*'Agences &amp; Après-vente'!$E$2:$E$1000))&gt;0,TEXT(SUMPRODUCT(MAX(('Agences &amp; Après-vente'!$A$2:$A$1000=$A547)*(('Agences &amp; Après-vente'!$D$2:$D$1000="Agences")+('Agences &amp; Après-vente'!$D$2:$D$1000="Agences et Après-vente"))*'Agences &amp; Après-vente'!$E$2:$E$1000)),"yyyy-mm-dd"),""))))))</f>
        <v/>
      </c>
      <c r="I547" s="131" t="str">
        <f aca="false">IF($S547="✓","✓",IF(ISNUMBER($S547),TEXT($S547,"yyyy-mm-dd"),IF($A547="","",IF(SUMPRODUCT(('Agences &amp; Après-vente'!$A$2:$A$1000=$A547)*(('Agences &amp; Après-vente'!$D$2:$D$1000="Après-vente")+('Agences &amp; Après-vente'!$D$2:$D$1000="Agences et Après-vente"))*('Agences &amp; Après-vente'!$I$2:$I$1000="DONE"))&gt;0,"✓",IF(SUMPRODUCT(MAX(('Agences &amp; Après-vente'!$A$2:$A$1000=$A547)*(('Agences &amp; Après-vente'!$D$2:$D$1000="Après-vente")+('Agences &amp; Après-vente'!$D$2:$D$1000="Agences et Après-vente"))*'Agences &amp; Après-vente'!$E$2:$E$1000))&gt;0,TEXT(SUMPRODUCT(MAX(('Agences &amp; Après-vente'!$A$2:$A$1000=$A547)*(('Agences &amp; Après-vente'!$D$2:$D$1000="Après-vente")+('Agences &amp; Après-vente'!$D$2:$D$1000="Agences et Après-vente"))*'Agences &amp; Après-vente'!$E$2:$E$1000)),"yyyy-mm-dd"),"")))))</f>
        <v/>
      </c>
      <c r="J547" s="131" t="str">
        <f aca="false">IF($T547="✓","✓",IF(ISNUMBER($T547),TEXT($T547,"yyyy-mm-dd"),IF($A547="","",IF($D547="Lisbonne","",IF(SUMPRODUCT(('Agences &amp; Après-vente'!$A$2:$A$1000=$A547)*(('Agences &amp; Après-vente'!$D$2:$D$1000="Après-vente")+('Agences &amp; Après-vente'!$D$2:$D$1000="Agences et Après-vente"))*('Agences &amp; Après-vente'!$I$2:$I$1000="DONE"))&gt;0,"✓",IF(SUMPRODUCT(MAX(('Agences &amp; Après-vente'!$A$2:$A$1000=$A547)*(('Agences &amp; Après-vente'!$D$2:$D$1000="Après-vente")+('Agences &amp; Après-vente'!$D$2:$D$1000="Agences et Après-vente"))*'Agences &amp; Après-vente'!$E$2:$E$1000))&gt;0,TEXT(SUMPRODUCT(MAX(('Agences &amp; Après-vente'!$A$2:$A$1000=$A547)*(('Agences &amp; Après-vente'!$D$2:$D$1000="Après-vente")+('Agences &amp; Après-vente'!$D$2:$D$1000="Agences et Après-vente"))*'Agences &amp; Après-vente'!$E$2:$E$1000)),"yyyy-mm-dd"),""))))))</f>
        <v/>
      </c>
      <c r="K547" s="131" t="str">
        <f aca="false">IF($U547="✓","✓",IF(ISNUMBER($U547),TEXT($U547,"yyyy-mm-dd"),IF($D547="Lisbonne","",IF($A547="","",IF(SUMPRODUCT((Evermont!$A$2:$A$1000=$A547)*(Evermont!$Q$2:$Q$1000="Terminé"))&gt;0,"✓",IF(SUMPRODUCT(MAX((Evermont!$A$2:$A$1000=$A547)*Evermont!$F$2:$F$1000))&gt;0,TEXT(SUMPRODUCT(MAX((Evermont!$A$2:$A$1000=$A547)*Evermont!$F$2:$F$1000)),"yyyy-mm-dd"),""))))))</f>
        <v/>
      </c>
      <c r="L547" s="131" t="str">
        <f aca="false">IF($A547="","",COUNTIF(E547:K547,"✓"))</f>
        <v/>
      </c>
      <c r="M547" s="131" t="str">
        <f aca="false">IF(B547="","","Active")</f>
        <v/>
      </c>
      <c r="W547" s="120" t="str">
        <f aca="false">IF($A547="","",IF($X547&lt;&gt;"",$X547,IFERROR(INDEX('Formation Initiale'!$B$2:$B$999,MATCH($A547,'Formation Initiale'!$A$2:$A$999,0)),"Général")))</f>
        <v/>
      </c>
    </row>
    <row r="548" customFormat="false" ht="15" hidden="true" customHeight="true" outlineLevel="0" collapsed="false">
      <c r="A548" s="142" t="str">
        <f aca="false">IF(B548="","","TR"&amp;TEXT(ROW()-1,"000"))</f>
        <v/>
      </c>
      <c r="E548" s="130" t="str">
        <f aca="false">IF($O548="✓","✓",IF(ISNUMBER($O548),TEXT($O548,"yyyy-mm-dd"),IF($A548="","",IF(SUMPRODUCT(('Formation Initiale'!$A$2:$A$999=$A548)*('Formation Initiale'!$R$2:$R$999="Terminé"))&gt;0,"✓",IF(SUMPRODUCT(MAX(('Formation Initiale'!$A$2:$A$999=$A548)*'Formation Initiale'!$G$2:$G$999))&gt;0,TEXT(SUMPRODUCT(MAX(('Formation Initiale'!$A$2:$A$999=$A548)*'Formation Initiale'!$G$2:$G$999)),"yyyy-mm-dd"),"")))))</f>
        <v/>
      </c>
      <c r="F548" s="131" t="str">
        <f aca="false">IF($P548="✓","✓",IF(ISNUMBER($P548),TEXT($P548,"yyyy-mm-dd"),IF($A548="","",IF($D548="Lisbonne","",IF(SUMPRODUCT(('Formation Initiale'!$A$2:$A$999=$A548)*('Formation Initiale'!$R$2:$R$999="Terminé"))&gt;0,"✓",IF(SUMPRODUCT(MAX(('Formation Initiale'!$A$2:$A$999=$A548)*'Formation Initiale'!$G$2:$G$999))&gt;0,TEXT(SUMPRODUCT(MAX(('Formation Initiale'!$A$2:$A$999=$A548)*'Formation Initiale'!$G$2:$G$999)),"yyyy-mm-dd"),""))))))</f>
        <v/>
      </c>
      <c r="G548" s="131" t="str">
        <f aca="false">IF($Q548="✓","✓",IF(ISNUMBER($Q548),TEXT($Q548,"yyyy-mm-dd"),IF($A548="","",IF(SUMPRODUCT(('Agences &amp; Après-vente'!$A$2:$A$1000=$A548)*(('Agences &amp; Après-vente'!$D$2:$D$1000="Agences")+('Agences &amp; Après-vente'!$D$2:$D$1000="Agences et Après-vente"))*('Agences &amp; Après-vente'!$I$2:$I$1000="DONE"))&gt;0,"✓",IF(SUMPRODUCT(MAX(('Agences &amp; Après-vente'!$A$2:$A$1000=$A548)*(('Agences &amp; Après-vente'!$D$2:$D$1000="Agences")+('Agences &amp; Après-vente'!$D$2:$D$1000="Agences et Après-vente"))*'Agences &amp; Après-vente'!$E$2:$E$1000))&gt;0,TEXT(SUMPRODUCT(MAX(('Agences &amp; Après-vente'!$A$2:$A$1000=$A548)*(('Agences &amp; Après-vente'!$D$2:$D$1000="Agences")+('Agences &amp; Après-vente'!$D$2:$D$1000="Agences et Après-vente"))*'Agences &amp; Après-vente'!$E$2:$E$1000)),"yyyy-mm-dd"),"")))))</f>
        <v/>
      </c>
      <c r="H548" s="131" t="str">
        <f aca="false">IF($R548="✓","✓",IF(ISNUMBER($R548),TEXT($R548,"yyyy-mm-dd"),IF($A548="","",IF($D548="Lisbonne","",IF(SUMPRODUCT(('Agences &amp; Après-vente'!$A$2:$A$1000=$A548)*(('Agences &amp; Après-vente'!$D$2:$D$1000="Agences")+('Agences &amp; Après-vente'!$D$2:$D$1000="Agences et Après-vente"))*('Agences &amp; Après-vente'!$I$2:$I$1000="DONE"))&gt;0,"✓",IF(SUMPRODUCT(MAX(('Agences &amp; Après-vente'!$A$2:$A$1000=$A548)*(('Agences &amp; Après-vente'!$D$2:$D$1000="Agences")+('Agences &amp; Après-vente'!$D$2:$D$1000="Agences et Après-vente"))*'Agences &amp; Après-vente'!$E$2:$E$1000))&gt;0,TEXT(SUMPRODUCT(MAX(('Agences &amp; Après-vente'!$A$2:$A$1000=$A548)*(('Agences &amp; Après-vente'!$D$2:$D$1000="Agences")+('Agences &amp; Après-vente'!$D$2:$D$1000="Agences et Après-vente"))*'Agences &amp; Après-vente'!$E$2:$E$1000)),"yyyy-mm-dd"),""))))))</f>
        <v/>
      </c>
      <c r="I548" s="131" t="str">
        <f aca="false">IF($S548="✓","✓",IF(ISNUMBER($S548),TEXT($S548,"yyyy-mm-dd"),IF($A548="","",IF(SUMPRODUCT(('Agences &amp; Après-vente'!$A$2:$A$1000=$A548)*(('Agences &amp; Après-vente'!$D$2:$D$1000="Après-vente")+('Agences &amp; Après-vente'!$D$2:$D$1000="Agences et Après-vente"))*('Agences &amp; Après-vente'!$I$2:$I$1000="DONE"))&gt;0,"✓",IF(SUMPRODUCT(MAX(('Agences &amp; Après-vente'!$A$2:$A$1000=$A548)*(('Agences &amp; Après-vente'!$D$2:$D$1000="Après-vente")+('Agences &amp; Après-vente'!$D$2:$D$1000="Agences et Après-vente"))*'Agences &amp; Après-vente'!$E$2:$E$1000))&gt;0,TEXT(SUMPRODUCT(MAX(('Agences &amp; Après-vente'!$A$2:$A$1000=$A548)*(('Agences &amp; Après-vente'!$D$2:$D$1000="Après-vente")+('Agences &amp; Après-vente'!$D$2:$D$1000="Agences et Après-vente"))*'Agences &amp; Après-vente'!$E$2:$E$1000)),"yyyy-mm-dd"),"")))))</f>
        <v/>
      </c>
      <c r="J548" s="131" t="str">
        <f aca="false">IF($T548="✓","✓",IF(ISNUMBER($T548),TEXT($T548,"yyyy-mm-dd"),IF($A548="","",IF($D548="Lisbonne","",IF(SUMPRODUCT(('Agences &amp; Après-vente'!$A$2:$A$1000=$A548)*(('Agences &amp; Après-vente'!$D$2:$D$1000="Après-vente")+('Agences &amp; Après-vente'!$D$2:$D$1000="Agences et Après-vente"))*('Agences &amp; Après-vente'!$I$2:$I$1000="DONE"))&gt;0,"✓",IF(SUMPRODUCT(MAX(('Agences &amp; Après-vente'!$A$2:$A$1000=$A548)*(('Agences &amp; Après-vente'!$D$2:$D$1000="Après-vente")+('Agences &amp; Après-vente'!$D$2:$D$1000="Agences et Après-vente"))*'Agences &amp; Après-vente'!$E$2:$E$1000))&gt;0,TEXT(SUMPRODUCT(MAX(('Agences &amp; Après-vente'!$A$2:$A$1000=$A548)*(('Agences &amp; Après-vente'!$D$2:$D$1000="Après-vente")+('Agences &amp; Après-vente'!$D$2:$D$1000="Agences et Après-vente"))*'Agences &amp; Après-vente'!$E$2:$E$1000)),"yyyy-mm-dd"),""))))))</f>
        <v/>
      </c>
      <c r="K548" s="131" t="str">
        <f aca="false">IF($U548="✓","✓",IF(ISNUMBER($U548),TEXT($U548,"yyyy-mm-dd"),IF($D548="Lisbonne","",IF($A548="","",IF(SUMPRODUCT((Evermont!$A$2:$A$1000=$A548)*(Evermont!$Q$2:$Q$1000="Terminé"))&gt;0,"✓",IF(SUMPRODUCT(MAX((Evermont!$A$2:$A$1000=$A548)*Evermont!$F$2:$F$1000))&gt;0,TEXT(SUMPRODUCT(MAX((Evermont!$A$2:$A$1000=$A548)*Evermont!$F$2:$F$1000)),"yyyy-mm-dd"),""))))))</f>
        <v/>
      </c>
      <c r="L548" s="131" t="str">
        <f aca="false">IF($A548="","",COUNTIF(E548:K548,"✓"))</f>
        <v/>
      </c>
      <c r="M548" s="131" t="str">
        <f aca="false">IF(B548="","","Active")</f>
        <v/>
      </c>
      <c r="W548" s="120" t="str">
        <f aca="false">IF($A548="","",IF($X548&lt;&gt;"",$X548,IFERROR(INDEX('Formation Initiale'!$B$2:$B$999,MATCH($A548,'Formation Initiale'!$A$2:$A$999,0)),"Général")))</f>
        <v/>
      </c>
    </row>
    <row r="549" customFormat="false" ht="15" hidden="true" customHeight="true" outlineLevel="0" collapsed="false">
      <c r="A549" s="142" t="str">
        <f aca="false">IF(B549="","","TR"&amp;TEXT(ROW()-1,"000"))</f>
        <v/>
      </c>
      <c r="E549" s="130" t="str">
        <f aca="false">IF($O549="✓","✓",IF(ISNUMBER($O549),TEXT($O549,"yyyy-mm-dd"),IF($A549="","",IF(SUMPRODUCT(('Formation Initiale'!$A$2:$A$999=$A549)*('Formation Initiale'!$R$2:$R$999="Terminé"))&gt;0,"✓",IF(SUMPRODUCT(MAX(('Formation Initiale'!$A$2:$A$999=$A549)*'Formation Initiale'!$G$2:$G$999))&gt;0,TEXT(SUMPRODUCT(MAX(('Formation Initiale'!$A$2:$A$999=$A549)*'Formation Initiale'!$G$2:$G$999)),"yyyy-mm-dd"),"")))))</f>
        <v/>
      </c>
      <c r="F549" s="131" t="str">
        <f aca="false">IF($P549="✓","✓",IF(ISNUMBER($P549),TEXT($P549,"yyyy-mm-dd"),IF($A549="","",IF($D549="Lisbonne","",IF(SUMPRODUCT(('Formation Initiale'!$A$2:$A$999=$A549)*('Formation Initiale'!$R$2:$R$999="Terminé"))&gt;0,"✓",IF(SUMPRODUCT(MAX(('Formation Initiale'!$A$2:$A$999=$A549)*'Formation Initiale'!$G$2:$G$999))&gt;0,TEXT(SUMPRODUCT(MAX(('Formation Initiale'!$A$2:$A$999=$A549)*'Formation Initiale'!$G$2:$G$999)),"yyyy-mm-dd"),""))))))</f>
        <v/>
      </c>
      <c r="G549" s="131" t="str">
        <f aca="false">IF($Q549="✓","✓",IF(ISNUMBER($Q549),TEXT($Q549,"yyyy-mm-dd"),IF($A549="","",IF(SUMPRODUCT(('Agences &amp; Après-vente'!$A$2:$A$1000=$A549)*(('Agences &amp; Après-vente'!$D$2:$D$1000="Agences")+('Agences &amp; Après-vente'!$D$2:$D$1000="Agences et Après-vente"))*('Agences &amp; Après-vente'!$I$2:$I$1000="DONE"))&gt;0,"✓",IF(SUMPRODUCT(MAX(('Agences &amp; Après-vente'!$A$2:$A$1000=$A549)*(('Agences &amp; Après-vente'!$D$2:$D$1000="Agences")+('Agences &amp; Après-vente'!$D$2:$D$1000="Agences et Après-vente"))*'Agences &amp; Après-vente'!$E$2:$E$1000))&gt;0,TEXT(SUMPRODUCT(MAX(('Agences &amp; Après-vente'!$A$2:$A$1000=$A549)*(('Agences &amp; Après-vente'!$D$2:$D$1000="Agences")+('Agences &amp; Après-vente'!$D$2:$D$1000="Agences et Après-vente"))*'Agences &amp; Après-vente'!$E$2:$E$1000)),"yyyy-mm-dd"),"")))))</f>
        <v/>
      </c>
      <c r="H549" s="131" t="str">
        <f aca="false">IF($R549="✓","✓",IF(ISNUMBER($R549),TEXT($R549,"yyyy-mm-dd"),IF($A549="","",IF($D549="Lisbonne","",IF(SUMPRODUCT(('Agences &amp; Après-vente'!$A$2:$A$1000=$A549)*(('Agences &amp; Après-vente'!$D$2:$D$1000="Agences")+('Agences &amp; Après-vente'!$D$2:$D$1000="Agences et Après-vente"))*('Agences &amp; Après-vente'!$I$2:$I$1000="DONE"))&gt;0,"✓",IF(SUMPRODUCT(MAX(('Agences &amp; Après-vente'!$A$2:$A$1000=$A549)*(('Agences &amp; Après-vente'!$D$2:$D$1000="Agences")+('Agences &amp; Après-vente'!$D$2:$D$1000="Agences et Après-vente"))*'Agences &amp; Après-vente'!$E$2:$E$1000))&gt;0,TEXT(SUMPRODUCT(MAX(('Agences &amp; Après-vente'!$A$2:$A$1000=$A549)*(('Agences &amp; Après-vente'!$D$2:$D$1000="Agences")+('Agences &amp; Après-vente'!$D$2:$D$1000="Agences et Après-vente"))*'Agences &amp; Après-vente'!$E$2:$E$1000)),"yyyy-mm-dd"),""))))))</f>
        <v/>
      </c>
      <c r="I549" s="131" t="str">
        <f aca="false">IF($S549="✓","✓",IF(ISNUMBER($S549),TEXT($S549,"yyyy-mm-dd"),IF($A549="","",IF(SUMPRODUCT(('Agences &amp; Après-vente'!$A$2:$A$1000=$A549)*(('Agences &amp; Après-vente'!$D$2:$D$1000="Après-vente")+('Agences &amp; Après-vente'!$D$2:$D$1000="Agences et Après-vente"))*('Agences &amp; Après-vente'!$I$2:$I$1000="DONE"))&gt;0,"✓",IF(SUMPRODUCT(MAX(('Agences &amp; Après-vente'!$A$2:$A$1000=$A549)*(('Agences &amp; Après-vente'!$D$2:$D$1000="Après-vente")+('Agences &amp; Après-vente'!$D$2:$D$1000="Agences et Après-vente"))*'Agences &amp; Après-vente'!$E$2:$E$1000))&gt;0,TEXT(SUMPRODUCT(MAX(('Agences &amp; Après-vente'!$A$2:$A$1000=$A549)*(('Agences &amp; Après-vente'!$D$2:$D$1000="Après-vente")+('Agences &amp; Après-vente'!$D$2:$D$1000="Agences et Après-vente"))*'Agences &amp; Après-vente'!$E$2:$E$1000)),"yyyy-mm-dd"),"")))))</f>
        <v/>
      </c>
      <c r="J549" s="131" t="str">
        <f aca="false">IF($T549="✓","✓",IF(ISNUMBER($T549),TEXT($T549,"yyyy-mm-dd"),IF($A549="","",IF($D549="Lisbonne","",IF(SUMPRODUCT(('Agences &amp; Après-vente'!$A$2:$A$1000=$A549)*(('Agences &amp; Après-vente'!$D$2:$D$1000="Après-vente")+('Agences &amp; Après-vente'!$D$2:$D$1000="Agences et Après-vente"))*('Agences &amp; Après-vente'!$I$2:$I$1000="DONE"))&gt;0,"✓",IF(SUMPRODUCT(MAX(('Agences &amp; Après-vente'!$A$2:$A$1000=$A549)*(('Agences &amp; Après-vente'!$D$2:$D$1000="Après-vente")+('Agences &amp; Après-vente'!$D$2:$D$1000="Agences et Après-vente"))*'Agences &amp; Après-vente'!$E$2:$E$1000))&gt;0,TEXT(SUMPRODUCT(MAX(('Agences &amp; Après-vente'!$A$2:$A$1000=$A549)*(('Agences &amp; Après-vente'!$D$2:$D$1000="Après-vente")+('Agences &amp; Après-vente'!$D$2:$D$1000="Agences et Après-vente"))*'Agences &amp; Après-vente'!$E$2:$E$1000)),"yyyy-mm-dd"),""))))))</f>
        <v/>
      </c>
      <c r="K549" s="131" t="str">
        <f aca="false">IF($U549="✓","✓",IF(ISNUMBER($U549),TEXT($U549,"yyyy-mm-dd"),IF($D549="Lisbonne","",IF($A549="","",IF(SUMPRODUCT((Evermont!$A$2:$A$1000=$A549)*(Evermont!$Q$2:$Q$1000="Terminé"))&gt;0,"✓",IF(SUMPRODUCT(MAX((Evermont!$A$2:$A$1000=$A549)*Evermont!$F$2:$F$1000))&gt;0,TEXT(SUMPRODUCT(MAX((Evermont!$A$2:$A$1000=$A549)*Evermont!$F$2:$F$1000)),"yyyy-mm-dd"),""))))))</f>
        <v/>
      </c>
      <c r="L549" s="131" t="str">
        <f aca="false">IF($A549="","",COUNTIF(E549:K549,"✓"))</f>
        <v/>
      </c>
      <c r="M549" s="131" t="str">
        <f aca="false">IF(B549="","","Active")</f>
        <v/>
      </c>
      <c r="W549" s="120" t="str">
        <f aca="false">IF($A549="","",IF($X549&lt;&gt;"",$X549,IFERROR(INDEX('Formation Initiale'!$B$2:$B$999,MATCH($A549,'Formation Initiale'!$A$2:$A$999,0)),"Général")))</f>
        <v/>
      </c>
    </row>
    <row r="550" customFormat="false" ht="15" hidden="true" customHeight="true" outlineLevel="0" collapsed="false">
      <c r="A550" s="142" t="str">
        <f aca="false">IF(B550="","","TR"&amp;TEXT(ROW()-1,"000"))</f>
        <v/>
      </c>
      <c r="E550" s="130" t="str">
        <f aca="false">IF($O550="✓","✓",IF(ISNUMBER($O550),TEXT($O550,"yyyy-mm-dd"),IF($A550="","",IF(SUMPRODUCT(('Formation Initiale'!$A$2:$A$999=$A550)*('Formation Initiale'!$R$2:$R$999="Terminé"))&gt;0,"✓",IF(SUMPRODUCT(MAX(('Formation Initiale'!$A$2:$A$999=$A550)*'Formation Initiale'!$G$2:$G$999))&gt;0,TEXT(SUMPRODUCT(MAX(('Formation Initiale'!$A$2:$A$999=$A550)*'Formation Initiale'!$G$2:$G$999)),"yyyy-mm-dd"),"")))))</f>
        <v/>
      </c>
      <c r="F550" s="131" t="str">
        <f aca="false">IF($P550="✓","✓",IF(ISNUMBER($P550),TEXT($P550,"yyyy-mm-dd"),IF($A550="","",IF($D550="Lisbonne","",IF(SUMPRODUCT(('Formation Initiale'!$A$2:$A$999=$A550)*('Formation Initiale'!$R$2:$R$999="Terminé"))&gt;0,"✓",IF(SUMPRODUCT(MAX(('Formation Initiale'!$A$2:$A$999=$A550)*'Formation Initiale'!$G$2:$G$999))&gt;0,TEXT(SUMPRODUCT(MAX(('Formation Initiale'!$A$2:$A$999=$A550)*'Formation Initiale'!$G$2:$G$999)),"yyyy-mm-dd"),""))))))</f>
        <v/>
      </c>
      <c r="G550" s="131" t="str">
        <f aca="false">IF($Q550="✓","✓",IF(ISNUMBER($Q550),TEXT($Q550,"yyyy-mm-dd"),IF($A550="","",IF(SUMPRODUCT(('Agences &amp; Après-vente'!$A$2:$A$1000=$A550)*(('Agences &amp; Après-vente'!$D$2:$D$1000="Agences")+('Agences &amp; Après-vente'!$D$2:$D$1000="Agences et Après-vente"))*('Agences &amp; Après-vente'!$I$2:$I$1000="DONE"))&gt;0,"✓",IF(SUMPRODUCT(MAX(('Agences &amp; Après-vente'!$A$2:$A$1000=$A550)*(('Agences &amp; Après-vente'!$D$2:$D$1000="Agences")+('Agences &amp; Après-vente'!$D$2:$D$1000="Agences et Après-vente"))*'Agences &amp; Après-vente'!$E$2:$E$1000))&gt;0,TEXT(SUMPRODUCT(MAX(('Agences &amp; Après-vente'!$A$2:$A$1000=$A550)*(('Agences &amp; Après-vente'!$D$2:$D$1000="Agences")+('Agences &amp; Après-vente'!$D$2:$D$1000="Agences et Après-vente"))*'Agences &amp; Après-vente'!$E$2:$E$1000)),"yyyy-mm-dd"),"")))))</f>
        <v/>
      </c>
      <c r="H550" s="131" t="str">
        <f aca="false">IF($R550="✓","✓",IF(ISNUMBER($R550),TEXT($R550,"yyyy-mm-dd"),IF($A550="","",IF($D550="Lisbonne","",IF(SUMPRODUCT(('Agences &amp; Après-vente'!$A$2:$A$1000=$A550)*(('Agences &amp; Après-vente'!$D$2:$D$1000="Agences")+('Agences &amp; Après-vente'!$D$2:$D$1000="Agences et Après-vente"))*('Agences &amp; Après-vente'!$I$2:$I$1000="DONE"))&gt;0,"✓",IF(SUMPRODUCT(MAX(('Agences &amp; Après-vente'!$A$2:$A$1000=$A550)*(('Agences &amp; Après-vente'!$D$2:$D$1000="Agences")+('Agences &amp; Après-vente'!$D$2:$D$1000="Agences et Après-vente"))*'Agences &amp; Après-vente'!$E$2:$E$1000))&gt;0,TEXT(SUMPRODUCT(MAX(('Agences &amp; Après-vente'!$A$2:$A$1000=$A550)*(('Agences &amp; Après-vente'!$D$2:$D$1000="Agences")+('Agences &amp; Après-vente'!$D$2:$D$1000="Agences et Après-vente"))*'Agences &amp; Après-vente'!$E$2:$E$1000)),"yyyy-mm-dd"),""))))))</f>
        <v/>
      </c>
      <c r="I550" s="131" t="str">
        <f aca="false">IF($S550="✓","✓",IF(ISNUMBER($S550),TEXT($S550,"yyyy-mm-dd"),IF($A550="","",IF(SUMPRODUCT(('Agences &amp; Après-vente'!$A$2:$A$1000=$A550)*(('Agences &amp; Après-vente'!$D$2:$D$1000="Après-vente")+('Agences &amp; Après-vente'!$D$2:$D$1000="Agences et Après-vente"))*('Agences &amp; Après-vente'!$I$2:$I$1000="DONE"))&gt;0,"✓",IF(SUMPRODUCT(MAX(('Agences &amp; Après-vente'!$A$2:$A$1000=$A550)*(('Agences &amp; Après-vente'!$D$2:$D$1000="Après-vente")+('Agences &amp; Après-vente'!$D$2:$D$1000="Agences et Après-vente"))*'Agences &amp; Après-vente'!$E$2:$E$1000))&gt;0,TEXT(SUMPRODUCT(MAX(('Agences &amp; Après-vente'!$A$2:$A$1000=$A550)*(('Agences &amp; Après-vente'!$D$2:$D$1000="Après-vente")+('Agences &amp; Après-vente'!$D$2:$D$1000="Agences et Après-vente"))*'Agences &amp; Après-vente'!$E$2:$E$1000)),"yyyy-mm-dd"),"")))))</f>
        <v/>
      </c>
      <c r="J550" s="131" t="str">
        <f aca="false">IF($T550="✓","✓",IF(ISNUMBER($T550),TEXT($T550,"yyyy-mm-dd"),IF($A550="","",IF($D550="Lisbonne","",IF(SUMPRODUCT(('Agences &amp; Après-vente'!$A$2:$A$1000=$A550)*(('Agences &amp; Après-vente'!$D$2:$D$1000="Après-vente")+('Agences &amp; Après-vente'!$D$2:$D$1000="Agences et Après-vente"))*('Agences &amp; Après-vente'!$I$2:$I$1000="DONE"))&gt;0,"✓",IF(SUMPRODUCT(MAX(('Agences &amp; Après-vente'!$A$2:$A$1000=$A550)*(('Agences &amp; Après-vente'!$D$2:$D$1000="Après-vente")+('Agences &amp; Après-vente'!$D$2:$D$1000="Agences et Après-vente"))*'Agences &amp; Après-vente'!$E$2:$E$1000))&gt;0,TEXT(SUMPRODUCT(MAX(('Agences &amp; Après-vente'!$A$2:$A$1000=$A550)*(('Agences &amp; Après-vente'!$D$2:$D$1000="Après-vente")+('Agences &amp; Après-vente'!$D$2:$D$1000="Agences et Après-vente"))*'Agences &amp; Après-vente'!$E$2:$E$1000)),"yyyy-mm-dd"),""))))))</f>
        <v/>
      </c>
      <c r="K550" s="131" t="str">
        <f aca="false">IF($U550="✓","✓",IF(ISNUMBER($U550),TEXT($U550,"yyyy-mm-dd"),IF($D550="Lisbonne","",IF($A550="","",IF(SUMPRODUCT((Evermont!$A$2:$A$1000=$A550)*(Evermont!$Q$2:$Q$1000="Terminé"))&gt;0,"✓",IF(SUMPRODUCT(MAX((Evermont!$A$2:$A$1000=$A550)*Evermont!$F$2:$F$1000))&gt;0,TEXT(SUMPRODUCT(MAX((Evermont!$A$2:$A$1000=$A550)*Evermont!$F$2:$F$1000)),"yyyy-mm-dd"),""))))))</f>
        <v/>
      </c>
      <c r="L550" s="131" t="str">
        <f aca="false">IF($A550="","",COUNTIF(E550:K550,"✓"))</f>
        <v/>
      </c>
      <c r="M550" s="131" t="str">
        <f aca="false">IF(B550="","","Active")</f>
        <v/>
      </c>
      <c r="W550" s="120" t="str">
        <f aca="false">IF($A550="","",IF($X550&lt;&gt;"",$X550,IFERROR(INDEX('Formation Initiale'!$B$2:$B$999,MATCH($A550,'Formation Initiale'!$A$2:$A$999,0)),"Général")))</f>
        <v/>
      </c>
    </row>
    <row r="551" customFormat="false" ht="15" hidden="true" customHeight="true" outlineLevel="0" collapsed="false">
      <c r="A551" s="142" t="str">
        <f aca="false">IF(B551="","","TR"&amp;TEXT(ROW()-1,"000"))</f>
        <v/>
      </c>
      <c r="E551" s="130" t="str">
        <f aca="false">IF($O551="✓","✓",IF(ISNUMBER($O551),TEXT($O551,"yyyy-mm-dd"),IF($A551="","",IF(SUMPRODUCT(('Formation Initiale'!$A$2:$A$999=$A551)*('Formation Initiale'!$R$2:$R$999="Terminé"))&gt;0,"✓",IF(SUMPRODUCT(MAX(('Formation Initiale'!$A$2:$A$999=$A551)*'Formation Initiale'!$G$2:$G$999))&gt;0,TEXT(SUMPRODUCT(MAX(('Formation Initiale'!$A$2:$A$999=$A551)*'Formation Initiale'!$G$2:$G$999)),"yyyy-mm-dd"),"")))))</f>
        <v/>
      </c>
      <c r="F551" s="131" t="str">
        <f aca="false">IF($P551="✓","✓",IF(ISNUMBER($P551),TEXT($P551,"yyyy-mm-dd"),IF($A551="","",IF($D551="Lisbonne","",IF(SUMPRODUCT(('Formation Initiale'!$A$2:$A$999=$A551)*('Formation Initiale'!$R$2:$R$999="Terminé"))&gt;0,"✓",IF(SUMPRODUCT(MAX(('Formation Initiale'!$A$2:$A$999=$A551)*'Formation Initiale'!$G$2:$G$999))&gt;0,TEXT(SUMPRODUCT(MAX(('Formation Initiale'!$A$2:$A$999=$A551)*'Formation Initiale'!$G$2:$G$999)),"yyyy-mm-dd"),""))))))</f>
        <v/>
      </c>
      <c r="G551" s="131" t="str">
        <f aca="false">IF($Q551="✓","✓",IF(ISNUMBER($Q551),TEXT($Q551,"yyyy-mm-dd"),IF($A551="","",IF(SUMPRODUCT(('Agences &amp; Après-vente'!$A$2:$A$1000=$A551)*(('Agences &amp; Après-vente'!$D$2:$D$1000="Agences")+('Agences &amp; Après-vente'!$D$2:$D$1000="Agences et Après-vente"))*('Agences &amp; Après-vente'!$I$2:$I$1000="DONE"))&gt;0,"✓",IF(SUMPRODUCT(MAX(('Agences &amp; Après-vente'!$A$2:$A$1000=$A551)*(('Agences &amp; Après-vente'!$D$2:$D$1000="Agences")+('Agences &amp; Après-vente'!$D$2:$D$1000="Agences et Après-vente"))*'Agences &amp; Après-vente'!$E$2:$E$1000))&gt;0,TEXT(SUMPRODUCT(MAX(('Agences &amp; Après-vente'!$A$2:$A$1000=$A551)*(('Agences &amp; Après-vente'!$D$2:$D$1000="Agences")+('Agences &amp; Après-vente'!$D$2:$D$1000="Agences et Après-vente"))*'Agences &amp; Après-vente'!$E$2:$E$1000)),"yyyy-mm-dd"),"")))))</f>
        <v/>
      </c>
      <c r="H551" s="131" t="str">
        <f aca="false">IF($R551="✓","✓",IF(ISNUMBER($R551),TEXT($R551,"yyyy-mm-dd"),IF($A551="","",IF($D551="Lisbonne","",IF(SUMPRODUCT(('Agences &amp; Après-vente'!$A$2:$A$1000=$A551)*(('Agences &amp; Après-vente'!$D$2:$D$1000="Agences")+('Agences &amp; Après-vente'!$D$2:$D$1000="Agences et Après-vente"))*('Agences &amp; Après-vente'!$I$2:$I$1000="DONE"))&gt;0,"✓",IF(SUMPRODUCT(MAX(('Agences &amp; Après-vente'!$A$2:$A$1000=$A551)*(('Agences &amp; Après-vente'!$D$2:$D$1000="Agences")+('Agences &amp; Après-vente'!$D$2:$D$1000="Agences et Après-vente"))*'Agences &amp; Après-vente'!$E$2:$E$1000))&gt;0,TEXT(SUMPRODUCT(MAX(('Agences &amp; Après-vente'!$A$2:$A$1000=$A551)*(('Agences &amp; Après-vente'!$D$2:$D$1000="Agences")+('Agences &amp; Après-vente'!$D$2:$D$1000="Agences et Après-vente"))*'Agences &amp; Après-vente'!$E$2:$E$1000)),"yyyy-mm-dd"),""))))))</f>
        <v/>
      </c>
      <c r="I551" s="131" t="str">
        <f aca="false">IF($S551="✓","✓",IF(ISNUMBER($S551),TEXT($S551,"yyyy-mm-dd"),IF($A551="","",IF(SUMPRODUCT(('Agences &amp; Après-vente'!$A$2:$A$1000=$A551)*(('Agences &amp; Après-vente'!$D$2:$D$1000="Après-vente")+('Agences &amp; Après-vente'!$D$2:$D$1000="Agences et Après-vente"))*('Agences &amp; Après-vente'!$I$2:$I$1000="DONE"))&gt;0,"✓",IF(SUMPRODUCT(MAX(('Agences &amp; Après-vente'!$A$2:$A$1000=$A551)*(('Agences &amp; Après-vente'!$D$2:$D$1000="Après-vente")+('Agences &amp; Après-vente'!$D$2:$D$1000="Agences et Après-vente"))*'Agences &amp; Après-vente'!$E$2:$E$1000))&gt;0,TEXT(SUMPRODUCT(MAX(('Agences &amp; Après-vente'!$A$2:$A$1000=$A551)*(('Agences &amp; Après-vente'!$D$2:$D$1000="Après-vente")+('Agences &amp; Après-vente'!$D$2:$D$1000="Agences et Après-vente"))*'Agences &amp; Après-vente'!$E$2:$E$1000)),"yyyy-mm-dd"),"")))))</f>
        <v/>
      </c>
      <c r="J551" s="131" t="str">
        <f aca="false">IF($T551="✓","✓",IF(ISNUMBER($T551),TEXT($T551,"yyyy-mm-dd"),IF($A551="","",IF($D551="Lisbonne","",IF(SUMPRODUCT(('Agences &amp; Après-vente'!$A$2:$A$1000=$A551)*(('Agences &amp; Après-vente'!$D$2:$D$1000="Après-vente")+('Agences &amp; Après-vente'!$D$2:$D$1000="Agences et Après-vente"))*('Agences &amp; Après-vente'!$I$2:$I$1000="DONE"))&gt;0,"✓",IF(SUMPRODUCT(MAX(('Agences &amp; Après-vente'!$A$2:$A$1000=$A551)*(('Agences &amp; Après-vente'!$D$2:$D$1000="Après-vente")+('Agences &amp; Après-vente'!$D$2:$D$1000="Agences et Après-vente"))*'Agences &amp; Après-vente'!$E$2:$E$1000))&gt;0,TEXT(SUMPRODUCT(MAX(('Agences &amp; Après-vente'!$A$2:$A$1000=$A551)*(('Agences &amp; Après-vente'!$D$2:$D$1000="Après-vente")+('Agences &amp; Après-vente'!$D$2:$D$1000="Agences et Après-vente"))*'Agences &amp; Après-vente'!$E$2:$E$1000)),"yyyy-mm-dd"),""))))))</f>
        <v/>
      </c>
      <c r="K551" s="131" t="str">
        <f aca="false">IF($U551="✓","✓",IF(ISNUMBER($U551),TEXT($U551,"yyyy-mm-dd"),IF($D551="Lisbonne","",IF($A551="","",IF(SUMPRODUCT((Evermont!$A$2:$A$1000=$A551)*(Evermont!$Q$2:$Q$1000="Terminé"))&gt;0,"✓",IF(SUMPRODUCT(MAX((Evermont!$A$2:$A$1000=$A551)*Evermont!$F$2:$F$1000))&gt;0,TEXT(SUMPRODUCT(MAX((Evermont!$A$2:$A$1000=$A551)*Evermont!$F$2:$F$1000)),"yyyy-mm-dd"),""))))))</f>
        <v/>
      </c>
      <c r="L551" s="131" t="str">
        <f aca="false">IF($A551="","",COUNTIF(E551:K551,"✓"))</f>
        <v/>
      </c>
      <c r="M551" s="131" t="str">
        <f aca="false">IF(B551="","","Active")</f>
        <v/>
      </c>
      <c r="W551" s="120" t="str">
        <f aca="false">IF($A551="","",IF($X551&lt;&gt;"",$X551,IFERROR(INDEX('Formation Initiale'!$B$2:$B$999,MATCH($A551,'Formation Initiale'!$A$2:$A$999,0)),"Général")))</f>
        <v/>
      </c>
    </row>
    <row r="552" customFormat="false" ht="15" hidden="true" customHeight="true" outlineLevel="0" collapsed="false">
      <c r="A552" s="142" t="str">
        <f aca="false">IF(B552="","","TR"&amp;TEXT(ROW()-1,"000"))</f>
        <v/>
      </c>
      <c r="E552" s="130" t="str">
        <f aca="false">IF($O552="✓","✓",IF(ISNUMBER($O552),TEXT($O552,"yyyy-mm-dd"),IF($A552="","",IF(SUMPRODUCT(('Formation Initiale'!$A$2:$A$999=$A552)*('Formation Initiale'!$R$2:$R$999="Terminé"))&gt;0,"✓",IF(SUMPRODUCT(MAX(('Formation Initiale'!$A$2:$A$999=$A552)*'Formation Initiale'!$G$2:$G$999))&gt;0,TEXT(SUMPRODUCT(MAX(('Formation Initiale'!$A$2:$A$999=$A552)*'Formation Initiale'!$G$2:$G$999)),"yyyy-mm-dd"),"")))))</f>
        <v/>
      </c>
      <c r="F552" s="131" t="str">
        <f aca="false">IF($P552="✓","✓",IF(ISNUMBER($P552),TEXT($P552,"yyyy-mm-dd"),IF($A552="","",IF($D552="Lisbonne","",IF(SUMPRODUCT(('Formation Initiale'!$A$2:$A$999=$A552)*('Formation Initiale'!$R$2:$R$999="Terminé"))&gt;0,"✓",IF(SUMPRODUCT(MAX(('Formation Initiale'!$A$2:$A$999=$A552)*'Formation Initiale'!$G$2:$G$999))&gt;0,TEXT(SUMPRODUCT(MAX(('Formation Initiale'!$A$2:$A$999=$A552)*'Formation Initiale'!$G$2:$G$999)),"yyyy-mm-dd"),""))))))</f>
        <v/>
      </c>
      <c r="G552" s="131" t="str">
        <f aca="false">IF($Q552="✓","✓",IF(ISNUMBER($Q552),TEXT($Q552,"yyyy-mm-dd"),IF($A552="","",IF(SUMPRODUCT(('Agences &amp; Après-vente'!$A$2:$A$1000=$A552)*(('Agences &amp; Après-vente'!$D$2:$D$1000="Agences")+('Agences &amp; Après-vente'!$D$2:$D$1000="Agences et Après-vente"))*('Agences &amp; Après-vente'!$I$2:$I$1000="DONE"))&gt;0,"✓",IF(SUMPRODUCT(MAX(('Agences &amp; Après-vente'!$A$2:$A$1000=$A552)*(('Agences &amp; Après-vente'!$D$2:$D$1000="Agences")+('Agences &amp; Après-vente'!$D$2:$D$1000="Agences et Après-vente"))*'Agences &amp; Après-vente'!$E$2:$E$1000))&gt;0,TEXT(SUMPRODUCT(MAX(('Agences &amp; Après-vente'!$A$2:$A$1000=$A552)*(('Agences &amp; Après-vente'!$D$2:$D$1000="Agences")+('Agences &amp; Après-vente'!$D$2:$D$1000="Agences et Après-vente"))*'Agences &amp; Après-vente'!$E$2:$E$1000)),"yyyy-mm-dd"),"")))))</f>
        <v/>
      </c>
      <c r="H552" s="131" t="str">
        <f aca="false">IF($R552="✓","✓",IF(ISNUMBER($R552),TEXT($R552,"yyyy-mm-dd"),IF($A552="","",IF($D552="Lisbonne","",IF(SUMPRODUCT(('Agences &amp; Après-vente'!$A$2:$A$1000=$A552)*(('Agences &amp; Après-vente'!$D$2:$D$1000="Agences")+('Agences &amp; Après-vente'!$D$2:$D$1000="Agences et Après-vente"))*('Agences &amp; Après-vente'!$I$2:$I$1000="DONE"))&gt;0,"✓",IF(SUMPRODUCT(MAX(('Agences &amp; Après-vente'!$A$2:$A$1000=$A552)*(('Agences &amp; Après-vente'!$D$2:$D$1000="Agences")+('Agences &amp; Après-vente'!$D$2:$D$1000="Agences et Après-vente"))*'Agences &amp; Après-vente'!$E$2:$E$1000))&gt;0,TEXT(SUMPRODUCT(MAX(('Agences &amp; Après-vente'!$A$2:$A$1000=$A552)*(('Agences &amp; Après-vente'!$D$2:$D$1000="Agences")+('Agences &amp; Après-vente'!$D$2:$D$1000="Agences et Après-vente"))*'Agences &amp; Après-vente'!$E$2:$E$1000)),"yyyy-mm-dd"),""))))))</f>
        <v/>
      </c>
      <c r="I552" s="131" t="str">
        <f aca="false">IF($S552="✓","✓",IF(ISNUMBER($S552),TEXT($S552,"yyyy-mm-dd"),IF($A552="","",IF(SUMPRODUCT(('Agences &amp; Après-vente'!$A$2:$A$1000=$A552)*(('Agences &amp; Après-vente'!$D$2:$D$1000="Après-vente")+('Agences &amp; Après-vente'!$D$2:$D$1000="Agences et Après-vente"))*('Agences &amp; Après-vente'!$I$2:$I$1000="DONE"))&gt;0,"✓",IF(SUMPRODUCT(MAX(('Agences &amp; Après-vente'!$A$2:$A$1000=$A552)*(('Agences &amp; Après-vente'!$D$2:$D$1000="Après-vente")+('Agences &amp; Après-vente'!$D$2:$D$1000="Agences et Après-vente"))*'Agences &amp; Après-vente'!$E$2:$E$1000))&gt;0,TEXT(SUMPRODUCT(MAX(('Agences &amp; Après-vente'!$A$2:$A$1000=$A552)*(('Agences &amp; Après-vente'!$D$2:$D$1000="Après-vente")+('Agences &amp; Après-vente'!$D$2:$D$1000="Agences et Après-vente"))*'Agences &amp; Après-vente'!$E$2:$E$1000)),"yyyy-mm-dd"),"")))))</f>
        <v/>
      </c>
      <c r="J552" s="131" t="str">
        <f aca="false">IF($T552="✓","✓",IF(ISNUMBER($T552),TEXT($T552,"yyyy-mm-dd"),IF($A552="","",IF($D552="Lisbonne","",IF(SUMPRODUCT(('Agences &amp; Après-vente'!$A$2:$A$1000=$A552)*(('Agences &amp; Après-vente'!$D$2:$D$1000="Après-vente")+('Agences &amp; Après-vente'!$D$2:$D$1000="Agences et Après-vente"))*('Agences &amp; Après-vente'!$I$2:$I$1000="DONE"))&gt;0,"✓",IF(SUMPRODUCT(MAX(('Agences &amp; Après-vente'!$A$2:$A$1000=$A552)*(('Agences &amp; Après-vente'!$D$2:$D$1000="Après-vente")+('Agences &amp; Après-vente'!$D$2:$D$1000="Agences et Après-vente"))*'Agences &amp; Après-vente'!$E$2:$E$1000))&gt;0,TEXT(SUMPRODUCT(MAX(('Agences &amp; Après-vente'!$A$2:$A$1000=$A552)*(('Agences &amp; Après-vente'!$D$2:$D$1000="Après-vente")+('Agences &amp; Après-vente'!$D$2:$D$1000="Agences et Après-vente"))*'Agences &amp; Après-vente'!$E$2:$E$1000)),"yyyy-mm-dd"),""))))))</f>
        <v/>
      </c>
      <c r="K552" s="131" t="str">
        <f aca="false">IF($U552="✓","✓",IF(ISNUMBER($U552),TEXT($U552,"yyyy-mm-dd"),IF($D552="Lisbonne","",IF($A552="","",IF(SUMPRODUCT((Evermont!$A$2:$A$1000=$A552)*(Evermont!$Q$2:$Q$1000="Terminé"))&gt;0,"✓",IF(SUMPRODUCT(MAX((Evermont!$A$2:$A$1000=$A552)*Evermont!$F$2:$F$1000))&gt;0,TEXT(SUMPRODUCT(MAX((Evermont!$A$2:$A$1000=$A552)*Evermont!$F$2:$F$1000)),"yyyy-mm-dd"),""))))))</f>
        <v/>
      </c>
      <c r="L552" s="131" t="str">
        <f aca="false">IF($A552="","",COUNTIF(E552:K552,"✓"))</f>
        <v/>
      </c>
      <c r="M552" s="131" t="str">
        <f aca="false">IF(B552="","","Active")</f>
        <v/>
      </c>
      <c r="W552" s="120" t="str">
        <f aca="false">IF($A552="","",IF($X552&lt;&gt;"",$X552,IFERROR(INDEX('Formation Initiale'!$B$2:$B$999,MATCH($A552,'Formation Initiale'!$A$2:$A$999,0)),"Général")))</f>
        <v/>
      </c>
    </row>
    <row r="553" customFormat="false" ht="15" hidden="true" customHeight="true" outlineLevel="0" collapsed="false">
      <c r="A553" s="142" t="str">
        <f aca="false">IF(B553="","","TR"&amp;TEXT(ROW()-1,"000"))</f>
        <v/>
      </c>
      <c r="E553" s="130" t="str">
        <f aca="false">IF($O553="✓","✓",IF(ISNUMBER($O553),TEXT($O553,"yyyy-mm-dd"),IF($A553="","",IF(SUMPRODUCT(('Formation Initiale'!$A$2:$A$999=$A553)*('Formation Initiale'!$R$2:$R$999="Terminé"))&gt;0,"✓",IF(SUMPRODUCT(MAX(('Formation Initiale'!$A$2:$A$999=$A553)*'Formation Initiale'!$G$2:$G$999))&gt;0,TEXT(SUMPRODUCT(MAX(('Formation Initiale'!$A$2:$A$999=$A553)*'Formation Initiale'!$G$2:$G$999)),"yyyy-mm-dd"),"")))))</f>
        <v/>
      </c>
      <c r="F553" s="131" t="str">
        <f aca="false">IF($P553="✓","✓",IF(ISNUMBER($P553),TEXT($P553,"yyyy-mm-dd"),IF($A553="","",IF($D553="Lisbonne","",IF(SUMPRODUCT(('Formation Initiale'!$A$2:$A$999=$A553)*('Formation Initiale'!$R$2:$R$999="Terminé"))&gt;0,"✓",IF(SUMPRODUCT(MAX(('Formation Initiale'!$A$2:$A$999=$A553)*'Formation Initiale'!$G$2:$G$999))&gt;0,TEXT(SUMPRODUCT(MAX(('Formation Initiale'!$A$2:$A$999=$A553)*'Formation Initiale'!$G$2:$G$999)),"yyyy-mm-dd"),""))))))</f>
        <v/>
      </c>
      <c r="G553" s="131" t="str">
        <f aca="false">IF($Q553="✓","✓",IF(ISNUMBER($Q553),TEXT($Q553,"yyyy-mm-dd"),IF($A553="","",IF(SUMPRODUCT(('Agences &amp; Après-vente'!$A$2:$A$1000=$A553)*(('Agences &amp; Après-vente'!$D$2:$D$1000="Agences")+('Agences &amp; Après-vente'!$D$2:$D$1000="Agences et Après-vente"))*('Agences &amp; Après-vente'!$I$2:$I$1000="DONE"))&gt;0,"✓",IF(SUMPRODUCT(MAX(('Agences &amp; Après-vente'!$A$2:$A$1000=$A553)*(('Agences &amp; Après-vente'!$D$2:$D$1000="Agences")+('Agences &amp; Après-vente'!$D$2:$D$1000="Agences et Après-vente"))*'Agences &amp; Après-vente'!$E$2:$E$1000))&gt;0,TEXT(SUMPRODUCT(MAX(('Agences &amp; Après-vente'!$A$2:$A$1000=$A553)*(('Agences &amp; Après-vente'!$D$2:$D$1000="Agences")+('Agences &amp; Après-vente'!$D$2:$D$1000="Agences et Après-vente"))*'Agences &amp; Après-vente'!$E$2:$E$1000)),"yyyy-mm-dd"),"")))))</f>
        <v/>
      </c>
      <c r="H553" s="131" t="str">
        <f aca="false">IF($R553="✓","✓",IF(ISNUMBER($R553),TEXT($R553,"yyyy-mm-dd"),IF($A553="","",IF($D553="Lisbonne","",IF(SUMPRODUCT(('Agences &amp; Après-vente'!$A$2:$A$1000=$A553)*(('Agences &amp; Après-vente'!$D$2:$D$1000="Agences")+('Agences &amp; Après-vente'!$D$2:$D$1000="Agences et Après-vente"))*('Agences &amp; Après-vente'!$I$2:$I$1000="DONE"))&gt;0,"✓",IF(SUMPRODUCT(MAX(('Agences &amp; Après-vente'!$A$2:$A$1000=$A553)*(('Agences &amp; Après-vente'!$D$2:$D$1000="Agences")+('Agences &amp; Après-vente'!$D$2:$D$1000="Agences et Après-vente"))*'Agences &amp; Après-vente'!$E$2:$E$1000))&gt;0,TEXT(SUMPRODUCT(MAX(('Agences &amp; Après-vente'!$A$2:$A$1000=$A553)*(('Agences &amp; Après-vente'!$D$2:$D$1000="Agences")+('Agences &amp; Après-vente'!$D$2:$D$1000="Agences et Après-vente"))*'Agences &amp; Après-vente'!$E$2:$E$1000)),"yyyy-mm-dd"),""))))))</f>
        <v/>
      </c>
      <c r="I553" s="131" t="str">
        <f aca="false">IF($S553="✓","✓",IF(ISNUMBER($S553),TEXT($S553,"yyyy-mm-dd"),IF($A553="","",IF(SUMPRODUCT(('Agences &amp; Après-vente'!$A$2:$A$1000=$A553)*(('Agences &amp; Après-vente'!$D$2:$D$1000="Après-vente")+('Agences &amp; Après-vente'!$D$2:$D$1000="Agences et Après-vente"))*('Agences &amp; Après-vente'!$I$2:$I$1000="DONE"))&gt;0,"✓",IF(SUMPRODUCT(MAX(('Agences &amp; Après-vente'!$A$2:$A$1000=$A553)*(('Agences &amp; Après-vente'!$D$2:$D$1000="Après-vente")+('Agences &amp; Après-vente'!$D$2:$D$1000="Agences et Après-vente"))*'Agences &amp; Après-vente'!$E$2:$E$1000))&gt;0,TEXT(SUMPRODUCT(MAX(('Agences &amp; Après-vente'!$A$2:$A$1000=$A553)*(('Agences &amp; Après-vente'!$D$2:$D$1000="Après-vente")+('Agences &amp; Après-vente'!$D$2:$D$1000="Agences et Après-vente"))*'Agences &amp; Après-vente'!$E$2:$E$1000)),"yyyy-mm-dd"),"")))))</f>
        <v/>
      </c>
      <c r="J553" s="131" t="str">
        <f aca="false">IF($T553="✓","✓",IF(ISNUMBER($T553),TEXT($T553,"yyyy-mm-dd"),IF($A553="","",IF($D553="Lisbonne","",IF(SUMPRODUCT(('Agences &amp; Après-vente'!$A$2:$A$1000=$A553)*(('Agences &amp; Après-vente'!$D$2:$D$1000="Après-vente")+('Agences &amp; Après-vente'!$D$2:$D$1000="Agences et Après-vente"))*('Agences &amp; Après-vente'!$I$2:$I$1000="DONE"))&gt;0,"✓",IF(SUMPRODUCT(MAX(('Agences &amp; Après-vente'!$A$2:$A$1000=$A553)*(('Agences &amp; Après-vente'!$D$2:$D$1000="Après-vente")+('Agences &amp; Après-vente'!$D$2:$D$1000="Agences et Après-vente"))*'Agences &amp; Après-vente'!$E$2:$E$1000))&gt;0,TEXT(SUMPRODUCT(MAX(('Agences &amp; Après-vente'!$A$2:$A$1000=$A553)*(('Agences &amp; Après-vente'!$D$2:$D$1000="Après-vente")+('Agences &amp; Après-vente'!$D$2:$D$1000="Agences et Après-vente"))*'Agences &amp; Après-vente'!$E$2:$E$1000)),"yyyy-mm-dd"),""))))))</f>
        <v/>
      </c>
      <c r="K553" s="131" t="str">
        <f aca="false">IF($U553="✓","✓",IF(ISNUMBER($U553),TEXT($U553,"yyyy-mm-dd"),IF($D553="Lisbonne","",IF($A553="","",IF(SUMPRODUCT((Evermont!$A$2:$A$1000=$A553)*(Evermont!$Q$2:$Q$1000="Terminé"))&gt;0,"✓",IF(SUMPRODUCT(MAX((Evermont!$A$2:$A$1000=$A553)*Evermont!$F$2:$F$1000))&gt;0,TEXT(SUMPRODUCT(MAX((Evermont!$A$2:$A$1000=$A553)*Evermont!$F$2:$F$1000)),"yyyy-mm-dd"),""))))))</f>
        <v/>
      </c>
      <c r="L553" s="131" t="str">
        <f aca="false">IF($A553="","",COUNTIF(E553:K553,"✓"))</f>
        <v/>
      </c>
      <c r="M553" s="131" t="str">
        <f aca="false">IF(B553="","","Active")</f>
        <v/>
      </c>
      <c r="W553" s="120" t="str">
        <f aca="false">IF($A553="","",IF($X553&lt;&gt;"",$X553,IFERROR(INDEX('Formation Initiale'!$B$2:$B$999,MATCH($A553,'Formation Initiale'!$A$2:$A$999,0)),"Général")))</f>
        <v/>
      </c>
    </row>
    <row r="554" customFormat="false" ht="15" hidden="true" customHeight="true" outlineLevel="0" collapsed="false">
      <c r="A554" s="142" t="str">
        <f aca="false">IF(B554="","","TR"&amp;TEXT(ROW()-1,"000"))</f>
        <v/>
      </c>
      <c r="E554" s="130" t="str">
        <f aca="false">IF($O554="✓","✓",IF(ISNUMBER($O554),TEXT($O554,"yyyy-mm-dd"),IF($A554="","",IF(SUMPRODUCT(('Formation Initiale'!$A$2:$A$999=$A554)*('Formation Initiale'!$R$2:$R$999="Terminé"))&gt;0,"✓",IF(SUMPRODUCT(MAX(('Formation Initiale'!$A$2:$A$999=$A554)*'Formation Initiale'!$G$2:$G$999))&gt;0,TEXT(SUMPRODUCT(MAX(('Formation Initiale'!$A$2:$A$999=$A554)*'Formation Initiale'!$G$2:$G$999)),"yyyy-mm-dd"),"")))))</f>
        <v/>
      </c>
      <c r="F554" s="131" t="str">
        <f aca="false">IF($P554="✓","✓",IF(ISNUMBER($P554),TEXT($P554,"yyyy-mm-dd"),IF($A554="","",IF($D554="Lisbonne","",IF(SUMPRODUCT(('Formation Initiale'!$A$2:$A$999=$A554)*('Formation Initiale'!$R$2:$R$999="Terminé"))&gt;0,"✓",IF(SUMPRODUCT(MAX(('Formation Initiale'!$A$2:$A$999=$A554)*'Formation Initiale'!$G$2:$G$999))&gt;0,TEXT(SUMPRODUCT(MAX(('Formation Initiale'!$A$2:$A$999=$A554)*'Formation Initiale'!$G$2:$G$999)),"yyyy-mm-dd"),""))))))</f>
        <v/>
      </c>
      <c r="G554" s="131" t="str">
        <f aca="false">IF($Q554="✓","✓",IF(ISNUMBER($Q554),TEXT($Q554,"yyyy-mm-dd"),IF($A554="","",IF(SUMPRODUCT(('Agences &amp; Après-vente'!$A$2:$A$1000=$A554)*(('Agences &amp; Après-vente'!$D$2:$D$1000="Agences")+('Agences &amp; Après-vente'!$D$2:$D$1000="Agences et Après-vente"))*('Agences &amp; Après-vente'!$I$2:$I$1000="DONE"))&gt;0,"✓",IF(SUMPRODUCT(MAX(('Agences &amp; Après-vente'!$A$2:$A$1000=$A554)*(('Agences &amp; Après-vente'!$D$2:$D$1000="Agences")+('Agences &amp; Après-vente'!$D$2:$D$1000="Agences et Après-vente"))*'Agences &amp; Après-vente'!$E$2:$E$1000))&gt;0,TEXT(SUMPRODUCT(MAX(('Agences &amp; Après-vente'!$A$2:$A$1000=$A554)*(('Agences &amp; Après-vente'!$D$2:$D$1000="Agences")+('Agences &amp; Après-vente'!$D$2:$D$1000="Agences et Après-vente"))*'Agences &amp; Après-vente'!$E$2:$E$1000)),"yyyy-mm-dd"),"")))))</f>
        <v/>
      </c>
      <c r="H554" s="131" t="str">
        <f aca="false">IF($R554="✓","✓",IF(ISNUMBER($R554),TEXT($R554,"yyyy-mm-dd"),IF($A554="","",IF($D554="Lisbonne","",IF(SUMPRODUCT(('Agences &amp; Après-vente'!$A$2:$A$1000=$A554)*(('Agences &amp; Après-vente'!$D$2:$D$1000="Agences")+('Agences &amp; Après-vente'!$D$2:$D$1000="Agences et Après-vente"))*('Agences &amp; Après-vente'!$I$2:$I$1000="DONE"))&gt;0,"✓",IF(SUMPRODUCT(MAX(('Agences &amp; Après-vente'!$A$2:$A$1000=$A554)*(('Agences &amp; Après-vente'!$D$2:$D$1000="Agences")+('Agences &amp; Après-vente'!$D$2:$D$1000="Agences et Après-vente"))*'Agences &amp; Après-vente'!$E$2:$E$1000))&gt;0,TEXT(SUMPRODUCT(MAX(('Agences &amp; Après-vente'!$A$2:$A$1000=$A554)*(('Agences &amp; Après-vente'!$D$2:$D$1000="Agences")+('Agences &amp; Après-vente'!$D$2:$D$1000="Agences et Après-vente"))*'Agences &amp; Après-vente'!$E$2:$E$1000)),"yyyy-mm-dd"),""))))))</f>
        <v/>
      </c>
      <c r="I554" s="131" t="str">
        <f aca="false">IF($S554="✓","✓",IF(ISNUMBER($S554),TEXT($S554,"yyyy-mm-dd"),IF($A554="","",IF(SUMPRODUCT(('Agences &amp; Après-vente'!$A$2:$A$1000=$A554)*(('Agences &amp; Après-vente'!$D$2:$D$1000="Après-vente")+('Agences &amp; Après-vente'!$D$2:$D$1000="Agences et Après-vente"))*('Agences &amp; Après-vente'!$I$2:$I$1000="DONE"))&gt;0,"✓",IF(SUMPRODUCT(MAX(('Agences &amp; Après-vente'!$A$2:$A$1000=$A554)*(('Agences &amp; Après-vente'!$D$2:$D$1000="Après-vente")+('Agences &amp; Après-vente'!$D$2:$D$1000="Agences et Après-vente"))*'Agences &amp; Après-vente'!$E$2:$E$1000))&gt;0,TEXT(SUMPRODUCT(MAX(('Agences &amp; Après-vente'!$A$2:$A$1000=$A554)*(('Agences &amp; Après-vente'!$D$2:$D$1000="Après-vente")+('Agences &amp; Après-vente'!$D$2:$D$1000="Agences et Après-vente"))*'Agences &amp; Après-vente'!$E$2:$E$1000)),"yyyy-mm-dd"),"")))))</f>
        <v/>
      </c>
      <c r="J554" s="131" t="str">
        <f aca="false">IF($T554="✓","✓",IF(ISNUMBER($T554),TEXT($T554,"yyyy-mm-dd"),IF($A554="","",IF($D554="Lisbonne","",IF(SUMPRODUCT(('Agences &amp; Après-vente'!$A$2:$A$1000=$A554)*(('Agences &amp; Après-vente'!$D$2:$D$1000="Après-vente")+('Agences &amp; Après-vente'!$D$2:$D$1000="Agences et Après-vente"))*('Agences &amp; Après-vente'!$I$2:$I$1000="DONE"))&gt;0,"✓",IF(SUMPRODUCT(MAX(('Agences &amp; Après-vente'!$A$2:$A$1000=$A554)*(('Agences &amp; Après-vente'!$D$2:$D$1000="Après-vente")+('Agences &amp; Après-vente'!$D$2:$D$1000="Agences et Après-vente"))*'Agences &amp; Après-vente'!$E$2:$E$1000))&gt;0,TEXT(SUMPRODUCT(MAX(('Agences &amp; Après-vente'!$A$2:$A$1000=$A554)*(('Agences &amp; Après-vente'!$D$2:$D$1000="Après-vente")+('Agences &amp; Après-vente'!$D$2:$D$1000="Agences et Après-vente"))*'Agences &amp; Après-vente'!$E$2:$E$1000)),"yyyy-mm-dd"),""))))))</f>
        <v/>
      </c>
      <c r="K554" s="131" t="str">
        <f aca="false">IF($U554="✓","✓",IF(ISNUMBER($U554),TEXT($U554,"yyyy-mm-dd"),IF($D554="Lisbonne","",IF($A554="","",IF(SUMPRODUCT((Evermont!$A$2:$A$1000=$A554)*(Evermont!$Q$2:$Q$1000="Terminé"))&gt;0,"✓",IF(SUMPRODUCT(MAX((Evermont!$A$2:$A$1000=$A554)*Evermont!$F$2:$F$1000))&gt;0,TEXT(SUMPRODUCT(MAX((Evermont!$A$2:$A$1000=$A554)*Evermont!$F$2:$F$1000)),"yyyy-mm-dd"),""))))))</f>
        <v/>
      </c>
      <c r="L554" s="131" t="str">
        <f aca="false">IF($A554="","",COUNTIF(E554:K554,"✓"))</f>
        <v/>
      </c>
      <c r="M554" s="131" t="str">
        <f aca="false">IF(B554="","","Active")</f>
        <v/>
      </c>
      <c r="W554" s="120" t="str">
        <f aca="false">IF($A554="","",IF($X554&lt;&gt;"",$X554,IFERROR(INDEX('Formation Initiale'!$B$2:$B$999,MATCH($A554,'Formation Initiale'!$A$2:$A$999,0)),"Général")))</f>
        <v/>
      </c>
    </row>
    <row r="555" customFormat="false" ht="15" hidden="true" customHeight="true" outlineLevel="0" collapsed="false">
      <c r="A555" s="142" t="str">
        <f aca="false">IF(B555="","","TR"&amp;TEXT(ROW()-1,"000"))</f>
        <v/>
      </c>
      <c r="E555" s="130" t="str">
        <f aca="false">IF($O555="✓","✓",IF(ISNUMBER($O555),TEXT($O555,"yyyy-mm-dd"),IF($A555="","",IF(SUMPRODUCT(('Formation Initiale'!$A$2:$A$999=$A555)*('Formation Initiale'!$R$2:$R$999="Terminé"))&gt;0,"✓",IF(SUMPRODUCT(MAX(('Formation Initiale'!$A$2:$A$999=$A555)*'Formation Initiale'!$G$2:$G$999))&gt;0,TEXT(SUMPRODUCT(MAX(('Formation Initiale'!$A$2:$A$999=$A555)*'Formation Initiale'!$G$2:$G$999)),"yyyy-mm-dd"),"")))))</f>
        <v/>
      </c>
      <c r="F555" s="131" t="str">
        <f aca="false">IF($P555="✓","✓",IF(ISNUMBER($P555),TEXT($P555,"yyyy-mm-dd"),IF($A555="","",IF($D555="Lisbonne","",IF(SUMPRODUCT(('Formation Initiale'!$A$2:$A$999=$A555)*('Formation Initiale'!$R$2:$R$999="Terminé"))&gt;0,"✓",IF(SUMPRODUCT(MAX(('Formation Initiale'!$A$2:$A$999=$A555)*'Formation Initiale'!$G$2:$G$999))&gt;0,TEXT(SUMPRODUCT(MAX(('Formation Initiale'!$A$2:$A$999=$A555)*'Formation Initiale'!$G$2:$G$999)),"yyyy-mm-dd"),""))))))</f>
        <v/>
      </c>
      <c r="G555" s="131" t="str">
        <f aca="false">IF($Q555="✓","✓",IF(ISNUMBER($Q555),TEXT($Q555,"yyyy-mm-dd"),IF($A555="","",IF(SUMPRODUCT(('Agences &amp; Après-vente'!$A$2:$A$1000=$A555)*(('Agences &amp; Après-vente'!$D$2:$D$1000="Agences")+('Agences &amp; Après-vente'!$D$2:$D$1000="Agences et Après-vente"))*('Agences &amp; Après-vente'!$I$2:$I$1000="DONE"))&gt;0,"✓",IF(SUMPRODUCT(MAX(('Agences &amp; Après-vente'!$A$2:$A$1000=$A555)*(('Agences &amp; Après-vente'!$D$2:$D$1000="Agences")+('Agences &amp; Après-vente'!$D$2:$D$1000="Agences et Après-vente"))*'Agences &amp; Après-vente'!$E$2:$E$1000))&gt;0,TEXT(SUMPRODUCT(MAX(('Agences &amp; Après-vente'!$A$2:$A$1000=$A555)*(('Agences &amp; Après-vente'!$D$2:$D$1000="Agences")+('Agences &amp; Après-vente'!$D$2:$D$1000="Agences et Après-vente"))*'Agences &amp; Après-vente'!$E$2:$E$1000)),"yyyy-mm-dd"),"")))))</f>
        <v/>
      </c>
      <c r="H555" s="131" t="str">
        <f aca="false">IF($R555="✓","✓",IF(ISNUMBER($R555),TEXT($R555,"yyyy-mm-dd"),IF($A555="","",IF($D555="Lisbonne","",IF(SUMPRODUCT(('Agences &amp; Après-vente'!$A$2:$A$1000=$A555)*(('Agences &amp; Après-vente'!$D$2:$D$1000="Agences")+('Agences &amp; Après-vente'!$D$2:$D$1000="Agences et Après-vente"))*('Agences &amp; Après-vente'!$I$2:$I$1000="DONE"))&gt;0,"✓",IF(SUMPRODUCT(MAX(('Agences &amp; Après-vente'!$A$2:$A$1000=$A555)*(('Agences &amp; Après-vente'!$D$2:$D$1000="Agences")+('Agences &amp; Après-vente'!$D$2:$D$1000="Agences et Après-vente"))*'Agences &amp; Après-vente'!$E$2:$E$1000))&gt;0,TEXT(SUMPRODUCT(MAX(('Agences &amp; Après-vente'!$A$2:$A$1000=$A555)*(('Agences &amp; Après-vente'!$D$2:$D$1000="Agences")+('Agences &amp; Après-vente'!$D$2:$D$1000="Agences et Après-vente"))*'Agences &amp; Après-vente'!$E$2:$E$1000)),"yyyy-mm-dd"),""))))))</f>
        <v/>
      </c>
      <c r="I555" s="131" t="str">
        <f aca="false">IF($S555="✓","✓",IF(ISNUMBER($S555),TEXT($S555,"yyyy-mm-dd"),IF($A555="","",IF(SUMPRODUCT(('Agences &amp; Après-vente'!$A$2:$A$1000=$A555)*(('Agences &amp; Après-vente'!$D$2:$D$1000="Après-vente")+('Agences &amp; Après-vente'!$D$2:$D$1000="Agences et Après-vente"))*('Agences &amp; Après-vente'!$I$2:$I$1000="DONE"))&gt;0,"✓",IF(SUMPRODUCT(MAX(('Agences &amp; Après-vente'!$A$2:$A$1000=$A555)*(('Agences &amp; Après-vente'!$D$2:$D$1000="Après-vente")+('Agences &amp; Après-vente'!$D$2:$D$1000="Agences et Après-vente"))*'Agences &amp; Après-vente'!$E$2:$E$1000))&gt;0,TEXT(SUMPRODUCT(MAX(('Agences &amp; Après-vente'!$A$2:$A$1000=$A555)*(('Agences &amp; Après-vente'!$D$2:$D$1000="Après-vente")+('Agences &amp; Après-vente'!$D$2:$D$1000="Agences et Après-vente"))*'Agences &amp; Après-vente'!$E$2:$E$1000)),"yyyy-mm-dd"),"")))))</f>
        <v/>
      </c>
      <c r="J555" s="131" t="str">
        <f aca="false">IF($T555="✓","✓",IF(ISNUMBER($T555),TEXT($T555,"yyyy-mm-dd"),IF($A555="","",IF($D555="Lisbonne","",IF(SUMPRODUCT(('Agences &amp; Après-vente'!$A$2:$A$1000=$A555)*(('Agences &amp; Après-vente'!$D$2:$D$1000="Après-vente")+('Agences &amp; Après-vente'!$D$2:$D$1000="Agences et Après-vente"))*('Agences &amp; Après-vente'!$I$2:$I$1000="DONE"))&gt;0,"✓",IF(SUMPRODUCT(MAX(('Agences &amp; Après-vente'!$A$2:$A$1000=$A555)*(('Agences &amp; Après-vente'!$D$2:$D$1000="Après-vente")+('Agences &amp; Après-vente'!$D$2:$D$1000="Agences et Après-vente"))*'Agences &amp; Après-vente'!$E$2:$E$1000))&gt;0,TEXT(SUMPRODUCT(MAX(('Agences &amp; Après-vente'!$A$2:$A$1000=$A555)*(('Agences &amp; Après-vente'!$D$2:$D$1000="Après-vente")+('Agences &amp; Après-vente'!$D$2:$D$1000="Agences et Après-vente"))*'Agences &amp; Après-vente'!$E$2:$E$1000)),"yyyy-mm-dd"),""))))))</f>
        <v/>
      </c>
      <c r="K555" s="131" t="str">
        <f aca="false">IF($U555="✓","✓",IF(ISNUMBER($U555),TEXT($U555,"yyyy-mm-dd"),IF($D555="Lisbonne","",IF($A555="","",IF(SUMPRODUCT((Evermont!$A$2:$A$1000=$A555)*(Evermont!$Q$2:$Q$1000="Terminé"))&gt;0,"✓",IF(SUMPRODUCT(MAX((Evermont!$A$2:$A$1000=$A555)*Evermont!$F$2:$F$1000))&gt;0,TEXT(SUMPRODUCT(MAX((Evermont!$A$2:$A$1000=$A555)*Evermont!$F$2:$F$1000)),"yyyy-mm-dd"),""))))))</f>
        <v/>
      </c>
      <c r="L555" s="131" t="str">
        <f aca="false">IF($A555="","",COUNTIF(E555:K555,"✓"))</f>
        <v/>
      </c>
      <c r="M555" s="131" t="str">
        <f aca="false">IF(B555="","","Active")</f>
        <v/>
      </c>
      <c r="W555" s="120" t="str">
        <f aca="false">IF($A555="","",IF($X555&lt;&gt;"",$X555,IFERROR(INDEX('Formation Initiale'!$B$2:$B$999,MATCH($A555,'Formation Initiale'!$A$2:$A$999,0)),"Général")))</f>
        <v/>
      </c>
    </row>
    <row r="556" customFormat="false" ht="15" hidden="true" customHeight="true" outlineLevel="0" collapsed="false">
      <c r="A556" s="142" t="str">
        <f aca="false">IF(B556="","","TR"&amp;TEXT(ROW()-1,"000"))</f>
        <v/>
      </c>
      <c r="E556" s="130" t="str">
        <f aca="false">IF($O556="✓","✓",IF(ISNUMBER($O556),TEXT($O556,"yyyy-mm-dd"),IF($A556="","",IF(SUMPRODUCT(('Formation Initiale'!$A$2:$A$999=$A556)*('Formation Initiale'!$R$2:$R$999="Terminé"))&gt;0,"✓",IF(SUMPRODUCT(MAX(('Formation Initiale'!$A$2:$A$999=$A556)*'Formation Initiale'!$G$2:$G$999))&gt;0,TEXT(SUMPRODUCT(MAX(('Formation Initiale'!$A$2:$A$999=$A556)*'Formation Initiale'!$G$2:$G$999)),"yyyy-mm-dd"),"")))))</f>
        <v/>
      </c>
      <c r="F556" s="131" t="str">
        <f aca="false">IF($P556="✓","✓",IF(ISNUMBER($P556),TEXT($P556,"yyyy-mm-dd"),IF($A556="","",IF($D556="Lisbonne","",IF(SUMPRODUCT(('Formation Initiale'!$A$2:$A$999=$A556)*('Formation Initiale'!$R$2:$R$999="Terminé"))&gt;0,"✓",IF(SUMPRODUCT(MAX(('Formation Initiale'!$A$2:$A$999=$A556)*'Formation Initiale'!$G$2:$G$999))&gt;0,TEXT(SUMPRODUCT(MAX(('Formation Initiale'!$A$2:$A$999=$A556)*'Formation Initiale'!$G$2:$G$999)),"yyyy-mm-dd"),""))))))</f>
        <v/>
      </c>
      <c r="G556" s="131" t="str">
        <f aca="false">IF($Q556="✓","✓",IF(ISNUMBER($Q556),TEXT($Q556,"yyyy-mm-dd"),IF($A556="","",IF(SUMPRODUCT(('Agences &amp; Après-vente'!$A$2:$A$1000=$A556)*(('Agences &amp; Après-vente'!$D$2:$D$1000="Agences")+('Agences &amp; Après-vente'!$D$2:$D$1000="Agences et Après-vente"))*('Agences &amp; Après-vente'!$I$2:$I$1000="DONE"))&gt;0,"✓",IF(SUMPRODUCT(MAX(('Agences &amp; Après-vente'!$A$2:$A$1000=$A556)*(('Agences &amp; Après-vente'!$D$2:$D$1000="Agences")+('Agences &amp; Après-vente'!$D$2:$D$1000="Agences et Après-vente"))*'Agences &amp; Après-vente'!$E$2:$E$1000))&gt;0,TEXT(SUMPRODUCT(MAX(('Agences &amp; Après-vente'!$A$2:$A$1000=$A556)*(('Agences &amp; Après-vente'!$D$2:$D$1000="Agences")+('Agences &amp; Après-vente'!$D$2:$D$1000="Agences et Après-vente"))*'Agences &amp; Après-vente'!$E$2:$E$1000)),"yyyy-mm-dd"),"")))))</f>
        <v/>
      </c>
      <c r="H556" s="131" t="str">
        <f aca="false">IF($R556="✓","✓",IF(ISNUMBER($R556),TEXT($R556,"yyyy-mm-dd"),IF($A556="","",IF($D556="Lisbonne","",IF(SUMPRODUCT(('Agences &amp; Après-vente'!$A$2:$A$1000=$A556)*(('Agences &amp; Après-vente'!$D$2:$D$1000="Agences")+('Agences &amp; Après-vente'!$D$2:$D$1000="Agences et Après-vente"))*('Agences &amp; Après-vente'!$I$2:$I$1000="DONE"))&gt;0,"✓",IF(SUMPRODUCT(MAX(('Agences &amp; Après-vente'!$A$2:$A$1000=$A556)*(('Agences &amp; Après-vente'!$D$2:$D$1000="Agences")+('Agences &amp; Après-vente'!$D$2:$D$1000="Agences et Après-vente"))*'Agences &amp; Après-vente'!$E$2:$E$1000))&gt;0,TEXT(SUMPRODUCT(MAX(('Agences &amp; Après-vente'!$A$2:$A$1000=$A556)*(('Agences &amp; Après-vente'!$D$2:$D$1000="Agences")+('Agences &amp; Après-vente'!$D$2:$D$1000="Agences et Après-vente"))*'Agences &amp; Après-vente'!$E$2:$E$1000)),"yyyy-mm-dd"),""))))))</f>
        <v/>
      </c>
      <c r="I556" s="131" t="str">
        <f aca="false">IF($S556="✓","✓",IF(ISNUMBER($S556),TEXT($S556,"yyyy-mm-dd"),IF($A556="","",IF(SUMPRODUCT(('Agences &amp; Après-vente'!$A$2:$A$1000=$A556)*(('Agences &amp; Après-vente'!$D$2:$D$1000="Après-vente")+('Agences &amp; Après-vente'!$D$2:$D$1000="Agences et Après-vente"))*('Agences &amp; Après-vente'!$I$2:$I$1000="DONE"))&gt;0,"✓",IF(SUMPRODUCT(MAX(('Agences &amp; Après-vente'!$A$2:$A$1000=$A556)*(('Agences &amp; Après-vente'!$D$2:$D$1000="Après-vente")+('Agences &amp; Après-vente'!$D$2:$D$1000="Agences et Après-vente"))*'Agences &amp; Après-vente'!$E$2:$E$1000))&gt;0,TEXT(SUMPRODUCT(MAX(('Agences &amp; Après-vente'!$A$2:$A$1000=$A556)*(('Agences &amp; Après-vente'!$D$2:$D$1000="Après-vente")+('Agences &amp; Après-vente'!$D$2:$D$1000="Agences et Après-vente"))*'Agences &amp; Après-vente'!$E$2:$E$1000)),"yyyy-mm-dd"),"")))))</f>
        <v/>
      </c>
      <c r="J556" s="131" t="str">
        <f aca="false">IF($T556="✓","✓",IF(ISNUMBER($T556),TEXT($T556,"yyyy-mm-dd"),IF($A556="","",IF($D556="Lisbonne","",IF(SUMPRODUCT(('Agences &amp; Après-vente'!$A$2:$A$1000=$A556)*(('Agences &amp; Après-vente'!$D$2:$D$1000="Après-vente")+('Agences &amp; Après-vente'!$D$2:$D$1000="Agences et Après-vente"))*('Agences &amp; Après-vente'!$I$2:$I$1000="DONE"))&gt;0,"✓",IF(SUMPRODUCT(MAX(('Agences &amp; Après-vente'!$A$2:$A$1000=$A556)*(('Agences &amp; Après-vente'!$D$2:$D$1000="Après-vente")+('Agences &amp; Après-vente'!$D$2:$D$1000="Agences et Après-vente"))*'Agences &amp; Après-vente'!$E$2:$E$1000))&gt;0,TEXT(SUMPRODUCT(MAX(('Agences &amp; Après-vente'!$A$2:$A$1000=$A556)*(('Agences &amp; Après-vente'!$D$2:$D$1000="Après-vente")+('Agences &amp; Après-vente'!$D$2:$D$1000="Agences et Après-vente"))*'Agences &amp; Après-vente'!$E$2:$E$1000)),"yyyy-mm-dd"),""))))))</f>
        <v/>
      </c>
      <c r="K556" s="131" t="str">
        <f aca="false">IF($U556="✓","✓",IF(ISNUMBER($U556),TEXT($U556,"yyyy-mm-dd"),IF($D556="Lisbonne","",IF($A556="","",IF(SUMPRODUCT((Evermont!$A$2:$A$1000=$A556)*(Evermont!$Q$2:$Q$1000="Terminé"))&gt;0,"✓",IF(SUMPRODUCT(MAX((Evermont!$A$2:$A$1000=$A556)*Evermont!$F$2:$F$1000))&gt;0,TEXT(SUMPRODUCT(MAX((Evermont!$A$2:$A$1000=$A556)*Evermont!$F$2:$F$1000)),"yyyy-mm-dd"),""))))))</f>
        <v/>
      </c>
      <c r="L556" s="131" t="str">
        <f aca="false">IF($A556="","",COUNTIF(E556:K556,"✓"))</f>
        <v/>
      </c>
      <c r="M556" s="131" t="str">
        <f aca="false">IF(B556="","","Active")</f>
        <v/>
      </c>
      <c r="W556" s="120" t="str">
        <f aca="false">IF($A556="","",IF($X556&lt;&gt;"",$X556,IFERROR(INDEX('Formation Initiale'!$B$2:$B$999,MATCH($A556,'Formation Initiale'!$A$2:$A$999,0)),"Général")))</f>
        <v/>
      </c>
    </row>
    <row r="557" customFormat="false" ht="15" hidden="true" customHeight="true" outlineLevel="0" collapsed="false">
      <c r="A557" s="142" t="str">
        <f aca="false">IF(B557="","","TR"&amp;TEXT(ROW()-1,"000"))</f>
        <v/>
      </c>
      <c r="E557" s="130" t="str">
        <f aca="false">IF($O557="✓","✓",IF(ISNUMBER($O557),TEXT($O557,"yyyy-mm-dd"),IF($A557="","",IF(SUMPRODUCT(('Formation Initiale'!$A$2:$A$999=$A557)*('Formation Initiale'!$R$2:$R$999="Terminé"))&gt;0,"✓",IF(SUMPRODUCT(MAX(('Formation Initiale'!$A$2:$A$999=$A557)*'Formation Initiale'!$G$2:$G$999))&gt;0,TEXT(SUMPRODUCT(MAX(('Formation Initiale'!$A$2:$A$999=$A557)*'Formation Initiale'!$G$2:$G$999)),"yyyy-mm-dd"),"")))))</f>
        <v/>
      </c>
      <c r="F557" s="131" t="str">
        <f aca="false">IF($P557="✓","✓",IF(ISNUMBER($P557),TEXT($P557,"yyyy-mm-dd"),IF($A557="","",IF($D557="Lisbonne","",IF(SUMPRODUCT(('Formation Initiale'!$A$2:$A$999=$A557)*('Formation Initiale'!$R$2:$R$999="Terminé"))&gt;0,"✓",IF(SUMPRODUCT(MAX(('Formation Initiale'!$A$2:$A$999=$A557)*'Formation Initiale'!$G$2:$G$999))&gt;0,TEXT(SUMPRODUCT(MAX(('Formation Initiale'!$A$2:$A$999=$A557)*'Formation Initiale'!$G$2:$G$999)),"yyyy-mm-dd"),""))))))</f>
        <v/>
      </c>
      <c r="G557" s="131" t="str">
        <f aca="false">IF($Q557="✓","✓",IF(ISNUMBER($Q557),TEXT($Q557,"yyyy-mm-dd"),IF($A557="","",IF(SUMPRODUCT(('Agences &amp; Après-vente'!$A$2:$A$1000=$A557)*(('Agences &amp; Après-vente'!$D$2:$D$1000="Agences")+('Agences &amp; Après-vente'!$D$2:$D$1000="Agences et Après-vente"))*('Agences &amp; Après-vente'!$I$2:$I$1000="DONE"))&gt;0,"✓",IF(SUMPRODUCT(MAX(('Agences &amp; Après-vente'!$A$2:$A$1000=$A557)*(('Agences &amp; Après-vente'!$D$2:$D$1000="Agences")+('Agences &amp; Après-vente'!$D$2:$D$1000="Agences et Après-vente"))*'Agences &amp; Après-vente'!$E$2:$E$1000))&gt;0,TEXT(SUMPRODUCT(MAX(('Agences &amp; Après-vente'!$A$2:$A$1000=$A557)*(('Agences &amp; Après-vente'!$D$2:$D$1000="Agences")+('Agences &amp; Après-vente'!$D$2:$D$1000="Agences et Après-vente"))*'Agences &amp; Après-vente'!$E$2:$E$1000)),"yyyy-mm-dd"),"")))))</f>
        <v/>
      </c>
      <c r="H557" s="131" t="str">
        <f aca="false">IF($R557="✓","✓",IF(ISNUMBER($R557),TEXT($R557,"yyyy-mm-dd"),IF($A557="","",IF($D557="Lisbonne","",IF(SUMPRODUCT(('Agences &amp; Après-vente'!$A$2:$A$1000=$A557)*(('Agences &amp; Après-vente'!$D$2:$D$1000="Agences")+('Agences &amp; Après-vente'!$D$2:$D$1000="Agences et Après-vente"))*('Agences &amp; Après-vente'!$I$2:$I$1000="DONE"))&gt;0,"✓",IF(SUMPRODUCT(MAX(('Agences &amp; Après-vente'!$A$2:$A$1000=$A557)*(('Agences &amp; Après-vente'!$D$2:$D$1000="Agences")+('Agences &amp; Après-vente'!$D$2:$D$1000="Agences et Après-vente"))*'Agences &amp; Après-vente'!$E$2:$E$1000))&gt;0,TEXT(SUMPRODUCT(MAX(('Agences &amp; Après-vente'!$A$2:$A$1000=$A557)*(('Agences &amp; Après-vente'!$D$2:$D$1000="Agences")+('Agences &amp; Après-vente'!$D$2:$D$1000="Agences et Après-vente"))*'Agences &amp; Après-vente'!$E$2:$E$1000)),"yyyy-mm-dd"),""))))))</f>
        <v/>
      </c>
      <c r="I557" s="131" t="str">
        <f aca="false">IF($S557="✓","✓",IF(ISNUMBER($S557),TEXT($S557,"yyyy-mm-dd"),IF($A557="","",IF(SUMPRODUCT(('Agences &amp; Après-vente'!$A$2:$A$1000=$A557)*(('Agences &amp; Après-vente'!$D$2:$D$1000="Après-vente")+('Agences &amp; Après-vente'!$D$2:$D$1000="Agences et Après-vente"))*('Agences &amp; Après-vente'!$I$2:$I$1000="DONE"))&gt;0,"✓",IF(SUMPRODUCT(MAX(('Agences &amp; Après-vente'!$A$2:$A$1000=$A557)*(('Agences &amp; Après-vente'!$D$2:$D$1000="Après-vente")+('Agences &amp; Après-vente'!$D$2:$D$1000="Agences et Après-vente"))*'Agences &amp; Après-vente'!$E$2:$E$1000))&gt;0,TEXT(SUMPRODUCT(MAX(('Agences &amp; Après-vente'!$A$2:$A$1000=$A557)*(('Agences &amp; Après-vente'!$D$2:$D$1000="Après-vente")+('Agences &amp; Après-vente'!$D$2:$D$1000="Agences et Après-vente"))*'Agences &amp; Après-vente'!$E$2:$E$1000)),"yyyy-mm-dd"),"")))))</f>
        <v/>
      </c>
      <c r="J557" s="131" t="str">
        <f aca="false">IF($T557="✓","✓",IF(ISNUMBER($T557),TEXT($T557,"yyyy-mm-dd"),IF($A557="","",IF($D557="Lisbonne","",IF(SUMPRODUCT(('Agences &amp; Après-vente'!$A$2:$A$1000=$A557)*(('Agences &amp; Après-vente'!$D$2:$D$1000="Après-vente")+('Agences &amp; Après-vente'!$D$2:$D$1000="Agences et Après-vente"))*('Agences &amp; Après-vente'!$I$2:$I$1000="DONE"))&gt;0,"✓",IF(SUMPRODUCT(MAX(('Agences &amp; Après-vente'!$A$2:$A$1000=$A557)*(('Agences &amp; Après-vente'!$D$2:$D$1000="Après-vente")+('Agences &amp; Après-vente'!$D$2:$D$1000="Agences et Après-vente"))*'Agences &amp; Après-vente'!$E$2:$E$1000))&gt;0,TEXT(SUMPRODUCT(MAX(('Agences &amp; Après-vente'!$A$2:$A$1000=$A557)*(('Agences &amp; Après-vente'!$D$2:$D$1000="Après-vente")+('Agences &amp; Après-vente'!$D$2:$D$1000="Agences et Après-vente"))*'Agences &amp; Après-vente'!$E$2:$E$1000)),"yyyy-mm-dd"),""))))))</f>
        <v/>
      </c>
      <c r="K557" s="131" t="str">
        <f aca="false">IF($U557="✓","✓",IF(ISNUMBER($U557),TEXT($U557,"yyyy-mm-dd"),IF($D557="Lisbonne","",IF($A557="","",IF(SUMPRODUCT((Evermont!$A$2:$A$1000=$A557)*(Evermont!$Q$2:$Q$1000="Terminé"))&gt;0,"✓",IF(SUMPRODUCT(MAX((Evermont!$A$2:$A$1000=$A557)*Evermont!$F$2:$F$1000))&gt;0,TEXT(SUMPRODUCT(MAX((Evermont!$A$2:$A$1000=$A557)*Evermont!$F$2:$F$1000)),"yyyy-mm-dd"),""))))))</f>
        <v/>
      </c>
      <c r="L557" s="131" t="str">
        <f aca="false">IF($A557="","",COUNTIF(E557:K557,"✓"))</f>
        <v/>
      </c>
      <c r="M557" s="131" t="str">
        <f aca="false">IF(B557="","","Active")</f>
        <v/>
      </c>
      <c r="W557" s="120" t="str">
        <f aca="false">IF($A557="","",IF($X557&lt;&gt;"",$X557,IFERROR(INDEX('Formation Initiale'!$B$2:$B$999,MATCH($A557,'Formation Initiale'!$A$2:$A$999,0)),"Général")))</f>
        <v/>
      </c>
    </row>
    <row r="558" customFormat="false" ht="15" hidden="true" customHeight="true" outlineLevel="0" collapsed="false">
      <c r="A558" s="142" t="str">
        <f aca="false">IF(B558="","","TR"&amp;TEXT(ROW()-1,"000"))</f>
        <v/>
      </c>
      <c r="E558" s="130" t="str">
        <f aca="false">IF($O558="✓","✓",IF(ISNUMBER($O558),TEXT($O558,"yyyy-mm-dd"),IF($A558="","",IF(SUMPRODUCT(('Formation Initiale'!$A$2:$A$999=$A558)*('Formation Initiale'!$R$2:$R$999="Terminé"))&gt;0,"✓",IF(SUMPRODUCT(MAX(('Formation Initiale'!$A$2:$A$999=$A558)*'Formation Initiale'!$G$2:$G$999))&gt;0,TEXT(SUMPRODUCT(MAX(('Formation Initiale'!$A$2:$A$999=$A558)*'Formation Initiale'!$G$2:$G$999)),"yyyy-mm-dd"),"")))))</f>
        <v/>
      </c>
      <c r="F558" s="131" t="str">
        <f aca="false">IF($P558="✓","✓",IF(ISNUMBER($P558),TEXT($P558,"yyyy-mm-dd"),IF($A558="","",IF($D558="Lisbonne","",IF(SUMPRODUCT(('Formation Initiale'!$A$2:$A$999=$A558)*('Formation Initiale'!$R$2:$R$999="Terminé"))&gt;0,"✓",IF(SUMPRODUCT(MAX(('Formation Initiale'!$A$2:$A$999=$A558)*'Formation Initiale'!$G$2:$G$999))&gt;0,TEXT(SUMPRODUCT(MAX(('Formation Initiale'!$A$2:$A$999=$A558)*'Formation Initiale'!$G$2:$G$999)),"yyyy-mm-dd"),""))))))</f>
        <v/>
      </c>
      <c r="G558" s="131" t="str">
        <f aca="false">IF($Q558="✓","✓",IF(ISNUMBER($Q558),TEXT($Q558,"yyyy-mm-dd"),IF($A558="","",IF(SUMPRODUCT(('Agences &amp; Après-vente'!$A$2:$A$1000=$A558)*(('Agences &amp; Après-vente'!$D$2:$D$1000="Agences")+('Agences &amp; Après-vente'!$D$2:$D$1000="Agences et Après-vente"))*('Agences &amp; Après-vente'!$I$2:$I$1000="DONE"))&gt;0,"✓",IF(SUMPRODUCT(MAX(('Agences &amp; Après-vente'!$A$2:$A$1000=$A558)*(('Agences &amp; Après-vente'!$D$2:$D$1000="Agences")+('Agences &amp; Après-vente'!$D$2:$D$1000="Agences et Après-vente"))*'Agences &amp; Après-vente'!$E$2:$E$1000))&gt;0,TEXT(SUMPRODUCT(MAX(('Agences &amp; Après-vente'!$A$2:$A$1000=$A558)*(('Agences &amp; Après-vente'!$D$2:$D$1000="Agences")+('Agences &amp; Après-vente'!$D$2:$D$1000="Agences et Après-vente"))*'Agences &amp; Après-vente'!$E$2:$E$1000)),"yyyy-mm-dd"),"")))))</f>
        <v/>
      </c>
      <c r="H558" s="131" t="str">
        <f aca="false">IF($R558="✓","✓",IF(ISNUMBER($R558),TEXT($R558,"yyyy-mm-dd"),IF($A558="","",IF($D558="Lisbonne","",IF(SUMPRODUCT(('Agences &amp; Après-vente'!$A$2:$A$1000=$A558)*(('Agences &amp; Après-vente'!$D$2:$D$1000="Agences")+('Agences &amp; Après-vente'!$D$2:$D$1000="Agences et Après-vente"))*('Agences &amp; Après-vente'!$I$2:$I$1000="DONE"))&gt;0,"✓",IF(SUMPRODUCT(MAX(('Agences &amp; Après-vente'!$A$2:$A$1000=$A558)*(('Agences &amp; Après-vente'!$D$2:$D$1000="Agences")+('Agences &amp; Après-vente'!$D$2:$D$1000="Agences et Après-vente"))*'Agences &amp; Après-vente'!$E$2:$E$1000))&gt;0,TEXT(SUMPRODUCT(MAX(('Agences &amp; Après-vente'!$A$2:$A$1000=$A558)*(('Agences &amp; Après-vente'!$D$2:$D$1000="Agences")+('Agences &amp; Après-vente'!$D$2:$D$1000="Agences et Après-vente"))*'Agences &amp; Après-vente'!$E$2:$E$1000)),"yyyy-mm-dd"),""))))))</f>
        <v/>
      </c>
      <c r="I558" s="131" t="str">
        <f aca="false">IF($S558="✓","✓",IF(ISNUMBER($S558),TEXT($S558,"yyyy-mm-dd"),IF($A558="","",IF(SUMPRODUCT(('Agences &amp; Après-vente'!$A$2:$A$1000=$A558)*(('Agences &amp; Après-vente'!$D$2:$D$1000="Après-vente")+('Agences &amp; Après-vente'!$D$2:$D$1000="Agences et Après-vente"))*('Agences &amp; Après-vente'!$I$2:$I$1000="DONE"))&gt;0,"✓",IF(SUMPRODUCT(MAX(('Agences &amp; Après-vente'!$A$2:$A$1000=$A558)*(('Agences &amp; Après-vente'!$D$2:$D$1000="Après-vente")+('Agences &amp; Après-vente'!$D$2:$D$1000="Agences et Après-vente"))*'Agences &amp; Après-vente'!$E$2:$E$1000))&gt;0,TEXT(SUMPRODUCT(MAX(('Agences &amp; Après-vente'!$A$2:$A$1000=$A558)*(('Agences &amp; Après-vente'!$D$2:$D$1000="Après-vente")+('Agences &amp; Après-vente'!$D$2:$D$1000="Agences et Après-vente"))*'Agences &amp; Après-vente'!$E$2:$E$1000)),"yyyy-mm-dd"),"")))))</f>
        <v/>
      </c>
      <c r="J558" s="131" t="str">
        <f aca="false">IF($T558="✓","✓",IF(ISNUMBER($T558),TEXT($T558,"yyyy-mm-dd"),IF($A558="","",IF($D558="Lisbonne","",IF(SUMPRODUCT(('Agences &amp; Après-vente'!$A$2:$A$1000=$A558)*(('Agences &amp; Après-vente'!$D$2:$D$1000="Après-vente")+('Agences &amp; Après-vente'!$D$2:$D$1000="Agences et Après-vente"))*('Agences &amp; Après-vente'!$I$2:$I$1000="DONE"))&gt;0,"✓",IF(SUMPRODUCT(MAX(('Agences &amp; Après-vente'!$A$2:$A$1000=$A558)*(('Agences &amp; Après-vente'!$D$2:$D$1000="Après-vente")+('Agences &amp; Après-vente'!$D$2:$D$1000="Agences et Après-vente"))*'Agences &amp; Après-vente'!$E$2:$E$1000))&gt;0,TEXT(SUMPRODUCT(MAX(('Agences &amp; Après-vente'!$A$2:$A$1000=$A558)*(('Agences &amp; Après-vente'!$D$2:$D$1000="Après-vente")+('Agences &amp; Après-vente'!$D$2:$D$1000="Agences et Après-vente"))*'Agences &amp; Après-vente'!$E$2:$E$1000)),"yyyy-mm-dd"),""))))))</f>
        <v/>
      </c>
      <c r="K558" s="131" t="str">
        <f aca="false">IF($U558="✓","✓",IF(ISNUMBER($U558),TEXT($U558,"yyyy-mm-dd"),IF($D558="Lisbonne","",IF($A558="","",IF(SUMPRODUCT((Evermont!$A$2:$A$1000=$A558)*(Evermont!$Q$2:$Q$1000="Terminé"))&gt;0,"✓",IF(SUMPRODUCT(MAX((Evermont!$A$2:$A$1000=$A558)*Evermont!$F$2:$F$1000))&gt;0,TEXT(SUMPRODUCT(MAX((Evermont!$A$2:$A$1000=$A558)*Evermont!$F$2:$F$1000)),"yyyy-mm-dd"),""))))))</f>
        <v/>
      </c>
      <c r="L558" s="131" t="str">
        <f aca="false">IF($A558="","",COUNTIF(E558:K558,"✓"))</f>
        <v/>
      </c>
      <c r="M558" s="131" t="str">
        <f aca="false">IF(B558="","","Active")</f>
        <v/>
      </c>
      <c r="W558" s="120" t="str">
        <f aca="false">IF($A558="","",IF($X558&lt;&gt;"",$X558,IFERROR(INDEX('Formation Initiale'!$B$2:$B$999,MATCH($A558,'Formation Initiale'!$A$2:$A$999,0)),"Général")))</f>
        <v/>
      </c>
    </row>
    <row r="559" customFormat="false" ht="15" hidden="true" customHeight="true" outlineLevel="0" collapsed="false">
      <c r="A559" s="142" t="str">
        <f aca="false">IF(B559="","","TR"&amp;TEXT(ROW()-1,"000"))</f>
        <v/>
      </c>
      <c r="E559" s="130" t="str">
        <f aca="false">IF($O559="✓","✓",IF(ISNUMBER($O559),TEXT($O559,"yyyy-mm-dd"),IF($A559="","",IF(SUMPRODUCT(('Formation Initiale'!$A$2:$A$999=$A559)*('Formation Initiale'!$R$2:$R$999="Terminé"))&gt;0,"✓",IF(SUMPRODUCT(MAX(('Formation Initiale'!$A$2:$A$999=$A559)*'Formation Initiale'!$G$2:$G$999))&gt;0,TEXT(SUMPRODUCT(MAX(('Formation Initiale'!$A$2:$A$999=$A559)*'Formation Initiale'!$G$2:$G$999)),"yyyy-mm-dd"),"")))))</f>
        <v/>
      </c>
      <c r="F559" s="131" t="str">
        <f aca="false">IF($P559="✓","✓",IF(ISNUMBER($P559),TEXT($P559,"yyyy-mm-dd"),IF($A559="","",IF($D559="Lisbonne","",IF(SUMPRODUCT(('Formation Initiale'!$A$2:$A$999=$A559)*('Formation Initiale'!$R$2:$R$999="Terminé"))&gt;0,"✓",IF(SUMPRODUCT(MAX(('Formation Initiale'!$A$2:$A$999=$A559)*'Formation Initiale'!$G$2:$G$999))&gt;0,TEXT(SUMPRODUCT(MAX(('Formation Initiale'!$A$2:$A$999=$A559)*'Formation Initiale'!$G$2:$G$999)),"yyyy-mm-dd"),""))))))</f>
        <v/>
      </c>
      <c r="G559" s="131" t="str">
        <f aca="false">IF($Q559="✓","✓",IF(ISNUMBER($Q559),TEXT($Q559,"yyyy-mm-dd"),IF($A559="","",IF(SUMPRODUCT(('Agences &amp; Après-vente'!$A$2:$A$1000=$A559)*(('Agences &amp; Après-vente'!$D$2:$D$1000="Agences")+('Agences &amp; Après-vente'!$D$2:$D$1000="Agences et Après-vente"))*('Agences &amp; Après-vente'!$I$2:$I$1000="DONE"))&gt;0,"✓",IF(SUMPRODUCT(MAX(('Agences &amp; Après-vente'!$A$2:$A$1000=$A559)*(('Agences &amp; Après-vente'!$D$2:$D$1000="Agences")+('Agences &amp; Après-vente'!$D$2:$D$1000="Agences et Après-vente"))*'Agences &amp; Après-vente'!$E$2:$E$1000))&gt;0,TEXT(SUMPRODUCT(MAX(('Agences &amp; Après-vente'!$A$2:$A$1000=$A559)*(('Agences &amp; Après-vente'!$D$2:$D$1000="Agences")+('Agences &amp; Après-vente'!$D$2:$D$1000="Agences et Après-vente"))*'Agences &amp; Après-vente'!$E$2:$E$1000)),"yyyy-mm-dd"),"")))))</f>
        <v/>
      </c>
      <c r="H559" s="131" t="str">
        <f aca="false">IF($R559="✓","✓",IF(ISNUMBER($R559),TEXT($R559,"yyyy-mm-dd"),IF($A559="","",IF($D559="Lisbonne","",IF(SUMPRODUCT(('Agences &amp; Après-vente'!$A$2:$A$1000=$A559)*(('Agences &amp; Après-vente'!$D$2:$D$1000="Agences")+('Agences &amp; Après-vente'!$D$2:$D$1000="Agences et Après-vente"))*('Agences &amp; Après-vente'!$I$2:$I$1000="DONE"))&gt;0,"✓",IF(SUMPRODUCT(MAX(('Agences &amp; Après-vente'!$A$2:$A$1000=$A559)*(('Agences &amp; Après-vente'!$D$2:$D$1000="Agences")+('Agences &amp; Après-vente'!$D$2:$D$1000="Agences et Après-vente"))*'Agences &amp; Après-vente'!$E$2:$E$1000))&gt;0,TEXT(SUMPRODUCT(MAX(('Agences &amp; Après-vente'!$A$2:$A$1000=$A559)*(('Agences &amp; Après-vente'!$D$2:$D$1000="Agences")+('Agences &amp; Après-vente'!$D$2:$D$1000="Agences et Après-vente"))*'Agences &amp; Après-vente'!$E$2:$E$1000)),"yyyy-mm-dd"),""))))))</f>
        <v/>
      </c>
      <c r="I559" s="131" t="str">
        <f aca="false">IF($S559="✓","✓",IF(ISNUMBER($S559),TEXT($S559,"yyyy-mm-dd"),IF($A559="","",IF(SUMPRODUCT(('Agences &amp; Après-vente'!$A$2:$A$1000=$A559)*(('Agences &amp; Après-vente'!$D$2:$D$1000="Après-vente")+('Agences &amp; Après-vente'!$D$2:$D$1000="Agences et Après-vente"))*('Agences &amp; Après-vente'!$I$2:$I$1000="DONE"))&gt;0,"✓",IF(SUMPRODUCT(MAX(('Agences &amp; Après-vente'!$A$2:$A$1000=$A559)*(('Agences &amp; Après-vente'!$D$2:$D$1000="Après-vente")+('Agences &amp; Après-vente'!$D$2:$D$1000="Agences et Après-vente"))*'Agences &amp; Après-vente'!$E$2:$E$1000))&gt;0,TEXT(SUMPRODUCT(MAX(('Agences &amp; Après-vente'!$A$2:$A$1000=$A559)*(('Agences &amp; Après-vente'!$D$2:$D$1000="Après-vente")+('Agences &amp; Après-vente'!$D$2:$D$1000="Agences et Après-vente"))*'Agences &amp; Après-vente'!$E$2:$E$1000)),"yyyy-mm-dd"),"")))))</f>
        <v/>
      </c>
      <c r="J559" s="131" t="str">
        <f aca="false">IF($T559="✓","✓",IF(ISNUMBER($T559),TEXT($T559,"yyyy-mm-dd"),IF($A559="","",IF($D559="Lisbonne","",IF(SUMPRODUCT(('Agences &amp; Après-vente'!$A$2:$A$1000=$A559)*(('Agences &amp; Après-vente'!$D$2:$D$1000="Après-vente")+('Agences &amp; Après-vente'!$D$2:$D$1000="Agences et Après-vente"))*('Agences &amp; Après-vente'!$I$2:$I$1000="DONE"))&gt;0,"✓",IF(SUMPRODUCT(MAX(('Agences &amp; Après-vente'!$A$2:$A$1000=$A559)*(('Agences &amp; Après-vente'!$D$2:$D$1000="Après-vente")+('Agences &amp; Après-vente'!$D$2:$D$1000="Agences et Après-vente"))*'Agences &amp; Après-vente'!$E$2:$E$1000))&gt;0,TEXT(SUMPRODUCT(MAX(('Agences &amp; Après-vente'!$A$2:$A$1000=$A559)*(('Agences &amp; Après-vente'!$D$2:$D$1000="Après-vente")+('Agences &amp; Après-vente'!$D$2:$D$1000="Agences et Après-vente"))*'Agences &amp; Après-vente'!$E$2:$E$1000)),"yyyy-mm-dd"),""))))))</f>
        <v/>
      </c>
      <c r="K559" s="131" t="str">
        <f aca="false">IF($U559="✓","✓",IF(ISNUMBER($U559),TEXT($U559,"yyyy-mm-dd"),IF($D559="Lisbonne","",IF($A559="","",IF(SUMPRODUCT((Evermont!$A$2:$A$1000=$A559)*(Evermont!$Q$2:$Q$1000="Terminé"))&gt;0,"✓",IF(SUMPRODUCT(MAX((Evermont!$A$2:$A$1000=$A559)*Evermont!$F$2:$F$1000))&gt;0,TEXT(SUMPRODUCT(MAX((Evermont!$A$2:$A$1000=$A559)*Evermont!$F$2:$F$1000)),"yyyy-mm-dd"),""))))))</f>
        <v/>
      </c>
      <c r="L559" s="131" t="str">
        <f aca="false">IF($A559="","",COUNTIF(E559:K559,"✓"))</f>
        <v/>
      </c>
      <c r="M559" s="131" t="str">
        <f aca="false">IF(B559="","","Active")</f>
        <v/>
      </c>
      <c r="W559" s="120" t="str">
        <f aca="false">IF($A559="","",IF($X559&lt;&gt;"",$X559,IFERROR(INDEX('Formation Initiale'!$B$2:$B$999,MATCH($A559,'Formation Initiale'!$A$2:$A$999,0)),"Général")))</f>
        <v/>
      </c>
    </row>
    <row r="560" customFormat="false" ht="15" hidden="true" customHeight="true" outlineLevel="0" collapsed="false">
      <c r="A560" s="142" t="str">
        <f aca="false">IF(B560="","","TR"&amp;TEXT(ROW()-1,"000"))</f>
        <v/>
      </c>
      <c r="E560" s="130" t="str">
        <f aca="false">IF($O560="✓","✓",IF(ISNUMBER($O560),TEXT($O560,"yyyy-mm-dd"),IF($A560="","",IF(SUMPRODUCT(('Formation Initiale'!$A$2:$A$999=$A560)*('Formation Initiale'!$R$2:$R$999="Terminé"))&gt;0,"✓",IF(SUMPRODUCT(MAX(('Formation Initiale'!$A$2:$A$999=$A560)*'Formation Initiale'!$G$2:$G$999))&gt;0,TEXT(SUMPRODUCT(MAX(('Formation Initiale'!$A$2:$A$999=$A560)*'Formation Initiale'!$G$2:$G$999)),"yyyy-mm-dd"),"")))))</f>
        <v/>
      </c>
      <c r="F560" s="131" t="str">
        <f aca="false">IF($P560="✓","✓",IF(ISNUMBER($P560),TEXT($P560,"yyyy-mm-dd"),IF($A560="","",IF($D560="Lisbonne","",IF(SUMPRODUCT(('Formation Initiale'!$A$2:$A$999=$A560)*('Formation Initiale'!$R$2:$R$999="Terminé"))&gt;0,"✓",IF(SUMPRODUCT(MAX(('Formation Initiale'!$A$2:$A$999=$A560)*'Formation Initiale'!$G$2:$G$999))&gt;0,TEXT(SUMPRODUCT(MAX(('Formation Initiale'!$A$2:$A$999=$A560)*'Formation Initiale'!$G$2:$G$999)),"yyyy-mm-dd"),""))))))</f>
        <v/>
      </c>
      <c r="G560" s="131" t="str">
        <f aca="false">IF($Q560="✓","✓",IF(ISNUMBER($Q560),TEXT($Q560,"yyyy-mm-dd"),IF($A560="","",IF(SUMPRODUCT(('Agences &amp; Après-vente'!$A$2:$A$1000=$A560)*(('Agences &amp; Après-vente'!$D$2:$D$1000="Agences")+('Agences &amp; Après-vente'!$D$2:$D$1000="Agences et Après-vente"))*('Agences &amp; Après-vente'!$I$2:$I$1000="DONE"))&gt;0,"✓",IF(SUMPRODUCT(MAX(('Agences &amp; Après-vente'!$A$2:$A$1000=$A560)*(('Agences &amp; Après-vente'!$D$2:$D$1000="Agences")+('Agences &amp; Après-vente'!$D$2:$D$1000="Agences et Après-vente"))*'Agences &amp; Après-vente'!$E$2:$E$1000))&gt;0,TEXT(SUMPRODUCT(MAX(('Agences &amp; Après-vente'!$A$2:$A$1000=$A560)*(('Agences &amp; Après-vente'!$D$2:$D$1000="Agences")+('Agences &amp; Après-vente'!$D$2:$D$1000="Agences et Après-vente"))*'Agences &amp; Après-vente'!$E$2:$E$1000)),"yyyy-mm-dd"),"")))))</f>
        <v/>
      </c>
      <c r="H560" s="131" t="str">
        <f aca="false">IF($R560="✓","✓",IF(ISNUMBER($R560),TEXT($R560,"yyyy-mm-dd"),IF($A560="","",IF($D560="Lisbonne","",IF(SUMPRODUCT(('Agences &amp; Après-vente'!$A$2:$A$1000=$A560)*(('Agences &amp; Après-vente'!$D$2:$D$1000="Agences")+('Agences &amp; Après-vente'!$D$2:$D$1000="Agences et Après-vente"))*('Agences &amp; Après-vente'!$I$2:$I$1000="DONE"))&gt;0,"✓",IF(SUMPRODUCT(MAX(('Agences &amp; Après-vente'!$A$2:$A$1000=$A560)*(('Agences &amp; Après-vente'!$D$2:$D$1000="Agences")+('Agences &amp; Après-vente'!$D$2:$D$1000="Agences et Après-vente"))*'Agences &amp; Après-vente'!$E$2:$E$1000))&gt;0,TEXT(SUMPRODUCT(MAX(('Agences &amp; Après-vente'!$A$2:$A$1000=$A560)*(('Agences &amp; Après-vente'!$D$2:$D$1000="Agences")+('Agences &amp; Après-vente'!$D$2:$D$1000="Agences et Après-vente"))*'Agences &amp; Après-vente'!$E$2:$E$1000)),"yyyy-mm-dd"),""))))))</f>
        <v/>
      </c>
      <c r="I560" s="131" t="str">
        <f aca="false">IF($S560="✓","✓",IF(ISNUMBER($S560),TEXT($S560,"yyyy-mm-dd"),IF($A560="","",IF(SUMPRODUCT(('Agences &amp; Après-vente'!$A$2:$A$1000=$A560)*(('Agences &amp; Après-vente'!$D$2:$D$1000="Après-vente")+('Agences &amp; Après-vente'!$D$2:$D$1000="Agences et Après-vente"))*('Agences &amp; Après-vente'!$I$2:$I$1000="DONE"))&gt;0,"✓",IF(SUMPRODUCT(MAX(('Agences &amp; Après-vente'!$A$2:$A$1000=$A560)*(('Agences &amp; Après-vente'!$D$2:$D$1000="Après-vente")+('Agences &amp; Après-vente'!$D$2:$D$1000="Agences et Après-vente"))*'Agences &amp; Après-vente'!$E$2:$E$1000))&gt;0,TEXT(SUMPRODUCT(MAX(('Agences &amp; Après-vente'!$A$2:$A$1000=$A560)*(('Agences &amp; Après-vente'!$D$2:$D$1000="Après-vente")+('Agences &amp; Après-vente'!$D$2:$D$1000="Agences et Après-vente"))*'Agences &amp; Après-vente'!$E$2:$E$1000)),"yyyy-mm-dd"),"")))))</f>
        <v/>
      </c>
      <c r="J560" s="131" t="str">
        <f aca="false">IF($T560="✓","✓",IF(ISNUMBER($T560),TEXT($T560,"yyyy-mm-dd"),IF($A560="","",IF($D560="Lisbonne","",IF(SUMPRODUCT(('Agences &amp; Après-vente'!$A$2:$A$1000=$A560)*(('Agences &amp; Après-vente'!$D$2:$D$1000="Après-vente")+('Agences &amp; Après-vente'!$D$2:$D$1000="Agences et Après-vente"))*('Agences &amp; Après-vente'!$I$2:$I$1000="DONE"))&gt;0,"✓",IF(SUMPRODUCT(MAX(('Agences &amp; Après-vente'!$A$2:$A$1000=$A560)*(('Agences &amp; Après-vente'!$D$2:$D$1000="Après-vente")+('Agences &amp; Après-vente'!$D$2:$D$1000="Agences et Après-vente"))*'Agences &amp; Après-vente'!$E$2:$E$1000))&gt;0,TEXT(SUMPRODUCT(MAX(('Agences &amp; Après-vente'!$A$2:$A$1000=$A560)*(('Agences &amp; Après-vente'!$D$2:$D$1000="Après-vente")+('Agences &amp; Après-vente'!$D$2:$D$1000="Agences et Après-vente"))*'Agences &amp; Après-vente'!$E$2:$E$1000)),"yyyy-mm-dd"),""))))))</f>
        <v/>
      </c>
      <c r="K560" s="131" t="str">
        <f aca="false">IF($U560="✓","✓",IF(ISNUMBER($U560),TEXT($U560,"yyyy-mm-dd"),IF($D560="Lisbonne","",IF($A560="","",IF(SUMPRODUCT((Evermont!$A$2:$A$1000=$A560)*(Evermont!$Q$2:$Q$1000="Terminé"))&gt;0,"✓",IF(SUMPRODUCT(MAX((Evermont!$A$2:$A$1000=$A560)*Evermont!$F$2:$F$1000))&gt;0,TEXT(SUMPRODUCT(MAX((Evermont!$A$2:$A$1000=$A560)*Evermont!$F$2:$F$1000)),"yyyy-mm-dd"),""))))))</f>
        <v/>
      </c>
      <c r="L560" s="131" t="str">
        <f aca="false">IF($A560="","",COUNTIF(E560:K560,"✓"))</f>
        <v/>
      </c>
      <c r="M560" s="131" t="str">
        <f aca="false">IF(B560="","","Active")</f>
        <v/>
      </c>
      <c r="W560" s="120" t="str">
        <f aca="false">IF($A560="","",IF($X560&lt;&gt;"",$X560,IFERROR(INDEX('Formation Initiale'!$B$2:$B$999,MATCH($A560,'Formation Initiale'!$A$2:$A$999,0)),"Général")))</f>
        <v/>
      </c>
    </row>
    <row r="561" customFormat="false" ht="15" hidden="true" customHeight="true" outlineLevel="0" collapsed="false">
      <c r="A561" s="142" t="str">
        <f aca="false">IF(B561="","","TR"&amp;TEXT(ROW()-1,"000"))</f>
        <v/>
      </c>
      <c r="E561" s="130" t="str">
        <f aca="false">IF($O561="✓","✓",IF(ISNUMBER($O561),TEXT($O561,"yyyy-mm-dd"),IF($A561="","",IF(SUMPRODUCT(('Formation Initiale'!$A$2:$A$999=$A561)*('Formation Initiale'!$R$2:$R$999="Terminé"))&gt;0,"✓",IF(SUMPRODUCT(MAX(('Formation Initiale'!$A$2:$A$999=$A561)*'Formation Initiale'!$G$2:$G$999))&gt;0,TEXT(SUMPRODUCT(MAX(('Formation Initiale'!$A$2:$A$999=$A561)*'Formation Initiale'!$G$2:$G$999)),"yyyy-mm-dd"),"")))))</f>
        <v/>
      </c>
      <c r="F561" s="131" t="str">
        <f aca="false">IF($P561="✓","✓",IF(ISNUMBER($P561),TEXT($P561,"yyyy-mm-dd"),IF($A561="","",IF($D561="Lisbonne","",IF(SUMPRODUCT(('Formation Initiale'!$A$2:$A$999=$A561)*('Formation Initiale'!$R$2:$R$999="Terminé"))&gt;0,"✓",IF(SUMPRODUCT(MAX(('Formation Initiale'!$A$2:$A$999=$A561)*'Formation Initiale'!$G$2:$G$999))&gt;0,TEXT(SUMPRODUCT(MAX(('Formation Initiale'!$A$2:$A$999=$A561)*'Formation Initiale'!$G$2:$G$999)),"yyyy-mm-dd"),""))))))</f>
        <v/>
      </c>
      <c r="G561" s="131" t="str">
        <f aca="false">IF($Q561="✓","✓",IF(ISNUMBER($Q561),TEXT($Q561,"yyyy-mm-dd"),IF($A561="","",IF(SUMPRODUCT(('Agences &amp; Après-vente'!$A$2:$A$1000=$A561)*(('Agences &amp; Après-vente'!$D$2:$D$1000="Agences")+('Agences &amp; Après-vente'!$D$2:$D$1000="Agences et Après-vente"))*('Agences &amp; Après-vente'!$I$2:$I$1000="DONE"))&gt;0,"✓",IF(SUMPRODUCT(MAX(('Agences &amp; Après-vente'!$A$2:$A$1000=$A561)*(('Agences &amp; Après-vente'!$D$2:$D$1000="Agences")+('Agences &amp; Après-vente'!$D$2:$D$1000="Agences et Après-vente"))*'Agences &amp; Après-vente'!$E$2:$E$1000))&gt;0,TEXT(SUMPRODUCT(MAX(('Agences &amp; Après-vente'!$A$2:$A$1000=$A561)*(('Agences &amp; Après-vente'!$D$2:$D$1000="Agences")+('Agences &amp; Après-vente'!$D$2:$D$1000="Agences et Après-vente"))*'Agences &amp; Après-vente'!$E$2:$E$1000)),"yyyy-mm-dd"),"")))))</f>
        <v/>
      </c>
      <c r="H561" s="131" t="str">
        <f aca="false">IF($R561="✓","✓",IF(ISNUMBER($R561),TEXT($R561,"yyyy-mm-dd"),IF($A561="","",IF($D561="Lisbonne","",IF(SUMPRODUCT(('Agences &amp; Après-vente'!$A$2:$A$1000=$A561)*(('Agences &amp; Après-vente'!$D$2:$D$1000="Agences")+('Agences &amp; Après-vente'!$D$2:$D$1000="Agences et Après-vente"))*('Agences &amp; Après-vente'!$I$2:$I$1000="DONE"))&gt;0,"✓",IF(SUMPRODUCT(MAX(('Agences &amp; Après-vente'!$A$2:$A$1000=$A561)*(('Agences &amp; Après-vente'!$D$2:$D$1000="Agences")+('Agences &amp; Après-vente'!$D$2:$D$1000="Agences et Après-vente"))*'Agences &amp; Après-vente'!$E$2:$E$1000))&gt;0,TEXT(SUMPRODUCT(MAX(('Agences &amp; Après-vente'!$A$2:$A$1000=$A561)*(('Agences &amp; Après-vente'!$D$2:$D$1000="Agences")+('Agences &amp; Après-vente'!$D$2:$D$1000="Agences et Après-vente"))*'Agences &amp; Après-vente'!$E$2:$E$1000)),"yyyy-mm-dd"),""))))))</f>
        <v/>
      </c>
      <c r="I561" s="131" t="str">
        <f aca="false">IF($S561="✓","✓",IF(ISNUMBER($S561),TEXT($S561,"yyyy-mm-dd"),IF($A561="","",IF(SUMPRODUCT(('Agences &amp; Après-vente'!$A$2:$A$1000=$A561)*(('Agences &amp; Après-vente'!$D$2:$D$1000="Après-vente")+('Agences &amp; Après-vente'!$D$2:$D$1000="Agences et Après-vente"))*('Agences &amp; Après-vente'!$I$2:$I$1000="DONE"))&gt;0,"✓",IF(SUMPRODUCT(MAX(('Agences &amp; Après-vente'!$A$2:$A$1000=$A561)*(('Agences &amp; Après-vente'!$D$2:$D$1000="Après-vente")+('Agences &amp; Après-vente'!$D$2:$D$1000="Agences et Après-vente"))*'Agences &amp; Après-vente'!$E$2:$E$1000))&gt;0,TEXT(SUMPRODUCT(MAX(('Agences &amp; Après-vente'!$A$2:$A$1000=$A561)*(('Agences &amp; Après-vente'!$D$2:$D$1000="Après-vente")+('Agences &amp; Après-vente'!$D$2:$D$1000="Agences et Après-vente"))*'Agences &amp; Après-vente'!$E$2:$E$1000)),"yyyy-mm-dd"),"")))))</f>
        <v/>
      </c>
      <c r="J561" s="131" t="str">
        <f aca="false">IF($T561="✓","✓",IF(ISNUMBER($T561),TEXT($T561,"yyyy-mm-dd"),IF($A561="","",IF($D561="Lisbonne","",IF(SUMPRODUCT(('Agences &amp; Après-vente'!$A$2:$A$1000=$A561)*(('Agences &amp; Après-vente'!$D$2:$D$1000="Après-vente")+('Agences &amp; Après-vente'!$D$2:$D$1000="Agences et Après-vente"))*('Agences &amp; Après-vente'!$I$2:$I$1000="DONE"))&gt;0,"✓",IF(SUMPRODUCT(MAX(('Agences &amp; Après-vente'!$A$2:$A$1000=$A561)*(('Agences &amp; Après-vente'!$D$2:$D$1000="Après-vente")+('Agences &amp; Après-vente'!$D$2:$D$1000="Agences et Après-vente"))*'Agences &amp; Après-vente'!$E$2:$E$1000))&gt;0,TEXT(SUMPRODUCT(MAX(('Agences &amp; Après-vente'!$A$2:$A$1000=$A561)*(('Agences &amp; Après-vente'!$D$2:$D$1000="Après-vente")+('Agences &amp; Après-vente'!$D$2:$D$1000="Agences et Après-vente"))*'Agences &amp; Après-vente'!$E$2:$E$1000)),"yyyy-mm-dd"),""))))))</f>
        <v/>
      </c>
      <c r="K561" s="131" t="str">
        <f aca="false">IF($U561="✓","✓",IF(ISNUMBER($U561),TEXT($U561,"yyyy-mm-dd"),IF($D561="Lisbonne","",IF($A561="","",IF(SUMPRODUCT((Evermont!$A$2:$A$1000=$A561)*(Evermont!$Q$2:$Q$1000="Terminé"))&gt;0,"✓",IF(SUMPRODUCT(MAX((Evermont!$A$2:$A$1000=$A561)*Evermont!$F$2:$F$1000))&gt;0,TEXT(SUMPRODUCT(MAX((Evermont!$A$2:$A$1000=$A561)*Evermont!$F$2:$F$1000)),"yyyy-mm-dd"),""))))))</f>
        <v/>
      </c>
      <c r="L561" s="131" t="str">
        <f aca="false">IF($A561="","",COUNTIF(E561:K561,"✓"))</f>
        <v/>
      </c>
      <c r="M561" s="131" t="str">
        <f aca="false">IF(B561="","","Active")</f>
        <v/>
      </c>
      <c r="W561" s="120" t="str">
        <f aca="false">IF($A561="","",IF($X561&lt;&gt;"",$X561,IFERROR(INDEX('Formation Initiale'!$B$2:$B$999,MATCH($A561,'Formation Initiale'!$A$2:$A$999,0)),"Général")))</f>
        <v/>
      </c>
    </row>
    <row r="562" customFormat="false" ht="15" hidden="true" customHeight="true" outlineLevel="0" collapsed="false">
      <c r="A562" s="142" t="str">
        <f aca="false">IF(B562="","","TR"&amp;TEXT(ROW()-1,"000"))</f>
        <v/>
      </c>
      <c r="E562" s="130" t="str">
        <f aca="false">IF($O562="✓","✓",IF(ISNUMBER($O562),TEXT($O562,"yyyy-mm-dd"),IF($A562="","",IF(SUMPRODUCT(('Formation Initiale'!$A$2:$A$999=$A562)*('Formation Initiale'!$R$2:$R$999="Terminé"))&gt;0,"✓",IF(SUMPRODUCT(MAX(('Formation Initiale'!$A$2:$A$999=$A562)*'Formation Initiale'!$G$2:$G$999))&gt;0,TEXT(SUMPRODUCT(MAX(('Formation Initiale'!$A$2:$A$999=$A562)*'Formation Initiale'!$G$2:$G$999)),"yyyy-mm-dd"),"")))))</f>
        <v/>
      </c>
      <c r="F562" s="131" t="str">
        <f aca="false">IF($P562="✓","✓",IF(ISNUMBER($P562),TEXT($P562,"yyyy-mm-dd"),IF($A562="","",IF($D562="Lisbonne","",IF(SUMPRODUCT(('Formation Initiale'!$A$2:$A$999=$A562)*('Formation Initiale'!$R$2:$R$999="Terminé"))&gt;0,"✓",IF(SUMPRODUCT(MAX(('Formation Initiale'!$A$2:$A$999=$A562)*'Formation Initiale'!$G$2:$G$999))&gt;0,TEXT(SUMPRODUCT(MAX(('Formation Initiale'!$A$2:$A$999=$A562)*'Formation Initiale'!$G$2:$G$999)),"yyyy-mm-dd"),""))))))</f>
        <v/>
      </c>
      <c r="G562" s="131" t="str">
        <f aca="false">IF($Q562="✓","✓",IF(ISNUMBER($Q562),TEXT($Q562,"yyyy-mm-dd"),IF($A562="","",IF(SUMPRODUCT(('Agences &amp; Après-vente'!$A$2:$A$1000=$A562)*(('Agences &amp; Après-vente'!$D$2:$D$1000="Agences")+('Agences &amp; Après-vente'!$D$2:$D$1000="Agences et Après-vente"))*('Agences &amp; Après-vente'!$I$2:$I$1000="DONE"))&gt;0,"✓",IF(SUMPRODUCT(MAX(('Agences &amp; Après-vente'!$A$2:$A$1000=$A562)*(('Agences &amp; Après-vente'!$D$2:$D$1000="Agences")+('Agences &amp; Après-vente'!$D$2:$D$1000="Agences et Après-vente"))*'Agences &amp; Après-vente'!$E$2:$E$1000))&gt;0,TEXT(SUMPRODUCT(MAX(('Agences &amp; Après-vente'!$A$2:$A$1000=$A562)*(('Agences &amp; Après-vente'!$D$2:$D$1000="Agences")+('Agences &amp; Après-vente'!$D$2:$D$1000="Agences et Après-vente"))*'Agences &amp; Après-vente'!$E$2:$E$1000)),"yyyy-mm-dd"),"")))))</f>
        <v/>
      </c>
      <c r="H562" s="131" t="str">
        <f aca="false">IF($R562="✓","✓",IF(ISNUMBER($R562),TEXT($R562,"yyyy-mm-dd"),IF($A562="","",IF($D562="Lisbonne","",IF(SUMPRODUCT(('Agences &amp; Après-vente'!$A$2:$A$1000=$A562)*(('Agences &amp; Après-vente'!$D$2:$D$1000="Agences")+('Agences &amp; Après-vente'!$D$2:$D$1000="Agences et Après-vente"))*('Agences &amp; Après-vente'!$I$2:$I$1000="DONE"))&gt;0,"✓",IF(SUMPRODUCT(MAX(('Agences &amp; Après-vente'!$A$2:$A$1000=$A562)*(('Agences &amp; Après-vente'!$D$2:$D$1000="Agences")+('Agences &amp; Après-vente'!$D$2:$D$1000="Agences et Après-vente"))*'Agences &amp; Après-vente'!$E$2:$E$1000))&gt;0,TEXT(SUMPRODUCT(MAX(('Agences &amp; Après-vente'!$A$2:$A$1000=$A562)*(('Agences &amp; Après-vente'!$D$2:$D$1000="Agences")+('Agences &amp; Après-vente'!$D$2:$D$1000="Agences et Après-vente"))*'Agences &amp; Après-vente'!$E$2:$E$1000)),"yyyy-mm-dd"),""))))))</f>
        <v/>
      </c>
      <c r="I562" s="131" t="str">
        <f aca="false">IF($S562="✓","✓",IF(ISNUMBER($S562),TEXT($S562,"yyyy-mm-dd"),IF($A562="","",IF(SUMPRODUCT(('Agences &amp; Après-vente'!$A$2:$A$1000=$A562)*(('Agences &amp; Après-vente'!$D$2:$D$1000="Après-vente")+('Agences &amp; Après-vente'!$D$2:$D$1000="Agences et Après-vente"))*('Agences &amp; Après-vente'!$I$2:$I$1000="DONE"))&gt;0,"✓",IF(SUMPRODUCT(MAX(('Agences &amp; Après-vente'!$A$2:$A$1000=$A562)*(('Agences &amp; Après-vente'!$D$2:$D$1000="Après-vente")+('Agences &amp; Après-vente'!$D$2:$D$1000="Agences et Après-vente"))*'Agences &amp; Après-vente'!$E$2:$E$1000))&gt;0,TEXT(SUMPRODUCT(MAX(('Agences &amp; Après-vente'!$A$2:$A$1000=$A562)*(('Agences &amp; Après-vente'!$D$2:$D$1000="Après-vente")+('Agences &amp; Après-vente'!$D$2:$D$1000="Agences et Après-vente"))*'Agences &amp; Après-vente'!$E$2:$E$1000)),"yyyy-mm-dd"),"")))))</f>
        <v/>
      </c>
      <c r="J562" s="131" t="str">
        <f aca="false">IF($T562="✓","✓",IF(ISNUMBER($T562),TEXT($T562,"yyyy-mm-dd"),IF($A562="","",IF($D562="Lisbonne","",IF(SUMPRODUCT(('Agences &amp; Après-vente'!$A$2:$A$1000=$A562)*(('Agences &amp; Après-vente'!$D$2:$D$1000="Après-vente")+('Agences &amp; Après-vente'!$D$2:$D$1000="Agences et Après-vente"))*('Agences &amp; Après-vente'!$I$2:$I$1000="DONE"))&gt;0,"✓",IF(SUMPRODUCT(MAX(('Agences &amp; Après-vente'!$A$2:$A$1000=$A562)*(('Agences &amp; Après-vente'!$D$2:$D$1000="Après-vente")+('Agences &amp; Après-vente'!$D$2:$D$1000="Agences et Après-vente"))*'Agences &amp; Après-vente'!$E$2:$E$1000))&gt;0,TEXT(SUMPRODUCT(MAX(('Agences &amp; Après-vente'!$A$2:$A$1000=$A562)*(('Agences &amp; Après-vente'!$D$2:$D$1000="Après-vente")+('Agences &amp; Après-vente'!$D$2:$D$1000="Agences et Après-vente"))*'Agences &amp; Après-vente'!$E$2:$E$1000)),"yyyy-mm-dd"),""))))))</f>
        <v/>
      </c>
      <c r="K562" s="131" t="str">
        <f aca="false">IF($U562="✓","✓",IF(ISNUMBER($U562),TEXT($U562,"yyyy-mm-dd"),IF($D562="Lisbonne","",IF($A562="","",IF(SUMPRODUCT((Evermont!$A$2:$A$1000=$A562)*(Evermont!$Q$2:$Q$1000="Terminé"))&gt;0,"✓",IF(SUMPRODUCT(MAX((Evermont!$A$2:$A$1000=$A562)*Evermont!$F$2:$F$1000))&gt;0,TEXT(SUMPRODUCT(MAX((Evermont!$A$2:$A$1000=$A562)*Evermont!$F$2:$F$1000)),"yyyy-mm-dd"),""))))))</f>
        <v/>
      </c>
      <c r="L562" s="131" t="str">
        <f aca="false">IF($A562="","",COUNTIF(E562:K562,"✓"))</f>
        <v/>
      </c>
      <c r="M562" s="131" t="str">
        <f aca="false">IF(B562="","","Active")</f>
        <v/>
      </c>
      <c r="W562" s="120" t="str">
        <f aca="false">IF($A562="","",IF($X562&lt;&gt;"",$X562,IFERROR(INDEX('Formation Initiale'!$B$2:$B$999,MATCH($A562,'Formation Initiale'!$A$2:$A$999,0)),"Général")))</f>
        <v/>
      </c>
    </row>
    <row r="563" customFormat="false" ht="15" hidden="true" customHeight="true" outlineLevel="0" collapsed="false">
      <c r="A563" s="142" t="str">
        <f aca="false">IF(B563="","","TR"&amp;TEXT(ROW()-1,"000"))</f>
        <v/>
      </c>
      <c r="E563" s="130" t="str">
        <f aca="false">IF($O563="✓","✓",IF(ISNUMBER($O563),TEXT($O563,"yyyy-mm-dd"),IF($A563="","",IF(SUMPRODUCT(('Formation Initiale'!$A$2:$A$999=$A563)*('Formation Initiale'!$R$2:$R$999="Terminé"))&gt;0,"✓",IF(SUMPRODUCT(MAX(('Formation Initiale'!$A$2:$A$999=$A563)*'Formation Initiale'!$G$2:$G$999))&gt;0,TEXT(SUMPRODUCT(MAX(('Formation Initiale'!$A$2:$A$999=$A563)*'Formation Initiale'!$G$2:$G$999)),"yyyy-mm-dd"),"")))))</f>
        <v/>
      </c>
      <c r="F563" s="131" t="str">
        <f aca="false">IF($P563="✓","✓",IF(ISNUMBER($P563),TEXT($P563,"yyyy-mm-dd"),IF($A563="","",IF($D563="Lisbonne","",IF(SUMPRODUCT(('Formation Initiale'!$A$2:$A$999=$A563)*('Formation Initiale'!$R$2:$R$999="Terminé"))&gt;0,"✓",IF(SUMPRODUCT(MAX(('Formation Initiale'!$A$2:$A$999=$A563)*'Formation Initiale'!$G$2:$G$999))&gt;0,TEXT(SUMPRODUCT(MAX(('Formation Initiale'!$A$2:$A$999=$A563)*'Formation Initiale'!$G$2:$G$999)),"yyyy-mm-dd"),""))))))</f>
        <v/>
      </c>
      <c r="G563" s="131" t="str">
        <f aca="false">IF($Q563="✓","✓",IF(ISNUMBER($Q563),TEXT($Q563,"yyyy-mm-dd"),IF($A563="","",IF(SUMPRODUCT(('Agences &amp; Après-vente'!$A$2:$A$1000=$A563)*(('Agences &amp; Après-vente'!$D$2:$D$1000="Agences")+('Agences &amp; Après-vente'!$D$2:$D$1000="Agences et Après-vente"))*('Agences &amp; Après-vente'!$I$2:$I$1000="DONE"))&gt;0,"✓",IF(SUMPRODUCT(MAX(('Agences &amp; Après-vente'!$A$2:$A$1000=$A563)*(('Agences &amp; Après-vente'!$D$2:$D$1000="Agences")+('Agences &amp; Après-vente'!$D$2:$D$1000="Agences et Après-vente"))*'Agences &amp; Après-vente'!$E$2:$E$1000))&gt;0,TEXT(SUMPRODUCT(MAX(('Agences &amp; Après-vente'!$A$2:$A$1000=$A563)*(('Agences &amp; Après-vente'!$D$2:$D$1000="Agences")+('Agences &amp; Après-vente'!$D$2:$D$1000="Agences et Après-vente"))*'Agences &amp; Après-vente'!$E$2:$E$1000)),"yyyy-mm-dd"),"")))))</f>
        <v/>
      </c>
      <c r="H563" s="131" t="str">
        <f aca="false">IF($R563="✓","✓",IF(ISNUMBER($R563),TEXT($R563,"yyyy-mm-dd"),IF($A563="","",IF($D563="Lisbonne","",IF(SUMPRODUCT(('Agences &amp; Après-vente'!$A$2:$A$1000=$A563)*(('Agences &amp; Après-vente'!$D$2:$D$1000="Agences")+('Agences &amp; Après-vente'!$D$2:$D$1000="Agences et Après-vente"))*('Agences &amp; Après-vente'!$I$2:$I$1000="DONE"))&gt;0,"✓",IF(SUMPRODUCT(MAX(('Agences &amp; Après-vente'!$A$2:$A$1000=$A563)*(('Agences &amp; Après-vente'!$D$2:$D$1000="Agences")+('Agences &amp; Après-vente'!$D$2:$D$1000="Agences et Après-vente"))*'Agences &amp; Après-vente'!$E$2:$E$1000))&gt;0,TEXT(SUMPRODUCT(MAX(('Agences &amp; Après-vente'!$A$2:$A$1000=$A563)*(('Agences &amp; Après-vente'!$D$2:$D$1000="Agences")+('Agences &amp; Après-vente'!$D$2:$D$1000="Agences et Après-vente"))*'Agences &amp; Après-vente'!$E$2:$E$1000)),"yyyy-mm-dd"),""))))))</f>
        <v/>
      </c>
      <c r="I563" s="131" t="str">
        <f aca="false">IF($S563="✓","✓",IF(ISNUMBER($S563),TEXT($S563,"yyyy-mm-dd"),IF($A563="","",IF(SUMPRODUCT(('Agences &amp; Après-vente'!$A$2:$A$1000=$A563)*(('Agences &amp; Après-vente'!$D$2:$D$1000="Après-vente")+('Agences &amp; Après-vente'!$D$2:$D$1000="Agences et Après-vente"))*('Agences &amp; Après-vente'!$I$2:$I$1000="DONE"))&gt;0,"✓",IF(SUMPRODUCT(MAX(('Agences &amp; Après-vente'!$A$2:$A$1000=$A563)*(('Agences &amp; Après-vente'!$D$2:$D$1000="Après-vente")+('Agences &amp; Après-vente'!$D$2:$D$1000="Agences et Après-vente"))*'Agences &amp; Après-vente'!$E$2:$E$1000))&gt;0,TEXT(SUMPRODUCT(MAX(('Agences &amp; Après-vente'!$A$2:$A$1000=$A563)*(('Agences &amp; Après-vente'!$D$2:$D$1000="Après-vente")+('Agences &amp; Après-vente'!$D$2:$D$1000="Agences et Après-vente"))*'Agences &amp; Après-vente'!$E$2:$E$1000)),"yyyy-mm-dd"),"")))))</f>
        <v/>
      </c>
      <c r="J563" s="131" t="str">
        <f aca="false">IF($T563="✓","✓",IF(ISNUMBER($T563),TEXT($T563,"yyyy-mm-dd"),IF($A563="","",IF($D563="Lisbonne","",IF(SUMPRODUCT(('Agences &amp; Après-vente'!$A$2:$A$1000=$A563)*(('Agences &amp; Après-vente'!$D$2:$D$1000="Après-vente")+('Agences &amp; Après-vente'!$D$2:$D$1000="Agences et Après-vente"))*('Agences &amp; Après-vente'!$I$2:$I$1000="DONE"))&gt;0,"✓",IF(SUMPRODUCT(MAX(('Agences &amp; Après-vente'!$A$2:$A$1000=$A563)*(('Agences &amp; Après-vente'!$D$2:$D$1000="Après-vente")+('Agences &amp; Après-vente'!$D$2:$D$1000="Agences et Après-vente"))*'Agences &amp; Après-vente'!$E$2:$E$1000))&gt;0,TEXT(SUMPRODUCT(MAX(('Agences &amp; Après-vente'!$A$2:$A$1000=$A563)*(('Agences &amp; Après-vente'!$D$2:$D$1000="Après-vente")+('Agences &amp; Après-vente'!$D$2:$D$1000="Agences et Après-vente"))*'Agences &amp; Après-vente'!$E$2:$E$1000)),"yyyy-mm-dd"),""))))))</f>
        <v/>
      </c>
      <c r="K563" s="131" t="str">
        <f aca="false">IF($U563="✓","✓",IF(ISNUMBER($U563),TEXT($U563,"yyyy-mm-dd"),IF($D563="Lisbonne","",IF($A563="","",IF(SUMPRODUCT((Evermont!$A$2:$A$1000=$A563)*(Evermont!$Q$2:$Q$1000="Terminé"))&gt;0,"✓",IF(SUMPRODUCT(MAX((Evermont!$A$2:$A$1000=$A563)*Evermont!$F$2:$F$1000))&gt;0,TEXT(SUMPRODUCT(MAX((Evermont!$A$2:$A$1000=$A563)*Evermont!$F$2:$F$1000)),"yyyy-mm-dd"),""))))))</f>
        <v/>
      </c>
      <c r="L563" s="131" t="str">
        <f aca="false">IF($A563="","",COUNTIF(E563:K563,"✓"))</f>
        <v/>
      </c>
      <c r="M563" s="131" t="str">
        <f aca="false">IF(B563="","","Active")</f>
        <v/>
      </c>
      <c r="W563" s="120" t="str">
        <f aca="false">IF($A563="","",IF($X563&lt;&gt;"",$X563,IFERROR(INDEX('Formation Initiale'!$B$2:$B$999,MATCH($A563,'Formation Initiale'!$A$2:$A$999,0)),"Général")))</f>
        <v/>
      </c>
    </row>
    <row r="564" customFormat="false" ht="15" hidden="true" customHeight="true" outlineLevel="0" collapsed="false">
      <c r="A564" s="142" t="str">
        <f aca="false">IF(B564="","","TR"&amp;TEXT(ROW()-1,"000"))</f>
        <v/>
      </c>
      <c r="E564" s="130" t="str">
        <f aca="false">IF($O564="✓","✓",IF(ISNUMBER($O564),TEXT($O564,"yyyy-mm-dd"),IF($A564="","",IF(SUMPRODUCT(('Formation Initiale'!$A$2:$A$999=$A564)*('Formation Initiale'!$R$2:$R$999="Terminé"))&gt;0,"✓",IF(SUMPRODUCT(MAX(('Formation Initiale'!$A$2:$A$999=$A564)*'Formation Initiale'!$G$2:$G$999))&gt;0,TEXT(SUMPRODUCT(MAX(('Formation Initiale'!$A$2:$A$999=$A564)*'Formation Initiale'!$G$2:$G$999)),"yyyy-mm-dd"),"")))))</f>
        <v/>
      </c>
      <c r="F564" s="131" t="str">
        <f aca="false">IF($P564="✓","✓",IF(ISNUMBER($P564),TEXT($P564,"yyyy-mm-dd"),IF($A564="","",IF($D564="Lisbonne","",IF(SUMPRODUCT(('Formation Initiale'!$A$2:$A$999=$A564)*('Formation Initiale'!$R$2:$R$999="Terminé"))&gt;0,"✓",IF(SUMPRODUCT(MAX(('Formation Initiale'!$A$2:$A$999=$A564)*'Formation Initiale'!$G$2:$G$999))&gt;0,TEXT(SUMPRODUCT(MAX(('Formation Initiale'!$A$2:$A$999=$A564)*'Formation Initiale'!$G$2:$G$999)),"yyyy-mm-dd"),""))))))</f>
        <v/>
      </c>
      <c r="G564" s="131" t="str">
        <f aca="false">IF($Q564="✓","✓",IF(ISNUMBER($Q564),TEXT($Q564,"yyyy-mm-dd"),IF($A564="","",IF(SUMPRODUCT(('Agences &amp; Après-vente'!$A$2:$A$1000=$A564)*(('Agences &amp; Après-vente'!$D$2:$D$1000="Agences")+('Agences &amp; Après-vente'!$D$2:$D$1000="Agences et Après-vente"))*('Agences &amp; Après-vente'!$I$2:$I$1000="DONE"))&gt;0,"✓",IF(SUMPRODUCT(MAX(('Agences &amp; Après-vente'!$A$2:$A$1000=$A564)*(('Agences &amp; Après-vente'!$D$2:$D$1000="Agences")+('Agences &amp; Après-vente'!$D$2:$D$1000="Agences et Après-vente"))*'Agences &amp; Après-vente'!$E$2:$E$1000))&gt;0,TEXT(SUMPRODUCT(MAX(('Agences &amp; Après-vente'!$A$2:$A$1000=$A564)*(('Agences &amp; Après-vente'!$D$2:$D$1000="Agences")+('Agences &amp; Après-vente'!$D$2:$D$1000="Agences et Après-vente"))*'Agences &amp; Après-vente'!$E$2:$E$1000)),"yyyy-mm-dd"),"")))))</f>
        <v/>
      </c>
      <c r="H564" s="131" t="str">
        <f aca="false">IF($R564="✓","✓",IF(ISNUMBER($R564),TEXT($R564,"yyyy-mm-dd"),IF($A564="","",IF($D564="Lisbonne","",IF(SUMPRODUCT(('Agences &amp; Après-vente'!$A$2:$A$1000=$A564)*(('Agences &amp; Après-vente'!$D$2:$D$1000="Agences")+('Agences &amp; Après-vente'!$D$2:$D$1000="Agences et Après-vente"))*('Agences &amp; Après-vente'!$I$2:$I$1000="DONE"))&gt;0,"✓",IF(SUMPRODUCT(MAX(('Agences &amp; Après-vente'!$A$2:$A$1000=$A564)*(('Agences &amp; Après-vente'!$D$2:$D$1000="Agences")+('Agences &amp; Après-vente'!$D$2:$D$1000="Agences et Après-vente"))*'Agences &amp; Après-vente'!$E$2:$E$1000))&gt;0,TEXT(SUMPRODUCT(MAX(('Agences &amp; Après-vente'!$A$2:$A$1000=$A564)*(('Agences &amp; Après-vente'!$D$2:$D$1000="Agences")+('Agences &amp; Après-vente'!$D$2:$D$1000="Agences et Après-vente"))*'Agences &amp; Après-vente'!$E$2:$E$1000)),"yyyy-mm-dd"),""))))))</f>
        <v/>
      </c>
      <c r="I564" s="131" t="str">
        <f aca="false">IF($S564="✓","✓",IF(ISNUMBER($S564),TEXT($S564,"yyyy-mm-dd"),IF($A564="","",IF(SUMPRODUCT(('Agences &amp; Après-vente'!$A$2:$A$1000=$A564)*(('Agences &amp; Après-vente'!$D$2:$D$1000="Après-vente")+('Agences &amp; Après-vente'!$D$2:$D$1000="Agences et Après-vente"))*('Agences &amp; Après-vente'!$I$2:$I$1000="DONE"))&gt;0,"✓",IF(SUMPRODUCT(MAX(('Agences &amp; Après-vente'!$A$2:$A$1000=$A564)*(('Agences &amp; Après-vente'!$D$2:$D$1000="Après-vente")+('Agences &amp; Après-vente'!$D$2:$D$1000="Agences et Après-vente"))*'Agences &amp; Après-vente'!$E$2:$E$1000))&gt;0,TEXT(SUMPRODUCT(MAX(('Agences &amp; Après-vente'!$A$2:$A$1000=$A564)*(('Agences &amp; Après-vente'!$D$2:$D$1000="Après-vente")+('Agences &amp; Après-vente'!$D$2:$D$1000="Agences et Après-vente"))*'Agences &amp; Après-vente'!$E$2:$E$1000)),"yyyy-mm-dd"),"")))))</f>
        <v/>
      </c>
      <c r="J564" s="131" t="str">
        <f aca="false">IF($T564="✓","✓",IF(ISNUMBER($T564),TEXT($T564,"yyyy-mm-dd"),IF($A564="","",IF($D564="Lisbonne","",IF(SUMPRODUCT(('Agences &amp; Après-vente'!$A$2:$A$1000=$A564)*(('Agences &amp; Après-vente'!$D$2:$D$1000="Après-vente")+('Agences &amp; Après-vente'!$D$2:$D$1000="Agences et Après-vente"))*('Agences &amp; Après-vente'!$I$2:$I$1000="DONE"))&gt;0,"✓",IF(SUMPRODUCT(MAX(('Agences &amp; Après-vente'!$A$2:$A$1000=$A564)*(('Agences &amp; Après-vente'!$D$2:$D$1000="Après-vente")+('Agences &amp; Après-vente'!$D$2:$D$1000="Agences et Après-vente"))*'Agences &amp; Après-vente'!$E$2:$E$1000))&gt;0,TEXT(SUMPRODUCT(MAX(('Agences &amp; Après-vente'!$A$2:$A$1000=$A564)*(('Agences &amp; Après-vente'!$D$2:$D$1000="Après-vente")+('Agences &amp; Après-vente'!$D$2:$D$1000="Agences et Après-vente"))*'Agences &amp; Après-vente'!$E$2:$E$1000)),"yyyy-mm-dd"),""))))))</f>
        <v/>
      </c>
      <c r="K564" s="131" t="str">
        <f aca="false">IF($U564="✓","✓",IF(ISNUMBER($U564),TEXT($U564,"yyyy-mm-dd"),IF($D564="Lisbonne","",IF($A564="","",IF(SUMPRODUCT((Evermont!$A$2:$A$1000=$A564)*(Evermont!$Q$2:$Q$1000="Terminé"))&gt;0,"✓",IF(SUMPRODUCT(MAX((Evermont!$A$2:$A$1000=$A564)*Evermont!$F$2:$F$1000))&gt;0,TEXT(SUMPRODUCT(MAX((Evermont!$A$2:$A$1000=$A564)*Evermont!$F$2:$F$1000)),"yyyy-mm-dd"),""))))))</f>
        <v/>
      </c>
      <c r="L564" s="131" t="str">
        <f aca="false">IF($A564="","",COUNTIF(E564:K564,"✓"))</f>
        <v/>
      </c>
      <c r="M564" s="131" t="str">
        <f aca="false">IF(B564="","","Active")</f>
        <v/>
      </c>
      <c r="W564" s="120" t="str">
        <f aca="false">IF($A564="","",IF($X564&lt;&gt;"",$X564,IFERROR(INDEX('Formation Initiale'!$B$2:$B$999,MATCH($A564,'Formation Initiale'!$A$2:$A$999,0)),"Général")))</f>
        <v/>
      </c>
    </row>
    <row r="565" customFormat="false" ht="15" hidden="true" customHeight="true" outlineLevel="0" collapsed="false">
      <c r="A565" s="142" t="str">
        <f aca="false">IF(B565="","","TR"&amp;TEXT(ROW()-1,"000"))</f>
        <v/>
      </c>
      <c r="E565" s="130" t="str">
        <f aca="false">IF($O565="✓","✓",IF(ISNUMBER($O565),TEXT($O565,"yyyy-mm-dd"),IF($A565="","",IF(SUMPRODUCT(('Formation Initiale'!$A$2:$A$999=$A565)*('Formation Initiale'!$R$2:$R$999="Terminé"))&gt;0,"✓",IF(SUMPRODUCT(MAX(('Formation Initiale'!$A$2:$A$999=$A565)*'Formation Initiale'!$G$2:$G$999))&gt;0,TEXT(SUMPRODUCT(MAX(('Formation Initiale'!$A$2:$A$999=$A565)*'Formation Initiale'!$G$2:$G$999)),"yyyy-mm-dd"),"")))))</f>
        <v/>
      </c>
      <c r="F565" s="131" t="str">
        <f aca="false">IF($P565="✓","✓",IF(ISNUMBER($P565),TEXT($P565,"yyyy-mm-dd"),IF($A565="","",IF($D565="Lisbonne","",IF(SUMPRODUCT(('Formation Initiale'!$A$2:$A$999=$A565)*('Formation Initiale'!$R$2:$R$999="Terminé"))&gt;0,"✓",IF(SUMPRODUCT(MAX(('Formation Initiale'!$A$2:$A$999=$A565)*'Formation Initiale'!$G$2:$G$999))&gt;0,TEXT(SUMPRODUCT(MAX(('Formation Initiale'!$A$2:$A$999=$A565)*'Formation Initiale'!$G$2:$G$999)),"yyyy-mm-dd"),""))))))</f>
        <v/>
      </c>
      <c r="G565" s="131" t="str">
        <f aca="false">IF($Q565="✓","✓",IF(ISNUMBER($Q565),TEXT($Q565,"yyyy-mm-dd"),IF($A565="","",IF(SUMPRODUCT(('Agences &amp; Après-vente'!$A$2:$A$1000=$A565)*(('Agences &amp; Après-vente'!$D$2:$D$1000="Agences")+('Agences &amp; Après-vente'!$D$2:$D$1000="Agences et Après-vente"))*('Agences &amp; Après-vente'!$I$2:$I$1000="DONE"))&gt;0,"✓",IF(SUMPRODUCT(MAX(('Agences &amp; Après-vente'!$A$2:$A$1000=$A565)*(('Agences &amp; Après-vente'!$D$2:$D$1000="Agences")+('Agences &amp; Après-vente'!$D$2:$D$1000="Agences et Après-vente"))*'Agences &amp; Après-vente'!$E$2:$E$1000))&gt;0,TEXT(SUMPRODUCT(MAX(('Agences &amp; Après-vente'!$A$2:$A$1000=$A565)*(('Agences &amp; Après-vente'!$D$2:$D$1000="Agences")+('Agences &amp; Après-vente'!$D$2:$D$1000="Agences et Après-vente"))*'Agences &amp; Après-vente'!$E$2:$E$1000)),"yyyy-mm-dd"),"")))))</f>
        <v/>
      </c>
      <c r="H565" s="131" t="str">
        <f aca="false">IF($R565="✓","✓",IF(ISNUMBER($R565),TEXT($R565,"yyyy-mm-dd"),IF($A565="","",IF($D565="Lisbonne","",IF(SUMPRODUCT(('Agences &amp; Après-vente'!$A$2:$A$1000=$A565)*(('Agences &amp; Après-vente'!$D$2:$D$1000="Agences")+('Agences &amp; Après-vente'!$D$2:$D$1000="Agences et Après-vente"))*('Agences &amp; Après-vente'!$I$2:$I$1000="DONE"))&gt;0,"✓",IF(SUMPRODUCT(MAX(('Agences &amp; Après-vente'!$A$2:$A$1000=$A565)*(('Agences &amp; Après-vente'!$D$2:$D$1000="Agences")+('Agences &amp; Après-vente'!$D$2:$D$1000="Agences et Après-vente"))*'Agences &amp; Après-vente'!$E$2:$E$1000))&gt;0,TEXT(SUMPRODUCT(MAX(('Agences &amp; Après-vente'!$A$2:$A$1000=$A565)*(('Agences &amp; Après-vente'!$D$2:$D$1000="Agences")+('Agences &amp; Après-vente'!$D$2:$D$1000="Agences et Après-vente"))*'Agences &amp; Après-vente'!$E$2:$E$1000)),"yyyy-mm-dd"),""))))))</f>
        <v/>
      </c>
      <c r="I565" s="131" t="str">
        <f aca="false">IF($S565="✓","✓",IF(ISNUMBER($S565),TEXT($S565,"yyyy-mm-dd"),IF($A565="","",IF(SUMPRODUCT(('Agences &amp; Après-vente'!$A$2:$A$1000=$A565)*(('Agences &amp; Après-vente'!$D$2:$D$1000="Après-vente")+('Agences &amp; Après-vente'!$D$2:$D$1000="Agences et Après-vente"))*('Agences &amp; Après-vente'!$I$2:$I$1000="DONE"))&gt;0,"✓",IF(SUMPRODUCT(MAX(('Agences &amp; Après-vente'!$A$2:$A$1000=$A565)*(('Agences &amp; Après-vente'!$D$2:$D$1000="Après-vente")+('Agences &amp; Après-vente'!$D$2:$D$1000="Agences et Après-vente"))*'Agences &amp; Après-vente'!$E$2:$E$1000))&gt;0,TEXT(SUMPRODUCT(MAX(('Agences &amp; Après-vente'!$A$2:$A$1000=$A565)*(('Agences &amp; Après-vente'!$D$2:$D$1000="Après-vente")+('Agences &amp; Après-vente'!$D$2:$D$1000="Agences et Après-vente"))*'Agences &amp; Après-vente'!$E$2:$E$1000)),"yyyy-mm-dd"),"")))))</f>
        <v/>
      </c>
      <c r="J565" s="131" t="str">
        <f aca="false">IF($T565="✓","✓",IF(ISNUMBER($T565),TEXT($T565,"yyyy-mm-dd"),IF($A565="","",IF($D565="Lisbonne","",IF(SUMPRODUCT(('Agences &amp; Après-vente'!$A$2:$A$1000=$A565)*(('Agences &amp; Après-vente'!$D$2:$D$1000="Après-vente")+('Agences &amp; Après-vente'!$D$2:$D$1000="Agences et Après-vente"))*('Agences &amp; Après-vente'!$I$2:$I$1000="DONE"))&gt;0,"✓",IF(SUMPRODUCT(MAX(('Agences &amp; Après-vente'!$A$2:$A$1000=$A565)*(('Agences &amp; Après-vente'!$D$2:$D$1000="Après-vente")+('Agences &amp; Après-vente'!$D$2:$D$1000="Agences et Après-vente"))*'Agences &amp; Après-vente'!$E$2:$E$1000))&gt;0,TEXT(SUMPRODUCT(MAX(('Agences &amp; Après-vente'!$A$2:$A$1000=$A565)*(('Agences &amp; Après-vente'!$D$2:$D$1000="Après-vente")+('Agences &amp; Après-vente'!$D$2:$D$1000="Agences et Après-vente"))*'Agences &amp; Après-vente'!$E$2:$E$1000)),"yyyy-mm-dd"),""))))))</f>
        <v/>
      </c>
      <c r="K565" s="131" t="str">
        <f aca="false">IF($U565="✓","✓",IF(ISNUMBER($U565),TEXT($U565,"yyyy-mm-dd"),IF($D565="Lisbonne","",IF($A565="","",IF(SUMPRODUCT((Evermont!$A$2:$A$1000=$A565)*(Evermont!$Q$2:$Q$1000="Terminé"))&gt;0,"✓",IF(SUMPRODUCT(MAX((Evermont!$A$2:$A$1000=$A565)*Evermont!$F$2:$F$1000))&gt;0,TEXT(SUMPRODUCT(MAX((Evermont!$A$2:$A$1000=$A565)*Evermont!$F$2:$F$1000)),"yyyy-mm-dd"),""))))))</f>
        <v/>
      </c>
      <c r="L565" s="131" t="str">
        <f aca="false">IF($A565="","",COUNTIF(E565:K565,"✓"))</f>
        <v/>
      </c>
      <c r="M565" s="131" t="str">
        <f aca="false">IF(B565="","","Active")</f>
        <v/>
      </c>
      <c r="W565" s="120" t="str">
        <f aca="false">IF($A565="","",IF($X565&lt;&gt;"",$X565,IFERROR(INDEX('Formation Initiale'!$B$2:$B$999,MATCH($A565,'Formation Initiale'!$A$2:$A$999,0)),"Général")))</f>
        <v/>
      </c>
    </row>
    <row r="566" customFormat="false" ht="15" hidden="true" customHeight="true" outlineLevel="0" collapsed="false">
      <c r="A566" s="142" t="str">
        <f aca="false">IF(B566="","","TR"&amp;TEXT(ROW()-1,"000"))</f>
        <v/>
      </c>
      <c r="E566" s="130" t="str">
        <f aca="false">IF($O566="✓","✓",IF(ISNUMBER($O566),TEXT($O566,"yyyy-mm-dd"),IF($A566="","",IF(SUMPRODUCT(('Formation Initiale'!$A$2:$A$999=$A566)*('Formation Initiale'!$R$2:$R$999="Terminé"))&gt;0,"✓",IF(SUMPRODUCT(MAX(('Formation Initiale'!$A$2:$A$999=$A566)*'Formation Initiale'!$G$2:$G$999))&gt;0,TEXT(SUMPRODUCT(MAX(('Formation Initiale'!$A$2:$A$999=$A566)*'Formation Initiale'!$G$2:$G$999)),"yyyy-mm-dd"),"")))))</f>
        <v/>
      </c>
      <c r="F566" s="131" t="str">
        <f aca="false">IF($P566="✓","✓",IF(ISNUMBER($P566),TEXT($P566,"yyyy-mm-dd"),IF($A566="","",IF($D566="Lisbonne","",IF(SUMPRODUCT(('Formation Initiale'!$A$2:$A$999=$A566)*('Formation Initiale'!$R$2:$R$999="Terminé"))&gt;0,"✓",IF(SUMPRODUCT(MAX(('Formation Initiale'!$A$2:$A$999=$A566)*'Formation Initiale'!$G$2:$G$999))&gt;0,TEXT(SUMPRODUCT(MAX(('Formation Initiale'!$A$2:$A$999=$A566)*'Formation Initiale'!$G$2:$G$999)),"yyyy-mm-dd"),""))))))</f>
        <v/>
      </c>
      <c r="G566" s="131" t="str">
        <f aca="false">IF($Q566="✓","✓",IF(ISNUMBER($Q566),TEXT($Q566,"yyyy-mm-dd"),IF($A566="","",IF(SUMPRODUCT(('Agences &amp; Après-vente'!$A$2:$A$1000=$A566)*(('Agences &amp; Après-vente'!$D$2:$D$1000="Agences")+('Agences &amp; Après-vente'!$D$2:$D$1000="Agences et Après-vente"))*('Agences &amp; Après-vente'!$I$2:$I$1000="DONE"))&gt;0,"✓",IF(SUMPRODUCT(MAX(('Agences &amp; Après-vente'!$A$2:$A$1000=$A566)*(('Agences &amp; Après-vente'!$D$2:$D$1000="Agences")+('Agences &amp; Après-vente'!$D$2:$D$1000="Agences et Après-vente"))*'Agences &amp; Après-vente'!$E$2:$E$1000))&gt;0,TEXT(SUMPRODUCT(MAX(('Agences &amp; Après-vente'!$A$2:$A$1000=$A566)*(('Agences &amp; Après-vente'!$D$2:$D$1000="Agences")+('Agences &amp; Après-vente'!$D$2:$D$1000="Agences et Après-vente"))*'Agences &amp; Après-vente'!$E$2:$E$1000)),"yyyy-mm-dd"),"")))))</f>
        <v/>
      </c>
      <c r="H566" s="131" t="str">
        <f aca="false">IF($R566="✓","✓",IF(ISNUMBER($R566),TEXT($R566,"yyyy-mm-dd"),IF($A566="","",IF($D566="Lisbonne","",IF(SUMPRODUCT(('Agences &amp; Après-vente'!$A$2:$A$1000=$A566)*(('Agences &amp; Après-vente'!$D$2:$D$1000="Agences")+('Agences &amp; Après-vente'!$D$2:$D$1000="Agences et Après-vente"))*('Agences &amp; Après-vente'!$I$2:$I$1000="DONE"))&gt;0,"✓",IF(SUMPRODUCT(MAX(('Agences &amp; Après-vente'!$A$2:$A$1000=$A566)*(('Agences &amp; Après-vente'!$D$2:$D$1000="Agences")+('Agences &amp; Après-vente'!$D$2:$D$1000="Agences et Après-vente"))*'Agences &amp; Après-vente'!$E$2:$E$1000))&gt;0,TEXT(SUMPRODUCT(MAX(('Agences &amp; Après-vente'!$A$2:$A$1000=$A566)*(('Agences &amp; Après-vente'!$D$2:$D$1000="Agences")+('Agences &amp; Après-vente'!$D$2:$D$1000="Agences et Après-vente"))*'Agences &amp; Après-vente'!$E$2:$E$1000)),"yyyy-mm-dd"),""))))))</f>
        <v/>
      </c>
      <c r="I566" s="131" t="str">
        <f aca="false">IF($S566="✓","✓",IF(ISNUMBER($S566),TEXT($S566,"yyyy-mm-dd"),IF($A566="","",IF(SUMPRODUCT(('Agences &amp; Après-vente'!$A$2:$A$1000=$A566)*(('Agences &amp; Après-vente'!$D$2:$D$1000="Après-vente")+('Agences &amp; Après-vente'!$D$2:$D$1000="Agences et Après-vente"))*('Agences &amp; Après-vente'!$I$2:$I$1000="DONE"))&gt;0,"✓",IF(SUMPRODUCT(MAX(('Agences &amp; Après-vente'!$A$2:$A$1000=$A566)*(('Agences &amp; Après-vente'!$D$2:$D$1000="Après-vente")+('Agences &amp; Après-vente'!$D$2:$D$1000="Agences et Après-vente"))*'Agences &amp; Après-vente'!$E$2:$E$1000))&gt;0,TEXT(SUMPRODUCT(MAX(('Agences &amp; Après-vente'!$A$2:$A$1000=$A566)*(('Agences &amp; Après-vente'!$D$2:$D$1000="Après-vente")+('Agences &amp; Après-vente'!$D$2:$D$1000="Agences et Après-vente"))*'Agences &amp; Après-vente'!$E$2:$E$1000)),"yyyy-mm-dd"),"")))))</f>
        <v/>
      </c>
      <c r="J566" s="131" t="str">
        <f aca="false">IF($T566="✓","✓",IF(ISNUMBER($T566),TEXT($T566,"yyyy-mm-dd"),IF($A566="","",IF($D566="Lisbonne","",IF(SUMPRODUCT(('Agences &amp; Après-vente'!$A$2:$A$1000=$A566)*(('Agences &amp; Après-vente'!$D$2:$D$1000="Après-vente")+('Agences &amp; Après-vente'!$D$2:$D$1000="Agences et Après-vente"))*('Agences &amp; Après-vente'!$I$2:$I$1000="DONE"))&gt;0,"✓",IF(SUMPRODUCT(MAX(('Agences &amp; Après-vente'!$A$2:$A$1000=$A566)*(('Agences &amp; Après-vente'!$D$2:$D$1000="Après-vente")+('Agences &amp; Après-vente'!$D$2:$D$1000="Agences et Après-vente"))*'Agences &amp; Après-vente'!$E$2:$E$1000))&gt;0,TEXT(SUMPRODUCT(MAX(('Agences &amp; Après-vente'!$A$2:$A$1000=$A566)*(('Agences &amp; Après-vente'!$D$2:$D$1000="Après-vente")+('Agences &amp; Après-vente'!$D$2:$D$1000="Agences et Après-vente"))*'Agences &amp; Après-vente'!$E$2:$E$1000)),"yyyy-mm-dd"),""))))))</f>
        <v/>
      </c>
      <c r="K566" s="131" t="str">
        <f aca="false">IF($U566="✓","✓",IF(ISNUMBER($U566),TEXT($U566,"yyyy-mm-dd"),IF($D566="Lisbonne","",IF($A566="","",IF(SUMPRODUCT((Evermont!$A$2:$A$1000=$A566)*(Evermont!$Q$2:$Q$1000="Terminé"))&gt;0,"✓",IF(SUMPRODUCT(MAX((Evermont!$A$2:$A$1000=$A566)*Evermont!$F$2:$F$1000))&gt;0,TEXT(SUMPRODUCT(MAX((Evermont!$A$2:$A$1000=$A566)*Evermont!$F$2:$F$1000)),"yyyy-mm-dd"),""))))))</f>
        <v/>
      </c>
      <c r="L566" s="131" t="str">
        <f aca="false">IF($A566="","",COUNTIF(E566:K566,"✓"))</f>
        <v/>
      </c>
      <c r="M566" s="131" t="str">
        <f aca="false">IF(B566="","","Active")</f>
        <v/>
      </c>
      <c r="W566" s="120" t="str">
        <f aca="false">IF($A566="","",IF($X566&lt;&gt;"",$X566,IFERROR(INDEX('Formation Initiale'!$B$2:$B$999,MATCH($A566,'Formation Initiale'!$A$2:$A$999,0)),"Général")))</f>
        <v/>
      </c>
    </row>
    <row r="567" customFormat="false" ht="15" hidden="true" customHeight="true" outlineLevel="0" collapsed="false">
      <c r="A567" s="142" t="str">
        <f aca="false">IF(B567="","","TR"&amp;TEXT(ROW()-1,"000"))</f>
        <v/>
      </c>
      <c r="E567" s="130" t="str">
        <f aca="false">IF($O567="✓","✓",IF(ISNUMBER($O567),TEXT($O567,"yyyy-mm-dd"),IF($A567="","",IF(SUMPRODUCT(('Formation Initiale'!$A$2:$A$999=$A567)*('Formation Initiale'!$R$2:$R$999="Terminé"))&gt;0,"✓",IF(SUMPRODUCT(MAX(('Formation Initiale'!$A$2:$A$999=$A567)*'Formation Initiale'!$G$2:$G$999))&gt;0,TEXT(SUMPRODUCT(MAX(('Formation Initiale'!$A$2:$A$999=$A567)*'Formation Initiale'!$G$2:$G$999)),"yyyy-mm-dd"),"")))))</f>
        <v/>
      </c>
      <c r="F567" s="131" t="str">
        <f aca="false">IF($P567="✓","✓",IF(ISNUMBER($P567),TEXT($P567,"yyyy-mm-dd"),IF($A567="","",IF($D567="Lisbonne","",IF(SUMPRODUCT(('Formation Initiale'!$A$2:$A$999=$A567)*('Formation Initiale'!$R$2:$R$999="Terminé"))&gt;0,"✓",IF(SUMPRODUCT(MAX(('Formation Initiale'!$A$2:$A$999=$A567)*'Formation Initiale'!$G$2:$G$999))&gt;0,TEXT(SUMPRODUCT(MAX(('Formation Initiale'!$A$2:$A$999=$A567)*'Formation Initiale'!$G$2:$G$999)),"yyyy-mm-dd"),""))))))</f>
        <v/>
      </c>
      <c r="G567" s="131" t="str">
        <f aca="false">IF($Q567="✓","✓",IF(ISNUMBER($Q567),TEXT($Q567,"yyyy-mm-dd"),IF($A567="","",IF(SUMPRODUCT(('Agences &amp; Après-vente'!$A$2:$A$1000=$A567)*(('Agences &amp; Après-vente'!$D$2:$D$1000="Agences")+('Agences &amp; Après-vente'!$D$2:$D$1000="Agences et Après-vente"))*('Agences &amp; Après-vente'!$I$2:$I$1000="DONE"))&gt;0,"✓",IF(SUMPRODUCT(MAX(('Agences &amp; Après-vente'!$A$2:$A$1000=$A567)*(('Agences &amp; Après-vente'!$D$2:$D$1000="Agences")+('Agences &amp; Après-vente'!$D$2:$D$1000="Agences et Après-vente"))*'Agences &amp; Après-vente'!$E$2:$E$1000))&gt;0,TEXT(SUMPRODUCT(MAX(('Agences &amp; Après-vente'!$A$2:$A$1000=$A567)*(('Agences &amp; Après-vente'!$D$2:$D$1000="Agences")+('Agences &amp; Après-vente'!$D$2:$D$1000="Agences et Après-vente"))*'Agences &amp; Après-vente'!$E$2:$E$1000)),"yyyy-mm-dd"),"")))))</f>
        <v/>
      </c>
      <c r="H567" s="131" t="str">
        <f aca="false">IF($R567="✓","✓",IF(ISNUMBER($R567),TEXT($R567,"yyyy-mm-dd"),IF($A567="","",IF($D567="Lisbonne","",IF(SUMPRODUCT(('Agences &amp; Après-vente'!$A$2:$A$1000=$A567)*(('Agences &amp; Après-vente'!$D$2:$D$1000="Agences")+('Agences &amp; Après-vente'!$D$2:$D$1000="Agences et Après-vente"))*('Agences &amp; Après-vente'!$I$2:$I$1000="DONE"))&gt;0,"✓",IF(SUMPRODUCT(MAX(('Agences &amp; Après-vente'!$A$2:$A$1000=$A567)*(('Agences &amp; Après-vente'!$D$2:$D$1000="Agences")+('Agences &amp; Après-vente'!$D$2:$D$1000="Agences et Après-vente"))*'Agences &amp; Après-vente'!$E$2:$E$1000))&gt;0,TEXT(SUMPRODUCT(MAX(('Agences &amp; Après-vente'!$A$2:$A$1000=$A567)*(('Agences &amp; Après-vente'!$D$2:$D$1000="Agences")+('Agences &amp; Après-vente'!$D$2:$D$1000="Agences et Après-vente"))*'Agences &amp; Après-vente'!$E$2:$E$1000)),"yyyy-mm-dd"),""))))))</f>
        <v/>
      </c>
      <c r="I567" s="131" t="str">
        <f aca="false">IF($S567="✓","✓",IF(ISNUMBER($S567),TEXT($S567,"yyyy-mm-dd"),IF($A567="","",IF(SUMPRODUCT(('Agences &amp; Après-vente'!$A$2:$A$1000=$A567)*(('Agences &amp; Après-vente'!$D$2:$D$1000="Après-vente")+('Agences &amp; Après-vente'!$D$2:$D$1000="Agences et Après-vente"))*('Agences &amp; Après-vente'!$I$2:$I$1000="DONE"))&gt;0,"✓",IF(SUMPRODUCT(MAX(('Agences &amp; Après-vente'!$A$2:$A$1000=$A567)*(('Agences &amp; Après-vente'!$D$2:$D$1000="Après-vente")+('Agences &amp; Après-vente'!$D$2:$D$1000="Agences et Après-vente"))*'Agences &amp; Après-vente'!$E$2:$E$1000))&gt;0,TEXT(SUMPRODUCT(MAX(('Agences &amp; Après-vente'!$A$2:$A$1000=$A567)*(('Agences &amp; Après-vente'!$D$2:$D$1000="Après-vente")+('Agences &amp; Après-vente'!$D$2:$D$1000="Agences et Après-vente"))*'Agences &amp; Après-vente'!$E$2:$E$1000)),"yyyy-mm-dd"),"")))))</f>
        <v/>
      </c>
      <c r="J567" s="131" t="str">
        <f aca="false">IF($T567="✓","✓",IF(ISNUMBER($T567),TEXT($T567,"yyyy-mm-dd"),IF($A567="","",IF($D567="Lisbonne","",IF(SUMPRODUCT(('Agences &amp; Après-vente'!$A$2:$A$1000=$A567)*(('Agences &amp; Après-vente'!$D$2:$D$1000="Après-vente")+('Agences &amp; Après-vente'!$D$2:$D$1000="Agences et Après-vente"))*('Agences &amp; Après-vente'!$I$2:$I$1000="DONE"))&gt;0,"✓",IF(SUMPRODUCT(MAX(('Agences &amp; Après-vente'!$A$2:$A$1000=$A567)*(('Agences &amp; Après-vente'!$D$2:$D$1000="Après-vente")+('Agences &amp; Après-vente'!$D$2:$D$1000="Agences et Après-vente"))*'Agences &amp; Après-vente'!$E$2:$E$1000))&gt;0,TEXT(SUMPRODUCT(MAX(('Agences &amp; Après-vente'!$A$2:$A$1000=$A567)*(('Agences &amp; Après-vente'!$D$2:$D$1000="Après-vente")+('Agences &amp; Après-vente'!$D$2:$D$1000="Agences et Après-vente"))*'Agences &amp; Après-vente'!$E$2:$E$1000)),"yyyy-mm-dd"),""))))))</f>
        <v/>
      </c>
      <c r="K567" s="131" t="str">
        <f aca="false">IF($U567="✓","✓",IF(ISNUMBER($U567),TEXT($U567,"yyyy-mm-dd"),IF($D567="Lisbonne","",IF($A567="","",IF(SUMPRODUCT((Evermont!$A$2:$A$1000=$A567)*(Evermont!$Q$2:$Q$1000="Terminé"))&gt;0,"✓",IF(SUMPRODUCT(MAX((Evermont!$A$2:$A$1000=$A567)*Evermont!$F$2:$F$1000))&gt;0,TEXT(SUMPRODUCT(MAX((Evermont!$A$2:$A$1000=$A567)*Evermont!$F$2:$F$1000)),"yyyy-mm-dd"),""))))))</f>
        <v/>
      </c>
      <c r="L567" s="131" t="str">
        <f aca="false">IF($A567="","",COUNTIF(E567:K567,"✓"))</f>
        <v/>
      </c>
      <c r="M567" s="131" t="str">
        <f aca="false">IF(B567="","","Active")</f>
        <v/>
      </c>
      <c r="W567" s="120" t="str">
        <f aca="false">IF($A567="","",IF($X567&lt;&gt;"",$X567,IFERROR(INDEX('Formation Initiale'!$B$2:$B$999,MATCH($A567,'Formation Initiale'!$A$2:$A$999,0)),"Général")))</f>
        <v/>
      </c>
    </row>
    <row r="568" customFormat="false" ht="15" hidden="true" customHeight="true" outlineLevel="0" collapsed="false">
      <c r="A568" s="142" t="str">
        <f aca="false">IF(B568="","","TR"&amp;TEXT(ROW()-1,"000"))</f>
        <v/>
      </c>
      <c r="E568" s="130" t="str">
        <f aca="false">IF($O568="✓","✓",IF(ISNUMBER($O568),TEXT($O568,"yyyy-mm-dd"),IF($A568="","",IF(SUMPRODUCT(('Formation Initiale'!$A$2:$A$999=$A568)*('Formation Initiale'!$R$2:$R$999="Terminé"))&gt;0,"✓",IF(SUMPRODUCT(MAX(('Formation Initiale'!$A$2:$A$999=$A568)*'Formation Initiale'!$G$2:$G$999))&gt;0,TEXT(SUMPRODUCT(MAX(('Formation Initiale'!$A$2:$A$999=$A568)*'Formation Initiale'!$G$2:$G$999)),"yyyy-mm-dd"),"")))))</f>
        <v/>
      </c>
      <c r="F568" s="131" t="str">
        <f aca="false">IF($P568="✓","✓",IF(ISNUMBER($P568),TEXT($P568,"yyyy-mm-dd"),IF($A568="","",IF($D568="Lisbonne","",IF(SUMPRODUCT(('Formation Initiale'!$A$2:$A$999=$A568)*('Formation Initiale'!$R$2:$R$999="Terminé"))&gt;0,"✓",IF(SUMPRODUCT(MAX(('Formation Initiale'!$A$2:$A$999=$A568)*'Formation Initiale'!$G$2:$G$999))&gt;0,TEXT(SUMPRODUCT(MAX(('Formation Initiale'!$A$2:$A$999=$A568)*'Formation Initiale'!$G$2:$G$999)),"yyyy-mm-dd"),""))))))</f>
        <v/>
      </c>
      <c r="G568" s="131" t="str">
        <f aca="false">IF($Q568="✓","✓",IF(ISNUMBER($Q568),TEXT($Q568,"yyyy-mm-dd"),IF($A568="","",IF(SUMPRODUCT(('Agences &amp; Après-vente'!$A$2:$A$1000=$A568)*(('Agences &amp; Après-vente'!$D$2:$D$1000="Agences")+('Agences &amp; Après-vente'!$D$2:$D$1000="Agences et Après-vente"))*('Agences &amp; Après-vente'!$I$2:$I$1000="DONE"))&gt;0,"✓",IF(SUMPRODUCT(MAX(('Agences &amp; Après-vente'!$A$2:$A$1000=$A568)*(('Agences &amp; Après-vente'!$D$2:$D$1000="Agences")+('Agences &amp; Après-vente'!$D$2:$D$1000="Agences et Après-vente"))*'Agences &amp; Après-vente'!$E$2:$E$1000))&gt;0,TEXT(SUMPRODUCT(MAX(('Agences &amp; Après-vente'!$A$2:$A$1000=$A568)*(('Agences &amp; Après-vente'!$D$2:$D$1000="Agences")+('Agences &amp; Après-vente'!$D$2:$D$1000="Agences et Après-vente"))*'Agences &amp; Après-vente'!$E$2:$E$1000)),"yyyy-mm-dd"),"")))))</f>
        <v/>
      </c>
      <c r="H568" s="131" t="str">
        <f aca="false">IF($R568="✓","✓",IF(ISNUMBER($R568),TEXT($R568,"yyyy-mm-dd"),IF($A568="","",IF($D568="Lisbonne","",IF(SUMPRODUCT(('Agences &amp; Après-vente'!$A$2:$A$1000=$A568)*(('Agences &amp; Après-vente'!$D$2:$D$1000="Agences")+('Agences &amp; Après-vente'!$D$2:$D$1000="Agences et Après-vente"))*('Agences &amp; Après-vente'!$I$2:$I$1000="DONE"))&gt;0,"✓",IF(SUMPRODUCT(MAX(('Agences &amp; Après-vente'!$A$2:$A$1000=$A568)*(('Agences &amp; Après-vente'!$D$2:$D$1000="Agences")+('Agences &amp; Après-vente'!$D$2:$D$1000="Agences et Après-vente"))*'Agences &amp; Après-vente'!$E$2:$E$1000))&gt;0,TEXT(SUMPRODUCT(MAX(('Agences &amp; Après-vente'!$A$2:$A$1000=$A568)*(('Agences &amp; Après-vente'!$D$2:$D$1000="Agences")+('Agences &amp; Après-vente'!$D$2:$D$1000="Agences et Après-vente"))*'Agences &amp; Après-vente'!$E$2:$E$1000)),"yyyy-mm-dd"),""))))))</f>
        <v/>
      </c>
      <c r="I568" s="131" t="str">
        <f aca="false">IF($S568="✓","✓",IF(ISNUMBER($S568),TEXT($S568,"yyyy-mm-dd"),IF($A568="","",IF(SUMPRODUCT(('Agences &amp; Après-vente'!$A$2:$A$1000=$A568)*(('Agences &amp; Après-vente'!$D$2:$D$1000="Après-vente")+('Agences &amp; Après-vente'!$D$2:$D$1000="Agences et Après-vente"))*('Agences &amp; Après-vente'!$I$2:$I$1000="DONE"))&gt;0,"✓",IF(SUMPRODUCT(MAX(('Agences &amp; Après-vente'!$A$2:$A$1000=$A568)*(('Agences &amp; Après-vente'!$D$2:$D$1000="Après-vente")+('Agences &amp; Après-vente'!$D$2:$D$1000="Agences et Après-vente"))*'Agences &amp; Après-vente'!$E$2:$E$1000))&gt;0,TEXT(SUMPRODUCT(MAX(('Agences &amp; Après-vente'!$A$2:$A$1000=$A568)*(('Agences &amp; Après-vente'!$D$2:$D$1000="Après-vente")+('Agences &amp; Après-vente'!$D$2:$D$1000="Agences et Après-vente"))*'Agences &amp; Après-vente'!$E$2:$E$1000)),"yyyy-mm-dd"),"")))))</f>
        <v/>
      </c>
      <c r="J568" s="131" t="str">
        <f aca="false">IF($T568="✓","✓",IF(ISNUMBER($T568),TEXT($T568,"yyyy-mm-dd"),IF($A568="","",IF($D568="Lisbonne","",IF(SUMPRODUCT(('Agences &amp; Après-vente'!$A$2:$A$1000=$A568)*(('Agences &amp; Après-vente'!$D$2:$D$1000="Après-vente")+('Agences &amp; Après-vente'!$D$2:$D$1000="Agences et Après-vente"))*('Agences &amp; Après-vente'!$I$2:$I$1000="DONE"))&gt;0,"✓",IF(SUMPRODUCT(MAX(('Agences &amp; Après-vente'!$A$2:$A$1000=$A568)*(('Agences &amp; Après-vente'!$D$2:$D$1000="Après-vente")+('Agences &amp; Après-vente'!$D$2:$D$1000="Agences et Après-vente"))*'Agences &amp; Après-vente'!$E$2:$E$1000))&gt;0,TEXT(SUMPRODUCT(MAX(('Agences &amp; Après-vente'!$A$2:$A$1000=$A568)*(('Agences &amp; Après-vente'!$D$2:$D$1000="Après-vente")+('Agences &amp; Après-vente'!$D$2:$D$1000="Agences et Après-vente"))*'Agences &amp; Après-vente'!$E$2:$E$1000)),"yyyy-mm-dd"),""))))))</f>
        <v/>
      </c>
      <c r="K568" s="131" t="str">
        <f aca="false">IF($U568="✓","✓",IF(ISNUMBER($U568),TEXT($U568,"yyyy-mm-dd"),IF($D568="Lisbonne","",IF($A568="","",IF(SUMPRODUCT((Evermont!$A$2:$A$1000=$A568)*(Evermont!$Q$2:$Q$1000="Terminé"))&gt;0,"✓",IF(SUMPRODUCT(MAX((Evermont!$A$2:$A$1000=$A568)*Evermont!$F$2:$F$1000))&gt;0,TEXT(SUMPRODUCT(MAX((Evermont!$A$2:$A$1000=$A568)*Evermont!$F$2:$F$1000)),"yyyy-mm-dd"),""))))))</f>
        <v/>
      </c>
      <c r="L568" s="131" t="str">
        <f aca="false">IF($A568="","",COUNTIF(E568:K568,"✓"))</f>
        <v/>
      </c>
      <c r="M568" s="131" t="str">
        <f aca="false">IF(B568="","","Active")</f>
        <v/>
      </c>
      <c r="W568" s="120" t="str">
        <f aca="false">IF($A568="","",IF($X568&lt;&gt;"",$X568,IFERROR(INDEX('Formation Initiale'!$B$2:$B$999,MATCH($A568,'Formation Initiale'!$A$2:$A$999,0)),"Général")))</f>
        <v/>
      </c>
    </row>
    <row r="569" customFormat="false" ht="15" hidden="true" customHeight="true" outlineLevel="0" collapsed="false">
      <c r="A569" s="142" t="str">
        <f aca="false">IF(B569="","","TR"&amp;TEXT(ROW()-1,"000"))</f>
        <v/>
      </c>
      <c r="E569" s="130" t="str">
        <f aca="false">IF($O569="✓","✓",IF(ISNUMBER($O569),TEXT($O569,"yyyy-mm-dd"),IF($A569="","",IF(SUMPRODUCT(('Formation Initiale'!$A$2:$A$999=$A569)*('Formation Initiale'!$R$2:$R$999="Terminé"))&gt;0,"✓",IF(SUMPRODUCT(MAX(('Formation Initiale'!$A$2:$A$999=$A569)*'Formation Initiale'!$G$2:$G$999))&gt;0,TEXT(SUMPRODUCT(MAX(('Formation Initiale'!$A$2:$A$999=$A569)*'Formation Initiale'!$G$2:$G$999)),"yyyy-mm-dd"),"")))))</f>
        <v/>
      </c>
      <c r="F569" s="131" t="str">
        <f aca="false">IF($P569="✓","✓",IF(ISNUMBER($P569),TEXT($P569,"yyyy-mm-dd"),IF($A569="","",IF($D569="Lisbonne","",IF(SUMPRODUCT(('Formation Initiale'!$A$2:$A$999=$A569)*('Formation Initiale'!$R$2:$R$999="Terminé"))&gt;0,"✓",IF(SUMPRODUCT(MAX(('Formation Initiale'!$A$2:$A$999=$A569)*'Formation Initiale'!$G$2:$G$999))&gt;0,TEXT(SUMPRODUCT(MAX(('Formation Initiale'!$A$2:$A$999=$A569)*'Formation Initiale'!$G$2:$G$999)),"yyyy-mm-dd"),""))))))</f>
        <v/>
      </c>
      <c r="G569" s="131" t="str">
        <f aca="false">IF($Q569="✓","✓",IF(ISNUMBER($Q569),TEXT($Q569,"yyyy-mm-dd"),IF($A569="","",IF(SUMPRODUCT(('Agences &amp; Après-vente'!$A$2:$A$1000=$A569)*(('Agences &amp; Après-vente'!$D$2:$D$1000="Agences")+('Agences &amp; Après-vente'!$D$2:$D$1000="Agences et Après-vente"))*('Agences &amp; Après-vente'!$I$2:$I$1000="DONE"))&gt;0,"✓",IF(SUMPRODUCT(MAX(('Agences &amp; Après-vente'!$A$2:$A$1000=$A569)*(('Agences &amp; Après-vente'!$D$2:$D$1000="Agences")+('Agences &amp; Après-vente'!$D$2:$D$1000="Agences et Après-vente"))*'Agences &amp; Après-vente'!$E$2:$E$1000))&gt;0,TEXT(SUMPRODUCT(MAX(('Agences &amp; Après-vente'!$A$2:$A$1000=$A569)*(('Agences &amp; Après-vente'!$D$2:$D$1000="Agences")+('Agences &amp; Après-vente'!$D$2:$D$1000="Agences et Après-vente"))*'Agences &amp; Après-vente'!$E$2:$E$1000)),"yyyy-mm-dd"),"")))))</f>
        <v/>
      </c>
      <c r="H569" s="131" t="str">
        <f aca="false">IF($R569="✓","✓",IF(ISNUMBER($R569),TEXT($R569,"yyyy-mm-dd"),IF($A569="","",IF($D569="Lisbonne","",IF(SUMPRODUCT(('Agences &amp; Après-vente'!$A$2:$A$1000=$A569)*(('Agences &amp; Après-vente'!$D$2:$D$1000="Agences")+('Agences &amp; Après-vente'!$D$2:$D$1000="Agences et Après-vente"))*('Agences &amp; Après-vente'!$I$2:$I$1000="DONE"))&gt;0,"✓",IF(SUMPRODUCT(MAX(('Agences &amp; Après-vente'!$A$2:$A$1000=$A569)*(('Agences &amp; Après-vente'!$D$2:$D$1000="Agences")+('Agences &amp; Après-vente'!$D$2:$D$1000="Agences et Après-vente"))*'Agences &amp; Après-vente'!$E$2:$E$1000))&gt;0,TEXT(SUMPRODUCT(MAX(('Agences &amp; Après-vente'!$A$2:$A$1000=$A569)*(('Agences &amp; Après-vente'!$D$2:$D$1000="Agences")+('Agences &amp; Après-vente'!$D$2:$D$1000="Agences et Après-vente"))*'Agences &amp; Après-vente'!$E$2:$E$1000)),"yyyy-mm-dd"),""))))))</f>
        <v/>
      </c>
      <c r="I569" s="131" t="str">
        <f aca="false">IF($S569="✓","✓",IF(ISNUMBER($S569),TEXT($S569,"yyyy-mm-dd"),IF($A569="","",IF(SUMPRODUCT(('Agences &amp; Après-vente'!$A$2:$A$1000=$A569)*(('Agences &amp; Après-vente'!$D$2:$D$1000="Après-vente")+('Agences &amp; Après-vente'!$D$2:$D$1000="Agences et Après-vente"))*('Agences &amp; Après-vente'!$I$2:$I$1000="DONE"))&gt;0,"✓",IF(SUMPRODUCT(MAX(('Agences &amp; Après-vente'!$A$2:$A$1000=$A569)*(('Agences &amp; Après-vente'!$D$2:$D$1000="Après-vente")+('Agences &amp; Après-vente'!$D$2:$D$1000="Agences et Après-vente"))*'Agences &amp; Après-vente'!$E$2:$E$1000))&gt;0,TEXT(SUMPRODUCT(MAX(('Agences &amp; Après-vente'!$A$2:$A$1000=$A569)*(('Agences &amp; Après-vente'!$D$2:$D$1000="Après-vente")+('Agences &amp; Après-vente'!$D$2:$D$1000="Agences et Après-vente"))*'Agences &amp; Après-vente'!$E$2:$E$1000)),"yyyy-mm-dd"),"")))))</f>
        <v/>
      </c>
      <c r="J569" s="131" t="str">
        <f aca="false">IF($T569="✓","✓",IF(ISNUMBER($T569),TEXT($T569,"yyyy-mm-dd"),IF($A569="","",IF($D569="Lisbonne","",IF(SUMPRODUCT(('Agences &amp; Après-vente'!$A$2:$A$1000=$A569)*(('Agences &amp; Après-vente'!$D$2:$D$1000="Après-vente")+('Agences &amp; Après-vente'!$D$2:$D$1000="Agences et Après-vente"))*('Agences &amp; Après-vente'!$I$2:$I$1000="DONE"))&gt;0,"✓",IF(SUMPRODUCT(MAX(('Agences &amp; Après-vente'!$A$2:$A$1000=$A569)*(('Agences &amp; Après-vente'!$D$2:$D$1000="Après-vente")+('Agences &amp; Après-vente'!$D$2:$D$1000="Agences et Après-vente"))*'Agences &amp; Après-vente'!$E$2:$E$1000))&gt;0,TEXT(SUMPRODUCT(MAX(('Agences &amp; Après-vente'!$A$2:$A$1000=$A569)*(('Agences &amp; Après-vente'!$D$2:$D$1000="Après-vente")+('Agences &amp; Après-vente'!$D$2:$D$1000="Agences et Après-vente"))*'Agences &amp; Après-vente'!$E$2:$E$1000)),"yyyy-mm-dd"),""))))))</f>
        <v/>
      </c>
      <c r="K569" s="131" t="str">
        <f aca="false">IF($U569="✓","✓",IF(ISNUMBER($U569),TEXT($U569,"yyyy-mm-dd"),IF($D569="Lisbonne","",IF($A569="","",IF(SUMPRODUCT((Evermont!$A$2:$A$1000=$A569)*(Evermont!$Q$2:$Q$1000="Terminé"))&gt;0,"✓",IF(SUMPRODUCT(MAX((Evermont!$A$2:$A$1000=$A569)*Evermont!$F$2:$F$1000))&gt;0,TEXT(SUMPRODUCT(MAX((Evermont!$A$2:$A$1000=$A569)*Evermont!$F$2:$F$1000)),"yyyy-mm-dd"),""))))))</f>
        <v/>
      </c>
      <c r="L569" s="131" t="str">
        <f aca="false">IF($A569="","",COUNTIF(E569:K569,"✓"))</f>
        <v/>
      </c>
      <c r="M569" s="131" t="str">
        <f aca="false">IF(B569="","","Active")</f>
        <v/>
      </c>
      <c r="W569" s="120" t="str">
        <f aca="false">IF($A569="","",IF($X569&lt;&gt;"",$X569,IFERROR(INDEX('Formation Initiale'!$B$2:$B$999,MATCH($A569,'Formation Initiale'!$A$2:$A$999,0)),"Général")))</f>
        <v/>
      </c>
    </row>
    <row r="570" customFormat="false" ht="15" hidden="true" customHeight="true" outlineLevel="0" collapsed="false">
      <c r="A570" s="142" t="str">
        <f aca="false">IF(B570="","","TR"&amp;TEXT(ROW()-1,"000"))</f>
        <v/>
      </c>
      <c r="E570" s="130" t="str">
        <f aca="false">IF($O570="✓","✓",IF(ISNUMBER($O570),TEXT($O570,"yyyy-mm-dd"),IF($A570="","",IF(SUMPRODUCT(('Formation Initiale'!$A$2:$A$999=$A570)*('Formation Initiale'!$R$2:$R$999="Terminé"))&gt;0,"✓",IF(SUMPRODUCT(MAX(('Formation Initiale'!$A$2:$A$999=$A570)*'Formation Initiale'!$G$2:$G$999))&gt;0,TEXT(SUMPRODUCT(MAX(('Formation Initiale'!$A$2:$A$999=$A570)*'Formation Initiale'!$G$2:$G$999)),"yyyy-mm-dd"),"")))))</f>
        <v/>
      </c>
      <c r="F570" s="131" t="str">
        <f aca="false">IF($P570="✓","✓",IF(ISNUMBER($P570),TEXT($P570,"yyyy-mm-dd"),IF($A570="","",IF($D570="Lisbonne","",IF(SUMPRODUCT(('Formation Initiale'!$A$2:$A$999=$A570)*('Formation Initiale'!$R$2:$R$999="Terminé"))&gt;0,"✓",IF(SUMPRODUCT(MAX(('Formation Initiale'!$A$2:$A$999=$A570)*'Formation Initiale'!$G$2:$G$999))&gt;0,TEXT(SUMPRODUCT(MAX(('Formation Initiale'!$A$2:$A$999=$A570)*'Formation Initiale'!$G$2:$G$999)),"yyyy-mm-dd"),""))))))</f>
        <v/>
      </c>
      <c r="G570" s="131" t="str">
        <f aca="false">IF($Q570="✓","✓",IF(ISNUMBER($Q570),TEXT($Q570,"yyyy-mm-dd"),IF($A570="","",IF(SUMPRODUCT(('Agences &amp; Après-vente'!$A$2:$A$1000=$A570)*(('Agences &amp; Après-vente'!$D$2:$D$1000="Agences")+('Agences &amp; Après-vente'!$D$2:$D$1000="Agences et Après-vente"))*('Agences &amp; Après-vente'!$I$2:$I$1000="DONE"))&gt;0,"✓",IF(SUMPRODUCT(MAX(('Agences &amp; Après-vente'!$A$2:$A$1000=$A570)*(('Agences &amp; Après-vente'!$D$2:$D$1000="Agences")+('Agences &amp; Après-vente'!$D$2:$D$1000="Agences et Après-vente"))*'Agences &amp; Après-vente'!$E$2:$E$1000))&gt;0,TEXT(SUMPRODUCT(MAX(('Agences &amp; Après-vente'!$A$2:$A$1000=$A570)*(('Agences &amp; Après-vente'!$D$2:$D$1000="Agences")+('Agences &amp; Après-vente'!$D$2:$D$1000="Agences et Après-vente"))*'Agences &amp; Après-vente'!$E$2:$E$1000)),"yyyy-mm-dd"),"")))))</f>
        <v/>
      </c>
      <c r="H570" s="131" t="str">
        <f aca="false">IF($R570="✓","✓",IF(ISNUMBER($R570),TEXT($R570,"yyyy-mm-dd"),IF($A570="","",IF($D570="Lisbonne","",IF(SUMPRODUCT(('Agences &amp; Après-vente'!$A$2:$A$1000=$A570)*(('Agences &amp; Après-vente'!$D$2:$D$1000="Agences")+('Agences &amp; Après-vente'!$D$2:$D$1000="Agences et Après-vente"))*('Agences &amp; Après-vente'!$I$2:$I$1000="DONE"))&gt;0,"✓",IF(SUMPRODUCT(MAX(('Agences &amp; Après-vente'!$A$2:$A$1000=$A570)*(('Agences &amp; Après-vente'!$D$2:$D$1000="Agences")+('Agences &amp; Après-vente'!$D$2:$D$1000="Agences et Après-vente"))*'Agences &amp; Après-vente'!$E$2:$E$1000))&gt;0,TEXT(SUMPRODUCT(MAX(('Agences &amp; Après-vente'!$A$2:$A$1000=$A570)*(('Agences &amp; Après-vente'!$D$2:$D$1000="Agences")+('Agences &amp; Après-vente'!$D$2:$D$1000="Agences et Après-vente"))*'Agences &amp; Après-vente'!$E$2:$E$1000)),"yyyy-mm-dd"),""))))))</f>
        <v/>
      </c>
      <c r="I570" s="131" t="str">
        <f aca="false">IF($S570="✓","✓",IF(ISNUMBER($S570),TEXT($S570,"yyyy-mm-dd"),IF($A570="","",IF(SUMPRODUCT(('Agences &amp; Après-vente'!$A$2:$A$1000=$A570)*(('Agences &amp; Après-vente'!$D$2:$D$1000="Après-vente")+('Agences &amp; Après-vente'!$D$2:$D$1000="Agences et Après-vente"))*('Agences &amp; Après-vente'!$I$2:$I$1000="DONE"))&gt;0,"✓",IF(SUMPRODUCT(MAX(('Agences &amp; Après-vente'!$A$2:$A$1000=$A570)*(('Agences &amp; Après-vente'!$D$2:$D$1000="Après-vente")+('Agences &amp; Après-vente'!$D$2:$D$1000="Agences et Après-vente"))*'Agences &amp; Après-vente'!$E$2:$E$1000))&gt;0,TEXT(SUMPRODUCT(MAX(('Agences &amp; Après-vente'!$A$2:$A$1000=$A570)*(('Agences &amp; Après-vente'!$D$2:$D$1000="Après-vente")+('Agences &amp; Après-vente'!$D$2:$D$1000="Agences et Après-vente"))*'Agences &amp; Après-vente'!$E$2:$E$1000)),"yyyy-mm-dd"),"")))))</f>
        <v/>
      </c>
      <c r="J570" s="131" t="str">
        <f aca="false">IF($T570="✓","✓",IF(ISNUMBER($T570),TEXT($T570,"yyyy-mm-dd"),IF($A570="","",IF($D570="Lisbonne","",IF(SUMPRODUCT(('Agences &amp; Après-vente'!$A$2:$A$1000=$A570)*(('Agences &amp; Après-vente'!$D$2:$D$1000="Après-vente")+('Agences &amp; Après-vente'!$D$2:$D$1000="Agences et Après-vente"))*('Agences &amp; Après-vente'!$I$2:$I$1000="DONE"))&gt;0,"✓",IF(SUMPRODUCT(MAX(('Agences &amp; Après-vente'!$A$2:$A$1000=$A570)*(('Agences &amp; Après-vente'!$D$2:$D$1000="Après-vente")+('Agences &amp; Après-vente'!$D$2:$D$1000="Agences et Après-vente"))*'Agences &amp; Après-vente'!$E$2:$E$1000))&gt;0,TEXT(SUMPRODUCT(MAX(('Agences &amp; Après-vente'!$A$2:$A$1000=$A570)*(('Agences &amp; Après-vente'!$D$2:$D$1000="Après-vente")+('Agences &amp; Après-vente'!$D$2:$D$1000="Agences et Après-vente"))*'Agences &amp; Après-vente'!$E$2:$E$1000)),"yyyy-mm-dd"),""))))))</f>
        <v/>
      </c>
      <c r="K570" s="131" t="str">
        <f aca="false">IF($U570="✓","✓",IF(ISNUMBER($U570),TEXT($U570,"yyyy-mm-dd"),IF($D570="Lisbonne","",IF($A570="","",IF(SUMPRODUCT((Evermont!$A$2:$A$1000=$A570)*(Evermont!$Q$2:$Q$1000="Terminé"))&gt;0,"✓",IF(SUMPRODUCT(MAX((Evermont!$A$2:$A$1000=$A570)*Evermont!$F$2:$F$1000))&gt;0,TEXT(SUMPRODUCT(MAX((Evermont!$A$2:$A$1000=$A570)*Evermont!$F$2:$F$1000)),"yyyy-mm-dd"),""))))))</f>
        <v/>
      </c>
      <c r="L570" s="131" t="str">
        <f aca="false">IF($A570="","",COUNTIF(E570:K570,"✓"))</f>
        <v/>
      </c>
      <c r="M570" s="131" t="str">
        <f aca="false">IF(B570="","","Active")</f>
        <v/>
      </c>
      <c r="W570" s="120" t="str">
        <f aca="false">IF($A570="","",IF($X570&lt;&gt;"",$X570,IFERROR(INDEX('Formation Initiale'!$B$2:$B$999,MATCH($A570,'Formation Initiale'!$A$2:$A$999,0)),"Général")))</f>
        <v/>
      </c>
    </row>
    <row r="571" customFormat="false" ht="15" hidden="true" customHeight="true" outlineLevel="0" collapsed="false">
      <c r="A571" s="142" t="str">
        <f aca="false">IF(B571="","","TR"&amp;TEXT(ROW()-1,"000"))</f>
        <v/>
      </c>
      <c r="E571" s="130" t="str">
        <f aca="false">IF($O571="✓","✓",IF(ISNUMBER($O571),TEXT($O571,"yyyy-mm-dd"),IF($A571="","",IF(SUMPRODUCT(('Formation Initiale'!$A$2:$A$999=$A571)*('Formation Initiale'!$R$2:$R$999="Terminé"))&gt;0,"✓",IF(SUMPRODUCT(MAX(('Formation Initiale'!$A$2:$A$999=$A571)*'Formation Initiale'!$G$2:$G$999))&gt;0,TEXT(SUMPRODUCT(MAX(('Formation Initiale'!$A$2:$A$999=$A571)*'Formation Initiale'!$G$2:$G$999)),"yyyy-mm-dd"),"")))))</f>
        <v/>
      </c>
      <c r="F571" s="131" t="str">
        <f aca="false">IF($P571="✓","✓",IF(ISNUMBER($P571),TEXT($P571,"yyyy-mm-dd"),IF($A571="","",IF($D571="Lisbonne","",IF(SUMPRODUCT(('Formation Initiale'!$A$2:$A$999=$A571)*('Formation Initiale'!$R$2:$R$999="Terminé"))&gt;0,"✓",IF(SUMPRODUCT(MAX(('Formation Initiale'!$A$2:$A$999=$A571)*'Formation Initiale'!$G$2:$G$999))&gt;0,TEXT(SUMPRODUCT(MAX(('Formation Initiale'!$A$2:$A$999=$A571)*'Formation Initiale'!$G$2:$G$999)),"yyyy-mm-dd"),""))))))</f>
        <v/>
      </c>
      <c r="G571" s="131" t="str">
        <f aca="false">IF($Q571="✓","✓",IF(ISNUMBER($Q571),TEXT($Q571,"yyyy-mm-dd"),IF($A571="","",IF(SUMPRODUCT(('Agences &amp; Après-vente'!$A$2:$A$1000=$A571)*(('Agences &amp; Après-vente'!$D$2:$D$1000="Agences")+('Agences &amp; Après-vente'!$D$2:$D$1000="Agences et Après-vente"))*('Agences &amp; Après-vente'!$I$2:$I$1000="DONE"))&gt;0,"✓",IF(SUMPRODUCT(MAX(('Agences &amp; Après-vente'!$A$2:$A$1000=$A571)*(('Agences &amp; Après-vente'!$D$2:$D$1000="Agences")+('Agences &amp; Après-vente'!$D$2:$D$1000="Agences et Après-vente"))*'Agences &amp; Après-vente'!$E$2:$E$1000))&gt;0,TEXT(SUMPRODUCT(MAX(('Agences &amp; Après-vente'!$A$2:$A$1000=$A571)*(('Agences &amp; Après-vente'!$D$2:$D$1000="Agences")+('Agences &amp; Après-vente'!$D$2:$D$1000="Agences et Après-vente"))*'Agences &amp; Après-vente'!$E$2:$E$1000)),"yyyy-mm-dd"),"")))))</f>
        <v/>
      </c>
      <c r="H571" s="131" t="str">
        <f aca="false">IF($R571="✓","✓",IF(ISNUMBER($R571),TEXT($R571,"yyyy-mm-dd"),IF($A571="","",IF($D571="Lisbonne","",IF(SUMPRODUCT(('Agences &amp; Après-vente'!$A$2:$A$1000=$A571)*(('Agences &amp; Après-vente'!$D$2:$D$1000="Agences")+('Agences &amp; Après-vente'!$D$2:$D$1000="Agences et Après-vente"))*('Agences &amp; Après-vente'!$I$2:$I$1000="DONE"))&gt;0,"✓",IF(SUMPRODUCT(MAX(('Agences &amp; Après-vente'!$A$2:$A$1000=$A571)*(('Agences &amp; Après-vente'!$D$2:$D$1000="Agences")+('Agences &amp; Après-vente'!$D$2:$D$1000="Agences et Après-vente"))*'Agences &amp; Après-vente'!$E$2:$E$1000))&gt;0,TEXT(SUMPRODUCT(MAX(('Agences &amp; Après-vente'!$A$2:$A$1000=$A571)*(('Agences &amp; Après-vente'!$D$2:$D$1000="Agences")+('Agences &amp; Après-vente'!$D$2:$D$1000="Agences et Après-vente"))*'Agences &amp; Après-vente'!$E$2:$E$1000)),"yyyy-mm-dd"),""))))))</f>
        <v/>
      </c>
      <c r="I571" s="131" t="str">
        <f aca="false">IF($S571="✓","✓",IF(ISNUMBER($S571),TEXT($S571,"yyyy-mm-dd"),IF($A571="","",IF(SUMPRODUCT(('Agences &amp; Après-vente'!$A$2:$A$1000=$A571)*(('Agences &amp; Après-vente'!$D$2:$D$1000="Après-vente")+('Agences &amp; Après-vente'!$D$2:$D$1000="Agences et Après-vente"))*('Agences &amp; Après-vente'!$I$2:$I$1000="DONE"))&gt;0,"✓",IF(SUMPRODUCT(MAX(('Agences &amp; Après-vente'!$A$2:$A$1000=$A571)*(('Agences &amp; Après-vente'!$D$2:$D$1000="Après-vente")+('Agences &amp; Après-vente'!$D$2:$D$1000="Agences et Après-vente"))*'Agences &amp; Après-vente'!$E$2:$E$1000))&gt;0,TEXT(SUMPRODUCT(MAX(('Agences &amp; Après-vente'!$A$2:$A$1000=$A571)*(('Agences &amp; Après-vente'!$D$2:$D$1000="Après-vente")+('Agences &amp; Après-vente'!$D$2:$D$1000="Agences et Après-vente"))*'Agences &amp; Après-vente'!$E$2:$E$1000)),"yyyy-mm-dd"),"")))))</f>
        <v/>
      </c>
      <c r="J571" s="131" t="str">
        <f aca="false">IF($T571="✓","✓",IF(ISNUMBER($T571),TEXT($T571,"yyyy-mm-dd"),IF($A571="","",IF($D571="Lisbonne","",IF(SUMPRODUCT(('Agences &amp; Après-vente'!$A$2:$A$1000=$A571)*(('Agences &amp; Après-vente'!$D$2:$D$1000="Après-vente")+('Agences &amp; Après-vente'!$D$2:$D$1000="Agences et Après-vente"))*('Agences &amp; Après-vente'!$I$2:$I$1000="DONE"))&gt;0,"✓",IF(SUMPRODUCT(MAX(('Agences &amp; Après-vente'!$A$2:$A$1000=$A571)*(('Agences &amp; Après-vente'!$D$2:$D$1000="Après-vente")+('Agences &amp; Après-vente'!$D$2:$D$1000="Agences et Après-vente"))*'Agences &amp; Après-vente'!$E$2:$E$1000))&gt;0,TEXT(SUMPRODUCT(MAX(('Agences &amp; Après-vente'!$A$2:$A$1000=$A571)*(('Agences &amp; Après-vente'!$D$2:$D$1000="Après-vente")+('Agences &amp; Après-vente'!$D$2:$D$1000="Agences et Après-vente"))*'Agences &amp; Après-vente'!$E$2:$E$1000)),"yyyy-mm-dd"),""))))))</f>
        <v/>
      </c>
      <c r="K571" s="131" t="str">
        <f aca="false">IF($U571="✓","✓",IF(ISNUMBER($U571),TEXT($U571,"yyyy-mm-dd"),IF($D571="Lisbonne","",IF($A571="","",IF(SUMPRODUCT((Evermont!$A$2:$A$1000=$A571)*(Evermont!$Q$2:$Q$1000="Terminé"))&gt;0,"✓",IF(SUMPRODUCT(MAX((Evermont!$A$2:$A$1000=$A571)*Evermont!$F$2:$F$1000))&gt;0,TEXT(SUMPRODUCT(MAX((Evermont!$A$2:$A$1000=$A571)*Evermont!$F$2:$F$1000)),"yyyy-mm-dd"),""))))))</f>
        <v/>
      </c>
      <c r="L571" s="131" t="str">
        <f aca="false">IF($A571="","",COUNTIF(E571:K571,"✓"))</f>
        <v/>
      </c>
      <c r="M571" s="131" t="str">
        <f aca="false">IF(B571="","","Active")</f>
        <v/>
      </c>
      <c r="W571" s="120" t="str">
        <f aca="false">IF($A571="","",IF($X571&lt;&gt;"",$X571,IFERROR(INDEX('Formation Initiale'!$B$2:$B$999,MATCH($A571,'Formation Initiale'!$A$2:$A$999,0)),"Général")))</f>
        <v/>
      </c>
    </row>
    <row r="572" customFormat="false" ht="15" hidden="true" customHeight="true" outlineLevel="0" collapsed="false">
      <c r="A572" s="142" t="str">
        <f aca="false">IF(B572="","","TR"&amp;TEXT(ROW()-1,"000"))</f>
        <v/>
      </c>
      <c r="E572" s="130" t="str">
        <f aca="false">IF($O572="✓","✓",IF(ISNUMBER($O572),TEXT($O572,"yyyy-mm-dd"),IF($A572="","",IF(SUMPRODUCT(('Formation Initiale'!$A$2:$A$999=$A572)*('Formation Initiale'!$R$2:$R$999="Terminé"))&gt;0,"✓",IF(SUMPRODUCT(MAX(('Formation Initiale'!$A$2:$A$999=$A572)*'Formation Initiale'!$G$2:$G$999))&gt;0,TEXT(SUMPRODUCT(MAX(('Formation Initiale'!$A$2:$A$999=$A572)*'Formation Initiale'!$G$2:$G$999)),"yyyy-mm-dd"),"")))))</f>
        <v/>
      </c>
      <c r="F572" s="131" t="str">
        <f aca="false">IF($P572="✓","✓",IF(ISNUMBER($P572),TEXT($P572,"yyyy-mm-dd"),IF($A572="","",IF($D572="Lisbonne","",IF(SUMPRODUCT(('Formation Initiale'!$A$2:$A$999=$A572)*('Formation Initiale'!$R$2:$R$999="Terminé"))&gt;0,"✓",IF(SUMPRODUCT(MAX(('Formation Initiale'!$A$2:$A$999=$A572)*'Formation Initiale'!$G$2:$G$999))&gt;0,TEXT(SUMPRODUCT(MAX(('Formation Initiale'!$A$2:$A$999=$A572)*'Formation Initiale'!$G$2:$G$999)),"yyyy-mm-dd"),""))))))</f>
        <v/>
      </c>
      <c r="G572" s="131" t="str">
        <f aca="false">IF($Q572="✓","✓",IF(ISNUMBER($Q572),TEXT($Q572,"yyyy-mm-dd"),IF($A572="","",IF(SUMPRODUCT(('Agences &amp; Après-vente'!$A$2:$A$1000=$A572)*(('Agences &amp; Après-vente'!$D$2:$D$1000="Agences")+('Agences &amp; Après-vente'!$D$2:$D$1000="Agences et Après-vente"))*('Agences &amp; Après-vente'!$I$2:$I$1000="DONE"))&gt;0,"✓",IF(SUMPRODUCT(MAX(('Agences &amp; Après-vente'!$A$2:$A$1000=$A572)*(('Agences &amp; Après-vente'!$D$2:$D$1000="Agences")+('Agences &amp; Après-vente'!$D$2:$D$1000="Agences et Après-vente"))*'Agences &amp; Après-vente'!$E$2:$E$1000))&gt;0,TEXT(SUMPRODUCT(MAX(('Agences &amp; Après-vente'!$A$2:$A$1000=$A572)*(('Agences &amp; Après-vente'!$D$2:$D$1000="Agences")+('Agences &amp; Après-vente'!$D$2:$D$1000="Agences et Après-vente"))*'Agences &amp; Après-vente'!$E$2:$E$1000)),"yyyy-mm-dd"),"")))))</f>
        <v/>
      </c>
      <c r="H572" s="131" t="str">
        <f aca="false">IF($R572="✓","✓",IF(ISNUMBER($R572),TEXT($R572,"yyyy-mm-dd"),IF($A572="","",IF($D572="Lisbonne","",IF(SUMPRODUCT(('Agences &amp; Après-vente'!$A$2:$A$1000=$A572)*(('Agences &amp; Après-vente'!$D$2:$D$1000="Agences")+('Agences &amp; Après-vente'!$D$2:$D$1000="Agences et Après-vente"))*('Agences &amp; Après-vente'!$I$2:$I$1000="DONE"))&gt;0,"✓",IF(SUMPRODUCT(MAX(('Agences &amp; Après-vente'!$A$2:$A$1000=$A572)*(('Agences &amp; Après-vente'!$D$2:$D$1000="Agences")+('Agences &amp; Après-vente'!$D$2:$D$1000="Agences et Après-vente"))*'Agences &amp; Après-vente'!$E$2:$E$1000))&gt;0,TEXT(SUMPRODUCT(MAX(('Agences &amp; Après-vente'!$A$2:$A$1000=$A572)*(('Agences &amp; Après-vente'!$D$2:$D$1000="Agences")+('Agences &amp; Après-vente'!$D$2:$D$1000="Agences et Après-vente"))*'Agences &amp; Après-vente'!$E$2:$E$1000)),"yyyy-mm-dd"),""))))))</f>
        <v/>
      </c>
      <c r="I572" s="131" t="str">
        <f aca="false">IF($S572="✓","✓",IF(ISNUMBER($S572),TEXT($S572,"yyyy-mm-dd"),IF($A572="","",IF(SUMPRODUCT(('Agences &amp; Après-vente'!$A$2:$A$1000=$A572)*(('Agences &amp; Après-vente'!$D$2:$D$1000="Après-vente")+('Agences &amp; Après-vente'!$D$2:$D$1000="Agences et Après-vente"))*('Agences &amp; Après-vente'!$I$2:$I$1000="DONE"))&gt;0,"✓",IF(SUMPRODUCT(MAX(('Agences &amp; Après-vente'!$A$2:$A$1000=$A572)*(('Agences &amp; Après-vente'!$D$2:$D$1000="Après-vente")+('Agences &amp; Après-vente'!$D$2:$D$1000="Agences et Après-vente"))*'Agences &amp; Après-vente'!$E$2:$E$1000))&gt;0,TEXT(SUMPRODUCT(MAX(('Agences &amp; Après-vente'!$A$2:$A$1000=$A572)*(('Agences &amp; Après-vente'!$D$2:$D$1000="Après-vente")+('Agences &amp; Après-vente'!$D$2:$D$1000="Agences et Après-vente"))*'Agences &amp; Après-vente'!$E$2:$E$1000)),"yyyy-mm-dd"),"")))))</f>
        <v/>
      </c>
      <c r="J572" s="131" t="str">
        <f aca="false">IF($T572="✓","✓",IF(ISNUMBER($T572),TEXT($T572,"yyyy-mm-dd"),IF($A572="","",IF($D572="Lisbonne","",IF(SUMPRODUCT(('Agences &amp; Après-vente'!$A$2:$A$1000=$A572)*(('Agences &amp; Après-vente'!$D$2:$D$1000="Après-vente")+('Agences &amp; Après-vente'!$D$2:$D$1000="Agences et Après-vente"))*('Agences &amp; Après-vente'!$I$2:$I$1000="DONE"))&gt;0,"✓",IF(SUMPRODUCT(MAX(('Agences &amp; Après-vente'!$A$2:$A$1000=$A572)*(('Agences &amp; Après-vente'!$D$2:$D$1000="Après-vente")+('Agences &amp; Après-vente'!$D$2:$D$1000="Agences et Après-vente"))*'Agences &amp; Après-vente'!$E$2:$E$1000))&gt;0,TEXT(SUMPRODUCT(MAX(('Agences &amp; Après-vente'!$A$2:$A$1000=$A572)*(('Agences &amp; Après-vente'!$D$2:$D$1000="Après-vente")+('Agences &amp; Après-vente'!$D$2:$D$1000="Agences et Après-vente"))*'Agences &amp; Après-vente'!$E$2:$E$1000)),"yyyy-mm-dd"),""))))))</f>
        <v/>
      </c>
      <c r="K572" s="131" t="str">
        <f aca="false">IF($U572="✓","✓",IF(ISNUMBER($U572),TEXT($U572,"yyyy-mm-dd"),IF($D572="Lisbonne","",IF($A572="","",IF(SUMPRODUCT((Evermont!$A$2:$A$1000=$A572)*(Evermont!$Q$2:$Q$1000="Terminé"))&gt;0,"✓",IF(SUMPRODUCT(MAX((Evermont!$A$2:$A$1000=$A572)*Evermont!$F$2:$F$1000))&gt;0,TEXT(SUMPRODUCT(MAX((Evermont!$A$2:$A$1000=$A572)*Evermont!$F$2:$F$1000)),"yyyy-mm-dd"),""))))))</f>
        <v/>
      </c>
      <c r="L572" s="131" t="str">
        <f aca="false">IF($A572="","",COUNTIF(E572:K572,"✓"))</f>
        <v/>
      </c>
      <c r="M572" s="131" t="str">
        <f aca="false">IF(B572="","","Active")</f>
        <v/>
      </c>
      <c r="W572" s="120" t="str">
        <f aca="false">IF($A572="","",IF($X572&lt;&gt;"",$X572,IFERROR(INDEX('Formation Initiale'!$B$2:$B$999,MATCH($A572,'Formation Initiale'!$A$2:$A$999,0)),"Général")))</f>
        <v/>
      </c>
    </row>
    <row r="573" customFormat="false" ht="15" hidden="true" customHeight="true" outlineLevel="0" collapsed="false">
      <c r="A573" s="142" t="str">
        <f aca="false">IF(B573="","","TR"&amp;TEXT(ROW()-1,"000"))</f>
        <v/>
      </c>
      <c r="E573" s="130" t="str">
        <f aca="false">IF($O573="✓","✓",IF(ISNUMBER($O573),TEXT($O573,"yyyy-mm-dd"),IF($A573="","",IF(SUMPRODUCT(('Formation Initiale'!$A$2:$A$999=$A573)*('Formation Initiale'!$R$2:$R$999="Terminé"))&gt;0,"✓",IF(SUMPRODUCT(MAX(('Formation Initiale'!$A$2:$A$999=$A573)*'Formation Initiale'!$G$2:$G$999))&gt;0,TEXT(SUMPRODUCT(MAX(('Formation Initiale'!$A$2:$A$999=$A573)*'Formation Initiale'!$G$2:$G$999)),"yyyy-mm-dd"),"")))))</f>
        <v/>
      </c>
      <c r="F573" s="131" t="str">
        <f aca="false">IF($P573="✓","✓",IF(ISNUMBER($P573),TEXT($P573,"yyyy-mm-dd"),IF($A573="","",IF($D573="Lisbonne","",IF(SUMPRODUCT(('Formation Initiale'!$A$2:$A$999=$A573)*('Formation Initiale'!$R$2:$R$999="Terminé"))&gt;0,"✓",IF(SUMPRODUCT(MAX(('Formation Initiale'!$A$2:$A$999=$A573)*'Formation Initiale'!$G$2:$G$999))&gt;0,TEXT(SUMPRODUCT(MAX(('Formation Initiale'!$A$2:$A$999=$A573)*'Formation Initiale'!$G$2:$G$999)),"yyyy-mm-dd"),""))))))</f>
        <v/>
      </c>
      <c r="G573" s="131" t="str">
        <f aca="false">IF($Q573="✓","✓",IF(ISNUMBER($Q573),TEXT($Q573,"yyyy-mm-dd"),IF($A573="","",IF(SUMPRODUCT(('Agences &amp; Après-vente'!$A$2:$A$1000=$A573)*(('Agences &amp; Après-vente'!$D$2:$D$1000="Agences")+('Agences &amp; Après-vente'!$D$2:$D$1000="Agences et Après-vente"))*('Agences &amp; Après-vente'!$I$2:$I$1000="DONE"))&gt;0,"✓",IF(SUMPRODUCT(MAX(('Agences &amp; Après-vente'!$A$2:$A$1000=$A573)*(('Agences &amp; Après-vente'!$D$2:$D$1000="Agences")+('Agences &amp; Après-vente'!$D$2:$D$1000="Agences et Après-vente"))*'Agences &amp; Après-vente'!$E$2:$E$1000))&gt;0,TEXT(SUMPRODUCT(MAX(('Agences &amp; Après-vente'!$A$2:$A$1000=$A573)*(('Agences &amp; Après-vente'!$D$2:$D$1000="Agences")+('Agences &amp; Après-vente'!$D$2:$D$1000="Agences et Après-vente"))*'Agences &amp; Après-vente'!$E$2:$E$1000)),"yyyy-mm-dd"),"")))))</f>
        <v/>
      </c>
      <c r="H573" s="131" t="str">
        <f aca="false">IF($R573="✓","✓",IF(ISNUMBER($R573),TEXT($R573,"yyyy-mm-dd"),IF($A573="","",IF($D573="Lisbonne","",IF(SUMPRODUCT(('Agences &amp; Après-vente'!$A$2:$A$1000=$A573)*(('Agences &amp; Après-vente'!$D$2:$D$1000="Agences")+('Agences &amp; Après-vente'!$D$2:$D$1000="Agences et Après-vente"))*('Agences &amp; Après-vente'!$I$2:$I$1000="DONE"))&gt;0,"✓",IF(SUMPRODUCT(MAX(('Agences &amp; Après-vente'!$A$2:$A$1000=$A573)*(('Agences &amp; Après-vente'!$D$2:$D$1000="Agences")+('Agences &amp; Après-vente'!$D$2:$D$1000="Agences et Après-vente"))*'Agences &amp; Après-vente'!$E$2:$E$1000))&gt;0,TEXT(SUMPRODUCT(MAX(('Agences &amp; Après-vente'!$A$2:$A$1000=$A573)*(('Agences &amp; Après-vente'!$D$2:$D$1000="Agences")+('Agences &amp; Après-vente'!$D$2:$D$1000="Agences et Après-vente"))*'Agences &amp; Après-vente'!$E$2:$E$1000)),"yyyy-mm-dd"),""))))))</f>
        <v/>
      </c>
      <c r="I573" s="131" t="str">
        <f aca="false">IF($S573="✓","✓",IF(ISNUMBER($S573),TEXT($S573,"yyyy-mm-dd"),IF($A573="","",IF(SUMPRODUCT(('Agences &amp; Après-vente'!$A$2:$A$1000=$A573)*(('Agences &amp; Après-vente'!$D$2:$D$1000="Après-vente")+('Agences &amp; Après-vente'!$D$2:$D$1000="Agences et Après-vente"))*('Agences &amp; Après-vente'!$I$2:$I$1000="DONE"))&gt;0,"✓",IF(SUMPRODUCT(MAX(('Agences &amp; Après-vente'!$A$2:$A$1000=$A573)*(('Agences &amp; Après-vente'!$D$2:$D$1000="Après-vente")+('Agences &amp; Après-vente'!$D$2:$D$1000="Agences et Après-vente"))*'Agences &amp; Après-vente'!$E$2:$E$1000))&gt;0,TEXT(SUMPRODUCT(MAX(('Agences &amp; Après-vente'!$A$2:$A$1000=$A573)*(('Agences &amp; Après-vente'!$D$2:$D$1000="Après-vente")+('Agences &amp; Après-vente'!$D$2:$D$1000="Agences et Après-vente"))*'Agences &amp; Après-vente'!$E$2:$E$1000)),"yyyy-mm-dd"),"")))))</f>
        <v/>
      </c>
      <c r="J573" s="131" t="str">
        <f aca="false">IF($T573="✓","✓",IF(ISNUMBER($T573),TEXT($T573,"yyyy-mm-dd"),IF($A573="","",IF($D573="Lisbonne","",IF(SUMPRODUCT(('Agences &amp; Après-vente'!$A$2:$A$1000=$A573)*(('Agences &amp; Après-vente'!$D$2:$D$1000="Après-vente")+('Agences &amp; Après-vente'!$D$2:$D$1000="Agences et Après-vente"))*('Agences &amp; Après-vente'!$I$2:$I$1000="DONE"))&gt;0,"✓",IF(SUMPRODUCT(MAX(('Agences &amp; Après-vente'!$A$2:$A$1000=$A573)*(('Agences &amp; Après-vente'!$D$2:$D$1000="Après-vente")+('Agences &amp; Après-vente'!$D$2:$D$1000="Agences et Après-vente"))*'Agences &amp; Après-vente'!$E$2:$E$1000))&gt;0,TEXT(SUMPRODUCT(MAX(('Agences &amp; Après-vente'!$A$2:$A$1000=$A573)*(('Agences &amp; Après-vente'!$D$2:$D$1000="Après-vente")+('Agences &amp; Après-vente'!$D$2:$D$1000="Agences et Après-vente"))*'Agences &amp; Après-vente'!$E$2:$E$1000)),"yyyy-mm-dd"),""))))))</f>
        <v/>
      </c>
      <c r="K573" s="131" t="str">
        <f aca="false">IF($U573="✓","✓",IF(ISNUMBER($U573),TEXT($U573,"yyyy-mm-dd"),IF($D573="Lisbonne","",IF($A573="","",IF(SUMPRODUCT((Evermont!$A$2:$A$1000=$A573)*(Evermont!$Q$2:$Q$1000="Terminé"))&gt;0,"✓",IF(SUMPRODUCT(MAX((Evermont!$A$2:$A$1000=$A573)*Evermont!$F$2:$F$1000))&gt;0,TEXT(SUMPRODUCT(MAX((Evermont!$A$2:$A$1000=$A573)*Evermont!$F$2:$F$1000)),"yyyy-mm-dd"),""))))))</f>
        <v/>
      </c>
      <c r="L573" s="131" t="str">
        <f aca="false">IF($A573="","",COUNTIF(E573:K573,"✓"))</f>
        <v/>
      </c>
      <c r="M573" s="131" t="str">
        <f aca="false">IF(B573="","","Active")</f>
        <v/>
      </c>
      <c r="W573" s="120" t="str">
        <f aca="false">IF($A573="","",IF($X573&lt;&gt;"",$X573,IFERROR(INDEX('Formation Initiale'!$B$2:$B$999,MATCH($A573,'Formation Initiale'!$A$2:$A$999,0)),"Général")))</f>
        <v/>
      </c>
    </row>
    <row r="574" customFormat="false" ht="15" hidden="true" customHeight="true" outlineLevel="0" collapsed="false">
      <c r="A574" s="142" t="str">
        <f aca="false">IF(B574="","","TR"&amp;TEXT(ROW()-1,"000"))</f>
        <v/>
      </c>
      <c r="E574" s="130" t="str">
        <f aca="false">IF($O574="✓","✓",IF(ISNUMBER($O574),TEXT($O574,"yyyy-mm-dd"),IF($A574="","",IF(SUMPRODUCT(('Formation Initiale'!$A$2:$A$999=$A574)*('Formation Initiale'!$R$2:$R$999="Terminé"))&gt;0,"✓",IF(SUMPRODUCT(MAX(('Formation Initiale'!$A$2:$A$999=$A574)*'Formation Initiale'!$G$2:$G$999))&gt;0,TEXT(SUMPRODUCT(MAX(('Formation Initiale'!$A$2:$A$999=$A574)*'Formation Initiale'!$G$2:$G$999)),"yyyy-mm-dd"),"")))))</f>
        <v/>
      </c>
      <c r="F574" s="131" t="str">
        <f aca="false">IF($P574="✓","✓",IF(ISNUMBER($P574),TEXT($P574,"yyyy-mm-dd"),IF($A574="","",IF($D574="Lisbonne","",IF(SUMPRODUCT(('Formation Initiale'!$A$2:$A$999=$A574)*('Formation Initiale'!$R$2:$R$999="Terminé"))&gt;0,"✓",IF(SUMPRODUCT(MAX(('Formation Initiale'!$A$2:$A$999=$A574)*'Formation Initiale'!$G$2:$G$999))&gt;0,TEXT(SUMPRODUCT(MAX(('Formation Initiale'!$A$2:$A$999=$A574)*'Formation Initiale'!$G$2:$G$999)),"yyyy-mm-dd"),""))))))</f>
        <v/>
      </c>
      <c r="G574" s="131" t="str">
        <f aca="false">IF($Q574="✓","✓",IF(ISNUMBER($Q574),TEXT($Q574,"yyyy-mm-dd"),IF($A574="","",IF(SUMPRODUCT(('Agences &amp; Après-vente'!$A$2:$A$1000=$A574)*(('Agences &amp; Après-vente'!$D$2:$D$1000="Agences")+('Agences &amp; Après-vente'!$D$2:$D$1000="Agences et Après-vente"))*('Agences &amp; Après-vente'!$I$2:$I$1000="DONE"))&gt;0,"✓",IF(SUMPRODUCT(MAX(('Agences &amp; Après-vente'!$A$2:$A$1000=$A574)*(('Agences &amp; Après-vente'!$D$2:$D$1000="Agences")+('Agences &amp; Après-vente'!$D$2:$D$1000="Agences et Après-vente"))*'Agences &amp; Après-vente'!$E$2:$E$1000))&gt;0,TEXT(SUMPRODUCT(MAX(('Agences &amp; Après-vente'!$A$2:$A$1000=$A574)*(('Agences &amp; Après-vente'!$D$2:$D$1000="Agences")+('Agences &amp; Après-vente'!$D$2:$D$1000="Agences et Après-vente"))*'Agences &amp; Après-vente'!$E$2:$E$1000)),"yyyy-mm-dd"),"")))))</f>
        <v/>
      </c>
      <c r="H574" s="131" t="str">
        <f aca="false">IF($R574="✓","✓",IF(ISNUMBER($R574),TEXT($R574,"yyyy-mm-dd"),IF($A574="","",IF($D574="Lisbonne","",IF(SUMPRODUCT(('Agences &amp; Après-vente'!$A$2:$A$1000=$A574)*(('Agences &amp; Après-vente'!$D$2:$D$1000="Agences")+('Agences &amp; Après-vente'!$D$2:$D$1000="Agences et Après-vente"))*('Agences &amp; Après-vente'!$I$2:$I$1000="DONE"))&gt;0,"✓",IF(SUMPRODUCT(MAX(('Agences &amp; Après-vente'!$A$2:$A$1000=$A574)*(('Agences &amp; Après-vente'!$D$2:$D$1000="Agences")+('Agences &amp; Après-vente'!$D$2:$D$1000="Agences et Après-vente"))*'Agences &amp; Après-vente'!$E$2:$E$1000))&gt;0,TEXT(SUMPRODUCT(MAX(('Agences &amp; Après-vente'!$A$2:$A$1000=$A574)*(('Agences &amp; Après-vente'!$D$2:$D$1000="Agences")+('Agences &amp; Après-vente'!$D$2:$D$1000="Agences et Après-vente"))*'Agences &amp; Après-vente'!$E$2:$E$1000)),"yyyy-mm-dd"),""))))))</f>
        <v/>
      </c>
      <c r="I574" s="131" t="str">
        <f aca="false">IF($S574="✓","✓",IF(ISNUMBER($S574),TEXT($S574,"yyyy-mm-dd"),IF($A574="","",IF(SUMPRODUCT(('Agences &amp; Après-vente'!$A$2:$A$1000=$A574)*(('Agences &amp; Après-vente'!$D$2:$D$1000="Après-vente")+('Agences &amp; Après-vente'!$D$2:$D$1000="Agences et Après-vente"))*('Agences &amp; Après-vente'!$I$2:$I$1000="DONE"))&gt;0,"✓",IF(SUMPRODUCT(MAX(('Agences &amp; Après-vente'!$A$2:$A$1000=$A574)*(('Agences &amp; Après-vente'!$D$2:$D$1000="Après-vente")+('Agences &amp; Après-vente'!$D$2:$D$1000="Agences et Après-vente"))*'Agences &amp; Après-vente'!$E$2:$E$1000))&gt;0,TEXT(SUMPRODUCT(MAX(('Agences &amp; Après-vente'!$A$2:$A$1000=$A574)*(('Agences &amp; Après-vente'!$D$2:$D$1000="Après-vente")+('Agences &amp; Après-vente'!$D$2:$D$1000="Agences et Après-vente"))*'Agences &amp; Après-vente'!$E$2:$E$1000)),"yyyy-mm-dd"),"")))))</f>
        <v/>
      </c>
      <c r="J574" s="131" t="str">
        <f aca="false">IF($T574="✓","✓",IF(ISNUMBER($T574),TEXT($T574,"yyyy-mm-dd"),IF($A574="","",IF($D574="Lisbonne","",IF(SUMPRODUCT(('Agences &amp; Après-vente'!$A$2:$A$1000=$A574)*(('Agences &amp; Après-vente'!$D$2:$D$1000="Après-vente")+('Agences &amp; Après-vente'!$D$2:$D$1000="Agences et Après-vente"))*('Agences &amp; Après-vente'!$I$2:$I$1000="DONE"))&gt;0,"✓",IF(SUMPRODUCT(MAX(('Agences &amp; Après-vente'!$A$2:$A$1000=$A574)*(('Agences &amp; Après-vente'!$D$2:$D$1000="Après-vente")+('Agences &amp; Après-vente'!$D$2:$D$1000="Agences et Après-vente"))*'Agences &amp; Après-vente'!$E$2:$E$1000))&gt;0,TEXT(SUMPRODUCT(MAX(('Agences &amp; Après-vente'!$A$2:$A$1000=$A574)*(('Agences &amp; Après-vente'!$D$2:$D$1000="Après-vente")+('Agences &amp; Après-vente'!$D$2:$D$1000="Agences et Après-vente"))*'Agences &amp; Après-vente'!$E$2:$E$1000)),"yyyy-mm-dd"),""))))))</f>
        <v/>
      </c>
      <c r="K574" s="131" t="str">
        <f aca="false">IF($U574="✓","✓",IF(ISNUMBER($U574),TEXT($U574,"yyyy-mm-dd"),IF($D574="Lisbonne","",IF($A574="","",IF(SUMPRODUCT((Evermont!$A$2:$A$1000=$A574)*(Evermont!$Q$2:$Q$1000="Terminé"))&gt;0,"✓",IF(SUMPRODUCT(MAX((Evermont!$A$2:$A$1000=$A574)*Evermont!$F$2:$F$1000))&gt;0,TEXT(SUMPRODUCT(MAX((Evermont!$A$2:$A$1000=$A574)*Evermont!$F$2:$F$1000)),"yyyy-mm-dd"),""))))))</f>
        <v/>
      </c>
      <c r="L574" s="131" t="str">
        <f aca="false">IF($A574="","",COUNTIF(E574:K574,"✓"))</f>
        <v/>
      </c>
      <c r="M574" s="131" t="str">
        <f aca="false">IF(B574="","","Active")</f>
        <v/>
      </c>
      <c r="W574" s="120" t="str">
        <f aca="false">IF($A574="","",IF($X574&lt;&gt;"",$X574,IFERROR(INDEX('Formation Initiale'!$B$2:$B$999,MATCH($A574,'Formation Initiale'!$A$2:$A$999,0)),"Général")))</f>
        <v/>
      </c>
    </row>
    <row r="575" customFormat="false" ht="15" hidden="true" customHeight="true" outlineLevel="0" collapsed="false">
      <c r="A575" s="142" t="str">
        <f aca="false">IF(B575="","","TR"&amp;TEXT(ROW()-1,"000"))</f>
        <v/>
      </c>
      <c r="E575" s="130" t="str">
        <f aca="false">IF($O575="✓","✓",IF(ISNUMBER($O575),TEXT($O575,"yyyy-mm-dd"),IF($A575="","",IF(SUMPRODUCT(('Formation Initiale'!$A$2:$A$999=$A575)*('Formation Initiale'!$R$2:$R$999="Terminé"))&gt;0,"✓",IF(SUMPRODUCT(MAX(('Formation Initiale'!$A$2:$A$999=$A575)*'Formation Initiale'!$G$2:$G$999))&gt;0,TEXT(SUMPRODUCT(MAX(('Formation Initiale'!$A$2:$A$999=$A575)*'Formation Initiale'!$G$2:$G$999)),"yyyy-mm-dd"),"")))))</f>
        <v/>
      </c>
      <c r="F575" s="131" t="str">
        <f aca="false">IF($P575="✓","✓",IF(ISNUMBER($P575),TEXT($P575,"yyyy-mm-dd"),IF($A575="","",IF($D575="Lisbonne","",IF(SUMPRODUCT(('Formation Initiale'!$A$2:$A$999=$A575)*('Formation Initiale'!$R$2:$R$999="Terminé"))&gt;0,"✓",IF(SUMPRODUCT(MAX(('Formation Initiale'!$A$2:$A$999=$A575)*'Formation Initiale'!$G$2:$G$999))&gt;0,TEXT(SUMPRODUCT(MAX(('Formation Initiale'!$A$2:$A$999=$A575)*'Formation Initiale'!$G$2:$G$999)),"yyyy-mm-dd"),""))))))</f>
        <v/>
      </c>
      <c r="G575" s="131" t="str">
        <f aca="false">IF($Q575="✓","✓",IF(ISNUMBER($Q575),TEXT($Q575,"yyyy-mm-dd"),IF($A575="","",IF(SUMPRODUCT(('Agences &amp; Après-vente'!$A$2:$A$1000=$A575)*(('Agences &amp; Après-vente'!$D$2:$D$1000="Agences")+('Agences &amp; Après-vente'!$D$2:$D$1000="Agences et Après-vente"))*('Agences &amp; Après-vente'!$I$2:$I$1000="DONE"))&gt;0,"✓",IF(SUMPRODUCT(MAX(('Agences &amp; Après-vente'!$A$2:$A$1000=$A575)*(('Agences &amp; Après-vente'!$D$2:$D$1000="Agences")+('Agences &amp; Après-vente'!$D$2:$D$1000="Agences et Après-vente"))*'Agences &amp; Après-vente'!$E$2:$E$1000))&gt;0,TEXT(SUMPRODUCT(MAX(('Agences &amp; Après-vente'!$A$2:$A$1000=$A575)*(('Agences &amp; Après-vente'!$D$2:$D$1000="Agences")+('Agences &amp; Après-vente'!$D$2:$D$1000="Agences et Après-vente"))*'Agences &amp; Après-vente'!$E$2:$E$1000)),"yyyy-mm-dd"),"")))))</f>
        <v/>
      </c>
      <c r="H575" s="131" t="str">
        <f aca="false">IF($R575="✓","✓",IF(ISNUMBER($R575),TEXT($R575,"yyyy-mm-dd"),IF($A575="","",IF($D575="Lisbonne","",IF(SUMPRODUCT(('Agences &amp; Après-vente'!$A$2:$A$1000=$A575)*(('Agences &amp; Après-vente'!$D$2:$D$1000="Agences")+('Agences &amp; Après-vente'!$D$2:$D$1000="Agences et Après-vente"))*('Agences &amp; Après-vente'!$I$2:$I$1000="DONE"))&gt;0,"✓",IF(SUMPRODUCT(MAX(('Agences &amp; Après-vente'!$A$2:$A$1000=$A575)*(('Agences &amp; Après-vente'!$D$2:$D$1000="Agences")+('Agences &amp; Après-vente'!$D$2:$D$1000="Agences et Après-vente"))*'Agences &amp; Après-vente'!$E$2:$E$1000))&gt;0,TEXT(SUMPRODUCT(MAX(('Agences &amp; Après-vente'!$A$2:$A$1000=$A575)*(('Agences &amp; Après-vente'!$D$2:$D$1000="Agences")+('Agences &amp; Après-vente'!$D$2:$D$1000="Agences et Après-vente"))*'Agences &amp; Après-vente'!$E$2:$E$1000)),"yyyy-mm-dd"),""))))))</f>
        <v/>
      </c>
      <c r="I575" s="131" t="str">
        <f aca="false">IF($S575="✓","✓",IF(ISNUMBER($S575),TEXT($S575,"yyyy-mm-dd"),IF($A575="","",IF(SUMPRODUCT(('Agences &amp; Après-vente'!$A$2:$A$1000=$A575)*(('Agences &amp; Après-vente'!$D$2:$D$1000="Après-vente")+('Agences &amp; Après-vente'!$D$2:$D$1000="Agences et Après-vente"))*('Agences &amp; Après-vente'!$I$2:$I$1000="DONE"))&gt;0,"✓",IF(SUMPRODUCT(MAX(('Agences &amp; Après-vente'!$A$2:$A$1000=$A575)*(('Agences &amp; Après-vente'!$D$2:$D$1000="Après-vente")+('Agences &amp; Après-vente'!$D$2:$D$1000="Agences et Après-vente"))*'Agences &amp; Après-vente'!$E$2:$E$1000))&gt;0,TEXT(SUMPRODUCT(MAX(('Agences &amp; Après-vente'!$A$2:$A$1000=$A575)*(('Agences &amp; Après-vente'!$D$2:$D$1000="Après-vente")+('Agences &amp; Après-vente'!$D$2:$D$1000="Agences et Après-vente"))*'Agences &amp; Après-vente'!$E$2:$E$1000)),"yyyy-mm-dd"),"")))))</f>
        <v/>
      </c>
      <c r="J575" s="131" t="str">
        <f aca="false">IF($T575="✓","✓",IF(ISNUMBER($T575),TEXT($T575,"yyyy-mm-dd"),IF($A575="","",IF($D575="Lisbonne","",IF(SUMPRODUCT(('Agences &amp; Après-vente'!$A$2:$A$1000=$A575)*(('Agences &amp; Après-vente'!$D$2:$D$1000="Après-vente")+('Agences &amp; Après-vente'!$D$2:$D$1000="Agences et Après-vente"))*('Agences &amp; Après-vente'!$I$2:$I$1000="DONE"))&gt;0,"✓",IF(SUMPRODUCT(MAX(('Agences &amp; Après-vente'!$A$2:$A$1000=$A575)*(('Agences &amp; Après-vente'!$D$2:$D$1000="Après-vente")+('Agences &amp; Après-vente'!$D$2:$D$1000="Agences et Après-vente"))*'Agences &amp; Après-vente'!$E$2:$E$1000))&gt;0,TEXT(SUMPRODUCT(MAX(('Agences &amp; Après-vente'!$A$2:$A$1000=$A575)*(('Agences &amp; Après-vente'!$D$2:$D$1000="Après-vente")+('Agences &amp; Après-vente'!$D$2:$D$1000="Agences et Après-vente"))*'Agences &amp; Après-vente'!$E$2:$E$1000)),"yyyy-mm-dd"),""))))))</f>
        <v/>
      </c>
      <c r="K575" s="131" t="str">
        <f aca="false">IF($U575="✓","✓",IF(ISNUMBER($U575),TEXT($U575,"yyyy-mm-dd"),IF($D575="Lisbonne","",IF($A575="","",IF(SUMPRODUCT((Evermont!$A$2:$A$1000=$A575)*(Evermont!$Q$2:$Q$1000="Terminé"))&gt;0,"✓",IF(SUMPRODUCT(MAX((Evermont!$A$2:$A$1000=$A575)*Evermont!$F$2:$F$1000))&gt;0,TEXT(SUMPRODUCT(MAX((Evermont!$A$2:$A$1000=$A575)*Evermont!$F$2:$F$1000)),"yyyy-mm-dd"),""))))))</f>
        <v/>
      </c>
      <c r="L575" s="131" t="str">
        <f aca="false">IF($A575="","",COUNTIF(E575:K575,"✓"))</f>
        <v/>
      </c>
      <c r="M575" s="131" t="str">
        <f aca="false">IF(B575="","","Active")</f>
        <v/>
      </c>
      <c r="W575" s="120" t="str">
        <f aca="false">IF($A575="","",IF($X575&lt;&gt;"",$X575,IFERROR(INDEX('Formation Initiale'!$B$2:$B$999,MATCH($A575,'Formation Initiale'!$A$2:$A$999,0)),"Général")))</f>
        <v/>
      </c>
    </row>
    <row r="576" customFormat="false" ht="15" hidden="true" customHeight="true" outlineLevel="0" collapsed="false">
      <c r="A576" s="142" t="str">
        <f aca="false">IF(B576="","","TR"&amp;TEXT(ROW()-1,"000"))</f>
        <v/>
      </c>
      <c r="E576" s="130" t="str">
        <f aca="false">IF($O576="✓","✓",IF(ISNUMBER($O576),TEXT($O576,"yyyy-mm-dd"),IF($A576="","",IF(SUMPRODUCT(('Formation Initiale'!$A$2:$A$999=$A576)*('Formation Initiale'!$R$2:$R$999="Terminé"))&gt;0,"✓",IF(SUMPRODUCT(MAX(('Formation Initiale'!$A$2:$A$999=$A576)*'Formation Initiale'!$G$2:$G$999))&gt;0,TEXT(SUMPRODUCT(MAX(('Formation Initiale'!$A$2:$A$999=$A576)*'Formation Initiale'!$G$2:$G$999)),"yyyy-mm-dd"),"")))))</f>
        <v/>
      </c>
      <c r="F576" s="131" t="str">
        <f aca="false">IF($P576="✓","✓",IF(ISNUMBER($P576),TEXT($P576,"yyyy-mm-dd"),IF($A576="","",IF($D576="Lisbonne","",IF(SUMPRODUCT(('Formation Initiale'!$A$2:$A$999=$A576)*('Formation Initiale'!$R$2:$R$999="Terminé"))&gt;0,"✓",IF(SUMPRODUCT(MAX(('Formation Initiale'!$A$2:$A$999=$A576)*'Formation Initiale'!$G$2:$G$999))&gt;0,TEXT(SUMPRODUCT(MAX(('Formation Initiale'!$A$2:$A$999=$A576)*'Formation Initiale'!$G$2:$G$999)),"yyyy-mm-dd"),""))))))</f>
        <v/>
      </c>
      <c r="G576" s="131" t="str">
        <f aca="false">IF($Q576="✓","✓",IF(ISNUMBER($Q576),TEXT($Q576,"yyyy-mm-dd"),IF($A576="","",IF(SUMPRODUCT(('Agences &amp; Après-vente'!$A$2:$A$1000=$A576)*(('Agences &amp; Après-vente'!$D$2:$D$1000="Agences")+('Agences &amp; Après-vente'!$D$2:$D$1000="Agences et Après-vente"))*('Agences &amp; Après-vente'!$I$2:$I$1000="DONE"))&gt;0,"✓",IF(SUMPRODUCT(MAX(('Agences &amp; Après-vente'!$A$2:$A$1000=$A576)*(('Agences &amp; Après-vente'!$D$2:$D$1000="Agences")+('Agences &amp; Après-vente'!$D$2:$D$1000="Agences et Après-vente"))*'Agences &amp; Après-vente'!$E$2:$E$1000))&gt;0,TEXT(SUMPRODUCT(MAX(('Agences &amp; Après-vente'!$A$2:$A$1000=$A576)*(('Agences &amp; Après-vente'!$D$2:$D$1000="Agences")+('Agences &amp; Après-vente'!$D$2:$D$1000="Agences et Après-vente"))*'Agences &amp; Après-vente'!$E$2:$E$1000)),"yyyy-mm-dd"),"")))))</f>
        <v/>
      </c>
      <c r="H576" s="131" t="str">
        <f aca="false">IF($R576="✓","✓",IF(ISNUMBER($R576),TEXT($R576,"yyyy-mm-dd"),IF($A576="","",IF($D576="Lisbonne","",IF(SUMPRODUCT(('Agences &amp; Après-vente'!$A$2:$A$1000=$A576)*(('Agences &amp; Après-vente'!$D$2:$D$1000="Agences")+('Agences &amp; Après-vente'!$D$2:$D$1000="Agences et Après-vente"))*('Agences &amp; Après-vente'!$I$2:$I$1000="DONE"))&gt;0,"✓",IF(SUMPRODUCT(MAX(('Agences &amp; Après-vente'!$A$2:$A$1000=$A576)*(('Agences &amp; Après-vente'!$D$2:$D$1000="Agences")+('Agences &amp; Après-vente'!$D$2:$D$1000="Agences et Après-vente"))*'Agences &amp; Après-vente'!$E$2:$E$1000))&gt;0,TEXT(SUMPRODUCT(MAX(('Agences &amp; Après-vente'!$A$2:$A$1000=$A576)*(('Agences &amp; Après-vente'!$D$2:$D$1000="Agences")+('Agences &amp; Après-vente'!$D$2:$D$1000="Agences et Après-vente"))*'Agences &amp; Après-vente'!$E$2:$E$1000)),"yyyy-mm-dd"),""))))))</f>
        <v/>
      </c>
      <c r="I576" s="131" t="str">
        <f aca="false">IF($S576="✓","✓",IF(ISNUMBER($S576),TEXT($S576,"yyyy-mm-dd"),IF($A576="","",IF(SUMPRODUCT(('Agences &amp; Après-vente'!$A$2:$A$1000=$A576)*(('Agences &amp; Après-vente'!$D$2:$D$1000="Après-vente")+('Agences &amp; Après-vente'!$D$2:$D$1000="Agences et Après-vente"))*('Agences &amp; Après-vente'!$I$2:$I$1000="DONE"))&gt;0,"✓",IF(SUMPRODUCT(MAX(('Agences &amp; Après-vente'!$A$2:$A$1000=$A576)*(('Agences &amp; Après-vente'!$D$2:$D$1000="Après-vente")+('Agences &amp; Après-vente'!$D$2:$D$1000="Agences et Après-vente"))*'Agences &amp; Après-vente'!$E$2:$E$1000))&gt;0,TEXT(SUMPRODUCT(MAX(('Agences &amp; Après-vente'!$A$2:$A$1000=$A576)*(('Agences &amp; Après-vente'!$D$2:$D$1000="Après-vente")+('Agences &amp; Après-vente'!$D$2:$D$1000="Agences et Après-vente"))*'Agences &amp; Après-vente'!$E$2:$E$1000)),"yyyy-mm-dd"),"")))))</f>
        <v/>
      </c>
      <c r="J576" s="131" t="str">
        <f aca="false">IF($T576="✓","✓",IF(ISNUMBER($T576),TEXT($T576,"yyyy-mm-dd"),IF($A576="","",IF($D576="Lisbonne","",IF(SUMPRODUCT(('Agences &amp; Après-vente'!$A$2:$A$1000=$A576)*(('Agences &amp; Après-vente'!$D$2:$D$1000="Après-vente")+('Agences &amp; Après-vente'!$D$2:$D$1000="Agences et Après-vente"))*('Agences &amp; Après-vente'!$I$2:$I$1000="DONE"))&gt;0,"✓",IF(SUMPRODUCT(MAX(('Agences &amp; Après-vente'!$A$2:$A$1000=$A576)*(('Agences &amp; Après-vente'!$D$2:$D$1000="Après-vente")+('Agences &amp; Après-vente'!$D$2:$D$1000="Agences et Après-vente"))*'Agences &amp; Après-vente'!$E$2:$E$1000))&gt;0,TEXT(SUMPRODUCT(MAX(('Agences &amp; Après-vente'!$A$2:$A$1000=$A576)*(('Agences &amp; Après-vente'!$D$2:$D$1000="Après-vente")+('Agences &amp; Après-vente'!$D$2:$D$1000="Agences et Après-vente"))*'Agences &amp; Après-vente'!$E$2:$E$1000)),"yyyy-mm-dd"),""))))))</f>
        <v/>
      </c>
      <c r="K576" s="131" t="str">
        <f aca="false">IF($U576="✓","✓",IF(ISNUMBER($U576),TEXT($U576,"yyyy-mm-dd"),IF($D576="Lisbonne","",IF($A576="","",IF(SUMPRODUCT((Evermont!$A$2:$A$1000=$A576)*(Evermont!$Q$2:$Q$1000="Terminé"))&gt;0,"✓",IF(SUMPRODUCT(MAX((Evermont!$A$2:$A$1000=$A576)*Evermont!$F$2:$F$1000))&gt;0,TEXT(SUMPRODUCT(MAX((Evermont!$A$2:$A$1000=$A576)*Evermont!$F$2:$F$1000)),"yyyy-mm-dd"),""))))))</f>
        <v/>
      </c>
      <c r="L576" s="131" t="str">
        <f aca="false">IF($A576="","",COUNTIF(E576:K576,"✓"))</f>
        <v/>
      </c>
      <c r="M576" s="131" t="str">
        <f aca="false">IF(B576="","","Active")</f>
        <v/>
      </c>
      <c r="W576" s="120" t="str">
        <f aca="false">IF($A576="","",IF($X576&lt;&gt;"",$X576,IFERROR(INDEX('Formation Initiale'!$B$2:$B$999,MATCH($A576,'Formation Initiale'!$A$2:$A$999,0)),"Général")))</f>
        <v/>
      </c>
    </row>
    <row r="577" customFormat="false" ht="15" hidden="true" customHeight="true" outlineLevel="0" collapsed="false">
      <c r="A577" s="142" t="str">
        <f aca="false">IF(B577="","","TR"&amp;TEXT(ROW()-1,"000"))</f>
        <v/>
      </c>
      <c r="E577" s="130" t="str">
        <f aca="false">IF($O577="✓","✓",IF(ISNUMBER($O577),TEXT($O577,"yyyy-mm-dd"),IF($A577="","",IF(SUMPRODUCT(('Formation Initiale'!$A$2:$A$999=$A577)*('Formation Initiale'!$R$2:$R$999="Terminé"))&gt;0,"✓",IF(SUMPRODUCT(MAX(('Formation Initiale'!$A$2:$A$999=$A577)*'Formation Initiale'!$G$2:$G$999))&gt;0,TEXT(SUMPRODUCT(MAX(('Formation Initiale'!$A$2:$A$999=$A577)*'Formation Initiale'!$G$2:$G$999)),"yyyy-mm-dd"),"")))))</f>
        <v/>
      </c>
      <c r="F577" s="131" t="str">
        <f aca="false">IF($P577="✓","✓",IF(ISNUMBER($P577),TEXT($P577,"yyyy-mm-dd"),IF($A577="","",IF($D577="Lisbonne","",IF(SUMPRODUCT(('Formation Initiale'!$A$2:$A$999=$A577)*('Formation Initiale'!$R$2:$R$999="Terminé"))&gt;0,"✓",IF(SUMPRODUCT(MAX(('Formation Initiale'!$A$2:$A$999=$A577)*'Formation Initiale'!$G$2:$G$999))&gt;0,TEXT(SUMPRODUCT(MAX(('Formation Initiale'!$A$2:$A$999=$A577)*'Formation Initiale'!$G$2:$G$999)),"yyyy-mm-dd"),""))))))</f>
        <v/>
      </c>
      <c r="G577" s="131" t="str">
        <f aca="false">IF($Q577="✓","✓",IF(ISNUMBER($Q577),TEXT($Q577,"yyyy-mm-dd"),IF($A577="","",IF(SUMPRODUCT(('Agences &amp; Après-vente'!$A$2:$A$1000=$A577)*(('Agences &amp; Après-vente'!$D$2:$D$1000="Agences")+('Agences &amp; Après-vente'!$D$2:$D$1000="Agences et Après-vente"))*('Agences &amp; Après-vente'!$I$2:$I$1000="DONE"))&gt;0,"✓",IF(SUMPRODUCT(MAX(('Agences &amp; Après-vente'!$A$2:$A$1000=$A577)*(('Agences &amp; Après-vente'!$D$2:$D$1000="Agences")+('Agences &amp; Après-vente'!$D$2:$D$1000="Agences et Après-vente"))*'Agences &amp; Après-vente'!$E$2:$E$1000))&gt;0,TEXT(SUMPRODUCT(MAX(('Agences &amp; Après-vente'!$A$2:$A$1000=$A577)*(('Agences &amp; Après-vente'!$D$2:$D$1000="Agences")+('Agences &amp; Après-vente'!$D$2:$D$1000="Agences et Après-vente"))*'Agences &amp; Après-vente'!$E$2:$E$1000)),"yyyy-mm-dd"),"")))))</f>
        <v/>
      </c>
      <c r="H577" s="131" t="str">
        <f aca="false">IF($R577="✓","✓",IF(ISNUMBER($R577),TEXT($R577,"yyyy-mm-dd"),IF($A577="","",IF($D577="Lisbonne","",IF(SUMPRODUCT(('Agences &amp; Après-vente'!$A$2:$A$1000=$A577)*(('Agences &amp; Après-vente'!$D$2:$D$1000="Agences")+('Agences &amp; Après-vente'!$D$2:$D$1000="Agences et Après-vente"))*('Agences &amp; Après-vente'!$I$2:$I$1000="DONE"))&gt;0,"✓",IF(SUMPRODUCT(MAX(('Agences &amp; Après-vente'!$A$2:$A$1000=$A577)*(('Agences &amp; Après-vente'!$D$2:$D$1000="Agences")+('Agences &amp; Après-vente'!$D$2:$D$1000="Agences et Après-vente"))*'Agences &amp; Après-vente'!$E$2:$E$1000))&gt;0,TEXT(SUMPRODUCT(MAX(('Agences &amp; Après-vente'!$A$2:$A$1000=$A577)*(('Agences &amp; Après-vente'!$D$2:$D$1000="Agences")+('Agences &amp; Après-vente'!$D$2:$D$1000="Agences et Après-vente"))*'Agences &amp; Après-vente'!$E$2:$E$1000)),"yyyy-mm-dd"),""))))))</f>
        <v/>
      </c>
      <c r="I577" s="131" t="str">
        <f aca="false">IF($S577="✓","✓",IF(ISNUMBER($S577),TEXT($S577,"yyyy-mm-dd"),IF($A577="","",IF(SUMPRODUCT(('Agences &amp; Après-vente'!$A$2:$A$1000=$A577)*(('Agences &amp; Après-vente'!$D$2:$D$1000="Après-vente")+('Agences &amp; Après-vente'!$D$2:$D$1000="Agences et Après-vente"))*('Agences &amp; Après-vente'!$I$2:$I$1000="DONE"))&gt;0,"✓",IF(SUMPRODUCT(MAX(('Agences &amp; Après-vente'!$A$2:$A$1000=$A577)*(('Agences &amp; Après-vente'!$D$2:$D$1000="Après-vente")+('Agences &amp; Après-vente'!$D$2:$D$1000="Agences et Après-vente"))*'Agences &amp; Après-vente'!$E$2:$E$1000))&gt;0,TEXT(SUMPRODUCT(MAX(('Agences &amp; Après-vente'!$A$2:$A$1000=$A577)*(('Agences &amp; Après-vente'!$D$2:$D$1000="Après-vente")+('Agences &amp; Après-vente'!$D$2:$D$1000="Agences et Après-vente"))*'Agences &amp; Après-vente'!$E$2:$E$1000)),"yyyy-mm-dd"),"")))))</f>
        <v/>
      </c>
      <c r="J577" s="131" t="str">
        <f aca="false">IF($T577="✓","✓",IF(ISNUMBER($T577),TEXT($T577,"yyyy-mm-dd"),IF($A577="","",IF($D577="Lisbonne","",IF(SUMPRODUCT(('Agences &amp; Après-vente'!$A$2:$A$1000=$A577)*(('Agences &amp; Après-vente'!$D$2:$D$1000="Après-vente")+('Agences &amp; Après-vente'!$D$2:$D$1000="Agences et Après-vente"))*('Agences &amp; Après-vente'!$I$2:$I$1000="DONE"))&gt;0,"✓",IF(SUMPRODUCT(MAX(('Agences &amp; Après-vente'!$A$2:$A$1000=$A577)*(('Agences &amp; Après-vente'!$D$2:$D$1000="Après-vente")+('Agences &amp; Après-vente'!$D$2:$D$1000="Agences et Après-vente"))*'Agences &amp; Après-vente'!$E$2:$E$1000))&gt;0,TEXT(SUMPRODUCT(MAX(('Agences &amp; Après-vente'!$A$2:$A$1000=$A577)*(('Agences &amp; Après-vente'!$D$2:$D$1000="Après-vente")+('Agences &amp; Après-vente'!$D$2:$D$1000="Agences et Après-vente"))*'Agences &amp; Après-vente'!$E$2:$E$1000)),"yyyy-mm-dd"),""))))))</f>
        <v/>
      </c>
      <c r="K577" s="131" t="str">
        <f aca="false">IF($U577="✓","✓",IF(ISNUMBER($U577),TEXT($U577,"yyyy-mm-dd"),IF($D577="Lisbonne","",IF($A577="","",IF(SUMPRODUCT((Evermont!$A$2:$A$1000=$A577)*(Evermont!$Q$2:$Q$1000="Terminé"))&gt;0,"✓",IF(SUMPRODUCT(MAX((Evermont!$A$2:$A$1000=$A577)*Evermont!$F$2:$F$1000))&gt;0,TEXT(SUMPRODUCT(MAX((Evermont!$A$2:$A$1000=$A577)*Evermont!$F$2:$F$1000)),"yyyy-mm-dd"),""))))))</f>
        <v/>
      </c>
      <c r="L577" s="131" t="str">
        <f aca="false">IF($A577="","",COUNTIF(E577:K577,"✓"))</f>
        <v/>
      </c>
      <c r="M577" s="131" t="str">
        <f aca="false">IF(B577="","","Active")</f>
        <v/>
      </c>
      <c r="W577" s="120" t="str">
        <f aca="false">IF($A577="","",IF($X577&lt;&gt;"",$X577,IFERROR(INDEX('Formation Initiale'!$B$2:$B$999,MATCH($A577,'Formation Initiale'!$A$2:$A$999,0)),"Général")))</f>
        <v/>
      </c>
    </row>
    <row r="578" customFormat="false" ht="15" hidden="true" customHeight="true" outlineLevel="0" collapsed="false">
      <c r="A578" s="142" t="str">
        <f aca="false">IF(B578="","","TR"&amp;TEXT(ROW()-1,"000"))</f>
        <v/>
      </c>
      <c r="E578" s="130" t="str">
        <f aca="false">IF($O578="✓","✓",IF(ISNUMBER($O578),TEXT($O578,"yyyy-mm-dd"),IF($A578="","",IF(SUMPRODUCT(('Formation Initiale'!$A$2:$A$999=$A578)*('Formation Initiale'!$R$2:$R$999="Terminé"))&gt;0,"✓",IF(SUMPRODUCT(MAX(('Formation Initiale'!$A$2:$A$999=$A578)*'Formation Initiale'!$G$2:$G$999))&gt;0,TEXT(SUMPRODUCT(MAX(('Formation Initiale'!$A$2:$A$999=$A578)*'Formation Initiale'!$G$2:$G$999)),"yyyy-mm-dd"),"")))))</f>
        <v/>
      </c>
      <c r="F578" s="131" t="str">
        <f aca="false">IF($P578="✓","✓",IF(ISNUMBER($P578),TEXT($P578,"yyyy-mm-dd"),IF($A578="","",IF($D578="Lisbonne","",IF(SUMPRODUCT(('Formation Initiale'!$A$2:$A$999=$A578)*('Formation Initiale'!$R$2:$R$999="Terminé"))&gt;0,"✓",IF(SUMPRODUCT(MAX(('Formation Initiale'!$A$2:$A$999=$A578)*'Formation Initiale'!$G$2:$G$999))&gt;0,TEXT(SUMPRODUCT(MAX(('Formation Initiale'!$A$2:$A$999=$A578)*'Formation Initiale'!$G$2:$G$999)),"yyyy-mm-dd"),""))))))</f>
        <v/>
      </c>
      <c r="G578" s="131" t="str">
        <f aca="false">IF($Q578="✓","✓",IF(ISNUMBER($Q578),TEXT($Q578,"yyyy-mm-dd"),IF($A578="","",IF(SUMPRODUCT(('Agences &amp; Après-vente'!$A$2:$A$1000=$A578)*(('Agences &amp; Après-vente'!$D$2:$D$1000="Agences")+('Agences &amp; Après-vente'!$D$2:$D$1000="Agences et Après-vente"))*('Agences &amp; Après-vente'!$I$2:$I$1000="DONE"))&gt;0,"✓",IF(SUMPRODUCT(MAX(('Agences &amp; Après-vente'!$A$2:$A$1000=$A578)*(('Agences &amp; Après-vente'!$D$2:$D$1000="Agences")+('Agences &amp; Après-vente'!$D$2:$D$1000="Agences et Après-vente"))*'Agences &amp; Après-vente'!$E$2:$E$1000))&gt;0,TEXT(SUMPRODUCT(MAX(('Agences &amp; Après-vente'!$A$2:$A$1000=$A578)*(('Agences &amp; Après-vente'!$D$2:$D$1000="Agences")+('Agences &amp; Après-vente'!$D$2:$D$1000="Agences et Après-vente"))*'Agences &amp; Après-vente'!$E$2:$E$1000)),"yyyy-mm-dd"),"")))))</f>
        <v/>
      </c>
      <c r="H578" s="131" t="str">
        <f aca="false">IF($R578="✓","✓",IF(ISNUMBER($R578),TEXT($R578,"yyyy-mm-dd"),IF($A578="","",IF($D578="Lisbonne","",IF(SUMPRODUCT(('Agences &amp; Après-vente'!$A$2:$A$1000=$A578)*(('Agences &amp; Après-vente'!$D$2:$D$1000="Agences")+('Agences &amp; Après-vente'!$D$2:$D$1000="Agences et Après-vente"))*('Agences &amp; Après-vente'!$I$2:$I$1000="DONE"))&gt;0,"✓",IF(SUMPRODUCT(MAX(('Agences &amp; Après-vente'!$A$2:$A$1000=$A578)*(('Agences &amp; Après-vente'!$D$2:$D$1000="Agences")+('Agences &amp; Après-vente'!$D$2:$D$1000="Agences et Après-vente"))*'Agences &amp; Après-vente'!$E$2:$E$1000))&gt;0,TEXT(SUMPRODUCT(MAX(('Agences &amp; Après-vente'!$A$2:$A$1000=$A578)*(('Agences &amp; Après-vente'!$D$2:$D$1000="Agences")+('Agences &amp; Après-vente'!$D$2:$D$1000="Agences et Après-vente"))*'Agences &amp; Après-vente'!$E$2:$E$1000)),"yyyy-mm-dd"),""))))))</f>
        <v/>
      </c>
      <c r="I578" s="131" t="str">
        <f aca="false">IF($S578="✓","✓",IF(ISNUMBER($S578),TEXT($S578,"yyyy-mm-dd"),IF($A578="","",IF(SUMPRODUCT(('Agences &amp; Après-vente'!$A$2:$A$1000=$A578)*(('Agences &amp; Après-vente'!$D$2:$D$1000="Après-vente")+('Agences &amp; Après-vente'!$D$2:$D$1000="Agences et Après-vente"))*('Agences &amp; Après-vente'!$I$2:$I$1000="DONE"))&gt;0,"✓",IF(SUMPRODUCT(MAX(('Agences &amp; Après-vente'!$A$2:$A$1000=$A578)*(('Agences &amp; Après-vente'!$D$2:$D$1000="Après-vente")+('Agences &amp; Après-vente'!$D$2:$D$1000="Agences et Après-vente"))*'Agences &amp; Après-vente'!$E$2:$E$1000))&gt;0,TEXT(SUMPRODUCT(MAX(('Agences &amp; Après-vente'!$A$2:$A$1000=$A578)*(('Agences &amp; Après-vente'!$D$2:$D$1000="Après-vente")+('Agences &amp; Après-vente'!$D$2:$D$1000="Agences et Après-vente"))*'Agences &amp; Après-vente'!$E$2:$E$1000)),"yyyy-mm-dd"),"")))))</f>
        <v/>
      </c>
      <c r="J578" s="131" t="str">
        <f aca="false">IF($T578="✓","✓",IF(ISNUMBER($T578),TEXT($T578,"yyyy-mm-dd"),IF($A578="","",IF($D578="Lisbonne","",IF(SUMPRODUCT(('Agences &amp; Après-vente'!$A$2:$A$1000=$A578)*(('Agences &amp; Après-vente'!$D$2:$D$1000="Après-vente")+('Agences &amp; Après-vente'!$D$2:$D$1000="Agences et Après-vente"))*('Agences &amp; Après-vente'!$I$2:$I$1000="DONE"))&gt;0,"✓",IF(SUMPRODUCT(MAX(('Agences &amp; Après-vente'!$A$2:$A$1000=$A578)*(('Agences &amp; Après-vente'!$D$2:$D$1000="Après-vente")+('Agences &amp; Après-vente'!$D$2:$D$1000="Agences et Après-vente"))*'Agences &amp; Après-vente'!$E$2:$E$1000))&gt;0,TEXT(SUMPRODUCT(MAX(('Agences &amp; Après-vente'!$A$2:$A$1000=$A578)*(('Agences &amp; Après-vente'!$D$2:$D$1000="Après-vente")+('Agences &amp; Après-vente'!$D$2:$D$1000="Agences et Après-vente"))*'Agences &amp; Après-vente'!$E$2:$E$1000)),"yyyy-mm-dd"),""))))))</f>
        <v/>
      </c>
      <c r="K578" s="131" t="str">
        <f aca="false">IF($U578="✓","✓",IF(ISNUMBER($U578),TEXT($U578,"yyyy-mm-dd"),IF($D578="Lisbonne","",IF($A578="","",IF(SUMPRODUCT((Evermont!$A$2:$A$1000=$A578)*(Evermont!$Q$2:$Q$1000="Terminé"))&gt;0,"✓",IF(SUMPRODUCT(MAX((Evermont!$A$2:$A$1000=$A578)*Evermont!$F$2:$F$1000))&gt;0,TEXT(SUMPRODUCT(MAX((Evermont!$A$2:$A$1000=$A578)*Evermont!$F$2:$F$1000)),"yyyy-mm-dd"),""))))))</f>
        <v/>
      </c>
      <c r="L578" s="131" t="str">
        <f aca="false">IF($A578="","",COUNTIF(E578:K578,"✓"))</f>
        <v/>
      </c>
      <c r="M578" s="131" t="str">
        <f aca="false">IF(B578="","","Active")</f>
        <v/>
      </c>
      <c r="W578" s="120" t="str">
        <f aca="false">IF($A578="","",IF($X578&lt;&gt;"",$X578,IFERROR(INDEX('Formation Initiale'!$B$2:$B$999,MATCH($A578,'Formation Initiale'!$A$2:$A$999,0)),"Général")))</f>
        <v/>
      </c>
    </row>
    <row r="579" customFormat="false" ht="15" hidden="true" customHeight="true" outlineLevel="0" collapsed="false">
      <c r="A579" s="142" t="str">
        <f aca="false">IF(B579="","","TR"&amp;TEXT(ROW()-1,"000"))</f>
        <v/>
      </c>
      <c r="E579" s="130" t="str">
        <f aca="false">IF($O579="✓","✓",IF(ISNUMBER($O579),TEXT($O579,"yyyy-mm-dd"),IF($A579="","",IF(SUMPRODUCT(('Formation Initiale'!$A$2:$A$999=$A579)*('Formation Initiale'!$R$2:$R$999="Terminé"))&gt;0,"✓",IF(SUMPRODUCT(MAX(('Formation Initiale'!$A$2:$A$999=$A579)*'Formation Initiale'!$G$2:$G$999))&gt;0,TEXT(SUMPRODUCT(MAX(('Formation Initiale'!$A$2:$A$999=$A579)*'Formation Initiale'!$G$2:$G$999)),"yyyy-mm-dd"),"")))))</f>
        <v/>
      </c>
      <c r="F579" s="131" t="str">
        <f aca="false">IF($P579="✓","✓",IF(ISNUMBER($P579),TEXT($P579,"yyyy-mm-dd"),IF($A579="","",IF($D579="Lisbonne","",IF(SUMPRODUCT(('Formation Initiale'!$A$2:$A$999=$A579)*('Formation Initiale'!$R$2:$R$999="Terminé"))&gt;0,"✓",IF(SUMPRODUCT(MAX(('Formation Initiale'!$A$2:$A$999=$A579)*'Formation Initiale'!$G$2:$G$999))&gt;0,TEXT(SUMPRODUCT(MAX(('Formation Initiale'!$A$2:$A$999=$A579)*'Formation Initiale'!$G$2:$G$999)),"yyyy-mm-dd"),""))))))</f>
        <v/>
      </c>
      <c r="G579" s="131" t="str">
        <f aca="false">IF($Q579="✓","✓",IF(ISNUMBER($Q579),TEXT($Q579,"yyyy-mm-dd"),IF($A579="","",IF(SUMPRODUCT(('Agences &amp; Après-vente'!$A$2:$A$1000=$A579)*(('Agences &amp; Après-vente'!$D$2:$D$1000="Agences")+('Agences &amp; Après-vente'!$D$2:$D$1000="Agences et Après-vente"))*('Agences &amp; Après-vente'!$I$2:$I$1000="DONE"))&gt;0,"✓",IF(SUMPRODUCT(MAX(('Agences &amp; Après-vente'!$A$2:$A$1000=$A579)*(('Agences &amp; Après-vente'!$D$2:$D$1000="Agences")+('Agences &amp; Après-vente'!$D$2:$D$1000="Agences et Après-vente"))*'Agences &amp; Après-vente'!$E$2:$E$1000))&gt;0,TEXT(SUMPRODUCT(MAX(('Agences &amp; Après-vente'!$A$2:$A$1000=$A579)*(('Agences &amp; Après-vente'!$D$2:$D$1000="Agences")+('Agences &amp; Après-vente'!$D$2:$D$1000="Agences et Après-vente"))*'Agences &amp; Après-vente'!$E$2:$E$1000)),"yyyy-mm-dd"),"")))))</f>
        <v/>
      </c>
      <c r="H579" s="131" t="str">
        <f aca="false">IF($R579="✓","✓",IF(ISNUMBER($R579),TEXT($R579,"yyyy-mm-dd"),IF($A579="","",IF($D579="Lisbonne","",IF(SUMPRODUCT(('Agences &amp; Après-vente'!$A$2:$A$1000=$A579)*(('Agences &amp; Après-vente'!$D$2:$D$1000="Agences")+('Agences &amp; Après-vente'!$D$2:$D$1000="Agences et Après-vente"))*('Agences &amp; Après-vente'!$I$2:$I$1000="DONE"))&gt;0,"✓",IF(SUMPRODUCT(MAX(('Agences &amp; Après-vente'!$A$2:$A$1000=$A579)*(('Agences &amp; Après-vente'!$D$2:$D$1000="Agences")+('Agences &amp; Après-vente'!$D$2:$D$1000="Agences et Après-vente"))*'Agences &amp; Après-vente'!$E$2:$E$1000))&gt;0,TEXT(SUMPRODUCT(MAX(('Agences &amp; Après-vente'!$A$2:$A$1000=$A579)*(('Agences &amp; Après-vente'!$D$2:$D$1000="Agences")+('Agences &amp; Après-vente'!$D$2:$D$1000="Agences et Après-vente"))*'Agences &amp; Après-vente'!$E$2:$E$1000)),"yyyy-mm-dd"),""))))))</f>
        <v/>
      </c>
      <c r="I579" s="131" t="str">
        <f aca="false">IF($S579="✓","✓",IF(ISNUMBER($S579),TEXT($S579,"yyyy-mm-dd"),IF($A579="","",IF(SUMPRODUCT(('Agences &amp; Après-vente'!$A$2:$A$1000=$A579)*(('Agences &amp; Après-vente'!$D$2:$D$1000="Après-vente")+('Agences &amp; Après-vente'!$D$2:$D$1000="Agences et Après-vente"))*('Agences &amp; Après-vente'!$I$2:$I$1000="DONE"))&gt;0,"✓",IF(SUMPRODUCT(MAX(('Agences &amp; Après-vente'!$A$2:$A$1000=$A579)*(('Agences &amp; Après-vente'!$D$2:$D$1000="Après-vente")+('Agences &amp; Après-vente'!$D$2:$D$1000="Agences et Après-vente"))*'Agences &amp; Après-vente'!$E$2:$E$1000))&gt;0,TEXT(SUMPRODUCT(MAX(('Agences &amp; Après-vente'!$A$2:$A$1000=$A579)*(('Agences &amp; Après-vente'!$D$2:$D$1000="Après-vente")+('Agences &amp; Après-vente'!$D$2:$D$1000="Agences et Après-vente"))*'Agences &amp; Après-vente'!$E$2:$E$1000)),"yyyy-mm-dd"),"")))))</f>
        <v/>
      </c>
      <c r="J579" s="131" t="str">
        <f aca="false">IF($T579="✓","✓",IF(ISNUMBER($T579),TEXT($T579,"yyyy-mm-dd"),IF($A579="","",IF($D579="Lisbonne","",IF(SUMPRODUCT(('Agences &amp; Après-vente'!$A$2:$A$1000=$A579)*(('Agences &amp; Après-vente'!$D$2:$D$1000="Après-vente")+('Agences &amp; Après-vente'!$D$2:$D$1000="Agences et Après-vente"))*('Agences &amp; Après-vente'!$I$2:$I$1000="DONE"))&gt;0,"✓",IF(SUMPRODUCT(MAX(('Agences &amp; Après-vente'!$A$2:$A$1000=$A579)*(('Agences &amp; Après-vente'!$D$2:$D$1000="Après-vente")+('Agences &amp; Après-vente'!$D$2:$D$1000="Agences et Après-vente"))*'Agences &amp; Après-vente'!$E$2:$E$1000))&gt;0,TEXT(SUMPRODUCT(MAX(('Agences &amp; Après-vente'!$A$2:$A$1000=$A579)*(('Agences &amp; Après-vente'!$D$2:$D$1000="Après-vente")+('Agences &amp; Après-vente'!$D$2:$D$1000="Agences et Après-vente"))*'Agences &amp; Après-vente'!$E$2:$E$1000)),"yyyy-mm-dd"),""))))))</f>
        <v/>
      </c>
      <c r="K579" s="131" t="str">
        <f aca="false">IF($U579="✓","✓",IF(ISNUMBER($U579),TEXT($U579,"yyyy-mm-dd"),IF($D579="Lisbonne","",IF($A579="","",IF(SUMPRODUCT((Evermont!$A$2:$A$1000=$A579)*(Evermont!$Q$2:$Q$1000="Terminé"))&gt;0,"✓",IF(SUMPRODUCT(MAX((Evermont!$A$2:$A$1000=$A579)*Evermont!$F$2:$F$1000))&gt;0,TEXT(SUMPRODUCT(MAX((Evermont!$A$2:$A$1000=$A579)*Evermont!$F$2:$F$1000)),"yyyy-mm-dd"),""))))))</f>
        <v/>
      </c>
      <c r="L579" s="131" t="str">
        <f aca="false">IF($A579="","",COUNTIF(E579:K579,"✓"))</f>
        <v/>
      </c>
      <c r="M579" s="131" t="str">
        <f aca="false">IF(B579="","","Active")</f>
        <v/>
      </c>
      <c r="W579" s="120" t="str">
        <f aca="false">IF($A579="","",IF($X579&lt;&gt;"",$X579,IFERROR(INDEX('Formation Initiale'!$B$2:$B$999,MATCH($A579,'Formation Initiale'!$A$2:$A$999,0)),"Général")))</f>
        <v/>
      </c>
    </row>
    <row r="580" customFormat="false" ht="15" hidden="true" customHeight="true" outlineLevel="0" collapsed="false">
      <c r="A580" s="142" t="str">
        <f aca="false">IF(B580="","","TR"&amp;TEXT(ROW()-1,"000"))</f>
        <v/>
      </c>
      <c r="E580" s="130" t="str">
        <f aca="false">IF($O580="✓","✓",IF(ISNUMBER($O580),TEXT($O580,"yyyy-mm-dd"),IF($A580="","",IF(SUMPRODUCT(('Formation Initiale'!$A$2:$A$999=$A580)*('Formation Initiale'!$R$2:$R$999="Terminé"))&gt;0,"✓",IF(SUMPRODUCT(MAX(('Formation Initiale'!$A$2:$A$999=$A580)*'Formation Initiale'!$G$2:$G$999))&gt;0,TEXT(SUMPRODUCT(MAX(('Formation Initiale'!$A$2:$A$999=$A580)*'Formation Initiale'!$G$2:$G$999)),"yyyy-mm-dd"),"")))))</f>
        <v/>
      </c>
      <c r="F580" s="131" t="str">
        <f aca="false">IF($P580="✓","✓",IF(ISNUMBER($P580),TEXT($P580,"yyyy-mm-dd"),IF($A580="","",IF($D580="Lisbonne","",IF(SUMPRODUCT(('Formation Initiale'!$A$2:$A$999=$A580)*('Formation Initiale'!$R$2:$R$999="Terminé"))&gt;0,"✓",IF(SUMPRODUCT(MAX(('Formation Initiale'!$A$2:$A$999=$A580)*'Formation Initiale'!$G$2:$G$999))&gt;0,TEXT(SUMPRODUCT(MAX(('Formation Initiale'!$A$2:$A$999=$A580)*'Formation Initiale'!$G$2:$G$999)),"yyyy-mm-dd"),""))))))</f>
        <v/>
      </c>
      <c r="G580" s="131" t="str">
        <f aca="false">IF($Q580="✓","✓",IF(ISNUMBER($Q580),TEXT($Q580,"yyyy-mm-dd"),IF($A580="","",IF(SUMPRODUCT(('Agences &amp; Après-vente'!$A$2:$A$1000=$A580)*(('Agences &amp; Après-vente'!$D$2:$D$1000="Agences")+('Agences &amp; Après-vente'!$D$2:$D$1000="Agences et Après-vente"))*('Agences &amp; Après-vente'!$I$2:$I$1000="DONE"))&gt;0,"✓",IF(SUMPRODUCT(MAX(('Agences &amp; Après-vente'!$A$2:$A$1000=$A580)*(('Agences &amp; Après-vente'!$D$2:$D$1000="Agences")+('Agences &amp; Après-vente'!$D$2:$D$1000="Agences et Après-vente"))*'Agences &amp; Après-vente'!$E$2:$E$1000))&gt;0,TEXT(SUMPRODUCT(MAX(('Agences &amp; Après-vente'!$A$2:$A$1000=$A580)*(('Agences &amp; Après-vente'!$D$2:$D$1000="Agences")+('Agences &amp; Après-vente'!$D$2:$D$1000="Agences et Après-vente"))*'Agences &amp; Après-vente'!$E$2:$E$1000)),"yyyy-mm-dd"),"")))))</f>
        <v/>
      </c>
      <c r="H580" s="131" t="str">
        <f aca="false">IF($R580="✓","✓",IF(ISNUMBER($R580),TEXT($R580,"yyyy-mm-dd"),IF($A580="","",IF($D580="Lisbonne","",IF(SUMPRODUCT(('Agences &amp; Après-vente'!$A$2:$A$1000=$A580)*(('Agences &amp; Après-vente'!$D$2:$D$1000="Agences")+('Agences &amp; Après-vente'!$D$2:$D$1000="Agences et Après-vente"))*('Agences &amp; Après-vente'!$I$2:$I$1000="DONE"))&gt;0,"✓",IF(SUMPRODUCT(MAX(('Agences &amp; Après-vente'!$A$2:$A$1000=$A580)*(('Agences &amp; Après-vente'!$D$2:$D$1000="Agences")+('Agences &amp; Après-vente'!$D$2:$D$1000="Agences et Après-vente"))*'Agences &amp; Après-vente'!$E$2:$E$1000))&gt;0,TEXT(SUMPRODUCT(MAX(('Agences &amp; Après-vente'!$A$2:$A$1000=$A580)*(('Agences &amp; Après-vente'!$D$2:$D$1000="Agences")+('Agences &amp; Après-vente'!$D$2:$D$1000="Agences et Après-vente"))*'Agences &amp; Après-vente'!$E$2:$E$1000)),"yyyy-mm-dd"),""))))))</f>
        <v/>
      </c>
      <c r="I580" s="131" t="str">
        <f aca="false">IF($S580="✓","✓",IF(ISNUMBER($S580),TEXT($S580,"yyyy-mm-dd"),IF($A580="","",IF(SUMPRODUCT(('Agences &amp; Après-vente'!$A$2:$A$1000=$A580)*(('Agences &amp; Après-vente'!$D$2:$D$1000="Après-vente")+('Agences &amp; Après-vente'!$D$2:$D$1000="Agences et Après-vente"))*('Agences &amp; Après-vente'!$I$2:$I$1000="DONE"))&gt;0,"✓",IF(SUMPRODUCT(MAX(('Agences &amp; Après-vente'!$A$2:$A$1000=$A580)*(('Agences &amp; Après-vente'!$D$2:$D$1000="Après-vente")+('Agences &amp; Après-vente'!$D$2:$D$1000="Agences et Après-vente"))*'Agences &amp; Après-vente'!$E$2:$E$1000))&gt;0,TEXT(SUMPRODUCT(MAX(('Agences &amp; Après-vente'!$A$2:$A$1000=$A580)*(('Agences &amp; Après-vente'!$D$2:$D$1000="Après-vente")+('Agences &amp; Après-vente'!$D$2:$D$1000="Agences et Après-vente"))*'Agences &amp; Après-vente'!$E$2:$E$1000)),"yyyy-mm-dd"),"")))))</f>
        <v/>
      </c>
      <c r="J580" s="131" t="str">
        <f aca="false">IF($T580="✓","✓",IF(ISNUMBER($T580),TEXT($T580,"yyyy-mm-dd"),IF($A580="","",IF($D580="Lisbonne","",IF(SUMPRODUCT(('Agences &amp; Après-vente'!$A$2:$A$1000=$A580)*(('Agences &amp; Après-vente'!$D$2:$D$1000="Après-vente")+('Agences &amp; Après-vente'!$D$2:$D$1000="Agences et Après-vente"))*('Agences &amp; Après-vente'!$I$2:$I$1000="DONE"))&gt;0,"✓",IF(SUMPRODUCT(MAX(('Agences &amp; Après-vente'!$A$2:$A$1000=$A580)*(('Agences &amp; Après-vente'!$D$2:$D$1000="Après-vente")+('Agences &amp; Après-vente'!$D$2:$D$1000="Agences et Après-vente"))*'Agences &amp; Après-vente'!$E$2:$E$1000))&gt;0,TEXT(SUMPRODUCT(MAX(('Agences &amp; Après-vente'!$A$2:$A$1000=$A580)*(('Agences &amp; Après-vente'!$D$2:$D$1000="Après-vente")+('Agences &amp; Après-vente'!$D$2:$D$1000="Agences et Après-vente"))*'Agences &amp; Après-vente'!$E$2:$E$1000)),"yyyy-mm-dd"),""))))))</f>
        <v/>
      </c>
      <c r="K580" s="131" t="str">
        <f aca="false">IF($U580="✓","✓",IF(ISNUMBER($U580),TEXT($U580,"yyyy-mm-dd"),IF($D580="Lisbonne","",IF($A580="","",IF(SUMPRODUCT((Evermont!$A$2:$A$1000=$A580)*(Evermont!$Q$2:$Q$1000="Terminé"))&gt;0,"✓",IF(SUMPRODUCT(MAX((Evermont!$A$2:$A$1000=$A580)*Evermont!$F$2:$F$1000))&gt;0,TEXT(SUMPRODUCT(MAX((Evermont!$A$2:$A$1000=$A580)*Evermont!$F$2:$F$1000)),"yyyy-mm-dd"),""))))))</f>
        <v/>
      </c>
      <c r="L580" s="131" t="str">
        <f aca="false">IF($A580="","",COUNTIF(E580:K580,"✓"))</f>
        <v/>
      </c>
      <c r="M580" s="131" t="str">
        <f aca="false">IF(B580="","","Active")</f>
        <v/>
      </c>
      <c r="W580" s="120" t="str">
        <f aca="false">IF($A580="","",IF($X580&lt;&gt;"",$X580,IFERROR(INDEX('Formation Initiale'!$B$2:$B$999,MATCH($A580,'Formation Initiale'!$A$2:$A$999,0)),"Général")))</f>
        <v/>
      </c>
    </row>
    <row r="581" customFormat="false" ht="15" hidden="true" customHeight="true" outlineLevel="0" collapsed="false">
      <c r="A581" s="142" t="str">
        <f aca="false">IF(B581="","","TR"&amp;TEXT(ROW()-1,"000"))</f>
        <v/>
      </c>
      <c r="E581" s="130" t="str">
        <f aca="false">IF($O581="✓","✓",IF(ISNUMBER($O581),TEXT($O581,"yyyy-mm-dd"),IF($A581="","",IF(SUMPRODUCT(('Formation Initiale'!$A$2:$A$999=$A581)*('Formation Initiale'!$R$2:$R$999="Terminé"))&gt;0,"✓",IF(SUMPRODUCT(MAX(('Formation Initiale'!$A$2:$A$999=$A581)*'Formation Initiale'!$G$2:$G$999))&gt;0,TEXT(SUMPRODUCT(MAX(('Formation Initiale'!$A$2:$A$999=$A581)*'Formation Initiale'!$G$2:$G$999)),"yyyy-mm-dd"),"")))))</f>
        <v/>
      </c>
      <c r="F581" s="131" t="str">
        <f aca="false">IF($P581="✓","✓",IF(ISNUMBER($P581),TEXT($P581,"yyyy-mm-dd"),IF($A581="","",IF($D581="Lisbonne","",IF(SUMPRODUCT(('Formation Initiale'!$A$2:$A$999=$A581)*('Formation Initiale'!$R$2:$R$999="Terminé"))&gt;0,"✓",IF(SUMPRODUCT(MAX(('Formation Initiale'!$A$2:$A$999=$A581)*'Formation Initiale'!$G$2:$G$999))&gt;0,TEXT(SUMPRODUCT(MAX(('Formation Initiale'!$A$2:$A$999=$A581)*'Formation Initiale'!$G$2:$G$999)),"yyyy-mm-dd"),""))))))</f>
        <v/>
      </c>
      <c r="G581" s="131" t="str">
        <f aca="false">IF($Q581="✓","✓",IF(ISNUMBER($Q581),TEXT($Q581,"yyyy-mm-dd"),IF($A581="","",IF(SUMPRODUCT(('Agences &amp; Après-vente'!$A$2:$A$1000=$A581)*(('Agences &amp; Après-vente'!$D$2:$D$1000="Agences")+('Agences &amp; Après-vente'!$D$2:$D$1000="Agences et Après-vente"))*('Agences &amp; Après-vente'!$I$2:$I$1000="DONE"))&gt;0,"✓",IF(SUMPRODUCT(MAX(('Agences &amp; Après-vente'!$A$2:$A$1000=$A581)*(('Agences &amp; Après-vente'!$D$2:$D$1000="Agences")+('Agences &amp; Après-vente'!$D$2:$D$1000="Agences et Après-vente"))*'Agences &amp; Après-vente'!$E$2:$E$1000))&gt;0,TEXT(SUMPRODUCT(MAX(('Agences &amp; Après-vente'!$A$2:$A$1000=$A581)*(('Agences &amp; Après-vente'!$D$2:$D$1000="Agences")+('Agences &amp; Après-vente'!$D$2:$D$1000="Agences et Après-vente"))*'Agences &amp; Après-vente'!$E$2:$E$1000)),"yyyy-mm-dd"),"")))))</f>
        <v/>
      </c>
      <c r="H581" s="131" t="str">
        <f aca="false">IF($R581="✓","✓",IF(ISNUMBER($R581),TEXT($R581,"yyyy-mm-dd"),IF($A581="","",IF($D581="Lisbonne","",IF(SUMPRODUCT(('Agences &amp; Après-vente'!$A$2:$A$1000=$A581)*(('Agences &amp; Après-vente'!$D$2:$D$1000="Agences")+('Agences &amp; Après-vente'!$D$2:$D$1000="Agences et Après-vente"))*('Agences &amp; Après-vente'!$I$2:$I$1000="DONE"))&gt;0,"✓",IF(SUMPRODUCT(MAX(('Agences &amp; Après-vente'!$A$2:$A$1000=$A581)*(('Agences &amp; Après-vente'!$D$2:$D$1000="Agences")+('Agences &amp; Après-vente'!$D$2:$D$1000="Agences et Après-vente"))*'Agences &amp; Après-vente'!$E$2:$E$1000))&gt;0,TEXT(SUMPRODUCT(MAX(('Agences &amp; Après-vente'!$A$2:$A$1000=$A581)*(('Agences &amp; Après-vente'!$D$2:$D$1000="Agences")+('Agences &amp; Après-vente'!$D$2:$D$1000="Agences et Après-vente"))*'Agences &amp; Après-vente'!$E$2:$E$1000)),"yyyy-mm-dd"),""))))))</f>
        <v/>
      </c>
      <c r="I581" s="131" t="str">
        <f aca="false">IF($S581="✓","✓",IF(ISNUMBER($S581),TEXT($S581,"yyyy-mm-dd"),IF($A581="","",IF(SUMPRODUCT(('Agences &amp; Après-vente'!$A$2:$A$1000=$A581)*(('Agences &amp; Après-vente'!$D$2:$D$1000="Après-vente")+('Agences &amp; Après-vente'!$D$2:$D$1000="Agences et Après-vente"))*('Agences &amp; Après-vente'!$I$2:$I$1000="DONE"))&gt;0,"✓",IF(SUMPRODUCT(MAX(('Agences &amp; Après-vente'!$A$2:$A$1000=$A581)*(('Agences &amp; Après-vente'!$D$2:$D$1000="Après-vente")+('Agences &amp; Après-vente'!$D$2:$D$1000="Agences et Après-vente"))*'Agences &amp; Après-vente'!$E$2:$E$1000))&gt;0,TEXT(SUMPRODUCT(MAX(('Agences &amp; Après-vente'!$A$2:$A$1000=$A581)*(('Agences &amp; Après-vente'!$D$2:$D$1000="Après-vente")+('Agences &amp; Après-vente'!$D$2:$D$1000="Agences et Après-vente"))*'Agences &amp; Après-vente'!$E$2:$E$1000)),"yyyy-mm-dd"),"")))))</f>
        <v/>
      </c>
      <c r="J581" s="131" t="str">
        <f aca="false">IF($T581="✓","✓",IF(ISNUMBER($T581),TEXT($T581,"yyyy-mm-dd"),IF($A581="","",IF($D581="Lisbonne","",IF(SUMPRODUCT(('Agences &amp; Après-vente'!$A$2:$A$1000=$A581)*(('Agences &amp; Après-vente'!$D$2:$D$1000="Après-vente")+('Agences &amp; Après-vente'!$D$2:$D$1000="Agences et Après-vente"))*('Agences &amp; Après-vente'!$I$2:$I$1000="DONE"))&gt;0,"✓",IF(SUMPRODUCT(MAX(('Agences &amp; Après-vente'!$A$2:$A$1000=$A581)*(('Agences &amp; Après-vente'!$D$2:$D$1000="Après-vente")+('Agences &amp; Après-vente'!$D$2:$D$1000="Agences et Après-vente"))*'Agences &amp; Après-vente'!$E$2:$E$1000))&gt;0,TEXT(SUMPRODUCT(MAX(('Agences &amp; Après-vente'!$A$2:$A$1000=$A581)*(('Agences &amp; Après-vente'!$D$2:$D$1000="Après-vente")+('Agences &amp; Après-vente'!$D$2:$D$1000="Agences et Après-vente"))*'Agences &amp; Après-vente'!$E$2:$E$1000)),"yyyy-mm-dd"),""))))))</f>
        <v/>
      </c>
      <c r="K581" s="131" t="str">
        <f aca="false">IF($U581="✓","✓",IF(ISNUMBER($U581),TEXT($U581,"yyyy-mm-dd"),IF($D581="Lisbonne","",IF($A581="","",IF(SUMPRODUCT((Evermont!$A$2:$A$1000=$A581)*(Evermont!$Q$2:$Q$1000="Terminé"))&gt;0,"✓",IF(SUMPRODUCT(MAX((Evermont!$A$2:$A$1000=$A581)*Evermont!$F$2:$F$1000))&gt;0,TEXT(SUMPRODUCT(MAX((Evermont!$A$2:$A$1000=$A581)*Evermont!$F$2:$F$1000)),"yyyy-mm-dd"),""))))))</f>
        <v/>
      </c>
      <c r="L581" s="131" t="str">
        <f aca="false">IF($A581="","",COUNTIF(E581:K581,"✓"))</f>
        <v/>
      </c>
      <c r="M581" s="131" t="str">
        <f aca="false">IF(B581="","","Active")</f>
        <v/>
      </c>
      <c r="W581" s="120" t="str">
        <f aca="false">IF($A581="","",IF($X581&lt;&gt;"",$X581,IFERROR(INDEX('Formation Initiale'!$B$2:$B$999,MATCH($A581,'Formation Initiale'!$A$2:$A$999,0)),"Général")))</f>
        <v/>
      </c>
    </row>
    <row r="582" customFormat="false" ht="15" hidden="true" customHeight="true" outlineLevel="0" collapsed="false">
      <c r="A582" s="142" t="str">
        <f aca="false">IF(B582="","","TR"&amp;TEXT(ROW()-1,"000"))</f>
        <v/>
      </c>
      <c r="E582" s="130" t="str">
        <f aca="false">IF($O582="✓","✓",IF(ISNUMBER($O582),TEXT($O582,"yyyy-mm-dd"),IF($A582="","",IF(SUMPRODUCT(('Formation Initiale'!$A$2:$A$999=$A582)*('Formation Initiale'!$R$2:$R$999="Terminé"))&gt;0,"✓",IF(SUMPRODUCT(MAX(('Formation Initiale'!$A$2:$A$999=$A582)*'Formation Initiale'!$G$2:$G$999))&gt;0,TEXT(SUMPRODUCT(MAX(('Formation Initiale'!$A$2:$A$999=$A582)*'Formation Initiale'!$G$2:$G$999)),"yyyy-mm-dd"),"")))))</f>
        <v/>
      </c>
      <c r="F582" s="131" t="str">
        <f aca="false">IF($P582="✓","✓",IF(ISNUMBER($P582),TEXT($P582,"yyyy-mm-dd"),IF($A582="","",IF($D582="Lisbonne","",IF(SUMPRODUCT(('Formation Initiale'!$A$2:$A$999=$A582)*('Formation Initiale'!$R$2:$R$999="Terminé"))&gt;0,"✓",IF(SUMPRODUCT(MAX(('Formation Initiale'!$A$2:$A$999=$A582)*'Formation Initiale'!$G$2:$G$999))&gt;0,TEXT(SUMPRODUCT(MAX(('Formation Initiale'!$A$2:$A$999=$A582)*'Formation Initiale'!$G$2:$G$999)),"yyyy-mm-dd"),""))))))</f>
        <v/>
      </c>
      <c r="G582" s="131" t="str">
        <f aca="false">IF($Q582="✓","✓",IF(ISNUMBER($Q582),TEXT($Q582,"yyyy-mm-dd"),IF($A582="","",IF(SUMPRODUCT(('Agences &amp; Après-vente'!$A$2:$A$1000=$A582)*(('Agences &amp; Après-vente'!$D$2:$D$1000="Agences")+('Agences &amp; Après-vente'!$D$2:$D$1000="Agences et Après-vente"))*('Agences &amp; Après-vente'!$I$2:$I$1000="DONE"))&gt;0,"✓",IF(SUMPRODUCT(MAX(('Agences &amp; Après-vente'!$A$2:$A$1000=$A582)*(('Agences &amp; Après-vente'!$D$2:$D$1000="Agences")+('Agences &amp; Après-vente'!$D$2:$D$1000="Agences et Après-vente"))*'Agences &amp; Après-vente'!$E$2:$E$1000))&gt;0,TEXT(SUMPRODUCT(MAX(('Agences &amp; Après-vente'!$A$2:$A$1000=$A582)*(('Agences &amp; Après-vente'!$D$2:$D$1000="Agences")+('Agences &amp; Après-vente'!$D$2:$D$1000="Agences et Après-vente"))*'Agences &amp; Après-vente'!$E$2:$E$1000)),"yyyy-mm-dd"),"")))))</f>
        <v/>
      </c>
      <c r="H582" s="131" t="str">
        <f aca="false">IF($R582="✓","✓",IF(ISNUMBER($R582),TEXT($R582,"yyyy-mm-dd"),IF($A582="","",IF($D582="Lisbonne","",IF(SUMPRODUCT(('Agences &amp; Après-vente'!$A$2:$A$1000=$A582)*(('Agences &amp; Après-vente'!$D$2:$D$1000="Agences")+('Agences &amp; Après-vente'!$D$2:$D$1000="Agences et Après-vente"))*('Agences &amp; Après-vente'!$I$2:$I$1000="DONE"))&gt;0,"✓",IF(SUMPRODUCT(MAX(('Agences &amp; Après-vente'!$A$2:$A$1000=$A582)*(('Agences &amp; Après-vente'!$D$2:$D$1000="Agences")+('Agences &amp; Après-vente'!$D$2:$D$1000="Agences et Après-vente"))*'Agences &amp; Après-vente'!$E$2:$E$1000))&gt;0,TEXT(SUMPRODUCT(MAX(('Agences &amp; Après-vente'!$A$2:$A$1000=$A582)*(('Agences &amp; Après-vente'!$D$2:$D$1000="Agences")+('Agences &amp; Après-vente'!$D$2:$D$1000="Agences et Après-vente"))*'Agences &amp; Après-vente'!$E$2:$E$1000)),"yyyy-mm-dd"),""))))))</f>
        <v/>
      </c>
      <c r="I582" s="131" t="str">
        <f aca="false">IF($S582="✓","✓",IF(ISNUMBER($S582),TEXT($S582,"yyyy-mm-dd"),IF($A582="","",IF(SUMPRODUCT(('Agences &amp; Après-vente'!$A$2:$A$1000=$A582)*(('Agences &amp; Après-vente'!$D$2:$D$1000="Après-vente")+('Agences &amp; Après-vente'!$D$2:$D$1000="Agences et Après-vente"))*('Agences &amp; Après-vente'!$I$2:$I$1000="DONE"))&gt;0,"✓",IF(SUMPRODUCT(MAX(('Agences &amp; Après-vente'!$A$2:$A$1000=$A582)*(('Agences &amp; Après-vente'!$D$2:$D$1000="Après-vente")+('Agences &amp; Après-vente'!$D$2:$D$1000="Agences et Après-vente"))*'Agences &amp; Après-vente'!$E$2:$E$1000))&gt;0,TEXT(SUMPRODUCT(MAX(('Agences &amp; Après-vente'!$A$2:$A$1000=$A582)*(('Agences &amp; Après-vente'!$D$2:$D$1000="Après-vente")+('Agences &amp; Après-vente'!$D$2:$D$1000="Agences et Après-vente"))*'Agences &amp; Après-vente'!$E$2:$E$1000)),"yyyy-mm-dd"),"")))))</f>
        <v/>
      </c>
      <c r="J582" s="131" t="str">
        <f aca="false">IF($T582="✓","✓",IF(ISNUMBER($T582),TEXT($T582,"yyyy-mm-dd"),IF($A582="","",IF($D582="Lisbonne","",IF(SUMPRODUCT(('Agences &amp; Après-vente'!$A$2:$A$1000=$A582)*(('Agences &amp; Après-vente'!$D$2:$D$1000="Après-vente")+('Agences &amp; Après-vente'!$D$2:$D$1000="Agences et Après-vente"))*('Agences &amp; Après-vente'!$I$2:$I$1000="DONE"))&gt;0,"✓",IF(SUMPRODUCT(MAX(('Agences &amp; Après-vente'!$A$2:$A$1000=$A582)*(('Agences &amp; Après-vente'!$D$2:$D$1000="Après-vente")+('Agences &amp; Après-vente'!$D$2:$D$1000="Agences et Après-vente"))*'Agences &amp; Après-vente'!$E$2:$E$1000))&gt;0,TEXT(SUMPRODUCT(MAX(('Agences &amp; Après-vente'!$A$2:$A$1000=$A582)*(('Agences &amp; Après-vente'!$D$2:$D$1000="Après-vente")+('Agences &amp; Après-vente'!$D$2:$D$1000="Agences et Après-vente"))*'Agences &amp; Après-vente'!$E$2:$E$1000)),"yyyy-mm-dd"),""))))))</f>
        <v/>
      </c>
      <c r="K582" s="131" t="str">
        <f aca="false">IF($U582="✓","✓",IF(ISNUMBER($U582),TEXT($U582,"yyyy-mm-dd"),IF($D582="Lisbonne","",IF($A582="","",IF(SUMPRODUCT((Evermont!$A$2:$A$1000=$A582)*(Evermont!$Q$2:$Q$1000="Terminé"))&gt;0,"✓",IF(SUMPRODUCT(MAX((Evermont!$A$2:$A$1000=$A582)*Evermont!$F$2:$F$1000))&gt;0,TEXT(SUMPRODUCT(MAX((Evermont!$A$2:$A$1000=$A582)*Evermont!$F$2:$F$1000)),"yyyy-mm-dd"),""))))))</f>
        <v/>
      </c>
      <c r="L582" s="131" t="str">
        <f aca="false">IF($A582="","",COUNTIF(E582:K582,"✓"))</f>
        <v/>
      </c>
      <c r="M582" s="131" t="str">
        <f aca="false">IF(B582="","","Active")</f>
        <v/>
      </c>
      <c r="W582" s="120" t="str">
        <f aca="false">IF($A582="","",IF($X582&lt;&gt;"",$X582,IFERROR(INDEX('Formation Initiale'!$B$2:$B$999,MATCH($A582,'Formation Initiale'!$A$2:$A$999,0)),"Général")))</f>
        <v/>
      </c>
    </row>
    <row r="583" customFormat="false" ht="15" hidden="true" customHeight="true" outlineLevel="0" collapsed="false">
      <c r="A583" s="142" t="str">
        <f aca="false">IF(B583="","","TR"&amp;TEXT(ROW()-1,"000"))</f>
        <v/>
      </c>
      <c r="E583" s="130" t="str">
        <f aca="false">IF($O583="✓","✓",IF(ISNUMBER($O583),TEXT($O583,"yyyy-mm-dd"),IF($A583="","",IF(SUMPRODUCT(('Formation Initiale'!$A$2:$A$999=$A583)*('Formation Initiale'!$R$2:$R$999="Terminé"))&gt;0,"✓",IF(SUMPRODUCT(MAX(('Formation Initiale'!$A$2:$A$999=$A583)*'Formation Initiale'!$G$2:$G$999))&gt;0,TEXT(SUMPRODUCT(MAX(('Formation Initiale'!$A$2:$A$999=$A583)*'Formation Initiale'!$G$2:$G$999)),"yyyy-mm-dd"),"")))))</f>
        <v/>
      </c>
      <c r="F583" s="131" t="str">
        <f aca="false">IF($P583="✓","✓",IF(ISNUMBER($P583),TEXT($P583,"yyyy-mm-dd"),IF($A583="","",IF($D583="Lisbonne","",IF(SUMPRODUCT(('Formation Initiale'!$A$2:$A$999=$A583)*('Formation Initiale'!$R$2:$R$999="Terminé"))&gt;0,"✓",IF(SUMPRODUCT(MAX(('Formation Initiale'!$A$2:$A$999=$A583)*'Formation Initiale'!$G$2:$G$999))&gt;0,TEXT(SUMPRODUCT(MAX(('Formation Initiale'!$A$2:$A$999=$A583)*'Formation Initiale'!$G$2:$G$999)),"yyyy-mm-dd"),""))))))</f>
        <v/>
      </c>
      <c r="G583" s="131" t="str">
        <f aca="false">IF($Q583="✓","✓",IF(ISNUMBER($Q583),TEXT($Q583,"yyyy-mm-dd"),IF($A583="","",IF(SUMPRODUCT(('Agences &amp; Après-vente'!$A$2:$A$1000=$A583)*(('Agences &amp; Après-vente'!$D$2:$D$1000="Agences")+('Agences &amp; Après-vente'!$D$2:$D$1000="Agences et Après-vente"))*('Agences &amp; Après-vente'!$I$2:$I$1000="DONE"))&gt;0,"✓",IF(SUMPRODUCT(MAX(('Agences &amp; Après-vente'!$A$2:$A$1000=$A583)*(('Agences &amp; Après-vente'!$D$2:$D$1000="Agences")+('Agences &amp; Après-vente'!$D$2:$D$1000="Agences et Après-vente"))*'Agences &amp; Après-vente'!$E$2:$E$1000))&gt;0,TEXT(SUMPRODUCT(MAX(('Agences &amp; Après-vente'!$A$2:$A$1000=$A583)*(('Agences &amp; Après-vente'!$D$2:$D$1000="Agences")+('Agences &amp; Après-vente'!$D$2:$D$1000="Agences et Après-vente"))*'Agences &amp; Après-vente'!$E$2:$E$1000)),"yyyy-mm-dd"),"")))))</f>
        <v/>
      </c>
      <c r="H583" s="131" t="str">
        <f aca="false">IF($R583="✓","✓",IF(ISNUMBER($R583),TEXT($R583,"yyyy-mm-dd"),IF($A583="","",IF($D583="Lisbonne","",IF(SUMPRODUCT(('Agences &amp; Après-vente'!$A$2:$A$1000=$A583)*(('Agences &amp; Après-vente'!$D$2:$D$1000="Agences")+('Agences &amp; Après-vente'!$D$2:$D$1000="Agences et Après-vente"))*('Agences &amp; Après-vente'!$I$2:$I$1000="DONE"))&gt;0,"✓",IF(SUMPRODUCT(MAX(('Agences &amp; Après-vente'!$A$2:$A$1000=$A583)*(('Agences &amp; Après-vente'!$D$2:$D$1000="Agences")+('Agences &amp; Après-vente'!$D$2:$D$1000="Agences et Après-vente"))*'Agences &amp; Après-vente'!$E$2:$E$1000))&gt;0,TEXT(SUMPRODUCT(MAX(('Agences &amp; Après-vente'!$A$2:$A$1000=$A583)*(('Agences &amp; Après-vente'!$D$2:$D$1000="Agences")+('Agences &amp; Après-vente'!$D$2:$D$1000="Agences et Après-vente"))*'Agences &amp; Après-vente'!$E$2:$E$1000)),"yyyy-mm-dd"),""))))))</f>
        <v/>
      </c>
      <c r="I583" s="131" t="str">
        <f aca="false">IF($S583="✓","✓",IF(ISNUMBER($S583),TEXT($S583,"yyyy-mm-dd"),IF($A583="","",IF(SUMPRODUCT(('Agences &amp; Après-vente'!$A$2:$A$1000=$A583)*(('Agences &amp; Après-vente'!$D$2:$D$1000="Après-vente")+('Agences &amp; Après-vente'!$D$2:$D$1000="Agences et Après-vente"))*('Agences &amp; Après-vente'!$I$2:$I$1000="DONE"))&gt;0,"✓",IF(SUMPRODUCT(MAX(('Agences &amp; Après-vente'!$A$2:$A$1000=$A583)*(('Agences &amp; Après-vente'!$D$2:$D$1000="Après-vente")+('Agences &amp; Après-vente'!$D$2:$D$1000="Agences et Après-vente"))*'Agences &amp; Après-vente'!$E$2:$E$1000))&gt;0,TEXT(SUMPRODUCT(MAX(('Agences &amp; Après-vente'!$A$2:$A$1000=$A583)*(('Agences &amp; Après-vente'!$D$2:$D$1000="Après-vente")+('Agences &amp; Après-vente'!$D$2:$D$1000="Agences et Après-vente"))*'Agences &amp; Après-vente'!$E$2:$E$1000)),"yyyy-mm-dd"),"")))))</f>
        <v/>
      </c>
      <c r="J583" s="131" t="str">
        <f aca="false">IF($T583="✓","✓",IF(ISNUMBER($T583),TEXT($T583,"yyyy-mm-dd"),IF($A583="","",IF($D583="Lisbonne","",IF(SUMPRODUCT(('Agences &amp; Après-vente'!$A$2:$A$1000=$A583)*(('Agences &amp; Après-vente'!$D$2:$D$1000="Après-vente")+('Agences &amp; Après-vente'!$D$2:$D$1000="Agences et Après-vente"))*('Agences &amp; Après-vente'!$I$2:$I$1000="DONE"))&gt;0,"✓",IF(SUMPRODUCT(MAX(('Agences &amp; Après-vente'!$A$2:$A$1000=$A583)*(('Agences &amp; Après-vente'!$D$2:$D$1000="Après-vente")+('Agences &amp; Après-vente'!$D$2:$D$1000="Agences et Après-vente"))*'Agences &amp; Après-vente'!$E$2:$E$1000))&gt;0,TEXT(SUMPRODUCT(MAX(('Agences &amp; Après-vente'!$A$2:$A$1000=$A583)*(('Agences &amp; Après-vente'!$D$2:$D$1000="Après-vente")+('Agences &amp; Après-vente'!$D$2:$D$1000="Agences et Après-vente"))*'Agences &amp; Après-vente'!$E$2:$E$1000)),"yyyy-mm-dd"),""))))))</f>
        <v/>
      </c>
      <c r="K583" s="131" t="str">
        <f aca="false">IF($U583="✓","✓",IF(ISNUMBER($U583),TEXT($U583,"yyyy-mm-dd"),IF($D583="Lisbonne","",IF($A583="","",IF(SUMPRODUCT((Evermont!$A$2:$A$1000=$A583)*(Evermont!$Q$2:$Q$1000="Terminé"))&gt;0,"✓",IF(SUMPRODUCT(MAX((Evermont!$A$2:$A$1000=$A583)*Evermont!$F$2:$F$1000))&gt;0,TEXT(SUMPRODUCT(MAX((Evermont!$A$2:$A$1000=$A583)*Evermont!$F$2:$F$1000)),"yyyy-mm-dd"),""))))))</f>
        <v/>
      </c>
      <c r="L583" s="131" t="str">
        <f aca="false">IF($A583="","",COUNTIF(E583:K583,"✓"))</f>
        <v/>
      </c>
      <c r="M583" s="131" t="str">
        <f aca="false">IF(B583="","","Active")</f>
        <v/>
      </c>
      <c r="W583" s="120" t="str">
        <f aca="false">IF($A583="","",IF($X583&lt;&gt;"",$X583,IFERROR(INDEX('Formation Initiale'!$B$2:$B$999,MATCH($A583,'Formation Initiale'!$A$2:$A$999,0)),"Général")))</f>
        <v/>
      </c>
    </row>
    <row r="584" customFormat="false" ht="15" hidden="true" customHeight="true" outlineLevel="0" collapsed="false">
      <c r="A584" s="142" t="str">
        <f aca="false">IF(B584="","","TR"&amp;TEXT(ROW()-1,"000"))</f>
        <v/>
      </c>
      <c r="E584" s="130" t="str">
        <f aca="false">IF($O584="✓","✓",IF(ISNUMBER($O584),TEXT($O584,"yyyy-mm-dd"),IF($A584="","",IF(SUMPRODUCT(('Formation Initiale'!$A$2:$A$999=$A584)*('Formation Initiale'!$R$2:$R$999="Terminé"))&gt;0,"✓",IF(SUMPRODUCT(MAX(('Formation Initiale'!$A$2:$A$999=$A584)*'Formation Initiale'!$G$2:$G$999))&gt;0,TEXT(SUMPRODUCT(MAX(('Formation Initiale'!$A$2:$A$999=$A584)*'Formation Initiale'!$G$2:$G$999)),"yyyy-mm-dd"),"")))))</f>
        <v/>
      </c>
      <c r="F584" s="131" t="str">
        <f aca="false">IF($P584="✓","✓",IF(ISNUMBER($P584),TEXT($P584,"yyyy-mm-dd"),IF($A584="","",IF($D584="Lisbonne","",IF(SUMPRODUCT(('Formation Initiale'!$A$2:$A$999=$A584)*('Formation Initiale'!$R$2:$R$999="Terminé"))&gt;0,"✓",IF(SUMPRODUCT(MAX(('Formation Initiale'!$A$2:$A$999=$A584)*'Formation Initiale'!$G$2:$G$999))&gt;0,TEXT(SUMPRODUCT(MAX(('Formation Initiale'!$A$2:$A$999=$A584)*'Formation Initiale'!$G$2:$G$999)),"yyyy-mm-dd"),""))))))</f>
        <v/>
      </c>
      <c r="G584" s="131" t="str">
        <f aca="false">IF($Q584="✓","✓",IF(ISNUMBER($Q584),TEXT($Q584,"yyyy-mm-dd"),IF($A584="","",IF(SUMPRODUCT(('Agences &amp; Après-vente'!$A$2:$A$1000=$A584)*(('Agences &amp; Après-vente'!$D$2:$D$1000="Agences")+('Agences &amp; Après-vente'!$D$2:$D$1000="Agences et Après-vente"))*('Agences &amp; Après-vente'!$I$2:$I$1000="DONE"))&gt;0,"✓",IF(SUMPRODUCT(MAX(('Agences &amp; Après-vente'!$A$2:$A$1000=$A584)*(('Agences &amp; Après-vente'!$D$2:$D$1000="Agences")+('Agences &amp; Après-vente'!$D$2:$D$1000="Agences et Après-vente"))*'Agences &amp; Après-vente'!$E$2:$E$1000))&gt;0,TEXT(SUMPRODUCT(MAX(('Agences &amp; Après-vente'!$A$2:$A$1000=$A584)*(('Agences &amp; Après-vente'!$D$2:$D$1000="Agences")+('Agences &amp; Après-vente'!$D$2:$D$1000="Agences et Après-vente"))*'Agences &amp; Après-vente'!$E$2:$E$1000)),"yyyy-mm-dd"),"")))))</f>
        <v/>
      </c>
      <c r="H584" s="131" t="str">
        <f aca="false">IF($R584="✓","✓",IF(ISNUMBER($R584),TEXT($R584,"yyyy-mm-dd"),IF($A584="","",IF($D584="Lisbonne","",IF(SUMPRODUCT(('Agences &amp; Après-vente'!$A$2:$A$1000=$A584)*(('Agences &amp; Après-vente'!$D$2:$D$1000="Agences")+('Agences &amp; Après-vente'!$D$2:$D$1000="Agences et Après-vente"))*('Agences &amp; Après-vente'!$I$2:$I$1000="DONE"))&gt;0,"✓",IF(SUMPRODUCT(MAX(('Agences &amp; Après-vente'!$A$2:$A$1000=$A584)*(('Agences &amp; Après-vente'!$D$2:$D$1000="Agences")+('Agences &amp; Après-vente'!$D$2:$D$1000="Agences et Après-vente"))*'Agences &amp; Après-vente'!$E$2:$E$1000))&gt;0,TEXT(SUMPRODUCT(MAX(('Agences &amp; Après-vente'!$A$2:$A$1000=$A584)*(('Agences &amp; Après-vente'!$D$2:$D$1000="Agences")+('Agences &amp; Après-vente'!$D$2:$D$1000="Agences et Après-vente"))*'Agences &amp; Après-vente'!$E$2:$E$1000)),"yyyy-mm-dd"),""))))))</f>
        <v/>
      </c>
      <c r="I584" s="131" t="str">
        <f aca="false">IF($S584="✓","✓",IF(ISNUMBER($S584),TEXT($S584,"yyyy-mm-dd"),IF($A584="","",IF(SUMPRODUCT(('Agences &amp; Après-vente'!$A$2:$A$1000=$A584)*(('Agences &amp; Après-vente'!$D$2:$D$1000="Après-vente")+('Agences &amp; Après-vente'!$D$2:$D$1000="Agences et Après-vente"))*('Agences &amp; Après-vente'!$I$2:$I$1000="DONE"))&gt;0,"✓",IF(SUMPRODUCT(MAX(('Agences &amp; Après-vente'!$A$2:$A$1000=$A584)*(('Agences &amp; Après-vente'!$D$2:$D$1000="Après-vente")+('Agences &amp; Après-vente'!$D$2:$D$1000="Agences et Après-vente"))*'Agences &amp; Après-vente'!$E$2:$E$1000))&gt;0,TEXT(SUMPRODUCT(MAX(('Agences &amp; Après-vente'!$A$2:$A$1000=$A584)*(('Agences &amp; Après-vente'!$D$2:$D$1000="Après-vente")+('Agences &amp; Après-vente'!$D$2:$D$1000="Agences et Après-vente"))*'Agences &amp; Après-vente'!$E$2:$E$1000)),"yyyy-mm-dd"),"")))))</f>
        <v/>
      </c>
      <c r="J584" s="131" t="str">
        <f aca="false">IF($T584="✓","✓",IF(ISNUMBER($T584),TEXT($T584,"yyyy-mm-dd"),IF($A584="","",IF($D584="Lisbonne","",IF(SUMPRODUCT(('Agences &amp; Après-vente'!$A$2:$A$1000=$A584)*(('Agences &amp; Après-vente'!$D$2:$D$1000="Après-vente")+('Agences &amp; Après-vente'!$D$2:$D$1000="Agences et Après-vente"))*('Agences &amp; Après-vente'!$I$2:$I$1000="DONE"))&gt;0,"✓",IF(SUMPRODUCT(MAX(('Agences &amp; Après-vente'!$A$2:$A$1000=$A584)*(('Agences &amp; Après-vente'!$D$2:$D$1000="Après-vente")+('Agences &amp; Après-vente'!$D$2:$D$1000="Agences et Après-vente"))*'Agences &amp; Après-vente'!$E$2:$E$1000))&gt;0,TEXT(SUMPRODUCT(MAX(('Agences &amp; Après-vente'!$A$2:$A$1000=$A584)*(('Agences &amp; Après-vente'!$D$2:$D$1000="Après-vente")+('Agences &amp; Après-vente'!$D$2:$D$1000="Agences et Après-vente"))*'Agences &amp; Après-vente'!$E$2:$E$1000)),"yyyy-mm-dd"),""))))))</f>
        <v/>
      </c>
      <c r="K584" s="131" t="str">
        <f aca="false">IF($U584="✓","✓",IF(ISNUMBER($U584),TEXT($U584,"yyyy-mm-dd"),IF($D584="Lisbonne","",IF($A584="","",IF(SUMPRODUCT((Evermont!$A$2:$A$1000=$A584)*(Evermont!$Q$2:$Q$1000="Terminé"))&gt;0,"✓",IF(SUMPRODUCT(MAX((Evermont!$A$2:$A$1000=$A584)*Evermont!$F$2:$F$1000))&gt;0,TEXT(SUMPRODUCT(MAX((Evermont!$A$2:$A$1000=$A584)*Evermont!$F$2:$F$1000)),"yyyy-mm-dd"),""))))))</f>
        <v/>
      </c>
      <c r="L584" s="131" t="str">
        <f aca="false">IF($A584="","",COUNTIF(E584:K584,"✓"))</f>
        <v/>
      </c>
      <c r="M584" s="131" t="str">
        <f aca="false">IF(B584="","","Active")</f>
        <v/>
      </c>
      <c r="W584" s="120" t="str">
        <f aca="false">IF($A584="","",IF($X584&lt;&gt;"",$X584,IFERROR(INDEX('Formation Initiale'!$B$2:$B$999,MATCH($A584,'Formation Initiale'!$A$2:$A$999,0)),"Général")))</f>
        <v/>
      </c>
    </row>
    <row r="585" customFormat="false" ht="15" hidden="true" customHeight="true" outlineLevel="0" collapsed="false">
      <c r="A585" s="142" t="str">
        <f aca="false">IF(B585="","","TR"&amp;TEXT(ROW()-1,"000"))</f>
        <v/>
      </c>
      <c r="E585" s="130" t="str">
        <f aca="false">IF($O585="✓","✓",IF(ISNUMBER($O585),TEXT($O585,"yyyy-mm-dd"),IF($A585="","",IF(SUMPRODUCT(('Formation Initiale'!$A$2:$A$999=$A585)*('Formation Initiale'!$R$2:$R$999="Terminé"))&gt;0,"✓",IF(SUMPRODUCT(MAX(('Formation Initiale'!$A$2:$A$999=$A585)*'Formation Initiale'!$G$2:$G$999))&gt;0,TEXT(SUMPRODUCT(MAX(('Formation Initiale'!$A$2:$A$999=$A585)*'Formation Initiale'!$G$2:$G$999)),"yyyy-mm-dd"),"")))))</f>
        <v/>
      </c>
      <c r="F585" s="131" t="str">
        <f aca="false">IF($P585="✓","✓",IF(ISNUMBER($P585),TEXT($P585,"yyyy-mm-dd"),IF($A585="","",IF($D585="Lisbonne","",IF(SUMPRODUCT(('Formation Initiale'!$A$2:$A$999=$A585)*('Formation Initiale'!$R$2:$R$999="Terminé"))&gt;0,"✓",IF(SUMPRODUCT(MAX(('Formation Initiale'!$A$2:$A$999=$A585)*'Formation Initiale'!$G$2:$G$999))&gt;0,TEXT(SUMPRODUCT(MAX(('Formation Initiale'!$A$2:$A$999=$A585)*'Formation Initiale'!$G$2:$G$999)),"yyyy-mm-dd"),""))))))</f>
        <v/>
      </c>
      <c r="G585" s="131" t="str">
        <f aca="false">IF($Q585="✓","✓",IF(ISNUMBER($Q585),TEXT($Q585,"yyyy-mm-dd"),IF($A585="","",IF(SUMPRODUCT(('Agences &amp; Après-vente'!$A$2:$A$1000=$A585)*(('Agences &amp; Après-vente'!$D$2:$D$1000="Agences")+('Agences &amp; Après-vente'!$D$2:$D$1000="Agences et Après-vente"))*('Agences &amp; Après-vente'!$I$2:$I$1000="DONE"))&gt;0,"✓",IF(SUMPRODUCT(MAX(('Agences &amp; Après-vente'!$A$2:$A$1000=$A585)*(('Agences &amp; Après-vente'!$D$2:$D$1000="Agences")+('Agences &amp; Après-vente'!$D$2:$D$1000="Agences et Après-vente"))*'Agences &amp; Après-vente'!$E$2:$E$1000))&gt;0,TEXT(SUMPRODUCT(MAX(('Agences &amp; Après-vente'!$A$2:$A$1000=$A585)*(('Agences &amp; Après-vente'!$D$2:$D$1000="Agences")+('Agences &amp; Après-vente'!$D$2:$D$1000="Agences et Après-vente"))*'Agences &amp; Après-vente'!$E$2:$E$1000)),"yyyy-mm-dd"),"")))))</f>
        <v/>
      </c>
      <c r="H585" s="131" t="str">
        <f aca="false">IF($R585="✓","✓",IF(ISNUMBER($R585),TEXT($R585,"yyyy-mm-dd"),IF($A585="","",IF($D585="Lisbonne","",IF(SUMPRODUCT(('Agences &amp; Après-vente'!$A$2:$A$1000=$A585)*(('Agences &amp; Après-vente'!$D$2:$D$1000="Agences")+('Agences &amp; Après-vente'!$D$2:$D$1000="Agences et Après-vente"))*('Agences &amp; Après-vente'!$I$2:$I$1000="DONE"))&gt;0,"✓",IF(SUMPRODUCT(MAX(('Agences &amp; Après-vente'!$A$2:$A$1000=$A585)*(('Agences &amp; Après-vente'!$D$2:$D$1000="Agences")+('Agences &amp; Après-vente'!$D$2:$D$1000="Agences et Après-vente"))*'Agences &amp; Après-vente'!$E$2:$E$1000))&gt;0,TEXT(SUMPRODUCT(MAX(('Agences &amp; Après-vente'!$A$2:$A$1000=$A585)*(('Agences &amp; Après-vente'!$D$2:$D$1000="Agences")+('Agences &amp; Après-vente'!$D$2:$D$1000="Agences et Après-vente"))*'Agences &amp; Après-vente'!$E$2:$E$1000)),"yyyy-mm-dd"),""))))))</f>
        <v/>
      </c>
      <c r="I585" s="131" t="str">
        <f aca="false">IF($S585="✓","✓",IF(ISNUMBER($S585),TEXT($S585,"yyyy-mm-dd"),IF($A585="","",IF(SUMPRODUCT(('Agences &amp; Après-vente'!$A$2:$A$1000=$A585)*(('Agences &amp; Après-vente'!$D$2:$D$1000="Après-vente")+('Agences &amp; Après-vente'!$D$2:$D$1000="Agences et Après-vente"))*('Agences &amp; Après-vente'!$I$2:$I$1000="DONE"))&gt;0,"✓",IF(SUMPRODUCT(MAX(('Agences &amp; Après-vente'!$A$2:$A$1000=$A585)*(('Agences &amp; Après-vente'!$D$2:$D$1000="Après-vente")+('Agences &amp; Après-vente'!$D$2:$D$1000="Agences et Après-vente"))*'Agences &amp; Après-vente'!$E$2:$E$1000))&gt;0,TEXT(SUMPRODUCT(MAX(('Agences &amp; Après-vente'!$A$2:$A$1000=$A585)*(('Agences &amp; Après-vente'!$D$2:$D$1000="Après-vente")+('Agences &amp; Après-vente'!$D$2:$D$1000="Agences et Après-vente"))*'Agences &amp; Après-vente'!$E$2:$E$1000)),"yyyy-mm-dd"),"")))))</f>
        <v/>
      </c>
      <c r="J585" s="131" t="str">
        <f aca="false">IF($T585="✓","✓",IF(ISNUMBER($T585),TEXT($T585,"yyyy-mm-dd"),IF($A585="","",IF($D585="Lisbonne","",IF(SUMPRODUCT(('Agences &amp; Après-vente'!$A$2:$A$1000=$A585)*(('Agences &amp; Après-vente'!$D$2:$D$1000="Après-vente")+('Agences &amp; Après-vente'!$D$2:$D$1000="Agences et Après-vente"))*('Agences &amp; Après-vente'!$I$2:$I$1000="DONE"))&gt;0,"✓",IF(SUMPRODUCT(MAX(('Agences &amp; Après-vente'!$A$2:$A$1000=$A585)*(('Agences &amp; Après-vente'!$D$2:$D$1000="Après-vente")+('Agences &amp; Après-vente'!$D$2:$D$1000="Agences et Après-vente"))*'Agences &amp; Après-vente'!$E$2:$E$1000))&gt;0,TEXT(SUMPRODUCT(MAX(('Agences &amp; Après-vente'!$A$2:$A$1000=$A585)*(('Agences &amp; Après-vente'!$D$2:$D$1000="Après-vente")+('Agences &amp; Après-vente'!$D$2:$D$1000="Agences et Après-vente"))*'Agences &amp; Après-vente'!$E$2:$E$1000)),"yyyy-mm-dd"),""))))))</f>
        <v/>
      </c>
      <c r="K585" s="131" t="str">
        <f aca="false">IF($U585="✓","✓",IF(ISNUMBER($U585),TEXT($U585,"yyyy-mm-dd"),IF($D585="Lisbonne","",IF($A585="","",IF(SUMPRODUCT((Evermont!$A$2:$A$1000=$A585)*(Evermont!$Q$2:$Q$1000="Terminé"))&gt;0,"✓",IF(SUMPRODUCT(MAX((Evermont!$A$2:$A$1000=$A585)*Evermont!$F$2:$F$1000))&gt;0,TEXT(SUMPRODUCT(MAX((Evermont!$A$2:$A$1000=$A585)*Evermont!$F$2:$F$1000)),"yyyy-mm-dd"),""))))))</f>
        <v/>
      </c>
      <c r="L585" s="131" t="str">
        <f aca="false">IF($A585="","",COUNTIF(E585:K585,"✓"))</f>
        <v/>
      </c>
      <c r="M585" s="131" t="str">
        <f aca="false">IF(B585="","","Active")</f>
        <v/>
      </c>
      <c r="W585" s="120" t="str">
        <f aca="false">IF($A585="","",IF($X585&lt;&gt;"",$X585,IFERROR(INDEX('Formation Initiale'!$B$2:$B$999,MATCH($A585,'Formation Initiale'!$A$2:$A$999,0)),"Général")))</f>
        <v/>
      </c>
    </row>
    <row r="586" customFormat="false" ht="15" hidden="true" customHeight="true" outlineLevel="0" collapsed="false">
      <c r="A586" s="142" t="str">
        <f aca="false">IF(B586="","","TR"&amp;TEXT(ROW()-1,"000"))</f>
        <v/>
      </c>
      <c r="E586" s="130" t="str">
        <f aca="false">IF($O586="✓","✓",IF(ISNUMBER($O586),TEXT($O586,"yyyy-mm-dd"),IF($A586="","",IF(SUMPRODUCT(('Formation Initiale'!$A$2:$A$999=$A586)*('Formation Initiale'!$R$2:$R$999="Terminé"))&gt;0,"✓",IF(SUMPRODUCT(MAX(('Formation Initiale'!$A$2:$A$999=$A586)*'Formation Initiale'!$G$2:$G$999))&gt;0,TEXT(SUMPRODUCT(MAX(('Formation Initiale'!$A$2:$A$999=$A586)*'Formation Initiale'!$G$2:$G$999)),"yyyy-mm-dd"),"")))))</f>
        <v/>
      </c>
      <c r="F586" s="131" t="str">
        <f aca="false">IF($P586="✓","✓",IF(ISNUMBER($P586),TEXT($P586,"yyyy-mm-dd"),IF($A586="","",IF($D586="Lisbonne","",IF(SUMPRODUCT(('Formation Initiale'!$A$2:$A$999=$A586)*('Formation Initiale'!$R$2:$R$999="Terminé"))&gt;0,"✓",IF(SUMPRODUCT(MAX(('Formation Initiale'!$A$2:$A$999=$A586)*'Formation Initiale'!$G$2:$G$999))&gt;0,TEXT(SUMPRODUCT(MAX(('Formation Initiale'!$A$2:$A$999=$A586)*'Formation Initiale'!$G$2:$G$999)),"yyyy-mm-dd"),""))))))</f>
        <v/>
      </c>
      <c r="G586" s="131" t="str">
        <f aca="false">IF($Q586="✓","✓",IF(ISNUMBER($Q586),TEXT($Q586,"yyyy-mm-dd"),IF($A586="","",IF(SUMPRODUCT(('Agences &amp; Après-vente'!$A$2:$A$1000=$A586)*(('Agences &amp; Après-vente'!$D$2:$D$1000="Agences")+('Agences &amp; Après-vente'!$D$2:$D$1000="Agences et Après-vente"))*('Agences &amp; Après-vente'!$I$2:$I$1000="DONE"))&gt;0,"✓",IF(SUMPRODUCT(MAX(('Agences &amp; Après-vente'!$A$2:$A$1000=$A586)*(('Agences &amp; Après-vente'!$D$2:$D$1000="Agences")+('Agences &amp; Après-vente'!$D$2:$D$1000="Agences et Après-vente"))*'Agences &amp; Après-vente'!$E$2:$E$1000))&gt;0,TEXT(SUMPRODUCT(MAX(('Agences &amp; Après-vente'!$A$2:$A$1000=$A586)*(('Agences &amp; Après-vente'!$D$2:$D$1000="Agences")+('Agences &amp; Après-vente'!$D$2:$D$1000="Agences et Après-vente"))*'Agences &amp; Après-vente'!$E$2:$E$1000)),"yyyy-mm-dd"),"")))))</f>
        <v/>
      </c>
      <c r="H586" s="131" t="str">
        <f aca="false">IF($R586="✓","✓",IF(ISNUMBER($R586),TEXT($R586,"yyyy-mm-dd"),IF($A586="","",IF($D586="Lisbonne","",IF(SUMPRODUCT(('Agences &amp; Après-vente'!$A$2:$A$1000=$A586)*(('Agences &amp; Après-vente'!$D$2:$D$1000="Agences")+('Agences &amp; Après-vente'!$D$2:$D$1000="Agences et Après-vente"))*('Agences &amp; Après-vente'!$I$2:$I$1000="DONE"))&gt;0,"✓",IF(SUMPRODUCT(MAX(('Agences &amp; Après-vente'!$A$2:$A$1000=$A586)*(('Agences &amp; Après-vente'!$D$2:$D$1000="Agences")+('Agences &amp; Après-vente'!$D$2:$D$1000="Agences et Après-vente"))*'Agences &amp; Après-vente'!$E$2:$E$1000))&gt;0,TEXT(SUMPRODUCT(MAX(('Agences &amp; Après-vente'!$A$2:$A$1000=$A586)*(('Agences &amp; Après-vente'!$D$2:$D$1000="Agences")+('Agences &amp; Après-vente'!$D$2:$D$1000="Agences et Après-vente"))*'Agences &amp; Après-vente'!$E$2:$E$1000)),"yyyy-mm-dd"),""))))))</f>
        <v/>
      </c>
      <c r="I586" s="131" t="str">
        <f aca="false">IF($S586="✓","✓",IF(ISNUMBER($S586),TEXT($S586,"yyyy-mm-dd"),IF($A586="","",IF(SUMPRODUCT(('Agences &amp; Après-vente'!$A$2:$A$1000=$A586)*(('Agences &amp; Après-vente'!$D$2:$D$1000="Après-vente")+('Agences &amp; Après-vente'!$D$2:$D$1000="Agences et Après-vente"))*('Agences &amp; Après-vente'!$I$2:$I$1000="DONE"))&gt;0,"✓",IF(SUMPRODUCT(MAX(('Agences &amp; Après-vente'!$A$2:$A$1000=$A586)*(('Agences &amp; Après-vente'!$D$2:$D$1000="Après-vente")+('Agences &amp; Après-vente'!$D$2:$D$1000="Agences et Après-vente"))*'Agences &amp; Après-vente'!$E$2:$E$1000))&gt;0,TEXT(SUMPRODUCT(MAX(('Agences &amp; Après-vente'!$A$2:$A$1000=$A586)*(('Agences &amp; Après-vente'!$D$2:$D$1000="Après-vente")+('Agences &amp; Après-vente'!$D$2:$D$1000="Agences et Après-vente"))*'Agences &amp; Après-vente'!$E$2:$E$1000)),"yyyy-mm-dd"),"")))))</f>
        <v/>
      </c>
      <c r="J586" s="131" t="str">
        <f aca="false">IF($T586="✓","✓",IF(ISNUMBER($T586),TEXT($T586,"yyyy-mm-dd"),IF($A586="","",IF($D586="Lisbonne","",IF(SUMPRODUCT(('Agences &amp; Après-vente'!$A$2:$A$1000=$A586)*(('Agences &amp; Après-vente'!$D$2:$D$1000="Après-vente")+('Agences &amp; Après-vente'!$D$2:$D$1000="Agences et Après-vente"))*('Agences &amp; Après-vente'!$I$2:$I$1000="DONE"))&gt;0,"✓",IF(SUMPRODUCT(MAX(('Agences &amp; Après-vente'!$A$2:$A$1000=$A586)*(('Agences &amp; Après-vente'!$D$2:$D$1000="Après-vente")+('Agences &amp; Après-vente'!$D$2:$D$1000="Agences et Après-vente"))*'Agences &amp; Après-vente'!$E$2:$E$1000))&gt;0,TEXT(SUMPRODUCT(MAX(('Agences &amp; Après-vente'!$A$2:$A$1000=$A586)*(('Agences &amp; Après-vente'!$D$2:$D$1000="Après-vente")+('Agences &amp; Après-vente'!$D$2:$D$1000="Agences et Après-vente"))*'Agences &amp; Après-vente'!$E$2:$E$1000)),"yyyy-mm-dd"),""))))))</f>
        <v/>
      </c>
      <c r="K586" s="131" t="str">
        <f aca="false">IF($U586="✓","✓",IF(ISNUMBER($U586),TEXT($U586,"yyyy-mm-dd"),IF($D586="Lisbonne","",IF($A586="","",IF(SUMPRODUCT((Evermont!$A$2:$A$1000=$A586)*(Evermont!$Q$2:$Q$1000="Terminé"))&gt;0,"✓",IF(SUMPRODUCT(MAX((Evermont!$A$2:$A$1000=$A586)*Evermont!$F$2:$F$1000))&gt;0,TEXT(SUMPRODUCT(MAX((Evermont!$A$2:$A$1000=$A586)*Evermont!$F$2:$F$1000)),"yyyy-mm-dd"),""))))))</f>
        <v/>
      </c>
      <c r="L586" s="131" t="str">
        <f aca="false">IF($A586="","",COUNTIF(E586:K586,"✓"))</f>
        <v/>
      </c>
      <c r="M586" s="131" t="str">
        <f aca="false">IF(B586="","","Active")</f>
        <v/>
      </c>
      <c r="W586" s="120" t="str">
        <f aca="false">IF($A586="","",IF($X586&lt;&gt;"",$X586,IFERROR(INDEX('Formation Initiale'!$B$2:$B$999,MATCH($A586,'Formation Initiale'!$A$2:$A$999,0)),"Général")))</f>
        <v/>
      </c>
    </row>
    <row r="587" customFormat="false" ht="15" hidden="true" customHeight="true" outlineLevel="0" collapsed="false">
      <c r="A587" s="142" t="str">
        <f aca="false">IF(B587="","","TR"&amp;TEXT(ROW()-1,"000"))</f>
        <v/>
      </c>
      <c r="E587" s="130" t="str">
        <f aca="false">IF($O587="✓","✓",IF(ISNUMBER($O587),TEXT($O587,"yyyy-mm-dd"),IF($A587="","",IF(SUMPRODUCT(('Formation Initiale'!$A$2:$A$999=$A587)*('Formation Initiale'!$R$2:$R$999="Terminé"))&gt;0,"✓",IF(SUMPRODUCT(MAX(('Formation Initiale'!$A$2:$A$999=$A587)*'Formation Initiale'!$G$2:$G$999))&gt;0,TEXT(SUMPRODUCT(MAX(('Formation Initiale'!$A$2:$A$999=$A587)*'Formation Initiale'!$G$2:$G$999)),"yyyy-mm-dd"),"")))))</f>
        <v/>
      </c>
      <c r="F587" s="131" t="str">
        <f aca="false">IF($P587="✓","✓",IF(ISNUMBER($P587),TEXT($P587,"yyyy-mm-dd"),IF($A587="","",IF($D587="Lisbonne","",IF(SUMPRODUCT(('Formation Initiale'!$A$2:$A$999=$A587)*('Formation Initiale'!$R$2:$R$999="Terminé"))&gt;0,"✓",IF(SUMPRODUCT(MAX(('Formation Initiale'!$A$2:$A$999=$A587)*'Formation Initiale'!$G$2:$G$999))&gt;0,TEXT(SUMPRODUCT(MAX(('Formation Initiale'!$A$2:$A$999=$A587)*'Formation Initiale'!$G$2:$G$999)),"yyyy-mm-dd"),""))))))</f>
        <v/>
      </c>
      <c r="G587" s="131" t="str">
        <f aca="false">IF($Q587="✓","✓",IF(ISNUMBER($Q587),TEXT($Q587,"yyyy-mm-dd"),IF($A587="","",IF(SUMPRODUCT(('Agences &amp; Après-vente'!$A$2:$A$1000=$A587)*(('Agences &amp; Après-vente'!$D$2:$D$1000="Agences")+('Agences &amp; Après-vente'!$D$2:$D$1000="Agences et Après-vente"))*('Agences &amp; Après-vente'!$I$2:$I$1000="DONE"))&gt;0,"✓",IF(SUMPRODUCT(MAX(('Agences &amp; Après-vente'!$A$2:$A$1000=$A587)*(('Agences &amp; Après-vente'!$D$2:$D$1000="Agences")+('Agences &amp; Après-vente'!$D$2:$D$1000="Agences et Après-vente"))*'Agences &amp; Après-vente'!$E$2:$E$1000))&gt;0,TEXT(SUMPRODUCT(MAX(('Agences &amp; Après-vente'!$A$2:$A$1000=$A587)*(('Agences &amp; Après-vente'!$D$2:$D$1000="Agences")+('Agences &amp; Après-vente'!$D$2:$D$1000="Agences et Après-vente"))*'Agences &amp; Après-vente'!$E$2:$E$1000)),"yyyy-mm-dd"),"")))))</f>
        <v/>
      </c>
      <c r="H587" s="131" t="str">
        <f aca="false">IF($R587="✓","✓",IF(ISNUMBER($R587),TEXT($R587,"yyyy-mm-dd"),IF($A587="","",IF($D587="Lisbonne","",IF(SUMPRODUCT(('Agences &amp; Après-vente'!$A$2:$A$1000=$A587)*(('Agences &amp; Après-vente'!$D$2:$D$1000="Agences")+('Agences &amp; Après-vente'!$D$2:$D$1000="Agences et Après-vente"))*('Agences &amp; Après-vente'!$I$2:$I$1000="DONE"))&gt;0,"✓",IF(SUMPRODUCT(MAX(('Agences &amp; Après-vente'!$A$2:$A$1000=$A587)*(('Agences &amp; Après-vente'!$D$2:$D$1000="Agences")+('Agences &amp; Après-vente'!$D$2:$D$1000="Agences et Après-vente"))*'Agences &amp; Après-vente'!$E$2:$E$1000))&gt;0,TEXT(SUMPRODUCT(MAX(('Agences &amp; Après-vente'!$A$2:$A$1000=$A587)*(('Agences &amp; Après-vente'!$D$2:$D$1000="Agences")+('Agences &amp; Après-vente'!$D$2:$D$1000="Agences et Après-vente"))*'Agences &amp; Après-vente'!$E$2:$E$1000)),"yyyy-mm-dd"),""))))))</f>
        <v/>
      </c>
      <c r="I587" s="131" t="str">
        <f aca="false">IF($S587="✓","✓",IF(ISNUMBER($S587),TEXT($S587,"yyyy-mm-dd"),IF($A587="","",IF(SUMPRODUCT(('Agences &amp; Après-vente'!$A$2:$A$1000=$A587)*(('Agences &amp; Après-vente'!$D$2:$D$1000="Après-vente")+('Agences &amp; Après-vente'!$D$2:$D$1000="Agences et Après-vente"))*('Agences &amp; Après-vente'!$I$2:$I$1000="DONE"))&gt;0,"✓",IF(SUMPRODUCT(MAX(('Agences &amp; Après-vente'!$A$2:$A$1000=$A587)*(('Agences &amp; Après-vente'!$D$2:$D$1000="Après-vente")+('Agences &amp; Après-vente'!$D$2:$D$1000="Agences et Après-vente"))*'Agences &amp; Après-vente'!$E$2:$E$1000))&gt;0,TEXT(SUMPRODUCT(MAX(('Agences &amp; Après-vente'!$A$2:$A$1000=$A587)*(('Agences &amp; Après-vente'!$D$2:$D$1000="Après-vente")+('Agences &amp; Après-vente'!$D$2:$D$1000="Agences et Après-vente"))*'Agences &amp; Après-vente'!$E$2:$E$1000)),"yyyy-mm-dd"),"")))))</f>
        <v/>
      </c>
      <c r="J587" s="131" t="str">
        <f aca="false">IF($T587="✓","✓",IF(ISNUMBER($T587),TEXT($T587,"yyyy-mm-dd"),IF($A587="","",IF($D587="Lisbonne","",IF(SUMPRODUCT(('Agences &amp; Après-vente'!$A$2:$A$1000=$A587)*(('Agences &amp; Après-vente'!$D$2:$D$1000="Après-vente")+('Agences &amp; Après-vente'!$D$2:$D$1000="Agences et Après-vente"))*('Agences &amp; Après-vente'!$I$2:$I$1000="DONE"))&gt;0,"✓",IF(SUMPRODUCT(MAX(('Agences &amp; Après-vente'!$A$2:$A$1000=$A587)*(('Agences &amp; Après-vente'!$D$2:$D$1000="Après-vente")+('Agences &amp; Après-vente'!$D$2:$D$1000="Agences et Après-vente"))*'Agences &amp; Après-vente'!$E$2:$E$1000))&gt;0,TEXT(SUMPRODUCT(MAX(('Agences &amp; Après-vente'!$A$2:$A$1000=$A587)*(('Agences &amp; Après-vente'!$D$2:$D$1000="Après-vente")+('Agences &amp; Après-vente'!$D$2:$D$1000="Agences et Après-vente"))*'Agences &amp; Après-vente'!$E$2:$E$1000)),"yyyy-mm-dd"),""))))))</f>
        <v/>
      </c>
      <c r="K587" s="131" t="str">
        <f aca="false">IF($U587="✓","✓",IF(ISNUMBER($U587),TEXT($U587,"yyyy-mm-dd"),IF($D587="Lisbonne","",IF($A587="","",IF(SUMPRODUCT((Evermont!$A$2:$A$1000=$A587)*(Evermont!$Q$2:$Q$1000="Terminé"))&gt;0,"✓",IF(SUMPRODUCT(MAX((Evermont!$A$2:$A$1000=$A587)*Evermont!$F$2:$F$1000))&gt;0,TEXT(SUMPRODUCT(MAX((Evermont!$A$2:$A$1000=$A587)*Evermont!$F$2:$F$1000)),"yyyy-mm-dd"),""))))))</f>
        <v/>
      </c>
      <c r="L587" s="131" t="str">
        <f aca="false">IF($A587="","",COUNTIF(E587:K587,"✓"))</f>
        <v/>
      </c>
      <c r="M587" s="131" t="str">
        <f aca="false">IF(B587="","","Active")</f>
        <v/>
      </c>
      <c r="W587" s="120" t="str">
        <f aca="false">IF($A587="","",IF($X587&lt;&gt;"",$X587,IFERROR(INDEX('Formation Initiale'!$B$2:$B$999,MATCH($A587,'Formation Initiale'!$A$2:$A$999,0)),"Général")))</f>
        <v/>
      </c>
    </row>
    <row r="588" customFormat="false" ht="15" hidden="true" customHeight="true" outlineLevel="0" collapsed="false">
      <c r="A588" s="142" t="str">
        <f aca="false">IF(B588="","","TR"&amp;TEXT(ROW()-1,"000"))</f>
        <v/>
      </c>
      <c r="E588" s="130" t="str">
        <f aca="false">IF($O588="✓","✓",IF(ISNUMBER($O588),TEXT($O588,"yyyy-mm-dd"),IF($A588="","",IF(SUMPRODUCT(('Formation Initiale'!$A$2:$A$999=$A588)*('Formation Initiale'!$R$2:$R$999="Terminé"))&gt;0,"✓",IF(SUMPRODUCT(MAX(('Formation Initiale'!$A$2:$A$999=$A588)*'Formation Initiale'!$G$2:$G$999))&gt;0,TEXT(SUMPRODUCT(MAX(('Formation Initiale'!$A$2:$A$999=$A588)*'Formation Initiale'!$G$2:$G$999)),"yyyy-mm-dd"),"")))))</f>
        <v/>
      </c>
      <c r="F588" s="131" t="str">
        <f aca="false">IF($P588="✓","✓",IF(ISNUMBER($P588),TEXT($P588,"yyyy-mm-dd"),IF($A588="","",IF($D588="Lisbonne","",IF(SUMPRODUCT(('Formation Initiale'!$A$2:$A$999=$A588)*('Formation Initiale'!$R$2:$R$999="Terminé"))&gt;0,"✓",IF(SUMPRODUCT(MAX(('Formation Initiale'!$A$2:$A$999=$A588)*'Formation Initiale'!$G$2:$G$999))&gt;0,TEXT(SUMPRODUCT(MAX(('Formation Initiale'!$A$2:$A$999=$A588)*'Formation Initiale'!$G$2:$G$999)),"yyyy-mm-dd"),""))))))</f>
        <v/>
      </c>
      <c r="G588" s="131" t="str">
        <f aca="false">IF($Q588="✓","✓",IF(ISNUMBER($Q588),TEXT($Q588,"yyyy-mm-dd"),IF($A588="","",IF(SUMPRODUCT(('Agences &amp; Après-vente'!$A$2:$A$1000=$A588)*(('Agences &amp; Après-vente'!$D$2:$D$1000="Agences")+('Agences &amp; Après-vente'!$D$2:$D$1000="Agences et Après-vente"))*('Agences &amp; Après-vente'!$I$2:$I$1000="DONE"))&gt;0,"✓",IF(SUMPRODUCT(MAX(('Agences &amp; Après-vente'!$A$2:$A$1000=$A588)*(('Agences &amp; Après-vente'!$D$2:$D$1000="Agences")+('Agences &amp; Après-vente'!$D$2:$D$1000="Agences et Après-vente"))*'Agences &amp; Après-vente'!$E$2:$E$1000))&gt;0,TEXT(SUMPRODUCT(MAX(('Agences &amp; Après-vente'!$A$2:$A$1000=$A588)*(('Agences &amp; Après-vente'!$D$2:$D$1000="Agences")+('Agences &amp; Après-vente'!$D$2:$D$1000="Agences et Après-vente"))*'Agences &amp; Après-vente'!$E$2:$E$1000)),"yyyy-mm-dd"),"")))))</f>
        <v/>
      </c>
      <c r="H588" s="131" t="str">
        <f aca="false">IF($R588="✓","✓",IF(ISNUMBER($R588),TEXT($R588,"yyyy-mm-dd"),IF($A588="","",IF($D588="Lisbonne","",IF(SUMPRODUCT(('Agences &amp; Après-vente'!$A$2:$A$1000=$A588)*(('Agences &amp; Après-vente'!$D$2:$D$1000="Agences")+('Agences &amp; Après-vente'!$D$2:$D$1000="Agences et Après-vente"))*('Agences &amp; Après-vente'!$I$2:$I$1000="DONE"))&gt;0,"✓",IF(SUMPRODUCT(MAX(('Agences &amp; Après-vente'!$A$2:$A$1000=$A588)*(('Agences &amp; Après-vente'!$D$2:$D$1000="Agences")+('Agences &amp; Après-vente'!$D$2:$D$1000="Agences et Après-vente"))*'Agences &amp; Après-vente'!$E$2:$E$1000))&gt;0,TEXT(SUMPRODUCT(MAX(('Agences &amp; Après-vente'!$A$2:$A$1000=$A588)*(('Agences &amp; Après-vente'!$D$2:$D$1000="Agences")+('Agences &amp; Après-vente'!$D$2:$D$1000="Agences et Après-vente"))*'Agences &amp; Après-vente'!$E$2:$E$1000)),"yyyy-mm-dd"),""))))))</f>
        <v/>
      </c>
      <c r="I588" s="131" t="str">
        <f aca="false">IF($S588="✓","✓",IF(ISNUMBER($S588),TEXT($S588,"yyyy-mm-dd"),IF($A588="","",IF(SUMPRODUCT(('Agences &amp; Après-vente'!$A$2:$A$1000=$A588)*(('Agences &amp; Après-vente'!$D$2:$D$1000="Après-vente")+('Agences &amp; Après-vente'!$D$2:$D$1000="Agences et Après-vente"))*('Agences &amp; Après-vente'!$I$2:$I$1000="DONE"))&gt;0,"✓",IF(SUMPRODUCT(MAX(('Agences &amp; Après-vente'!$A$2:$A$1000=$A588)*(('Agences &amp; Après-vente'!$D$2:$D$1000="Après-vente")+('Agences &amp; Après-vente'!$D$2:$D$1000="Agences et Après-vente"))*'Agences &amp; Après-vente'!$E$2:$E$1000))&gt;0,TEXT(SUMPRODUCT(MAX(('Agences &amp; Après-vente'!$A$2:$A$1000=$A588)*(('Agences &amp; Après-vente'!$D$2:$D$1000="Après-vente")+('Agences &amp; Après-vente'!$D$2:$D$1000="Agences et Après-vente"))*'Agences &amp; Après-vente'!$E$2:$E$1000)),"yyyy-mm-dd"),"")))))</f>
        <v/>
      </c>
      <c r="J588" s="131" t="str">
        <f aca="false">IF($T588="✓","✓",IF(ISNUMBER($T588),TEXT($T588,"yyyy-mm-dd"),IF($A588="","",IF($D588="Lisbonne","",IF(SUMPRODUCT(('Agences &amp; Après-vente'!$A$2:$A$1000=$A588)*(('Agences &amp; Après-vente'!$D$2:$D$1000="Après-vente")+('Agences &amp; Après-vente'!$D$2:$D$1000="Agences et Après-vente"))*('Agences &amp; Après-vente'!$I$2:$I$1000="DONE"))&gt;0,"✓",IF(SUMPRODUCT(MAX(('Agences &amp; Après-vente'!$A$2:$A$1000=$A588)*(('Agences &amp; Après-vente'!$D$2:$D$1000="Après-vente")+('Agences &amp; Après-vente'!$D$2:$D$1000="Agences et Après-vente"))*'Agences &amp; Après-vente'!$E$2:$E$1000))&gt;0,TEXT(SUMPRODUCT(MAX(('Agences &amp; Après-vente'!$A$2:$A$1000=$A588)*(('Agences &amp; Après-vente'!$D$2:$D$1000="Après-vente")+('Agences &amp; Après-vente'!$D$2:$D$1000="Agences et Après-vente"))*'Agences &amp; Après-vente'!$E$2:$E$1000)),"yyyy-mm-dd"),""))))))</f>
        <v/>
      </c>
      <c r="K588" s="131" t="str">
        <f aca="false">IF($U588="✓","✓",IF(ISNUMBER($U588),TEXT($U588,"yyyy-mm-dd"),IF($D588="Lisbonne","",IF($A588="","",IF(SUMPRODUCT((Evermont!$A$2:$A$1000=$A588)*(Evermont!$Q$2:$Q$1000="Terminé"))&gt;0,"✓",IF(SUMPRODUCT(MAX((Evermont!$A$2:$A$1000=$A588)*Evermont!$F$2:$F$1000))&gt;0,TEXT(SUMPRODUCT(MAX((Evermont!$A$2:$A$1000=$A588)*Evermont!$F$2:$F$1000)),"yyyy-mm-dd"),""))))))</f>
        <v/>
      </c>
      <c r="L588" s="131" t="str">
        <f aca="false">IF($A588="","",COUNTIF(E588:K588,"✓"))</f>
        <v/>
      </c>
      <c r="M588" s="131" t="str">
        <f aca="false">IF(B588="","","Active")</f>
        <v/>
      </c>
      <c r="W588" s="120" t="str">
        <f aca="false">IF($A588="","",IF($X588&lt;&gt;"",$X588,IFERROR(INDEX('Formation Initiale'!$B$2:$B$999,MATCH($A588,'Formation Initiale'!$A$2:$A$999,0)),"Général")))</f>
        <v/>
      </c>
    </row>
    <row r="589" customFormat="false" ht="15" hidden="true" customHeight="true" outlineLevel="0" collapsed="false">
      <c r="A589" s="142" t="str">
        <f aca="false">IF(B589="","","TR"&amp;TEXT(ROW()-1,"000"))</f>
        <v/>
      </c>
      <c r="E589" s="130" t="str">
        <f aca="false">IF($O589="✓","✓",IF(ISNUMBER($O589),TEXT($O589,"yyyy-mm-dd"),IF($A589="","",IF(SUMPRODUCT(('Formation Initiale'!$A$2:$A$999=$A589)*('Formation Initiale'!$R$2:$R$999="Terminé"))&gt;0,"✓",IF(SUMPRODUCT(MAX(('Formation Initiale'!$A$2:$A$999=$A589)*'Formation Initiale'!$G$2:$G$999))&gt;0,TEXT(SUMPRODUCT(MAX(('Formation Initiale'!$A$2:$A$999=$A589)*'Formation Initiale'!$G$2:$G$999)),"yyyy-mm-dd"),"")))))</f>
        <v/>
      </c>
      <c r="F589" s="131" t="str">
        <f aca="false">IF($P589="✓","✓",IF(ISNUMBER($P589),TEXT($P589,"yyyy-mm-dd"),IF($A589="","",IF($D589="Lisbonne","",IF(SUMPRODUCT(('Formation Initiale'!$A$2:$A$999=$A589)*('Formation Initiale'!$R$2:$R$999="Terminé"))&gt;0,"✓",IF(SUMPRODUCT(MAX(('Formation Initiale'!$A$2:$A$999=$A589)*'Formation Initiale'!$G$2:$G$999))&gt;0,TEXT(SUMPRODUCT(MAX(('Formation Initiale'!$A$2:$A$999=$A589)*'Formation Initiale'!$G$2:$G$999)),"yyyy-mm-dd"),""))))))</f>
        <v/>
      </c>
      <c r="G589" s="131" t="str">
        <f aca="false">IF($Q589="✓","✓",IF(ISNUMBER($Q589),TEXT($Q589,"yyyy-mm-dd"),IF($A589="","",IF(SUMPRODUCT(('Agences &amp; Après-vente'!$A$2:$A$1000=$A589)*(('Agences &amp; Après-vente'!$D$2:$D$1000="Agences")+('Agences &amp; Après-vente'!$D$2:$D$1000="Agences et Après-vente"))*('Agences &amp; Après-vente'!$I$2:$I$1000="DONE"))&gt;0,"✓",IF(SUMPRODUCT(MAX(('Agences &amp; Après-vente'!$A$2:$A$1000=$A589)*(('Agences &amp; Après-vente'!$D$2:$D$1000="Agences")+('Agences &amp; Après-vente'!$D$2:$D$1000="Agences et Après-vente"))*'Agences &amp; Après-vente'!$E$2:$E$1000))&gt;0,TEXT(SUMPRODUCT(MAX(('Agences &amp; Après-vente'!$A$2:$A$1000=$A589)*(('Agences &amp; Après-vente'!$D$2:$D$1000="Agences")+('Agences &amp; Après-vente'!$D$2:$D$1000="Agences et Après-vente"))*'Agences &amp; Après-vente'!$E$2:$E$1000)),"yyyy-mm-dd"),"")))))</f>
        <v/>
      </c>
      <c r="H589" s="131" t="str">
        <f aca="false">IF($R589="✓","✓",IF(ISNUMBER($R589),TEXT($R589,"yyyy-mm-dd"),IF($A589="","",IF($D589="Lisbonne","",IF(SUMPRODUCT(('Agences &amp; Après-vente'!$A$2:$A$1000=$A589)*(('Agences &amp; Après-vente'!$D$2:$D$1000="Agences")+('Agences &amp; Après-vente'!$D$2:$D$1000="Agences et Après-vente"))*('Agences &amp; Après-vente'!$I$2:$I$1000="DONE"))&gt;0,"✓",IF(SUMPRODUCT(MAX(('Agences &amp; Après-vente'!$A$2:$A$1000=$A589)*(('Agences &amp; Après-vente'!$D$2:$D$1000="Agences")+('Agences &amp; Après-vente'!$D$2:$D$1000="Agences et Après-vente"))*'Agences &amp; Après-vente'!$E$2:$E$1000))&gt;0,TEXT(SUMPRODUCT(MAX(('Agences &amp; Après-vente'!$A$2:$A$1000=$A589)*(('Agences &amp; Après-vente'!$D$2:$D$1000="Agences")+('Agences &amp; Après-vente'!$D$2:$D$1000="Agences et Après-vente"))*'Agences &amp; Après-vente'!$E$2:$E$1000)),"yyyy-mm-dd"),""))))))</f>
        <v/>
      </c>
      <c r="I589" s="131" t="str">
        <f aca="false">IF($S589="✓","✓",IF(ISNUMBER($S589),TEXT($S589,"yyyy-mm-dd"),IF($A589="","",IF(SUMPRODUCT(('Agences &amp; Après-vente'!$A$2:$A$1000=$A589)*(('Agences &amp; Après-vente'!$D$2:$D$1000="Après-vente")+('Agences &amp; Après-vente'!$D$2:$D$1000="Agences et Après-vente"))*('Agences &amp; Après-vente'!$I$2:$I$1000="DONE"))&gt;0,"✓",IF(SUMPRODUCT(MAX(('Agences &amp; Après-vente'!$A$2:$A$1000=$A589)*(('Agences &amp; Après-vente'!$D$2:$D$1000="Après-vente")+('Agences &amp; Après-vente'!$D$2:$D$1000="Agences et Après-vente"))*'Agences &amp; Après-vente'!$E$2:$E$1000))&gt;0,TEXT(SUMPRODUCT(MAX(('Agences &amp; Après-vente'!$A$2:$A$1000=$A589)*(('Agences &amp; Après-vente'!$D$2:$D$1000="Après-vente")+('Agences &amp; Après-vente'!$D$2:$D$1000="Agences et Après-vente"))*'Agences &amp; Après-vente'!$E$2:$E$1000)),"yyyy-mm-dd"),"")))))</f>
        <v/>
      </c>
      <c r="J589" s="131" t="str">
        <f aca="false">IF($T589="✓","✓",IF(ISNUMBER($T589),TEXT($T589,"yyyy-mm-dd"),IF($A589="","",IF($D589="Lisbonne","",IF(SUMPRODUCT(('Agences &amp; Après-vente'!$A$2:$A$1000=$A589)*(('Agences &amp; Après-vente'!$D$2:$D$1000="Après-vente")+('Agences &amp; Après-vente'!$D$2:$D$1000="Agences et Après-vente"))*('Agences &amp; Après-vente'!$I$2:$I$1000="DONE"))&gt;0,"✓",IF(SUMPRODUCT(MAX(('Agences &amp; Après-vente'!$A$2:$A$1000=$A589)*(('Agences &amp; Après-vente'!$D$2:$D$1000="Après-vente")+('Agences &amp; Après-vente'!$D$2:$D$1000="Agences et Après-vente"))*'Agences &amp; Après-vente'!$E$2:$E$1000))&gt;0,TEXT(SUMPRODUCT(MAX(('Agences &amp; Après-vente'!$A$2:$A$1000=$A589)*(('Agences &amp; Après-vente'!$D$2:$D$1000="Après-vente")+('Agences &amp; Après-vente'!$D$2:$D$1000="Agences et Après-vente"))*'Agences &amp; Après-vente'!$E$2:$E$1000)),"yyyy-mm-dd"),""))))))</f>
        <v/>
      </c>
      <c r="K589" s="131" t="str">
        <f aca="false">IF($U589="✓","✓",IF(ISNUMBER($U589),TEXT($U589,"yyyy-mm-dd"),IF($D589="Lisbonne","",IF($A589="","",IF(SUMPRODUCT((Evermont!$A$2:$A$1000=$A589)*(Evermont!$Q$2:$Q$1000="Terminé"))&gt;0,"✓",IF(SUMPRODUCT(MAX((Evermont!$A$2:$A$1000=$A589)*Evermont!$F$2:$F$1000))&gt;0,TEXT(SUMPRODUCT(MAX((Evermont!$A$2:$A$1000=$A589)*Evermont!$F$2:$F$1000)),"yyyy-mm-dd"),""))))))</f>
        <v/>
      </c>
      <c r="L589" s="131" t="str">
        <f aca="false">IF($A589="","",COUNTIF(E589:K589,"✓"))</f>
        <v/>
      </c>
      <c r="M589" s="131" t="str">
        <f aca="false">IF(B589="","","Active")</f>
        <v/>
      </c>
      <c r="W589" s="120" t="str">
        <f aca="false">IF($A589="","",IF($X589&lt;&gt;"",$X589,IFERROR(INDEX('Formation Initiale'!$B$2:$B$999,MATCH($A589,'Formation Initiale'!$A$2:$A$999,0)),"Général")))</f>
        <v/>
      </c>
    </row>
    <row r="590" customFormat="false" ht="15" hidden="true" customHeight="true" outlineLevel="0" collapsed="false">
      <c r="A590" s="142" t="str">
        <f aca="false">IF(B590="","","TR"&amp;TEXT(ROW()-1,"000"))</f>
        <v/>
      </c>
      <c r="E590" s="130" t="str">
        <f aca="false">IF($O590="✓","✓",IF(ISNUMBER($O590),TEXT($O590,"yyyy-mm-dd"),IF($A590="","",IF(SUMPRODUCT(('Formation Initiale'!$A$2:$A$999=$A590)*('Formation Initiale'!$R$2:$R$999="Terminé"))&gt;0,"✓",IF(SUMPRODUCT(MAX(('Formation Initiale'!$A$2:$A$999=$A590)*'Formation Initiale'!$G$2:$G$999))&gt;0,TEXT(SUMPRODUCT(MAX(('Formation Initiale'!$A$2:$A$999=$A590)*'Formation Initiale'!$G$2:$G$999)),"yyyy-mm-dd"),"")))))</f>
        <v/>
      </c>
      <c r="F590" s="131" t="str">
        <f aca="false">IF($P590="✓","✓",IF(ISNUMBER($P590),TEXT($P590,"yyyy-mm-dd"),IF($A590="","",IF($D590="Lisbonne","",IF(SUMPRODUCT(('Formation Initiale'!$A$2:$A$999=$A590)*('Formation Initiale'!$R$2:$R$999="Terminé"))&gt;0,"✓",IF(SUMPRODUCT(MAX(('Formation Initiale'!$A$2:$A$999=$A590)*'Formation Initiale'!$G$2:$G$999))&gt;0,TEXT(SUMPRODUCT(MAX(('Formation Initiale'!$A$2:$A$999=$A590)*'Formation Initiale'!$G$2:$G$999)),"yyyy-mm-dd"),""))))))</f>
        <v/>
      </c>
      <c r="G590" s="131" t="str">
        <f aca="false">IF($Q590="✓","✓",IF(ISNUMBER($Q590),TEXT($Q590,"yyyy-mm-dd"),IF($A590="","",IF(SUMPRODUCT(('Agences &amp; Après-vente'!$A$2:$A$1000=$A590)*(('Agences &amp; Après-vente'!$D$2:$D$1000="Agences")+('Agences &amp; Après-vente'!$D$2:$D$1000="Agences et Après-vente"))*('Agences &amp; Après-vente'!$I$2:$I$1000="DONE"))&gt;0,"✓",IF(SUMPRODUCT(MAX(('Agences &amp; Après-vente'!$A$2:$A$1000=$A590)*(('Agences &amp; Après-vente'!$D$2:$D$1000="Agences")+('Agences &amp; Après-vente'!$D$2:$D$1000="Agences et Après-vente"))*'Agences &amp; Après-vente'!$E$2:$E$1000))&gt;0,TEXT(SUMPRODUCT(MAX(('Agences &amp; Après-vente'!$A$2:$A$1000=$A590)*(('Agences &amp; Après-vente'!$D$2:$D$1000="Agences")+('Agences &amp; Après-vente'!$D$2:$D$1000="Agences et Après-vente"))*'Agences &amp; Après-vente'!$E$2:$E$1000)),"yyyy-mm-dd"),"")))))</f>
        <v/>
      </c>
      <c r="H590" s="131" t="str">
        <f aca="false">IF($R590="✓","✓",IF(ISNUMBER($R590),TEXT($R590,"yyyy-mm-dd"),IF($A590="","",IF($D590="Lisbonne","",IF(SUMPRODUCT(('Agences &amp; Après-vente'!$A$2:$A$1000=$A590)*(('Agences &amp; Après-vente'!$D$2:$D$1000="Agences")+('Agences &amp; Après-vente'!$D$2:$D$1000="Agences et Après-vente"))*('Agences &amp; Après-vente'!$I$2:$I$1000="DONE"))&gt;0,"✓",IF(SUMPRODUCT(MAX(('Agences &amp; Après-vente'!$A$2:$A$1000=$A590)*(('Agences &amp; Après-vente'!$D$2:$D$1000="Agences")+('Agences &amp; Après-vente'!$D$2:$D$1000="Agences et Après-vente"))*'Agences &amp; Après-vente'!$E$2:$E$1000))&gt;0,TEXT(SUMPRODUCT(MAX(('Agences &amp; Après-vente'!$A$2:$A$1000=$A590)*(('Agences &amp; Après-vente'!$D$2:$D$1000="Agences")+('Agences &amp; Après-vente'!$D$2:$D$1000="Agences et Après-vente"))*'Agences &amp; Après-vente'!$E$2:$E$1000)),"yyyy-mm-dd"),""))))))</f>
        <v/>
      </c>
      <c r="I590" s="131" t="str">
        <f aca="false">IF($S590="✓","✓",IF(ISNUMBER($S590),TEXT($S590,"yyyy-mm-dd"),IF($A590="","",IF(SUMPRODUCT(('Agences &amp; Après-vente'!$A$2:$A$1000=$A590)*(('Agences &amp; Après-vente'!$D$2:$D$1000="Après-vente")+('Agences &amp; Après-vente'!$D$2:$D$1000="Agences et Après-vente"))*('Agences &amp; Après-vente'!$I$2:$I$1000="DONE"))&gt;0,"✓",IF(SUMPRODUCT(MAX(('Agences &amp; Après-vente'!$A$2:$A$1000=$A590)*(('Agences &amp; Après-vente'!$D$2:$D$1000="Après-vente")+('Agences &amp; Après-vente'!$D$2:$D$1000="Agences et Après-vente"))*'Agences &amp; Après-vente'!$E$2:$E$1000))&gt;0,TEXT(SUMPRODUCT(MAX(('Agences &amp; Après-vente'!$A$2:$A$1000=$A590)*(('Agences &amp; Après-vente'!$D$2:$D$1000="Après-vente")+('Agences &amp; Après-vente'!$D$2:$D$1000="Agences et Après-vente"))*'Agences &amp; Après-vente'!$E$2:$E$1000)),"yyyy-mm-dd"),"")))))</f>
        <v/>
      </c>
      <c r="J590" s="131" t="str">
        <f aca="false">IF($T590="✓","✓",IF(ISNUMBER($T590),TEXT($T590,"yyyy-mm-dd"),IF($A590="","",IF($D590="Lisbonne","",IF(SUMPRODUCT(('Agences &amp; Après-vente'!$A$2:$A$1000=$A590)*(('Agences &amp; Après-vente'!$D$2:$D$1000="Après-vente")+('Agences &amp; Après-vente'!$D$2:$D$1000="Agences et Après-vente"))*('Agences &amp; Après-vente'!$I$2:$I$1000="DONE"))&gt;0,"✓",IF(SUMPRODUCT(MAX(('Agences &amp; Après-vente'!$A$2:$A$1000=$A590)*(('Agences &amp; Après-vente'!$D$2:$D$1000="Après-vente")+('Agences &amp; Après-vente'!$D$2:$D$1000="Agences et Après-vente"))*'Agences &amp; Après-vente'!$E$2:$E$1000))&gt;0,TEXT(SUMPRODUCT(MAX(('Agences &amp; Après-vente'!$A$2:$A$1000=$A590)*(('Agences &amp; Après-vente'!$D$2:$D$1000="Après-vente")+('Agences &amp; Après-vente'!$D$2:$D$1000="Agences et Après-vente"))*'Agences &amp; Après-vente'!$E$2:$E$1000)),"yyyy-mm-dd"),""))))))</f>
        <v/>
      </c>
      <c r="K590" s="131" t="str">
        <f aca="false">IF($U590="✓","✓",IF(ISNUMBER($U590),TEXT($U590,"yyyy-mm-dd"),IF($D590="Lisbonne","",IF($A590="","",IF(SUMPRODUCT((Evermont!$A$2:$A$1000=$A590)*(Evermont!$Q$2:$Q$1000="Terminé"))&gt;0,"✓",IF(SUMPRODUCT(MAX((Evermont!$A$2:$A$1000=$A590)*Evermont!$F$2:$F$1000))&gt;0,TEXT(SUMPRODUCT(MAX((Evermont!$A$2:$A$1000=$A590)*Evermont!$F$2:$F$1000)),"yyyy-mm-dd"),""))))))</f>
        <v/>
      </c>
      <c r="L590" s="131" t="str">
        <f aca="false">IF($A590="","",COUNTIF(E590:K590,"✓"))</f>
        <v/>
      </c>
      <c r="M590" s="131" t="str">
        <f aca="false">IF(B590="","","Active")</f>
        <v/>
      </c>
      <c r="W590" s="120" t="str">
        <f aca="false">IF($A590="","",IF($X590&lt;&gt;"",$X590,IFERROR(INDEX('Formation Initiale'!$B$2:$B$999,MATCH($A590,'Formation Initiale'!$A$2:$A$999,0)),"Général")))</f>
        <v/>
      </c>
    </row>
    <row r="591" customFormat="false" ht="15" hidden="true" customHeight="true" outlineLevel="0" collapsed="false">
      <c r="A591" s="142" t="str">
        <f aca="false">IF(B591="","","TR"&amp;TEXT(ROW()-1,"000"))</f>
        <v/>
      </c>
      <c r="E591" s="130" t="str">
        <f aca="false">IF($O591="✓","✓",IF(ISNUMBER($O591),TEXT($O591,"yyyy-mm-dd"),IF($A591="","",IF(SUMPRODUCT(('Formation Initiale'!$A$2:$A$999=$A591)*('Formation Initiale'!$R$2:$R$999="Terminé"))&gt;0,"✓",IF(SUMPRODUCT(MAX(('Formation Initiale'!$A$2:$A$999=$A591)*'Formation Initiale'!$G$2:$G$999))&gt;0,TEXT(SUMPRODUCT(MAX(('Formation Initiale'!$A$2:$A$999=$A591)*'Formation Initiale'!$G$2:$G$999)),"yyyy-mm-dd"),"")))))</f>
        <v/>
      </c>
      <c r="F591" s="131" t="str">
        <f aca="false">IF($P591="✓","✓",IF(ISNUMBER($P591),TEXT($P591,"yyyy-mm-dd"),IF($A591="","",IF($D591="Lisbonne","",IF(SUMPRODUCT(('Formation Initiale'!$A$2:$A$999=$A591)*('Formation Initiale'!$R$2:$R$999="Terminé"))&gt;0,"✓",IF(SUMPRODUCT(MAX(('Formation Initiale'!$A$2:$A$999=$A591)*'Formation Initiale'!$G$2:$G$999))&gt;0,TEXT(SUMPRODUCT(MAX(('Formation Initiale'!$A$2:$A$999=$A591)*'Formation Initiale'!$G$2:$G$999)),"yyyy-mm-dd"),""))))))</f>
        <v/>
      </c>
      <c r="G591" s="131" t="str">
        <f aca="false">IF($Q591="✓","✓",IF(ISNUMBER($Q591),TEXT($Q591,"yyyy-mm-dd"),IF($A591="","",IF(SUMPRODUCT(('Agences &amp; Après-vente'!$A$2:$A$1000=$A591)*(('Agences &amp; Après-vente'!$D$2:$D$1000="Agences")+('Agences &amp; Après-vente'!$D$2:$D$1000="Agences et Après-vente"))*('Agences &amp; Après-vente'!$I$2:$I$1000="DONE"))&gt;0,"✓",IF(SUMPRODUCT(MAX(('Agences &amp; Après-vente'!$A$2:$A$1000=$A591)*(('Agences &amp; Après-vente'!$D$2:$D$1000="Agences")+('Agences &amp; Après-vente'!$D$2:$D$1000="Agences et Après-vente"))*'Agences &amp; Après-vente'!$E$2:$E$1000))&gt;0,TEXT(SUMPRODUCT(MAX(('Agences &amp; Après-vente'!$A$2:$A$1000=$A591)*(('Agences &amp; Après-vente'!$D$2:$D$1000="Agences")+('Agences &amp; Après-vente'!$D$2:$D$1000="Agences et Après-vente"))*'Agences &amp; Après-vente'!$E$2:$E$1000)),"yyyy-mm-dd"),"")))))</f>
        <v/>
      </c>
      <c r="H591" s="131" t="str">
        <f aca="false">IF($R591="✓","✓",IF(ISNUMBER($R591),TEXT($R591,"yyyy-mm-dd"),IF($A591="","",IF($D591="Lisbonne","",IF(SUMPRODUCT(('Agences &amp; Après-vente'!$A$2:$A$1000=$A591)*(('Agences &amp; Après-vente'!$D$2:$D$1000="Agences")+('Agences &amp; Après-vente'!$D$2:$D$1000="Agences et Après-vente"))*('Agences &amp; Après-vente'!$I$2:$I$1000="DONE"))&gt;0,"✓",IF(SUMPRODUCT(MAX(('Agences &amp; Après-vente'!$A$2:$A$1000=$A591)*(('Agences &amp; Après-vente'!$D$2:$D$1000="Agences")+('Agences &amp; Après-vente'!$D$2:$D$1000="Agences et Après-vente"))*'Agences &amp; Après-vente'!$E$2:$E$1000))&gt;0,TEXT(SUMPRODUCT(MAX(('Agences &amp; Après-vente'!$A$2:$A$1000=$A591)*(('Agences &amp; Après-vente'!$D$2:$D$1000="Agences")+('Agences &amp; Après-vente'!$D$2:$D$1000="Agences et Après-vente"))*'Agences &amp; Après-vente'!$E$2:$E$1000)),"yyyy-mm-dd"),""))))))</f>
        <v/>
      </c>
      <c r="I591" s="131" t="str">
        <f aca="false">IF($S591="✓","✓",IF(ISNUMBER($S591),TEXT($S591,"yyyy-mm-dd"),IF($A591="","",IF(SUMPRODUCT(('Agences &amp; Après-vente'!$A$2:$A$1000=$A591)*(('Agences &amp; Après-vente'!$D$2:$D$1000="Après-vente")+('Agences &amp; Après-vente'!$D$2:$D$1000="Agences et Après-vente"))*('Agences &amp; Après-vente'!$I$2:$I$1000="DONE"))&gt;0,"✓",IF(SUMPRODUCT(MAX(('Agences &amp; Après-vente'!$A$2:$A$1000=$A591)*(('Agences &amp; Après-vente'!$D$2:$D$1000="Après-vente")+('Agences &amp; Après-vente'!$D$2:$D$1000="Agences et Après-vente"))*'Agences &amp; Après-vente'!$E$2:$E$1000))&gt;0,TEXT(SUMPRODUCT(MAX(('Agences &amp; Après-vente'!$A$2:$A$1000=$A591)*(('Agences &amp; Après-vente'!$D$2:$D$1000="Après-vente")+('Agences &amp; Après-vente'!$D$2:$D$1000="Agences et Après-vente"))*'Agences &amp; Après-vente'!$E$2:$E$1000)),"yyyy-mm-dd"),"")))))</f>
        <v/>
      </c>
      <c r="J591" s="131" t="str">
        <f aca="false">IF($T591="✓","✓",IF(ISNUMBER($T591),TEXT($T591,"yyyy-mm-dd"),IF($A591="","",IF($D591="Lisbonne","",IF(SUMPRODUCT(('Agences &amp; Après-vente'!$A$2:$A$1000=$A591)*(('Agences &amp; Après-vente'!$D$2:$D$1000="Après-vente")+('Agences &amp; Après-vente'!$D$2:$D$1000="Agences et Après-vente"))*('Agences &amp; Après-vente'!$I$2:$I$1000="DONE"))&gt;0,"✓",IF(SUMPRODUCT(MAX(('Agences &amp; Après-vente'!$A$2:$A$1000=$A591)*(('Agences &amp; Après-vente'!$D$2:$D$1000="Après-vente")+('Agences &amp; Après-vente'!$D$2:$D$1000="Agences et Après-vente"))*'Agences &amp; Après-vente'!$E$2:$E$1000))&gt;0,TEXT(SUMPRODUCT(MAX(('Agences &amp; Après-vente'!$A$2:$A$1000=$A591)*(('Agences &amp; Après-vente'!$D$2:$D$1000="Après-vente")+('Agences &amp; Après-vente'!$D$2:$D$1000="Agences et Après-vente"))*'Agences &amp; Après-vente'!$E$2:$E$1000)),"yyyy-mm-dd"),""))))))</f>
        <v/>
      </c>
      <c r="K591" s="131" t="str">
        <f aca="false">IF($U591="✓","✓",IF(ISNUMBER($U591),TEXT($U591,"yyyy-mm-dd"),IF($D591="Lisbonne","",IF($A591="","",IF(SUMPRODUCT((Evermont!$A$2:$A$1000=$A591)*(Evermont!$Q$2:$Q$1000="Terminé"))&gt;0,"✓",IF(SUMPRODUCT(MAX((Evermont!$A$2:$A$1000=$A591)*Evermont!$F$2:$F$1000))&gt;0,TEXT(SUMPRODUCT(MAX((Evermont!$A$2:$A$1000=$A591)*Evermont!$F$2:$F$1000)),"yyyy-mm-dd"),""))))))</f>
        <v/>
      </c>
      <c r="L591" s="131" t="str">
        <f aca="false">IF($A591="","",COUNTIF(E591:K591,"✓"))</f>
        <v/>
      </c>
      <c r="M591" s="131" t="str">
        <f aca="false">IF(B591="","","Active")</f>
        <v/>
      </c>
      <c r="W591" s="120" t="str">
        <f aca="false">IF($A591="","",IF($X591&lt;&gt;"",$X591,IFERROR(INDEX('Formation Initiale'!$B$2:$B$999,MATCH($A591,'Formation Initiale'!$A$2:$A$999,0)),"Général")))</f>
        <v/>
      </c>
    </row>
    <row r="592" customFormat="false" ht="15" hidden="true" customHeight="true" outlineLevel="0" collapsed="false">
      <c r="A592" s="142" t="str">
        <f aca="false">IF(B592="","","TR"&amp;TEXT(ROW()-1,"000"))</f>
        <v/>
      </c>
      <c r="E592" s="130" t="str">
        <f aca="false">IF($O592="✓","✓",IF(ISNUMBER($O592),TEXT($O592,"yyyy-mm-dd"),IF($A592="","",IF(SUMPRODUCT(('Formation Initiale'!$A$2:$A$999=$A592)*('Formation Initiale'!$R$2:$R$999="Terminé"))&gt;0,"✓",IF(SUMPRODUCT(MAX(('Formation Initiale'!$A$2:$A$999=$A592)*'Formation Initiale'!$G$2:$G$999))&gt;0,TEXT(SUMPRODUCT(MAX(('Formation Initiale'!$A$2:$A$999=$A592)*'Formation Initiale'!$G$2:$G$999)),"yyyy-mm-dd"),"")))))</f>
        <v/>
      </c>
      <c r="F592" s="131" t="str">
        <f aca="false">IF($P592="✓","✓",IF(ISNUMBER($P592),TEXT($P592,"yyyy-mm-dd"),IF($A592="","",IF($D592="Lisbonne","",IF(SUMPRODUCT(('Formation Initiale'!$A$2:$A$999=$A592)*('Formation Initiale'!$R$2:$R$999="Terminé"))&gt;0,"✓",IF(SUMPRODUCT(MAX(('Formation Initiale'!$A$2:$A$999=$A592)*'Formation Initiale'!$G$2:$G$999))&gt;0,TEXT(SUMPRODUCT(MAX(('Formation Initiale'!$A$2:$A$999=$A592)*'Formation Initiale'!$G$2:$G$999)),"yyyy-mm-dd"),""))))))</f>
        <v/>
      </c>
      <c r="G592" s="131" t="str">
        <f aca="false">IF($Q592="✓","✓",IF(ISNUMBER($Q592),TEXT($Q592,"yyyy-mm-dd"),IF($A592="","",IF(SUMPRODUCT(('Agences &amp; Après-vente'!$A$2:$A$1000=$A592)*(('Agences &amp; Après-vente'!$D$2:$D$1000="Agences")+('Agences &amp; Après-vente'!$D$2:$D$1000="Agences et Après-vente"))*('Agences &amp; Après-vente'!$I$2:$I$1000="DONE"))&gt;0,"✓",IF(SUMPRODUCT(MAX(('Agences &amp; Après-vente'!$A$2:$A$1000=$A592)*(('Agences &amp; Après-vente'!$D$2:$D$1000="Agences")+('Agences &amp; Après-vente'!$D$2:$D$1000="Agences et Après-vente"))*'Agences &amp; Après-vente'!$E$2:$E$1000))&gt;0,TEXT(SUMPRODUCT(MAX(('Agences &amp; Après-vente'!$A$2:$A$1000=$A592)*(('Agences &amp; Après-vente'!$D$2:$D$1000="Agences")+('Agences &amp; Après-vente'!$D$2:$D$1000="Agences et Après-vente"))*'Agences &amp; Après-vente'!$E$2:$E$1000)),"yyyy-mm-dd"),"")))))</f>
        <v/>
      </c>
      <c r="H592" s="131" t="str">
        <f aca="false">IF($R592="✓","✓",IF(ISNUMBER($R592),TEXT($R592,"yyyy-mm-dd"),IF($A592="","",IF($D592="Lisbonne","",IF(SUMPRODUCT(('Agences &amp; Après-vente'!$A$2:$A$1000=$A592)*(('Agences &amp; Après-vente'!$D$2:$D$1000="Agences")+('Agences &amp; Après-vente'!$D$2:$D$1000="Agences et Après-vente"))*('Agences &amp; Après-vente'!$I$2:$I$1000="DONE"))&gt;0,"✓",IF(SUMPRODUCT(MAX(('Agences &amp; Après-vente'!$A$2:$A$1000=$A592)*(('Agences &amp; Après-vente'!$D$2:$D$1000="Agences")+('Agences &amp; Après-vente'!$D$2:$D$1000="Agences et Après-vente"))*'Agences &amp; Après-vente'!$E$2:$E$1000))&gt;0,TEXT(SUMPRODUCT(MAX(('Agences &amp; Après-vente'!$A$2:$A$1000=$A592)*(('Agences &amp; Après-vente'!$D$2:$D$1000="Agences")+('Agences &amp; Après-vente'!$D$2:$D$1000="Agences et Après-vente"))*'Agences &amp; Après-vente'!$E$2:$E$1000)),"yyyy-mm-dd"),""))))))</f>
        <v/>
      </c>
      <c r="I592" s="131" t="str">
        <f aca="false">IF($S592="✓","✓",IF(ISNUMBER($S592),TEXT($S592,"yyyy-mm-dd"),IF($A592="","",IF(SUMPRODUCT(('Agences &amp; Après-vente'!$A$2:$A$1000=$A592)*(('Agences &amp; Après-vente'!$D$2:$D$1000="Après-vente")+('Agences &amp; Après-vente'!$D$2:$D$1000="Agences et Après-vente"))*('Agences &amp; Après-vente'!$I$2:$I$1000="DONE"))&gt;0,"✓",IF(SUMPRODUCT(MAX(('Agences &amp; Après-vente'!$A$2:$A$1000=$A592)*(('Agences &amp; Après-vente'!$D$2:$D$1000="Après-vente")+('Agences &amp; Après-vente'!$D$2:$D$1000="Agences et Après-vente"))*'Agences &amp; Après-vente'!$E$2:$E$1000))&gt;0,TEXT(SUMPRODUCT(MAX(('Agences &amp; Après-vente'!$A$2:$A$1000=$A592)*(('Agences &amp; Après-vente'!$D$2:$D$1000="Après-vente")+('Agences &amp; Après-vente'!$D$2:$D$1000="Agences et Après-vente"))*'Agences &amp; Après-vente'!$E$2:$E$1000)),"yyyy-mm-dd"),"")))))</f>
        <v/>
      </c>
      <c r="J592" s="131" t="str">
        <f aca="false">IF($T592="✓","✓",IF(ISNUMBER($T592),TEXT($T592,"yyyy-mm-dd"),IF($A592="","",IF($D592="Lisbonne","",IF(SUMPRODUCT(('Agences &amp; Après-vente'!$A$2:$A$1000=$A592)*(('Agences &amp; Après-vente'!$D$2:$D$1000="Après-vente")+('Agences &amp; Après-vente'!$D$2:$D$1000="Agences et Après-vente"))*('Agences &amp; Après-vente'!$I$2:$I$1000="DONE"))&gt;0,"✓",IF(SUMPRODUCT(MAX(('Agences &amp; Après-vente'!$A$2:$A$1000=$A592)*(('Agences &amp; Après-vente'!$D$2:$D$1000="Après-vente")+('Agences &amp; Après-vente'!$D$2:$D$1000="Agences et Après-vente"))*'Agences &amp; Après-vente'!$E$2:$E$1000))&gt;0,TEXT(SUMPRODUCT(MAX(('Agences &amp; Après-vente'!$A$2:$A$1000=$A592)*(('Agences &amp; Après-vente'!$D$2:$D$1000="Après-vente")+('Agences &amp; Après-vente'!$D$2:$D$1000="Agences et Après-vente"))*'Agences &amp; Après-vente'!$E$2:$E$1000)),"yyyy-mm-dd"),""))))))</f>
        <v/>
      </c>
      <c r="K592" s="131" t="str">
        <f aca="false">IF($U592="✓","✓",IF(ISNUMBER($U592),TEXT($U592,"yyyy-mm-dd"),IF($D592="Lisbonne","",IF($A592="","",IF(SUMPRODUCT((Evermont!$A$2:$A$1000=$A592)*(Evermont!$Q$2:$Q$1000="Terminé"))&gt;0,"✓",IF(SUMPRODUCT(MAX((Evermont!$A$2:$A$1000=$A592)*Evermont!$F$2:$F$1000))&gt;0,TEXT(SUMPRODUCT(MAX((Evermont!$A$2:$A$1000=$A592)*Evermont!$F$2:$F$1000)),"yyyy-mm-dd"),""))))))</f>
        <v/>
      </c>
      <c r="L592" s="131" t="str">
        <f aca="false">IF($A592="","",COUNTIF(E592:K592,"✓"))</f>
        <v/>
      </c>
      <c r="M592" s="131" t="str">
        <f aca="false">IF(B592="","","Active")</f>
        <v/>
      </c>
      <c r="W592" s="120" t="str">
        <f aca="false">IF($A592="","",IF($X592&lt;&gt;"",$X592,IFERROR(INDEX('Formation Initiale'!$B$2:$B$999,MATCH($A592,'Formation Initiale'!$A$2:$A$999,0)),"Général")))</f>
        <v/>
      </c>
    </row>
    <row r="593" customFormat="false" ht="15" hidden="true" customHeight="true" outlineLevel="0" collapsed="false">
      <c r="A593" s="142" t="str">
        <f aca="false">IF(B593="","","TR"&amp;TEXT(ROW()-1,"000"))</f>
        <v/>
      </c>
      <c r="E593" s="130" t="str">
        <f aca="false">IF($O593="✓","✓",IF(ISNUMBER($O593),TEXT($O593,"yyyy-mm-dd"),IF($A593="","",IF(SUMPRODUCT(('Formation Initiale'!$A$2:$A$999=$A593)*('Formation Initiale'!$R$2:$R$999="Terminé"))&gt;0,"✓",IF(SUMPRODUCT(MAX(('Formation Initiale'!$A$2:$A$999=$A593)*'Formation Initiale'!$G$2:$G$999))&gt;0,TEXT(SUMPRODUCT(MAX(('Formation Initiale'!$A$2:$A$999=$A593)*'Formation Initiale'!$G$2:$G$999)),"yyyy-mm-dd"),"")))))</f>
        <v/>
      </c>
      <c r="F593" s="131" t="str">
        <f aca="false">IF($P593="✓","✓",IF(ISNUMBER($P593),TEXT($P593,"yyyy-mm-dd"),IF($A593="","",IF($D593="Lisbonne","",IF(SUMPRODUCT(('Formation Initiale'!$A$2:$A$999=$A593)*('Formation Initiale'!$R$2:$R$999="Terminé"))&gt;0,"✓",IF(SUMPRODUCT(MAX(('Formation Initiale'!$A$2:$A$999=$A593)*'Formation Initiale'!$G$2:$G$999))&gt;0,TEXT(SUMPRODUCT(MAX(('Formation Initiale'!$A$2:$A$999=$A593)*'Formation Initiale'!$G$2:$G$999)),"yyyy-mm-dd"),""))))))</f>
        <v/>
      </c>
      <c r="G593" s="131" t="str">
        <f aca="false">IF($Q593="✓","✓",IF(ISNUMBER($Q593),TEXT($Q593,"yyyy-mm-dd"),IF($A593="","",IF(SUMPRODUCT(('Agences &amp; Après-vente'!$A$2:$A$1000=$A593)*(('Agences &amp; Après-vente'!$D$2:$D$1000="Agences")+('Agences &amp; Après-vente'!$D$2:$D$1000="Agences et Après-vente"))*('Agences &amp; Après-vente'!$I$2:$I$1000="DONE"))&gt;0,"✓",IF(SUMPRODUCT(MAX(('Agences &amp; Après-vente'!$A$2:$A$1000=$A593)*(('Agences &amp; Après-vente'!$D$2:$D$1000="Agences")+('Agences &amp; Après-vente'!$D$2:$D$1000="Agences et Après-vente"))*'Agences &amp; Après-vente'!$E$2:$E$1000))&gt;0,TEXT(SUMPRODUCT(MAX(('Agences &amp; Après-vente'!$A$2:$A$1000=$A593)*(('Agences &amp; Après-vente'!$D$2:$D$1000="Agences")+('Agences &amp; Après-vente'!$D$2:$D$1000="Agences et Après-vente"))*'Agences &amp; Après-vente'!$E$2:$E$1000)),"yyyy-mm-dd"),"")))))</f>
        <v/>
      </c>
      <c r="H593" s="131" t="str">
        <f aca="false">IF($R593="✓","✓",IF(ISNUMBER($R593),TEXT($R593,"yyyy-mm-dd"),IF($A593="","",IF($D593="Lisbonne","",IF(SUMPRODUCT(('Agences &amp; Après-vente'!$A$2:$A$1000=$A593)*(('Agences &amp; Après-vente'!$D$2:$D$1000="Agences")+('Agences &amp; Après-vente'!$D$2:$D$1000="Agences et Après-vente"))*('Agences &amp; Après-vente'!$I$2:$I$1000="DONE"))&gt;0,"✓",IF(SUMPRODUCT(MAX(('Agences &amp; Après-vente'!$A$2:$A$1000=$A593)*(('Agences &amp; Après-vente'!$D$2:$D$1000="Agences")+('Agences &amp; Après-vente'!$D$2:$D$1000="Agences et Après-vente"))*'Agences &amp; Après-vente'!$E$2:$E$1000))&gt;0,TEXT(SUMPRODUCT(MAX(('Agences &amp; Après-vente'!$A$2:$A$1000=$A593)*(('Agences &amp; Après-vente'!$D$2:$D$1000="Agences")+('Agences &amp; Après-vente'!$D$2:$D$1000="Agences et Après-vente"))*'Agences &amp; Après-vente'!$E$2:$E$1000)),"yyyy-mm-dd"),""))))))</f>
        <v/>
      </c>
      <c r="I593" s="131" t="str">
        <f aca="false">IF($S593="✓","✓",IF(ISNUMBER($S593),TEXT($S593,"yyyy-mm-dd"),IF($A593="","",IF(SUMPRODUCT(('Agences &amp; Après-vente'!$A$2:$A$1000=$A593)*(('Agences &amp; Après-vente'!$D$2:$D$1000="Après-vente")+('Agences &amp; Après-vente'!$D$2:$D$1000="Agences et Après-vente"))*('Agences &amp; Après-vente'!$I$2:$I$1000="DONE"))&gt;0,"✓",IF(SUMPRODUCT(MAX(('Agences &amp; Après-vente'!$A$2:$A$1000=$A593)*(('Agences &amp; Après-vente'!$D$2:$D$1000="Après-vente")+('Agences &amp; Après-vente'!$D$2:$D$1000="Agences et Après-vente"))*'Agences &amp; Après-vente'!$E$2:$E$1000))&gt;0,TEXT(SUMPRODUCT(MAX(('Agences &amp; Après-vente'!$A$2:$A$1000=$A593)*(('Agences &amp; Après-vente'!$D$2:$D$1000="Après-vente")+('Agences &amp; Après-vente'!$D$2:$D$1000="Agences et Après-vente"))*'Agences &amp; Après-vente'!$E$2:$E$1000)),"yyyy-mm-dd"),"")))))</f>
        <v/>
      </c>
      <c r="J593" s="131" t="str">
        <f aca="false">IF($T593="✓","✓",IF(ISNUMBER($T593),TEXT($T593,"yyyy-mm-dd"),IF($A593="","",IF($D593="Lisbonne","",IF(SUMPRODUCT(('Agences &amp; Après-vente'!$A$2:$A$1000=$A593)*(('Agences &amp; Après-vente'!$D$2:$D$1000="Après-vente")+('Agences &amp; Après-vente'!$D$2:$D$1000="Agences et Après-vente"))*('Agences &amp; Après-vente'!$I$2:$I$1000="DONE"))&gt;0,"✓",IF(SUMPRODUCT(MAX(('Agences &amp; Après-vente'!$A$2:$A$1000=$A593)*(('Agences &amp; Après-vente'!$D$2:$D$1000="Après-vente")+('Agences &amp; Après-vente'!$D$2:$D$1000="Agences et Après-vente"))*'Agences &amp; Après-vente'!$E$2:$E$1000))&gt;0,TEXT(SUMPRODUCT(MAX(('Agences &amp; Après-vente'!$A$2:$A$1000=$A593)*(('Agences &amp; Après-vente'!$D$2:$D$1000="Après-vente")+('Agences &amp; Après-vente'!$D$2:$D$1000="Agences et Après-vente"))*'Agences &amp; Après-vente'!$E$2:$E$1000)),"yyyy-mm-dd"),""))))))</f>
        <v/>
      </c>
      <c r="K593" s="131" t="str">
        <f aca="false">IF($U593="✓","✓",IF(ISNUMBER($U593),TEXT($U593,"yyyy-mm-dd"),IF($D593="Lisbonne","",IF($A593="","",IF(SUMPRODUCT((Evermont!$A$2:$A$1000=$A593)*(Evermont!$Q$2:$Q$1000="Terminé"))&gt;0,"✓",IF(SUMPRODUCT(MAX((Evermont!$A$2:$A$1000=$A593)*Evermont!$F$2:$F$1000))&gt;0,TEXT(SUMPRODUCT(MAX((Evermont!$A$2:$A$1000=$A593)*Evermont!$F$2:$F$1000)),"yyyy-mm-dd"),""))))))</f>
        <v/>
      </c>
      <c r="L593" s="131" t="str">
        <f aca="false">IF($A593="","",COUNTIF(E593:K593,"✓"))</f>
        <v/>
      </c>
      <c r="M593" s="131" t="str">
        <f aca="false">IF(B593="","","Active")</f>
        <v/>
      </c>
      <c r="W593" s="120" t="str">
        <f aca="false">IF($A593="","",IF($X593&lt;&gt;"",$X593,IFERROR(INDEX('Formation Initiale'!$B$2:$B$999,MATCH($A593,'Formation Initiale'!$A$2:$A$999,0)),"Général")))</f>
        <v/>
      </c>
    </row>
    <row r="594" customFormat="false" ht="15" hidden="true" customHeight="true" outlineLevel="0" collapsed="false">
      <c r="A594" s="142" t="str">
        <f aca="false">IF(B594="","","TR"&amp;TEXT(ROW()-1,"000"))</f>
        <v/>
      </c>
      <c r="E594" s="130" t="str">
        <f aca="false">IF($O594="✓","✓",IF(ISNUMBER($O594),TEXT($O594,"yyyy-mm-dd"),IF($A594="","",IF(SUMPRODUCT(('Formation Initiale'!$A$2:$A$999=$A594)*('Formation Initiale'!$R$2:$R$999="Terminé"))&gt;0,"✓",IF(SUMPRODUCT(MAX(('Formation Initiale'!$A$2:$A$999=$A594)*'Formation Initiale'!$G$2:$G$999))&gt;0,TEXT(SUMPRODUCT(MAX(('Formation Initiale'!$A$2:$A$999=$A594)*'Formation Initiale'!$G$2:$G$999)),"yyyy-mm-dd"),"")))))</f>
        <v/>
      </c>
      <c r="F594" s="131" t="str">
        <f aca="false">IF($P594="✓","✓",IF(ISNUMBER($P594),TEXT($P594,"yyyy-mm-dd"),IF($A594="","",IF($D594="Lisbonne","",IF(SUMPRODUCT(('Formation Initiale'!$A$2:$A$999=$A594)*('Formation Initiale'!$R$2:$R$999="Terminé"))&gt;0,"✓",IF(SUMPRODUCT(MAX(('Formation Initiale'!$A$2:$A$999=$A594)*'Formation Initiale'!$G$2:$G$999))&gt;0,TEXT(SUMPRODUCT(MAX(('Formation Initiale'!$A$2:$A$999=$A594)*'Formation Initiale'!$G$2:$G$999)),"yyyy-mm-dd"),""))))))</f>
        <v/>
      </c>
      <c r="G594" s="131" t="str">
        <f aca="false">IF($Q594="✓","✓",IF(ISNUMBER($Q594),TEXT($Q594,"yyyy-mm-dd"),IF($A594="","",IF(SUMPRODUCT(('Agences &amp; Après-vente'!$A$2:$A$1000=$A594)*(('Agences &amp; Après-vente'!$D$2:$D$1000="Agences")+('Agences &amp; Après-vente'!$D$2:$D$1000="Agences et Après-vente"))*('Agences &amp; Après-vente'!$I$2:$I$1000="DONE"))&gt;0,"✓",IF(SUMPRODUCT(MAX(('Agences &amp; Après-vente'!$A$2:$A$1000=$A594)*(('Agences &amp; Après-vente'!$D$2:$D$1000="Agences")+('Agences &amp; Après-vente'!$D$2:$D$1000="Agences et Après-vente"))*'Agences &amp; Après-vente'!$E$2:$E$1000))&gt;0,TEXT(SUMPRODUCT(MAX(('Agences &amp; Après-vente'!$A$2:$A$1000=$A594)*(('Agences &amp; Après-vente'!$D$2:$D$1000="Agences")+('Agences &amp; Après-vente'!$D$2:$D$1000="Agences et Après-vente"))*'Agences &amp; Après-vente'!$E$2:$E$1000)),"yyyy-mm-dd"),"")))))</f>
        <v/>
      </c>
      <c r="H594" s="131" t="str">
        <f aca="false">IF($R594="✓","✓",IF(ISNUMBER($R594),TEXT($R594,"yyyy-mm-dd"),IF($A594="","",IF($D594="Lisbonne","",IF(SUMPRODUCT(('Agences &amp; Après-vente'!$A$2:$A$1000=$A594)*(('Agences &amp; Après-vente'!$D$2:$D$1000="Agences")+('Agences &amp; Après-vente'!$D$2:$D$1000="Agences et Après-vente"))*('Agences &amp; Après-vente'!$I$2:$I$1000="DONE"))&gt;0,"✓",IF(SUMPRODUCT(MAX(('Agences &amp; Après-vente'!$A$2:$A$1000=$A594)*(('Agences &amp; Après-vente'!$D$2:$D$1000="Agences")+('Agences &amp; Après-vente'!$D$2:$D$1000="Agences et Après-vente"))*'Agences &amp; Après-vente'!$E$2:$E$1000))&gt;0,TEXT(SUMPRODUCT(MAX(('Agences &amp; Après-vente'!$A$2:$A$1000=$A594)*(('Agences &amp; Après-vente'!$D$2:$D$1000="Agences")+('Agences &amp; Après-vente'!$D$2:$D$1000="Agences et Après-vente"))*'Agences &amp; Après-vente'!$E$2:$E$1000)),"yyyy-mm-dd"),""))))))</f>
        <v/>
      </c>
      <c r="I594" s="131" t="str">
        <f aca="false">IF($S594="✓","✓",IF(ISNUMBER($S594),TEXT($S594,"yyyy-mm-dd"),IF($A594="","",IF(SUMPRODUCT(('Agences &amp; Après-vente'!$A$2:$A$1000=$A594)*(('Agences &amp; Après-vente'!$D$2:$D$1000="Après-vente")+('Agences &amp; Après-vente'!$D$2:$D$1000="Agences et Après-vente"))*('Agences &amp; Après-vente'!$I$2:$I$1000="DONE"))&gt;0,"✓",IF(SUMPRODUCT(MAX(('Agences &amp; Après-vente'!$A$2:$A$1000=$A594)*(('Agences &amp; Après-vente'!$D$2:$D$1000="Après-vente")+('Agences &amp; Après-vente'!$D$2:$D$1000="Agences et Après-vente"))*'Agences &amp; Après-vente'!$E$2:$E$1000))&gt;0,TEXT(SUMPRODUCT(MAX(('Agences &amp; Après-vente'!$A$2:$A$1000=$A594)*(('Agences &amp; Après-vente'!$D$2:$D$1000="Après-vente")+('Agences &amp; Après-vente'!$D$2:$D$1000="Agences et Après-vente"))*'Agences &amp; Après-vente'!$E$2:$E$1000)),"yyyy-mm-dd"),"")))))</f>
        <v/>
      </c>
      <c r="J594" s="131" t="str">
        <f aca="false">IF($T594="✓","✓",IF(ISNUMBER($T594),TEXT($T594,"yyyy-mm-dd"),IF($A594="","",IF($D594="Lisbonne","",IF(SUMPRODUCT(('Agences &amp; Après-vente'!$A$2:$A$1000=$A594)*(('Agences &amp; Après-vente'!$D$2:$D$1000="Après-vente")+('Agences &amp; Après-vente'!$D$2:$D$1000="Agences et Après-vente"))*('Agences &amp; Après-vente'!$I$2:$I$1000="DONE"))&gt;0,"✓",IF(SUMPRODUCT(MAX(('Agences &amp; Après-vente'!$A$2:$A$1000=$A594)*(('Agences &amp; Après-vente'!$D$2:$D$1000="Après-vente")+('Agences &amp; Après-vente'!$D$2:$D$1000="Agences et Après-vente"))*'Agences &amp; Après-vente'!$E$2:$E$1000))&gt;0,TEXT(SUMPRODUCT(MAX(('Agences &amp; Après-vente'!$A$2:$A$1000=$A594)*(('Agences &amp; Après-vente'!$D$2:$D$1000="Après-vente")+('Agences &amp; Après-vente'!$D$2:$D$1000="Agences et Après-vente"))*'Agences &amp; Après-vente'!$E$2:$E$1000)),"yyyy-mm-dd"),""))))))</f>
        <v/>
      </c>
      <c r="K594" s="131" t="str">
        <f aca="false">IF($U594="✓","✓",IF(ISNUMBER($U594),TEXT($U594,"yyyy-mm-dd"),IF($D594="Lisbonne","",IF($A594="","",IF(SUMPRODUCT((Evermont!$A$2:$A$1000=$A594)*(Evermont!$Q$2:$Q$1000="Terminé"))&gt;0,"✓",IF(SUMPRODUCT(MAX((Evermont!$A$2:$A$1000=$A594)*Evermont!$F$2:$F$1000))&gt;0,TEXT(SUMPRODUCT(MAX((Evermont!$A$2:$A$1000=$A594)*Evermont!$F$2:$F$1000)),"yyyy-mm-dd"),""))))))</f>
        <v/>
      </c>
      <c r="L594" s="131" t="str">
        <f aca="false">IF($A594="","",COUNTIF(E594:K594,"✓"))</f>
        <v/>
      </c>
      <c r="M594" s="131" t="str">
        <f aca="false">IF(B594="","","Active")</f>
        <v/>
      </c>
      <c r="W594" s="120" t="str">
        <f aca="false">IF($A594="","",IF($X594&lt;&gt;"",$X594,IFERROR(INDEX('Formation Initiale'!$B$2:$B$999,MATCH($A594,'Formation Initiale'!$A$2:$A$999,0)),"Général")))</f>
        <v/>
      </c>
    </row>
    <row r="595" customFormat="false" ht="15" hidden="true" customHeight="true" outlineLevel="0" collapsed="false">
      <c r="A595" s="142" t="str">
        <f aca="false">IF(B595="","","TR"&amp;TEXT(ROW()-1,"000"))</f>
        <v/>
      </c>
      <c r="E595" s="130" t="str">
        <f aca="false">IF($O595="✓","✓",IF(ISNUMBER($O595),TEXT($O595,"yyyy-mm-dd"),IF($A595="","",IF(SUMPRODUCT(('Formation Initiale'!$A$2:$A$999=$A595)*('Formation Initiale'!$R$2:$R$999="Terminé"))&gt;0,"✓",IF(SUMPRODUCT(MAX(('Formation Initiale'!$A$2:$A$999=$A595)*'Formation Initiale'!$G$2:$G$999))&gt;0,TEXT(SUMPRODUCT(MAX(('Formation Initiale'!$A$2:$A$999=$A595)*'Formation Initiale'!$G$2:$G$999)),"yyyy-mm-dd"),"")))))</f>
        <v/>
      </c>
      <c r="F595" s="131" t="str">
        <f aca="false">IF($P595="✓","✓",IF(ISNUMBER($P595),TEXT($P595,"yyyy-mm-dd"),IF($A595="","",IF($D595="Lisbonne","",IF(SUMPRODUCT(('Formation Initiale'!$A$2:$A$999=$A595)*('Formation Initiale'!$R$2:$R$999="Terminé"))&gt;0,"✓",IF(SUMPRODUCT(MAX(('Formation Initiale'!$A$2:$A$999=$A595)*'Formation Initiale'!$G$2:$G$999))&gt;0,TEXT(SUMPRODUCT(MAX(('Formation Initiale'!$A$2:$A$999=$A595)*'Formation Initiale'!$G$2:$G$999)),"yyyy-mm-dd"),""))))))</f>
        <v/>
      </c>
      <c r="G595" s="131" t="str">
        <f aca="false">IF($Q595="✓","✓",IF(ISNUMBER($Q595),TEXT($Q595,"yyyy-mm-dd"),IF($A595="","",IF(SUMPRODUCT(('Agences &amp; Après-vente'!$A$2:$A$1000=$A595)*(('Agences &amp; Après-vente'!$D$2:$D$1000="Agences")+('Agences &amp; Après-vente'!$D$2:$D$1000="Agences et Après-vente"))*('Agences &amp; Après-vente'!$I$2:$I$1000="DONE"))&gt;0,"✓",IF(SUMPRODUCT(MAX(('Agences &amp; Après-vente'!$A$2:$A$1000=$A595)*(('Agences &amp; Après-vente'!$D$2:$D$1000="Agences")+('Agences &amp; Après-vente'!$D$2:$D$1000="Agences et Après-vente"))*'Agences &amp; Après-vente'!$E$2:$E$1000))&gt;0,TEXT(SUMPRODUCT(MAX(('Agences &amp; Après-vente'!$A$2:$A$1000=$A595)*(('Agences &amp; Après-vente'!$D$2:$D$1000="Agences")+('Agences &amp; Après-vente'!$D$2:$D$1000="Agences et Après-vente"))*'Agences &amp; Après-vente'!$E$2:$E$1000)),"yyyy-mm-dd"),"")))))</f>
        <v/>
      </c>
      <c r="H595" s="131" t="str">
        <f aca="false">IF($R595="✓","✓",IF(ISNUMBER($R595),TEXT($R595,"yyyy-mm-dd"),IF($A595="","",IF($D595="Lisbonne","",IF(SUMPRODUCT(('Agences &amp; Après-vente'!$A$2:$A$1000=$A595)*(('Agences &amp; Après-vente'!$D$2:$D$1000="Agences")+('Agences &amp; Après-vente'!$D$2:$D$1000="Agences et Après-vente"))*('Agences &amp; Après-vente'!$I$2:$I$1000="DONE"))&gt;0,"✓",IF(SUMPRODUCT(MAX(('Agences &amp; Après-vente'!$A$2:$A$1000=$A595)*(('Agences &amp; Après-vente'!$D$2:$D$1000="Agences")+('Agences &amp; Après-vente'!$D$2:$D$1000="Agences et Après-vente"))*'Agences &amp; Après-vente'!$E$2:$E$1000))&gt;0,TEXT(SUMPRODUCT(MAX(('Agences &amp; Après-vente'!$A$2:$A$1000=$A595)*(('Agences &amp; Après-vente'!$D$2:$D$1000="Agences")+('Agences &amp; Après-vente'!$D$2:$D$1000="Agences et Après-vente"))*'Agences &amp; Après-vente'!$E$2:$E$1000)),"yyyy-mm-dd"),""))))))</f>
        <v/>
      </c>
      <c r="I595" s="131" t="str">
        <f aca="false">IF($S595="✓","✓",IF(ISNUMBER($S595),TEXT($S595,"yyyy-mm-dd"),IF($A595="","",IF(SUMPRODUCT(('Agences &amp; Après-vente'!$A$2:$A$1000=$A595)*(('Agences &amp; Après-vente'!$D$2:$D$1000="Après-vente")+('Agences &amp; Après-vente'!$D$2:$D$1000="Agences et Après-vente"))*('Agences &amp; Après-vente'!$I$2:$I$1000="DONE"))&gt;0,"✓",IF(SUMPRODUCT(MAX(('Agences &amp; Après-vente'!$A$2:$A$1000=$A595)*(('Agences &amp; Après-vente'!$D$2:$D$1000="Après-vente")+('Agences &amp; Après-vente'!$D$2:$D$1000="Agences et Après-vente"))*'Agences &amp; Après-vente'!$E$2:$E$1000))&gt;0,TEXT(SUMPRODUCT(MAX(('Agences &amp; Après-vente'!$A$2:$A$1000=$A595)*(('Agences &amp; Après-vente'!$D$2:$D$1000="Après-vente")+('Agences &amp; Après-vente'!$D$2:$D$1000="Agences et Après-vente"))*'Agences &amp; Après-vente'!$E$2:$E$1000)),"yyyy-mm-dd"),"")))))</f>
        <v/>
      </c>
      <c r="J595" s="131" t="str">
        <f aca="false">IF($T595="✓","✓",IF(ISNUMBER($T595),TEXT($T595,"yyyy-mm-dd"),IF($A595="","",IF($D595="Lisbonne","",IF(SUMPRODUCT(('Agences &amp; Après-vente'!$A$2:$A$1000=$A595)*(('Agences &amp; Après-vente'!$D$2:$D$1000="Après-vente")+('Agences &amp; Après-vente'!$D$2:$D$1000="Agences et Après-vente"))*('Agences &amp; Après-vente'!$I$2:$I$1000="DONE"))&gt;0,"✓",IF(SUMPRODUCT(MAX(('Agences &amp; Après-vente'!$A$2:$A$1000=$A595)*(('Agences &amp; Après-vente'!$D$2:$D$1000="Après-vente")+('Agences &amp; Après-vente'!$D$2:$D$1000="Agences et Après-vente"))*'Agences &amp; Après-vente'!$E$2:$E$1000))&gt;0,TEXT(SUMPRODUCT(MAX(('Agences &amp; Après-vente'!$A$2:$A$1000=$A595)*(('Agences &amp; Après-vente'!$D$2:$D$1000="Après-vente")+('Agences &amp; Après-vente'!$D$2:$D$1000="Agences et Après-vente"))*'Agences &amp; Après-vente'!$E$2:$E$1000)),"yyyy-mm-dd"),""))))))</f>
        <v/>
      </c>
      <c r="K595" s="131" t="str">
        <f aca="false">IF($U595="✓","✓",IF(ISNUMBER($U595),TEXT($U595,"yyyy-mm-dd"),IF($D595="Lisbonne","",IF($A595="","",IF(SUMPRODUCT((Evermont!$A$2:$A$1000=$A595)*(Evermont!$Q$2:$Q$1000="Terminé"))&gt;0,"✓",IF(SUMPRODUCT(MAX((Evermont!$A$2:$A$1000=$A595)*Evermont!$F$2:$F$1000))&gt;0,TEXT(SUMPRODUCT(MAX((Evermont!$A$2:$A$1000=$A595)*Evermont!$F$2:$F$1000)),"yyyy-mm-dd"),""))))))</f>
        <v/>
      </c>
      <c r="L595" s="131" t="str">
        <f aca="false">IF($A595="","",COUNTIF(E595:K595,"✓"))</f>
        <v/>
      </c>
      <c r="M595" s="131" t="str">
        <f aca="false">IF(B595="","","Active")</f>
        <v/>
      </c>
      <c r="W595" s="120" t="str">
        <f aca="false">IF($A595="","",IF($X595&lt;&gt;"",$X595,IFERROR(INDEX('Formation Initiale'!$B$2:$B$999,MATCH($A595,'Formation Initiale'!$A$2:$A$999,0)),"Général")))</f>
        <v/>
      </c>
    </row>
    <row r="596" customFormat="false" ht="15" hidden="true" customHeight="true" outlineLevel="0" collapsed="false">
      <c r="A596" s="142" t="str">
        <f aca="false">IF(B596="","","TR"&amp;TEXT(ROW()-1,"000"))</f>
        <v/>
      </c>
      <c r="E596" s="130" t="str">
        <f aca="false">IF($O596="✓","✓",IF(ISNUMBER($O596),TEXT($O596,"yyyy-mm-dd"),IF($A596="","",IF(SUMPRODUCT(('Formation Initiale'!$A$2:$A$999=$A596)*('Formation Initiale'!$R$2:$R$999="Terminé"))&gt;0,"✓",IF(SUMPRODUCT(MAX(('Formation Initiale'!$A$2:$A$999=$A596)*'Formation Initiale'!$G$2:$G$999))&gt;0,TEXT(SUMPRODUCT(MAX(('Formation Initiale'!$A$2:$A$999=$A596)*'Formation Initiale'!$G$2:$G$999)),"yyyy-mm-dd"),"")))))</f>
        <v/>
      </c>
      <c r="F596" s="131" t="str">
        <f aca="false">IF($P596="✓","✓",IF(ISNUMBER($P596),TEXT($P596,"yyyy-mm-dd"),IF($A596="","",IF($D596="Lisbonne","",IF(SUMPRODUCT(('Formation Initiale'!$A$2:$A$999=$A596)*('Formation Initiale'!$R$2:$R$999="Terminé"))&gt;0,"✓",IF(SUMPRODUCT(MAX(('Formation Initiale'!$A$2:$A$999=$A596)*'Formation Initiale'!$G$2:$G$999))&gt;0,TEXT(SUMPRODUCT(MAX(('Formation Initiale'!$A$2:$A$999=$A596)*'Formation Initiale'!$G$2:$G$999)),"yyyy-mm-dd"),""))))))</f>
        <v/>
      </c>
      <c r="G596" s="131" t="str">
        <f aca="false">IF($Q596="✓","✓",IF(ISNUMBER($Q596),TEXT($Q596,"yyyy-mm-dd"),IF($A596="","",IF(SUMPRODUCT(('Agences &amp; Après-vente'!$A$2:$A$1000=$A596)*(('Agences &amp; Après-vente'!$D$2:$D$1000="Agences")+('Agences &amp; Après-vente'!$D$2:$D$1000="Agences et Après-vente"))*('Agences &amp; Après-vente'!$I$2:$I$1000="DONE"))&gt;0,"✓",IF(SUMPRODUCT(MAX(('Agences &amp; Après-vente'!$A$2:$A$1000=$A596)*(('Agences &amp; Après-vente'!$D$2:$D$1000="Agences")+('Agences &amp; Après-vente'!$D$2:$D$1000="Agences et Après-vente"))*'Agences &amp; Après-vente'!$E$2:$E$1000))&gt;0,TEXT(SUMPRODUCT(MAX(('Agences &amp; Après-vente'!$A$2:$A$1000=$A596)*(('Agences &amp; Après-vente'!$D$2:$D$1000="Agences")+('Agences &amp; Après-vente'!$D$2:$D$1000="Agences et Après-vente"))*'Agences &amp; Après-vente'!$E$2:$E$1000)),"yyyy-mm-dd"),"")))))</f>
        <v/>
      </c>
      <c r="H596" s="131" t="str">
        <f aca="false">IF($R596="✓","✓",IF(ISNUMBER($R596),TEXT($R596,"yyyy-mm-dd"),IF($A596="","",IF($D596="Lisbonne","",IF(SUMPRODUCT(('Agences &amp; Après-vente'!$A$2:$A$1000=$A596)*(('Agences &amp; Après-vente'!$D$2:$D$1000="Agences")+('Agences &amp; Après-vente'!$D$2:$D$1000="Agences et Après-vente"))*('Agences &amp; Après-vente'!$I$2:$I$1000="DONE"))&gt;0,"✓",IF(SUMPRODUCT(MAX(('Agences &amp; Après-vente'!$A$2:$A$1000=$A596)*(('Agences &amp; Après-vente'!$D$2:$D$1000="Agences")+('Agences &amp; Après-vente'!$D$2:$D$1000="Agences et Après-vente"))*'Agences &amp; Après-vente'!$E$2:$E$1000))&gt;0,TEXT(SUMPRODUCT(MAX(('Agences &amp; Après-vente'!$A$2:$A$1000=$A596)*(('Agences &amp; Après-vente'!$D$2:$D$1000="Agences")+('Agences &amp; Après-vente'!$D$2:$D$1000="Agences et Après-vente"))*'Agences &amp; Après-vente'!$E$2:$E$1000)),"yyyy-mm-dd"),""))))))</f>
        <v/>
      </c>
      <c r="I596" s="131" t="str">
        <f aca="false">IF($S596="✓","✓",IF(ISNUMBER($S596),TEXT($S596,"yyyy-mm-dd"),IF($A596="","",IF(SUMPRODUCT(('Agences &amp; Après-vente'!$A$2:$A$1000=$A596)*(('Agences &amp; Après-vente'!$D$2:$D$1000="Après-vente")+('Agences &amp; Après-vente'!$D$2:$D$1000="Agences et Après-vente"))*('Agences &amp; Après-vente'!$I$2:$I$1000="DONE"))&gt;0,"✓",IF(SUMPRODUCT(MAX(('Agences &amp; Après-vente'!$A$2:$A$1000=$A596)*(('Agences &amp; Après-vente'!$D$2:$D$1000="Après-vente")+('Agences &amp; Après-vente'!$D$2:$D$1000="Agences et Après-vente"))*'Agences &amp; Après-vente'!$E$2:$E$1000))&gt;0,TEXT(SUMPRODUCT(MAX(('Agences &amp; Après-vente'!$A$2:$A$1000=$A596)*(('Agences &amp; Après-vente'!$D$2:$D$1000="Après-vente")+('Agences &amp; Après-vente'!$D$2:$D$1000="Agences et Après-vente"))*'Agences &amp; Après-vente'!$E$2:$E$1000)),"yyyy-mm-dd"),"")))))</f>
        <v/>
      </c>
      <c r="J596" s="131" t="str">
        <f aca="false">IF($T596="✓","✓",IF(ISNUMBER($T596),TEXT($T596,"yyyy-mm-dd"),IF($A596="","",IF($D596="Lisbonne","",IF(SUMPRODUCT(('Agences &amp; Après-vente'!$A$2:$A$1000=$A596)*(('Agences &amp; Après-vente'!$D$2:$D$1000="Après-vente")+('Agences &amp; Après-vente'!$D$2:$D$1000="Agences et Après-vente"))*('Agences &amp; Après-vente'!$I$2:$I$1000="DONE"))&gt;0,"✓",IF(SUMPRODUCT(MAX(('Agences &amp; Après-vente'!$A$2:$A$1000=$A596)*(('Agences &amp; Après-vente'!$D$2:$D$1000="Après-vente")+('Agences &amp; Après-vente'!$D$2:$D$1000="Agences et Après-vente"))*'Agences &amp; Après-vente'!$E$2:$E$1000))&gt;0,TEXT(SUMPRODUCT(MAX(('Agences &amp; Après-vente'!$A$2:$A$1000=$A596)*(('Agences &amp; Après-vente'!$D$2:$D$1000="Après-vente")+('Agences &amp; Après-vente'!$D$2:$D$1000="Agences et Après-vente"))*'Agences &amp; Après-vente'!$E$2:$E$1000)),"yyyy-mm-dd"),""))))))</f>
        <v/>
      </c>
      <c r="K596" s="131" t="str">
        <f aca="false">IF($U596="✓","✓",IF(ISNUMBER($U596),TEXT($U596,"yyyy-mm-dd"),IF($D596="Lisbonne","",IF($A596="","",IF(SUMPRODUCT((Evermont!$A$2:$A$1000=$A596)*(Evermont!$Q$2:$Q$1000="Terminé"))&gt;0,"✓",IF(SUMPRODUCT(MAX((Evermont!$A$2:$A$1000=$A596)*Evermont!$F$2:$F$1000))&gt;0,TEXT(SUMPRODUCT(MAX((Evermont!$A$2:$A$1000=$A596)*Evermont!$F$2:$F$1000)),"yyyy-mm-dd"),""))))))</f>
        <v/>
      </c>
      <c r="L596" s="131" t="str">
        <f aca="false">IF($A596="","",COUNTIF(E596:K596,"✓"))</f>
        <v/>
      </c>
      <c r="M596" s="131" t="str">
        <f aca="false">IF(B596="","","Active")</f>
        <v/>
      </c>
      <c r="W596" s="120" t="str">
        <f aca="false">IF($A596="","",IF($X596&lt;&gt;"",$X596,IFERROR(INDEX('Formation Initiale'!$B$2:$B$999,MATCH($A596,'Formation Initiale'!$A$2:$A$999,0)),"Général")))</f>
        <v/>
      </c>
    </row>
    <row r="597" customFormat="false" ht="15" hidden="true" customHeight="true" outlineLevel="0" collapsed="false">
      <c r="A597" s="142" t="str">
        <f aca="false">IF(B597="","","TR"&amp;TEXT(ROW()-1,"000"))</f>
        <v/>
      </c>
      <c r="E597" s="130" t="str">
        <f aca="false">IF($O597="✓","✓",IF(ISNUMBER($O597),TEXT($O597,"yyyy-mm-dd"),IF($A597="","",IF(SUMPRODUCT(('Formation Initiale'!$A$2:$A$999=$A597)*('Formation Initiale'!$R$2:$R$999="Terminé"))&gt;0,"✓",IF(SUMPRODUCT(MAX(('Formation Initiale'!$A$2:$A$999=$A597)*'Formation Initiale'!$G$2:$G$999))&gt;0,TEXT(SUMPRODUCT(MAX(('Formation Initiale'!$A$2:$A$999=$A597)*'Formation Initiale'!$G$2:$G$999)),"yyyy-mm-dd"),"")))))</f>
        <v/>
      </c>
      <c r="F597" s="131" t="str">
        <f aca="false">IF($P597="✓","✓",IF(ISNUMBER($P597),TEXT($P597,"yyyy-mm-dd"),IF($A597="","",IF($D597="Lisbonne","",IF(SUMPRODUCT(('Formation Initiale'!$A$2:$A$999=$A597)*('Formation Initiale'!$R$2:$R$999="Terminé"))&gt;0,"✓",IF(SUMPRODUCT(MAX(('Formation Initiale'!$A$2:$A$999=$A597)*'Formation Initiale'!$G$2:$G$999))&gt;0,TEXT(SUMPRODUCT(MAX(('Formation Initiale'!$A$2:$A$999=$A597)*'Formation Initiale'!$G$2:$G$999)),"yyyy-mm-dd"),""))))))</f>
        <v/>
      </c>
      <c r="G597" s="131" t="str">
        <f aca="false">IF($Q597="✓","✓",IF(ISNUMBER($Q597),TEXT($Q597,"yyyy-mm-dd"),IF($A597="","",IF(SUMPRODUCT(('Agences &amp; Après-vente'!$A$2:$A$1000=$A597)*(('Agences &amp; Après-vente'!$D$2:$D$1000="Agences")+('Agences &amp; Après-vente'!$D$2:$D$1000="Agences et Après-vente"))*('Agences &amp; Après-vente'!$I$2:$I$1000="DONE"))&gt;0,"✓",IF(SUMPRODUCT(MAX(('Agences &amp; Après-vente'!$A$2:$A$1000=$A597)*(('Agences &amp; Après-vente'!$D$2:$D$1000="Agences")+('Agences &amp; Après-vente'!$D$2:$D$1000="Agences et Après-vente"))*'Agences &amp; Après-vente'!$E$2:$E$1000))&gt;0,TEXT(SUMPRODUCT(MAX(('Agences &amp; Après-vente'!$A$2:$A$1000=$A597)*(('Agences &amp; Après-vente'!$D$2:$D$1000="Agences")+('Agences &amp; Après-vente'!$D$2:$D$1000="Agences et Après-vente"))*'Agences &amp; Après-vente'!$E$2:$E$1000)),"yyyy-mm-dd"),"")))))</f>
        <v/>
      </c>
      <c r="H597" s="131" t="str">
        <f aca="false">IF($R597="✓","✓",IF(ISNUMBER($R597),TEXT($R597,"yyyy-mm-dd"),IF($A597="","",IF($D597="Lisbonne","",IF(SUMPRODUCT(('Agences &amp; Après-vente'!$A$2:$A$1000=$A597)*(('Agences &amp; Après-vente'!$D$2:$D$1000="Agences")+('Agences &amp; Après-vente'!$D$2:$D$1000="Agences et Après-vente"))*('Agences &amp; Après-vente'!$I$2:$I$1000="DONE"))&gt;0,"✓",IF(SUMPRODUCT(MAX(('Agences &amp; Après-vente'!$A$2:$A$1000=$A597)*(('Agences &amp; Après-vente'!$D$2:$D$1000="Agences")+('Agences &amp; Après-vente'!$D$2:$D$1000="Agences et Après-vente"))*'Agences &amp; Après-vente'!$E$2:$E$1000))&gt;0,TEXT(SUMPRODUCT(MAX(('Agences &amp; Après-vente'!$A$2:$A$1000=$A597)*(('Agences &amp; Après-vente'!$D$2:$D$1000="Agences")+('Agences &amp; Après-vente'!$D$2:$D$1000="Agences et Après-vente"))*'Agences &amp; Après-vente'!$E$2:$E$1000)),"yyyy-mm-dd"),""))))))</f>
        <v/>
      </c>
      <c r="I597" s="131" t="str">
        <f aca="false">IF($S597="✓","✓",IF(ISNUMBER($S597),TEXT($S597,"yyyy-mm-dd"),IF($A597="","",IF(SUMPRODUCT(('Agences &amp; Après-vente'!$A$2:$A$1000=$A597)*(('Agences &amp; Après-vente'!$D$2:$D$1000="Après-vente")+('Agences &amp; Après-vente'!$D$2:$D$1000="Agences et Après-vente"))*('Agences &amp; Après-vente'!$I$2:$I$1000="DONE"))&gt;0,"✓",IF(SUMPRODUCT(MAX(('Agences &amp; Après-vente'!$A$2:$A$1000=$A597)*(('Agences &amp; Après-vente'!$D$2:$D$1000="Après-vente")+('Agences &amp; Après-vente'!$D$2:$D$1000="Agences et Après-vente"))*'Agences &amp; Après-vente'!$E$2:$E$1000))&gt;0,TEXT(SUMPRODUCT(MAX(('Agences &amp; Après-vente'!$A$2:$A$1000=$A597)*(('Agences &amp; Après-vente'!$D$2:$D$1000="Après-vente")+('Agences &amp; Après-vente'!$D$2:$D$1000="Agences et Après-vente"))*'Agences &amp; Après-vente'!$E$2:$E$1000)),"yyyy-mm-dd"),"")))))</f>
        <v/>
      </c>
      <c r="J597" s="131" t="str">
        <f aca="false">IF($T597="✓","✓",IF(ISNUMBER($T597),TEXT($T597,"yyyy-mm-dd"),IF($A597="","",IF($D597="Lisbonne","",IF(SUMPRODUCT(('Agences &amp; Après-vente'!$A$2:$A$1000=$A597)*(('Agences &amp; Après-vente'!$D$2:$D$1000="Après-vente")+('Agences &amp; Après-vente'!$D$2:$D$1000="Agences et Après-vente"))*('Agences &amp; Après-vente'!$I$2:$I$1000="DONE"))&gt;0,"✓",IF(SUMPRODUCT(MAX(('Agences &amp; Après-vente'!$A$2:$A$1000=$A597)*(('Agences &amp; Après-vente'!$D$2:$D$1000="Après-vente")+('Agences &amp; Après-vente'!$D$2:$D$1000="Agences et Après-vente"))*'Agences &amp; Après-vente'!$E$2:$E$1000))&gt;0,TEXT(SUMPRODUCT(MAX(('Agences &amp; Après-vente'!$A$2:$A$1000=$A597)*(('Agences &amp; Après-vente'!$D$2:$D$1000="Après-vente")+('Agences &amp; Après-vente'!$D$2:$D$1000="Agences et Après-vente"))*'Agences &amp; Après-vente'!$E$2:$E$1000)),"yyyy-mm-dd"),""))))))</f>
        <v/>
      </c>
      <c r="K597" s="131" t="str">
        <f aca="false">IF($U597="✓","✓",IF(ISNUMBER($U597),TEXT($U597,"yyyy-mm-dd"),IF($D597="Lisbonne","",IF($A597="","",IF(SUMPRODUCT((Evermont!$A$2:$A$1000=$A597)*(Evermont!$Q$2:$Q$1000="Terminé"))&gt;0,"✓",IF(SUMPRODUCT(MAX((Evermont!$A$2:$A$1000=$A597)*Evermont!$F$2:$F$1000))&gt;0,TEXT(SUMPRODUCT(MAX((Evermont!$A$2:$A$1000=$A597)*Evermont!$F$2:$F$1000)),"yyyy-mm-dd"),""))))))</f>
        <v/>
      </c>
      <c r="L597" s="131" t="str">
        <f aca="false">IF($A597="","",COUNTIF(E597:K597,"✓"))</f>
        <v/>
      </c>
      <c r="M597" s="131" t="str">
        <f aca="false">IF(B597="","","Active")</f>
        <v/>
      </c>
      <c r="W597" s="120" t="str">
        <f aca="false">IF($A597="","",IF($X597&lt;&gt;"",$X597,IFERROR(INDEX('Formation Initiale'!$B$2:$B$999,MATCH($A597,'Formation Initiale'!$A$2:$A$999,0)),"Général")))</f>
        <v/>
      </c>
    </row>
    <row r="598" customFormat="false" ht="15" hidden="true" customHeight="true" outlineLevel="0" collapsed="false">
      <c r="A598" s="142" t="str">
        <f aca="false">IF(B598="","","TR"&amp;TEXT(ROW()-1,"000"))</f>
        <v/>
      </c>
      <c r="E598" s="130" t="str">
        <f aca="false">IF($O598="✓","✓",IF(ISNUMBER($O598),TEXT($O598,"yyyy-mm-dd"),IF($A598="","",IF(SUMPRODUCT(('Formation Initiale'!$A$2:$A$999=$A598)*('Formation Initiale'!$R$2:$R$999="Terminé"))&gt;0,"✓",IF(SUMPRODUCT(MAX(('Formation Initiale'!$A$2:$A$999=$A598)*'Formation Initiale'!$G$2:$G$999))&gt;0,TEXT(SUMPRODUCT(MAX(('Formation Initiale'!$A$2:$A$999=$A598)*'Formation Initiale'!$G$2:$G$999)),"yyyy-mm-dd"),"")))))</f>
        <v/>
      </c>
      <c r="F598" s="131" t="str">
        <f aca="false">IF($P598="✓","✓",IF(ISNUMBER($P598),TEXT($P598,"yyyy-mm-dd"),IF($A598="","",IF($D598="Lisbonne","",IF(SUMPRODUCT(('Formation Initiale'!$A$2:$A$999=$A598)*('Formation Initiale'!$R$2:$R$999="Terminé"))&gt;0,"✓",IF(SUMPRODUCT(MAX(('Formation Initiale'!$A$2:$A$999=$A598)*'Formation Initiale'!$G$2:$G$999))&gt;0,TEXT(SUMPRODUCT(MAX(('Formation Initiale'!$A$2:$A$999=$A598)*'Formation Initiale'!$G$2:$G$999)),"yyyy-mm-dd"),""))))))</f>
        <v/>
      </c>
      <c r="G598" s="131" t="str">
        <f aca="false">IF($Q598="✓","✓",IF(ISNUMBER($Q598),TEXT($Q598,"yyyy-mm-dd"),IF($A598="","",IF(SUMPRODUCT(('Agences &amp; Après-vente'!$A$2:$A$1000=$A598)*(('Agences &amp; Après-vente'!$D$2:$D$1000="Agences")+('Agences &amp; Après-vente'!$D$2:$D$1000="Agences et Après-vente"))*('Agences &amp; Après-vente'!$I$2:$I$1000="DONE"))&gt;0,"✓",IF(SUMPRODUCT(MAX(('Agences &amp; Après-vente'!$A$2:$A$1000=$A598)*(('Agences &amp; Après-vente'!$D$2:$D$1000="Agences")+('Agences &amp; Après-vente'!$D$2:$D$1000="Agences et Après-vente"))*'Agences &amp; Après-vente'!$E$2:$E$1000))&gt;0,TEXT(SUMPRODUCT(MAX(('Agences &amp; Après-vente'!$A$2:$A$1000=$A598)*(('Agences &amp; Après-vente'!$D$2:$D$1000="Agences")+('Agences &amp; Après-vente'!$D$2:$D$1000="Agences et Après-vente"))*'Agences &amp; Après-vente'!$E$2:$E$1000)),"yyyy-mm-dd"),"")))))</f>
        <v/>
      </c>
      <c r="H598" s="131" t="str">
        <f aca="false">IF($R598="✓","✓",IF(ISNUMBER($R598),TEXT($R598,"yyyy-mm-dd"),IF($A598="","",IF($D598="Lisbonne","",IF(SUMPRODUCT(('Agences &amp; Après-vente'!$A$2:$A$1000=$A598)*(('Agences &amp; Après-vente'!$D$2:$D$1000="Agences")+('Agences &amp; Après-vente'!$D$2:$D$1000="Agences et Après-vente"))*('Agences &amp; Après-vente'!$I$2:$I$1000="DONE"))&gt;0,"✓",IF(SUMPRODUCT(MAX(('Agences &amp; Après-vente'!$A$2:$A$1000=$A598)*(('Agences &amp; Après-vente'!$D$2:$D$1000="Agences")+('Agences &amp; Après-vente'!$D$2:$D$1000="Agences et Après-vente"))*'Agences &amp; Après-vente'!$E$2:$E$1000))&gt;0,TEXT(SUMPRODUCT(MAX(('Agences &amp; Après-vente'!$A$2:$A$1000=$A598)*(('Agences &amp; Après-vente'!$D$2:$D$1000="Agences")+('Agences &amp; Après-vente'!$D$2:$D$1000="Agences et Après-vente"))*'Agences &amp; Après-vente'!$E$2:$E$1000)),"yyyy-mm-dd"),""))))))</f>
        <v/>
      </c>
      <c r="I598" s="131" t="str">
        <f aca="false">IF($S598="✓","✓",IF(ISNUMBER($S598),TEXT($S598,"yyyy-mm-dd"),IF($A598="","",IF(SUMPRODUCT(('Agences &amp; Après-vente'!$A$2:$A$1000=$A598)*(('Agences &amp; Après-vente'!$D$2:$D$1000="Après-vente")+('Agences &amp; Après-vente'!$D$2:$D$1000="Agences et Après-vente"))*('Agences &amp; Après-vente'!$I$2:$I$1000="DONE"))&gt;0,"✓",IF(SUMPRODUCT(MAX(('Agences &amp; Après-vente'!$A$2:$A$1000=$A598)*(('Agences &amp; Après-vente'!$D$2:$D$1000="Après-vente")+('Agences &amp; Après-vente'!$D$2:$D$1000="Agences et Après-vente"))*'Agences &amp; Après-vente'!$E$2:$E$1000))&gt;0,TEXT(SUMPRODUCT(MAX(('Agences &amp; Après-vente'!$A$2:$A$1000=$A598)*(('Agences &amp; Après-vente'!$D$2:$D$1000="Après-vente")+('Agences &amp; Après-vente'!$D$2:$D$1000="Agences et Après-vente"))*'Agences &amp; Après-vente'!$E$2:$E$1000)),"yyyy-mm-dd"),"")))))</f>
        <v/>
      </c>
      <c r="J598" s="131" t="str">
        <f aca="false">IF($T598="✓","✓",IF(ISNUMBER($T598),TEXT($T598,"yyyy-mm-dd"),IF($A598="","",IF($D598="Lisbonne","",IF(SUMPRODUCT(('Agences &amp; Après-vente'!$A$2:$A$1000=$A598)*(('Agences &amp; Après-vente'!$D$2:$D$1000="Après-vente")+('Agences &amp; Après-vente'!$D$2:$D$1000="Agences et Après-vente"))*('Agences &amp; Après-vente'!$I$2:$I$1000="DONE"))&gt;0,"✓",IF(SUMPRODUCT(MAX(('Agences &amp; Après-vente'!$A$2:$A$1000=$A598)*(('Agences &amp; Après-vente'!$D$2:$D$1000="Après-vente")+('Agences &amp; Après-vente'!$D$2:$D$1000="Agences et Après-vente"))*'Agences &amp; Après-vente'!$E$2:$E$1000))&gt;0,TEXT(SUMPRODUCT(MAX(('Agences &amp; Après-vente'!$A$2:$A$1000=$A598)*(('Agences &amp; Après-vente'!$D$2:$D$1000="Après-vente")+('Agences &amp; Après-vente'!$D$2:$D$1000="Agences et Après-vente"))*'Agences &amp; Après-vente'!$E$2:$E$1000)),"yyyy-mm-dd"),""))))))</f>
        <v/>
      </c>
      <c r="K598" s="131" t="str">
        <f aca="false">IF($U598="✓","✓",IF(ISNUMBER($U598),TEXT($U598,"yyyy-mm-dd"),IF($D598="Lisbonne","",IF($A598="","",IF(SUMPRODUCT((Evermont!$A$2:$A$1000=$A598)*(Evermont!$Q$2:$Q$1000="Terminé"))&gt;0,"✓",IF(SUMPRODUCT(MAX((Evermont!$A$2:$A$1000=$A598)*Evermont!$F$2:$F$1000))&gt;0,TEXT(SUMPRODUCT(MAX((Evermont!$A$2:$A$1000=$A598)*Evermont!$F$2:$F$1000)),"yyyy-mm-dd"),""))))))</f>
        <v/>
      </c>
      <c r="L598" s="131" t="str">
        <f aca="false">IF($A598="","",COUNTIF(E598:K598,"✓"))</f>
        <v/>
      </c>
      <c r="M598" s="131" t="str">
        <f aca="false">IF(B598="","","Active")</f>
        <v/>
      </c>
      <c r="W598" s="120" t="str">
        <f aca="false">IF($A598="","",IF($X598&lt;&gt;"",$X598,IFERROR(INDEX('Formation Initiale'!$B$2:$B$999,MATCH($A598,'Formation Initiale'!$A$2:$A$999,0)),"Général")))</f>
        <v/>
      </c>
    </row>
    <row r="599" customFormat="false" ht="15" hidden="true" customHeight="true" outlineLevel="0" collapsed="false">
      <c r="A599" s="142" t="str">
        <f aca="false">IF(B599="","","TR"&amp;TEXT(ROW()-1,"000"))</f>
        <v/>
      </c>
      <c r="E599" s="130" t="str">
        <f aca="false">IF($O599="✓","✓",IF(ISNUMBER($O599),TEXT($O599,"yyyy-mm-dd"),IF($A599="","",IF(SUMPRODUCT(('Formation Initiale'!$A$2:$A$999=$A599)*('Formation Initiale'!$R$2:$R$999="Terminé"))&gt;0,"✓",IF(SUMPRODUCT(MAX(('Formation Initiale'!$A$2:$A$999=$A599)*'Formation Initiale'!$G$2:$G$999))&gt;0,TEXT(SUMPRODUCT(MAX(('Formation Initiale'!$A$2:$A$999=$A599)*'Formation Initiale'!$G$2:$G$999)),"yyyy-mm-dd"),"")))))</f>
        <v/>
      </c>
      <c r="F599" s="131" t="str">
        <f aca="false">IF($P599="✓","✓",IF(ISNUMBER($P599),TEXT($P599,"yyyy-mm-dd"),IF($A599="","",IF($D599="Lisbonne","",IF(SUMPRODUCT(('Formation Initiale'!$A$2:$A$999=$A599)*('Formation Initiale'!$R$2:$R$999="Terminé"))&gt;0,"✓",IF(SUMPRODUCT(MAX(('Formation Initiale'!$A$2:$A$999=$A599)*'Formation Initiale'!$G$2:$G$999))&gt;0,TEXT(SUMPRODUCT(MAX(('Formation Initiale'!$A$2:$A$999=$A599)*'Formation Initiale'!$G$2:$G$999)),"yyyy-mm-dd"),""))))))</f>
        <v/>
      </c>
      <c r="G599" s="131" t="str">
        <f aca="false">IF($Q599="✓","✓",IF(ISNUMBER($Q599),TEXT($Q599,"yyyy-mm-dd"),IF($A599="","",IF(SUMPRODUCT(('Agences &amp; Après-vente'!$A$2:$A$1000=$A599)*(('Agences &amp; Après-vente'!$D$2:$D$1000="Agences")+('Agences &amp; Après-vente'!$D$2:$D$1000="Agences et Après-vente"))*('Agences &amp; Après-vente'!$I$2:$I$1000="DONE"))&gt;0,"✓",IF(SUMPRODUCT(MAX(('Agences &amp; Après-vente'!$A$2:$A$1000=$A599)*(('Agences &amp; Après-vente'!$D$2:$D$1000="Agences")+('Agences &amp; Après-vente'!$D$2:$D$1000="Agences et Après-vente"))*'Agences &amp; Après-vente'!$E$2:$E$1000))&gt;0,TEXT(SUMPRODUCT(MAX(('Agences &amp; Après-vente'!$A$2:$A$1000=$A599)*(('Agences &amp; Après-vente'!$D$2:$D$1000="Agences")+('Agences &amp; Après-vente'!$D$2:$D$1000="Agences et Après-vente"))*'Agences &amp; Après-vente'!$E$2:$E$1000)),"yyyy-mm-dd"),"")))))</f>
        <v/>
      </c>
      <c r="H599" s="131" t="str">
        <f aca="false">IF($R599="✓","✓",IF(ISNUMBER($R599),TEXT($R599,"yyyy-mm-dd"),IF($A599="","",IF($D599="Lisbonne","",IF(SUMPRODUCT(('Agences &amp; Après-vente'!$A$2:$A$1000=$A599)*(('Agences &amp; Après-vente'!$D$2:$D$1000="Agences")+('Agences &amp; Après-vente'!$D$2:$D$1000="Agences et Après-vente"))*('Agences &amp; Après-vente'!$I$2:$I$1000="DONE"))&gt;0,"✓",IF(SUMPRODUCT(MAX(('Agences &amp; Après-vente'!$A$2:$A$1000=$A599)*(('Agences &amp; Après-vente'!$D$2:$D$1000="Agences")+('Agences &amp; Après-vente'!$D$2:$D$1000="Agences et Après-vente"))*'Agences &amp; Après-vente'!$E$2:$E$1000))&gt;0,TEXT(SUMPRODUCT(MAX(('Agences &amp; Après-vente'!$A$2:$A$1000=$A599)*(('Agences &amp; Après-vente'!$D$2:$D$1000="Agences")+('Agences &amp; Après-vente'!$D$2:$D$1000="Agences et Après-vente"))*'Agences &amp; Après-vente'!$E$2:$E$1000)),"yyyy-mm-dd"),""))))))</f>
        <v/>
      </c>
      <c r="I599" s="131" t="str">
        <f aca="false">IF($S599="✓","✓",IF(ISNUMBER($S599),TEXT($S599,"yyyy-mm-dd"),IF($A599="","",IF(SUMPRODUCT(('Agences &amp; Après-vente'!$A$2:$A$1000=$A599)*(('Agences &amp; Après-vente'!$D$2:$D$1000="Après-vente")+('Agences &amp; Après-vente'!$D$2:$D$1000="Agences et Après-vente"))*('Agences &amp; Après-vente'!$I$2:$I$1000="DONE"))&gt;0,"✓",IF(SUMPRODUCT(MAX(('Agences &amp; Après-vente'!$A$2:$A$1000=$A599)*(('Agences &amp; Après-vente'!$D$2:$D$1000="Après-vente")+('Agences &amp; Après-vente'!$D$2:$D$1000="Agences et Après-vente"))*'Agences &amp; Après-vente'!$E$2:$E$1000))&gt;0,TEXT(SUMPRODUCT(MAX(('Agences &amp; Après-vente'!$A$2:$A$1000=$A599)*(('Agences &amp; Après-vente'!$D$2:$D$1000="Après-vente")+('Agences &amp; Après-vente'!$D$2:$D$1000="Agences et Après-vente"))*'Agences &amp; Après-vente'!$E$2:$E$1000)),"yyyy-mm-dd"),"")))))</f>
        <v/>
      </c>
      <c r="J599" s="131" t="str">
        <f aca="false">IF($T599="✓","✓",IF(ISNUMBER($T599),TEXT($T599,"yyyy-mm-dd"),IF($A599="","",IF($D599="Lisbonne","",IF(SUMPRODUCT(('Agences &amp; Après-vente'!$A$2:$A$1000=$A599)*(('Agences &amp; Après-vente'!$D$2:$D$1000="Après-vente")+('Agences &amp; Après-vente'!$D$2:$D$1000="Agences et Après-vente"))*('Agences &amp; Après-vente'!$I$2:$I$1000="DONE"))&gt;0,"✓",IF(SUMPRODUCT(MAX(('Agences &amp; Après-vente'!$A$2:$A$1000=$A599)*(('Agences &amp; Après-vente'!$D$2:$D$1000="Après-vente")+('Agences &amp; Après-vente'!$D$2:$D$1000="Agences et Après-vente"))*'Agences &amp; Après-vente'!$E$2:$E$1000))&gt;0,TEXT(SUMPRODUCT(MAX(('Agences &amp; Après-vente'!$A$2:$A$1000=$A599)*(('Agences &amp; Après-vente'!$D$2:$D$1000="Après-vente")+('Agences &amp; Après-vente'!$D$2:$D$1000="Agences et Après-vente"))*'Agences &amp; Après-vente'!$E$2:$E$1000)),"yyyy-mm-dd"),""))))))</f>
        <v/>
      </c>
      <c r="K599" s="131" t="str">
        <f aca="false">IF($U599="✓","✓",IF(ISNUMBER($U599),TEXT($U599,"yyyy-mm-dd"),IF($D599="Lisbonne","",IF($A599="","",IF(SUMPRODUCT((Evermont!$A$2:$A$1000=$A599)*(Evermont!$Q$2:$Q$1000="Terminé"))&gt;0,"✓",IF(SUMPRODUCT(MAX((Evermont!$A$2:$A$1000=$A599)*Evermont!$F$2:$F$1000))&gt;0,TEXT(SUMPRODUCT(MAX((Evermont!$A$2:$A$1000=$A599)*Evermont!$F$2:$F$1000)),"yyyy-mm-dd"),""))))))</f>
        <v/>
      </c>
      <c r="L599" s="131" t="str">
        <f aca="false">IF($A599="","",COUNTIF(E599:K599,"✓"))</f>
        <v/>
      </c>
      <c r="M599" s="131" t="str">
        <f aca="false">IF(B599="","","Active")</f>
        <v/>
      </c>
      <c r="W599" s="120" t="str">
        <f aca="false">IF($A599="","",IF($X599&lt;&gt;"",$X599,IFERROR(INDEX('Formation Initiale'!$B$2:$B$999,MATCH($A599,'Formation Initiale'!$A$2:$A$999,0)),"Général")))</f>
        <v/>
      </c>
    </row>
    <row r="600" customFormat="false" ht="15" hidden="true" customHeight="true" outlineLevel="0" collapsed="false">
      <c r="A600" s="142" t="str">
        <f aca="false">IF(B600="","","TR"&amp;TEXT(ROW()-1,"000"))</f>
        <v/>
      </c>
      <c r="E600" s="130" t="str">
        <f aca="false">IF($O600="✓","✓",IF(ISNUMBER($O600),TEXT($O600,"yyyy-mm-dd"),IF($A600="","",IF(SUMPRODUCT(('Formation Initiale'!$A$2:$A$999=$A600)*('Formation Initiale'!$R$2:$R$999="Terminé"))&gt;0,"✓",IF(SUMPRODUCT(MAX(('Formation Initiale'!$A$2:$A$999=$A600)*'Formation Initiale'!$G$2:$G$999))&gt;0,TEXT(SUMPRODUCT(MAX(('Formation Initiale'!$A$2:$A$999=$A600)*'Formation Initiale'!$G$2:$G$999)),"yyyy-mm-dd"),"")))))</f>
        <v/>
      </c>
      <c r="F600" s="131" t="str">
        <f aca="false">IF($P600="✓","✓",IF(ISNUMBER($P600),TEXT($P600,"yyyy-mm-dd"),IF($A600="","",IF($D600="Lisbonne","",IF(SUMPRODUCT(('Formation Initiale'!$A$2:$A$999=$A600)*('Formation Initiale'!$R$2:$R$999="Terminé"))&gt;0,"✓",IF(SUMPRODUCT(MAX(('Formation Initiale'!$A$2:$A$999=$A600)*'Formation Initiale'!$G$2:$G$999))&gt;0,TEXT(SUMPRODUCT(MAX(('Formation Initiale'!$A$2:$A$999=$A600)*'Formation Initiale'!$G$2:$G$999)),"yyyy-mm-dd"),""))))))</f>
        <v/>
      </c>
      <c r="G600" s="131" t="str">
        <f aca="false">IF($Q600="✓","✓",IF(ISNUMBER($Q600),TEXT($Q600,"yyyy-mm-dd"),IF($A600="","",IF(SUMPRODUCT(('Agences &amp; Après-vente'!$A$2:$A$1000=$A600)*(('Agences &amp; Après-vente'!$D$2:$D$1000="Agences")+('Agences &amp; Après-vente'!$D$2:$D$1000="Agences et Après-vente"))*('Agences &amp; Après-vente'!$I$2:$I$1000="DONE"))&gt;0,"✓",IF(SUMPRODUCT(MAX(('Agences &amp; Après-vente'!$A$2:$A$1000=$A600)*(('Agences &amp; Après-vente'!$D$2:$D$1000="Agences")+('Agences &amp; Après-vente'!$D$2:$D$1000="Agences et Après-vente"))*'Agences &amp; Après-vente'!$E$2:$E$1000))&gt;0,TEXT(SUMPRODUCT(MAX(('Agences &amp; Après-vente'!$A$2:$A$1000=$A600)*(('Agences &amp; Après-vente'!$D$2:$D$1000="Agences")+('Agences &amp; Après-vente'!$D$2:$D$1000="Agences et Après-vente"))*'Agences &amp; Après-vente'!$E$2:$E$1000)),"yyyy-mm-dd"),"")))))</f>
        <v/>
      </c>
      <c r="H600" s="131" t="str">
        <f aca="false">IF($R600="✓","✓",IF(ISNUMBER($R600),TEXT($R600,"yyyy-mm-dd"),IF($A600="","",IF($D600="Lisbonne","",IF(SUMPRODUCT(('Agences &amp; Après-vente'!$A$2:$A$1000=$A600)*(('Agences &amp; Après-vente'!$D$2:$D$1000="Agences")+('Agences &amp; Après-vente'!$D$2:$D$1000="Agences et Après-vente"))*('Agences &amp; Après-vente'!$I$2:$I$1000="DONE"))&gt;0,"✓",IF(SUMPRODUCT(MAX(('Agences &amp; Après-vente'!$A$2:$A$1000=$A600)*(('Agences &amp; Après-vente'!$D$2:$D$1000="Agences")+('Agences &amp; Après-vente'!$D$2:$D$1000="Agences et Après-vente"))*'Agences &amp; Après-vente'!$E$2:$E$1000))&gt;0,TEXT(SUMPRODUCT(MAX(('Agences &amp; Après-vente'!$A$2:$A$1000=$A600)*(('Agences &amp; Après-vente'!$D$2:$D$1000="Agences")+('Agences &amp; Après-vente'!$D$2:$D$1000="Agences et Après-vente"))*'Agences &amp; Après-vente'!$E$2:$E$1000)),"yyyy-mm-dd"),""))))))</f>
        <v/>
      </c>
      <c r="I600" s="131" t="str">
        <f aca="false">IF($S600="✓","✓",IF(ISNUMBER($S600),TEXT($S600,"yyyy-mm-dd"),IF($A600="","",IF(SUMPRODUCT(('Agences &amp; Après-vente'!$A$2:$A$1000=$A600)*(('Agences &amp; Après-vente'!$D$2:$D$1000="Après-vente")+('Agences &amp; Après-vente'!$D$2:$D$1000="Agences et Après-vente"))*('Agences &amp; Après-vente'!$I$2:$I$1000="DONE"))&gt;0,"✓",IF(SUMPRODUCT(MAX(('Agences &amp; Après-vente'!$A$2:$A$1000=$A600)*(('Agences &amp; Après-vente'!$D$2:$D$1000="Après-vente")+('Agences &amp; Après-vente'!$D$2:$D$1000="Agences et Après-vente"))*'Agences &amp; Après-vente'!$E$2:$E$1000))&gt;0,TEXT(SUMPRODUCT(MAX(('Agences &amp; Après-vente'!$A$2:$A$1000=$A600)*(('Agences &amp; Après-vente'!$D$2:$D$1000="Après-vente")+('Agences &amp; Après-vente'!$D$2:$D$1000="Agences et Après-vente"))*'Agences &amp; Après-vente'!$E$2:$E$1000)),"yyyy-mm-dd"),"")))))</f>
        <v/>
      </c>
      <c r="J600" s="131" t="str">
        <f aca="false">IF($T600="✓","✓",IF(ISNUMBER($T600),TEXT($T600,"yyyy-mm-dd"),IF($A600="","",IF($D600="Lisbonne","",IF(SUMPRODUCT(('Agences &amp; Après-vente'!$A$2:$A$1000=$A600)*(('Agences &amp; Après-vente'!$D$2:$D$1000="Après-vente")+('Agences &amp; Après-vente'!$D$2:$D$1000="Agences et Après-vente"))*('Agences &amp; Après-vente'!$I$2:$I$1000="DONE"))&gt;0,"✓",IF(SUMPRODUCT(MAX(('Agences &amp; Après-vente'!$A$2:$A$1000=$A600)*(('Agences &amp; Après-vente'!$D$2:$D$1000="Après-vente")+('Agences &amp; Après-vente'!$D$2:$D$1000="Agences et Après-vente"))*'Agences &amp; Après-vente'!$E$2:$E$1000))&gt;0,TEXT(SUMPRODUCT(MAX(('Agences &amp; Après-vente'!$A$2:$A$1000=$A600)*(('Agences &amp; Après-vente'!$D$2:$D$1000="Après-vente")+('Agences &amp; Après-vente'!$D$2:$D$1000="Agences et Après-vente"))*'Agences &amp; Après-vente'!$E$2:$E$1000)),"yyyy-mm-dd"),""))))))</f>
        <v/>
      </c>
      <c r="K600" s="131" t="str">
        <f aca="false">IF($U600="✓","✓",IF(ISNUMBER($U600),TEXT($U600,"yyyy-mm-dd"),IF($D600="Lisbonne","",IF($A600="","",IF(SUMPRODUCT((Evermont!$A$2:$A$1000=$A600)*(Evermont!$Q$2:$Q$1000="Terminé"))&gt;0,"✓",IF(SUMPRODUCT(MAX((Evermont!$A$2:$A$1000=$A600)*Evermont!$F$2:$F$1000))&gt;0,TEXT(SUMPRODUCT(MAX((Evermont!$A$2:$A$1000=$A600)*Evermont!$F$2:$F$1000)),"yyyy-mm-dd"),""))))))</f>
        <v/>
      </c>
      <c r="L600" s="131" t="str">
        <f aca="false">IF($A600="","",COUNTIF(E600:K600,"✓"))</f>
        <v/>
      </c>
      <c r="M600" s="131" t="str">
        <f aca="false">IF(B600="","","Active")</f>
        <v/>
      </c>
      <c r="W600" s="120" t="str">
        <f aca="false">IF($A600="","",IF($X600&lt;&gt;"",$X600,IFERROR(INDEX('Formation Initiale'!$B$2:$B$999,MATCH($A600,'Formation Initiale'!$A$2:$A$999,0)),"Général")))</f>
        <v/>
      </c>
    </row>
    <row r="601" customFormat="false" ht="15" hidden="true" customHeight="true" outlineLevel="0" collapsed="false">
      <c r="A601" s="142" t="str">
        <f aca="false">IF(B601="","","TR"&amp;TEXT(ROW()-1,"000"))</f>
        <v/>
      </c>
      <c r="E601" s="130" t="str">
        <f aca="false">IF($O601="✓","✓",IF(ISNUMBER($O601),TEXT($O601,"yyyy-mm-dd"),IF($A601="","",IF(SUMPRODUCT(('Formation Initiale'!$A$2:$A$999=$A601)*('Formation Initiale'!$R$2:$R$999="Terminé"))&gt;0,"✓",IF(SUMPRODUCT(MAX(('Formation Initiale'!$A$2:$A$999=$A601)*'Formation Initiale'!$G$2:$G$999))&gt;0,TEXT(SUMPRODUCT(MAX(('Formation Initiale'!$A$2:$A$999=$A601)*'Formation Initiale'!$G$2:$G$999)),"yyyy-mm-dd"),"")))))</f>
        <v/>
      </c>
      <c r="F601" s="131" t="str">
        <f aca="false">IF($P601="✓","✓",IF(ISNUMBER($P601),TEXT($P601,"yyyy-mm-dd"),IF($A601="","",IF($D601="Lisbonne","",IF(SUMPRODUCT(('Formation Initiale'!$A$2:$A$999=$A601)*('Formation Initiale'!$R$2:$R$999="Terminé"))&gt;0,"✓",IF(SUMPRODUCT(MAX(('Formation Initiale'!$A$2:$A$999=$A601)*'Formation Initiale'!$G$2:$G$999))&gt;0,TEXT(SUMPRODUCT(MAX(('Formation Initiale'!$A$2:$A$999=$A601)*'Formation Initiale'!$G$2:$G$999)),"yyyy-mm-dd"),""))))))</f>
        <v/>
      </c>
      <c r="G601" s="131" t="str">
        <f aca="false">IF($Q601="✓","✓",IF(ISNUMBER($Q601),TEXT($Q601,"yyyy-mm-dd"),IF($A601="","",IF(SUMPRODUCT(('Agences &amp; Après-vente'!$A$2:$A$1000=$A601)*(('Agences &amp; Après-vente'!$D$2:$D$1000="Agences")+('Agences &amp; Après-vente'!$D$2:$D$1000="Agences et Après-vente"))*('Agences &amp; Après-vente'!$I$2:$I$1000="DONE"))&gt;0,"✓",IF(SUMPRODUCT(MAX(('Agences &amp; Après-vente'!$A$2:$A$1000=$A601)*(('Agences &amp; Après-vente'!$D$2:$D$1000="Agences")+('Agences &amp; Après-vente'!$D$2:$D$1000="Agences et Après-vente"))*'Agences &amp; Après-vente'!$E$2:$E$1000))&gt;0,TEXT(SUMPRODUCT(MAX(('Agences &amp; Après-vente'!$A$2:$A$1000=$A601)*(('Agences &amp; Après-vente'!$D$2:$D$1000="Agences")+('Agences &amp; Après-vente'!$D$2:$D$1000="Agences et Après-vente"))*'Agences &amp; Après-vente'!$E$2:$E$1000)),"yyyy-mm-dd"),"")))))</f>
        <v/>
      </c>
      <c r="H601" s="131" t="str">
        <f aca="false">IF($R601="✓","✓",IF(ISNUMBER($R601),TEXT($R601,"yyyy-mm-dd"),IF($A601="","",IF($D601="Lisbonne","",IF(SUMPRODUCT(('Agences &amp; Après-vente'!$A$2:$A$1000=$A601)*(('Agences &amp; Après-vente'!$D$2:$D$1000="Agences")+('Agences &amp; Après-vente'!$D$2:$D$1000="Agences et Après-vente"))*('Agences &amp; Après-vente'!$I$2:$I$1000="DONE"))&gt;0,"✓",IF(SUMPRODUCT(MAX(('Agences &amp; Après-vente'!$A$2:$A$1000=$A601)*(('Agences &amp; Après-vente'!$D$2:$D$1000="Agences")+('Agences &amp; Après-vente'!$D$2:$D$1000="Agences et Après-vente"))*'Agences &amp; Après-vente'!$E$2:$E$1000))&gt;0,TEXT(SUMPRODUCT(MAX(('Agences &amp; Après-vente'!$A$2:$A$1000=$A601)*(('Agences &amp; Après-vente'!$D$2:$D$1000="Agences")+('Agences &amp; Après-vente'!$D$2:$D$1000="Agences et Après-vente"))*'Agences &amp; Après-vente'!$E$2:$E$1000)),"yyyy-mm-dd"),""))))))</f>
        <v/>
      </c>
      <c r="I601" s="131" t="str">
        <f aca="false">IF($S601="✓","✓",IF(ISNUMBER($S601),TEXT($S601,"yyyy-mm-dd"),IF($A601="","",IF(SUMPRODUCT(('Agences &amp; Après-vente'!$A$2:$A$1000=$A601)*(('Agences &amp; Après-vente'!$D$2:$D$1000="Après-vente")+('Agences &amp; Après-vente'!$D$2:$D$1000="Agences et Après-vente"))*('Agences &amp; Après-vente'!$I$2:$I$1000="DONE"))&gt;0,"✓",IF(SUMPRODUCT(MAX(('Agences &amp; Après-vente'!$A$2:$A$1000=$A601)*(('Agences &amp; Après-vente'!$D$2:$D$1000="Après-vente")+('Agences &amp; Après-vente'!$D$2:$D$1000="Agences et Après-vente"))*'Agences &amp; Après-vente'!$E$2:$E$1000))&gt;0,TEXT(SUMPRODUCT(MAX(('Agences &amp; Après-vente'!$A$2:$A$1000=$A601)*(('Agences &amp; Après-vente'!$D$2:$D$1000="Après-vente")+('Agences &amp; Après-vente'!$D$2:$D$1000="Agences et Après-vente"))*'Agences &amp; Après-vente'!$E$2:$E$1000)),"yyyy-mm-dd"),"")))))</f>
        <v/>
      </c>
      <c r="J601" s="131" t="str">
        <f aca="false">IF($T601="✓","✓",IF(ISNUMBER($T601),TEXT($T601,"yyyy-mm-dd"),IF($A601="","",IF($D601="Lisbonne","",IF(SUMPRODUCT(('Agences &amp; Après-vente'!$A$2:$A$1000=$A601)*(('Agences &amp; Après-vente'!$D$2:$D$1000="Après-vente")+('Agences &amp; Après-vente'!$D$2:$D$1000="Agences et Après-vente"))*('Agences &amp; Après-vente'!$I$2:$I$1000="DONE"))&gt;0,"✓",IF(SUMPRODUCT(MAX(('Agences &amp; Après-vente'!$A$2:$A$1000=$A601)*(('Agences &amp; Après-vente'!$D$2:$D$1000="Après-vente")+('Agences &amp; Après-vente'!$D$2:$D$1000="Agences et Après-vente"))*'Agences &amp; Après-vente'!$E$2:$E$1000))&gt;0,TEXT(SUMPRODUCT(MAX(('Agences &amp; Après-vente'!$A$2:$A$1000=$A601)*(('Agences &amp; Après-vente'!$D$2:$D$1000="Après-vente")+('Agences &amp; Après-vente'!$D$2:$D$1000="Agences et Après-vente"))*'Agences &amp; Après-vente'!$E$2:$E$1000)),"yyyy-mm-dd"),""))))))</f>
        <v/>
      </c>
      <c r="K601" s="131" t="str">
        <f aca="false">IF($U601="✓","✓",IF(ISNUMBER($U601),TEXT($U601,"yyyy-mm-dd"),IF($D601="Lisbonne","",IF($A601="","",IF(SUMPRODUCT((Evermont!$A$2:$A$1000=$A601)*(Evermont!$Q$2:$Q$1000="Terminé"))&gt;0,"✓",IF(SUMPRODUCT(MAX((Evermont!$A$2:$A$1000=$A601)*Evermont!$F$2:$F$1000))&gt;0,TEXT(SUMPRODUCT(MAX((Evermont!$A$2:$A$1000=$A601)*Evermont!$F$2:$F$1000)),"yyyy-mm-dd"),""))))))</f>
        <v/>
      </c>
      <c r="L601" s="131" t="str">
        <f aca="false">IF($A601="","",COUNTIF(E601:K601,"✓"))</f>
        <v/>
      </c>
      <c r="M601" s="131" t="str">
        <f aca="false">IF(B601="","","Active")</f>
        <v/>
      </c>
      <c r="W601" s="120" t="str">
        <f aca="false">IF($A601="","",IF($X601&lt;&gt;"",$X601,IFERROR(INDEX('Formation Initiale'!$B$2:$B$999,MATCH($A601,'Formation Initiale'!$A$2:$A$999,0)),"Général")))</f>
        <v/>
      </c>
    </row>
    <row r="602" customFormat="false" ht="15" hidden="true" customHeight="true" outlineLevel="0" collapsed="false">
      <c r="A602" s="142" t="str">
        <f aca="false">IF(B602="","","TR"&amp;TEXT(ROW()-1,"000"))</f>
        <v/>
      </c>
      <c r="E602" s="130" t="str">
        <f aca="false">IF($O602="✓","✓",IF(ISNUMBER($O602),TEXT($O602,"yyyy-mm-dd"),IF($A602="","",IF(SUMPRODUCT(('Formation Initiale'!$A$2:$A$999=$A602)*('Formation Initiale'!$R$2:$R$999="Terminé"))&gt;0,"✓",IF(SUMPRODUCT(MAX(('Formation Initiale'!$A$2:$A$999=$A602)*'Formation Initiale'!$G$2:$G$999))&gt;0,TEXT(SUMPRODUCT(MAX(('Formation Initiale'!$A$2:$A$999=$A602)*'Formation Initiale'!$G$2:$G$999)),"yyyy-mm-dd"),"")))))</f>
        <v/>
      </c>
      <c r="F602" s="131" t="str">
        <f aca="false">IF($P602="✓","✓",IF(ISNUMBER($P602),TEXT($P602,"yyyy-mm-dd"),IF($A602="","",IF($D602="Lisbonne","",IF(SUMPRODUCT(('Formation Initiale'!$A$2:$A$999=$A602)*('Formation Initiale'!$R$2:$R$999="Terminé"))&gt;0,"✓",IF(SUMPRODUCT(MAX(('Formation Initiale'!$A$2:$A$999=$A602)*'Formation Initiale'!$G$2:$G$999))&gt;0,TEXT(SUMPRODUCT(MAX(('Formation Initiale'!$A$2:$A$999=$A602)*'Formation Initiale'!$G$2:$G$999)),"yyyy-mm-dd"),""))))))</f>
        <v/>
      </c>
      <c r="G602" s="131" t="str">
        <f aca="false">IF($Q602="✓","✓",IF(ISNUMBER($Q602),TEXT($Q602,"yyyy-mm-dd"),IF($A602="","",IF(SUMPRODUCT(('Agences &amp; Après-vente'!$A$2:$A$1000=$A602)*(('Agences &amp; Après-vente'!$D$2:$D$1000="Agences")+('Agences &amp; Après-vente'!$D$2:$D$1000="Agences et Après-vente"))*('Agences &amp; Après-vente'!$I$2:$I$1000="DONE"))&gt;0,"✓",IF(SUMPRODUCT(MAX(('Agences &amp; Après-vente'!$A$2:$A$1000=$A602)*(('Agences &amp; Après-vente'!$D$2:$D$1000="Agences")+('Agences &amp; Après-vente'!$D$2:$D$1000="Agences et Après-vente"))*'Agences &amp; Après-vente'!$E$2:$E$1000))&gt;0,TEXT(SUMPRODUCT(MAX(('Agences &amp; Après-vente'!$A$2:$A$1000=$A602)*(('Agences &amp; Après-vente'!$D$2:$D$1000="Agences")+('Agences &amp; Après-vente'!$D$2:$D$1000="Agences et Après-vente"))*'Agences &amp; Après-vente'!$E$2:$E$1000)),"yyyy-mm-dd"),"")))))</f>
        <v/>
      </c>
      <c r="H602" s="131" t="str">
        <f aca="false">IF($R602="✓","✓",IF(ISNUMBER($R602),TEXT($R602,"yyyy-mm-dd"),IF($A602="","",IF($D602="Lisbonne","",IF(SUMPRODUCT(('Agences &amp; Après-vente'!$A$2:$A$1000=$A602)*(('Agences &amp; Après-vente'!$D$2:$D$1000="Agences")+('Agences &amp; Après-vente'!$D$2:$D$1000="Agences et Après-vente"))*('Agences &amp; Après-vente'!$I$2:$I$1000="DONE"))&gt;0,"✓",IF(SUMPRODUCT(MAX(('Agences &amp; Après-vente'!$A$2:$A$1000=$A602)*(('Agences &amp; Après-vente'!$D$2:$D$1000="Agences")+('Agences &amp; Après-vente'!$D$2:$D$1000="Agences et Après-vente"))*'Agences &amp; Après-vente'!$E$2:$E$1000))&gt;0,TEXT(SUMPRODUCT(MAX(('Agences &amp; Après-vente'!$A$2:$A$1000=$A602)*(('Agences &amp; Après-vente'!$D$2:$D$1000="Agences")+('Agences &amp; Après-vente'!$D$2:$D$1000="Agences et Après-vente"))*'Agences &amp; Après-vente'!$E$2:$E$1000)),"yyyy-mm-dd"),""))))))</f>
        <v/>
      </c>
      <c r="I602" s="131" t="str">
        <f aca="false">IF($S602="✓","✓",IF(ISNUMBER($S602),TEXT($S602,"yyyy-mm-dd"),IF($A602="","",IF(SUMPRODUCT(('Agences &amp; Après-vente'!$A$2:$A$1000=$A602)*(('Agences &amp; Après-vente'!$D$2:$D$1000="Après-vente")+('Agences &amp; Après-vente'!$D$2:$D$1000="Agences et Après-vente"))*('Agences &amp; Après-vente'!$I$2:$I$1000="DONE"))&gt;0,"✓",IF(SUMPRODUCT(MAX(('Agences &amp; Après-vente'!$A$2:$A$1000=$A602)*(('Agences &amp; Après-vente'!$D$2:$D$1000="Après-vente")+('Agences &amp; Après-vente'!$D$2:$D$1000="Agences et Après-vente"))*'Agences &amp; Après-vente'!$E$2:$E$1000))&gt;0,TEXT(SUMPRODUCT(MAX(('Agences &amp; Après-vente'!$A$2:$A$1000=$A602)*(('Agences &amp; Après-vente'!$D$2:$D$1000="Après-vente")+('Agences &amp; Après-vente'!$D$2:$D$1000="Agences et Après-vente"))*'Agences &amp; Après-vente'!$E$2:$E$1000)),"yyyy-mm-dd"),"")))))</f>
        <v/>
      </c>
      <c r="J602" s="131" t="str">
        <f aca="false">IF($T602="✓","✓",IF(ISNUMBER($T602),TEXT($T602,"yyyy-mm-dd"),IF($A602="","",IF($D602="Lisbonne","",IF(SUMPRODUCT(('Agences &amp; Après-vente'!$A$2:$A$1000=$A602)*(('Agences &amp; Après-vente'!$D$2:$D$1000="Après-vente")+('Agences &amp; Après-vente'!$D$2:$D$1000="Agences et Après-vente"))*('Agences &amp; Après-vente'!$I$2:$I$1000="DONE"))&gt;0,"✓",IF(SUMPRODUCT(MAX(('Agences &amp; Après-vente'!$A$2:$A$1000=$A602)*(('Agences &amp; Après-vente'!$D$2:$D$1000="Après-vente")+('Agences &amp; Après-vente'!$D$2:$D$1000="Agences et Après-vente"))*'Agences &amp; Après-vente'!$E$2:$E$1000))&gt;0,TEXT(SUMPRODUCT(MAX(('Agences &amp; Après-vente'!$A$2:$A$1000=$A602)*(('Agences &amp; Après-vente'!$D$2:$D$1000="Après-vente")+('Agences &amp; Après-vente'!$D$2:$D$1000="Agences et Après-vente"))*'Agences &amp; Après-vente'!$E$2:$E$1000)),"yyyy-mm-dd"),""))))))</f>
        <v/>
      </c>
      <c r="K602" s="131" t="str">
        <f aca="false">IF($U602="✓","✓",IF(ISNUMBER($U602),TEXT($U602,"yyyy-mm-dd"),IF($D602="Lisbonne","",IF($A602="","",IF(SUMPRODUCT((Evermont!$A$2:$A$1000=$A602)*(Evermont!$Q$2:$Q$1000="Terminé"))&gt;0,"✓",IF(SUMPRODUCT(MAX((Evermont!$A$2:$A$1000=$A602)*Evermont!$F$2:$F$1000))&gt;0,TEXT(SUMPRODUCT(MAX((Evermont!$A$2:$A$1000=$A602)*Evermont!$F$2:$F$1000)),"yyyy-mm-dd"),""))))))</f>
        <v/>
      </c>
      <c r="L602" s="131" t="str">
        <f aca="false">IF($A602="","",COUNTIF(E602:K602,"✓"))</f>
        <v/>
      </c>
      <c r="M602" s="131" t="str">
        <f aca="false">IF(B602="","","Active")</f>
        <v/>
      </c>
      <c r="W602" s="120" t="str">
        <f aca="false">IF($A602="","",IF($X602&lt;&gt;"",$X602,IFERROR(INDEX('Formation Initiale'!$B$2:$B$999,MATCH($A602,'Formation Initiale'!$A$2:$A$999,0)),"Général")))</f>
        <v/>
      </c>
    </row>
    <row r="603" customFormat="false" ht="15" hidden="true" customHeight="true" outlineLevel="0" collapsed="false">
      <c r="A603" s="142" t="str">
        <f aca="false">IF(B603="","","TR"&amp;TEXT(ROW()-1,"000"))</f>
        <v/>
      </c>
      <c r="E603" s="130" t="str">
        <f aca="false">IF($O603="✓","✓",IF(ISNUMBER($O603),TEXT($O603,"yyyy-mm-dd"),IF($A603="","",IF(SUMPRODUCT(('Formation Initiale'!$A$2:$A$999=$A603)*('Formation Initiale'!$R$2:$R$999="Terminé"))&gt;0,"✓",IF(SUMPRODUCT(MAX(('Formation Initiale'!$A$2:$A$999=$A603)*'Formation Initiale'!$G$2:$G$999))&gt;0,TEXT(SUMPRODUCT(MAX(('Formation Initiale'!$A$2:$A$999=$A603)*'Formation Initiale'!$G$2:$G$999)),"yyyy-mm-dd"),"")))))</f>
        <v/>
      </c>
      <c r="F603" s="131" t="str">
        <f aca="false">IF($P603="✓","✓",IF(ISNUMBER($P603),TEXT($P603,"yyyy-mm-dd"),IF($A603="","",IF($D603="Lisbonne","",IF(SUMPRODUCT(('Formation Initiale'!$A$2:$A$999=$A603)*('Formation Initiale'!$R$2:$R$999="Terminé"))&gt;0,"✓",IF(SUMPRODUCT(MAX(('Formation Initiale'!$A$2:$A$999=$A603)*'Formation Initiale'!$G$2:$G$999))&gt;0,TEXT(SUMPRODUCT(MAX(('Formation Initiale'!$A$2:$A$999=$A603)*'Formation Initiale'!$G$2:$G$999)),"yyyy-mm-dd"),""))))))</f>
        <v/>
      </c>
      <c r="G603" s="131" t="str">
        <f aca="false">IF($Q603="✓","✓",IF(ISNUMBER($Q603),TEXT($Q603,"yyyy-mm-dd"),IF($A603="","",IF(SUMPRODUCT(('Agences &amp; Après-vente'!$A$2:$A$1000=$A603)*(('Agences &amp; Après-vente'!$D$2:$D$1000="Agences")+('Agences &amp; Après-vente'!$D$2:$D$1000="Agences et Après-vente"))*('Agences &amp; Après-vente'!$I$2:$I$1000="DONE"))&gt;0,"✓",IF(SUMPRODUCT(MAX(('Agences &amp; Après-vente'!$A$2:$A$1000=$A603)*(('Agences &amp; Après-vente'!$D$2:$D$1000="Agences")+('Agences &amp; Après-vente'!$D$2:$D$1000="Agences et Après-vente"))*'Agences &amp; Après-vente'!$E$2:$E$1000))&gt;0,TEXT(SUMPRODUCT(MAX(('Agences &amp; Après-vente'!$A$2:$A$1000=$A603)*(('Agences &amp; Après-vente'!$D$2:$D$1000="Agences")+('Agences &amp; Après-vente'!$D$2:$D$1000="Agences et Après-vente"))*'Agences &amp; Après-vente'!$E$2:$E$1000)),"yyyy-mm-dd"),"")))))</f>
        <v/>
      </c>
      <c r="H603" s="131" t="str">
        <f aca="false">IF($R603="✓","✓",IF(ISNUMBER($R603),TEXT($R603,"yyyy-mm-dd"),IF($A603="","",IF($D603="Lisbonne","",IF(SUMPRODUCT(('Agences &amp; Après-vente'!$A$2:$A$1000=$A603)*(('Agences &amp; Après-vente'!$D$2:$D$1000="Agences")+('Agences &amp; Après-vente'!$D$2:$D$1000="Agences et Après-vente"))*('Agences &amp; Après-vente'!$I$2:$I$1000="DONE"))&gt;0,"✓",IF(SUMPRODUCT(MAX(('Agences &amp; Après-vente'!$A$2:$A$1000=$A603)*(('Agences &amp; Après-vente'!$D$2:$D$1000="Agences")+('Agences &amp; Après-vente'!$D$2:$D$1000="Agences et Après-vente"))*'Agences &amp; Après-vente'!$E$2:$E$1000))&gt;0,TEXT(SUMPRODUCT(MAX(('Agences &amp; Après-vente'!$A$2:$A$1000=$A603)*(('Agences &amp; Après-vente'!$D$2:$D$1000="Agences")+('Agences &amp; Après-vente'!$D$2:$D$1000="Agences et Après-vente"))*'Agences &amp; Après-vente'!$E$2:$E$1000)),"yyyy-mm-dd"),""))))))</f>
        <v/>
      </c>
      <c r="I603" s="131" t="str">
        <f aca="false">IF($S603="✓","✓",IF(ISNUMBER($S603),TEXT($S603,"yyyy-mm-dd"),IF($A603="","",IF(SUMPRODUCT(('Agences &amp; Après-vente'!$A$2:$A$1000=$A603)*(('Agences &amp; Après-vente'!$D$2:$D$1000="Après-vente")+('Agences &amp; Après-vente'!$D$2:$D$1000="Agences et Après-vente"))*('Agences &amp; Après-vente'!$I$2:$I$1000="DONE"))&gt;0,"✓",IF(SUMPRODUCT(MAX(('Agences &amp; Après-vente'!$A$2:$A$1000=$A603)*(('Agences &amp; Après-vente'!$D$2:$D$1000="Après-vente")+('Agences &amp; Après-vente'!$D$2:$D$1000="Agences et Après-vente"))*'Agences &amp; Après-vente'!$E$2:$E$1000))&gt;0,TEXT(SUMPRODUCT(MAX(('Agences &amp; Après-vente'!$A$2:$A$1000=$A603)*(('Agences &amp; Après-vente'!$D$2:$D$1000="Après-vente")+('Agences &amp; Après-vente'!$D$2:$D$1000="Agences et Après-vente"))*'Agences &amp; Après-vente'!$E$2:$E$1000)),"yyyy-mm-dd"),"")))))</f>
        <v/>
      </c>
      <c r="J603" s="131" t="str">
        <f aca="false">IF($T603="✓","✓",IF(ISNUMBER($T603),TEXT($T603,"yyyy-mm-dd"),IF($A603="","",IF($D603="Lisbonne","",IF(SUMPRODUCT(('Agences &amp; Après-vente'!$A$2:$A$1000=$A603)*(('Agences &amp; Après-vente'!$D$2:$D$1000="Après-vente")+('Agences &amp; Après-vente'!$D$2:$D$1000="Agences et Après-vente"))*('Agences &amp; Après-vente'!$I$2:$I$1000="DONE"))&gt;0,"✓",IF(SUMPRODUCT(MAX(('Agences &amp; Après-vente'!$A$2:$A$1000=$A603)*(('Agences &amp; Après-vente'!$D$2:$D$1000="Après-vente")+('Agences &amp; Après-vente'!$D$2:$D$1000="Agences et Après-vente"))*'Agences &amp; Après-vente'!$E$2:$E$1000))&gt;0,TEXT(SUMPRODUCT(MAX(('Agences &amp; Après-vente'!$A$2:$A$1000=$A603)*(('Agences &amp; Après-vente'!$D$2:$D$1000="Après-vente")+('Agences &amp; Après-vente'!$D$2:$D$1000="Agences et Après-vente"))*'Agences &amp; Après-vente'!$E$2:$E$1000)),"yyyy-mm-dd"),""))))))</f>
        <v/>
      </c>
      <c r="K603" s="131" t="str">
        <f aca="false">IF($U603="✓","✓",IF(ISNUMBER($U603),TEXT($U603,"yyyy-mm-dd"),IF($D603="Lisbonne","",IF($A603="","",IF(SUMPRODUCT((Evermont!$A$2:$A$1000=$A603)*(Evermont!$Q$2:$Q$1000="Terminé"))&gt;0,"✓",IF(SUMPRODUCT(MAX((Evermont!$A$2:$A$1000=$A603)*Evermont!$F$2:$F$1000))&gt;0,TEXT(SUMPRODUCT(MAX((Evermont!$A$2:$A$1000=$A603)*Evermont!$F$2:$F$1000)),"yyyy-mm-dd"),""))))))</f>
        <v/>
      </c>
      <c r="L603" s="131" t="str">
        <f aca="false">IF($A603="","",COUNTIF(E603:K603,"✓"))</f>
        <v/>
      </c>
      <c r="M603" s="131" t="str">
        <f aca="false">IF(B603="","","Active")</f>
        <v/>
      </c>
      <c r="W603" s="120" t="str">
        <f aca="false">IF($A603="","",IF($X603&lt;&gt;"",$X603,IFERROR(INDEX('Formation Initiale'!$B$2:$B$999,MATCH($A603,'Formation Initiale'!$A$2:$A$999,0)),"Général")))</f>
        <v/>
      </c>
    </row>
    <row r="604" customFormat="false" ht="15" hidden="true" customHeight="true" outlineLevel="0" collapsed="false">
      <c r="A604" s="142" t="str">
        <f aca="false">IF(B604="","","TR"&amp;TEXT(ROW()-1,"000"))</f>
        <v/>
      </c>
      <c r="E604" s="130" t="str">
        <f aca="false">IF($O604="✓","✓",IF(ISNUMBER($O604),TEXT($O604,"yyyy-mm-dd"),IF($A604="","",IF(SUMPRODUCT(('Formation Initiale'!$A$2:$A$999=$A604)*('Formation Initiale'!$R$2:$R$999="Terminé"))&gt;0,"✓",IF(SUMPRODUCT(MAX(('Formation Initiale'!$A$2:$A$999=$A604)*'Formation Initiale'!$G$2:$G$999))&gt;0,TEXT(SUMPRODUCT(MAX(('Formation Initiale'!$A$2:$A$999=$A604)*'Formation Initiale'!$G$2:$G$999)),"yyyy-mm-dd"),"")))))</f>
        <v/>
      </c>
      <c r="F604" s="131" t="str">
        <f aca="false">IF($P604="✓","✓",IF(ISNUMBER($P604),TEXT($P604,"yyyy-mm-dd"),IF($A604="","",IF($D604="Lisbonne","",IF(SUMPRODUCT(('Formation Initiale'!$A$2:$A$999=$A604)*('Formation Initiale'!$R$2:$R$999="Terminé"))&gt;0,"✓",IF(SUMPRODUCT(MAX(('Formation Initiale'!$A$2:$A$999=$A604)*'Formation Initiale'!$G$2:$G$999))&gt;0,TEXT(SUMPRODUCT(MAX(('Formation Initiale'!$A$2:$A$999=$A604)*'Formation Initiale'!$G$2:$G$999)),"yyyy-mm-dd"),""))))))</f>
        <v/>
      </c>
      <c r="G604" s="131" t="str">
        <f aca="false">IF($Q604="✓","✓",IF(ISNUMBER($Q604),TEXT($Q604,"yyyy-mm-dd"),IF($A604="","",IF(SUMPRODUCT(('Agences &amp; Après-vente'!$A$2:$A$1000=$A604)*(('Agences &amp; Après-vente'!$D$2:$D$1000="Agences")+('Agences &amp; Après-vente'!$D$2:$D$1000="Agences et Après-vente"))*('Agences &amp; Après-vente'!$I$2:$I$1000="DONE"))&gt;0,"✓",IF(SUMPRODUCT(MAX(('Agences &amp; Après-vente'!$A$2:$A$1000=$A604)*(('Agences &amp; Après-vente'!$D$2:$D$1000="Agences")+('Agences &amp; Après-vente'!$D$2:$D$1000="Agences et Après-vente"))*'Agences &amp; Après-vente'!$E$2:$E$1000))&gt;0,TEXT(SUMPRODUCT(MAX(('Agences &amp; Après-vente'!$A$2:$A$1000=$A604)*(('Agences &amp; Après-vente'!$D$2:$D$1000="Agences")+('Agences &amp; Après-vente'!$D$2:$D$1000="Agences et Après-vente"))*'Agences &amp; Après-vente'!$E$2:$E$1000)),"yyyy-mm-dd"),"")))))</f>
        <v/>
      </c>
      <c r="H604" s="131" t="str">
        <f aca="false">IF($R604="✓","✓",IF(ISNUMBER($R604),TEXT($R604,"yyyy-mm-dd"),IF($A604="","",IF($D604="Lisbonne","",IF(SUMPRODUCT(('Agences &amp; Après-vente'!$A$2:$A$1000=$A604)*(('Agences &amp; Après-vente'!$D$2:$D$1000="Agences")+('Agences &amp; Après-vente'!$D$2:$D$1000="Agences et Après-vente"))*('Agences &amp; Après-vente'!$I$2:$I$1000="DONE"))&gt;0,"✓",IF(SUMPRODUCT(MAX(('Agences &amp; Après-vente'!$A$2:$A$1000=$A604)*(('Agences &amp; Après-vente'!$D$2:$D$1000="Agences")+('Agences &amp; Après-vente'!$D$2:$D$1000="Agences et Après-vente"))*'Agences &amp; Après-vente'!$E$2:$E$1000))&gt;0,TEXT(SUMPRODUCT(MAX(('Agences &amp; Après-vente'!$A$2:$A$1000=$A604)*(('Agences &amp; Après-vente'!$D$2:$D$1000="Agences")+('Agences &amp; Après-vente'!$D$2:$D$1000="Agences et Après-vente"))*'Agences &amp; Après-vente'!$E$2:$E$1000)),"yyyy-mm-dd"),""))))))</f>
        <v/>
      </c>
      <c r="I604" s="131" t="str">
        <f aca="false">IF($S604="✓","✓",IF(ISNUMBER($S604),TEXT($S604,"yyyy-mm-dd"),IF($A604="","",IF(SUMPRODUCT(('Agences &amp; Après-vente'!$A$2:$A$1000=$A604)*(('Agences &amp; Après-vente'!$D$2:$D$1000="Après-vente")+('Agences &amp; Après-vente'!$D$2:$D$1000="Agences et Après-vente"))*('Agences &amp; Après-vente'!$I$2:$I$1000="DONE"))&gt;0,"✓",IF(SUMPRODUCT(MAX(('Agences &amp; Après-vente'!$A$2:$A$1000=$A604)*(('Agences &amp; Après-vente'!$D$2:$D$1000="Après-vente")+('Agences &amp; Après-vente'!$D$2:$D$1000="Agences et Après-vente"))*'Agences &amp; Après-vente'!$E$2:$E$1000))&gt;0,TEXT(SUMPRODUCT(MAX(('Agences &amp; Après-vente'!$A$2:$A$1000=$A604)*(('Agences &amp; Après-vente'!$D$2:$D$1000="Après-vente")+('Agences &amp; Après-vente'!$D$2:$D$1000="Agences et Après-vente"))*'Agences &amp; Après-vente'!$E$2:$E$1000)),"yyyy-mm-dd"),"")))))</f>
        <v/>
      </c>
      <c r="J604" s="131" t="str">
        <f aca="false">IF($T604="✓","✓",IF(ISNUMBER($T604),TEXT($T604,"yyyy-mm-dd"),IF($A604="","",IF($D604="Lisbonne","",IF(SUMPRODUCT(('Agences &amp; Après-vente'!$A$2:$A$1000=$A604)*(('Agences &amp; Après-vente'!$D$2:$D$1000="Après-vente")+('Agences &amp; Après-vente'!$D$2:$D$1000="Agences et Après-vente"))*('Agences &amp; Après-vente'!$I$2:$I$1000="DONE"))&gt;0,"✓",IF(SUMPRODUCT(MAX(('Agences &amp; Après-vente'!$A$2:$A$1000=$A604)*(('Agences &amp; Après-vente'!$D$2:$D$1000="Après-vente")+('Agences &amp; Après-vente'!$D$2:$D$1000="Agences et Après-vente"))*'Agences &amp; Après-vente'!$E$2:$E$1000))&gt;0,TEXT(SUMPRODUCT(MAX(('Agences &amp; Après-vente'!$A$2:$A$1000=$A604)*(('Agences &amp; Après-vente'!$D$2:$D$1000="Après-vente")+('Agences &amp; Après-vente'!$D$2:$D$1000="Agences et Après-vente"))*'Agences &amp; Après-vente'!$E$2:$E$1000)),"yyyy-mm-dd"),""))))))</f>
        <v/>
      </c>
      <c r="K604" s="131" t="str">
        <f aca="false">IF($U604="✓","✓",IF(ISNUMBER($U604),TEXT($U604,"yyyy-mm-dd"),IF($D604="Lisbonne","",IF($A604="","",IF(SUMPRODUCT((Evermont!$A$2:$A$1000=$A604)*(Evermont!$Q$2:$Q$1000="Terminé"))&gt;0,"✓",IF(SUMPRODUCT(MAX((Evermont!$A$2:$A$1000=$A604)*Evermont!$F$2:$F$1000))&gt;0,TEXT(SUMPRODUCT(MAX((Evermont!$A$2:$A$1000=$A604)*Evermont!$F$2:$F$1000)),"yyyy-mm-dd"),""))))))</f>
        <v/>
      </c>
      <c r="L604" s="131" t="str">
        <f aca="false">IF($A604="","",COUNTIF(E604:K604,"✓"))</f>
        <v/>
      </c>
      <c r="M604" s="131" t="str">
        <f aca="false">IF(B604="","","Active")</f>
        <v/>
      </c>
      <c r="W604" s="120" t="str">
        <f aca="false">IF($A604="","",IF($X604&lt;&gt;"",$X604,IFERROR(INDEX('Formation Initiale'!$B$2:$B$999,MATCH($A604,'Formation Initiale'!$A$2:$A$999,0)),"Général")))</f>
        <v/>
      </c>
    </row>
    <row r="605" customFormat="false" ht="15" hidden="true" customHeight="true" outlineLevel="0" collapsed="false">
      <c r="A605" s="142" t="str">
        <f aca="false">IF(B605="","","TR"&amp;TEXT(ROW()-1,"000"))</f>
        <v/>
      </c>
      <c r="E605" s="130" t="str">
        <f aca="false">IF($O605="✓","✓",IF(ISNUMBER($O605),TEXT($O605,"yyyy-mm-dd"),IF($A605="","",IF(SUMPRODUCT(('Formation Initiale'!$A$2:$A$999=$A605)*('Formation Initiale'!$R$2:$R$999="Terminé"))&gt;0,"✓",IF(SUMPRODUCT(MAX(('Formation Initiale'!$A$2:$A$999=$A605)*'Formation Initiale'!$G$2:$G$999))&gt;0,TEXT(SUMPRODUCT(MAX(('Formation Initiale'!$A$2:$A$999=$A605)*'Formation Initiale'!$G$2:$G$999)),"yyyy-mm-dd"),"")))))</f>
        <v/>
      </c>
      <c r="F605" s="131" t="str">
        <f aca="false">IF($P605="✓","✓",IF(ISNUMBER($P605),TEXT($P605,"yyyy-mm-dd"),IF($A605="","",IF($D605="Lisbonne","",IF(SUMPRODUCT(('Formation Initiale'!$A$2:$A$999=$A605)*('Formation Initiale'!$R$2:$R$999="Terminé"))&gt;0,"✓",IF(SUMPRODUCT(MAX(('Formation Initiale'!$A$2:$A$999=$A605)*'Formation Initiale'!$G$2:$G$999))&gt;0,TEXT(SUMPRODUCT(MAX(('Formation Initiale'!$A$2:$A$999=$A605)*'Formation Initiale'!$G$2:$G$999)),"yyyy-mm-dd"),""))))))</f>
        <v/>
      </c>
      <c r="G605" s="131" t="str">
        <f aca="false">IF($Q605="✓","✓",IF(ISNUMBER($Q605),TEXT($Q605,"yyyy-mm-dd"),IF($A605="","",IF(SUMPRODUCT(('Agences &amp; Après-vente'!$A$2:$A$1000=$A605)*(('Agences &amp; Après-vente'!$D$2:$D$1000="Agences")+('Agences &amp; Après-vente'!$D$2:$D$1000="Agences et Après-vente"))*('Agences &amp; Après-vente'!$I$2:$I$1000="DONE"))&gt;0,"✓",IF(SUMPRODUCT(MAX(('Agences &amp; Après-vente'!$A$2:$A$1000=$A605)*(('Agences &amp; Après-vente'!$D$2:$D$1000="Agences")+('Agences &amp; Après-vente'!$D$2:$D$1000="Agences et Après-vente"))*'Agences &amp; Après-vente'!$E$2:$E$1000))&gt;0,TEXT(SUMPRODUCT(MAX(('Agences &amp; Après-vente'!$A$2:$A$1000=$A605)*(('Agences &amp; Après-vente'!$D$2:$D$1000="Agences")+('Agences &amp; Après-vente'!$D$2:$D$1000="Agences et Après-vente"))*'Agences &amp; Après-vente'!$E$2:$E$1000)),"yyyy-mm-dd"),"")))))</f>
        <v/>
      </c>
      <c r="H605" s="131" t="str">
        <f aca="false">IF($R605="✓","✓",IF(ISNUMBER($R605),TEXT($R605,"yyyy-mm-dd"),IF($A605="","",IF($D605="Lisbonne","",IF(SUMPRODUCT(('Agences &amp; Après-vente'!$A$2:$A$1000=$A605)*(('Agences &amp; Après-vente'!$D$2:$D$1000="Agences")+('Agences &amp; Après-vente'!$D$2:$D$1000="Agences et Après-vente"))*('Agences &amp; Après-vente'!$I$2:$I$1000="DONE"))&gt;0,"✓",IF(SUMPRODUCT(MAX(('Agences &amp; Après-vente'!$A$2:$A$1000=$A605)*(('Agences &amp; Après-vente'!$D$2:$D$1000="Agences")+('Agences &amp; Après-vente'!$D$2:$D$1000="Agences et Après-vente"))*'Agences &amp; Après-vente'!$E$2:$E$1000))&gt;0,TEXT(SUMPRODUCT(MAX(('Agences &amp; Après-vente'!$A$2:$A$1000=$A605)*(('Agences &amp; Après-vente'!$D$2:$D$1000="Agences")+('Agences &amp; Après-vente'!$D$2:$D$1000="Agences et Après-vente"))*'Agences &amp; Après-vente'!$E$2:$E$1000)),"yyyy-mm-dd"),""))))))</f>
        <v/>
      </c>
      <c r="I605" s="131" t="str">
        <f aca="false">IF($S605="✓","✓",IF(ISNUMBER($S605),TEXT($S605,"yyyy-mm-dd"),IF($A605="","",IF(SUMPRODUCT(('Agences &amp; Après-vente'!$A$2:$A$1000=$A605)*(('Agences &amp; Après-vente'!$D$2:$D$1000="Après-vente")+('Agences &amp; Après-vente'!$D$2:$D$1000="Agences et Après-vente"))*('Agences &amp; Après-vente'!$I$2:$I$1000="DONE"))&gt;0,"✓",IF(SUMPRODUCT(MAX(('Agences &amp; Après-vente'!$A$2:$A$1000=$A605)*(('Agences &amp; Après-vente'!$D$2:$D$1000="Après-vente")+('Agences &amp; Après-vente'!$D$2:$D$1000="Agences et Après-vente"))*'Agences &amp; Après-vente'!$E$2:$E$1000))&gt;0,TEXT(SUMPRODUCT(MAX(('Agences &amp; Après-vente'!$A$2:$A$1000=$A605)*(('Agences &amp; Après-vente'!$D$2:$D$1000="Après-vente")+('Agences &amp; Après-vente'!$D$2:$D$1000="Agences et Après-vente"))*'Agences &amp; Après-vente'!$E$2:$E$1000)),"yyyy-mm-dd"),"")))))</f>
        <v/>
      </c>
      <c r="J605" s="131" t="str">
        <f aca="false">IF($T605="✓","✓",IF(ISNUMBER($T605),TEXT($T605,"yyyy-mm-dd"),IF($A605="","",IF($D605="Lisbonne","",IF(SUMPRODUCT(('Agences &amp; Après-vente'!$A$2:$A$1000=$A605)*(('Agences &amp; Après-vente'!$D$2:$D$1000="Après-vente")+('Agences &amp; Après-vente'!$D$2:$D$1000="Agences et Après-vente"))*('Agences &amp; Après-vente'!$I$2:$I$1000="DONE"))&gt;0,"✓",IF(SUMPRODUCT(MAX(('Agences &amp; Après-vente'!$A$2:$A$1000=$A605)*(('Agences &amp; Après-vente'!$D$2:$D$1000="Après-vente")+('Agences &amp; Après-vente'!$D$2:$D$1000="Agences et Après-vente"))*'Agences &amp; Après-vente'!$E$2:$E$1000))&gt;0,TEXT(SUMPRODUCT(MAX(('Agences &amp; Après-vente'!$A$2:$A$1000=$A605)*(('Agences &amp; Après-vente'!$D$2:$D$1000="Après-vente")+('Agences &amp; Après-vente'!$D$2:$D$1000="Agences et Après-vente"))*'Agences &amp; Après-vente'!$E$2:$E$1000)),"yyyy-mm-dd"),""))))))</f>
        <v/>
      </c>
      <c r="K605" s="131" t="str">
        <f aca="false">IF($U605="✓","✓",IF(ISNUMBER($U605),TEXT($U605,"yyyy-mm-dd"),IF($D605="Lisbonne","",IF($A605="","",IF(SUMPRODUCT((Evermont!$A$2:$A$1000=$A605)*(Evermont!$Q$2:$Q$1000="Terminé"))&gt;0,"✓",IF(SUMPRODUCT(MAX((Evermont!$A$2:$A$1000=$A605)*Evermont!$F$2:$F$1000))&gt;0,TEXT(SUMPRODUCT(MAX((Evermont!$A$2:$A$1000=$A605)*Evermont!$F$2:$F$1000)),"yyyy-mm-dd"),""))))))</f>
        <v/>
      </c>
      <c r="L605" s="131" t="str">
        <f aca="false">IF($A605="","",COUNTIF(E605:K605,"✓"))</f>
        <v/>
      </c>
      <c r="M605" s="131" t="str">
        <f aca="false">IF(B605="","","Active")</f>
        <v/>
      </c>
      <c r="W605" s="120" t="str">
        <f aca="false">IF($A605="","",IF($X605&lt;&gt;"",$X605,IFERROR(INDEX('Formation Initiale'!$B$2:$B$999,MATCH($A605,'Formation Initiale'!$A$2:$A$999,0)),"Général")))</f>
        <v/>
      </c>
    </row>
    <row r="606" customFormat="false" ht="15" hidden="true" customHeight="true" outlineLevel="0" collapsed="false">
      <c r="A606" s="142" t="str">
        <f aca="false">IF(B606="","","TR"&amp;TEXT(ROW()-1,"000"))</f>
        <v/>
      </c>
      <c r="E606" s="130" t="str">
        <f aca="false">IF($O606="✓","✓",IF(ISNUMBER($O606),TEXT($O606,"yyyy-mm-dd"),IF($A606="","",IF(SUMPRODUCT(('Formation Initiale'!$A$2:$A$999=$A606)*('Formation Initiale'!$R$2:$R$999="Terminé"))&gt;0,"✓",IF(SUMPRODUCT(MAX(('Formation Initiale'!$A$2:$A$999=$A606)*'Formation Initiale'!$G$2:$G$999))&gt;0,TEXT(SUMPRODUCT(MAX(('Formation Initiale'!$A$2:$A$999=$A606)*'Formation Initiale'!$G$2:$G$999)),"yyyy-mm-dd"),"")))))</f>
        <v/>
      </c>
      <c r="F606" s="131" t="str">
        <f aca="false">IF($P606="✓","✓",IF(ISNUMBER($P606),TEXT($P606,"yyyy-mm-dd"),IF($A606="","",IF($D606="Lisbonne","",IF(SUMPRODUCT(('Formation Initiale'!$A$2:$A$999=$A606)*('Formation Initiale'!$R$2:$R$999="Terminé"))&gt;0,"✓",IF(SUMPRODUCT(MAX(('Formation Initiale'!$A$2:$A$999=$A606)*'Formation Initiale'!$G$2:$G$999))&gt;0,TEXT(SUMPRODUCT(MAX(('Formation Initiale'!$A$2:$A$999=$A606)*'Formation Initiale'!$G$2:$G$999)),"yyyy-mm-dd"),""))))))</f>
        <v/>
      </c>
      <c r="G606" s="131" t="str">
        <f aca="false">IF($Q606="✓","✓",IF(ISNUMBER($Q606),TEXT($Q606,"yyyy-mm-dd"),IF($A606="","",IF(SUMPRODUCT(('Agences &amp; Après-vente'!$A$2:$A$1000=$A606)*(('Agences &amp; Après-vente'!$D$2:$D$1000="Agences")+('Agences &amp; Après-vente'!$D$2:$D$1000="Agences et Après-vente"))*('Agences &amp; Après-vente'!$I$2:$I$1000="DONE"))&gt;0,"✓",IF(SUMPRODUCT(MAX(('Agences &amp; Après-vente'!$A$2:$A$1000=$A606)*(('Agences &amp; Après-vente'!$D$2:$D$1000="Agences")+('Agences &amp; Après-vente'!$D$2:$D$1000="Agences et Après-vente"))*'Agences &amp; Après-vente'!$E$2:$E$1000))&gt;0,TEXT(SUMPRODUCT(MAX(('Agences &amp; Après-vente'!$A$2:$A$1000=$A606)*(('Agences &amp; Après-vente'!$D$2:$D$1000="Agences")+('Agences &amp; Après-vente'!$D$2:$D$1000="Agences et Après-vente"))*'Agences &amp; Après-vente'!$E$2:$E$1000)),"yyyy-mm-dd"),"")))))</f>
        <v/>
      </c>
      <c r="H606" s="131" t="str">
        <f aca="false">IF($R606="✓","✓",IF(ISNUMBER($R606),TEXT($R606,"yyyy-mm-dd"),IF($A606="","",IF($D606="Lisbonne","",IF(SUMPRODUCT(('Agences &amp; Après-vente'!$A$2:$A$1000=$A606)*(('Agences &amp; Après-vente'!$D$2:$D$1000="Agences")+('Agences &amp; Après-vente'!$D$2:$D$1000="Agences et Après-vente"))*('Agences &amp; Après-vente'!$I$2:$I$1000="DONE"))&gt;0,"✓",IF(SUMPRODUCT(MAX(('Agences &amp; Après-vente'!$A$2:$A$1000=$A606)*(('Agences &amp; Après-vente'!$D$2:$D$1000="Agences")+('Agences &amp; Après-vente'!$D$2:$D$1000="Agences et Après-vente"))*'Agences &amp; Après-vente'!$E$2:$E$1000))&gt;0,TEXT(SUMPRODUCT(MAX(('Agences &amp; Après-vente'!$A$2:$A$1000=$A606)*(('Agences &amp; Après-vente'!$D$2:$D$1000="Agences")+('Agences &amp; Après-vente'!$D$2:$D$1000="Agences et Après-vente"))*'Agences &amp; Après-vente'!$E$2:$E$1000)),"yyyy-mm-dd"),""))))))</f>
        <v/>
      </c>
      <c r="I606" s="131" t="str">
        <f aca="false">IF($S606="✓","✓",IF(ISNUMBER($S606),TEXT($S606,"yyyy-mm-dd"),IF($A606="","",IF(SUMPRODUCT(('Agences &amp; Après-vente'!$A$2:$A$1000=$A606)*(('Agences &amp; Après-vente'!$D$2:$D$1000="Après-vente")+('Agences &amp; Après-vente'!$D$2:$D$1000="Agences et Après-vente"))*('Agences &amp; Après-vente'!$I$2:$I$1000="DONE"))&gt;0,"✓",IF(SUMPRODUCT(MAX(('Agences &amp; Après-vente'!$A$2:$A$1000=$A606)*(('Agences &amp; Après-vente'!$D$2:$D$1000="Après-vente")+('Agences &amp; Après-vente'!$D$2:$D$1000="Agences et Après-vente"))*'Agences &amp; Après-vente'!$E$2:$E$1000))&gt;0,TEXT(SUMPRODUCT(MAX(('Agences &amp; Après-vente'!$A$2:$A$1000=$A606)*(('Agences &amp; Après-vente'!$D$2:$D$1000="Après-vente")+('Agences &amp; Après-vente'!$D$2:$D$1000="Agences et Après-vente"))*'Agences &amp; Après-vente'!$E$2:$E$1000)),"yyyy-mm-dd"),"")))))</f>
        <v/>
      </c>
      <c r="J606" s="131" t="str">
        <f aca="false">IF($T606="✓","✓",IF(ISNUMBER($T606),TEXT($T606,"yyyy-mm-dd"),IF($A606="","",IF($D606="Lisbonne","",IF(SUMPRODUCT(('Agences &amp; Après-vente'!$A$2:$A$1000=$A606)*(('Agences &amp; Après-vente'!$D$2:$D$1000="Après-vente")+('Agences &amp; Après-vente'!$D$2:$D$1000="Agences et Après-vente"))*('Agences &amp; Après-vente'!$I$2:$I$1000="DONE"))&gt;0,"✓",IF(SUMPRODUCT(MAX(('Agences &amp; Après-vente'!$A$2:$A$1000=$A606)*(('Agences &amp; Après-vente'!$D$2:$D$1000="Après-vente")+('Agences &amp; Après-vente'!$D$2:$D$1000="Agences et Après-vente"))*'Agences &amp; Après-vente'!$E$2:$E$1000))&gt;0,TEXT(SUMPRODUCT(MAX(('Agences &amp; Après-vente'!$A$2:$A$1000=$A606)*(('Agences &amp; Après-vente'!$D$2:$D$1000="Après-vente")+('Agences &amp; Après-vente'!$D$2:$D$1000="Agences et Après-vente"))*'Agences &amp; Après-vente'!$E$2:$E$1000)),"yyyy-mm-dd"),""))))))</f>
        <v/>
      </c>
      <c r="K606" s="131" t="str">
        <f aca="false">IF($U606="✓","✓",IF(ISNUMBER($U606),TEXT($U606,"yyyy-mm-dd"),IF($D606="Lisbonne","",IF($A606="","",IF(SUMPRODUCT((Evermont!$A$2:$A$1000=$A606)*(Evermont!$Q$2:$Q$1000="Terminé"))&gt;0,"✓",IF(SUMPRODUCT(MAX((Evermont!$A$2:$A$1000=$A606)*Evermont!$F$2:$F$1000))&gt;0,TEXT(SUMPRODUCT(MAX((Evermont!$A$2:$A$1000=$A606)*Evermont!$F$2:$F$1000)),"yyyy-mm-dd"),""))))))</f>
        <v/>
      </c>
      <c r="L606" s="131" t="str">
        <f aca="false">IF($A606="","",COUNTIF(E606:K606,"✓"))</f>
        <v/>
      </c>
      <c r="M606" s="131" t="str">
        <f aca="false">IF(B606="","","Active")</f>
        <v/>
      </c>
      <c r="W606" s="120" t="str">
        <f aca="false">IF($A606="","",IF($X606&lt;&gt;"",$X606,IFERROR(INDEX('Formation Initiale'!$B$2:$B$999,MATCH($A606,'Formation Initiale'!$A$2:$A$999,0)),"Général")))</f>
        <v/>
      </c>
    </row>
    <row r="607" customFormat="false" ht="15" hidden="true" customHeight="true" outlineLevel="0" collapsed="false">
      <c r="A607" s="142" t="str">
        <f aca="false">IF(B607="","","TR"&amp;TEXT(ROW()-1,"000"))</f>
        <v/>
      </c>
      <c r="E607" s="130" t="str">
        <f aca="false">IF($O607="✓","✓",IF(ISNUMBER($O607),TEXT($O607,"yyyy-mm-dd"),IF($A607="","",IF(SUMPRODUCT(('Formation Initiale'!$A$2:$A$999=$A607)*('Formation Initiale'!$R$2:$R$999="Terminé"))&gt;0,"✓",IF(SUMPRODUCT(MAX(('Formation Initiale'!$A$2:$A$999=$A607)*'Formation Initiale'!$G$2:$G$999))&gt;0,TEXT(SUMPRODUCT(MAX(('Formation Initiale'!$A$2:$A$999=$A607)*'Formation Initiale'!$G$2:$G$999)),"yyyy-mm-dd"),"")))))</f>
        <v/>
      </c>
      <c r="F607" s="131" t="str">
        <f aca="false">IF($P607="✓","✓",IF(ISNUMBER($P607),TEXT($P607,"yyyy-mm-dd"),IF($A607="","",IF($D607="Lisbonne","",IF(SUMPRODUCT(('Formation Initiale'!$A$2:$A$999=$A607)*('Formation Initiale'!$R$2:$R$999="Terminé"))&gt;0,"✓",IF(SUMPRODUCT(MAX(('Formation Initiale'!$A$2:$A$999=$A607)*'Formation Initiale'!$G$2:$G$999))&gt;0,TEXT(SUMPRODUCT(MAX(('Formation Initiale'!$A$2:$A$999=$A607)*'Formation Initiale'!$G$2:$G$999)),"yyyy-mm-dd"),""))))))</f>
        <v/>
      </c>
      <c r="G607" s="131" t="str">
        <f aca="false">IF($Q607="✓","✓",IF(ISNUMBER($Q607),TEXT($Q607,"yyyy-mm-dd"),IF($A607="","",IF(SUMPRODUCT(('Agences &amp; Après-vente'!$A$2:$A$1000=$A607)*(('Agences &amp; Après-vente'!$D$2:$D$1000="Agences")+('Agences &amp; Après-vente'!$D$2:$D$1000="Agences et Après-vente"))*('Agences &amp; Après-vente'!$I$2:$I$1000="DONE"))&gt;0,"✓",IF(SUMPRODUCT(MAX(('Agences &amp; Après-vente'!$A$2:$A$1000=$A607)*(('Agences &amp; Après-vente'!$D$2:$D$1000="Agences")+('Agences &amp; Après-vente'!$D$2:$D$1000="Agences et Après-vente"))*'Agences &amp; Après-vente'!$E$2:$E$1000))&gt;0,TEXT(SUMPRODUCT(MAX(('Agences &amp; Après-vente'!$A$2:$A$1000=$A607)*(('Agences &amp; Après-vente'!$D$2:$D$1000="Agences")+('Agences &amp; Après-vente'!$D$2:$D$1000="Agences et Après-vente"))*'Agences &amp; Après-vente'!$E$2:$E$1000)),"yyyy-mm-dd"),"")))))</f>
        <v/>
      </c>
      <c r="H607" s="131" t="str">
        <f aca="false">IF($R607="✓","✓",IF(ISNUMBER($R607),TEXT($R607,"yyyy-mm-dd"),IF($A607="","",IF($D607="Lisbonne","",IF(SUMPRODUCT(('Agences &amp; Après-vente'!$A$2:$A$1000=$A607)*(('Agences &amp; Après-vente'!$D$2:$D$1000="Agences")+('Agences &amp; Après-vente'!$D$2:$D$1000="Agences et Après-vente"))*('Agences &amp; Après-vente'!$I$2:$I$1000="DONE"))&gt;0,"✓",IF(SUMPRODUCT(MAX(('Agences &amp; Après-vente'!$A$2:$A$1000=$A607)*(('Agences &amp; Après-vente'!$D$2:$D$1000="Agences")+('Agences &amp; Après-vente'!$D$2:$D$1000="Agences et Après-vente"))*'Agences &amp; Après-vente'!$E$2:$E$1000))&gt;0,TEXT(SUMPRODUCT(MAX(('Agences &amp; Après-vente'!$A$2:$A$1000=$A607)*(('Agences &amp; Après-vente'!$D$2:$D$1000="Agences")+('Agences &amp; Après-vente'!$D$2:$D$1000="Agences et Après-vente"))*'Agences &amp; Après-vente'!$E$2:$E$1000)),"yyyy-mm-dd"),""))))))</f>
        <v/>
      </c>
      <c r="I607" s="131" t="str">
        <f aca="false">IF($S607="✓","✓",IF(ISNUMBER($S607),TEXT($S607,"yyyy-mm-dd"),IF($A607="","",IF(SUMPRODUCT(('Agences &amp; Après-vente'!$A$2:$A$1000=$A607)*(('Agences &amp; Après-vente'!$D$2:$D$1000="Après-vente")+('Agences &amp; Après-vente'!$D$2:$D$1000="Agences et Après-vente"))*('Agences &amp; Après-vente'!$I$2:$I$1000="DONE"))&gt;0,"✓",IF(SUMPRODUCT(MAX(('Agences &amp; Après-vente'!$A$2:$A$1000=$A607)*(('Agences &amp; Après-vente'!$D$2:$D$1000="Après-vente")+('Agences &amp; Après-vente'!$D$2:$D$1000="Agences et Après-vente"))*'Agences &amp; Après-vente'!$E$2:$E$1000))&gt;0,TEXT(SUMPRODUCT(MAX(('Agences &amp; Après-vente'!$A$2:$A$1000=$A607)*(('Agences &amp; Après-vente'!$D$2:$D$1000="Après-vente")+('Agences &amp; Après-vente'!$D$2:$D$1000="Agences et Après-vente"))*'Agences &amp; Après-vente'!$E$2:$E$1000)),"yyyy-mm-dd"),"")))))</f>
        <v/>
      </c>
      <c r="J607" s="131" t="str">
        <f aca="false">IF($T607="✓","✓",IF(ISNUMBER($T607),TEXT($T607,"yyyy-mm-dd"),IF($A607="","",IF($D607="Lisbonne","",IF(SUMPRODUCT(('Agences &amp; Après-vente'!$A$2:$A$1000=$A607)*(('Agences &amp; Après-vente'!$D$2:$D$1000="Après-vente")+('Agences &amp; Après-vente'!$D$2:$D$1000="Agences et Après-vente"))*('Agences &amp; Après-vente'!$I$2:$I$1000="DONE"))&gt;0,"✓",IF(SUMPRODUCT(MAX(('Agences &amp; Après-vente'!$A$2:$A$1000=$A607)*(('Agences &amp; Après-vente'!$D$2:$D$1000="Après-vente")+('Agences &amp; Après-vente'!$D$2:$D$1000="Agences et Après-vente"))*'Agences &amp; Après-vente'!$E$2:$E$1000))&gt;0,TEXT(SUMPRODUCT(MAX(('Agences &amp; Après-vente'!$A$2:$A$1000=$A607)*(('Agences &amp; Après-vente'!$D$2:$D$1000="Après-vente")+('Agences &amp; Après-vente'!$D$2:$D$1000="Agences et Après-vente"))*'Agences &amp; Après-vente'!$E$2:$E$1000)),"yyyy-mm-dd"),""))))))</f>
        <v/>
      </c>
      <c r="K607" s="131" t="str">
        <f aca="false">IF($U607="✓","✓",IF(ISNUMBER($U607),TEXT($U607,"yyyy-mm-dd"),IF($D607="Lisbonne","",IF($A607="","",IF(SUMPRODUCT((Evermont!$A$2:$A$1000=$A607)*(Evermont!$Q$2:$Q$1000="Terminé"))&gt;0,"✓",IF(SUMPRODUCT(MAX((Evermont!$A$2:$A$1000=$A607)*Evermont!$F$2:$F$1000))&gt;0,TEXT(SUMPRODUCT(MAX((Evermont!$A$2:$A$1000=$A607)*Evermont!$F$2:$F$1000)),"yyyy-mm-dd"),""))))))</f>
        <v/>
      </c>
      <c r="L607" s="131" t="str">
        <f aca="false">IF($A607="","",COUNTIF(E607:K607,"✓"))</f>
        <v/>
      </c>
      <c r="M607" s="131" t="str">
        <f aca="false">IF(B607="","","Active")</f>
        <v/>
      </c>
      <c r="W607" s="120" t="str">
        <f aca="false">IF($A607="","",IF($X607&lt;&gt;"",$X607,IFERROR(INDEX('Formation Initiale'!$B$2:$B$999,MATCH($A607,'Formation Initiale'!$A$2:$A$999,0)),"Général")))</f>
        <v/>
      </c>
    </row>
    <row r="608" customFormat="false" ht="15" hidden="true" customHeight="true" outlineLevel="0" collapsed="false">
      <c r="A608" s="142" t="str">
        <f aca="false">IF(B608="","","TR"&amp;TEXT(ROW()-1,"000"))</f>
        <v/>
      </c>
      <c r="E608" s="130" t="str">
        <f aca="false">IF($O608="✓","✓",IF(ISNUMBER($O608),TEXT($O608,"yyyy-mm-dd"),IF($A608="","",IF(SUMPRODUCT(('Formation Initiale'!$A$2:$A$999=$A608)*('Formation Initiale'!$R$2:$R$999="Terminé"))&gt;0,"✓",IF(SUMPRODUCT(MAX(('Formation Initiale'!$A$2:$A$999=$A608)*'Formation Initiale'!$G$2:$G$999))&gt;0,TEXT(SUMPRODUCT(MAX(('Formation Initiale'!$A$2:$A$999=$A608)*'Formation Initiale'!$G$2:$G$999)),"yyyy-mm-dd"),"")))))</f>
        <v/>
      </c>
      <c r="F608" s="131" t="str">
        <f aca="false">IF($P608="✓","✓",IF(ISNUMBER($P608),TEXT($P608,"yyyy-mm-dd"),IF($A608="","",IF($D608="Lisbonne","",IF(SUMPRODUCT(('Formation Initiale'!$A$2:$A$999=$A608)*('Formation Initiale'!$R$2:$R$999="Terminé"))&gt;0,"✓",IF(SUMPRODUCT(MAX(('Formation Initiale'!$A$2:$A$999=$A608)*'Formation Initiale'!$G$2:$G$999))&gt;0,TEXT(SUMPRODUCT(MAX(('Formation Initiale'!$A$2:$A$999=$A608)*'Formation Initiale'!$G$2:$G$999)),"yyyy-mm-dd"),""))))))</f>
        <v/>
      </c>
      <c r="G608" s="131" t="str">
        <f aca="false">IF($Q608="✓","✓",IF(ISNUMBER($Q608),TEXT($Q608,"yyyy-mm-dd"),IF($A608="","",IF(SUMPRODUCT(('Agences &amp; Après-vente'!$A$2:$A$1000=$A608)*(('Agences &amp; Après-vente'!$D$2:$D$1000="Agences")+('Agences &amp; Après-vente'!$D$2:$D$1000="Agences et Après-vente"))*('Agences &amp; Après-vente'!$I$2:$I$1000="DONE"))&gt;0,"✓",IF(SUMPRODUCT(MAX(('Agences &amp; Après-vente'!$A$2:$A$1000=$A608)*(('Agences &amp; Après-vente'!$D$2:$D$1000="Agences")+('Agences &amp; Après-vente'!$D$2:$D$1000="Agences et Après-vente"))*'Agences &amp; Après-vente'!$E$2:$E$1000))&gt;0,TEXT(SUMPRODUCT(MAX(('Agences &amp; Après-vente'!$A$2:$A$1000=$A608)*(('Agences &amp; Après-vente'!$D$2:$D$1000="Agences")+('Agences &amp; Après-vente'!$D$2:$D$1000="Agences et Après-vente"))*'Agences &amp; Après-vente'!$E$2:$E$1000)),"yyyy-mm-dd"),"")))))</f>
        <v/>
      </c>
      <c r="H608" s="131" t="str">
        <f aca="false">IF($R608="✓","✓",IF(ISNUMBER($R608),TEXT($R608,"yyyy-mm-dd"),IF($A608="","",IF($D608="Lisbonne","",IF(SUMPRODUCT(('Agences &amp; Après-vente'!$A$2:$A$1000=$A608)*(('Agences &amp; Après-vente'!$D$2:$D$1000="Agences")+('Agences &amp; Après-vente'!$D$2:$D$1000="Agences et Après-vente"))*('Agences &amp; Après-vente'!$I$2:$I$1000="DONE"))&gt;0,"✓",IF(SUMPRODUCT(MAX(('Agences &amp; Après-vente'!$A$2:$A$1000=$A608)*(('Agences &amp; Après-vente'!$D$2:$D$1000="Agences")+('Agences &amp; Après-vente'!$D$2:$D$1000="Agences et Après-vente"))*'Agences &amp; Après-vente'!$E$2:$E$1000))&gt;0,TEXT(SUMPRODUCT(MAX(('Agences &amp; Après-vente'!$A$2:$A$1000=$A608)*(('Agences &amp; Après-vente'!$D$2:$D$1000="Agences")+('Agences &amp; Après-vente'!$D$2:$D$1000="Agences et Après-vente"))*'Agences &amp; Après-vente'!$E$2:$E$1000)),"yyyy-mm-dd"),""))))))</f>
        <v/>
      </c>
      <c r="I608" s="131" t="str">
        <f aca="false">IF($S608="✓","✓",IF(ISNUMBER($S608),TEXT($S608,"yyyy-mm-dd"),IF($A608="","",IF(SUMPRODUCT(('Agences &amp; Après-vente'!$A$2:$A$1000=$A608)*(('Agences &amp; Après-vente'!$D$2:$D$1000="Après-vente")+('Agences &amp; Après-vente'!$D$2:$D$1000="Agences et Après-vente"))*('Agences &amp; Après-vente'!$I$2:$I$1000="DONE"))&gt;0,"✓",IF(SUMPRODUCT(MAX(('Agences &amp; Après-vente'!$A$2:$A$1000=$A608)*(('Agences &amp; Après-vente'!$D$2:$D$1000="Après-vente")+('Agences &amp; Après-vente'!$D$2:$D$1000="Agences et Après-vente"))*'Agences &amp; Après-vente'!$E$2:$E$1000))&gt;0,TEXT(SUMPRODUCT(MAX(('Agences &amp; Après-vente'!$A$2:$A$1000=$A608)*(('Agences &amp; Après-vente'!$D$2:$D$1000="Après-vente")+('Agences &amp; Après-vente'!$D$2:$D$1000="Agences et Après-vente"))*'Agences &amp; Après-vente'!$E$2:$E$1000)),"yyyy-mm-dd"),"")))))</f>
        <v/>
      </c>
      <c r="J608" s="131" t="str">
        <f aca="false">IF($T608="✓","✓",IF(ISNUMBER($T608),TEXT($T608,"yyyy-mm-dd"),IF($A608="","",IF($D608="Lisbonne","",IF(SUMPRODUCT(('Agences &amp; Après-vente'!$A$2:$A$1000=$A608)*(('Agences &amp; Après-vente'!$D$2:$D$1000="Après-vente")+('Agences &amp; Après-vente'!$D$2:$D$1000="Agences et Après-vente"))*('Agences &amp; Après-vente'!$I$2:$I$1000="DONE"))&gt;0,"✓",IF(SUMPRODUCT(MAX(('Agences &amp; Après-vente'!$A$2:$A$1000=$A608)*(('Agences &amp; Après-vente'!$D$2:$D$1000="Après-vente")+('Agences &amp; Après-vente'!$D$2:$D$1000="Agences et Après-vente"))*'Agences &amp; Après-vente'!$E$2:$E$1000))&gt;0,TEXT(SUMPRODUCT(MAX(('Agences &amp; Après-vente'!$A$2:$A$1000=$A608)*(('Agences &amp; Après-vente'!$D$2:$D$1000="Après-vente")+('Agences &amp; Après-vente'!$D$2:$D$1000="Agences et Après-vente"))*'Agences &amp; Après-vente'!$E$2:$E$1000)),"yyyy-mm-dd"),""))))))</f>
        <v/>
      </c>
      <c r="K608" s="131" t="str">
        <f aca="false">IF($U608="✓","✓",IF(ISNUMBER($U608),TEXT($U608,"yyyy-mm-dd"),IF($D608="Lisbonne","",IF($A608="","",IF(SUMPRODUCT((Evermont!$A$2:$A$1000=$A608)*(Evermont!$Q$2:$Q$1000="Terminé"))&gt;0,"✓",IF(SUMPRODUCT(MAX((Evermont!$A$2:$A$1000=$A608)*Evermont!$F$2:$F$1000))&gt;0,TEXT(SUMPRODUCT(MAX((Evermont!$A$2:$A$1000=$A608)*Evermont!$F$2:$F$1000)),"yyyy-mm-dd"),""))))))</f>
        <v/>
      </c>
      <c r="L608" s="131" t="str">
        <f aca="false">IF($A608="","",COUNTIF(E608:K608,"✓"))</f>
        <v/>
      </c>
      <c r="M608" s="131" t="str">
        <f aca="false">IF(B608="","","Active")</f>
        <v/>
      </c>
      <c r="W608" s="120" t="str">
        <f aca="false">IF($A608="","",IF($X608&lt;&gt;"",$X608,IFERROR(INDEX('Formation Initiale'!$B$2:$B$999,MATCH($A608,'Formation Initiale'!$A$2:$A$999,0)),"Général")))</f>
        <v/>
      </c>
    </row>
    <row r="609" customFormat="false" ht="15" hidden="true" customHeight="true" outlineLevel="0" collapsed="false">
      <c r="A609" s="142" t="str">
        <f aca="false">IF(B609="","","TR"&amp;TEXT(ROW()-1,"000"))</f>
        <v/>
      </c>
      <c r="E609" s="130" t="str">
        <f aca="false">IF($O609="✓","✓",IF(ISNUMBER($O609),TEXT($O609,"yyyy-mm-dd"),IF($A609="","",IF(SUMPRODUCT(('Formation Initiale'!$A$2:$A$999=$A609)*('Formation Initiale'!$R$2:$R$999="Terminé"))&gt;0,"✓",IF(SUMPRODUCT(MAX(('Formation Initiale'!$A$2:$A$999=$A609)*'Formation Initiale'!$G$2:$G$999))&gt;0,TEXT(SUMPRODUCT(MAX(('Formation Initiale'!$A$2:$A$999=$A609)*'Formation Initiale'!$G$2:$G$999)),"yyyy-mm-dd"),"")))))</f>
        <v/>
      </c>
      <c r="F609" s="131" t="str">
        <f aca="false">IF($P609="✓","✓",IF(ISNUMBER($P609),TEXT($P609,"yyyy-mm-dd"),IF($A609="","",IF($D609="Lisbonne","",IF(SUMPRODUCT(('Formation Initiale'!$A$2:$A$999=$A609)*('Formation Initiale'!$R$2:$R$999="Terminé"))&gt;0,"✓",IF(SUMPRODUCT(MAX(('Formation Initiale'!$A$2:$A$999=$A609)*'Formation Initiale'!$G$2:$G$999))&gt;0,TEXT(SUMPRODUCT(MAX(('Formation Initiale'!$A$2:$A$999=$A609)*'Formation Initiale'!$G$2:$G$999)),"yyyy-mm-dd"),""))))))</f>
        <v/>
      </c>
      <c r="G609" s="131" t="str">
        <f aca="false">IF($Q609="✓","✓",IF(ISNUMBER($Q609),TEXT($Q609,"yyyy-mm-dd"),IF($A609="","",IF(SUMPRODUCT(('Agences &amp; Après-vente'!$A$2:$A$1000=$A609)*(('Agences &amp; Après-vente'!$D$2:$D$1000="Agences")+('Agences &amp; Après-vente'!$D$2:$D$1000="Agences et Après-vente"))*('Agences &amp; Après-vente'!$I$2:$I$1000="DONE"))&gt;0,"✓",IF(SUMPRODUCT(MAX(('Agences &amp; Après-vente'!$A$2:$A$1000=$A609)*(('Agences &amp; Après-vente'!$D$2:$D$1000="Agences")+('Agences &amp; Après-vente'!$D$2:$D$1000="Agences et Après-vente"))*'Agences &amp; Après-vente'!$E$2:$E$1000))&gt;0,TEXT(SUMPRODUCT(MAX(('Agences &amp; Après-vente'!$A$2:$A$1000=$A609)*(('Agences &amp; Après-vente'!$D$2:$D$1000="Agences")+('Agences &amp; Après-vente'!$D$2:$D$1000="Agences et Après-vente"))*'Agences &amp; Après-vente'!$E$2:$E$1000)),"yyyy-mm-dd"),"")))))</f>
        <v/>
      </c>
      <c r="H609" s="131" t="str">
        <f aca="false">IF($R609="✓","✓",IF(ISNUMBER($R609),TEXT($R609,"yyyy-mm-dd"),IF($A609="","",IF($D609="Lisbonne","",IF(SUMPRODUCT(('Agences &amp; Après-vente'!$A$2:$A$1000=$A609)*(('Agences &amp; Après-vente'!$D$2:$D$1000="Agences")+('Agences &amp; Après-vente'!$D$2:$D$1000="Agences et Après-vente"))*('Agences &amp; Après-vente'!$I$2:$I$1000="DONE"))&gt;0,"✓",IF(SUMPRODUCT(MAX(('Agences &amp; Après-vente'!$A$2:$A$1000=$A609)*(('Agences &amp; Après-vente'!$D$2:$D$1000="Agences")+('Agences &amp; Après-vente'!$D$2:$D$1000="Agences et Après-vente"))*'Agences &amp; Après-vente'!$E$2:$E$1000))&gt;0,TEXT(SUMPRODUCT(MAX(('Agences &amp; Après-vente'!$A$2:$A$1000=$A609)*(('Agences &amp; Après-vente'!$D$2:$D$1000="Agences")+('Agences &amp; Après-vente'!$D$2:$D$1000="Agences et Après-vente"))*'Agences &amp; Après-vente'!$E$2:$E$1000)),"yyyy-mm-dd"),""))))))</f>
        <v/>
      </c>
      <c r="I609" s="131" t="str">
        <f aca="false">IF($S609="✓","✓",IF(ISNUMBER($S609),TEXT($S609,"yyyy-mm-dd"),IF($A609="","",IF(SUMPRODUCT(('Agences &amp; Après-vente'!$A$2:$A$1000=$A609)*(('Agences &amp; Après-vente'!$D$2:$D$1000="Après-vente")+('Agences &amp; Après-vente'!$D$2:$D$1000="Agences et Après-vente"))*('Agences &amp; Après-vente'!$I$2:$I$1000="DONE"))&gt;0,"✓",IF(SUMPRODUCT(MAX(('Agences &amp; Après-vente'!$A$2:$A$1000=$A609)*(('Agences &amp; Après-vente'!$D$2:$D$1000="Après-vente")+('Agences &amp; Après-vente'!$D$2:$D$1000="Agences et Après-vente"))*'Agences &amp; Après-vente'!$E$2:$E$1000))&gt;0,TEXT(SUMPRODUCT(MAX(('Agences &amp; Après-vente'!$A$2:$A$1000=$A609)*(('Agences &amp; Après-vente'!$D$2:$D$1000="Après-vente")+('Agences &amp; Après-vente'!$D$2:$D$1000="Agences et Après-vente"))*'Agences &amp; Après-vente'!$E$2:$E$1000)),"yyyy-mm-dd"),"")))))</f>
        <v/>
      </c>
      <c r="J609" s="131" t="str">
        <f aca="false">IF($T609="✓","✓",IF(ISNUMBER($T609),TEXT($T609,"yyyy-mm-dd"),IF($A609="","",IF($D609="Lisbonne","",IF(SUMPRODUCT(('Agences &amp; Après-vente'!$A$2:$A$1000=$A609)*(('Agences &amp; Après-vente'!$D$2:$D$1000="Après-vente")+('Agences &amp; Après-vente'!$D$2:$D$1000="Agences et Après-vente"))*('Agences &amp; Après-vente'!$I$2:$I$1000="DONE"))&gt;0,"✓",IF(SUMPRODUCT(MAX(('Agences &amp; Après-vente'!$A$2:$A$1000=$A609)*(('Agences &amp; Après-vente'!$D$2:$D$1000="Après-vente")+('Agences &amp; Après-vente'!$D$2:$D$1000="Agences et Après-vente"))*'Agences &amp; Après-vente'!$E$2:$E$1000))&gt;0,TEXT(SUMPRODUCT(MAX(('Agences &amp; Après-vente'!$A$2:$A$1000=$A609)*(('Agences &amp; Après-vente'!$D$2:$D$1000="Après-vente")+('Agences &amp; Après-vente'!$D$2:$D$1000="Agences et Après-vente"))*'Agences &amp; Après-vente'!$E$2:$E$1000)),"yyyy-mm-dd"),""))))))</f>
        <v/>
      </c>
      <c r="K609" s="131" t="str">
        <f aca="false">IF($U609="✓","✓",IF(ISNUMBER($U609),TEXT($U609,"yyyy-mm-dd"),IF($D609="Lisbonne","",IF($A609="","",IF(SUMPRODUCT((Evermont!$A$2:$A$1000=$A609)*(Evermont!$Q$2:$Q$1000="Terminé"))&gt;0,"✓",IF(SUMPRODUCT(MAX((Evermont!$A$2:$A$1000=$A609)*Evermont!$F$2:$F$1000))&gt;0,TEXT(SUMPRODUCT(MAX((Evermont!$A$2:$A$1000=$A609)*Evermont!$F$2:$F$1000)),"yyyy-mm-dd"),""))))))</f>
        <v/>
      </c>
      <c r="L609" s="131" t="str">
        <f aca="false">IF($A609="","",COUNTIF(E609:K609,"✓"))</f>
        <v/>
      </c>
      <c r="M609" s="131" t="str">
        <f aca="false">IF(B609="","","Active")</f>
        <v/>
      </c>
      <c r="W609" s="120" t="str">
        <f aca="false">IF($A609="","",IF($X609&lt;&gt;"",$X609,IFERROR(INDEX('Formation Initiale'!$B$2:$B$999,MATCH($A609,'Formation Initiale'!$A$2:$A$999,0)),"Général")))</f>
        <v/>
      </c>
    </row>
    <row r="610" customFormat="false" ht="15" hidden="true" customHeight="true" outlineLevel="0" collapsed="false">
      <c r="A610" s="142" t="str">
        <f aca="false">IF(B610="","","TR"&amp;TEXT(ROW()-1,"000"))</f>
        <v/>
      </c>
      <c r="E610" s="130" t="str">
        <f aca="false">IF($O610="✓","✓",IF(ISNUMBER($O610),TEXT($O610,"yyyy-mm-dd"),IF($A610="","",IF(SUMPRODUCT(('Formation Initiale'!$A$2:$A$999=$A610)*('Formation Initiale'!$R$2:$R$999="Terminé"))&gt;0,"✓",IF(SUMPRODUCT(MAX(('Formation Initiale'!$A$2:$A$999=$A610)*'Formation Initiale'!$G$2:$G$999))&gt;0,TEXT(SUMPRODUCT(MAX(('Formation Initiale'!$A$2:$A$999=$A610)*'Formation Initiale'!$G$2:$G$999)),"yyyy-mm-dd"),"")))))</f>
        <v/>
      </c>
      <c r="F610" s="131" t="str">
        <f aca="false">IF($P610="✓","✓",IF(ISNUMBER($P610),TEXT($P610,"yyyy-mm-dd"),IF($A610="","",IF($D610="Lisbonne","",IF(SUMPRODUCT(('Formation Initiale'!$A$2:$A$999=$A610)*('Formation Initiale'!$R$2:$R$999="Terminé"))&gt;0,"✓",IF(SUMPRODUCT(MAX(('Formation Initiale'!$A$2:$A$999=$A610)*'Formation Initiale'!$G$2:$G$999))&gt;0,TEXT(SUMPRODUCT(MAX(('Formation Initiale'!$A$2:$A$999=$A610)*'Formation Initiale'!$G$2:$G$999)),"yyyy-mm-dd"),""))))))</f>
        <v/>
      </c>
      <c r="G610" s="131" t="str">
        <f aca="false">IF($Q610="✓","✓",IF(ISNUMBER($Q610),TEXT($Q610,"yyyy-mm-dd"),IF($A610="","",IF(SUMPRODUCT(('Agences &amp; Après-vente'!$A$2:$A$1000=$A610)*(('Agences &amp; Après-vente'!$D$2:$D$1000="Agences")+('Agences &amp; Après-vente'!$D$2:$D$1000="Agences et Après-vente"))*('Agences &amp; Après-vente'!$I$2:$I$1000="DONE"))&gt;0,"✓",IF(SUMPRODUCT(MAX(('Agences &amp; Après-vente'!$A$2:$A$1000=$A610)*(('Agences &amp; Après-vente'!$D$2:$D$1000="Agences")+('Agences &amp; Après-vente'!$D$2:$D$1000="Agences et Après-vente"))*'Agences &amp; Après-vente'!$E$2:$E$1000))&gt;0,TEXT(SUMPRODUCT(MAX(('Agences &amp; Après-vente'!$A$2:$A$1000=$A610)*(('Agences &amp; Après-vente'!$D$2:$D$1000="Agences")+('Agences &amp; Après-vente'!$D$2:$D$1000="Agences et Après-vente"))*'Agences &amp; Après-vente'!$E$2:$E$1000)),"yyyy-mm-dd"),"")))))</f>
        <v/>
      </c>
      <c r="H610" s="131" t="str">
        <f aca="false">IF($R610="✓","✓",IF(ISNUMBER($R610),TEXT($R610,"yyyy-mm-dd"),IF($A610="","",IF($D610="Lisbonne","",IF(SUMPRODUCT(('Agences &amp; Après-vente'!$A$2:$A$1000=$A610)*(('Agences &amp; Après-vente'!$D$2:$D$1000="Agences")+('Agences &amp; Après-vente'!$D$2:$D$1000="Agences et Après-vente"))*('Agences &amp; Après-vente'!$I$2:$I$1000="DONE"))&gt;0,"✓",IF(SUMPRODUCT(MAX(('Agences &amp; Après-vente'!$A$2:$A$1000=$A610)*(('Agences &amp; Après-vente'!$D$2:$D$1000="Agences")+('Agences &amp; Après-vente'!$D$2:$D$1000="Agences et Après-vente"))*'Agences &amp; Après-vente'!$E$2:$E$1000))&gt;0,TEXT(SUMPRODUCT(MAX(('Agences &amp; Après-vente'!$A$2:$A$1000=$A610)*(('Agences &amp; Après-vente'!$D$2:$D$1000="Agences")+('Agences &amp; Après-vente'!$D$2:$D$1000="Agences et Après-vente"))*'Agences &amp; Après-vente'!$E$2:$E$1000)),"yyyy-mm-dd"),""))))))</f>
        <v/>
      </c>
      <c r="I610" s="131" t="str">
        <f aca="false">IF($S610="✓","✓",IF(ISNUMBER($S610),TEXT($S610,"yyyy-mm-dd"),IF($A610="","",IF(SUMPRODUCT(('Agences &amp; Après-vente'!$A$2:$A$1000=$A610)*(('Agences &amp; Après-vente'!$D$2:$D$1000="Après-vente")+('Agences &amp; Après-vente'!$D$2:$D$1000="Agences et Après-vente"))*('Agences &amp; Après-vente'!$I$2:$I$1000="DONE"))&gt;0,"✓",IF(SUMPRODUCT(MAX(('Agences &amp; Après-vente'!$A$2:$A$1000=$A610)*(('Agences &amp; Après-vente'!$D$2:$D$1000="Après-vente")+('Agences &amp; Après-vente'!$D$2:$D$1000="Agences et Après-vente"))*'Agences &amp; Après-vente'!$E$2:$E$1000))&gt;0,TEXT(SUMPRODUCT(MAX(('Agences &amp; Après-vente'!$A$2:$A$1000=$A610)*(('Agences &amp; Après-vente'!$D$2:$D$1000="Après-vente")+('Agences &amp; Après-vente'!$D$2:$D$1000="Agences et Après-vente"))*'Agences &amp; Après-vente'!$E$2:$E$1000)),"yyyy-mm-dd"),"")))))</f>
        <v/>
      </c>
      <c r="J610" s="131" t="str">
        <f aca="false">IF($T610="✓","✓",IF(ISNUMBER($T610),TEXT($T610,"yyyy-mm-dd"),IF($A610="","",IF($D610="Lisbonne","",IF(SUMPRODUCT(('Agences &amp; Après-vente'!$A$2:$A$1000=$A610)*(('Agences &amp; Après-vente'!$D$2:$D$1000="Après-vente")+('Agences &amp; Après-vente'!$D$2:$D$1000="Agences et Après-vente"))*('Agences &amp; Après-vente'!$I$2:$I$1000="DONE"))&gt;0,"✓",IF(SUMPRODUCT(MAX(('Agences &amp; Après-vente'!$A$2:$A$1000=$A610)*(('Agences &amp; Après-vente'!$D$2:$D$1000="Après-vente")+('Agences &amp; Après-vente'!$D$2:$D$1000="Agences et Après-vente"))*'Agences &amp; Après-vente'!$E$2:$E$1000))&gt;0,TEXT(SUMPRODUCT(MAX(('Agences &amp; Après-vente'!$A$2:$A$1000=$A610)*(('Agences &amp; Après-vente'!$D$2:$D$1000="Après-vente")+('Agences &amp; Après-vente'!$D$2:$D$1000="Agences et Après-vente"))*'Agences &amp; Après-vente'!$E$2:$E$1000)),"yyyy-mm-dd"),""))))))</f>
        <v/>
      </c>
      <c r="K610" s="131" t="str">
        <f aca="false">IF($U610="✓","✓",IF(ISNUMBER($U610),TEXT($U610,"yyyy-mm-dd"),IF($D610="Lisbonne","",IF($A610="","",IF(SUMPRODUCT((Evermont!$A$2:$A$1000=$A610)*(Evermont!$Q$2:$Q$1000="Terminé"))&gt;0,"✓",IF(SUMPRODUCT(MAX((Evermont!$A$2:$A$1000=$A610)*Evermont!$F$2:$F$1000))&gt;0,TEXT(SUMPRODUCT(MAX((Evermont!$A$2:$A$1000=$A610)*Evermont!$F$2:$F$1000)),"yyyy-mm-dd"),""))))))</f>
        <v/>
      </c>
      <c r="L610" s="131" t="str">
        <f aca="false">IF($A610="","",COUNTIF(E610:K610,"✓"))</f>
        <v/>
      </c>
      <c r="M610" s="131" t="str">
        <f aca="false">IF(B610="","","Active")</f>
        <v/>
      </c>
      <c r="W610" s="120" t="str">
        <f aca="false">IF($A610="","",IF($X610&lt;&gt;"",$X610,IFERROR(INDEX('Formation Initiale'!$B$2:$B$999,MATCH($A610,'Formation Initiale'!$A$2:$A$999,0)),"Général")))</f>
        <v/>
      </c>
    </row>
    <row r="611" customFormat="false" ht="15" hidden="true" customHeight="true" outlineLevel="0" collapsed="false">
      <c r="A611" s="142" t="str">
        <f aca="false">IF(B611="","","TR"&amp;TEXT(ROW()-1,"000"))</f>
        <v/>
      </c>
      <c r="E611" s="130" t="str">
        <f aca="false">IF($O611="✓","✓",IF(ISNUMBER($O611),TEXT($O611,"yyyy-mm-dd"),IF($A611="","",IF(SUMPRODUCT(('Formation Initiale'!$A$2:$A$999=$A611)*('Formation Initiale'!$R$2:$R$999="Terminé"))&gt;0,"✓",IF(SUMPRODUCT(MAX(('Formation Initiale'!$A$2:$A$999=$A611)*'Formation Initiale'!$G$2:$G$999))&gt;0,TEXT(SUMPRODUCT(MAX(('Formation Initiale'!$A$2:$A$999=$A611)*'Formation Initiale'!$G$2:$G$999)),"yyyy-mm-dd"),"")))))</f>
        <v/>
      </c>
      <c r="F611" s="131" t="str">
        <f aca="false">IF($P611="✓","✓",IF(ISNUMBER($P611),TEXT($P611,"yyyy-mm-dd"),IF($A611="","",IF($D611="Lisbonne","",IF(SUMPRODUCT(('Formation Initiale'!$A$2:$A$999=$A611)*('Formation Initiale'!$R$2:$R$999="Terminé"))&gt;0,"✓",IF(SUMPRODUCT(MAX(('Formation Initiale'!$A$2:$A$999=$A611)*'Formation Initiale'!$G$2:$G$999))&gt;0,TEXT(SUMPRODUCT(MAX(('Formation Initiale'!$A$2:$A$999=$A611)*'Formation Initiale'!$G$2:$G$999)),"yyyy-mm-dd"),""))))))</f>
        <v/>
      </c>
      <c r="G611" s="131" t="str">
        <f aca="false">IF($Q611="✓","✓",IF(ISNUMBER($Q611),TEXT($Q611,"yyyy-mm-dd"),IF($A611="","",IF(SUMPRODUCT(('Agences &amp; Après-vente'!$A$2:$A$1000=$A611)*(('Agences &amp; Après-vente'!$D$2:$D$1000="Agences")+('Agences &amp; Après-vente'!$D$2:$D$1000="Agences et Après-vente"))*('Agences &amp; Après-vente'!$I$2:$I$1000="DONE"))&gt;0,"✓",IF(SUMPRODUCT(MAX(('Agences &amp; Après-vente'!$A$2:$A$1000=$A611)*(('Agences &amp; Après-vente'!$D$2:$D$1000="Agences")+('Agences &amp; Après-vente'!$D$2:$D$1000="Agences et Après-vente"))*'Agences &amp; Après-vente'!$E$2:$E$1000))&gt;0,TEXT(SUMPRODUCT(MAX(('Agences &amp; Après-vente'!$A$2:$A$1000=$A611)*(('Agences &amp; Après-vente'!$D$2:$D$1000="Agences")+('Agences &amp; Après-vente'!$D$2:$D$1000="Agences et Après-vente"))*'Agences &amp; Après-vente'!$E$2:$E$1000)),"yyyy-mm-dd"),"")))))</f>
        <v/>
      </c>
      <c r="H611" s="131" t="str">
        <f aca="false">IF($R611="✓","✓",IF(ISNUMBER($R611),TEXT($R611,"yyyy-mm-dd"),IF($A611="","",IF($D611="Lisbonne","",IF(SUMPRODUCT(('Agences &amp; Après-vente'!$A$2:$A$1000=$A611)*(('Agences &amp; Après-vente'!$D$2:$D$1000="Agences")+('Agences &amp; Après-vente'!$D$2:$D$1000="Agences et Après-vente"))*('Agences &amp; Après-vente'!$I$2:$I$1000="DONE"))&gt;0,"✓",IF(SUMPRODUCT(MAX(('Agences &amp; Après-vente'!$A$2:$A$1000=$A611)*(('Agences &amp; Après-vente'!$D$2:$D$1000="Agences")+('Agences &amp; Après-vente'!$D$2:$D$1000="Agences et Après-vente"))*'Agences &amp; Après-vente'!$E$2:$E$1000))&gt;0,TEXT(SUMPRODUCT(MAX(('Agences &amp; Après-vente'!$A$2:$A$1000=$A611)*(('Agences &amp; Après-vente'!$D$2:$D$1000="Agences")+('Agences &amp; Après-vente'!$D$2:$D$1000="Agences et Après-vente"))*'Agences &amp; Après-vente'!$E$2:$E$1000)),"yyyy-mm-dd"),""))))))</f>
        <v/>
      </c>
      <c r="I611" s="131" t="str">
        <f aca="false">IF($S611="✓","✓",IF(ISNUMBER($S611),TEXT($S611,"yyyy-mm-dd"),IF($A611="","",IF(SUMPRODUCT(('Agences &amp; Après-vente'!$A$2:$A$1000=$A611)*(('Agences &amp; Après-vente'!$D$2:$D$1000="Après-vente")+('Agences &amp; Après-vente'!$D$2:$D$1000="Agences et Après-vente"))*('Agences &amp; Après-vente'!$I$2:$I$1000="DONE"))&gt;0,"✓",IF(SUMPRODUCT(MAX(('Agences &amp; Après-vente'!$A$2:$A$1000=$A611)*(('Agences &amp; Après-vente'!$D$2:$D$1000="Après-vente")+('Agences &amp; Après-vente'!$D$2:$D$1000="Agences et Après-vente"))*'Agences &amp; Après-vente'!$E$2:$E$1000))&gt;0,TEXT(SUMPRODUCT(MAX(('Agences &amp; Après-vente'!$A$2:$A$1000=$A611)*(('Agences &amp; Après-vente'!$D$2:$D$1000="Après-vente")+('Agences &amp; Après-vente'!$D$2:$D$1000="Agences et Après-vente"))*'Agences &amp; Après-vente'!$E$2:$E$1000)),"yyyy-mm-dd"),"")))))</f>
        <v/>
      </c>
      <c r="J611" s="131" t="str">
        <f aca="false">IF($T611="✓","✓",IF(ISNUMBER($T611),TEXT($T611,"yyyy-mm-dd"),IF($A611="","",IF($D611="Lisbonne","",IF(SUMPRODUCT(('Agences &amp; Après-vente'!$A$2:$A$1000=$A611)*(('Agences &amp; Après-vente'!$D$2:$D$1000="Après-vente")+('Agences &amp; Après-vente'!$D$2:$D$1000="Agences et Après-vente"))*('Agences &amp; Après-vente'!$I$2:$I$1000="DONE"))&gt;0,"✓",IF(SUMPRODUCT(MAX(('Agences &amp; Après-vente'!$A$2:$A$1000=$A611)*(('Agences &amp; Après-vente'!$D$2:$D$1000="Après-vente")+('Agences &amp; Après-vente'!$D$2:$D$1000="Agences et Après-vente"))*'Agences &amp; Après-vente'!$E$2:$E$1000))&gt;0,TEXT(SUMPRODUCT(MAX(('Agences &amp; Après-vente'!$A$2:$A$1000=$A611)*(('Agences &amp; Après-vente'!$D$2:$D$1000="Après-vente")+('Agences &amp; Après-vente'!$D$2:$D$1000="Agences et Après-vente"))*'Agences &amp; Après-vente'!$E$2:$E$1000)),"yyyy-mm-dd"),""))))))</f>
        <v/>
      </c>
      <c r="K611" s="131" t="str">
        <f aca="false">IF($U611="✓","✓",IF(ISNUMBER($U611),TEXT($U611,"yyyy-mm-dd"),IF($D611="Lisbonne","",IF($A611="","",IF(SUMPRODUCT((Evermont!$A$2:$A$1000=$A611)*(Evermont!$Q$2:$Q$1000="Terminé"))&gt;0,"✓",IF(SUMPRODUCT(MAX((Evermont!$A$2:$A$1000=$A611)*Evermont!$F$2:$F$1000))&gt;0,TEXT(SUMPRODUCT(MAX((Evermont!$A$2:$A$1000=$A611)*Evermont!$F$2:$F$1000)),"yyyy-mm-dd"),""))))))</f>
        <v/>
      </c>
      <c r="L611" s="131" t="str">
        <f aca="false">IF($A611="","",COUNTIF(E611:K611,"✓"))</f>
        <v/>
      </c>
      <c r="M611" s="131" t="str">
        <f aca="false">IF(B611="","","Active")</f>
        <v/>
      </c>
      <c r="W611" s="120" t="str">
        <f aca="false">IF($A611="","",IF($X611&lt;&gt;"",$X611,IFERROR(INDEX('Formation Initiale'!$B$2:$B$999,MATCH($A611,'Formation Initiale'!$A$2:$A$999,0)),"Général")))</f>
        <v/>
      </c>
    </row>
    <row r="612" customFormat="false" ht="15" hidden="true" customHeight="true" outlineLevel="0" collapsed="false">
      <c r="A612" s="142" t="str">
        <f aca="false">IF(B612="","","TR"&amp;TEXT(ROW()-1,"000"))</f>
        <v/>
      </c>
      <c r="E612" s="130" t="str">
        <f aca="false">IF($O612="✓","✓",IF(ISNUMBER($O612),TEXT($O612,"yyyy-mm-dd"),IF($A612="","",IF(SUMPRODUCT(('Formation Initiale'!$A$2:$A$999=$A612)*('Formation Initiale'!$R$2:$R$999="Terminé"))&gt;0,"✓",IF(SUMPRODUCT(MAX(('Formation Initiale'!$A$2:$A$999=$A612)*'Formation Initiale'!$G$2:$G$999))&gt;0,TEXT(SUMPRODUCT(MAX(('Formation Initiale'!$A$2:$A$999=$A612)*'Formation Initiale'!$G$2:$G$999)),"yyyy-mm-dd"),"")))))</f>
        <v/>
      </c>
      <c r="F612" s="131" t="str">
        <f aca="false">IF($P612="✓","✓",IF(ISNUMBER($P612),TEXT($P612,"yyyy-mm-dd"),IF($A612="","",IF($D612="Lisbonne","",IF(SUMPRODUCT(('Formation Initiale'!$A$2:$A$999=$A612)*('Formation Initiale'!$R$2:$R$999="Terminé"))&gt;0,"✓",IF(SUMPRODUCT(MAX(('Formation Initiale'!$A$2:$A$999=$A612)*'Formation Initiale'!$G$2:$G$999))&gt;0,TEXT(SUMPRODUCT(MAX(('Formation Initiale'!$A$2:$A$999=$A612)*'Formation Initiale'!$G$2:$G$999)),"yyyy-mm-dd"),""))))))</f>
        <v/>
      </c>
      <c r="G612" s="131" t="str">
        <f aca="false">IF($Q612="✓","✓",IF(ISNUMBER($Q612),TEXT($Q612,"yyyy-mm-dd"),IF($A612="","",IF(SUMPRODUCT(('Agences &amp; Après-vente'!$A$2:$A$1000=$A612)*(('Agences &amp; Après-vente'!$D$2:$D$1000="Agences")+('Agences &amp; Après-vente'!$D$2:$D$1000="Agences et Après-vente"))*('Agences &amp; Après-vente'!$I$2:$I$1000="DONE"))&gt;0,"✓",IF(SUMPRODUCT(MAX(('Agences &amp; Après-vente'!$A$2:$A$1000=$A612)*(('Agences &amp; Après-vente'!$D$2:$D$1000="Agences")+('Agences &amp; Après-vente'!$D$2:$D$1000="Agences et Après-vente"))*'Agences &amp; Après-vente'!$E$2:$E$1000))&gt;0,TEXT(SUMPRODUCT(MAX(('Agences &amp; Après-vente'!$A$2:$A$1000=$A612)*(('Agences &amp; Après-vente'!$D$2:$D$1000="Agences")+('Agences &amp; Après-vente'!$D$2:$D$1000="Agences et Après-vente"))*'Agences &amp; Après-vente'!$E$2:$E$1000)),"yyyy-mm-dd"),"")))))</f>
        <v/>
      </c>
      <c r="H612" s="131" t="str">
        <f aca="false">IF($R612="✓","✓",IF(ISNUMBER($R612),TEXT($R612,"yyyy-mm-dd"),IF($A612="","",IF($D612="Lisbonne","",IF(SUMPRODUCT(('Agences &amp; Après-vente'!$A$2:$A$1000=$A612)*(('Agences &amp; Après-vente'!$D$2:$D$1000="Agences")+('Agences &amp; Après-vente'!$D$2:$D$1000="Agences et Après-vente"))*('Agences &amp; Après-vente'!$I$2:$I$1000="DONE"))&gt;0,"✓",IF(SUMPRODUCT(MAX(('Agences &amp; Après-vente'!$A$2:$A$1000=$A612)*(('Agences &amp; Après-vente'!$D$2:$D$1000="Agences")+('Agences &amp; Après-vente'!$D$2:$D$1000="Agences et Après-vente"))*'Agences &amp; Après-vente'!$E$2:$E$1000))&gt;0,TEXT(SUMPRODUCT(MAX(('Agences &amp; Après-vente'!$A$2:$A$1000=$A612)*(('Agences &amp; Après-vente'!$D$2:$D$1000="Agences")+('Agences &amp; Après-vente'!$D$2:$D$1000="Agences et Après-vente"))*'Agences &amp; Après-vente'!$E$2:$E$1000)),"yyyy-mm-dd"),""))))))</f>
        <v/>
      </c>
      <c r="I612" s="131" t="str">
        <f aca="false">IF($S612="✓","✓",IF(ISNUMBER($S612),TEXT($S612,"yyyy-mm-dd"),IF($A612="","",IF(SUMPRODUCT(('Agences &amp; Après-vente'!$A$2:$A$1000=$A612)*(('Agences &amp; Après-vente'!$D$2:$D$1000="Après-vente")+('Agences &amp; Après-vente'!$D$2:$D$1000="Agences et Après-vente"))*('Agences &amp; Après-vente'!$I$2:$I$1000="DONE"))&gt;0,"✓",IF(SUMPRODUCT(MAX(('Agences &amp; Après-vente'!$A$2:$A$1000=$A612)*(('Agences &amp; Après-vente'!$D$2:$D$1000="Après-vente")+('Agences &amp; Après-vente'!$D$2:$D$1000="Agences et Après-vente"))*'Agences &amp; Après-vente'!$E$2:$E$1000))&gt;0,TEXT(SUMPRODUCT(MAX(('Agences &amp; Après-vente'!$A$2:$A$1000=$A612)*(('Agences &amp; Après-vente'!$D$2:$D$1000="Après-vente")+('Agences &amp; Après-vente'!$D$2:$D$1000="Agences et Après-vente"))*'Agences &amp; Après-vente'!$E$2:$E$1000)),"yyyy-mm-dd"),"")))))</f>
        <v/>
      </c>
      <c r="J612" s="131" t="str">
        <f aca="false">IF($T612="✓","✓",IF(ISNUMBER($T612),TEXT($T612,"yyyy-mm-dd"),IF($A612="","",IF($D612="Lisbonne","",IF(SUMPRODUCT(('Agences &amp; Après-vente'!$A$2:$A$1000=$A612)*(('Agences &amp; Après-vente'!$D$2:$D$1000="Après-vente")+('Agences &amp; Après-vente'!$D$2:$D$1000="Agences et Après-vente"))*('Agences &amp; Après-vente'!$I$2:$I$1000="DONE"))&gt;0,"✓",IF(SUMPRODUCT(MAX(('Agences &amp; Après-vente'!$A$2:$A$1000=$A612)*(('Agences &amp; Après-vente'!$D$2:$D$1000="Après-vente")+('Agences &amp; Après-vente'!$D$2:$D$1000="Agences et Après-vente"))*'Agences &amp; Après-vente'!$E$2:$E$1000))&gt;0,TEXT(SUMPRODUCT(MAX(('Agences &amp; Après-vente'!$A$2:$A$1000=$A612)*(('Agences &amp; Après-vente'!$D$2:$D$1000="Après-vente")+('Agences &amp; Après-vente'!$D$2:$D$1000="Agences et Après-vente"))*'Agences &amp; Après-vente'!$E$2:$E$1000)),"yyyy-mm-dd"),""))))))</f>
        <v/>
      </c>
      <c r="K612" s="131" t="str">
        <f aca="false">IF($U612="✓","✓",IF(ISNUMBER($U612),TEXT($U612,"yyyy-mm-dd"),IF($D612="Lisbonne","",IF($A612="","",IF(SUMPRODUCT((Evermont!$A$2:$A$1000=$A612)*(Evermont!$Q$2:$Q$1000="Terminé"))&gt;0,"✓",IF(SUMPRODUCT(MAX((Evermont!$A$2:$A$1000=$A612)*Evermont!$F$2:$F$1000))&gt;0,TEXT(SUMPRODUCT(MAX((Evermont!$A$2:$A$1000=$A612)*Evermont!$F$2:$F$1000)),"yyyy-mm-dd"),""))))))</f>
        <v/>
      </c>
      <c r="L612" s="131" t="str">
        <f aca="false">IF($A612="","",COUNTIF(E612:K612,"✓"))</f>
        <v/>
      </c>
      <c r="M612" s="131" t="str">
        <f aca="false">IF(B612="","","Active")</f>
        <v/>
      </c>
      <c r="W612" s="120" t="str">
        <f aca="false">IF($A612="","",IF($X612&lt;&gt;"",$X612,IFERROR(INDEX('Formation Initiale'!$B$2:$B$999,MATCH($A612,'Formation Initiale'!$A$2:$A$999,0)),"Général")))</f>
        <v/>
      </c>
    </row>
    <row r="613" customFormat="false" ht="15" hidden="true" customHeight="true" outlineLevel="0" collapsed="false">
      <c r="A613" s="142" t="str">
        <f aca="false">IF(B613="","","TR"&amp;TEXT(ROW()-1,"000"))</f>
        <v/>
      </c>
      <c r="E613" s="130" t="str">
        <f aca="false">IF($O613="✓","✓",IF(ISNUMBER($O613),TEXT($O613,"yyyy-mm-dd"),IF($A613="","",IF(SUMPRODUCT(('Formation Initiale'!$A$2:$A$999=$A613)*('Formation Initiale'!$R$2:$R$999="Terminé"))&gt;0,"✓",IF(SUMPRODUCT(MAX(('Formation Initiale'!$A$2:$A$999=$A613)*'Formation Initiale'!$G$2:$G$999))&gt;0,TEXT(SUMPRODUCT(MAX(('Formation Initiale'!$A$2:$A$999=$A613)*'Formation Initiale'!$G$2:$G$999)),"yyyy-mm-dd"),"")))))</f>
        <v/>
      </c>
      <c r="F613" s="131" t="str">
        <f aca="false">IF($P613="✓","✓",IF(ISNUMBER($P613),TEXT($P613,"yyyy-mm-dd"),IF($A613="","",IF($D613="Lisbonne","",IF(SUMPRODUCT(('Formation Initiale'!$A$2:$A$999=$A613)*('Formation Initiale'!$R$2:$R$999="Terminé"))&gt;0,"✓",IF(SUMPRODUCT(MAX(('Formation Initiale'!$A$2:$A$999=$A613)*'Formation Initiale'!$G$2:$G$999))&gt;0,TEXT(SUMPRODUCT(MAX(('Formation Initiale'!$A$2:$A$999=$A613)*'Formation Initiale'!$G$2:$G$999)),"yyyy-mm-dd"),""))))))</f>
        <v/>
      </c>
      <c r="G613" s="131" t="str">
        <f aca="false">IF($Q613="✓","✓",IF(ISNUMBER($Q613),TEXT($Q613,"yyyy-mm-dd"),IF($A613="","",IF(SUMPRODUCT(('Agences &amp; Après-vente'!$A$2:$A$1000=$A613)*(('Agences &amp; Après-vente'!$D$2:$D$1000="Agences")+('Agences &amp; Après-vente'!$D$2:$D$1000="Agences et Après-vente"))*('Agences &amp; Après-vente'!$I$2:$I$1000="DONE"))&gt;0,"✓",IF(SUMPRODUCT(MAX(('Agences &amp; Après-vente'!$A$2:$A$1000=$A613)*(('Agences &amp; Après-vente'!$D$2:$D$1000="Agences")+('Agences &amp; Après-vente'!$D$2:$D$1000="Agences et Après-vente"))*'Agences &amp; Après-vente'!$E$2:$E$1000))&gt;0,TEXT(SUMPRODUCT(MAX(('Agences &amp; Après-vente'!$A$2:$A$1000=$A613)*(('Agences &amp; Après-vente'!$D$2:$D$1000="Agences")+('Agences &amp; Après-vente'!$D$2:$D$1000="Agences et Après-vente"))*'Agences &amp; Après-vente'!$E$2:$E$1000)),"yyyy-mm-dd"),"")))))</f>
        <v/>
      </c>
      <c r="H613" s="131" t="str">
        <f aca="false">IF($R613="✓","✓",IF(ISNUMBER($R613),TEXT($R613,"yyyy-mm-dd"),IF($A613="","",IF($D613="Lisbonne","",IF(SUMPRODUCT(('Agences &amp; Après-vente'!$A$2:$A$1000=$A613)*(('Agences &amp; Après-vente'!$D$2:$D$1000="Agences")+('Agences &amp; Après-vente'!$D$2:$D$1000="Agences et Après-vente"))*('Agences &amp; Après-vente'!$I$2:$I$1000="DONE"))&gt;0,"✓",IF(SUMPRODUCT(MAX(('Agences &amp; Après-vente'!$A$2:$A$1000=$A613)*(('Agences &amp; Après-vente'!$D$2:$D$1000="Agences")+('Agences &amp; Après-vente'!$D$2:$D$1000="Agences et Après-vente"))*'Agences &amp; Après-vente'!$E$2:$E$1000))&gt;0,TEXT(SUMPRODUCT(MAX(('Agences &amp; Après-vente'!$A$2:$A$1000=$A613)*(('Agences &amp; Après-vente'!$D$2:$D$1000="Agences")+('Agences &amp; Après-vente'!$D$2:$D$1000="Agences et Après-vente"))*'Agences &amp; Après-vente'!$E$2:$E$1000)),"yyyy-mm-dd"),""))))))</f>
        <v/>
      </c>
      <c r="I613" s="131" t="str">
        <f aca="false">IF($S613="✓","✓",IF(ISNUMBER($S613),TEXT($S613,"yyyy-mm-dd"),IF($A613="","",IF(SUMPRODUCT(('Agences &amp; Après-vente'!$A$2:$A$1000=$A613)*(('Agences &amp; Après-vente'!$D$2:$D$1000="Après-vente")+('Agences &amp; Après-vente'!$D$2:$D$1000="Agences et Après-vente"))*('Agences &amp; Après-vente'!$I$2:$I$1000="DONE"))&gt;0,"✓",IF(SUMPRODUCT(MAX(('Agences &amp; Après-vente'!$A$2:$A$1000=$A613)*(('Agences &amp; Après-vente'!$D$2:$D$1000="Après-vente")+('Agences &amp; Après-vente'!$D$2:$D$1000="Agences et Après-vente"))*'Agences &amp; Après-vente'!$E$2:$E$1000))&gt;0,TEXT(SUMPRODUCT(MAX(('Agences &amp; Après-vente'!$A$2:$A$1000=$A613)*(('Agences &amp; Après-vente'!$D$2:$D$1000="Après-vente")+('Agences &amp; Après-vente'!$D$2:$D$1000="Agences et Après-vente"))*'Agences &amp; Après-vente'!$E$2:$E$1000)),"yyyy-mm-dd"),"")))))</f>
        <v/>
      </c>
      <c r="J613" s="131" t="str">
        <f aca="false">IF($T613="✓","✓",IF(ISNUMBER($T613),TEXT($T613,"yyyy-mm-dd"),IF($A613="","",IF($D613="Lisbonne","",IF(SUMPRODUCT(('Agences &amp; Après-vente'!$A$2:$A$1000=$A613)*(('Agences &amp; Après-vente'!$D$2:$D$1000="Après-vente")+('Agences &amp; Après-vente'!$D$2:$D$1000="Agences et Après-vente"))*('Agences &amp; Après-vente'!$I$2:$I$1000="DONE"))&gt;0,"✓",IF(SUMPRODUCT(MAX(('Agences &amp; Après-vente'!$A$2:$A$1000=$A613)*(('Agences &amp; Après-vente'!$D$2:$D$1000="Après-vente")+('Agences &amp; Après-vente'!$D$2:$D$1000="Agences et Après-vente"))*'Agences &amp; Après-vente'!$E$2:$E$1000))&gt;0,TEXT(SUMPRODUCT(MAX(('Agences &amp; Après-vente'!$A$2:$A$1000=$A613)*(('Agences &amp; Après-vente'!$D$2:$D$1000="Après-vente")+('Agences &amp; Après-vente'!$D$2:$D$1000="Agences et Après-vente"))*'Agences &amp; Après-vente'!$E$2:$E$1000)),"yyyy-mm-dd"),""))))))</f>
        <v/>
      </c>
      <c r="K613" s="131" t="str">
        <f aca="false">IF($U613="✓","✓",IF(ISNUMBER($U613),TEXT($U613,"yyyy-mm-dd"),IF($D613="Lisbonne","",IF($A613="","",IF(SUMPRODUCT((Evermont!$A$2:$A$1000=$A613)*(Evermont!$Q$2:$Q$1000="Terminé"))&gt;0,"✓",IF(SUMPRODUCT(MAX((Evermont!$A$2:$A$1000=$A613)*Evermont!$F$2:$F$1000))&gt;0,TEXT(SUMPRODUCT(MAX((Evermont!$A$2:$A$1000=$A613)*Evermont!$F$2:$F$1000)),"yyyy-mm-dd"),""))))))</f>
        <v/>
      </c>
      <c r="L613" s="131" t="str">
        <f aca="false">IF($A613="","",COUNTIF(E613:K613,"✓"))</f>
        <v/>
      </c>
      <c r="M613" s="131" t="str">
        <f aca="false">IF(B613="","","Active")</f>
        <v/>
      </c>
      <c r="W613" s="120" t="str">
        <f aca="false">IF($A613="","",IF($X613&lt;&gt;"",$X613,IFERROR(INDEX('Formation Initiale'!$B$2:$B$999,MATCH($A613,'Formation Initiale'!$A$2:$A$999,0)),"Général")))</f>
        <v/>
      </c>
    </row>
    <row r="614" customFormat="false" ht="15" hidden="true" customHeight="true" outlineLevel="0" collapsed="false">
      <c r="A614" s="142" t="str">
        <f aca="false">IF(B614="","","TR"&amp;TEXT(ROW()-1,"000"))</f>
        <v/>
      </c>
      <c r="E614" s="130" t="str">
        <f aca="false">IF($O614="✓","✓",IF(ISNUMBER($O614),TEXT($O614,"yyyy-mm-dd"),IF($A614="","",IF(SUMPRODUCT(('Formation Initiale'!$A$2:$A$999=$A614)*('Formation Initiale'!$R$2:$R$999="Terminé"))&gt;0,"✓",IF(SUMPRODUCT(MAX(('Formation Initiale'!$A$2:$A$999=$A614)*'Formation Initiale'!$G$2:$G$999))&gt;0,TEXT(SUMPRODUCT(MAX(('Formation Initiale'!$A$2:$A$999=$A614)*'Formation Initiale'!$G$2:$G$999)),"yyyy-mm-dd"),"")))))</f>
        <v/>
      </c>
      <c r="F614" s="131" t="str">
        <f aca="false">IF($P614="✓","✓",IF(ISNUMBER($P614),TEXT($P614,"yyyy-mm-dd"),IF($A614="","",IF($D614="Lisbonne","",IF(SUMPRODUCT(('Formation Initiale'!$A$2:$A$999=$A614)*('Formation Initiale'!$R$2:$R$999="Terminé"))&gt;0,"✓",IF(SUMPRODUCT(MAX(('Formation Initiale'!$A$2:$A$999=$A614)*'Formation Initiale'!$G$2:$G$999))&gt;0,TEXT(SUMPRODUCT(MAX(('Formation Initiale'!$A$2:$A$999=$A614)*'Formation Initiale'!$G$2:$G$999)),"yyyy-mm-dd"),""))))))</f>
        <v/>
      </c>
      <c r="G614" s="131" t="str">
        <f aca="false">IF($Q614="✓","✓",IF(ISNUMBER($Q614),TEXT($Q614,"yyyy-mm-dd"),IF($A614="","",IF(SUMPRODUCT(('Agences &amp; Après-vente'!$A$2:$A$1000=$A614)*(('Agences &amp; Après-vente'!$D$2:$D$1000="Agences")+('Agences &amp; Après-vente'!$D$2:$D$1000="Agences et Après-vente"))*('Agences &amp; Après-vente'!$I$2:$I$1000="DONE"))&gt;0,"✓",IF(SUMPRODUCT(MAX(('Agences &amp; Après-vente'!$A$2:$A$1000=$A614)*(('Agences &amp; Après-vente'!$D$2:$D$1000="Agences")+('Agences &amp; Après-vente'!$D$2:$D$1000="Agences et Après-vente"))*'Agences &amp; Après-vente'!$E$2:$E$1000))&gt;0,TEXT(SUMPRODUCT(MAX(('Agences &amp; Après-vente'!$A$2:$A$1000=$A614)*(('Agences &amp; Après-vente'!$D$2:$D$1000="Agences")+('Agences &amp; Après-vente'!$D$2:$D$1000="Agences et Après-vente"))*'Agences &amp; Après-vente'!$E$2:$E$1000)),"yyyy-mm-dd"),"")))))</f>
        <v/>
      </c>
      <c r="H614" s="131" t="str">
        <f aca="false">IF($R614="✓","✓",IF(ISNUMBER($R614),TEXT($R614,"yyyy-mm-dd"),IF($A614="","",IF($D614="Lisbonne","",IF(SUMPRODUCT(('Agences &amp; Après-vente'!$A$2:$A$1000=$A614)*(('Agences &amp; Après-vente'!$D$2:$D$1000="Agences")+('Agences &amp; Après-vente'!$D$2:$D$1000="Agences et Après-vente"))*('Agences &amp; Après-vente'!$I$2:$I$1000="DONE"))&gt;0,"✓",IF(SUMPRODUCT(MAX(('Agences &amp; Après-vente'!$A$2:$A$1000=$A614)*(('Agences &amp; Après-vente'!$D$2:$D$1000="Agences")+('Agences &amp; Après-vente'!$D$2:$D$1000="Agences et Après-vente"))*'Agences &amp; Après-vente'!$E$2:$E$1000))&gt;0,TEXT(SUMPRODUCT(MAX(('Agences &amp; Après-vente'!$A$2:$A$1000=$A614)*(('Agences &amp; Après-vente'!$D$2:$D$1000="Agences")+('Agences &amp; Après-vente'!$D$2:$D$1000="Agences et Après-vente"))*'Agences &amp; Après-vente'!$E$2:$E$1000)),"yyyy-mm-dd"),""))))))</f>
        <v/>
      </c>
      <c r="I614" s="131" t="str">
        <f aca="false">IF($S614="✓","✓",IF(ISNUMBER($S614),TEXT($S614,"yyyy-mm-dd"),IF($A614="","",IF(SUMPRODUCT(('Agences &amp; Après-vente'!$A$2:$A$1000=$A614)*(('Agences &amp; Après-vente'!$D$2:$D$1000="Après-vente")+('Agences &amp; Après-vente'!$D$2:$D$1000="Agences et Après-vente"))*('Agences &amp; Après-vente'!$I$2:$I$1000="DONE"))&gt;0,"✓",IF(SUMPRODUCT(MAX(('Agences &amp; Après-vente'!$A$2:$A$1000=$A614)*(('Agences &amp; Après-vente'!$D$2:$D$1000="Après-vente")+('Agences &amp; Après-vente'!$D$2:$D$1000="Agences et Après-vente"))*'Agences &amp; Après-vente'!$E$2:$E$1000))&gt;0,TEXT(SUMPRODUCT(MAX(('Agences &amp; Après-vente'!$A$2:$A$1000=$A614)*(('Agences &amp; Après-vente'!$D$2:$D$1000="Après-vente")+('Agences &amp; Après-vente'!$D$2:$D$1000="Agences et Après-vente"))*'Agences &amp; Après-vente'!$E$2:$E$1000)),"yyyy-mm-dd"),"")))))</f>
        <v/>
      </c>
      <c r="J614" s="131" t="str">
        <f aca="false">IF($T614="✓","✓",IF(ISNUMBER($T614),TEXT($T614,"yyyy-mm-dd"),IF($A614="","",IF($D614="Lisbonne","",IF(SUMPRODUCT(('Agences &amp; Après-vente'!$A$2:$A$1000=$A614)*(('Agences &amp; Après-vente'!$D$2:$D$1000="Après-vente")+('Agences &amp; Après-vente'!$D$2:$D$1000="Agences et Après-vente"))*('Agences &amp; Après-vente'!$I$2:$I$1000="DONE"))&gt;0,"✓",IF(SUMPRODUCT(MAX(('Agences &amp; Après-vente'!$A$2:$A$1000=$A614)*(('Agences &amp; Après-vente'!$D$2:$D$1000="Après-vente")+('Agences &amp; Après-vente'!$D$2:$D$1000="Agences et Après-vente"))*'Agences &amp; Après-vente'!$E$2:$E$1000))&gt;0,TEXT(SUMPRODUCT(MAX(('Agences &amp; Après-vente'!$A$2:$A$1000=$A614)*(('Agences &amp; Après-vente'!$D$2:$D$1000="Après-vente")+('Agences &amp; Après-vente'!$D$2:$D$1000="Agences et Après-vente"))*'Agences &amp; Après-vente'!$E$2:$E$1000)),"yyyy-mm-dd"),""))))))</f>
        <v/>
      </c>
      <c r="K614" s="131" t="str">
        <f aca="false">IF($U614="✓","✓",IF(ISNUMBER($U614),TEXT($U614,"yyyy-mm-dd"),IF($D614="Lisbonne","",IF($A614="","",IF(SUMPRODUCT((Evermont!$A$2:$A$1000=$A614)*(Evermont!$Q$2:$Q$1000="Terminé"))&gt;0,"✓",IF(SUMPRODUCT(MAX((Evermont!$A$2:$A$1000=$A614)*Evermont!$F$2:$F$1000))&gt;0,TEXT(SUMPRODUCT(MAX((Evermont!$A$2:$A$1000=$A614)*Evermont!$F$2:$F$1000)),"yyyy-mm-dd"),""))))))</f>
        <v/>
      </c>
      <c r="L614" s="131" t="str">
        <f aca="false">IF($A614="","",COUNTIF(E614:K614,"✓"))</f>
        <v/>
      </c>
      <c r="M614" s="131" t="str">
        <f aca="false">IF(B614="","","Active")</f>
        <v/>
      </c>
      <c r="W614" s="120" t="str">
        <f aca="false">IF($A614="","",IF($X614&lt;&gt;"",$X614,IFERROR(INDEX('Formation Initiale'!$B$2:$B$999,MATCH($A614,'Formation Initiale'!$A$2:$A$999,0)),"Général")))</f>
        <v/>
      </c>
    </row>
    <row r="615" customFormat="false" ht="15" hidden="true" customHeight="true" outlineLevel="0" collapsed="false">
      <c r="A615" s="142" t="str">
        <f aca="false">IF(B615="","","TR"&amp;TEXT(ROW()-1,"000"))</f>
        <v/>
      </c>
      <c r="E615" s="130" t="str">
        <f aca="false">IF($O615="✓","✓",IF(ISNUMBER($O615),TEXT($O615,"yyyy-mm-dd"),IF($A615="","",IF(SUMPRODUCT(('Formation Initiale'!$A$2:$A$999=$A615)*('Formation Initiale'!$R$2:$R$999="Terminé"))&gt;0,"✓",IF(SUMPRODUCT(MAX(('Formation Initiale'!$A$2:$A$999=$A615)*'Formation Initiale'!$G$2:$G$999))&gt;0,TEXT(SUMPRODUCT(MAX(('Formation Initiale'!$A$2:$A$999=$A615)*'Formation Initiale'!$G$2:$G$999)),"yyyy-mm-dd"),"")))))</f>
        <v/>
      </c>
      <c r="F615" s="131" t="str">
        <f aca="false">IF($P615="✓","✓",IF(ISNUMBER($P615),TEXT($P615,"yyyy-mm-dd"),IF($A615="","",IF($D615="Lisbonne","",IF(SUMPRODUCT(('Formation Initiale'!$A$2:$A$999=$A615)*('Formation Initiale'!$R$2:$R$999="Terminé"))&gt;0,"✓",IF(SUMPRODUCT(MAX(('Formation Initiale'!$A$2:$A$999=$A615)*'Formation Initiale'!$G$2:$G$999))&gt;0,TEXT(SUMPRODUCT(MAX(('Formation Initiale'!$A$2:$A$999=$A615)*'Formation Initiale'!$G$2:$G$999)),"yyyy-mm-dd"),""))))))</f>
        <v/>
      </c>
      <c r="G615" s="131" t="str">
        <f aca="false">IF($Q615="✓","✓",IF(ISNUMBER($Q615),TEXT($Q615,"yyyy-mm-dd"),IF($A615="","",IF(SUMPRODUCT(('Agences &amp; Après-vente'!$A$2:$A$1000=$A615)*(('Agences &amp; Après-vente'!$D$2:$D$1000="Agences")+('Agences &amp; Après-vente'!$D$2:$D$1000="Agences et Après-vente"))*('Agences &amp; Après-vente'!$I$2:$I$1000="DONE"))&gt;0,"✓",IF(SUMPRODUCT(MAX(('Agences &amp; Après-vente'!$A$2:$A$1000=$A615)*(('Agences &amp; Après-vente'!$D$2:$D$1000="Agences")+('Agences &amp; Après-vente'!$D$2:$D$1000="Agences et Après-vente"))*'Agences &amp; Après-vente'!$E$2:$E$1000))&gt;0,TEXT(SUMPRODUCT(MAX(('Agences &amp; Après-vente'!$A$2:$A$1000=$A615)*(('Agences &amp; Après-vente'!$D$2:$D$1000="Agences")+('Agences &amp; Après-vente'!$D$2:$D$1000="Agences et Après-vente"))*'Agences &amp; Après-vente'!$E$2:$E$1000)),"yyyy-mm-dd"),"")))))</f>
        <v/>
      </c>
      <c r="H615" s="131" t="str">
        <f aca="false">IF($R615="✓","✓",IF(ISNUMBER($R615),TEXT($R615,"yyyy-mm-dd"),IF($A615="","",IF($D615="Lisbonne","",IF(SUMPRODUCT(('Agences &amp; Après-vente'!$A$2:$A$1000=$A615)*(('Agences &amp; Après-vente'!$D$2:$D$1000="Agences")+('Agences &amp; Après-vente'!$D$2:$D$1000="Agences et Après-vente"))*('Agences &amp; Après-vente'!$I$2:$I$1000="DONE"))&gt;0,"✓",IF(SUMPRODUCT(MAX(('Agences &amp; Après-vente'!$A$2:$A$1000=$A615)*(('Agences &amp; Après-vente'!$D$2:$D$1000="Agences")+('Agences &amp; Après-vente'!$D$2:$D$1000="Agences et Après-vente"))*'Agences &amp; Après-vente'!$E$2:$E$1000))&gt;0,TEXT(SUMPRODUCT(MAX(('Agences &amp; Après-vente'!$A$2:$A$1000=$A615)*(('Agences &amp; Après-vente'!$D$2:$D$1000="Agences")+('Agences &amp; Après-vente'!$D$2:$D$1000="Agences et Après-vente"))*'Agences &amp; Après-vente'!$E$2:$E$1000)),"yyyy-mm-dd"),""))))))</f>
        <v/>
      </c>
      <c r="I615" s="131" t="str">
        <f aca="false">IF($S615="✓","✓",IF(ISNUMBER($S615),TEXT($S615,"yyyy-mm-dd"),IF($A615="","",IF(SUMPRODUCT(('Agences &amp; Après-vente'!$A$2:$A$1000=$A615)*(('Agences &amp; Après-vente'!$D$2:$D$1000="Après-vente")+('Agences &amp; Après-vente'!$D$2:$D$1000="Agences et Après-vente"))*('Agences &amp; Après-vente'!$I$2:$I$1000="DONE"))&gt;0,"✓",IF(SUMPRODUCT(MAX(('Agences &amp; Après-vente'!$A$2:$A$1000=$A615)*(('Agences &amp; Après-vente'!$D$2:$D$1000="Après-vente")+('Agences &amp; Après-vente'!$D$2:$D$1000="Agences et Après-vente"))*'Agences &amp; Après-vente'!$E$2:$E$1000))&gt;0,TEXT(SUMPRODUCT(MAX(('Agences &amp; Après-vente'!$A$2:$A$1000=$A615)*(('Agences &amp; Après-vente'!$D$2:$D$1000="Après-vente")+('Agences &amp; Après-vente'!$D$2:$D$1000="Agences et Après-vente"))*'Agences &amp; Après-vente'!$E$2:$E$1000)),"yyyy-mm-dd"),"")))))</f>
        <v/>
      </c>
      <c r="J615" s="131" t="str">
        <f aca="false">IF($T615="✓","✓",IF(ISNUMBER($T615),TEXT($T615,"yyyy-mm-dd"),IF($A615="","",IF($D615="Lisbonne","",IF(SUMPRODUCT(('Agences &amp; Après-vente'!$A$2:$A$1000=$A615)*(('Agences &amp; Après-vente'!$D$2:$D$1000="Après-vente")+('Agences &amp; Après-vente'!$D$2:$D$1000="Agences et Après-vente"))*('Agences &amp; Après-vente'!$I$2:$I$1000="DONE"))&gt;0,"✓",IF(SUMPRODUCT(MAX(('Agences &amp; Après-vente'!$A$2:$A$1000=$A615)*(('Agences &amp; Après-vente'!$D$2:$D$1000="Après-vente")+('Agences &amp; Après-vente'!$D$2:$D$1000="Agences et Après-vente"))*'Agences &amp; Après-vente'!$E$2:$E$1000))&gt;0,TEXT(SUMPRODUCT(MAX(('Agences &amp; Après-vente'!$A$2:$A$1000=$A615)*(('Agences &amp; Après-vente'!$D$2:$D$1000="Après-vente")+('Agences &amp; Après-vente'!$D$2:$D$1000="Agences et Après-vente"))*'Agences &amp; Après-vente'!$E$2:$E$1000)),"yyyy-mm-dd"),""))))))</f>
        <v/>
      </c>
      <c r="K615" s="131" t="str">
        <f aca="false">IF($U615="✓","✓",IF(ISNUMBER($U615),TEXT($U615,"yyyy-mm-dd"),IF($D615="Lisbonne","",IF($A615="","",IF(SUMPRODUCT((Evermont!$A$2:$A$1000=$A615)*(Evermont!$Q$2:$Q$1000="Terminé"))&gt;0,"✓",IF(SUMPRODUCT(MAX((Evermont!$A$2:$A$1000=$A615)*Evermont!$F$2:$F$1000))&gt;0,TEXT(SUMPRODUCT(MAX((Evermont!$A$2:$A$1000=$A615)*Evermont!$F$2:$F$1000)),"yyyy-mm-dd"),""))))))</f>
        <v/>
      </c>
      <c r="L615" s="131" t="str">
        <f aca="false">IF($A615="","",COUNTIF(E615:K615,"✓"))</f>
        <v/>
      </c>
      <c r="M615" s="131" t="str">
        <f aca="false">IF(B615="","","Active")</f>
        <v/>
      </c>
      <c r="W615" s="120" t="str">
        <f aca="false">IF($A615="","",IF($X615&lt;&gt;"",$X615,IFERROR(INDEX('Formation Initiale'!$B$2:$B$999,MATCH($A615,'Formation Initiale'!$A$2:$A$999,0)),"Général")))</f>
        <v/>
      </c>
    </row>
    <row r="616" customFormat="false" ht="15" hidden="true" customHeight="true" outlineLevel="0" collapsed="false">
      <c r="A616" s="142" t="str">
        <f aca="false">IF(B616="","","TR"&amp;TEXT(ROW()-1,"000"))</f>
        <v/>
      </c>
      <c r="E616" s="130" t="str">
        <f aca="false">IF($O616="✓","✓",IF(ISNUMBER($O616),TEXT($O616,"yyyy-mm-dd"),IF($A616="","",IF(SUMPRODUCT(('Formation Initiale'!$A$2:$A$999=$A616)*('Formation Initiale'!$R$2:$R$999="Terminé"))&gt;0,"✓",IF(SUMPRODUCT(MAX(('Formation Initiale'!$A$2:$A$999=$A616)*'Formation Initiale'!$G$2:$G$999))&gt;0,TEXT(SUMPRODUCT(MAX(('Formation Initiale'!$A$2:$A$999=$A616)*'Formation Initiale'!$G$2:$G$999)),"yyyy-mm-dd"),"")))))</f>
        <v/>
      </c>
      <c r="F616" s="131" t="str">
        <f aca="false">IF($P616="✓","✓",IF(ISNUMBER($P616),TEXT($P616,"yyyy-mm-dd"),IF($A616="","",IF($D616="Lisbonne","",IF(SUMPRODUCT(('Formation Initiale'!$A$2:$A$999=$A616)*('Formation Initiale'!$R$2:$R$999="Terminé"))&gt;0,"✓",IF(SUMPRODUCT(MAX(('Formation Initiale'!$A$2:$A$999=$A616)*'Formation Initiale'!$G$2:$G$999))&gt;0,TEXT(SUMPRODUCT(MAX(('Formation Initiale'!$A$2:$A$999=$A616)*'Formation Initiale'!$G$2:$G$999)),"yyyy-mm-dd"),""))))))</f>
        <v/>
      </c>
      <c r="G616" s="131" t="str">
        <f aca="false">IF($Q616="✓","✓",IF(ISNUMBER($Q616),TEXT($Q616,"yyyy-mm-dd"),IF($A616="","",IF(SUMPRODUCT(('Agences &amp; Après-vente'!$A$2:$A$1000=$A616)*(('Agences &amp; Après-vente'!$D$2:$D$1000="Agences")+('Agences &amp; Après-vente'!$D$2:$D$1000="Agences et Après-vente"))*('Agences &amp; Après-vente'!$I$2:$I$1000="DONE"))&gt;0,"✓",IF(SUMPRODUCT(MAX(('Agences &amp; Après-vente'!$A$2:$A$1000=$A616)*(('Agences &amp; Après-vente'!$D$2:$D$1000="Agences")+('Agences &amp; Après-vente'!$D$2:$D$1000="Agences et Après-vente"))*'Agences &amp; Après-vente'!$E$2:$E$1000))&gt;0,TEXT(SUMPRODUCT(MAX(('Agences &amp; Après-vente'!$A$2:$A$1000=$A616)*(('Agences &amp; Après-vente'!$D$2:$D$1000="Agences")+('Agences &amp; Après-vente'!$D$2:$D$1000="Agences et Après-vente"))*'Agences &amp; Après-vente'!$E$2:$E$1000)),"yyyy-mm-dd"),"")))))</f>
        <v/>
      </c>
      <c r="H616" s="131" t="str">
        <f aca="false">IF($R616="✓","✓",IF(ISNUMBER($R616),TEXT($R616,"yyyy-mm-dd"),IF($A616="","",IF($D616="Lisbonne","",IF(SUMPRODUCT(('Agences &amp; Après-vente'!$A$2:$A$1000=$A616)*(('Agences &amp; Après-vente'!$D$2:$D$1000="Agences")+('Agences &amp; Après-vente'!$D$2:$D$1000="Agences et Après-vente"))*('Agences &amp; Après-vente'!$I$2:$I$1000="DONE"))&gt;0,"✓",IF(SUMPRODUCT(MAX(('Agences &amp; Après-vente'!$A$2:$A$1000=$A616)*(('Agences &amp; Après-vente'!$D$2:$D$1000="Agences")+('Agences &amp; Après-vente'!$D$2:$D$1000="Agences et Après-vente"))*'Agences &amp; Après-vente'!$E$2:$E$1000))&gt;0,TEXT(SUMPRODUCT(MAX(('Agences &amp; Après-vente'!$A$2:$A$1000=$A616)*(('Agences &amp; Après-vente'!$D$2:$D$1000="Agences")+('Agences &amp; Après-vente'!$D$2:$D$1000="Agences et Après-vente"))*'Agences &amp; Après-vente'!$E$2:$E$1000)),"yyyy-mm-dd"),""))))))</f>
        <v/>
      </c>
      <c r="I616" s="131" t="str">
        <f aca="false">IF($S616="✓","✓",IF(ISNUMBER($S616),TEXT($S616,"yyyy-mm-dd"),IF($A616="","",IF(SUMPRODUCT(('Agences &amp; Après-vente'!$A$2:$A$1000=$A616)*(('Agences &amp; Après-vente'!$D$2:$D$1000="Après-vente")+('Agences &amp; Après-vente'!$D$2:$D$1000="Agences et Après-vente"))*('Agences &amp; Après-vente'!$I$2:$I$1000="DONE"))&gt;0,"✓",IF(SUMPRODUCT(MAX(('Agences &amp; Après-vente'!$A$2:$A$1000=$A616)*(('Agences &amp; Après-vente'!$D$2:$D$1000="Après-vente")+('Agences &amp; Après-vente'!$D$2:$D$1000="Agences et Après-vente"))*'Agences &amp; Après-vente'!$E$2:$E$1000))&gt;0,TEXT(SUMPRODUCT(MAX(('Agences &amp; Après-vente'!$A$2:$A$1000=$A616)*(('Agences &amp; Après-vente'!$D$2:$D$1000="Après-vente")+('Agences &amp; Après-vente'!$D$2:$D$1000="Agences et Après-vente"))*'Agences &amp; Après-vente'!$E$2:$E$1000)),"yyyy-mm-dd"),"")))))</f>
        <v/>
      </c>
      <c r="J616" s="131" t="str">
        <f aca="false">IF($T616="✓","✓",IF(ISNUMBER($T616),TEXT($T616,"yyyy-mm-dd"),IF($A616="","",IF($D616="Lisbonne","",IF(SUMPRODUCT(('Agences &amp; Après-vente'!$A$2:$A$1000=$A616)*(('Agences &amp; Après-vente'!$D$2:$D$1000="Après-vente")+('Agences &amp; Après-vente'!$D$2:$D$1000="Agences et Après-vente"))*('Agences &amp; Après-vente'!$I$2:$I$1000="DONE"))&gt;0,"✓",IF(SUMPRODUCT(MAX(('Agences &amp; Après-vente'!$A$2:$A$1000=$A616)*(('Agences &amp; Après-vente'!$D$2:$D$1000="Après-vente")+('Agences &amp; Après-vente'!$D$2:$D$1000="Agences et Après-vente"))*'Agences &amp; Après-vente'!$E$2:$E$1000))&gt;0,TEXT(SUMPRODUCT(MAX(('Agences &amp; Après-vente'!$A$2:$A$1000=$A616)*(('Agences &amp; Après-vente'!$D$2:$D$1000="Après-vente")+('Agences &amp; Après-vente'!$D$2:$D$1000="Agences et Après-vente"))*'Agences &amp; Après-vente'!$E$2:$E$1000)),"yyyy-mm-dd"),""))))))</f>
        <v/>
      </c>
      <c r="K616" s="131" t="str">
        <f aca="false">IF($U616="✓","✓",IF(ISNUMBER($U616),TEXT($U616,"yyyy-mm-dd"),IF($D616="Lisbonne","",IF($A616="","",IF(SUMPRODUCT((Evermont!$A$2:$A$1000=$A616)*(Evermont!$Q$2:$Q$1000="Terminé"))&gt;0,"✓",IF(SUMPRODUCT(MAX((Evermont!$A$2:$A$1000=$A616)*Evermont!$F$2:$F$1000))&gt;0,TEXT(SUMPRODUCT(MAX((Evermont!$A$2:$A$1000=$A616)*Evermont!$F$2:$F$1000)),"yyyy-mm-dd"),""))))))</f>
        <v/>
      </c>
      <c r="L616" s="131" t="str">
        <f aca="false">IF($A616="","",COUNTIF(E616:K616,"✓"))</f>
        <v/>
      </c>
      <c r="M616" s="131" t="str">
        <f aca="false">IF(B616="","","Active")</f>
        <v/>
      </c>
      <c r="W616" s="120" t="str">
        <f aca="false">IF($A616="","",IF($X616&lt;&gt;"",$X616,IFERROR(INDEX('Formation Initiale'!$B$2:$B$999,MATCH($A616,'Formation Initiale'!$A$2:$A$999,0)),"Général")))</f>
        <v/>
      </c>
    </row>
    <row r="617" customFormat="false" ht="15" hidden="true" customHeight="true" outlineLevel="0" collapsed="false">
      <c r="A617" s="142" t="str">
        <f aca="false">IF(B617="","","TR"&amp;TEXT(ROW()-1,"000"))</f>
        <v/>
      </c>
      <c r="E617" s="130" t="str">
        <f aca="false">IF($O617="✓","✓",IF(ISNUMBER($O617),TEXT($O617,"yyyy-mm-dd"),IF($A617="","",IF(SUMPRODUCT(('Formation Initiale'!$A$2:$A$999=$A617)*('Formation Initiale'!$R$2:$R$999="Terminé"))&gt;0,"✓",IF(SUMPRODUCT(MAX(('Formation Initiale'!$A$2:$A$999=$A617)*'Formation Initiale'!$G$2:$G$999))&gt;0,TEXT(SUMPRODUCT(MAX(('Formation Initiale'!$A$2:$A$999=$A617)*'Formation Initiale'!$G$2:$G$999)),"yyyy-mm-dd"),"")))))</f>
        <v/>
      </c>
      <c r="F617" s="131" t="str">
        <f aca="false">IF($P617="✓","✓",IF(ISNUMBER($P617),TEXT($P617,"yyyy-mm-dd"),IF($A617="","",IF($D617="Lisbonne","",IF(SUMPRODUCT(('Formation Initiale'!$A$2:$A$999=$A617)*('Formation Initiale'!$R$2:$R$999="Terminé"))&gt;0,"✓",IF(SUMPRODUCT(MAX(('Formation Initiale'!$A$2:$A$999=$A617)*'Formation Initiale'!$G$2:$G$999))&gt;0,TEXT(SUMPRODUCT(MAX(('Formation Initiale'!$A$2:$A$999=$A617)*'Formation Initiale'!$G$2:$G$999)),"yyyy-mm-dd"),""))))))</f>
        <v/>
      </c>
      <c r="G617" s="131" t="str">
        <f aca="false">IF($Q617="✓","✓",IF(ISNUMBER($Q617),TEXT($Q617,"yyyy-mm-dd"),IF($A617="","",IF(SUMPRODUCT(('Agences &amp; Après-vente'!$A$2:$A$1000=$A617)*(('Agences &amp; Après-vente'!$D$2:$D$1000="Agences")+('Agences &amp; Après-vente'!$D$2:$D$1000="Agences et Après-vente"))*('Agences &amp; Après-vente'!$I$2:$I$1000="DONE"))&gt;0,"✓",IF(SUMPRODUCT(MAX(('Agences &amp; Après-vente'!$A$2:$A$1000=$A617)*(('Agences &amp; Après-vente'!$D$2:$D$1000="Agences")+('Agences &amp; Après-vente'!$D$2:$D$1000="Agences et Après-vente"))*'Agences &amp; Après-vente'!$E$2:$E$1000))&gt;0,TEXT(SUMPRODUCT(MAX(('Agences &amp; Après-vente'!$A$2:$A$1000=$A617)*(('Agences &amp; Après-vente'!$D$2:$D$1000="Agences")+('Agences &amp; Après-vente'!$D$2:$D$1000="Agences et Après-vente"))*'Agences &amp; Après-vente'!$E$2:$E$1000)),"yyyy-mm-dd"),"")))))</f>
        <v/>
      </c>
      <c r="H617" s="131" t="str">
        <f aca="false">IF($R617="✓","✓",IF(ISNUMBER($R617),TEXT($R617,"yyyy-mm-dd"),IF($A617="","",IF($D617="Lisbonne","",IF(SUMPRODUCT(('Agences &amp; Après-vente'!$A$2:$A$1000=$A617)*(('Agences &amp; Après-vente'!$D$2:$D$1000="Agences")+('Agences &amp; Après-vente'!$D$2:$D$1000="Agences et Après-vente"))*('Agences &amp; Après-vente'!$I$2:$I$1000="DONE"))&gt;0,"✓",IF(SUMPRODUCT(MAX(('Agences &amp; Après-vente'!$A$2:$A$1000=$A617)*(('Agences &amp; Après-vente'!$D$2:$D$1000="Agences")+('Agences &amp; Après-vente'!$D$2:$D$1000="Agences et Après-vente"))*'Agences &amp; Après-vente'!$E$2:$E$1000))&gt;0,TEXT(SUMPRODUCT(MAX(('Agences &amp; Après-vente'!$A$2:$A$1000=$A617)*(('Agences &amp; Après-vente'!$D$2:$D$1000="Agences")+('Agences &amp; Après-vente'!$D$2:$D$1000="Agences et Après-vente"))*'Agences &amp; Après-vente'!$E$2:$E$1000)),"yyyy-mm-dd"),""))))))</f>
        <v/>
      </c>
      <c r="I617" s="131" t="str">
        <f aca="false">IF($S617="✓","✓",IF(ISNUMBER($S617),TEXT($S617,"yyyy-mm-dd"),IF($A617="","",IF(SUMPRODUCT(('Agences &amp; Après-vente'!$A$2:$A$1000=$A617)*(('Agences &amp; Après-vente'!$D$2:$D$1000="Après-vente")+('Agences &amp; Après-vente'!$D$2:$D$1000="Agences et Après-vente"))*('Agences &amp; Après-vente'!$I$2:$I$1000="DONE"))&gt;0,"✓",IF(SUMPRODUCT(MAX(('Agences &amp; Après-vente'!$A$2:$A$1000=$A617)*(('Agences &amp; Après-vente'!$D$2:$D$1000="Après-vente")+('Agences &amp; Après-vente'!$D$2:$D$1000="Agences et Après-vente"))*'Agences &amp; Après-vente'!$E$2:$E$1000))&gt;0,TEXT(SUMPRODUCT(MAX(('Agences &amp; Après-vente'!$A$2:$A$1000=$A617)*(('Agences &amp; Après-vente'!$D$2:$D$1000="Après-vente")+('Agences &amp; Après-vente'!$D$2:$D$1000="Agences et Après-vente"))*'Agences &amp; Après-vente'!$E$2:$E$1000)),"yyyy-mm-dd"),"")))))</f>
        <v/>
      </c>
      <c r="J617" s="131" t="str">
        <f aca="false">IF($T617="✓","✓",IF(ISNUMBER($T617),TEXT($T617,"yyyy-mm-dd"),IF($A617="","",IF($D617="Lisbonne","",IF(SUMPRODUCT(('Agences &amp; Après-vente'!$A$2:$A$1000=$A617)*(('Agences &amp; Après-vente'!$D$2:$D$1000="Après-vente")+('Agences &amp; Après-vente'!$D$2:$D$1000="Agences et Après-vente"))*('Agences &amp; Après-vente'!$I$2:$I$1000="DONE"))&gt;0,"✓",IF(SUMPRODUCT(MAX(('Agences &amp; Après-vente'!$A$2:$A$1000=$A617)*(('Agences &amp; Après-vente'!$D$2:$D$1000="Après-vente")+('Agences &amp; Après-vente'!$D$2:$D$1000="Agences et Après-vente"))*'Agences &amp; Après-vente'!$E$2:$E$1000))&gt;0,TEXT(SUMPRODUCT(MAX(('Agences &amp; Après-vente'!$A$2:$A$1000=$A617)*(('Agences &amp; Après-vente'!$D$2:$D$1000="Après-vente")+('Agences &amp; Après-vente'!$D$2:$D$1000="Agences et Après-vente"))*'Agences &amp; Après-vente'!$E$2:$E$1000)),"yyyy-mm-dd"),""))))))</f>
        <v/>
      </c>
      <c r="K617" s="131" t="str">
        <f aca="false">IF($U617="✓","✓",IF(ISNUMBER($U617),TEXT($U617,"yyyy-mm-dd"),IF($D617="Lisbonne","",IF($A617="","",IF(SUMPRODUCT((Evermont!$A$2:$A$1000=$A617)*(Evermont!$Q$2:$Q$1000="Terminé"))&gt;0,"✓",IF(SUMPRODUCT(MAX((Evermont!$A$2:$A$1000=$A617)*Evermont!$F$2:$F$1000))&gt;0,TEXT(SUMPRODUCT(MAX((Evermont!$A$2:$A$1000=$A617)*Evermont!$F$2:$F$1000)),"yyyy-mm-dd"),""))))))</f>
        <v/>
      </c>
      <c r="L617" s="131" t="str">
        <f aca="false">IF($A617="","",COUNTIF(E617:K617,"✓"))</f>
        <v/>
      </c>
      <c r="M617" s="131" t="str">
        <f aca="false">IF(B617="","","Active")</f>
        <v/>
      </c>
      <c r="W617" s="120" t="str">
        <f aca="false">IF($A617="","",IF($X617&lt;&gt;"",$X617,IFERROR(INDEX('Formation Initiale'!$B$2:$B$999,MATCH($A617,'Formation Initiale'!$A$2:$A$999,0)),"Général")))</f>
        <v/>
      </c>
    </row>
    <row r="618" customFormat="false" ht="15" hidden="true" customHeight="true" outlineLevel="0" collapsed="false">
      <c r="A618" s="142" t="str">
        <f aca="false">IF(B618="","","TR"&amp;TEXT(ROW()-1,"000"))</f>
        <v/>
      </c>
      <c r="E618" s="130" t="str">
        <f aca="false">IF($O618="✓","✓",IF(ISNUMBER($O618),TEXT($O618,"yyyy-mm-dd"),IF($A618="","",IF(SUMPRODUCT(('Formation Initiale'!$A$2:$A$999=$A618)*('Formation Initiale'!$R$2:$R$999="Terminé"))&gt;0,"✓",IF(SUMPRODUCT(MAX(('Formation Initiale'!$A$2:$A$999=$A618)*'Formation Initiale'!$G$2:$G$999))&gt;0,TEXT(SUMPRODUCT(MAX(('Formation Initiale'!$A$2:$A$999=$A618)*'Formation Initiale'!$G$2:$G$999)),"yyyy-mm-dd"),"")))))</f>
        <v/>
      </c>
      <c r="F618" s="131" t="str">
        <f aca="false">IF($P618="✓","✓",IF(ISNUMBER($P618),TEXT($P618,"yyyy-mm-dd"),IF($A618="","",IF($D618="Lisbonne","",IF(SUMPRODUCT(('Formation Initiale'!$A$2:$A$999=$A618)*('Formation Initiale'!$R$2:$R$999="Terminé"))&gt;0,"✓",IF(SUMPRODUCT(MAX(('Formation Initiale'!$A$2:$A$999=$A618)*'Formation Initiale'!$G$2:$G$999))&gt;0,TEXT(SUMPRODUCT(MAX(('Formation Initiale'!$A$2:$A$999=$A618)*'Formation Initiale'!$G$2:$G$999)),"yyyy-mm-dd"),""))))))</f>
        <v/>
      </c>
      <c r="G618" s="131" t="str">
        <f aca="false">IF($Q618="✓","✓",IF(ISNUMBER($Q618),TEXT($Q618,"yyyy-mm-dd"),IF($A618="","",IF(SUMPRODUCT(('Agences &amp; Après-vente'!$A$2:$A$1000=$A618)*(('Agences &amp; Après-vente'!$D$2:$D$1000="Agences")+('Agences &amp; Après-vente'!$D$2:$D$1000="Agences et Après-vente"))*('Agences &amp; Après-vente'!$I$2:$I$1000="DONE"))&gt;0,"✓",IF(SUMPRODUCT(MAX(('Agences &amp; Après-vente'!$A$2:$A$1000=$A618)*(('Agences &amp; Après-vente'!$D$2:$D$1000="Agences")+('Agences &amp; Après-vente'!$D$2:$D$1000="Agences et Après-vente"))*'Agences &amp; Après-vente'!$E$2:$E$1000))&gt;0,TEXT(SUMPRODUCT(MAX(('Agences &amp; Après-vente'!$A$2:$A$1000=$A618)*(('Agences &amp; Après-vente'!$D$2:$D$1000="Agences")+('Agences &amp; Après-vente'!$D$2:$D$1000="Agences et Après-vente"))*'Agences &amp; Après-vente'!$E$2:$E$1000)),"yyyy-mm-dd"),"")))))</f>
        <v/>
      </c>
      <c r="H618" s="131" t="str">
        <f aca="false">IF($R618="✓","✓",IF(ISNUMBER($R618),TEXT($R618,"yyyy-mm-dd"),IF($A618="","",IF($D618="Lisbonne","",IF(SUMPRODUCT(('Agences &amp; Après-vente'!$A$2:$A$1000=$A618)*(('Agences &amp; Après-vente'!$D$2:$D$1000="Agences")+('Agences &amp; Après-vente'!$D$2:$D$1000="Agences et Après-vente"))*('Agences &amp; Après-vente'!$I$2:$I$1000="DONE"))&gt;0,"✓",IF(SUMPRODUCT(MAX(('Agences &amp; Après-vente'!$A$2:$A$1000=$A618)*(('Agences &amp; Après-vente'!$D$2:$D$1000="Agences")+('Agences &amp; Après-vente'!$D$2:$D$1000="Agences et Après-vente"))*'Agences &amp; Après-vente'!$E$2:$E$1000))&gt;0,TEXT(SUMPRODUCT(MAX(('Agences &amp; Après-vente'!$A$2:$A$1000=$A618)*(('Agences &amp; Après-vente'!$D$2:$D$1000="Agences")+('Agences &amp; Après-vente'!$D$2:$D$1000="Agences et Après-vente"))*'Agences &amp; Après-vente'!$E$2:$E$1000)),"yyyy-mm-dd"),""))))))</f>
        <v/>
      </c>
      <c r="I618" s="131" t="str">
        <f aca="false">IF($S618="✓","✓",IF(ISNUMBER($S618),TEXT($S618,"yyyy-mm-dd"),IF($A618="","",IF(SUMPRODUCT(('Agences &amp; Après-vente'!$A$2:$A$1000=$A618)*(('Agences &amp; Après-vente'!$D$2:$D$1000="Après-vente")+('Agences &amp; Après-vente'!$D$2:$D$1000="Agences et Après-vente"))*('Agences &amp; Après-vente'!$I$2:$I$1000="DONE"))&gt;0,"✓",IF(SUMPRODUCT(MAX(('Agences &amp; Après-vente'!$A$2:$A$1000=$A618)*(('Agences &amp; Après-vente'!$D$2:$D$1000="Après-vente")+('Agences &amp; Après-vente'!$D$2:$D$1000="Agences et Après-vente"))*'Agences &amp; Après-vente'!$E$2:$E$1000))&gt;0,TEXT(SUMPRODUCT(MAX(('Agences &amp; Après-vente'!$A$2:$A$1000=$A618)*(('Agences &amp; Après-vente'!$D$2:$D$1000="Après-vente")+('Agences &amp; Après-vente'!$D$2:$D$1000="Agences et Après-vente"))*'Agences &amp; Après-vente'!$E$2:$E$1000)),"yyyy-mm-dd"),"")))))</f>
        <v/>
      </c>
      <c r="J618" s="131" t="str">
        <f aca="false">IF($T618="✓","✓",IF(ISNUMBER($T618),TEXT($T618,"yyyy-mm-dd"),IF($A618="","",IF($D618="Lisbonne","",IF(SUMPRODUCT(('Agences &amp; Après-vente'!$A$2:$A$1000=$A618)*(('Agences &amp; Après-vente'!$D$2:$D$1000="Après-vente")+('Agences &amp; Après-vente'!$D$2:$D$1000="Agences et Après-vente"))*('Agences &amp; Après-vente'!$I$2:$I$1000="DONE"))&gt;0,"✓",IF(SUMPRODUCT(MAX(('Agences &amp; Après-vente'!$A$2:$A$1000=$A618)*(('Agences &amp; Après-vente'!$D$2:$D$1000="Après-vente")+('Agences &amp; Après-vente'!$D$2:$D$1000="Agences et Après-vente"))*'Agences &amp; Après-vente'!$E$2:$E$1000))&gt;0,TEXT(SUMPRODUCT(MAX(('Agences &amp; Après-vente'!$A$2:$A$1000=$A618)*(('Agences &amp; Après-vente'!$D$2:$D$1000="Après-vente")+('Agences &amp; Après-vente'!$D$2:$D$1000="Agences et Après-vente"))*'Agences &amp; Après-vente'!$E$2:$E$1000)),"yyyy-mm-dd"),""))))))</f>
        <v/>
      </c>
      <c r="K618" s="131" t="str">
        <f aca="false">IF($U618="✓","✓",IF(ISNUMBER($U618),TEXT($U618,"yyyy-mm-dd"),IF($D618="Lisbonne","",IF($A618="","",IF(SUMPRODUCT((Evermont!$A$2:$A$1000=$A618)*(Evermont!$Q$2:$Q$1000="Terminé"))&gt;0,"✓",IF(SUMPRODUCT(MAX((Evermont!$A$2:$A$1000=$A618)*Evermont!$F$2:$F$1000))&gt;0,TEXT(SUMPRODUCT(MAX((Evermont!$A$2:$A$1000=$A618)*Evermont!$F$2:$F$1000)),"yyyy-mm-dd"),""))))))</f>
        <v/>
      </c>
      <c r="L618" s="131" t="str">
        <f aca="false">IF($A618="","",COUNTIF(E618:K618,"✓"))</f>
        <v/>
      </c>
      <c r="M618" s="131" t="str">
        <f aca="false">IF(B618="","","Active")</f>
        <v/>
      </c>
      <c r="W618" s="120" t="str">
        <f aca="false">IF($A618="","",IF($X618&lt;&gt;"",$X618,IFERROR(INDEX('Formation Initiale'!$B$2:$B$999,MATCH($A618,'Formation Initiale'!$A$2:$A$999,0)),"Général")))</f>
        <v/>
      </c>
    </row>
    <row r="619" customFormat="false" ht="15" hidden="true" customHeight="true" outlineLevel="0" collapsed="false">
      <c r="A619" s="142" t="str">
        <f aca="false">IF(B619="","","TR"&amp;TEXT(ROW()-1,"000"))</f>
        <v/>
      </c>
      <c r="E619" s="130" t="str">
        <f aca="false">IF($O619="✓","✓",IF(ISNUMBER($O619),TEXT($O619,"yyyy-mm-dd"),IF($A619="","",IF(SUMPRODUCT(('Formation Initiale'!$A$2:$A$999=$A619)*('Formation Initiale'!$R$2:$R$999="Terminé"))&gt;0,"✓",IF(SUMPRODUCT(MAX(('Formation Initiale'!$A$2:$A$999=$A619)*'Formation Initiale'!$G$2:$G$999))&gt;0,TEXT(SUMPRODUCT(MAX(('Formation Initiale'!$A$2:$A$999=$A619)*'Formation Initiale'!$G$2:$G$999)),"yyyy-mm-dd"),"")))))</f>
        <v/>
      </c>
      <c r="F619" s="131" t="str">
        <f aca="false">IF($P619="✓","✓",IF(ISNUMBER($P619),TEXT($P619,"yyyy-mm-dd"),IF($A619="","",IF($D619="Lisbonne","",IF(SUMPRODUCT(('Formation Initiale'!$A$2:$A$999=$A619)*('Formation Initiale'!$R$2:$R$999="Terminé"))&gt;0,"✓",IF(SUMPRODUCT(MAX(('Formation Initiale'!$A$2:$A$999=$A619)*'Formation Initiale'!$G$2:$G$999))&gt;0,TEXT(SUMPRODUCT(MAX(('Formation Initiale'!$A$2:$A$999=$A619)*'Formation Initiale'!$G$2:$G$999)),"yyyy-mm-dd"),""))))))</f>
        <v/>
      </c>
      <c r="G619" s="131" t="str">
        <f aca="false">IF($Q619="✓","✓",IF(ISNUMBER($Q619),TEXT($Q619,"yyyy-mm-dd"),IF($A619="","",IF(SUMPRODUCT(('Agences &amp; Après-vente'!$A$2:$A$1000=$A619)*(('Agences &amp; Après-vente'!$D$2:$D$1000="Agences")+('Agences &amp; Après-vente'!$D$2:$D$1000="Agences et Après-vente"))*('Agences &amp; Après-vente'!$I$2:$I$1000="DONE"))&gt;0,"✓",IF(SUMPRODUCT(MAX(('Agences &amp; Après-vente'!$A$2:$A$1000=$A619)*(('Agences &amp; Après-vente'!$D$2:$D$1000="Agences")+('Agences &amp; Après-vente'!$D$2:$D$1000="Agences et Après-vente"))*'Agences &amp; Après-vente'!$E$2:$E$1000))&gt;0,TEXT(SUMPRODUCT(MAX(('Agences &amp; Après-vente'!$A$2:$A$1000=$A619)*(('Agences &amp; Après-vente'!$D$2:$D$1000="Agences")+('Agences &amp; Après-vente'!$D$2:$D$1000="Agences et Après-vente"))*'Agences &amp; Après-vente'!$E$2:$E$1000)),"yyyy-mm-dd"),"")))))</f>
        <v/>
      </c>
      <c r="H619" s="131" t="str">
        <f aca="false">IF($R619="✓","✓",IF(ISNUMBER($R619),TEXT($R619,"yyyy-mm-dd"),IF($A619="","",IF($D619="Lisbonne","",IF(SUMPRODUCT(('Agences &amp; Après-vente'!$A$2:$A$1000=$A619)*(('Agences &amp; Après-vente'!$D$2:$D$1000="Agences")+('Agences &amp; Après-vente'!$D$2:$D$1000="Agences et Après-vente"))*('Agences &amp; Après-vente'!$I$2:$I$1000="DONE"))&gt;0,"✓",IF(SUMPRODUCT(MAX(('Agences &amp; Après-vente'!$A$2:$A$1000=$A619)*(('Agences &amp; Après-vente'!$D$2:$D$1000="Agences")+('Agences &amp; Après-vente'!$D$2:$D$1000="Agences et Après-vente"))*'Agences &amp; Après-vente'!$E$2:$E$1000))&gt;0,TEXT(SUMPRODUCT(MAX(('Agences &amp; Après-vente'!$A$2:$A$1000=$A619)*(('Agences &amp; Après-vente'!$D$2:$D$1000="Agences")+('Agences &amp; Après-vente'!$D$2:$D$1000="Agences et Après-vente"))*'Agences &amp; Après-vente'!$E$2:$E$1000)),"yyyy-mm-dd"),""))))))</f>
        <v/>
      </c>
      <c r="I619" s="131" t="str">
        <f aca="false">IF($S619="✓","✓",IF(ISNUMBER($S619),TEXT($S619,"yyyy-mm-dd"),IF($A619="","",IF(SUMPRODUCT(('Agences &amp; Après-vente'!$A$2:$A$1000=$A619)*(('Agences &amp; Après-vente'!$D$2:$D$1000="Après-vente")+('Agences &amp; Après-vente'!$D$2:$D$1000="Agences et Après-vente"))*('Agences &amp; Après-vente'!$I$2:$I$1000="DONE"))&gt;0,"✓",IF(SUMPRODUCT(MAX(('Agences &amp; Après-vente'!$A$2:$A$1000=$A619)*(('Agences &amp; Après-vente'!$D$2:$D$1000="Après-vente")+('Agences &amp; Après-vente'!$D$2:$D$1000="Agences et Après-vente"))*'Agences &amp; Après-vente'!$E$2:$E$1000))&gt;0,TEXT(SUMPRODUCT(MAX(('Agences &amp; Après-vente'!$A$2:$A$1000=$A619)*(('Agences &amp; Après-vente'!$D$2:$D$1000="Après-vente")+('Agences &amp; Après-vente'!$D$2:$D$1000="Agences et Après-vente"))*'Agences &amp; Après-vente'!$E$2:$E$1000)),"yyyy-mm-dd"),"")))))</f>
        <v/>
      </c>
      <c r="J619" s="131" t="str">
        <f aca="false">IF($T619="✓","✓",IF(ISNUMBER($T619),TEXT($T619,"yyyy-mm-dd"),IF($A619="","",IF($D619="Lisbonne","",IF(SUMPRODUCT(('Agences &amp; Après-vente'!$A$2:$A$1000=$A619)*(('Agences &amp; Après-vente'!$D$2:$D$1000="Après-vente")+('Agences &amp; Après-vente'!$D$2:$D$1000="Agences et Après-vente"))*('Agences &amp; Après-vente'!$I$2:$I$1000="DONE"))&gt;0,"✓",IF(SUMPRODUCT(MAX(('Agences &amp; Après-vente'!$A$2:$A$1000=$A619)*(('Agences &amp; Après-vente'!$D$2:$D$1000="Après-vente")+('Agences &amp; Après-vente'!$D$2:$D$1000="Agences et Après-vente"))*'Agences &amp; Après-vente'!$E$2:$E$1000))&gt;0,TEXT(SUMPRODUCT(MAX(('Agences &amp; Après-vente'!$A$2:$A$1000=$A619)*(('Agences &amp; Après-vente'!$D$2:$D$1000="Après-vente")+('Agences &amp; Après-vente'!$D$2:$D$1000="Agences et Après-vente"))*'Agences &amp; Après-vente'!$E$2:$E$1000)),"yyyy-mm-dd"),""))))))</f>
        <v/>
      </c>
      <c r="K619" s="131" t="str">
        <f aca="false">IF($U619="✓","✓",IF(ISNUMBER($U619),TEXT($U619,"yyyy-mm-dd"),IF($D619="Lisbonne","",IF($A619="","",IF(SUMPRODUCT((Evermont!$A$2:$A$1000=$A619)*(Evermont!$Q$2:$Q$1000="Terminé"))&gt;0,"✓",IF(SUMPRODUCT(MAX((Evermont!$A$2:$A$1000=$A619)*Evermont!$F$2:$F$1000))&gt;0,TEXT(SUMPRODUCT(MAX((Evermont!$A$2:$A$1000=$A619)*Evermont!$F$2:$F$1000)),"yyyy-mm-dd"),""))))))</f>
        <v/>
      </c>
      <c r="L619" s="131" t="str">
        <f aca="false">IF($A619="","",COUNTIF(E619:K619,"✓"))</f>
        <v/>
      </c>
      <c r="M619" s="131" t="str">
        <f aca="false">IF(B619="","","Active")</f>
        <v/>
      </c>
      <c r="W619" s="120" t="str">
        <f aca="false">IF($A619="","",IF($X619&lt;&gt;"",$X619,IFERROR(INDEX('Formation Initiale'!$B$2:$B$999,MATCH($A619,'Formation Initiale'!$A$2:$A$999,0)),"Général")))</f>
        <v/>
      </c>
    </row>
    <row r="620" customFormat="false" ht="15" hidden="true" customHeight="true" outlineLevel="0" collapsed="false">
      <c r="A620" s="142" t="str">
        <f aca="false">IF(B620="","","TR"&amp;TEXT(ROW()-1,"000"))</f>
        <v/>
      </c>
      <c r="E620" s="130" t="str">
        <f aca="false">IF($O620="✓","✓",IF(ISNUMBER($O620),TEXT($O620,"yyyy-mm-dd"),IF($A620="","",IF(SUMPRODUCT(('Formation Initiale'!$A$2:$A$999=$A620)*('Formation Initiale'!$R$2:$R$999="Terminé"))&gt;0,"✓",IF(SUMPRODUCT(MAX(('Formation Initiale'!$A$2:$A$999=$A620)*'Formation Initiale'!$G$2:$G$999))&gt;0,TEXT(SUMPRODUCT(MAX(('Formation Initiale'!$A$2:$A$999=$A620)*'Formation Initiale'!$G$2:$G$999)),"yyyy-mm-dd"),"")))))</f>
        <v/>
      </c>
      <c r="F620" s="131" t="str">
        <f aca="false">IF($P620="✓","✓",IF(ISNUMBER($P620),TEXT($P620,"yyyy-mm-dd"),IF($A620="","",IF($D620="Lisbonne","",IF(SUMPRODUCT(('Formation Initiale'!$A$2:$A$999=$A620)*('Formation Initiale'!$R$2:$R$999="Terminé"))&gt;0,"✓",IF(SUMPRODUCT(MAX(('Formation Initiale'!$A$2:$A$999=$A620)*'Formation Initiale'!$G$2:$G$999))&gt;0,TEXT(SUMPRODUCT(MAX(('Formation Initiale'!$A$2:$A$999=$A620)*'Formation Initiale'!$G$2:$G$999)),"yyyy-mm-dd"),""))))))</f>
        <v/>
      </c>
      <c r="G620" s="131" t="str">
        <f aca="false">IF($Q620="✓","✓",IF(ISNUMBER($Q620),TEXT($Q620,"yyyy-mm-dd"),IF($A620="","",IF(SUMPRODUCT(('Agences &amp; Après-vente'!$A$2:$A$1000=$A620)*(('Agences &amp; Après-vente'!$D$2:$D$1000="Agences")+('Agences &amp; Après-vente'!$D$2:$D$1000="Agences et Après-vente"))*('Agences &amp; Après-vente'!$I$2:$I$1000="DONE"))&gt;0,"✓",IF(SUMPRODUCT(MAX(('Agences &amp; Après-vente'!$A$2:$A$1000=$A620)*(('Agences &amp; Après-vente'!$D$2:$D$1000="Agences")+('Agences &amp; Après-vente'!$D$2:$D$1000="Agences et Après-vente"))*'Agences &amp; Après-vente'!$E$2:$E$1000))&gt;0,TEXT(SUMPRODUCT(MAX(('Agences &amp; Après-vente'!$A$2:$A$1000=$A620)*(('Agences &amp; Après-vente'!$D$2:$D$1000="Agences")+('Agences &amp; Après-vente'!$D$2:$D$1000="Agences et Après-vente"))*'Agences &amp; Après-vente'!$E$2:$E$1000)),"yyyy-mm-dd"),"")))))</f>
        <v/>
      </c>
      <c r="H620" s="131" t="str">
        <f aca="false">IF($R620="✓","✓",IF(ISNUMBER($R620),TEXT($R620,"yyyy-mm-dd"),IF($A620="","",IF($D620="Lisbonne","",IF(SUMPRODUCT(('Agences &amp; Après-vente'!$A$2:$A$1000=$A620)*(('Agences &amp; Après-vente'!$D$2:$D$1000="Agences")+('Agences &amp; Après-vente'!$D$2:$D$1000="Agences et Après-vente"))*('Agences &amp; Après-vente'!$I$2:$I$1000="DONE"))&gt;0,"✓",IF(SUMPRODUCT(MAX(('Agences &amp; Après-vente'!$A$2:$A$1000=$A620)*(('Agences &amp; Après-vente'!$D$2:$D$1000="Agences")+('Agences &amp; Après-vente'!$D$2:$D$1000="Agences et Après-vente"))*'Agences &amp; Après-vente'!$E$2:$E$1000))&gt;0,TEXT(SUMPRODUCT(MAX(('Agences &amp; Après-vente'!$A$2:$A$1000=$A620)*(('Agences &amp; Après-vente'!$D$2:$D$1000="Agences")+('Agences &amp; Après-vente'!$D$2:$D$1000="Agences et Après-vente"))*'Agences &amp; Après-vente'!$E$2:$E$1000)),"yyyy-mm-dd"),""))))))</f>
        <v/>
      </c>
      <c r="I620" s="131" t="str">
        <f aca="false">IF($S620="✓","✓",IF(ISNUMBER($S620),TEXT($S620,"yyyy-mm-dd"),IF($A620="","",IF(SUMPRODUCT(('Agences &amp; Après-vente'!$A$2:$A$1000=$A620)*(('Agences &amp; Après-vente'!$D$2:$D$1000="Après-vente")+('Agences &amp; Après-vente'!$D$2:$D$1000="Agences et Après-vente"))*('Agences &amp; Après-vente'!$I$2:$I$1000="DONE"))&gt;0,"✓",IF(SUMPRODUCT(MAX(('Agences &amp; Après-vente'!$A$2:$A$1000=$A620)*(('Agences &amp; Après-vente'!$D$2:$D$1000="Après-vente")+('Agences &amp; Après-vente'!$D$2:$D$1000="Agences et Après-vente"))*'Agences &amp; Après-vente'!$E$2:$E$1000))&gt;0,TEXT(SUMPRODUCT(MAX(('Agences &amp; Après-vente'!$A$2:$A$1000=$A620)*(('Agences &amp; Après-vente'!$D$2:$D$1000="Après-vente")+('Agences &amp; Après-vente'!$D$2:$D$1000="Agences et Après-vente"))*'Agences &amp; Après-vente'!$E$2:$E$1000)),"yyyy-mm-dd"),"")))))</f>
        <v/>
      </c>
      <c r="J620" s="131" t="str">
        <f aca="false">IF($T620="✓","✓",IF(ISNUMBER($T620),TEXT($T620,"yyyy-mm-dd"),IF($A620="","",IF($D620="Lisbonne","",IF(SUMPRODUCT(('Agences &amp; Après-vente'!$A$2:$A$1000=$A620)*(('Agences &amp; Après-vente'!$D$2:$D$1000="Après-vente")+('Agences &amp; Après-vente'!$D$2:$D$1000="Agences et Après-vente"))*('Agences &amp; Après-vente'!$I$2:$I$1000="DONE"))&gt;0,"✓",IF(SUMPRODUCT(MAX(('Agences &amp; Après-vente'!$A$2:$A$1000=$A620)*(('Agences &amp; Après-vente'!$D$2:$D$1000="Après-vente")+('Agences &amp; Après-vente'!$D$2:$D$1000="Agences et Après-vente"))*'Agences &amp; Après-vente'!$E$2:$E$1000))&gt;0,TEXT(SUMPRODUCT(MAX(('Agences &amp; Après-vente'!$A$2:$A$1000=$A620)*(('Agences &amp; Après-vente'!$D$2:$D$1000="Après-vente")+('Agences &amp; Après-vente'!$D$2:$D$1000="Agences et Après-vente"))*'Agences &amp; Après-vente'!$E$2:$E$1000)),"yyyy-mm-dd"),""))))))</f>
        <v/>
      </c>
      <c r="K620" s="131" t="str">
        <f aca="false">IF($U620="✓","✓",IF(ISNUMBER($U620),TEXT($U620,"yyyy-mm-dd"),IF($D620="Lisbonne","",IF($A620="","",IF(SUMPRODUCT((Evermont!$A$2:$A$1000=$A620)*(Evermont!$Q$2:$Q$1000="Terminé"))&gt;0,"✓",IF(SUMPRODUCT(MAX((Evermont!$A$2:$A$1000=$A620)*Evermont!$F$2:$F$1000))&gt;0,TEXT(SUMPRODUCT(MAX((Evermont!$A$2:$A$1000=$A620)*Evermont!$F$2:$F$1000)),"yyyy-mm-dd"),""))))))</f>
        <v/>
      </c>
      <c r="L620" s="131" t="str">
        <f aca="false">IF($A620="","",COUNTIF(E620:K620,"✓"))</f>
        <v/>
      </c>
      <c r="M620" s="131" t="str">
        <f aca="false">IF(B620="","","Active")</f>
        <v/>
      </c>
      <c r="W620" s="120" t="str">
        <f aca="false">IF($A620="","",IF($X620&lt;&gt;"",$X620,IFERROR(INDEX('Formation Initiale'!$B$2:$B$999,MATCH($A620,'Formation Initiale'!$A$2:$A$999,0)),"Général")))</f>
        <v/>
      </c>
    </row>
    <row r="621" customFormat="false" ht="15" hidden="true" customHeight="true" outlineLevel="0" collapsed="false">
      <c r="A621" s="142" t="str">
        <f aca="false">IF(B621="","","TR"&amp;TEXT(ROW()-1,"000"))</f>
        <v/>
      </c>
      <c r="E621" s="130" t="str">
        <f aca="false">IF($O621="✓","✓",IF(ISNUMBER($O621),TEXT($O621,"yyyy-mm-dd"),IF($A621="","",IF(SUMPRODUCT(('Formation Initiale'!$A$2:$A$999=$A621)*('Formation Initiale'!$R$2:$R$999="Terminé"))&gt;0,"✓",IF(SUMPRODUCT(MAX(('Formation Initiale'!$A$2:$A$999=$A621)*'Formation Initiale'!$G$2:$G$999))&gt;0,TEXT(SUMPRODUCT(MAX(('Formation Initiale'!$A$2:$A$999=$A621)*'Formation Initiale'!$G$2:$G$999)),"yyyy-mm-dd"),"")))))</f>
        <v/>
      </c>
      <c r="F621" s="131" t="str">
        <f aca="false">IF($P621="✓","✓",IF(ISNUMBER($P621),TEXT($P621,"yyyy-mm-dd"),IF($A621="","",IF($D621="Lisbonne","",IF(SUMPRODUCT(('Formation Initiale'!$A$2:$A$999=$A621)*('Formation Initiale'!$R$2:$R$999="Terminé"))&gt;0,"✓",IF(SUMPRODUCT(MAX(('Formation Initiale'!$A$2:$A$999=$A621)*'Formation Initiale'!$G$2:$G$999))&gt;0,TEXT(SUMPRODUCT(MAX(('Formation Initiale'!$A$2:$A$999=$A621)*'Formation Initiale'!$G$2:$G$999)),"yyyy-mm-dd"),""))))))</f>
        <v/>
      </c>
      <c r="G621" s="131" t="str">
        <f aca="false">IF($Q621="✓","✓",IF(ISNUMBER($Q621),TEXT($Q621,"yyyy-mm-dd"),IF($A621="","",IF(SUMPRODUCT(('Agences &amp; Après-vente'!$A$2:$A$1000=$A621)*(('Agences &amp; Après-vente'!$D$2:$D$1000="Agences")+('Agences &amp; Après-vente'!$D$2:$D$1000="Agences et Après-vente"))*('Agences &amp; Après-vente'!$I$2:$I$1000="DONE"))&gt;0,"✓",IF(SUMPRODUCT(MAX(('Agences &amp; Après-vente'!$A$2:$A$1000=$A621)*(('Agences &amp; Après-vente'!$D$2:$D$1000="Agences")+('Agences &amp; Après-vente'!$D$2:$D$1000="Agences et Après-vente"))*'Agences &amp; Après-vente'!$E$2:$E$1000))&gt;0,TEXT(SUMPRODUCT(MAX(('Agences &amp; Après-vente'!$A$2:$A$1000=$A621)*(('Agences &amp; Après-vente'!$D$2:$D$1000="Agences")+('Agences &amp; Après-vente'!$D$2:$D$1000="Agences et Après-vente"))*'Agences &amp; Après-vente'!$E$2:$E$1000)),"yyyy-mm-dd"),"")))))</f>
        <v/>
      </c>
      <c r="H621" s="131" t="str">
        <f aca="false">IF($R621="✓","✓",IF(ISNUMBER($R621),TEXT($R621,"yyyy-mm-dd"),IF($A621="","",IF($D621="Lisbonne","",IF(SUMPRODUCT(('Agences &amp; Après-vente'!$A$2:$A$1000=$A621)*(('Agences &amp; Après-vente'!$D$2:$D$1000="Agences")+('Agences &amp; Après-vente'!$D$2:$D$1000="Agences et Après-vente"))*('Agences &amp; Après-vente'!$I$2:$I$1000="DONE"))&gt;0,"✓",IF(SUMPRODUCT(MAX(('Agences &amp; Après-vente'!$A$2:$A$1000=$A621)*(('Agences &amp; Après-vente'!$D$2:$D$1000="Agences")+('Agences &amp; Après-vente'!$D$2:$D$1000="Agences et Après-vente"))*'Agences &amp; Après-vente'!$E$2:$E$1000))&gt;0,TEXT(SUMPRODUCT(MAX(('Agences &amp; Après-vente'!$A$2:$A$1000=$A621)*(('Agences &amp; Après-vente'!$D$2:$D$1000="Agences")+('Agences &amp; Après-vente'!$D$2:$D$1000="Agences et Après-vente"))*'Agences &amp; Après-vente'!$E$2:$E$1000)),"yyyy-mm-dd"),""))))))</f>
        <v/>
      </c>
      <c r="I621" s="131" t="str">
        <f aca="false">IF($S621="✓","✓",IF(ISNUMBER($S621),TEXT($S621,"yyyy-mm-dd"),IF($A621="","",IF(SUMPRODUCT(('Agences &amp; Après-vente'!$A$2:$A$1000=$A621)*(('Agences &amp; Après-vente'!$D$2:$D$1000="Après-vente")+('Agences &amp; Après-vente'!$D$2:$D$1000="Agences et Après-vente"))*('Agences &amp; Après-vente'!$I$2:$I$1000="DONE"))&gt;0,"✓",IF(SUMPRODUCT(MAX(('Agences &amp; Après-vente'!$A$2:$A$1000=$A621)*(('Agences &amp; Après-vente'!$D$2:$D$1000="Après-vente")+('Agences &amp; Après-vente'!$D$2:$D$1000="Agences et Après-vente"))*'Agences &amp; Après-vente'!$E$2:$E$1000))&gt;0,TEXT(SUMPRODUCT(MAX(('Agences &amp; Après-vente'!$A$2:$A$1000=$A621)*(('Agences &amp; Après-vente'!$D$2:$D$1000="Après-vente")+('Agences &amp; Après-vente'!$D$2:$D$1000="Agences et Après-vente"))*'Agences &amp; Après-vente'!$E$2:$E$1000)),"yyyy-mm-dd"),"")))))</f>
        <v/>
      </c>
      <c r="J621" s="131" t="str">
        <f aca="false">IF($T621="✓","✓",IF(ISNUMBER($T621),TEXT($T621,"yyyy-mm-dd"),IF($A621="","",IF($D621="Lisbonne","",IF(SUMPRODUCT(('Agences &amp; Après-vente'!$A$2:$A$1000=$A621)*(('Agences &amp; Après-vente'!$D$2:$D$1000="Après-vente")+('Agences &amp; Après-vente'!$D$2:$D$1000="Agences et Après-vente"))*('Agences &amp; Après-vente'!$I$2:$I$1000="DONE"))&gt;0,"✓",IF(SUMPRODUCT(MAX(('Agences &amp; Après-vente'!$A$2:$A$1000=$A621)*(('Agences &amp; Après-vente'!$D$2:$D$1000="Après-vente")+('Agences &amp; Après-vente'!$D$2:$D$1000="Agences et Après-vente"))*'Agences &amp; Après-vente'!$E$2:$E$1000))&gt;0,TEXT(SUMPRODUCT(MAX(('Agences &amp; Après-vente'!$A$2:$A$1000=$A621)*(('Agences &amp; Après-vente'!$D$2:$D$1000="Après-vente")+('Agences &amp; Après-vente'!$D$2:$D$1000="Agences et Après-vente"))*'Agences &amp; Après-vente'!$E$2:$E$1000)),"yyyy-mm-dd"),""))))))</f>
        <v/>
      </c>
      <c r="K621" s="131" t="str">
        <f aca="false">IF($U621="✓","✓",IF(ISNUMBER($U621),TEXT($U621,"yyyy-mm-dd"),IF($D621="Lisbonne","",IF($A621="","",IF(SUMPRODUCT((Evermont!$A$2:$A$1000=$A621)*(Evermont!$Q$2:$Q$1000="Terminé"))&gt;0,"✓",IF(SUMPRODUCT(MAX((Evermont!$A$2:$A$1000=$A621)*Evermont!$F$2:$F$1000))&gt;0,TEXT(SUMPRODUCT(MAX((Evermont!$A$2:$A$1000=$A621)*Evermont!$F$2:$F$1000)),"yyyy-mm-dd"),""))))))</f>
        <v/>
      </c>
      <c r="L621" s="131" t="str">
        <f aca="false">IF($A621="","",COUNTIF(E621:K621,"✓"))</f>
        <v/>
      </c>
      <c r="M621" s="131" t="str">
        <f aca="false">IF(B621="","","Active")</f>
        <v/>
      </c>
      <c r="W621" s="120" t="str">
        <f aca="false">IF($A621="","",IF($X621&lt;&gt;"",$X621,IFERROR(INDEX('Formation Initiale'!$B$2:$B$999,MATCH($A621,'Formation Initiale'!$A$2:$A$999,0)),"Général")))</f>
        <v/>
      </c>
    </row>
    <row r="622" customFormat="false" ht="15" hidden="true" customHeight="true" outlineLevel="0" collapsed="false">
      <c r="A622" s="142" t="str">
        <f aca="false">IF(B622="","","TR"&amp;TEXT(ROW()-1,"000"))</f>
        <v/>
      </c>
      <c r="E622" s="130" t="str">
        <f aca="false">IF($O622="✓","✓",IF(ISNUMBER($O622),TEXT($O622,"yyyy-mm-dd"),IF($A622="","",IF(SUMPRODUCT(('Formation Initiale'!$A$2:$A$999=$A622)*('Formation Initiale'!$R$2:$R$999="Terminé"))&gt;0,"✓",IF(SUMPRODUCT(MAX(('Formation Initiale'!$A$2:$A$999=$A622)*'Formation Initiale'!$G$2:$G$999))&gt;0,TEXT(SUMPRODUCT(MAX(('Formation Initiale'!$A$2:$A$999=$A622)*'Formation Initiale'!$G$2:$G$999)),"yyyy-mm-dd"),"")))))</f>
        <v/>
      </c>
      <c r="F622" s="131" t="str">
        <f aca="false">IF($P622="✓","✓",IF(ISNUMBER($P622),TEXT($P622,"yyyy-mm-dd"),IF($A622="","",IF($D622="Lisbonne","",IF(SUMPRODUCT(('Formation Initiale'!$A$2:$A$999=$A622)*('Formation Initiale'!$R$2:$R$999="Terminé"))&gt;0,"✓",IF(SUMPRODUCT(MAX(('Formation Initiale'!$A$2:$A$999=$A622)*'Formation Initiale'!$G$2:$G$999))&gt;0,TEXT(SUMPRODUCT(MAX(('Formation Initiale'!$A$2:$A$999=$A622)*'Formation Initiale'!$G$2:$G$999)),"yyyy-mm-dd"),""))))))</f>
        <v/>
      </c>
      <c r="G622" s="131" t="str">
        <f aca="false">IF($Q622="✓","✓",IF(ISNUMBER($Q622),TEXT($Q622,"yyyy-mm-dd"),IF($A622="","",IF(SUMPRODUCT(('Agences &amp; Après-vente'!$A$2:$A$1000=$A622)*(('Agences &amp; Après-vente'!$D$2:$D$1000="Agences")+('Agences &amp; Après-vente'!$D$2:$D$1000="Agences et Après-vente"))*('Agences &amp; Après-vente'!$I$2:$I$1000="DONE"))&gt;0,"✓",IF(SUMPRODUCT(MAX(('Agences &amp; Après-vente'!$A$2:$A$1000=$A622)*(('Agences &amp; Après-vente'!$D$2:$D$1000="Agences")+('Agences &amp; Après-vente'!$D$2:$D$1000="Agences et Après-vente"))*'Agences &amp; Après-vente'!$E$2:$E$1000))&gt;0,TEXT(SUMPRODUCT(MAX(('Agences &amp; Après-vente'!$A$2:$A$1000=$A622)*(('Agences &amp; Après-vente'!$D$2:$D$1000="Agences")+('Agences &amp; Après-vente'!$D$2:$D$1000="Agences et Après-vente"))*'Agences &amp; Après-vente'!$E$2:$E$1000)),"yyyy-mm-dd"),"")))))</f>
        <v/>
      </c>
      <c r="H622" s="131" t="str">
        <f aca="false">IF($R622="✓","✓",IF(ISNUMBER($R622),TEXT($R622,"yyyy-mm-dd"),IF($A622="","",IF($D622="Lisbonne","",IF(SUMPRODUCT(('Agences &amp; Après-vente'!$A$2:$A$1000=$A622)*(('Agences &amp; Après-vente'!$D$2:$D$1000="Agences")+('Agences &amp; Après-vente'!$D$2:$D$1000="Agences et Après-vente"))*('Agences &amp; Après-vente'!$I$2:$I$1000="DONE"))&gt;0,"✓",IF(SUMPRODUCT(MAX(('Agences &amp; Après-vente'!$A$2:$A$1000=$A622)*(('Agences &amp; Après-vente'!$D$2:$D$1000="Agences")+('Agences &amp; Après-vente'!$D$2:$D$1000="Agences et Après-vente"))*'Agences &amp; Après-vente'!$E$2:$E$1000))&gt;0,TEXT(SUMPRODUCT(MAX(('Agences &amp; Après-vente'!$A$2:$A$1000=$A622)*(('Agences &amp; Après-vente'!$D$2:$D$1000="Agences")+('Agences &amp; Après-vente'!$D$2:$D$1000="Agences et Après-vente"))*'Agences &amp; Après-vente'!$E$2:$E$1000)),"yyyy-mm-dd"),""))))))</f>
        <v/>
      </c>
      <c r="I622" s="131" t="str">
        <f aca="false">IF($S622="✓","✓",IF(ISNUMBER($S622),TEXT($S622,"yyyy-mm-dd"),IF($A622="","",IF(SUMPRODUCT(('Agences &amp; Après-vente'!$A$2:$A$1000=$A622)*(('Agences &amp; Après-vente'!$D$2:$D$1000="Après-vente")+('Agences &amp; Après-vente'!$D$2:$D$1000="Agences et Après-vente"))*('Agences &amp; Après-vente'!$I$2:$I$1000="DONE"))&gt;0,"✓",IF(SUMPRODUCT(MAX(('Agences &amp; Après-vente'!$A$2:$A$1000=$A622)*(('Agences &amp; Après-vente'!$D$2:$D$1000="Après-vente")+('Agences &amp; Après-vente'!$D$2:$D$1000="Agences et Après-vente"))*'Agences &amp; Après-vente'!$E$2:$E$1000))&gt;0,TEXT(SUMPRODUCT(MAX(('Agences &amp; Après-vente'!$A$2:$A$1000=$A622)*(('Agences &amp; Après-vente'!$D$2:$D$1000="Après-vente")+('Agences &amp; Après-vente'!$D$2:$D$1000="Agences et Après-vente"))*'Agences &amp; Après-vente'!$E$2:$E$1000)),"yyyy-mm-dd"),"")))))</f>
        <v/>
      </c>
      <c r="J622" s="131" t="str">
        <f aca="false">IF($T622="✓","✓",IF(ISNUMBER($T622),TEXT($T622,"yyyy-mm-dd"),IF($A622="","",IF($D622="Lisbonne","",IF(SUMPRODUCT(('Agences &amp; Après-vente'!$A$2:$A$1000=$A622)*(('Agences &amp; Après-vente'!$D$2:$D$1000="Après-vente")+('Agences &amp; Après-vente'!$D$2:$D$1000="Agences et Après-vente"))*('Agences &amp; Après-vente'!$I$2:$I$1000="DONE"))&gt;0,"✓",IF(SUMPRODUCT(MAX(('Agences &amp; Après-vente'!$A$2:$A$1000=$A622)*(('Agences &amp; Après-vente'!$D$2:$D$1000="Après-vente")+('Agences &amp; Après-vente'!$D$2:$D$1000="Agences et Après-vente"))*'Agences &amp; Après-vente'!$E$2:$E$1000))&gt;0,TEXT(SUMPRODUCT(MAX(('Agences &amp; Après-vente'!$A$2:$A$1000=$A622)*(('Agences &amp; Après-vente'!$D$2:$D$1000="Après-vente")+('Agences &amp; Après-vente'!$D$2:$D$1000="Agences et Après-vente"))*'Agences &amp; Après-vente'!$E$2:$E$1000)),"yyyy-mm-dd"),""))))))</f>
        <v/>
      </c>
      <c r="K622" s="131" t="str">
        <f aca="false">IF($U622="✓","✓",IF(ISNUMBER($U622),TEXT($U622,"yyyy-mm-dd"),IF($D622="Lisbonne","",IF($A622="","",IF(SUMPRODUCT((Evermont!$A$2:$A$1000=$A622)*(Evermont!$Q$2:$Q$1000="Terminé"))&gt;0,"✓",IF(SUMPRODUCT(MAX((Evermont!$A$2:$A$1000=$A622)*Evermont!$F$2:$F$1000))&gt;0,TEXT(SUMPRODUCT(MAX((Evermont!$A$2:$A$1000=$A622)*Evermont!$F$2:$F$1000)),"yyyy-mm-dd"),""))))))</f>
        <v/>
      </c>
      <c r="L622" s="131" t="str">
        <f aca="false">IF($A622="","",COUNTIF(E622:K622,"✓"))</f>
        <v/>
      </c>
      <c r="M622" s="131" t="str">
        <f aca="false">IF(B622="","","Active")</f>
        <v/>
      </c>
      <c r="W622" s="120" t="str">
        <f aca="false">IF($A622="","",IF($X622&lt;&gt;"",$X622,IFERROR(INDEX('Formation Initiale'!$B$2:$B$999,MATCH($A622,'Formation Initiale'!$A$2:$A$999,0)),"Général")))</f>
        <v/>
      </c>
    </row>
    <row r="623" customFormat="false" ht="15" hidden="true" customHeight="true" outlineLevel="0" collapsed="false">
      <c r="A623" s="142" t="str">
        <f aca="false">IF(B623="","","TR"&amp;TEXT(ROW()-1,"000"))</f>
        <v/>
      </c>
      <c r="E623" s="130" t="str">
        <f aca="false">IF($O623="✓","✓",IF(ISNUMBER($O623),TEXT($O623,"yyyy-mm-dd"),IF($A623="","",IF(SUMPRODUCT(('Formation Initiale'!$A$2:$A$999=$A623)*('Formation Initiale'!$R$2:$R$999="Terminé"))&gt;0,"✓",IF(SUMPRODUCT(MAX(('Formation Initiale'!$A$2:$A$999=$A623)*'Formation Initiale'!$G$2:$G$999))&gt;0,TEXT(SUMPRODUCT(MAX(('Formation Initiale'!$A$2:$A$999=$A623)*'Formation Initiale'!$G$2:$G$999)),"yyyy-mm-dd"),"")))))</f>
        <v/>
      </c>
      <c r="F623" s="131" t="str">
        <f aca="false">IF($P623="✓","✓",IF(ISNUMBER($P623),TEXT($P623,"yyyy-mm-dd"),IF($A623="","",IF($D623="Lisbonne","",IF(SUMPRODUCT(('Formation Initiale'!$A$2:$A$999=$A623)*('Formation Initiale'!$R$2:$R$999="Terminé"))&gt;0,"✓",IF(SUMPRODUCT(MAX(('Formation Initiale'!$A$2:$A$999=$A623)*'Formation Initiale'!$G$2:$G$999))&gt;0,TEXT(SUMPRODUCT(MAX(('Formation Initiale'!$A$2:$A$999=$A623)*'Formation Initiale'!$G$2:$G$999)),"yyyy-mm-dd"),""))))))</f>
        <v/>
      </c>
      <c r="G623" s="131" t="str">
        <f aca="false">IF($Q623="✓","✓",IF(ISNUMBER($Q623),TEXT($Q623,"yyyy-mm-dd"),IF($A623="","",IF(SUMPRODUCT(('Agences &amp; Après-vente'!$A$2:$A$1000=$A623)*(('Agences &amp; Après-vente'!$D$2:$D$1000="Agences")+('Agences &amp; Après-vente'!$D$2:$D$1000="Agences et Après-vente"))*('Agences &amp; Après-vente'!$I$2:$I$1000="DONE"))&gt;0,"✓",IF(SUMPRODUCT(MAX(('Agences &amp; Après-vente'!$A$2:$A$1000=$A623)*(('Agences &amp; Après-vente'!$D$2:$D$1000="Agences")+('Agences &amp; Après-vente'!$D$2:$D$1000="Agences et Après-vente"))*'Agences &amp; Après-vente'!$E$2:$E$1000))&gt;0,TEXT(SUMPRODUCT(MAX(('Agences &amp; Après-vente'!$A$2:$A$1000=$A623)*(('Agences &amp; Après-vente'!$D$2:$D$1000="Agences")+('Agences &amp; Après-vente'!$D$2:$D$1000="Agences et Après-vente"))*'Agences &amp; Après-vente'!$E$2:$E$1000)),"yyyy-mm-dd"),"")))))</f>
        <v/>
      </c>
      <c r="H623" s="131" t="str">
        <f aca="false">IF($R623="✓","✓",IF(ISNUMBER($R623),TEXT($R623,"yyyy-mm-dd"),IF($A623="","",IF($D623="Lisbonne","",IF(SUMPRODUCT(('Agences &amp; Après-vente'!$A$2:$A$1000=$A623)*(('Agences &amp; Après-vente'!$D$2:$D$1000="Agences")+('Agences &amp; Après-vente'!$D$2:$D$1000="Agences et Après-vente"))*('Agences &amp; Après-vente'!$I$2:$I$1000="DONE"))&gt;0,"✓",IF(SUMPRODUCT(MAX(('Agences &amp; Après-vente'!$A$2:$A$1000=$A623)*(('Agences &amp; Après-vente'!$D$2:$D$1000="Agences")+('Agences &amp; Après-vente'!$D$2:$D$1000="Agences et Après-vente"))*'Agences &amp; Après-vente'!$E$2:$E$1000))&gt;0,TEXT(SUMPRODUCT(MAX(('Agences &amp; Après-vente'!$A$2:$A$1000=$A623)*(('Agences &amp; Après-vente'!$D$2:$D$1000="Agences")+('Agences &amp; Après-vente'!$D$2:$D$1000="Agences et Après-vente"))*'Agences &amp; Après-vente'!$E$2:$E$1000)),"yyyy-mm-dd"),""))))))</f>
        <v/>
      </c>
      <c r="I623" s="131" t="str">
        <f aca="false">IF($S623="✓","✓",IF(ISNUMBER($S623),TEXT($S623,"yyyy-mm-dd"),IF($A623="","",IF(SUMPRODUCT(('Agences &amp; Après-vente'!$A$2:$A$1000=$A623)*(('Agences &amp; Après-vente'!$D$2:$D$1000="Après-vente")+('Agences &amp; Après-vente'!$D$2:$D$1000="Agences et Après-vente"))*('Agences &amp; Après-vente'!$I$2:$I$1000="DONE"))&gt;0,"✓",IF(SUMPRODUCT(MAX(('Agences &amp; Après-vente'!$A$2:$A$1000=$A623)*(('Agences &amp; Après-vente'!$D$2:$D$1000="Après-vente")+('Agences &amp; Après-vente'!$D$2:$D$1000="Agences et Après-vente"))*'Agences &amp; Après-vente'!$E$2:$E$1000))&gt;0,TEXT(SUMPRODUCT(MAX(('Agences &amp; Après-vente'!$A$2:$A$1000=$A623)*(('Agences &amp; Après-vente'!$D$2:$D$1000="Après-vente")+('Agences &amp; Après-vente'!$D$2:$D$1000="Agences et Après-vente"))*'Agences &amp; Après-vente'!$E$2:$E$1000)),"yyyy-mm-dd"),"")))))</f>
        <v/>
      </c>
      <c r="J623" s="131" t="str">
        <f aca="false">IF($T623="✓","✓",IF(ISNUMBER($T623),TEXT($T623,"yyyy-mm-dd"),IF($A623="","",IF($D623="Lisbonne","",IF(SUMPRODUCT(('Agences &amp; Après-vente'!$A$2:$A$1000=$A623)*(('Agences &amp; Après-vente'!$D$2:$D$1000="Après-vente")+('Agences &amp; Après-vente'!$D$2:$D$1000="Agences et Après-vente"))*('Agences &amp; Après-vente'!$I$2:$I$1000="DONE"))&gt;0,"✓",IF(SUMPRODUCT(MAX(('Agences &amp; Après-vente'!$A$2:$A$1000=$A623)*(('Agences &amp; Après-vente'!$D$2:$D$1000="Après-vente")+('Agences &amp; Après-vente'!$D$2:$D$1000="Agences et Après-vente"))*'Agences &amp; Après-vente'!$E$2:$E$1000))&gt;0,TEXT(SUMPRODUCT(MAX(('Agences &amp; Après-vente'!$A$2:$A$1000=$A623)*(('Agences &amp; Après-vente'!$D$2:$D$1000="Après-vente")+('Agences &amp; Après-vente'!$D$2:$D$1000="Agences et Après-vente"))*'Agences &amp; Après-vente'!$E$2:$E$1000)),"yyyy-mm-dd"),""))))))</f>
        <v/>
      </c>
      <c r="K623" s="131" t="str">
        <f aca="false">IF($U623="✓","✓",IF(ISNUMBER($U623),TEXT($U623,"yyyy-mm-dd"),IF($D623="Lisbonne","",IF($A623="","",IF(SUMPRODUCT((Evermont!$A$2:$A$1000=$A623)*(Evermont!$Q$2:$Q$1000="Terminé"))&gt;0,"✓",IF(SUMPRODUCT(MAX((Evermont!$A$2:$A$1000=$A623)*Evermont!$F$2:$F$1000))&gt;0,TEXT(SUMPRODUCT(MAX((Evermont!$A$2:$A$1000=$A623)*Evermont!$F$2:$F$1000)),"yyyy-mm-dd"),""))))))</f>
        <v/>
      </c>
      <c r="L623" s="131" t="str">
        <f aca="false">IF($A623="","",COUNTIF(E623:K623,"✓"))</f>
        <v/>
      </c>
      <c r="M623" s="131" t="str">
        <f aca="false">IF(B623="","","Active")</f>
        <v/>
      </c>
      <c r="W623" s="120" t="str">
        <f aca="false">IF($A623="","",IF($X623&lt;&gt;"",$X623,IFERROR(INDEX('Formation Initiale'!$B$2:$B$999,MATCH($A623,'Formation Initiale'!$A$2:$A$999,0)),"Général")))</f>
        <v/>
      </c>
    </row>
    <row r="624" customFormat="false" ht="15" hidden="true" customHeight="true" outlineLevel="0" collapsed="false">
      <c r="A624" s="142" t="str">
        <f aca="false">IF(B624="","","TR"&amp;TEXT(ROW()-1,"000"))</f>
        <v/>
      </c>
      <c r="E624" s="130" t="str">
        <f aca="false">IF($O624="✓","✓",IF(ISNUMBER($O624),TEXT($O624,"yyyy-mm-dd"),IF($A624="","",IF(SUMPRODUCT(('Formation Initiale'!$A$2:$A$999=$A624)*('Formation Initiale'!$R$2:$R$999="Terminé"))&gt;0,"✓",IF(SUMPRODUCT(MAX(('Formation Initiale'!$A$2:$A$999=$A624)*'Formation Initiale'!$G$2:$G$999))&gt;0,TEXT(SUMPRODUCT(MAX(('Formation Initiale'!$A$2:$A$999=$A624)*'Formation Initiale'!$G$2:$G$999)),"yyyy-mm-dd"),"")))))</f>
        <v/>
      </c>
      <c r="F624" s="131" t="str">
        <f aca="false">IF($P624="✓","✓",IF(ISNUMBER($P624),TEXT($P624,"yyyy-mm-dd"),IF($A624="","",IF($D624="Lisbonne","",IF(SUMPRODUCT(('Formation Initiale'!$A$2:$A$999=$A624)*('Formation Initiale'!$R$2:$R$999="Terminé"))&gt;0,"✓",IF(SUMPRODUCT(MAX(('Formation Initiale'!$A$2:$A$999=$A624)*'Formation Initiale'!$G$2:$G$999))&gt;0,TEXT(SUMPRODUCT(MAX(('Formation Initiale'!$A$2:$A$999=$A624)*'Formation Initiale'!$G$2:$G$999)),"yyyy-mm-dd"),""))))))</f>
        <v/>
      </c>
      <c r="G624" s="131" t="str">
        <f aca="false">IF($Q624="✓","✓",IF(ISNUMBER($Q624),TEXT($Q624,"yyyy-mm-dd"),IF($A624="","",IF(SUMPRODUCT(('Agences &amp; Après-vente'!$A$2:$A$1000=$A624)*(('Agences &amp; Après-vente'!$D$2:$D$1000="Agences")+('Agences &amp; Après-vente'!$D$2:$D$1000="Agences et Après-vente"))*('Agences &amp; Après-vente'!$I$2:$I$1000="DONE"))&gt;0,"✓",IF(SUMPRODUCT(MAX(('Agences &amp; Après-vente'!$A$2:$A$1000=$A624)*(('Agences &amp; Après-vente'!$D$2:$D$1000="Agences")+('Agences &amp; Après-vente'!$D$2:$D$1000="Agences et Après-vente"))*'Agences &amp; Après-vente'!$E$2:$E$1000))&gt;0,TEXT(SUMPRODUCT(MAX(('Agences &amp; Après-vente'!$A$2:$A$1000=$A624)*(('Agences &amp; Après-vente'!$D$2:$D$1000="Agences")+('Agences &amp; Après-vente'!$D$2:$D$1000="Agences et Après-vente"))*'Agences &amp; Après-vente'!$E$2:$E$1000)),"yyyy-mm-dd"),"")))))</f>
        <v/>
      </c>
      <c r="H624" s="131" t="str">
        <f aca="false">IF($R624="✓","✓",IF(ISNUMBER($R624),TEXT($R624,"yyyy-mm-dd"),IF($A624="","",IF($D624="Lisbonne","",IF(SUMPRODUCT(('Agences &amp; Après-vente'!$A$2:$A$1000=$A624)*(('Agences &amp; Après-vente'!$D$2:$D$1000="Agences")+('Agences &amp; Après-vente'!$D$2:$D$1000="Agences et Après-vente"))*('Agences &amp; Après-vente'!$I$2:$I$1000="DONE"))&gt;0,"✓",IF(SUMPRODUCT(MAX(('Agences &amp; Après-vente'!$A$2:$A$1000=$A624)*(('Agences &amp; Après-vente'!$D$2:$D$1000="Agences")+('Agences &amp; Après-vente'!$D$2:$D$1000="Agences et Après-vente"))*'Agences &amp; Après-vente'!$E$2:$E$1000))&gt;0,TEXT(SUMPRODUCT(MAX(('Agences &amp; Après-vente'!$A$2:$A$1000=$A624)*(('Agences &amp; Après-vente'!$D$2:$D$1000="Agences")+('Agences &amp; Après-vente'!$D$2:$D$1000="Agences et Après-vente"))*'Agences &amp; Après-vente'!$E$2:$E$1000)),"yyyy-mm-dd"),""))))))</f>
        <v/>
      </c>
      <c r="I624" s="131" t="str">
        <f aca="false">IF($S624="✓","✓",IF(ISNUMBER($S624),TEXT($S624,"yyyy-mm-dd"),IF($A624="","",IF(SUMPRODUCT(('Agences &amp; Après-vente'!$A$2:$A$1000=$A624)*(('Agences &amp; Après-vente'!$D$2:$D$1000="Après-vente")+('Agences &amp; Après-vente'!$D$2:$D$1000="Agences et Après-vente"))*('Agences &amp; Après-vente'!$I$2:$I$1000="DONE"))&gt;0,"✓",IF(SUMPRODUCT(MAX(('Agences &amp; Après-vente'!$A$2:$A$1000=$A624)*(('Agences &amp; Après-vente'!$D$2:$D$1000="Après-vente")+('Agences &amp; Après-vente'!$D$2:$D$1000="Agences et Après-vente"))*'Agences &amp; Après-vente'!$E$2:$E$1000))&gt;0,TEXT(SUMPRODUCT(MAX(('Agences &amp; Après-vente'!$A$2:$A$1000=$A624)*(('Agences &amp; Après-vente'!$D$2:$D$1000="Après-vente")+('Agences &amp; Après-vente'!$D$2:$D$1000="Agences et Après-vente"))*'Agences &amp; Après-vente'!$E$2:$E$1000)),"yyyy-mm-dd"),"")))))</f>
        <v/>
      </c>
      <c r="J624" s="131" t="str">
        <f aca="false">IF($T624="✓","✓",IF(ISNUMBER($T624),TEXT($T624,"yyyy-mm-dd"),IF($A624="","",IF($D624="Lisbonne","",IF(SUMPRODUCT(('Agences &amp; Après-vente'!$A$2:$A$1000=$A624)*(('Agences &amp; Après-vente'!$D$2:$D$1000="Après-vente")+('Agences &amp; Après-vente'!$D$2:$D$1000="Agences et Après-vente"))*('Agences &amp; Après-vente'!$I$2:$I$1000="DONE"))&gt;0,"✓",IF(SUMPRODUCT(MAX(('Agences &amp; Après-vente'!$A$2:$A$1000=$A624)*(('Agences &amp; Après-vente'!$D$2:$D$1000="Après-vente")+('Agences &amp; Après-vente'!$D$2:$D$1000="Agences et Après-vente"))*'Agences &amp; Après-vente'!$E$2:$E$1000))&gt;0,TEXT(SUMPRODUCT(MAX(('Agences &amp; Après-vente'!$A$2:$A$1000=$A624)*(('Agences &amp; Après-vente'!$D$2:$D$1000="Après-vente")+('Agences &amp; Après-vente'!$D$2:$D$1000="Agences et Après-vente"))*'Agences &amp; Après-vente'!$E$2:$E$1000)),"yyyy-mm-dd"),""))))))</f>
        <v/>
      </c>
      <c r="K624" s="131" t="str">
        <f aca="false">IF($U624="✓","✓",IF(ISNUMBER($U624),TEXT($U624,"yyyy-mm-dd"),IF($D624="Lisbonne","",IF($A624="","",IF(SUMPRODUCT((Evermont!$A$2:$A$1000=$A624)*(Evermont!$Q$2:$Q$1000="Terminé"))&gt;0,"✓",IF(SUMPRODUCT(MAX((Evermont!$A$2:$A$1000=$A624)*Evermont!$F$2:$F$1000))&gt;0,TEXT(SUMPRODUCT(MAX((Evermont!$A$2:$A$1000=$A624)*Evermont!$F$2:$F$1000)),"yyyy-mm-dd"),""))))))</f>
        <v/>
      </c>
      <c r="L624" s="131" t="str">
        <f aca="false">IF($A624="","",COUNTIF(E624:K624,"✓"))</f>
        <v/>
      </c>
      <c r="M624" s="131" t="str">
        <f aca="false">IF(B624="","","Active")</f>
        <v/>
      </c>
      <c r="W624" s="120" t="str">
        <f aca="false">IF($A624="","",IF($X624&lt;&gt;"",$X624,IFERROR(INDEX('Formation Initiale'!$B$2:$B$999,MATCH($A624,'Formation Initiale'!$A$2:$A$999,0)),"Général")))</f>
        <v/>
      </c>
    </row>
    <row r="625" customFormat="false" ht="15" hidden="true" customHeight="true" outlineLevel="0" collapsed="false">
      <c r="A625" s="142" t="str">
        <f aca="false">IF(B625="","","TR"&amp;TEXT(ROW()-1,"000"))</f>
        <v/>
      </c>
      <c r="E625" s="130" t="str">
        <f aca="false">IF($O625="✓","✓",IF(ISNUMBER($O625),TEXT($O625,"yyyy-mm-dd"),IF($A625="","",IF(SUMPRODUCT(('Formation Initiale'!$A$2:$A$999=$A625)*('Formation Initiale'!$R$2:$R$999="Terminé"))&gt;0,"✓",IF(SUMPRODUCT(MAX(('Formation Initiale'!$A$2:$A$999=$A625)*'Formation Initiale'!$G$2:$G$999))&gt;0,TEXT(SUMPRODUCT(MAX(('Formation Initiale'!$A$2:$A$999=$A625)*'Formation Initiale'!$G$2:$G$999)),"yyyy-mm-dd"),"")))))</f>
        <v/>
      </c>
      <c r="F625" s="131" t="str">
        <f aca="false">IF($P625="✓","✓",IF(ISNUMBER($P625),TEXT($P625,"yyyy-mm-dd"),IF($A625="","",IF($D625="Lisbonne","",IF(SUMPRODUCT(('Formation Initiale'!$A$2:$A$999=$A625)*('Formation Initiale'!$R$2:$R$999="Terminé"))&gt;0,"✓",IF(SUMPRODUCT(MAX(('Formation Initiale'!$A$2:$A$999=$A625)*'Formation Initiale'!$G$2:$G$999))&gt;0,TEXT(SUMPRODUCT(MAX(('Formation Initiale'!$A$2:$A$999=$A625)*'Formation Initiale'!$G$2:$G$999)),"yyyy-mm-dd"),""))))))</f>
        <v/>
      </c>
      <c r="G625" s="131" t="str">
        <f aca="false">IF($Q625="✓","✓",IF(ISNUMBER($Q625),TEXT($Q625,"yyyy-mm-dd"),IF($A625="","",IF(SUMPRODUCT(('Agences &amp; Après-vente'!$A$2:$A$1000=$A625)*(('Agences &amp; Après-vente'!$D$2:$D$1000="Agences")+('Agences &amp; Après-vente'!$D$2:$D$1000="Agences et Après-vente"))*('Agences &amp; Après-vente'!$I$2:$I$1000="DONE"))&gt;0,"✓",IF(SUMPRODUCT(MAX(('Agences &amp; Après-vente'!$A$2:$A$1000=$A625)*(('Agences &amp; Après-vente'!$D$2:$D$1000="Agences")+('Agences &amp; Après-vente'!$D$2:$D$1000="Agences et Après-vente"))*'Agences &amp; Après-vente'!$E$2:$E$1000))&gt;0,TEXT(SUMPRODUCT(MAX(('Agences &amp; Après-vente'!$A$2:$A$1000=$A625)*(('Agences &amp; Après-vente'!$D$2:$D$1000="Agences")+('Agences &amp; Après-vente'!$D$2:$D$1000="Agences et Après-vente"))*'Agences &amp; Après-vente'!$E$2:$E$1000)),"yyyy-mm-dd"),"")))))</f>
        <v/>
      </c>
      <c r="H625" s="131" t="str">
        <f aca="false">IF($R625="✓","✓",IF(ISNUMBER($R625),TEXT($R625,"yyyy-mm-dd"),IF($A625="","",IF($D625="Lisbonne","",IF(SUMPRODUCT(('Agences &amp; Après-vente'!$A$2:$A$1000=$A625)*(('Agences &amp; Après-vente'!$D$2:$D$1000="Agences")+('Agences &amp; Après-vente'!$D$2:$D$1000="Agences et Après-vente"))*('Agences &amp; Après-vente'!$I$2:$I$1000="DONE"))&gt;0,"✓",IF(SUMPRODUCT(MAX(('Agences &amp; Après-vente'!$A$2:$A$1000=$A625)*(('Agences &amp; Après-vente'!$D$2:$D$1000="Agences")+('Agences &amp; Après-vente'!$D$2:$D$1000="Agences et Après-vente"))*'Agences &amp; Après-vente'!$E$2:$E$1000))&gt;0,TEXT(SUMPRODUCT(MAX(('Agences &amp; Après-vente'!$A$2:$A$1000=$A625)*(('Agences &amp; Après-vente'!$D$2:$D$1000="Agences")+('Agences &amp; Après-vente'!$D$2:$D$1000="Agences et Après-vente"))*'Agences &amp; Après-vente'!$E$2:$E$1000)),"yyyy-mm-dd"),""))))))</f>
        <v/>
      </c>
      <c r="I625" s="131" t="str">
        <f aca="false">IF($S625="✓","✓",IF(ISNUMBER($S625),TEXT($S625,"yyyy-mm-dd"),IF($A625="","",IF(SUMPRODUCT(('Agences &amp; Après-vente'!$A$2:$A$1000=$A625)*(('Agences &amp; Après-vente'!$D$2:$D$1000="Après-vente")+('Agences &amp; Après-vente'!$D$2:$D$1000="Agences et Après-vente"))*('Agences &amp; Après-vente'!$I$2:$I$1000="DONE"))&gt;0,"✓",IF(SUMPRODUCT(MAX(('Agences &amp; Après-vente'!$A$2:$A$1000=$A625)*(('Agences &amp; Après-vente'!$D$2:$D$1000="Après-vente")+('Agences &amp; Après-vente'!$D$2:$D$1000="Agences et Après-vente"))*'Agences &amp; Après-vente'!$E$2:$E$1000))&gt;0,TEXT(SUMPRODUCT(MAX(('Agences &amp; Après-vente'!$A$2:$A$1000=$A625)*(('Agences &amp; Après-vente'!$D$2:$D$1000="Après-vente")+('Agences &amp; Après-vente'!$D$2:$D$1000="Agences et Après-vente"))*'Agences &amp; Après-vente'!$E$2:$E$1000)),"yyyy-mm-dd"),"")))))</f>
        <v/>
      </c>
      <c r="J625" s="131" t="str">
        <f aca="false">IF($T625="✓","✓",IF(ISNUMBER($T625),TEXT($T625,"yyyy-mm-dd"),IF($A625="","",IF($D625="Lisbonne","",IF(SUMPRODUCT(('Agences &amp; Après-vente'!$A$2:$A$1000=$A625)*(('Agences &amp; Après-vente'!$D$2:$D$1000="Après-vente")+('Agences &amp; Après-vente'!$D$2:$D$1000="Agences et Après-vente"))*('Agences &amp; Après-vente'!$I$2:$I$1000="DONE"))&gt;0,"✓",IF(SUMPRODUCT(MAX(('Agences &amp; Après-vente'!$A$2:$A$1000=$A625)*(('Agences &amp; Après-vente'!$D$2:$D$1000="Après-vente")+('Agences &amp; Après-vente'!$D$2:$D$1000="Agences et Après-vente"))*'Agences &amp; Après-vente'!$E$2:$E$1000))&gt;0,TEXT(SUMPRODUCT(MAX(('Agences &amp; Après-vente'!$A$2:$A$1000=$A625)*(('Agences &amp; Après-vente'!$D$2:$D$1000="Après-vente")+('Agences &amp; Après-vente'!$D$2:$D$1000="Agences et Après-vente"))*'Agences &amp; Après-vente'!$E$2:$E$1000)),"yyyy-mm-dd"),""))))))</f>
        <v/>
      </c>
      <c r="K625" s="131" t="str">
        <f aca="false">IF($U625="✓","✓",IF(ISNUMBER($U625),TEXT($U625,"yyyy-mm-dd"),IF($D625="Lisbonne","",IF($A625="","",IF(SUMPRODUCT((Evermont!$A$2:$A$1000=$A625)*(Evermont!$Q$2:$Q$1000="Terminé"))&gt;0,"✓",IF(SUMPRODUCT(MAX((Evermont!$A$2:$A$1000=$A625)*Evermont!$F$2:$F$1000))&gt;0,TEXT(SUMPRODUCT(MAX((Evermont!$A$2:$A$1000=$A625)*Evermont!$F$2:$F$1000)),"yyyy-mm-dd"),""))))))</f>
        <v/>
      </c>
      <c r="L625" s="131" t="str">
        <f aca="false">IF($A625="","",COUNTIF(E625:K625,"✓"))</f>
        <v/>
      </c>
      <c r="M625" s="131" t="str">
        <f aca="false">IF(B625="","","Active")</f>
        <v/>
      </c>
      <c r="W625" s="120" t="str">
        <f aca="false">IF($A625="","",IF($X625&lt;&gt;"",$X625,IFERROR(INDEX('Formation Initiale'!$B$2:$B$999,MATCH($A625,'Formation Initiale'!$A$2:$A$999,0)),"Général")))</f>
        <v/>
      </c>
    </row>
    <row r="626" customFormat="false" ht="15" hidden="true" customHeight="true" outlineLevel="0" collapsed="false">
      <c r="A626" s="142" t="str">
        <f aca="false">IF(B626="","","TR"&amp;TEXT(ROW()-1,"000"))</f>
        <v/>
      </c>
      <c r="E626" s="130" t="str">
        <f aca="false">IF($O626="✓","✓",IF(ISNUMBER($O626),TEXT($O626,"yyyy-mm-dd"),IF($A626="","",IF(SUMPRODUCT(('Formation Initiale'!$A$2:$A$999=$A626)*('Formation Initiale'!$R$2:$R$999="Terminé"))&gt;0,"✓",IF(SUMPRODUCT(MAX(('Formation Initiale'!$A$2:$A$999=$A626)*'Formation Initiale'!$G$2:$G$999))&gt;0,TEXT(SUMPRODUCT(MAX(('Formation Initiale'!$A$2:$A$999=$A626)*'Formation Initiale'!$G$2:$G$999)),"yyyy-mm-dd"),"")))))</f>
        <v/>
      </c>
      <c r="F626" s="131" t="str">
        <f aca="false">IF($P626="✓","✓",IF(ISNUMBER($P626),TEXT($P626,"yyyy-mm-dd"),IF($A626="","",IF($D626="Lisbonne","",IF(SUMPRODUCT(('Formation Initiale'!$A$2:$A$999=$A626)*('Formation Initiale'!$R$2:$R$999="Terminé"))&gt;0,"✓",IF(SUMPRODUCT(MAX(('Formation Initiale'!$A$2:$A$999=$A626)*'Formation Initiale'!$G$2:$G$999))&gt;0,TEXT(SUMPRODUCT(MAX(('Formation Initiale'!$A$2:$A$999=$A626)*'Formation Initiale'!$G$2:$G$999)),"yyyy-mm-dd"),""))))))</f>
        <v/>
      </c>
      <c r="G626" s="131" t="str">
        <f aca="false">IF($Q626="✓","✓",IF(ISNUMBER($Q626),TEXT($Q626,"yyyy-mm-dd"),IF($A626="","",IF(SUMPRODUCT(('Agences &amp; Après-vente'!$A$2:$A$1000=$A626)*(('Agences &amp; Après-vente'!$D$2:$D$1000="Agences")+('Agences &amp; Après-vente'!$D$2:$D$1000="Agences et Après-vente"))*('Agences &amp; Après-vente'!$I$2:$I$1000="DONE"))&gt;0,"✓",IF(SUMPRODUCT(MAX(('Agences &amp; Après-vente'!$A$2:$A$1000=$A626)*(('Agences &amp; Après-vente'!$D$2:$D$1000="Agences")+('Agences &amp; Après-vente'!$D$2:$D$1000="Agences et Après-vente"))*'Agences &amp; Après-vente'!$E$2:$E$1000))&gt;0,TEXT(SUMPRODUCT(MAX(('Agences &amp; Après-vente'!$A$2:$A$1000=$A626)*(('Agences &amp; Après-vente'!$D$2:$D$1000="Agences")+('Agences &amp; Après-vente'!$D$2:$D$1000="Agences et Après-vente"))*'Agences &amp; Après-vente'!$E$2:$E$1000)),"yyyy-mm-dd"),"")))))</f>
        <v/>
      </c>
      <c r="H626" s="131" t="str">
        <f aca="false">IF($R626="✓","✓",IF(ISNUMBER($R626),TEXT($R626,"yyyy-mm-dd"),IF($A626="","",IF($D626="Lisbonne","",IF(SUMPRODUCT(('Agences &amp; Après-vente'!$A$2:$A$1000=$A626)*(('Agences &amp; Après-vente'!$D$2:$D$1000="Agences")+('Agences &amp; Après-vente'!$D$2:$D$1000="Agences et Après-vente"))*('Agences &amp; Après-vente'!$I$2:$I$1000="DONE"))&gt;0,"✓",IF(SUMPRODUCT(MAX(('Agences &amp; Après-vente'!$A$2:$A$1000=$A626)*(('Agences &amp; Après-vente'!$D$2:$D$1000="Agences")+('Agences &amp; Après-vente'!$D$2:$D$1000="Agences et Après-vente"))*'Agences &amp; Après-vente'!$E$2:$E$1000))&gt;0,TEXT(SUMPRODUCT(MAX(('Agences &amp; Après-vente'!$A$2:$A$1000=$A626)*(('Agences &amp; Après-vente'!$D$2:$D$1000="Agences")+('Agences &amp; Après-vente'!$D$2:$D$1000="Agences et Après-vente"))*'Agences &amp; Après-vente'!$E$2:$E$1000)),"yyyy-mm-dd"),""))))))</f>
        <v/>
      </c>
      <c r="I626" s="131" t="str">
        <f aca="false">IF($S626="✓","✓",IF(ISNUMBER($S626),TEXT($S626,"yyyy-mm-dd"),IF($A626="","",IF(SUMPRODUCT(('Agences &amp; Après-vente'!$A$2:$A$1000=$A626)*(('Agences &amp; Après-vente'!$D$2:$D$1000="Après-vente")+('Agences &amp; Après-vente'!$D$2:$D$1000="Agences et Après-vente"))*('Agences &amp; Après-vente'!$I$2:$I$1000="DONE"))&gt;0,"✓",IF(SUMPRODUCT(MAX(('Agences &amp; Après-vente'!$A$2:$A$1000=$A626)*(('Agences &amp; Après-vente'!$D$2:$D$1000="Après-vente")+('Agences &amp; Après-vente'!$D$2:$D$1000="Agences et Après-vente"))*'Agences &amp; Après-vente'!$E$2:$E$1000))&gt;0,TEXT(SUMPRODUCT(MAX(('Agences &amp; Après-vente'!$A$2:$A$1000=$A626)*(('Agences &amp; Après-vente'!$D$2:$D$1000="Après-vente")+('Agences &amp; Après-vente'!$D$2:$D$1000="Agences et Après-vente"))*'Agences &amp; Après-vente'!$E$2:$E$1000)),"yyyy-mm-dd"),"")))))</f>
        <v/>
      </c>
      <c r="J626" s="131" t="str">
        <f aca="false">IF($T626="✓","✓",IF(ISNUMBER($T626),TEXT($T626,"yyyy-mm-dd"),IF($A626="","",IF($D626="Lisbonne","",IF(SUMPRODUCT(('Agences &amp; Après-vente'!$A$2:$A$1000=$A626)*(('Agences &amp; Après-vente'!$D$2:$D$1000="Après-vente")+('Agences &amp; Après-vente'!$D$2:$D$1000="Agences et Après-vente"))*('Agences &amp; Après-vente'!$I$2:$I$1000="DONE"))&gt;0,"✓",IF(SUMPRODUCT(MAX(('Agences &amp; Après-vente'!$A$2:$A$1000=$A626)*(('Agences &amp; Après-vente'!$D$2:$D$1000="Après-vente")+('Agences &amp; Après-vente'!$D$2:$D$1000="Agences et Après-vente"))*'Agences &amp; Après-vente'!$E$2:$E$1000))&gt;0,TEXT(SUMPRODUCT(MAX(('Agences &amp; Après-vente'!$A$2:$A$1000=$A626)*(('Agences &amp; Après-vente'!$D$2:$D$1000="Après-vente")+('Agences &amp; Après-vente'!$D$2:$D$1000="Agences et Après-vente"))*'Agences &amp; Après-vente'!$E$2:$E$1000)),"yyyy-mm-dd"),""))))))</f>
        <v/>
      </c>
      <c r="K626" s="131" t="str">
        <f aca="false">IF($U626="✓","✓",IF(ISNUMBER($U626),TEXT($U626,"yyyy-mm-dd"),IF($D626="Lisbonne","",IF($A626="","",IF(SUMPRODUCT((Evermont!$A$2:$A$1000=$A626)*(Evermont!$Q$2:$Q$1000="Terminé"))&gt;0,"✓",IF(SUMPRODUCT(MAX((Evermont!$A$2:$A$1000=$A626)*Evermont!$F$2:$F$1000))&gt;0,TEXT(SUMPRODUCT(MAX((Evermont!$A$2:$A$1000=$A626)*Evermont!$F$2:$F$1000)),"yyyy-mm-dd"),""))))))</f>
        <v/>
      </c>
      <c r="L626" s="131" t="str">
        <f aca="false">IF($A626="","",COUNTIF(E626:K626,"✓"))</f>
        <v/>
      </c>
      <c r="M626" s="131" t="str">
        <f aca="false">IF(B626="","","Active")</f>
        <v/>
      </c>
      <c r="W626" s="120" t="str">
        <f aca="false">IF($A626="","",IF($X626&lt;&gt;"",$X626,IFERROR(INDEX('Formation Initiale'!$B$2:$B$999,MATCH($A626,'Formation Initiale'!$A$2:$A$999,0)),"Général")))</f>
        <v/>
      </c>
    </row>
    <row r="627" customFormat="false" ht="15" hidden="true" customHeight="true" outlineLevel="0" collapsed="false">
      <c r="A627" s="142" t="str">
        <f aca="false">IF(B627="","","TR"&amp;TEXT(ROW()-1,"000"))</f>
        <v/>
      </c>
      <c r="E627" s="130" t="str">
        <f aca="false">IF($O627="✓","✓",IF(ISNUMBER($O627),TEXT($O627,"yyyy-mm-dd"),IF($A627="","",IF(SUMPRODUCT(('Formation Initiale'!$A$2:$A$999=$A627)*('Formation Initiale'!$R$2:$R$999="Terminé"))&gt;0,"✓",IF(SUMPRODUCT(MAX(('Formation Initiale'!$A$2:$A$999=$A627)*'Formation Initiale'!$G$2:$G$999))&gt;0,TEXT(SUMPRODUCT(MAX(('Formation Initiale'!$A$2:$A$999=$A627)*'Formation Initiale'!$G$2:$G$999)),"yyyy-mm-dd"),"")))))</f>
        <v/>
      </c>
      <c r="F627" s="131" t="str">
        <f aca="false">IF($P627="✓","✓",IF(ISNUMBER($P627),TEXT($P627,"yyyy-mm-dd"),IF($A627="","",IF($D627="Lisbonne","",IF(SUMPRODUCT(('Formation Initiale'!$A$2:$A$999=$A627)*('Formation Initiale'!$R$2:$R$999="Terminé"))&gt;0,"✓",IF(SUMPRODUCT(MAX(('Formation Initiale'!$A$2:$A$999=$A627)*'Formation Initiale'!$G$2:$G$999))&gt;0,TEXT(SUMPRODUCT(MAX(('Formation Initiale'!$A$2:$A$999=$A627)*'Formation Initiale'!$G$2:$G$999)),"yyyy-mm-dd"),""))))))</f>
        <v/>
      </c>
      <c r="G627" s="131" t="str">
        <f aca="false">IF($Q627="✓","✓",IF(ISNUMBER($Q627),TEXT($Q627,"yyyy-mm-dd"),IF($A627="","",IF(SUMPRODUCT(('Agences &amp; Après-vente'!$A$2:$A$1000=$A627)*(('Agences &amp; Après-vente'!$D$2:$D$1000="Agences")+('Agences &amp; Après-vente'!$D$2:$D$1000="Agences et Après-vente"))*('Agences &amp; Après-vente'!$I$2:$I$1000="DONE"))&gt;0,"✓",IF(SUMPRODUCT(MAX(('Agences &amp; Après-vente'!$A$2:$A$1000=$A627)*(('Agences &amp; Après-vente'!$D$2:$D$1000="Agences")+('Agences &amp; Après-vente'!$D$2:$D$1000="Agences et Après-vente"))*'Agences &amp; Après-vente'!$E$2:$E$1000))&gt;0,TEXT(SUMPRODUCT(MAX(('Agences &amp; Après-vente'!$A$2:$A$1000=$A627)*(('Agences &amp; Après-vente'!$D$2:$D$1000="Agences")+('Agences &amp; Après-vente'!$D$2:$D$1000="Agences et Après-vente"))*'Agences &amp; Après-vente'!$E$2:$E$1000)),"yyyy-mm-dd"),"")))))</f>
        <v/>
      </c>
      <c r="H627" s="131" t="str">
        <f aca="false">IF($R627="✓","✓",IF(ISNUMBER($R627),TEXT($R627,"yyyy-mm-dd"),IF($A627="","",IF($D627="Lisbonne","",IF(SUMPRODUCT(('Agences &amp; Après-vente'!$A$2:$A$1000=$A627)*(('Agences &amp; Après-vente'!$D$2:$D$1000="Agences")+('Agences &amp; Après-vente'!$D$2:$D$1000="Agences et Après-vente"))*('Agences &amp; Après-vente'!$I$2:$I$1000="DONE"))&gt;0,"✓",IF(SUMPRODUCT(MAX(('Agences &amp; Après-vente'!$A$2:$A$1000=$A627)*(('Agences &amp; Après-vente'!$D$2:$D$1000="Agences")+('Agences &amp; Après-vente'!$D$2:$D$1000="Agences et Après-vente"))*'Agences &amp; Après-vente'!$E$2:$E$1000))&gt;0,TEXT(SUMPRODUCT(MAX(('Agences &amp; Après-vente'!$A$2:$A$1000=$A627)*(('Agences &amp; Après-vente'!$D$2:$D$1000="Agences")+('Agences &amp; Après-vente'!$D$2:$D$1000="Agences et Après-vente"))*'Agences &amp; Après-vente'!$E$2:$E$1000)),"yyyy-mm-dd"),""))))))</f>
        <v/>
      </c>
      <c r="I627" s="131" t="str">
        <f aca="false">IF($S627="✓","✓",IF(ISNUMBER($S627),TEXT($S627,"yyyy-mm-dd"),IF($A627="","",IF(SUMPRODUCT(('Agences &amp; Après-vente'!$A$2:$A$1000=$A627)*(('Agences &amp; Après-vente'!$D$2:$D$1000="Après-vente")+('Agences &amp; Après-vente'!$D$2:$D$1000="Agences et Après-vente"))*('Agences &amp; Après-vente'!$I$2:$I$1000="DONE"))&gt;0,"✓",IF(SUMPRODUCT(MAX(('Agences &amp; Après-vente'!$A$2:$A$1000=$A627)*(('Agences &amp; Après-vente'!$D$2:$D$1000="Après-vente")+('Agences &amp; Après-vente'!$D$2:$D$1000="Agences et Après-vente"))*'Agences &amp; Après-vente'!$E$2:$E$1000))&gt;0,TEXT(SUMPRODUCT(MAX(('Agences &amp; Après-vente'!$A$2:$A$1000=$A627)*(('Agences &amp; Après-vente'!$D$2:$D$1000="Après-vente")+('Agences &amp; Après-vente'!$D$2:$D$1000="Agences et Après-vente"))*'Agences &amp; Après-vente'!$E$2:$E$1000)),"yyyy-mm-dd"),"")))))</f>
        <v/>
      </c>
      <c r="J627" s="131" t="str">
        <f aca="false">IF($T627="✓","✓",IF(ISNUMBER($T627),TEXT($T627,"yyyy-mm-dd"),IF($A627="","",IF($D627="Lisbonne","",IF(SUMPRODUCT(('Agences &amp; Après-vente'!$A$2:$A$1000=$A627)*(('Agences &amp; Après-vente'!$D$2:$D$1000="Après-vente")+('Agences &amp; Après-vente'!$D$2:$D$1000="Agences et Après-vente"))*('Agences &amp; Après-vente'!$I$2:$I$1000="DONE"))&gt;0,"✓",IF(SUMPRODUCT(MAX(('Agences &amp; Après-vente'!$A$2:$A$1000=$A627)*(('Agences &amp; Après-vente'!$D$2:$D$1000="Après-vente")+('Agences &amp; Après-vente'!$D$2:$D$1000="Agences et Après-vente"))*'Agences &amp; Après-vente'!$E$2:$E$1000))&gt;0,TEXT(SUMPRODUCT(MAX(('Agences &amp; Après-vente'!$A$2:$A$1000=$A627)*(('Agences &amp; Après-vente'!$D$2:$D$1000="Après-vente")+('Agences &amp; Après-vente'!$D$2:$D$1000="Agences et Après-vente"))*'Agences &amp; Après-vente'!$E$2:$E$1000)),"yyyy-mm-dd"),""))))))</f>
        <v/>
      </c>
      <c r="K627" s="131" t="str">
        <f aca="false">IF($U627="✓","✓",IF(ISNUMBER($U627),TEXT($U627,"yyyy-mm-dd"),IF($D627="Lisbonne","",IF($A627="","",IF(SUMPRODUCT((Evermont!$A$2:$A$1000=$A627)*(Evermont!$Q$2:$Q$1000="Terminé"))&gt;0,"✓",IF(SUMPRODUCT(MAX((Evermont!$A$2:$A$1000=$A627)*Evermont!$F$2:$F$1000))&gt;0,TEXT(SUMPRODUCT(MAX((Evermont!$A$2:$A$1000=$A627)*Evermont!$F$2:$F$1000)),"yyyy-mm-dd"),""))))))</f>
        <v/>
      </c>
      <c r="L627" s="131" t="str">
        <f aca="false">IF($A627="","",COUNTIF(E627:K627,"✓"))</f>
        <v/>
      </c>
      <c r="M627" s="131" t="str">
        <f aca="false">IF(B627="","","Active")</f>
        <v/>
      </c>
      <c r="W627" s="120" t="str">
        <f aca="false">IF($A627="","",IF($X627&lt;&gt;"",$X627,IFERROR(INDEX('Formation Initiale'!$B$2:$B$999,MATCH($A627,'Formation Initiale'!$A$2:$A$999,0)),"Général")))</f>
        <v/>
      </c>
    </row>
    <row r="628" customFormat="false" ht="15" hidden="true" customHeight="true" outlineLevel="0" collapsed="false">
      <c r="A628" s="142" t="str">
        <f aca="false">IF(B628="","","TR"&amp;TEXT(ROW()-1,"000"))</f>
        <v/>
      </c>
      <c r="E628" s="130" t="str">
        <f aca="false">IF($O628="✓","✓",IF(ISNUMBER($O628),TEXT($O628,"yyyy-mm-dd"),IF($A628="","",IF(SUMPRODUCT(('Formation Initiale'!$A$2:$A$999=$A628)*('Formation Initiale'!$R$2:$R$999="Terminé"))&gt;0,"✓",IF(SUMPRODUCT(MAX(('Formation Initiale'!$A$2:$A$999=$A628)*'Formation Initiale'!$G$2:$G$999))&gt;0,TEXT(SUMPRODUCT(MAX(('Formation Initiale'!$A$2:$A$999=$A628)*'Formation Initiale'!$G$2:$G$999)),"yyyy-mm-dd"),"")))))</f>
        <v/>
      </c>
      <c r="F628" s="131" t="str">
        <f aca="false">IF($P628="✓","✓",IF(ISNUMBER($P628),TEXT($P628,"yyyy-mm-dd"),IF($A628="","",IF($D628="Lisbonne","",IF(SUMPRODUCT(('Formation Initiale'!$A$2:$A$999=$A628)*('Formation Initiale'!$R$2:$R$999="Terminé"))&gt;0,"✓",IF(SUMPRODUCT(MAX(('Formation Initiale'!$A$2:$A$999=$A628)*'Formation Initiale'!$G$2:$G$999))&gt;0,TEXT(SUMPRODUCT(MAX(('Formation Initiale'!$A$2:$A$999=$A628)*'Formation Initiale'!$G$2:$G$999)),"yyyy-mm-dd"),""))))))</f>
        <v/>
      </c>
      <c r="G628" s="131" t="str">
        <f aca="false">IF($Q628="✓","✓",IF(ISNUMBER($Q628),TEXT($Q628,"yyyy-mm-dd"),IF($A628="","",IF(SUMPRODUCT(('Agences &amp; Après-vente'!$A$2:$A$1000=$A628)*(('Agences &amp; Après-vente'!$D$2:$D$1000="Agences")+('Agences &amp; Après-vente'!$D$2:$D$1000="Agences et Après-vente"))*('Agences &amp; Après-vente'!$I$2:$I$1000="DONE"))&gt;0,"✓",IF(SUMPRODUCT(MAX(('Agences &amp; Après-vente'!$A$2:$A$1000=$A628)*(('Agences &amp; Après-vente'!$D$2:$D$1000="Agences")+('Agences &amp; Après-vente'!$D$2:$D$1000="Agences et Après-vente"))*'Agences &amp; Après-vente'!$E$2:$E$1000))&gt;0,TEXT(SUMPRODUCT(MAX(('Agences &amp; Après-vente'!$A$2:$A$1000=$A628)*(('Agences &amp; Après-vente'!$D$2:$D$1000="Agences")+('Agences &amp; Après-vente'!$D$2:$D$1000="Agences et Après-vente"))*'Agences &amp; Après-vente'!$E$2:$E$1000)),"yyyy-mm-dd"),"")))))</f>
        <v/>
      </c>
      <c r="H628" s="131" t="str">
        <f aca="false">IF($R628="✓","✓",IF(ISNUMBER($R628),TEXT($R628,"yyyy-mm-dd"),IF($A628="","",IF($D628="Lisbonne","",IF(SUMPRODUCT(('Agences &amp; Après-vente'!$A$2:$A$1000=$A628)*(('Agences &amp; Après-vente'!$D$2:$D$1000="Agences")+('Agences &amp; Après-vente'!$D$2:$D$1000="Agences et Après-vente"))*('Agences &amp; Après-vente'!$I$2:$I$1000="DONE"))&gt;0,"✓",IF(SUMPRODUCT(MAX(('Agences &amp; Après-vente'!$A$2:$A$1000=$A628)*(('Agences &amp; Après-vente'!$D$2:$D$1000="Agences")+('Agences &amp; Après-vente'!$D$2:$D$1000="Agences et Après-vente"))*'Agences &amp; Après-vente'!$E$2:$E$1000))&gt;0,TEXT(SUMPRODUCT(MAX(('Agences &amp; Après-vente'!$A$2:$A$1000=$A628)*(('Agences &amp; Après-vente'!$D$2:$D$1000="Agences")+('Agences &amp; Après-vente'!$D$2:$D$1000="Agences et Après-vente"))*'Agences &amp; Après-vente'!$E$2:$E$1000)),"yyyy-mm-dd"),""))))))</f>
        <v/>
      </c>
      <c r="I628" s="131" t="str">
        <f aca="false">IF($S628="✓","✓",IF(ISNUMBER($S628),TEXT($S628,"yyyy-mm-dd"),IF($A628="","",IF(SUMPRODUCT(('Agences &amp; Après-vente'!$A$2:$A$1000=$A628)*(('Agences &amp; Après-vente'!$D$2:$D$1000="Après-vente")+('Agences &amp; Après-vente'!$D$2:$D$1000="Agences et Après-vente"))*('Agences &amp; Après-vente'!$I$2:$I$1000="DONE"))&gt;0,"✓",IF(SUMPRODUCT(MAX(('Agences &amp; Après-vente'!$A$2:$A$1000=$A628)*(('Agences &amp; Après-vente'!$D$2:$D$1000="Après-vente")+('Agences &amp; Après-vente'!$D$2:$D$1000="Agences et Après-vente"))*'Agences &amp; Après-vente'!$E$2:$E$1000))&gt;0,TEXT(SUMPRODUCT(MAX(('Agences &amp; Après-vente'!$A$2:$A$1000=$A628)*(('Agences &amp; Après-vente'!$D$2:$D$1000="Après-vente")+('Agences &amp; Après-vente'!$D$2:$D$1000="Agences et Après-vente"))*'Agences &amp; Après-vente'!$E$2:$E$1000)),"yyyy-mm-dd"),"")))))</f>
        <v/>
      </c>
      <c r="J628" s="131" t="str">
        <f aca="false">IF($T628="✓","✓",IF(ISNUMBER($T628),TEXT($T628,"yyyy-mm-dd"),IF($A628="","",IF($D628="Lisbonne","",IF(SUMPRODUCT(('Agences &amp; Après-vente'!$A$2:$A$1000=$A628)*(('Agences &amp; Après-vente'!$D$2:$D$1000="Après-vente")+('Agences &amp; Après-vente'!$D$2:$D$1000="Agences et Après-vente"))*('Agences &amp; Après-vente'!$I$2:$I$1000="DONE"))&gt;0,"✓",IF(SUMPRODUCT(MAX(('Agences &amp; Après-vente'!$A$2:$A$1000=$A628)*(('Agences &amp; Après-vente'!$D$2:$D$1000="Après-vente")+('Agences &amp; Après-vente'!$D$2:$D$1000="Agences et Après-vente"))*'Agences &amp; Après-vente'!$E$2:$E$1000))&gt;0,TEXT(SUMPRODUCT(MAX(('Agences &amp; Après-vente'!$A$2:$A$1000=$A628)*(('Agences &amp; Après-vente'!$D$2:$D$1000="Après-vente")+('Agences &amp; Après-vente'!$D$2:$D$1000="Agences et Après-vente"))*'Agences &amp; Après-vente'!$E$2:$E$1000)),"yyyy-mm-dd"),""))))))</f>
        <v/>
      </c>
      <c r="K628" s="131" t="str">
        <f aca="false">IF($U628="✓","✓",IF(ISNUMBER($U628),TEXT($U628,"yyyy-mm-dd"),IF($D628="Lisbonne","",IF($A628="","",IF(SUMPRODUCT((Evermont!$A$2:$A$1000=$A628)*(Evermont!$Q$2:$Q$1000="Terminé"))&gt;0,"✓",IF(SUMPRODUCT(MAX((Evermont!$A$2:$A$1000=$A628)*Evermont!$F$2:$F$1000))&gt;0,TEXT(SUMPRODUCT(MAX((Evermont!$A$2:$A$1000=$A628)*Evermont!$F$2:$F$1000)),"yyyy-mm-dd"),""))))))</f>
        <v/>
      </c>
      <c r="L628" s="131" t="str">
        <f aca="false">IF($A628="","",COUNTIF(E628:K628,"✓"))</f>
        <v/>
      </c>
      <c r="M628" s="131" t="str">
        <f aca="false">IF(B628="","","Active")</f>
        <v/>
      </c>
      <c r="W628" s="120" t="str">
        <f aca="false">IF($A628="","",IF($X628&lt;&gt;"",$X628,IFERROR(INDEX('Formation Initiale'!$B$2:$B$999,MATCH($A628,'Formation Initiale'!$A$2:$A$999,0)),"Général")))</f>
        <v/>
      </c>
    </row>
    <row r="629" customFormat="false" ht="15" hidden="true" customHeight="true" outlineLevel="0" collapsed="false">
      <c r="A629" s="142" t="str">
        <f aca="false">IF(B629="","","TR"&amp;TEXT(ROW()-1,"000"))</f>
        <v/>
      </c>
      <c r="E629" s="130" t="str">
        <f aca="false">IF($O629="✓","✓",IF(ISNUMBER($O629),TEXT($O629,"yyyy-mm-dd"),IF($A629="","",IF(SUMPRODUCT(('Formation Initiale'!$A$2:$A$999=$A629)*('Formation Initiale'!$R$2:$R$999="Terminé"))&gt;0,"✓",IF(SUMPRODUCT(MAX(('Formation Initiale'!$A$2:$A$999=$A629)*'Formation Initiale'!$G$2:$G$999))&gt;0,TEXT(SUMPRODUCT(MAX(('Formation Initiale'!$A$2:$A$999=$A629)*'Formation Initiale'!$G$2:$G$999)),"yyyy-mm-dd"),"")))))</f>
        <v/>
      </c>
      <c r="F629" s="131" t="str">
        <f aca="false">IF($P629="✓","✓",IF(ISNUMBER($P629),TEXT($P629,"yyyy-mm-dd"),IF($A629="","",IF($D629="Lisbonne","",IF(SUMPRODUCT(('Formation Initiale'!$A$2:$A$999=$A629)*('Formation Initiale'!$R$2:$R$999="Terminé"))&gt;0,"✓",IF(SUMPRODUCT(MAX(('Formation Initiale'!$A$2:$A$999=$A629)*'Formation Initiale'!$G$2:$G$999))&gt;0,TEXT(SUMPRODUCT(MAX(('Formation Initiale'!$A$2:$A$999=$A629)*'Formation Initiale'!$G$2:$G$999)),"yyyy-mm-dd"),""))))))</f>
        <v/>
      </c>
      <c r="G629" s="131" t="str">
        <f aca="false">IF($Q629="✓","✓",IF(ISNUMBER($Q629),TEXT($Q629,"yyyy-mm-dd"),IF($A629="","",IF(SUMPRODUCT(('Agences &amp; Après-vente'!$A$2:$A$1000=$A629)*(('Agences &amp; Après-vente'!$D$2:$D$1000="Agences")+('Agences &amp; Après-vente'!$D$2:$D$1000="Agences et Après-vente"))*('Agences &amp; Après-vente'!$I$2:$I$1000="DONE"))&gt;0,"✓",IF(SUMPRODUCT(MAX(('Agences &amp; Après-vente'!$A$2:$A$1000=$A629)*(('Agences &amp; Après-vente'!$D$2:$D$1000="Agences")+('Agences &amp; Après-vente'!$D$2:$D$1000="Agences et Après-vente"))*'Agences &amp; Après-vente'!$E$2:$E$1000))&gt;0,TEXT(SUMPRODUCT(MAX(('Agences &amp; Après-vente'!$A$2:$A$1000=$A629)*(('Agences &amp; Après-vente'!$D$2:$D$1000="Agences")+('Agences &amp; Après-vente'!$D$2:$D$1000="Agences et Après-vente"))*'Agences &amp; Après-vente'!$E$2:$E$1000)),"yyyy-mm-dd"),"")))))</f>
        <v/>
      </c>
      <c r="H629" s="131" t="str">
        <f aca="false">IF($R629="✓","✓",IF(ISNUMBER($R629),TEXT($R629,"yyyy-mm-dd"),IF($A629="","",IF($D629="Lisbonne","",IF(SUMPRODUCT(('Agences &amp; Après-vente'!$A$2:$A$1000=$A629)*(('Agences &amp; Après-vente'!$D$2:$D$1000="Agences")+('Agences &amp; Après-vente'!$D$2:$D$1000="Agences et Après-vente"))*('Agences &amp; Après-vente'!$I$2:$I$1000="DONE"))&gt;0,"✓",IF(SUMPRODUCT(MAX(('Agences &amp; Après-vente'!$A$2:$A$1000=$A629)*(('Agences &amp; Après-vente'!$D$2:$D$1000="Agences")+('Agences &amp; Après-vente'!$D$2:$D$1000="Agences et Après-vente"))*'Agences &amp; Après-vente'!$E$2:$E$1000))&gt;0,TEXT(SUMPRODUCT(MAX(('Agences &amp; Après-vente'!$A$2:$A$1000=$A629)*(('Agences &amp; Après-vente'!$D$2:$D$1000="Agences")+('Agences &amp; Après-vente'!$D$2:$D$1000="Agences et Après-vente"))*'Agences &amp; Après-vente'!$E$2:$E$1000)),"yyyy-mm-dd"),""))))))</f>
        <v/>
      </c>
      <c r="I629" s="131" t="str">
        <f aca="false">IF($S629="✓","✓",IF(ISNUMBER($S629),TEXT($S629,"yyyy-mm-dd"),IF($A629="","",IF(SUMPRODUCT(('Agences &amp; Après-vente'!$A$2:$A$1000=$A629)*(('Agences &amp; Après-vente'!$D$2:$D$1000="Après-vente")+('Agences &amp; Après-vente'!$D$2:$D$1000="Agences et Après-vente"))*('Agences &amp; Après-vente'!$I$2:$I$1000="DONE"))&gt;0,"✓",IF(SUMPRODUCT(MAX(('Agences &amp; Après-vente'!$A$2:$A$1000=$A629)*(('Agences &amp; Après-vente'!$D$2:$D$1000="Après-vente")+('Agences &amp; Après-vente'!$D$2:$D$1000="Agences et Après-vente"))*'Agences &amp; Après-vente'!$E$2:$E$1000))&gt;0,TEXT(SUMPRODUCT(MAX(('Agences &amp; Après-vente'!$A$2:$A$1000=$A629)*(('Agences &amp; Après-vente'!$D$2:$D$1000="Après-vente")+('Agences &amp; Après-vente'!$D$2:$D$1000="Agences et Après-vente"))*'Agences &amp; Après-vente'!$E$2:$E$1000)),"yyyy-mm-dd"),"")))))</f>
        <v/>
      </c>
      <c r="J629" s="131" t="str">
        <f aca="false">IF($T629="✓","✓",IF(ISNUMBER($T629),TEXT($T629,"yyyy-mm-dd"),IF($A629="","",IF($D629="Lisbonne","",IF(SUMPRODUCT(('Agences &amp; Après-vente'!$A$2:$A$1000=$A629)*(('Agences &amp; Après-vente'!$D$2:$D$1000="Après-vente")+('Agences &amp; Après-vente'!$D$2:$D$1000="Agences et Après-vente"))*('Agences &amp; Après-vente'!$I$2:$I$1000="DONE"))&gt;0,"✓",IF(SUMPRODUCT(MAX(('Agences &amp; Après-vente'!$A$2:$A$1000=$A629)*(('Agences &amp; Après-vente'!$D$2:$D$1000="Après-vente")+('Agences &amp; Après-vente'!$D$2:$D$1000="Agences et Après-vente"))*'Agences &amp; Après-vente'!$E$2:$E$1000))&gt;0,TEXT(SUMPRODUCT(MAX(('Agences &amp; Après-vente'!$A$2:$A$1000=$A629)*(('Agences &amp; Après-vente'!$D$2:$D$1000="Après-vente")+('Agences &amp; Après-vente'!$D$2:$D$1000="Agences et Après-vente"))*'Agences &amp; Après-vente'!$E$2:$E$1000)),"yyyy-mm-dd"),""))))))</f>
        <v/>
      </c>
      <c r="K629" s="131" t="str">
        <f aca="false">IF($U629="✓","✓",IF(ISNUMBER($U629),TEXT($U629,"yyyy-mm-dd"),IF($D629="Lisbonne","",IF($A629="","",IF(SUMPRODUCT((Evermont!$A$2:$A$1000=$A629)*(Evermont!$Q$2:$Q$1000="Terminé"))&gt;0,"✓",IF(SUMPRODUCT(MAX((Evermont!$A$2:$A$1000=$A629)*Evermont!$F$2:$F$1000))&gt;0,TEXT(SUMPRODUCT(MAX((Evermont!$A$2:$A$1000=$A629)*Evermont!$F$2:$F$1000)),"yyyy-mm-dd"),""))))))</f>
        <v/>
      </c>
      <c r="L629" s="131" t="str">
        <f aca="false">IF($A629="","",COUNTIF(E629:K629,"✓"))</f>
        <v/>
      </c>
      <c r="M629" s="131" t="str">
        <f aca="false">IF(B629="","","Active")</f>
        <v/>
      </c>
      <c r="W629" s="120" t="str">
        <f aca="false">IF($A629="","",IF($X629&lt;&gt;"",$X629,IFERROR(INDEX('Formation Initiale'!$B$2:$B$999,MATCH($A629,'Formation Initiale'!$A$2:$A$999,0)),"Général")))</f>
        <v/>
      </c>
    </row>
    <row r="630" customFormat="false" ht="15" hidden="true" customHeight="true" outlineLevel="0" collapsed="false">
      <c r="A630" s="142" t="str">
        <f aca="false">IF(B630="","","TR"&amp;TEXT(ROW()-1,"000"))</f>
        <v/>
      </c>
      <c r="E630" s="130" t="str">
        <f aca="false">IF($O630="✓","✓",IF(ISNUMBER($O630),TEXT($O630,"yyyy-mm-dd"),IF($A630="","",IF(SUMPRODUCT(('Formation Initiale'!$A$2:$A$999=$A630)*('Formation Initiale'!$R$2:$R$999="Terminé"))&gt;0,"✓",IF(SUMPRODUCT(MAX(('Formation Initiale'!$A$2:$A$999=$A630)*'Formation Initiale'!$G$2:$G$999))&gt;0,TEXT(SUMPRODUCT(MAX(('Formation Initiale'!$A$2:$A$999=$A630)*'Formation Initiale'!$G$2:$G$999)),"yyyy-mm-dd"),"")))))</f>
        <v/>
      </c>
      <c r="F630" s="131" t="str">
        <f aca="false">IF($P630="✓","✓",IF(ISNUMBER($P630),TEXT($P630,"yyyy-mm-dd"),IF($A630="","",IF($D630="Lisbonne","",IF(SUMPRODUCT(('Formation Initiale'!$A$2:$A$999=$A630)*('Formation Initiale'!$R$2:$R$999="Terminé"))&gt;0,"✓",IF(SUMPRODUCT(MAX(('Formation Initiale'!$A$2:$A$999=$A630)*'Formation Initiale'!$G$2:$G$999))&gt;0,TEXT(SUMPRODUCT(MAX(('Formation Initiale'!$A$2:$A$999=$A630)*'Formation Initiale'!$G$2:$G$999)),"yyyy-mm-dd"),""))))))</f>
        <v/>
      </c>
      <c r="G630" s="131" t="str">
        <f aca="false">IF($Q630="✓","✓",IF(ISNUMBER($Q630),TEXT($Q630,"yyyy-mm-dd"),IF($A630="","",IF(SUMPRODUCT(('Agences &amp; Après-vente'!$A$2:$A$1000=$A630)*(('Agences &amp; Après-vente'!$D$2:$D$1000="Agences")+('Agences &amp; Après-vente'!$D$2:$D$1000="Agences et Après-vente"))*('Agences &amp; Après-vente'!$I$2:$I$1000="DONE"))&gt;0,"✓",IF(SUMPRODUCT(MAX(('Agences &amp; Après-vente'!$A$2:$A$1000=$A630)*(('Agences &amp; Après-vente'!$D$2:$D$1000="Agences")+('Agences &amp; Après-vente'!$D$2:$D$1000="Agences et Après-vente"))*'Agences &amp; Après-vente'!$E$2:$E$1000))&gt;0,TEXT(SUMPRODUCT(MAX(('Agences &amp; Après-vente'!$A$2:$A$1000=$A630)*(('Agences &amp; Après-vente'!$D$2:$D$1000="Agences")+('Agences &amp; Après-vente'!$D$2:$D$1000="Agences et Après-vente"))*'Agences &amp; Après-vente'!$E$2:$E$1000)),"yyyy-mm-dd"),"")))))</f>
        <v/>
      </c>
      <c r="H630" s="131" t="str">
        <f aca="false">IF($R630="✓","✓",IF(ISNUMBER($R630),TEXT($R630,"yyyy-mm-dd"),IF($A630="","",IF($D630="Lisbonne","",IF(SUMPRODUCT(('Agences &amp; Après-vente'!$A$2:$A$1000=$A630)*(('Agences &amp; Après-vente'!$D$2:$D$1000="Agences")+('Agences &amp; Après-vente'!$D$2:$D$1000="Agences et Après-vente"))*('Agences &amp; Après-vente'!$I$2:$I$1000="DONE"))&gt;0,"✓",IF(SUMPRODUCT(MAX(('Agences &amp; Après-vente'!$A$2:$A$1000=$A630)*(('Agences &amp; Après-vente'!$D$2:$D$1000="Agences")+('Agences &amp; Après-vente'!$D$2:$D$1000="Agences et Après-vente"))*'Agences &amp; Après-vente'!$E$2:$E$1000))&gt;0,TEXT(SUMPRODUCT(MAX(('Agences &amp; Après-vente'!$A$2:$A$1000=$A630)*(('Agences &amp; Après-vente'!$D$2:$D$1000="Agences")+('Agences &amp; Après-vente'!$D$2:$D$1000="Agences et Après-vente"))*'Agences &amp; Après-vente'!$E$2:$E$1000)),"yyyy-mm-dd"),""))))))</f>
        <v/>
      </c>
      <c r="I630" s="131" t="str">
        <f aca="false">IF($S630="✓","✓",IF(ISNUMBER($S630),TEXT($S630,"yyyy-mm-dd"),IF($A630="","",IF(SUMPRODUCT(('Agences &amp; Après-vente'!$A$2:$A$1000=$A630)*(('Agences &amp; Après-vente'!$D$2:$D$1000="Après-vente")+('Agences &amp; Après-vente'!$D$2:$D$1000="Agences et Après-vente"))*('Agences &amp; Après-vente'!$I$2:$I$1000="DONE"))&gt;0,"✓",IF(SUMPRODUCT(MAX(('Agences &amp; Après-vente'!$A$2:$A$1000=$A630)*(('Agences &amp; Après-vente'!$D$2:$D$1000="Après-vente")+('Agences &amp; Après-vente'!$D$2:$D$1000="Agences et Après-vente"))*'Agences &amp; Après-vente'!$E$2:$E$1000))&gt;0,TEXT(SUMPRODUCT(MAX(('Agences &amp; Après-vente'!$A$2:$A$1000=$A630)*(('Agences &amp; Après-vente'!$D$2:$D$1000="Après-vente")+('Agences &amp; Après-vente'!$D$2:$D$1000="Agences et Après-vente"))*'Agences &amp; Après-vente'!$E$2:$E$1000)),"yyyy-mm-dd"),"")))))</f>
        <v/>
      </c>
      <c r="J630" s="131" t="str">
        <f aca="false">IF($T630="✓","✓",IF(ISNUMBER($T630),TEXT($T630,"yyyy-mm-dd"),IF($A630="","",IF($D630="Lisbonne","",IF(SUMPRODUCT(('Agences &amp; Après-vente'!$A$2:$A$1000=$A630)*(('Agences &amp; Après-vente'!$D$2:$D$1000="Après-vente")+('Agences &amp; Après-vente'!$D$2:$D$1000="Agences et Après-vente"))*('Agences &amp; Après-vente'!$I$2:$I$1000="DONE"))&gt;0,"✓",IF(SUMPRODUCT(MAX(('Agences &amp; Après-vente'!$A$2:$A$1000=$A630)*(('Agences &amp; Après-vente'!$D$2:$D$1000="Après-vente")+('Agences &amp; Après-vente'!$D$2:$D$1000="Agences et Après-vente"))*'Agences &amp; Après-vente'!$E$2:$E$1000))&gt;0,TEXT(SUMPRODUCT(MAX(('Agences &amp; Après-vente'!$A$2:$A$1000=$A630)*(('Agences &amp; Après-vente'!$D$2:$D$1000="Après-vente")+('Agences &amp; Après-vente'!$D$2:$D$1000="Agences et Après-vente"))*'Agences &amp; Après-vente'!$E$2:$E$1000)),"yyyy-mm-dd"),""))))))</f>
        <v/>
      </c>
      <c r="K630" s="131" t="str">
        <f aca="false">IF($U630="✓","✓",IF(ISNUMBER($U630),TEXT($U630,"yyyy-mm-dd"),IF($D630="Lisbonne","",IF($A630="","",IF(SUMPRODUCT((Evermont!$A$2:$A$1000=$A630)*(Evermont!$Q$2:$Q$1000="Terminé"))&gt;0,"✓",IF(SUMPRODUCT(MAX((Evermont!$A$2:$A$1000=$A630)*Evermont!$F$2:$F$1000))&gt;0,TEXT(SUMPRODUCT(MAX((Evermont!$A$2:$A$1000=$A630)*Evermont!$F$2:$F$1000)),"yyyy-mm-dd"),""))))))</f>
        <v/>
      </c>
      <c r="L630" s="131" t="str">
        <f aca="false">IF($A630="","",COUNTIF(E630:K630,"✓"))</f>
        <v/>
      </c>
      <c r="M630" s="131" t="str">
        <f aca="false">IF(B630="","","Active")</f>
        <v/>
      </c>
      <c r="W630" s="120" t="str">
        <f aca="false">IF($A630="","",IF($X630&lt;&gt;"",$X630,IFERROR(INDEX('Formation Initiale'!$B$2:$B$999,MATCH($A630,'Formation Initiale'!$A$2:$A$999,0)),"Général")))</f>
        <v/>
      </c>
    </row>
    <row r="631" customFormat="false" ht="15" hidden="true" customHeight="true" outlineLevel="0" collapsed="false">
      <c r="A631" s="142" t="str">
        <f aca="false">IF(B631="","","TR"&amp;TEXT(ROW()-1,"000"))</f>
        <v/>
      </c>
      <c r="E631" s="130" t="str">
        <f aca="false">IF($O631="✓","✓",IF(ISNUMBER($O631),TEXT($O631,"yyyy-mm-dd"),IF($A631="","",IF(SUMPRODUCT(('Formation Initiale'!$A$2:$A$999=$A631)*('Formation Initiale'!$R$2:$R$999="Terminé"))&gt;0,"✓",IF(SUMPRODUCT(MAX(('Formation Initiale'!$A$2:$A$999=$A631)*'Formation Initiale'!$G$2:$G$999))&gt;0,TEXT(SUMPRODUCT(MAX(('Formation Initiale'!$A$2:$A$999=$A631)*'Formation Initiale'!$G$2:$G$999)),"yyyy-mm-dd"),"")))))</f>
        <v/>
      </c>
      <c r="F631" s="131" t="str">
        <f aca="false">IF($P631="✓","✓",IF(ISNUMBER($P631),TEXT($P631,"yyyy-mm-dd"),IF($A631="","",IF($D631="Lisbonne","",IF(SUMPRODUCT(('Formation Initiale'!$A$2:$A$999=$A631)*('Formation Initiale'!$R$2:$R$999="Terminé"))&gt;0,"✓",IF(SUMPRODUCT(MAX(('Formation Initiale'!$A$2:$A$999=$A631)*'Formation Initiale'!$G$2:$G$999))&gt;0,TEXT(SUMPRODUCT(MAX(('Formation Initiale'!$A$2:$A$999=$A631)*'Formation Initiale'!$G$2:$G$999)),"yyyy-mm-dd"),""))))))</f>
        <v/>
      </c>
      <c r="G631" s="131" t="str">
        <f aca="false">IF($Q631="✓","✓",IF(ISNUMBER($Q631),TEXT($Q631,"yyyy-mm-dd"),IF($A631="","",IF(SUMPRODUCT(('Agences &amp; Après-vente'!$A$2:$A$1000=$A631)*(('Agences &amp; Après-vente'!$D$2:$D$1000="Agences")+('Agences &amp; Après-vente'!$D$2:$D$1000="Agences et Après-vente"))*('Agences &amp; Après-vente'!$I$2:$I$1000="DONE"))&gt;0,"✓",IF(SUMPRODUCT(MAX(('Agences &amp; Après-vente'!$A$2:$A$1000=$A631)*(('Agences &amp; Après-vente'!$D$2:$D$1000="Agences")+('Agences &amp; Après-vente'!$D$2:$D$1000="Agences et Après-vente"))*'Agences &amp; Après-vente'!$E$2:$E$1000))&gt;0,TEXT(SUMPRODUCT(MAX(('Agences &amp; Après-vente'!$A$2:$A$1000=$A631)*(('Agences &amp; Après-vente'!$D$2:$D$1000="Agences")+('Agences &amp; Après-vente'!$D$2:$D$1000="Agences et Après-vente"))*'Agences &amp; Après-vente'!$E$2:$E$1000)),"yyyy-mm-dd"),"")))))</f>
        <v/>
      </c>
      <c r="H631" s="131" t="str">
        <f aca="false">IF($R631="✓","✓",IF(ISNUMBER($R631),TEXT($R631,"yyyy-mm-dd"),IF($A631="","",IF($D631="Lisbonne","",IF(SUMPRODUCT(('Agences &amp; Après-vente'!$A$2:$A$1000=$A631)*(('Agences &amp; Après-vente'!$D$2:$D$1000="Agences")+('Agences &amp; Après-vente'!$D$2:$D$1000="Agences et Après-vente"))*('Agences &amp; Après-vente'!$I$2:$I$1000="DONE"))&gt;0,"✓",IF(SUMPRODUCT(MAX(('Agences &amp; Après-vente'!$A$2:$A$1000=$A631)*(('Agences &amp; Après-vente'!$D$2:$D$1000="Agences")+('Agences &amp; Après-vente'!$D$2:$D$1000="Agences et Après-vente"))*'Agences &amp; Après-vente'!$E$2:$E$1000))&gt;0,TEXT(SUMPRODUCT(MAX(('Agences &amp; Après-vente'!$A$2:$A$1000=$A631)*(('Agences &amp; Après-vente'!$D$2:$D$1000="Agences")+('Agences &amp; Après-vente'!$D$2:$D$1000="Agences et Après-vente"))*'Agences &amp; Après-vente'!$E$2:$E$1000)),"yyyy-mm-dd"),""))))))</f>
        <v/>
      </c>
      <c r="I631" s="131" t="str">
        <f aca="false">IF($S631="✓","✓",IF(ISNUMBER($S631),TEXT($S631,"yyyy-mm-dd"),IF($A631="","",IF(SUMPRODUCT(('Agences &amp; Après-vente'!$A$2:$A$1000=$A631)*(('Agences &amp; Après-vente'!$D$2:$D$1000="Après-vente")+('Agences &amp; Après-vente'!$D$2:$D$1000="Agences et Après-vente"))*('Agences &amp; Après-vente'!$I$2:$I$1000="DONE"))&gt;0,"✓",IF(SUMPRODUCT(MAX(('Agences &amp; Après-vente'!$A$2:$A$1000=$A631)*(('Agences &amp; Après-vente'!$D$2:$D$1000="Après-vente")+('Agences &amp; Après-vente'!$D$2:$D$1000="Agences et Après-vente"))*'Agences &amp; Après-vente'!$E$2:$E$1000))&gt;0,TEXT(SUMPRODUCT(MAX(('Agences &amp; Après-vente'!$A$2:$A$1000=$A631)*(('Agences &amp; Après-vente'!$D$2:$D$1000="Après-vente")+('Agences &amp; Après-vente'!$D$2:$D$1000="Agences et Après-vente"))*'Agences &amp; Après-vente'!$E$2:$E$1000)),"yyyy-mm-dd"),"")))))</f>
        <v/>
      </c>
      <c r="J631" s="131" t="str">
        <f aca="false">IF($T631="✓","✓",IF(ISNUMBER($T631),TEXT($T631,"yyyy-mm-dd"),IF($A631="","",IF($D631="Lisbonne","",IF(SUMPRODUCT(('Agences &amp; Après-vente'!$A$2:$A$1000=$A631)*(('Agences &amp; Après-vente'!$D$2:$D$1000="Après-vente")+('Agences &amp; Après-vente'!$D$2:$D$1000="Agences et Après-vente"))*('Agences &amp; Après-vente'!$I$2:$I$1000="DONE"))&gt;0,"✓",IF(SUMPRODUCT(MAX(('Agences &amp; Après-vente'!$A$2:$A$1000=$A631)*(('Agences &amp; Après-vente'!$D$2:$D$1000="Après-vente")+('Agences &amp; Après-vente'!$D$2:$D$1000="Agences et Après-vente"))*'Agences &amp; Après-vente'!$E$2:$E$1000))&gt;0,TEXT(SUMPRODUCT(MAX(('Agences &amp; Après-vente'!$A$2:$A$1000=$A631)*(('Agences &amp; Après-vente'!$D$2:$D$1000="Après-vente")+('Agences &amp; Après-vente'!$D$2:$D$1000="Agences et Après-vente"))*'Agences &amp; Après-vente'!$E$2:$E$1000)),"yyyy-mm-dd"),""))))))</f>
        <v/>
      </c>
      <c r="K631" s="131" t="str">
        <f aca="false">IF($U631="✓","✓",IF(ISNUMBER($U631),TEXT($U631,"yyyy-mm-dd"),IF($D631="Lisbonne","",IF($A631="","",IF(SUMPRODUCT((Evermont!$A$2:$A$1000=$A631)*(Evermont!$Q$2:$Q$1000="Terminé"))&gt;0,"✓",IF(SUMPRODUCT(MAX((Evermont!$A$2:$A$1000=$A631)*Evermont!$F$2:$F$1000))&gt;0,TEXT(SUMPRODUCT(MAX((Evermont!$A$2:$A$1000=$A631)*Evermont!$F$2:$F$1000)),"yyyy-mm-dd"),""))))))</f>
        <v/>
      </c>
      <c r="L631" s="131" t="str">
        <f aca="false">IF($A631="","",COUNTIF(E631:K631,"✓"))</f>
        <v/>
      </c>
      <c r="M631" s="131" t="str">
        <f aca="false">IF(B631="","","Active")</f>
        <v/>
      </c>
      <c r="W631" s="120" t="str">
        <f aca="false">IF($A631="","",IF($X631&lt;&gt;"",$X631,IFERROR(INDEX('Formation Initiale'!$B$2:$B$999,MATCH($A631,'Formation Initiale'!$A$2:$A$999,0)),"Général")))</f>
        <v/>
      </c>
    </row>
    <row r="632" customFormat="false" ht="15" hidden="true" customHeight="true" outlineLevel="0" collapsed="false">
      <c r="A632" s="142" t="str">
        <f aca="false">IF(B632="","","TR"&amp;TEXT(ROW()-1,"000"))</f>
        <v/>
      </c>
      <c r="E632" s="130" t="str">
        <f aca="false">IF($O632="✓","✓",IF(ISNUMBER($O632),TEXT($O632,"yyyy-mm-dd"),IF($A632="","",IF(SUMPRODUCT(('Formation Initiale'!$A$2:$A$999=$A632)*('Formation Initiale'!$R$2:$R$999="Terminé"))&gt;0,"✓",IF(SUMPRODUCT(MAX(('Formation Initiale'!$A$2:$A$999=$A632)*'Formation Initiale'!$G$2:$G$999))&gt;0,TEXT(SUMPRODUCT(MAX(('Formation Initiale'!$A$2:$A$999=$A632)*'Formation Initiale'!$G$2:$G$999)),"yyyy-mm-dd"),"")))))</f>
        <v/>
      </c>
      <c r="F632" s="131" t="str">
        <f aca="false">IF($P632="✓","✓",IF(ISNUMBER($P632),TEXT($P632,"yyyy-mm-dd"),IF($A632="","",IF($D632="Lisbonne","",IF(SUMPRODUCT(('Formation Initiale'!$A$2:$A$999=$A632)*('Formation Initiale'!$R$2:$R$999="Terminé"))&gt;0,"✓",IF(SUMPRODUCT(MAX(('Formation Initiale'!$A$2:$A$999=$A632)*'Formation Initiale'!$G$2:$G$999))&gt;0,TEXT(SUMPRODUCT(MAX(('Formation Initiale'!$A$2:$A$999=$A632)*'Formation Initiale'!$G$2:$G$999)),"yyyy-mm-dd"),""))))))</f>
        <v/>
      </c>
      <c r="G632" s="131" t="str">
        <f aca="false">IF($Q632="✓","✓",IF(ISNUMBER($Q632),TEXT($Q632,"yyyy-mm-dd"),IF($A632="","",IF(SUMPRODUCT(('Agences &amp; Après-vente'!$A$2:$A$1000=$A632)*(('Agences &amp; Après-vente'!$D$2:$D$1000="Agences")+('Agences &amp; Après-vente'!$D$2:$D$1000="Agences et Après-vente"))*('Agences &amp; Après-vente'!$I$2:$I$1000="DONE"))&gt;0,"✓",IF(SUMPRODUCT(MAX(('Agences &amp; Après-vente'!$A$2:$A$1000=$A632)*(('Agences &amp; Après-vente'!$D$2:$D$1000="Agences")+('Agences &amp; Après-vente'!$D$2:$D$1000="Agences et Après-vente"))*'Agences &amp; Après-vente'!$E$2:$E$1000))&gt;0,TEXT(SUMPRODUCT(MAX(('Agences &amp; Après-vente'!$A$2:$A$1000=$A632)*(('Agences &amp; Après-vente'!$D$2:$D$1000="Agences")+('Agences &amp; Après-vente'!$D$2:$D$1000="Agences et Après-vente"))*'Agences &amp; Après-vente'!$E$2:$E$1000)),"yyyy-mm-dd"),"")))))</f>
        <v/>
      </c>
      <c r="H632" s="131" t="str">
        <f aca="false">IF($R632="✓","✓",IF(ISNUMBER($R632),TEXT($R632,"yyyy-mm-dd"),IF($A632="","",IF($D632="Lisbonne","",IF(SUMPRODUCT(('Agences &amp; Après-vente'!$A$2:$A$1000=$A632)*(('Agences &amp; Après-vente'!$D$2:$D$1000="Agences")+('Agences &amp; Après-vente'!$D$2:$D$1000="Agences et Après-vente"))*('Agences &amp; Après-vente'!$I$2:$I$1000="DONE"))&gt;0,"✓",IF(SUMPRODUCT(MAX(('Agences &amp; Après-vente'!$A$2:$A$1000=$A632)*(('Agences &amp; Après-vente'!$D$2:$D$1000="Agences")+('Agences &amp; Après-vente'!$D$2:$D$1000="Agences et Après-vente"))*'Agences &amp; Après-vente'!$E$2:$E$1000))&gt;0,TEXT(SUMPRODUCT(MAX(('Agences &amp; Après-vente'!$A$2:$A$1000=$A632)*(('Agences &amp; Après-vente'!$D$2:$D$1000="Agences")+('Agences &amp; Après-vente'!$D$2:$D$1000="Agences et Après-vente"))*'Agences &amp; Après-vente'!$E$2:$E$1000)),"yyyy-mm-dd"),""))))))</f>
        <v/>
      </c>
      <c r="I632" s="131" t="str">
        <f aca="false">IF($S632="✓","✓",IF(ISNUMBER($S632),TEXT($S632,"yyyy-mm-dd"),IF($A632="","",IF(SUMPRODUCT(('Agences &amp; Après-vente'!$A$2:$A$1000=$A632)*(('Agences &amp; Après-vente'!$D$2:$D$1000="Après-vente")+('Agences &amp; Après-vente'!$D$2:$D$1000="Agences et Après-vente"))*('Agences &amp; Après-vente'!$I$2:$I$1000="DONE"))&gt;0,"✓",IF(SUMPRODUCT(MAX(('Agences &amp; Après-vente'!$A$2:$A$1000=$A632)*(('Agences &amp; Après-vente'!$D$2:$D$1000="Après-vente")+('Agences &amp; Après-vente'!$D$2:$D$1000="Agences et Après-vente"))*'Agences &amp; Après-vente'!$E$2:$E$1000))&gt;0,TEXT(SUMPRODUCT(MAX(('Agences &amp; Après-vente'!$A$2:$A$1000=$A632)*(('Agences &amp; Après-vente'!$D$2:$D$1000="Après-vente")+('Agences &amp; Après-vente'!$D$2:$D$1000="Agences et Après-vente"))*'Agences &amp; Après-vente'!$E$2:$E$1000)),"yyyy-mm-dd"),"")))))</f>
        <v/>
      </c>
      <c r="J632" s="131" t="str">
        <f aca="false">IF($T632="✓","✓",IF(ISNUMBER($T632),TEXT($T632,"yyyy-mm-dd"),IF($A632="","",IF($D632="Lisbonne","",IF(SUMPRODUCT(('Agences &amp; Après-vente'!$A$2:$A$1000=$A632)*(('Agences &amp; Après-vente'!$D$2:$D$1000="Après-vente")+('Agences &amp; Après-vente'!$D$2:$D$1000="Agences et Après-vente"))*('Agences &amp; Après-vente'!$I$2:$I$1000="DONE"))&gt;0,"✓",IF(SUMPRODUCT(MAX(('Agences &amp; Après-vente'!$A$2:$A$1000=$A632)*(('Agences &amp; Après-vente'!$D$2:$D$1000="Après-vente")+('Agences &amp; Après-vente'!$D$2:$D$1000="Agences et Après-vente"))*'Agences &amp; Après-vente'!$E$2:$E$1000))&gt;0,TEXT(SUMPRODUCT(MAX(('Agences &amp; Après-vente'!$A$2:$A$1000=$A632)*(('Agences &amp; Après-vente'!$D$2:$D$1000="Après-vente")+('Agences &amp; Après-vente'!$D$2:$D$1000="Agences et Après-vente"))*'Agences &amp; Après-vente'!$E$2:$E$1000)),"yyyy-mm-dd"),""))))))</f>
        <v/>
      </c>
      <c r="K632" s="131" t="str">
        <f aca="false">IF($U632="✓","✓",IF(ISNUMBER($U632),TEXT($U632,"yyyy-mm-dd"),IF($D632="Lisbonne","",IF($A632="","",IF(SUMPRODUCT((Evermont!$A$2:$A$1000=$A632)*(Evermont!$Q$2:$Q$1000="Terminé"))&gt;0,"✓",IF(SUMPRODUCT(MAX((Evermont!$A$2:$A$1000=$A632)*Evermont!$F$2:$F$1000))&gt;0,TEXT(SUMPRODUCT(MAX((Evermont!$A$2:$A$1000=$A632)*Evermont!$F$2:$F$1000)),"yyyy-mm-dd"),""))))))</f>
        <v/>
      </c>
      <c r="L632" s="131" t="str">
        <f aca="false">IF($A632="","",COUNTIF(E632:K632,"✓"))</f>
        <v/>
      </c>
      <c r="M632" s="131" t="str">
        <f aca="false">IF(B632="","","Active")</f>
        <v/>
      </c>
      <c r="W632" s="120" t="str">
        <f aca="false">IF($A632="","",IF($X632&lt;&gt;"",$X632,IFERROR(INDEX('Formation Initiale'!$B$2:$B$999,MATCH($A632,'Formation Initiale'!$A$2:$A$999,0)),"Général")))</f>
        <v/>
      </c>
    </row>
    <row r="633" customFormat="false" ht="15" hidden="true" customHeight="true" outlineLevel="0" collapsed="false">
      <c r="A633" s="142" t="str">
        <f aca="false">IF(B633="","","TR"&amp;TEXT(ROW()-1,"000"))</f>
        <v/>
      </c>
      <c r="E633" s="130" t="str">
        <f aca="false">IF($O633="✓","✓",IF(ISNUMBER($O633),TEXT($O633,"yyyy-mm-dd"),IF($A633="","",IF(SUMPRODUCT(('Formation Initiale'!$A$2:$A$999=$A633)*('Formation Initiale'!$R$2:$R$999="Terminé"))&gt;0,"✓",IF(SUMPRODUCT(MAX(('Formation Initiale'!$A$2:$A$999=$A633)*'Formation Initiale'!$G$2:$G$999))&gt;0,TEXT(SUMPRODUCT(MAX(('Formation Initiale'!$A$2:$A$999=$A633)*'Formation Initiale'!$G$2:$G$999)),"yyyy-mm-dd"),"")))))</f>
        <v/>
      </c>
      <c r="F633" s="131" t="str">
        <f aca="false">IF($P633="✓","✓",IF(ISNUMBER($P633),TEXT($P633,"yyyy-mm-dd"),IF($A633="","",IF($D633="Lisbonne","",IF(SUMPRODUCT(('Formation Initiale'!$A$2:$A$999=$A633)*('Formation Initiale'!$R$2:$R$999="Terminé"))&gt;0,"✓",IF(SUMPRODUCT(MAX(('Formation Initiale'!$A$2:$A$999=$A633)*'Formation Initiale'!$G$2:$G$999))&gt;0,TEXT(SUMPRODUCT(MAX(('Formation Initiale'!$A$2:$A$999=$A633)*'Formation Initiale'!$G$2:$G$999)),"yyyy-mm-dd"),""))))))</f>
        <v/>
      </c>
      <c r="G633" s="131" t="str">
        <f aca="false">IF($Q633="✓","✓",IF(ISNUMBER($Q633),TEXT($Q633,"yyyy-mm-dd"),IF($A633="","",IF(SUMPRODUCT(('Agences &amp; Après-vente'!$A$2:$A$1000=$A633)*(('Agences &amp; Après-vente'!$D$2:$D$1000="Agences")+('Agences &amp; Après-vente'!$D$2:$D$1000="Agences et Après-vente"))*('Agences &amp; Après-vente'!$I$2:$I$1000="DONE"))&gt;0,"✓",IF(SUMPRODUCT(MAX(('Agences &amp; Après-vente'!$A$2:$A$1000=$A633)*(('Agences &amp; Après-vente'!$D$2:$D$1000="Agences")+('Agences &amp; Après-vente'!$D$2:$D$1000="Agences et Après-vente"))*'Agences &amp; Après-vente'!$E$2:$E$1000))&gt;0,TEXT(SUMPRODUCT(MAX(('Agences &amp; Après-vente'!$A$2:$A$1000=$A633)*(('Agences &amp; Après-vente'!$D$2:$D$1000="Agences")+('Agences &amp; Après-vente'!$D$2:$D$1000="Agences et Après-vente"))*'Agences &amp; Après-vente'!$E$2:$E$1000)),"yyyy-mm-dd"),"")))))</f>
        <v/>
      </c>
      <c r="H633" s="131" t="str">
        <f aca="false">IF($R633="✓","✓",IF(ISNUMBER($R633),TEXT($R633,"yyyy-mm-dd"),IF($A633="","",IF($D633="Lisbonne","",IF(SUMPRODUCT(('Agences &amp; Après-vente'!$A$2:$A$1000=$A633)*(('Agences &amp; Après-vente'!$D$2:$D$1000="Agences")+('Agences &amp; Après-vente'!$D$2:$D$1000="Agences et Après-vente"))*('Agences &amp; Après-vente'!$I$2:$I$1000="DONE"))&gt;0,"✓",IF(SUMPRODUCT(MAX(('Agences &amp; Après-vente'!$A$2:$A$1000=$A633)*(('Agences &amp; Après-vente'!$D$2:$D$1000="Agences")+('Agences &amp; Après-vente'!$D$2:$D$1000="Agences et Après-vente"))*'Agences &amp; Après-vente'!$E$2:$E$1000))&gt;0,TEXT(SUMPRODUCT(MAX(('Agences &amp; Après-vente'!$A$2:$A$1000=$A633)*(('Agences &amp; Après-vente'!$D$2:$D$1000="Agences")+('Agences &amp; Après-vente'!$D$2:$D$1000="Agences et Après-vente"))*'Agences &amp; Après-vente'!$E$2:$E$1000)),"yyyy-mm-dd"),""))))))</f>
        <v/>
      </c>
      <c r="I633" s="131" t="str">
        <f aca="false">IF($S633="✓","✓",IF(ISNUMBER($S633),TEXT($S633,"yyyy-mm-dd"),IF($A633="","",IF(SUMPRODUCT(('Agences &amp; Après-vente'!$A$2:$A$1000=$A633)*(('Agences &amp; Après-vente'!$D$2:$D$1000="Après-vente")+('Agences &amp; Après-vente'!$D$2:$D$1000="Agences et Après-vente"))*('Agences &amp; Après-vente'!$I$2:$I$1000="DONE"))&gt;0,"✓",IF(SUMPRODUCT(MAX(('Agences &amp; Après-vente'!$A$2:$A$1000=$A633)*(('Agences &amp; Après-vente'!$D$2:$D$1000="Après-vente")+('Agences &amp; Après-vente'!$D$2:$D$1000="Agences et Après-vente"))*'Agences &amp; Après-vente'!$E$2:$E$1000))&gt;0,TEXT(SUMPRODUCT(MAX(('Agences &amp; Après-vente'!$A$2:$A$1000=$A633)*(('Agences &amp; Après-vente'!$D$2:$D$1000="Après-vente")+('Agences &amp; Après-vente'!$D$2:$D$1000="Agences et Après-vente"))*'Agences &amp; Après-vente'!$E$2:$E$1000)),"yyyy-mm-dd"),"")))))</f>
        <v/>
      </c>
      <c r="J633" s="131" t="str">
        <f aca="false">IF($T633="✓","✓",IF(ISNUMBER($T633),TEXT($T633,"yyyy-mm-dd"),IF($A633="","",IF($D633="Lisbonne","",IF(SUMPRODUCT(('Agences &amp; Après-vente'!$A$2:$A$1000=$A633)*(('Agences &amp; Après-vente'!$D$2:$D$1000="Après-vente")+('Agences &amp; Après-vente'!$D$2:$D$1000="Agences et Après-vente"))*('Agences &amp; Après-vente'!$I$2:$I$1000="DONE"))&gt;0,"✓",IF(SUMPRODUCT(MAX(('Agences &amp; Après-vente'!$A$2:$A$1000=$A633)*(('Agences &amp; Après-vente'!$D$2:$D$1000="Après-vente")+('Agences &amp; Après-vente'!$D$2:$D$1000="Agences et Après-vente"))*'Agences &amp; Après-vente'!$E$2:$E$1000))&gt;0,TEXT(SUMPRODUCT(MAX(('Agences &amp; Après-vente'!$A$2:$A$1000=$A633)*(('Agences &amp; Après-vente'!$D$2:$D$1000="Après-vente")+('Agences &amp; Après-vente'!$D$2:$D$1000="Agences et Après-vente"))*'Agences &amp; Après-vente'!$E$2:$E$1000)),"yyyy-mm-dd"),""))))))</f>
        <v/>
      </c>
      <c r="K633" s="131" t="str">
        <f aca="false">IF($U633="✓","✓",IF(ISNUMBER($U633),TEXT($U633,"yyyy-mm-dd"),IF($D633="Lisbonne","",IF($A633="","",IF(SUMPRODUCT((Evermont!$A$2:$A$1000=$A633)*(Evermont!$Q$2:$Q$1000="Terminé"))&gt;0,"✓",IF(SUMPRODUCT(MAX((Evermont!$A$2:$A$1000=$A633)*Evermont!$F$2:$F$1000))&gt;0,TEXT(SUMPRODUCT(MAX((Evermont!$A$2:$A$1000=$A633)*Evermont!$F$2:$F$1000)),"yyyy-mm-dd"),""))))))</f>
        <v/>
      </c>
      <c r="L633" s="131" t="str">
        <f aca="false">IF($A633="","",COUNTIF(E633:K633,"✓"))</f>
        <v/>
      </c>
      <c r="M633" s="131" t="str">
        <f aca="false">IF(B633="","","Active")</f>
        <v/>
      </c>
      <c r="W633" s="120" t="str">
        <f aca="false">IF($A633="","",IF($X633&lt;&gt;"",$X633,IFERROR(INDEX('Formation Initiale'!$B$2:$B$999,MATCH($A633,'Formation Initiale'!$A$2:$A$999,0)),"Général")))</f>
        <v/>
      </c>
    </row>
    <row r="634" customFormat="false" ht="15" hidden="true" customHeight="true" outlineLevel="0" collapsed="false">
      <c r="A634" s="142" t="str">
        <f aca="false">IF(B634="","","TR"&amp;TEXT(ROW()-1,"000"))</f>
        <v/>
      </c>
      <c r="E634" s="130" t="str">
        <f aca="false">IF($O634="✓","✓",IF(ISNUMBER($O634),TEXT($O634,"yyyy-mm-dd"),IF($A634="","",IF(SUMPRODUCT(('Formation Initiale'!$A$2:$A$999=$A634)*('Formation Initiale'!$R$2:$R$999="Terminé"))&gt;0,"✓",IF(SUMPRODUCT(MAX(('Formation Initiale'!$A$2:$A$999=$A634)*'Formation Initiale'!$G$2:$G$999))&gt;0,TEXT(SUMPRODUCT(MAX(('Formation Initiale'!$A$2:$A$999=$A634)*'Formation Initiale'!$G$2:$G$999)),"yyyy-mm-dd"),"")))))</f>
        <v/>
      </c>
      <c r="F634" s="131" t="str">
        <f aca="false">IF($P634="✓","✓",IF(ISNUMBER($P634),TEXT($P634,"yyyy-mm-dd"),IF($A634="","",IF($D634="Lisbonne","",IF(SUMPRODUCT(('Formation Initiale'!$A$2:$A$999=$A634)*('Formation Initiale'!$R$2:$R$999="Terminé"))&gt;0,"✓",IF(SUMPRODUCT(MAX(('Formation Initiale'!$A$2:$A$999=$A634)*'Formation Initiale'!$G$2:$G$999))&gt;0,TEXT(SUMPRODUCT(MAX(('Formation Initiale'!$A$2:$A$999=$A634)*'Formation Initiale'!$G$2:$G$999)),"yyyy-mm-dd"),""))))))</f>
        <v/>
      </c>
      <c r="G634" s="131" t="str">
        <f aca="false">IF($Q634="✓","✓",IF(ISNUMBER($Q634),TEXT($Q634,"yyyy-mm-dd"),IF($A634="","",IF(SUMPRODUCT(('Agences &amp; Après-vente'!$A$2:$A$1000=$A634)*(('Agences &amp; Après-vente'!$D$2:$D$1000="Agences")+('Agences &amp; Après-vente'!$D$2:$D$1000="Agences et Après-vente"))*('Agences &amp; Après-vente'!$I$2:$I$1000="DONE"))&gt;0,"✓",IF(SUMPRODUCT(MAX(('Agences &amp; Après-vente'!$A$2:$A$1000=$A634)*(('Agences &amp; Après-vente'!$D$2:$D$1000="Agences")+('Agences &amp; Après-vente'!$D$2:$D$1000="Agences et Après-vente"))*'Agences &amp; Après-vente'!$E$2:$E$1000))&gt;0,TEXT(SUMPRODUCT(MAX(('Agences &amp; Après-vente'!$A$2:$A$1000=$A634)*(('Agences &amp; Après-vente'!$D$2:$D$1000="Agences")+('Agences &amp; Après-vente'!$D$2:$D$1000="Agences et Après-vente"))*'Agences &amp; Après-vente'!$E$2:$E$1000)),"yyyy-mm-dd"),"")))))</f>
        <v/>
      </c>
      <c r="H634" s="131" t="str">
        <f aca="false">IF($R634="✓","✓",IF(ISNUMBER($R634),TEXT($R634,"yyyy-mm-dd"),IF($A634="","",IF($D634="Lisbonne","",IF(SUMPRODUCT(('Agences &amp; Après-vente'!$A$2:$A$1000=$A634)*(('Agences &amp; Après-vente'!$D$2:$D$1000="Agences")+('Agences &amp; Après-vente'!$D$2:$D$1000="Agences et Après-vente"))*('Agences &amp; Après-vente'!$I$2:$I$1000="DONE"))&gt;0,"✓",IF(SUMPRODUCT(MAX(('Agences &amp; Après-vente'!$A$2:$A$1000=$A634)*(('Agences &amp; Après-vente'!$D$2:$D$1000="Agences")+('Agences &amp; Après-vente'!$D$2:$D$1000="Agences et Après-vente"))*'Agences &amp; Après-vente'!$E$2:$E$1000))&gt;0,TEXT(SUMPRODUCT(MAX(('Agences &amp; Après-vente'!$A$2:$A$1000=$A634)*(('Agences &amp; Après-vente'!$D$2:$D$1000="Agences")+('Agences &amp; Après-vente'!$D$2:$D$1000="Agences et Après-vente"))*'Agences &amp; Après-vente'!$E$2:$E$1000)),"yyyy-mm-dd"),""))))))</f>
        <v/>
      </c>
      <c r="I634" s="131" t="str">
        <f aca="false">IF($S634="✓","✓",IF(ISNUMBER($S634),TEXT($S634,"yyyy-mm-dd"),IF($A634="","",IF(SUMPRODUCT(('Agences &amp; Après-vente'!$A$2:$A$1000=$A634)*(('Agences &amp; Après-vente'!$D$2:$D$1000="Après-vente")+('Agences &amp; Après-vente'!$D$2:$D$1000="Agences et Après-vente"))*('Agences &amp; Après-vente'!$I$2:$I$1000="DONE"))&gt;0,"✓",IF(SUMPRODUCT(MAX(('Agences &amp; Après-vente'!$A$2:$A$1000=$A634)*(('Agences &amp; Après-vente'!$D$2:$D$1000="Après-vente")+('Agences &amp; Après-vente'!$D$2:$D$1000="Agences et Après-vente"))*'Agences &amp; Après-vente'!$E$2:$E$1000))&gt;0,TEXT(SUMPRODUCT(MAX(('Agences &amp; Après-vente'!$A$2:$A$1000=$A634)*(('Agences &amp; Après-vente'!$D$2:$D$1000="Après-vente")+('Agences &amp; Après-vente'!$D$2:$D$1000="Agences et Après-vente"))*'Agences &amp; Après-vente'!$E$2:$E$1000)),"yyyy-mm-dd"),"")))))</f>
        <v/>
      </c>
      <c r="J634" s="131" t="str">
        <f aca="false">IF($T634="✓","✓",IF(ISNUMBER($T634),TEXT($T634,"yyyy-mm-dd"),IF($A634="","",IF($D634="Lisbonne","",IF(SUMPRODUCT(('Agences &amp; Après-vente'!$A$2:$A$1000=$A634)*(('Agences &amp; Après-vente'!$D$2:$D$1000="Après-vente")+('Agences &amp; Après-vente'!$D$2:$D$1000="Agences et Après-vente"))*('Agences &amp; Après-vente'!$I$2:$I$1000="DONE"))&gt;0,"✓",IF(SUMPRODUCT(MAX(('Agences &amp; Après-vente'!$A$2:$A$1000=$A634)*(('Agences &amp; Après-vente'!$D$2:$D$1000="Après-vente")+('Agences &amp; Après-vente'!$D$2:$D$1000="Agences et Après-vente"))*'Agences &amp; Après-vente'!$E$2:$E$1000))&gt;0,TEXT(SUMPRODUCT(MAX(('Agences &amp; Après-vente'!$A$2:$A$1000=$A634)*(('Agences &amp; Après-vente'!$D$2:$D$1000="Après-vente")+('Agences &amp; Après-vente'!$D$2:$D$1000="Agences et Après-vente"))*'Agences &amp; Après-vente'!$E$2:$E$1000)),"yyyy-mm-dd"),""))))))</f>
        <v/>
      </c>
      <c r="K634" s="131" t="str">
        <f aca="false">IF($U634="✓","✓",IF(ISNUMBER($U634),TEXT($U634,"yyyy-mm-dd"),IF($D634="Lisbonne","",IF($A634="","",IF(SUMPRODUCT((Evermont!$A$2:$A$1000=$A634)*(Evermont!$Q$2:$Q$1000="Terminé"))&gt;0,"✓",IF(SUMPRODUCT(MAX((Evermont!$A$2:$A$1000=$A634)*Evermont!$F$2:$F$1000))&gt;0,TEXT(SUMPRODUCT(MAX((Evermont!$A$2:$A$1000=$A634)*Evermont!$F$2:$F$1000)),"yyyy-mm-dd"),""))))))</f>
        <v/>
      </c>
      <c r="L634" s="131" t="str">
        <f aca="false">IF($A634="","",COUNTIF(E634:K634,"✓"))</f>
        <v/>
      </c>
      <c r="M634" s="131" t="str">
        <f aca="false">IF(B634="","","Active")</f>
        <v/>
      </c>
      <c r="W634" s="120" t="str">
        <f aca="false">IF($A634="","",IF($X634&lt;&gt;"",$X634,IFERROR(INDEX('Formation Initiale'!$B$2:$B$999,MATCH($A634,'Formation Initiale'!$A$2:$A$999,0)),"Général")))</f>
        <v/>
      </c>
    </row>
    <row r="635" customFormat="false" ht="15" hidden="true" customHeight="true" outlineLevel="0" collapsed="false">
      <c r="A635" s="142" t="str">
        <f aca="false">IF(B635="","","TR"&amp;TEXT(ROW()-1,"000"))</f>
        <v/>
      </c>
      <c r="E635" s="130" t="str">
        <f aca="false">IF($O635="✓","✓",IF(ISNUMBER($O635),TEXT($O635,"yyyy-mm-dd"),IF($A635="","",IF(SUMPRODUCT(('Formation Initiale'!$A$2:$A$999=$A635)*('Formation Initiale'!$R$2:$R$999="Terminé"))&gt;0,"✓",IF(SUMPRODUCT(MAX(('Formation Initiale'!$A$2:$A$999=$A635)*'Formation Initiale'!$G$2:$G$999))&gt;0,TEXT(SUMPRODUCT(MAX(('Formation Initiale'!$A$2:$A$999=$A635)*'Formation Initiale'!$G$2:$G$999)),"yyyy-mm-dd"),"")))))</f>
        <v/>
      </c>
      <c r="F635" s="131" t="str">
        <f aca="false">IF($P635="✓","✓",IF(ISNUMBER($P635),TEXT($P635,"yyyy-mm-dd"),IF($A635="","",IF($D635="Lisbonne","",IF(SUMPRODUCT(('Formation Initiale'!$A$2:$A$999=$A635)*('Formation Initiale'!$R$2:$R$999="Terminé"))&gt;0,"✓",IF(SUMPRODUCT(MAX(('Formation Initiale'!$A$2:$A$999=$A635)*'Formation Initiale'!$G$2:$G$999))&gt;0,TEXT(SUMPRODUCT(MAX(('Formation Initiale'!$A$2:$A$999=$A635)*'Formation Initiale'!$G$2:$G$999)),"yyyy-mm-dd"),""))))))</f>
        <v/>
      </c>
      <c r="G635" s="131" t="str">
        <f aca="false">IF($Q635="✓","✓",IF(ISNUMBER($Q635),TEXT($Q635,"yyyy-mm-dd"),IF($A635="","",IF(SUMPRODUCT(('Agences &amp; Après-vente'!$A$2:$A$1000=$A635)*(('Agences &amp; Après-vente'!$D$2:$D$1000="Agences")+('Agences &amp; Après-vente'!$D$2:$D$1000="Agences et Après-vente"))*('Agences &amp; Après-vente'!$I$2:$I$1000="DONE"))&gt;0,"✓",IF(SUMPRODUCT(MAX(('Agences &amp; Après-vente'!$A$2:$A$1000=$A635)*(('Agences &amp; Après-vente'!$D$2:$D$1000="Agences")+('Agences &amp; Après-vente'!$D$2:$D$1000="Agences et Après-vente"))*'Agences &amp; Après-vente'!$E$2:$E$1000))&gt;0,TEXT(SUMPRODUCT(MAX(('Agences &amp; Après-vente'!$A$2:$A$1000=$A635)*(('Agences &amp; Après-vente'!$D$2:$D$1000="Agences")+('Agences &amp; Après-vente'!$D$2:$D$1000="Agences et Après-vente"))*'Agences &amp; Après-vente'!$E$2:$E$1000)),"yyyy-mm-dd"),"")))))</f>
        <v/>
      </c>
      <c r="H635" s="131" t="str">
        <f aca="false">IF($R635="✓","✓",IF(ISNUMBER($R635),TEXT($R635,"yyyy-mm-dd"),IF($A635="","",IF($D635="Lisbonne","",IF(SUMPRODUCT(('Agences &amp; Après-vente'!$A$2:$A$1000=$A635)*(('Agences &amp; Après-vente'!$D$2:$D$1000="Agences")+('Agences &amp; Après-vente'!$D$2:$D$1000="Agences et Après-vente"))*('Agences &amp; Après-vente'!$I$2:$I$1000="DONE"))&gt;0,"✓",IF(SUMPRODUCT(MAX(('Agences &amp; Après-vente'!$A$2:$A$1000=$A635)*(('Agences &amp; Après-vente'!$D$2:$D$1000="Agences")+('Agences &amp; Après-vente'!$D$2:$D$1000="Agences et Après-vente"))*'Agences &amp; Après-vente'!$E$2:$E$1000))&gt;0,TEXT(SUMPRODUCT(MAX(('Agences &amp; Après-vente'!$A$2:$A$1000=$A635)*(('Agences &amp; Après-vente'!$D$2:$D$1000="Agences")+('Agences &amp; Après-vente'!$D$2:$D$1000="Agences et Après-vente"))*'Agences &amp; Après-vente'!$E$2:$E$1000)),"yyyy-mm-dd"),""))))))</f>
        <v/>
      </c>
      <c r="I635" s="131" t="str">
        <f aca="false">IF($S635="✓","✓",IF(ISNUMBER($S635),TEXT($S635,"yyyy-mm-dd"),IF($A635="","",IF(SUMPRODUCT(('Agences &amp; Après-vente'!$A$2:$A$1000=$A635)*(('Agences &amp; Après-vente'!$D$2:$D$1000="Après-vente")+('Agences &amp; Après-vente'!$D$2:$D$1000="Agences et Après-vente"))*('Agences &amp; Après-vente'!$I$2:$I$1000="DONE"))&gt;0,"✓",IF(SUMPRODUCT(MAX(('Agences &amp; Après-vente'!$A$2:$A$1000=$A635)*(('Agences &amp; Après-vente'!$D$2:$D$1000="Après-vente")+('Agences &amp; Après-vente'!$D$2:$D$1000="Agences et Après-vente"))*'Agences &amp; Après-vente'!$E$2:$E$1000))&gt;0,TEXT(SUMPRODUCT(MAX(('Agences &amp; Après-vente'!$A$2:$A$1000=$A635)*(('Agences &amp; Après-vente'!$D$2:$D$1000="Après-vente")+('Agences &amp; Après-vente'!$D$2:$D$1000="Agences et Après-vente"))*'Agences &amp; Après-vente'!$E$2:$E$1000)),"yyyy-mm-dd"),"")))))</f>
        <v/>
      </c>
      <c r="J635" s="131" t="str">
        <f aca="false">IF($T635="✓","✓",IF(ISNUMBER($T635),TEXT($T635,"yyyy-mm-dd"),IF($A635="","",IF($D635="Lisbonne","",IF(SUMPRODUCT(('Agences &amp; Après-vente'!$A$2:$A$1000=$A635)*(('Agences &amp; Après-vente'!$D$2:$D$1000="Après-vente")+('Agences &amp; Après-vente'!$D$2:$D$1000="Agences et Après-vente"))*('Agences &amp; Après-vente'!$I$2:$I$1000="DONE"))&gt;0,"✓",IF(SUMPRODUCT(MAX(('Agences &amp; Après-vente'!$A$2:$A$1000=$A635)*(('Agences &amp; Après-vente'!$D$2:$D$1000="Après-vente")+('Agences &amp; Après-vente'!$D$2:$D$1000="Agences et Après-vente"))*'Agences &amp; Après-vente'!$E$2:$E$1000))&gt;0,TEXT(SUMPRODUCT(MAX(('Agences &amp; Après-vente'!$A$2:$A$1000=$A635)*(('Agences &amp; Après-vente'!$D$2:$D$1000="Après-vente")+('Agences &amp; Après-vente'!$D$2:$D$1000="Agences et Après-vente"))*'Agences &amp; Après-vente'!$E$2:$E$1000)),"yyyy-mm-dd"),""))))))</f>
        <v/>
      </c>
      <c r="K635" s="131" t="str">
        <f aca="false">IF($U635="✓","✓",IF(ISNUMBER($U635),TEXT($U635,"yyyy-mm-dd"),IF($D635="Lisbonne","",IF($A635="","",IF(SUMPRODUCT((Evermont!$A$2:$A$1000=$A635)*(Evermont!$Q$2:$Q$1000="Terminé"))&gt;0,"✓",IF(SUMPRODUCT(MAX((Evermont!$A$2:$A$1000=$A635)*Evermont!$F$2:$F$1000))&gt;0,TEXT(SUMPRODUCT(MAX((Evermont!$A$2:$A$1000=$A635)*Evermont!$F$2:$F$1000)),"yyyy-mm-dd"),""))))))</f>
        <v/>
      </c>
      <c r="L635" s="131" t="str">
        <f aca="false">IF($A635="","",COUNTIF(E635:K635,"✓"))</f>
        <v/>
      </c>
      <c r="M635" s="131" t="str">
        <f aca="false">IF(B635="","","Active")</f>
        <v/>
      </c>
      <c r="W635" s="120" t="str">
        <f aca="false">IF($A635="","",IF($X635&lt;&gt;"",$X635,IFERROR(INDEX('Formation Initiale'!$B$2:$B$999,MATCH($A635,'Formation Initiale'!$A$2:$A$999,0)),"Général")))</f>
        <v/>
      </c>
    </row>
    <row r="636" customFormat="false" ht="15" hidden="true" customHeight="true" outlineLevel="0" collapsed="false">
      <c r="A636" s="142" t="str">
        <f aca="false">IF(B636="","","TR"&amp;TEXT(ROW()-1,"000"))</f>
        <v/>
      </c>
      <c r="E636" s="130" t="str">
        <f aca="false">IF($O636="✓","✓",IF(ISNUMBER($O636),TEXT($O636,"yyyy-mm-dd"),IF($A636="","",IF(SUMPRODUCT(('Formation Initiale'!$A$2:$A$999=$A636)*('Formation Initiale'!$R$2:$R$999="Terminé"))&gt;0,"✓",IF(SUMPRODUCT(MAX(('Formation Initiale'!$A$2:$A$999=$A636)*'Formation Initiale'!$G$2:$G$999))&gt;0,TEXT(SUMPRODUCT(MAX(('Formation Initiale'!$A$2:$A$999=$A636)*'Formation Initiale'!$G$2:$G$999)),"yyyy-mm-dd"),"")))))</f>
        <v/>
      </c>
      <c r="F636" s="131" t="str">
        <f aca="false">IF($P636="✓","✓",IF(ISNUMBER($P636),TEXT($P636,"yyyy-mm-dd"),IF($A636="","",IF($D636="Lisbonne","",IF(SUMPRODUCT(('Formation Initiale'!$A$2:$A$999=$A636)*('Formation Initiale'!$R$2:$R$999="Terminé"))&gt;0,"✓",IF(SUMPRODUCT(MAX(('Formation Initiale'!$A$2:$A$999=$A636)*'Formation Initiale'!$G$2:$G$999))&gt;0,TEXT(SUMPRODUCT(MAX(('Formation Initiale'!$A$2:$A$999=$A636)*'Formation Initiale'!$G$2:$G$999)),"yyyy-mm-dd"),""))))))</f>
        <v/>
      </c>
      <c r="G636" s="131" t="str">
        <f aca="false">IF($Q636="✓","✓",IF(ISNUMBER($Q636),TEXT($Q636,"yyyy-mm-dd"),IF($A636="","",IF(SUMPRODUCT(('Agences &amp; Après-vente'!$A$2:$A$1000=$A636)*(('Agences &amp; Après-vente'!$D$2:$D$1000="Agences")+('Agences &amp; Après-vente'!$D$2:$D$1000="Agences et Après-vente"))*('Agences &amp; Après-vente'!$I$2:$I$1000="DONE"))&gt;0,"✓",IF(SUMPRODUCT(MAX(('Agences &amp; Après-vente'!$A$2:$A$1000=$A636)*(('Agences &amp; Après-vente'!$D$2:$D$1000="Agences")+('Agences &amp; Après-vente'!$D$2:$D$1000="Agences et Après-vente"))*'Agences &amp; Après-vente'!$E$2:$E$1000))&gt;0,TEXT(SUMPRODUCT(MAX(('Agences &amp; Après-vente'!$A$2:$A$1000=$A636)*(('Agences &amp; Après-vente'!$D$2:$D$1000="Agences")+('Agences &amp; Après-vente'!$D$2:$D$1000="Agences et Après-vente"))*'Agences &amp; Après-vente'!$E$2:$E$1000)),"yyyy-mm-dd"),"")))))</f>
        <v/>
      </c>
      <c r="H636" s="131" t="str">
        <f aca="false">IF($R636="✓","✓",IF(ISNUMBER($R636),TEXT($R636,"yyyy-mm-dd"),IF($A636="","",IF($D636="Lisbonne","",IF(SUMPRODUCT(('Agences &amp; Après-vente'!$A$2:$A$1000=$A636)*(('Agences &amp; Après-vente'!$D$2:$D$1000="Agences")+('Agences &amp; Après-vente'!$D$2:$D$1000="Agences et Après-vente"))*('Agences &amp; Après-vente'!$I$2:$I$1000="DONE"))&gt;0,"✓",IF(SUMPRODUCT(MAX(('Agences &amp; Après-vente'!$A$2:$A$1000=$A636)*(('Agences &amp; Après-vente'!$D$2:$D$1000="Agences")+('Agences &amp; Après-vente'!$D$2:$D$1000="Agences et Après-vente"))*'Agences &amp; Après-vente'!$E$2:$E$1000))&gt;0,TEXT(SUMPRODUCT(MAX(('Agences &amp; Après-vente'!$A$2:$A$1000=$A636)*(('Agences &amp; Après-vente'!$D$2:$D$1000="Agences")+('Agences &amp; Après-vente'!$D$2:$D$1000="Agences et Après-vente"))*'Agences &amp; Après-vente'!$E$2:$E$1000)),"yyyy-mm-dd"),""))))))</f>
        <v/>
      </c>
      <c r="I636" s="131" t="str">
        <f aca="false">IF($S636="✓","✓",IF(ISNUMBER($S636),TEXT($S636,"yyyy-mm-dd"),IF($A636="","",IF(SUMPRODUCT(('Agences &amp; Après-vente'!$A$2:$A$1000=$A636)*(('Agences &amp; Après-vente'!$D$2:$D$1000="Après-vente")+('Agences &amp; Après-vente'!$D$2:$D$1000="Agences et Après-vente"))*('Agences &amp; Après-vente'!$I$2:$I$1000="DONE"))&gt;0,"✓",IF(SUMPRODUCT(MAX(('Agences &amp; Après-vente'!$A$2:$A$1000=$A636)*(('Agences &amp; Après-vente'!$D$2:$D$1000="Après-vente")+('Agences &amp; Après-vente'!$D$2:$D$1000="Agences et Après-vente"))*'Agences &amp; Après-vente'!$E$2:$E$1000))&gt;0,TEXT(SUMPRODUCT(MAX(('Agences &amp; Après-vente'!$A$2:$A$1000=$A636)*(('Agences &amp; Après-vente'!$D$2:$D$1000="Après-vente")+('Agences &amp; Après-vente'!$D$2:$D$1000="Agences et Après-vente"))*'Agences &amp; Après-vente'!$E$2:$E$1000)),"yyyy-mm-dd"),"")))))</f>
        <v/>
      </c>
      <c r="J636" s="131" t="str">
        <f aca="false">IF($T636="✓","✓",IF(ISNUMBER($T636),TEXT($T636,"yyyy-mm-dd"),IF($A636="","",IF($D636="Lisbonne","",IF(SUMPRODUCT(('Agences &amp; Après-vente'!$A$2:$A$1000=$A636)*(('Agences &amp; Après-vente'!$D$2:$D$1000="Après-vente")+('Agences &amp; Après-vente'!$D$2:$D$1000="Agences et Après-vente"))*('Agences &amp; Après-vente'!$I$2:$I$1000="DONE"))&gt;0,"✓",IF(SUMPRODUCT(MAX(('Agences &amp; Après-vente'!$A$2:$A$1000=$A636)*(('Agences &amp; Après-vente'!$D$2:$D$1000="Après-vente")+('Agences &amp; Après-vente'!$D$2:$D$1000="Agences et Après-vente"))*'Agences &amp; Après-vente'!$E$2:$E$1000))&gt;0,TEXT(SUMPRODUCT(MAX(('Agences &amp; Après-vente'!$A$2:$A$1000=$A636)*(('Agences &amp; Après-vente'!$D$2:$D$1000="Après-vente")+('Agences &amp; Après-vente'!$D$2:$D$1000="Agences et Après-vente"))*'Agences &amp; Après-vente'!$E$2:$E$1000)),"yyyy-mm-dd"),""))))))</f>
        <v/>
      </c>
      <c r="K636" s="131" t="str">
        <f aca="false">IF($U636="✓","✓",IF(ISNUMBER($U636),TEXT($U636,"yyyy-mm-dd"),IF($D636="Lisbonne","",IF($A636="","",IF(SUMPRODUCT((Evermont!$A$2:$A$1000=$A636)*(Evermont!$Q$2:$Q$1000="Terminé"))&gt;0,"✓",IF(SUMPRODUCT(MAX((Evermont!$A$2:$A$1000=$A636)*Evermont!$F$2:$F$1000))&gt;0,TEXT(SUMPRODUCT(MAX((Evermont!$A$2:$A$1000=$A636)*Evermont!$F$2:$F$1000)),"yyyy-mm-dd"),""))))))</f>
        <v/>
      </c>
      <c r="L636" s="131" t="str">
        <f aca="false">IF($A636="","",COUNTIF(E636:K636,"✓"))</f>
        <v/>
      </c>
      <c r="M636" s="131" t="str">
        <f aca="false">IF(B636="","","Active")</f>
        <v/>
      </c>
      <c r="W636" s="120" t="str">
        <f aca="false">IF($A636="","",IF($X636&lt;&gt;"",$X636,IFERROR(INDEX('Formation Initiale'!$B$2:$B$999,MATCH($A636,'Formation Initiale'!$A$2:$A$999,0)),"Général")))</f>
        <v/>
      </c>
    </row>
    <row r="637" customFormat="false" ht="15" hidden="true" customHeight="true" outlineLevel="0" collapsed="false">
      <c r="A637" s="142" t="str">
        <f aca="false">IF(B637="","","TR"&amp;TEXT(ROW()-1,"000"))</f>
        <v/>
      </c>
      <c r="E637" s="130" t="str">
        <f aca="false">IF($O637="✓","✓",IF(ISNUMBER($O637),TEXT($O637,"yyyy-mm-dd"),IF($A637="","",IF(SUMPRODUCT(('Formation Initiale'!$A$2:$A$999=$A637)*('Formation Initiale'!$R$2:$R$999="Terminé"))&gt;0,"✓",IF(SUMPRODUCT(MAX(('Formation Initiale'!$A$2:$A$999=$A637)*'Formation Initiale'!$G$2:$G$999))&gt;0,TEXT(SUMPRODUCT(MAX(('Formation Initiale'!$A$2:$A$999=$A637)*'Formation Initiale'!$G$2:$G$999)),"yyyy-mm-dd"),"")))))</f>
        <v/>
      </c>
      <c r="F637" s="131" t="str">
        <f aca="false">IF($P637="✓","✓",IF(ISNUMBER($P637),TEXT($P637,"yyyy-mm-dd"),IF($A637="","",IF($D637="Lisbonne","",IF(SUMPRODUCT(('Formation Initiale'!$A$2:$A$999=$A637)*('Formation Initiale'!$R$2:$R$999="Terminé"))&gt;0,"✓",IF(SUMPRODUCT(MAX(('Formation Initiale'!$A$2:$A$999=$A637)*'Formation Initiale'!$G$2:$G$999))&gt;0,TEXT(SUMPRODUCT(MAX(('Formation Initiale'!$A$2:$A$999=$A637)*'Formation Initiale'!$G$2:$G$999)),"yyyy-mm-dd"),""))))))</f>
        <v/>
      </c>
      <c r="G637" s="131" t="str">
        <f aca="false">IF($Q637="✓","✓",IF(ISNUMBER($Q637),TEXT($Q637,"yyyy-mm-dd"),IF($A637="","",IF(SUMPRODUCT(('Agences &amp; Après-vente'!$A$2:$A$1000=$A637)*(('Agences &amp; Après-vente'!$D$2:$D$1000="Agences")+('Agences &amp; Après-vente'!$D$2:$D$1000="Agences et Après-vente"))*('Agences &amp; Après-vente'!$I$2:$I$1000="DONE"))&gt;0,"✓",IF(SUMPRODUCT(MAX(('Agences &amp; Après-vente'!$A$2:$A$1000=$A637)*(('Agences &amp; Après-vente'!$D$2:$D$1000="Agences")+('Agences &amp; Après-vente'!$D$2:$D$1000="Agences et Après-vente"))*'Agences &amp; Après-vente'!$E$2:$E$1000))&gt;0,TEXT(SUMPRODUCT(MAX(('Agences &amp; Après-vente'!$A$2:$A$1000=$A637)*(('Agences &amp; Après-vente'!$D$2:$D$1000="Agences")+('Agences &amp; Après-vente'!$D$2:$D$1000="Agences et Après-vente"))*'Agences &amp; Après-vente'!$E$2:$E$1000)),"yyyy-mm-dd"),"")))))</f>
        <v/>
      </c>
      <c r="H637" s="131" t="str">
        <f aca="false">IF($R637="✓","✓",IF(ISNUMBER($R637),TEXT($R637,"yyyy-mm-dd"),IF($A637="","",IF($D637="Lisbonne","",IF(SUMPRODUCT(('Agences &amp; Après-vente'!$A$2:$A$1000=$A637)*(('Agences &amp; Après-vente'!$D$2:$D$1000="Agences")+('Agences &amp; Après-vente'!$D$2:$D$1000="Agences et Après-vente"))*('Agences &amp; Après-vente'!$I$2:$I$1000="DONE"))&gt;0,"✓",IF(SUMPRODUCT(MAX(('Agences &amp; Après-vente'!$A$2:$A$1000=$A637)*(('Agences &amp; Après-vente'!$D$2:$D$1000="Agences")+('Agences &amp; Après-vente'!$D$2:$D$1000="Agences et Après-vente"))*'Agences &amp; Après-vente'!$E$2:$E$1000))&gt;0,TEXT(SUMPRODUCT(MAX(('Agences &amp; Après-vente'!$A$2:$A$1000=$A637)*(('Agences &amp; Après-vente'!$D$2:$D$1000="Agences")+('Agences &amp; Après-vente'!$D$2:$D$1000="Agences et Après-vente"))*'Agences &amp; Après-vente'!$E$2:$E$1000)),"yyyy-mm-dd"),""))))))</f>
        <v/>
      </c>
      <c r="I637" s="131" t="str">
        <f aca="false">IF($S637="✓","✓",IF(ISNUMBER($S637),TEXT($S637,"yyyy-mm-dd"),IF($A637="","",IF(SUMPRODUCT(('Agences &amp; Après-vente'!$A$2:$A$1000=$A637)*(('Agences &amp; Après-vente'!$D$2:$D$1000="Après-vente")+('Agences &amp; Après-vente'!$D$2:$D$1000="Agences et Après-vente"))*('Agences &amp; Après-vente'!$I$2:$I$1000="DONE"))&gt;0,"✓",IF(SUMPRODUCT(MAX(('Agences &amp; Après-vente'!$A$2:$A$1000=$A637)*(('Agences &amp; Après-vente'!$D$2:$D$1000="Après-vente")+('Agences &amp; Après-vente'!$D$2:$D$1000="Agences et Après-vente"))*'Agences &amp; Après-vente'!$E$2:$E$1000))&gt;0,TEXT(SUMPRODUCT(MAX(('Agences &amp; Après-vente'!$A$2:$A$1000=$A637)*(('Agences &amp; Après-vente'!$D$2:$D$1000="Après-vente")+('Agences &amp; Après-vente'!$D$2:$D$1000="Agences et Après-vente"))*'Agences &amp; Après-vente'!$E$2:$E$1000)),"yyyy-mm-dd"),"")))))</f>
        <v/>
      </c>
      <c r="J637" s="131" t="str">
        <f aca="false">IF($T637="✓","✓",IF(ISNUMBER($T637),TEXT($T637,"yyyy-mm-dd"),IF($A637="","",IF($D637="Lisbonne","",IF(SUMPRODUCT(('Agences &amp; Après-vente'!$A$2:$A$1000=$A637)*(('Agences &amp; Après-vente'!$D$2:$D$1000="Après-vente")+('Agences &amp; Après-vente'!$D$2:$D$1000="Agences et Après-vente"))*('Agences &amp; Après-vente'!$I$2:$I$1000="DONE"))&gt;0,"✓",IF(SUMPRODUCT(MAX(('Agences &amp; Après-vente'!$A$2:$A$1000=$A637)*(('Agences &amp; Après-vente'!$D$2:$D$1000="Après-vente")+('Agences &amp; Après-vente'!$D$2:$D$1000="Agences et Après-vente"))*'Agences &amp; Après-vente'!$E$2:$E$1000))&gt;0,TEXT(SUMPRODUCT(MAX(('Agences &amp; Après-vente'!$A$2:$A$1000=$A637)*(('Agences &amp; Après-vente'!$D$2:$D$1000="Après-vente")+('Agences &amp; Après-vente'!$D$2:$D$1000="Agences et Après-vente"))*'Agences &amp; Après-vente'!$E$2:$E$1000)),"yyyy-mm-dd"),""))))))</f>
        <v/>
      </c>
      <c r="K637" s="131" t="str">
        <f aca="false">IF($U637="✓","✓",IF(ISNUMBER($U637),TEXT($U637,"yyyy-mm-dd"),IF($D637="Lisbonne","",IF($A637="","",IF(SUMPRODUCT((Evermont!$A$2:$A$1000=$A637)*(Evermont!$Q$2:$Q$1000="Terminé"))&gt;0,"✓",IF(SUMPRODUCT(MAX((Evermont!$A$2:$A$1000=$A637)*Evermont!$F$2:$F$1000))&gt;0,TEXT(SUMPRODUCT(MAX((Evermont!$A$2:$A$1000=$A637)*Evermont!$F$2:$F$1000)),"yyyy-mm-dd"),""))))))</f>
        <v/>
      </c>
      <c r="L637" s="131" t="str">
        <f aca="false">IF($A637="","",COUNTIF(E637:K637,"✓"))</f>
        <v/>
      </c>
      <c r="M637" s="131" t="str">
        <f aca="false">IF(B637="","","Active")</f>
        <v/>
      </c>
      <c r="W637" s="120" t="str">
        <f aca="false">IF($A637="","",IF($X637&lt;&gt;"",$X637,IFERROR(INDEX('Formation Initiale'!$B$2:$B$999,MATCH($A637,'Formation Initiale'!$A$2:$A$999,0)),"Général")))</f>
        <v/>
      </c>
    </row>
    <row r="638" customFormat="false" ht="15" hidden="true" customHeight="true" outlineLevel="0" collapsed="false">
      <c r="A638" s="142" t="str">
        <f aca="false">IF(B638="","","TR"&amp;TEXT(ROW()-1,"000"))</f>
        <v/>
      </c>
      <c r="E638" s="130" t="str">
        <f aca="false">IF($O638="✓","✓",IF(ISNUMBER($O638),TEXT($O638,"yyyy-mm-dd"),IF($A638="","",IF(SUMPRODUCT(('Formation Initiale'!$A$2:$A$999=$A638)*('Formation Initiale'!$R$2:$R$999="Terminé"))&gt;0,"✓",IF(SUMPRODUCT(MAX(('Formation Initiale'!$A$2:$A$999=$A638)*'Formation Initiale'!$G$2:$G$999))&gt;0,TEXT(SUMPRODUCT(MAX(('Formation Initiale'!$A$2:$A$999=$A638)*'Formation Initiale'!$G$2:$G$999)),"yyyy-mm-dd"),"")))))</f>
        <v/>
      </c>
      <c r="F638" s="131" t="str">
        <f aca="false">IF($P638="✓","✓",IF(ISNUMBER($P638),TEXT($P638,"yyyy-mm-dd"),IF($A638="","",IF($D638="Lisbonne","",IF(SUMPRODUCT(('Formation Initiale'!$A$2:$A$999=$A638)*('Formation Initiale'!$R$2:$R$999="Terminé"))&gt;0,"✓",IF(SUMPRODUCT(MAX(('Formation Initiale'!$A$2:$A$999=$A638)*'Formation Initiale'!$G$2:$G$999))&gt;0,TEXT(SUMPRODUCT(MAX(('Formation Initiale'!$A$2:$A$999=$A638)*'Formation Initiale'!$G$2:$G$999)),"yyyy-mm-dd"),""))))))</f>
        <v/>
      </c>
      <c r="G638" s="131" t="str">
        <f aca="false">IF($Q638="✓","✓",IF(ISNUMBER($Q638),TEXT($Q638,"yyyy-mm-dd"),IF($A638="","",IF(SUMPRODUCT(('Agences &amp; Après-vente'!$A$2:$A$1000=$A638)*(('Agences &amp; Après-vente'!$D$2:$D$1000="Agences")+('Agences &amp; Après-vente'!$D$2:$D$1000="Agences et Après-vente"))*('Agences &amp; Après-vente'!$I$2:$I$1000="DONE"))&gt;0,"✓",IF(SUMPRODUCT(MAX(('Agences &amp; Après-vente'!$A$2:$A$1000=$A638)*(('Agences &amp; Après-vente'!$D$2:$D$1000="Agences")+('Agences &amp; Après-vente'!$D$2:$D$1000="Agences et Après-vente"))*'Agences &amp; Après-vente'!$E$2:$E$1000))&gt;0,TEXT(SUMPRODUCT(MAX(('Agences &amp; Après-vente'!$A$2:$A$1000=$A638)*(('Agences &amp; Après-vente'!$D$2:$D$1000="Agences")+('Agences &amp; Après-vente'!$D$2:$D$1000="Agences et Après-vente"))*'Agences &amp; Après-vente'!$E$2:$E$1000)),"yyyy-mm-dd"),"")))))</f>
        <v/>
      </c>
      <c r="H638" s="131" t="str">
        <f aca="false">IF($R638="✓","✓",IF(ISNUMBER($R638),TEXT($R638,"yyyy-mm-dd"),IF($A638="","",IF($D638="Lisbonne","",IF(SUMPRODUCT(('Agences &amp; Après-vente'!$A$2:$A$1000=$A638)*(('Agences &amp; Après-vente'!$D$2:$D$1000="Agences")+('Agences &amp; Après-vente'!$D$2:$D$1000="Agences et Après-vente"))*('Agences &amp; Après-vente'!$I$2:$I$1000="DONE"))&gt;0,"✓",IF(SUMPRODUCT(MAX(('Agences &amp; Après-vente'!$A$2:$A$1000=$A638)*(('Agences &amp; Après-vente'!$D$2:$D$1000="Agences")+('Agences &amp; Après-vente'!$D$2:$D$1000="Agences et Après-vente"))*'Agences &amp; Après-vente'!$E$2:$E$1000))&gt;0,TEXT(SUMPRODUCT(MAX(('Agences &amp; Après-vente'!$A$2:$A$1000=$A638)*(('Agences &amp; Après-vente'!$D$2:$D$1000="Agences")+('Agences &amp; Après-vente'!$D$2:$D$1000="Agences et Après-vente"))*'Agences &amp; Après-vente'!$E$2:$E$1000)),"yyyy-mm-dd"),""))))))</f>
        <v/>
      </c>
      <c r="I638" s="131" t="str">
        <f aca="false">IF($S638="✓","✓",IF(ISNUMBER($S638),TEXT($S638,"yyyy-mm-dd"),IF($A638="","",IF(SUMPRODUCT(('Agences &amp; Après-vente'!$A$2:$A$1000=$A638)*(('Agences &amp; Après-vente'!$D$2:$D$1000="Après-vente")+('Agences &amp; Après-vente'!$D$2:$D$1000="Agences et Après-vente"))*('Agences &amp; Après-vente'!$I$2:$I$1000="DONE"))&gt;0,"✓",IF(SUMPRODUCT(MAX(('Agences &amp; Après-vente'!$A$2:$A$1000=$A638)*(('Agences &amp; Après-vente'!$D$2:$D$1000="Après-vente")+('Agences &amp; Après-vente'!$D$2:$D$1000="Agences et Après-vente"))*'Agences &amp; Après-vente'!$E$2:$E$1000))&gt;0,TEXT(SUMPRODUCT(MAX(('Agences &amp; Après-vente'!$A$2:$A$1000=$A638)*(('Agences &amp; Après-vente'!$D$2:$D$1000="Après-vente")+('Agences &amp; Après-vente'!$D$2:$D$1000="Agences et Après-vente"))*'Agences &amp; Après-vente'!$E$2:$E$1000)),"yyyy-mm-dd"),"")))))</f>
        <v/>
      </c>
      <c r="J638" s="131" t="str">
        <f aca="false">IF($T638="✓","✓",IF(ISNUMBER($T638),TEXT($T638,"yyyy-mm-dd"),IF($A638="","",IF($D638="Lisbonne","",IF(SUMPRODUCT(('Agences &amp; Après-vente'!$A$2:$A$1000=$A638)*(('Agences &amp; Après-vente'!$D$2:$D$1000="Après-vente")+('Agences &amp; Après-vente'!$D$2:$D$1000="Agences et Après-vente"))*('Agences &amp; Après-vente'!$I$2:$I$1000="DONE"))&gt;0,"✓",IF(SUMPRODUCT(MAX(('Agences &amp; Après-vente'!$A$2:$A$1000=$A638)*(('Agences &amp; Après-vente'!$D$2:$D$1000="Après-vente")+('Agences &amp; Après-vente'!$D$2:$D$1000="Agences et Après-vente"))*'Agences &amp; Après-vente'!$E$2:$E$1000))&gt;0,TEXT(SUMPRODUCT(MAX(('Agences &amp; Après-vente'!$A$2:$A$1000=$A638)*(('Agences &amp; Après-vente'!$D$2:$D$1000="Après-vente")+('Agences &amp; Après-vente'!$D$2:$D$1000="Agences et Après-vente"))*'Agences &amp; Après-vente'!$E$2:$E$1000)),"yyyy-mm-dd"),""))))))</f>
        <v/>
      </c>
      <c r="K638" s="131" t="str">
        <f aca="false">IF($U638="✓","✓",IF(ISNUMBER($U638),TEXT($U638,"yyyy-mm-dd"),IF($D638="Lisbonne","",IF($A638="","",IF(SUMPRODUCT((Evermont!$A$2:$A$1000=$A638)*(Evermont!$Q$2:$Q$1000="Terminé"))&gt;0,"✓",IF(SUMPRODUCT(MAX((Evermont!$A$2:$A$1000=$A638)*Evermont!$F$2:$F$1000))&gt;0,TEXT(SUMPRODUCT(MAX((Evermont!$A$2:$A$1000=$A638)*Evermont!$F$2:$F$1000)),"yyyy-mm-dd"),""))))))</f>
        <v/>
      </c>
      <c r="L638" s="131" t="str">
        <f aca="false">IF($A638="","",COUNTIF(E638:K638,"✓"))</f>
        <v/>
      </c>
      <c r="M638" s="131" t="str">
        <f aca="false">IF(B638="","","Active")</f>
        <v/>
      </c>
      <c r="W638" s="120" t="str">
        <f aca="false">IF($A638="","",IF($X638&lt;&gt;"",$X638,IFERROR(INDEX('Formation Initiale'!$B$2:$B$999,MATCH($A638,'Formation Initiale'!$A$2:$A$999,0)),"Général")))</f>
        <v/>
      </c>
    </row>
    <row r="639" customFormat="false" ht="15" hidden="true" customHeight="true" outlineLevel="0" collapsed="false">
      <c r="A639" s="142" t="str">
        <f aca="false">IF(B639="","","TR"&amp;TEXT(ROW()-1,"000"))</f>
        <v/>
      </c>
      <c r="E639" s="130" t="str">
        <f aca="false">IF($O639="✓","✓",IF(ISNUMBER($O639),TEXT($O639,"yyyy-mm-dd"),IF($A639="","",IF(SUMPRODUCT(('Formation Initiale'!$A$2:$A$999=$A639)*('Formation Initiale'!$R$2:$R$999="Terminé"))&gt;0,"✓",IF(SUMPRODUCT(MAX(('Formation Initiale'!$A$2:$A$999=$A639)*'Formation Initiale'!$G$2:$G$999))&gt;0,TEXT(SUMPRODUCT(MAX(('Formation Initiale'!$A$2:$A$999=$A639)*'Formation Initiale'!$G$2:$G$999)),"yyyy-mm-dd"),"")))))</f>
        <v/>
      </c>
      <c r="F639" s="131" t="str">
        <f aca="false">IF($P639="✓","✓",IF(ISNUMBER($P639),TEXT($P639,"yyyy-mm-dd"),IF($A639="","",IF($D639="Lisbonne","",IF(SUMPRODUCT(('Formation Initiale'!$A$2:$A$999=$A639)*('Formation Initiale'!$R$2:$R$999="Terminé"))&gt;0,"✓",IF(SUMPRODUCT(MAX(('Formation Initiale'!$A$2:$A$999=$A639)*'Formation Initiale'!$G$2:$G$999))&gt;0,TEXT(SUMPRODUCT(MAX(('Formation Initiale'!$A$2:$A$999=$A639)*'Formation Initiale'!$G$2:$G$999)),"yyyy-mm-dd"),""))))))</f>
        <v/>
      </c>
      <c r="G639" s="131" t="str">
        <f aca="false">IF($Q639="✓","✓",IF(ISNUMBER($Q639),TEXT($Q639,"yyyy-mm-dd"),IF($A639="","",IF(SUMPRODUCT(('Agences &amp; Après-vente'!$A$2:$A$1000=$A639)*(('Agences &amp; Après-vente'!$D$2:$D$1000="Agences")+('Agences &amp; Après-vente'!$D$2:$D$1000="Agences et Après-vente"))*('Agences &amp; Après-vente'!$I$2:$I$1000="DONE"))&gt;0,"✓",IF(SUMPRODUCT(MAX(('Agences &amp; Après-vente'!$A$2:$A$1000=$A639)*(('Agences &amp; Après-vente'!$D$2:$D$1000="Agences")+('Agences &amp; Après-vente'!$D$2:$D$1000="Agences et Après-vente"))*'Agences &amp; Après-vente'!$E$2:$E$1000))&gt;0,TEXT(SUMPRODUCT(MAX(('Agences &amp; Après-vente'!$A$2:$A$1000=$A639)*(('Agences &amp; Après-vente'!$D$2:$D$1000="Agences")+('Agences &amp; Après-vente'!$D$2:$D$1000="Agences et Après-vente"))*'Agences &amp; Après-vente'!$E$2:$E$1000)),"yyyy-mm-dd"),"")))))</f>
        <v/>
      </c>
      <c r="H639" s="131" t="str">
        <f aca="false">IF($R639="✓","✓",IF(ISNUMBER($R639),TEXT($R639,"yyyy-mm-dd"),IF($A639="","",IF($D639="Lisbonne","",IF(SUMPRODUCT(('Agences &amp; Après-vente'!$A$2:$A$1000=$A639)*(('Agences &amp; Après-vente'!$D$2:$D$1000="Agences")+('Agences &amp; Après-vente'!$D$2:$D$1000="Agences et Après-vente"))*('Agences &amp; Après-vente'!$I$2:$I$1000="DONE"))&gt;0,"✓",IF(SUMPRODUCT(MAX(('Agences &amp; Après-vente'!$A$2:$A$1000=$A639)*(('Agences &amp; Après-vente'!$D$2:$D$1000="Agences")+('Agences &amp; Après-vente'!$D$2:$D$1000="Agences et Après-vente"))*'Agences &amp; Après-vente'!$E$2:$E$1000))&gt;0,TEXT(SUMPRODUCT(MAX(('Agences &amp; Après-vente'!$A$2:$A$1000=$A639)*(('Agences &amp; Après-vente'!$D$2:$D$1000="Agences")+('Agences &amp; Après-vente'!$D$2:$D$1000="Agences et Après-vente"))*'Agences &amp; Après-vente'!$E$2:$E$1000)),"yyyy-mm-dd"),""))))))</f>
        <v/>
      </c>
      <c r="I639" s="131" t="str">
        <f aca="false">IF($S639="✓","✓",IF(ISNUMBER($S639),TEXT($S639,"yyyy-mm-dd"),IF($A639="","",IF(SUMPRODUCT(('Agences &amp; Après-vente'!$A$2:$A$1000=$A639)*(('Agences &amp; Après-vente'!$D$2:$D$1000="Après-vente")+('Agences &amp; Après-vente'!$D$2:$D$1000="Agences et Après-vente"))*('Agences &amp; Après-vente'!$I$2:$I$1000="DONE"))&gt;0,"✓",IF(SUMPRODUCT(MAX(('Agences &amp; Après-vente'!$A$2:$A$1000=$A639)*(('Agences &amp; Après-vente'!$D$2:$D$1000="Après-vente")+('Agences &amp; Après-vente'!$D$2:$D$1000="Agences et Après-vente"))*'Agences &amp; Après-vente'!$E$2:$E$1000))&gt;0,TEXT(SUMPRODUCT(MAX(('Agences &amp; Après-vente'!$A$2:$A$1000=$A639)*(('Agences &amp; Après-vente'!$D$2:$D$1000="Après-vente")+('Agences &amp; Après-vente'!$D$2:$D$1000="Agences et Après-vente"))*'Agences &amp; Après-vente'!$E$2:$E$1000)),"yyyy-mm-dd"),"")))))</f>
        <v/>
      </c>
      <c r="J639" s="131" t="str">
        <f aca="false">IF($T639="✓","✓",IF(ISNUMBER($T639),TEXT($T639,"yyyy-mm-dd"),IF($A639="","",IF($D639="Lisbonne","",IF(SUMPRODUCT(('Agences &amp; Après-vente'!$A$2:$A$1000=$A639)*(('Agences &amp; Après-vente'!$D$2:$D$1000="Après-vente")+('Agences &amp; Après-vente'!$D$2:$D$1000="Agences et Après-vente"))*('Agences &amp; Après-vente'!$I$2:$I$1000="DONE"))&gt;0,"✓",IF(SUMPRODUCT(MAX(('Agences &amp; Après-vente'!$A$2:$A$1000=$A639)*(('Agences &amp; Après-vente'!$D$2:$D$1000="Après-vente")+('Agences &amp; Après-vente'!$D$2:$D$1000="Agences et Après-vente"))*'Agences &amp; Après-vente'!$E$2:$E$1000))&gt;0,TEXT(SUMPRODUCT(MAX(('Agences &amp; Après-vente'!$A$2:$A$1000=$A639)*(('Agences &amp; Après-vente'!$D$2:$D$1000="Après-vente")+('Agences &amp; Après-vente'!$D$2:$D$1000="Agences et Après-vente"))*'Agences &amp; Après-vente'!$E$2:$E$1000)),"yyyy-mm-dd"),""))))))</f>
        <v/>
      </c>
      <c r="K639" s="131" t="str">
        <f aca="false">IF($U639="✓","✓",IF(ISNUMBER($U639),TEXT($U639,"yyyy-mm-dd"),IF($D639="Lisbonne","",IF($A639="","",IF(SUMPRODUCT((Evermont!$A$2:$A$1000=$A639)*(Evermont!$Q$2:$Q$1000="Terminé"))&gt;0,"✓",IF(SUMPRODUCT(MAX((Evermont!$A$2:$A$1000=$A639)*Evermont!$F$2:$F$1000))&gt;0,TEXT(SUMPRODUCT(MAX((Evermont!$A$2:$A$1000=$A639)*Evermont!$F$2:$F$1000)),"yyyy-mm-dd"),""))))))</f>
        <v/>
      </c>
      <c r="L639" s="131" t="str">
        <f aca="false">IF($A639="","",COUNTIF(E639:K639,"✓"))</f>
        <v/>
      </c>
      <c r="M639" s="131" t="str">
        <f aca="false">IF(B639="","","Active")</f>
        <v/>
      </c>
      <c r="W639" s="120" t="str">
        <f aca="false">IF($A639="","",IF($X639&lt;&gt;"",$X639,IFERROR(INDEX('Formation Initiale'!$B$2:$B$999,MATCH($A639,'Formation Initiale'!$A$2:$A$999,0)),"Général")))</f>
        <v/>
      </c>
    </row>
    <row r="640" customFormat="false" ht="15" hidden="true" customHeight="true" outlineLevel="0" collapsed="false">
      <c r="A640" s="142" t="str">
        <f aca="false">IF(B640="","","TR"&amp;TEXT(ROW()-1,"000"))</f>
        <v/>
      </c>
      <c r="E640" s="130" t="str">
        <f aca="false">IF($O640="✓","✓",IF(ISNUMBER($O640),TEXT($O640,"yyyy-mm-dd"),IF($A640="","",IF(SUMPRODUCT(('Formation Initiale'!$A$2:$A$999=$A640)*('Formation Initiale'!$R$2:$R$999="Terminé"))&gt;0,"✓",IF(SUMPRODUCT(MAX(('Formation Initiale'!$A$2:$A$999=$A640)*'Formation Initiale'!$G$2:$G$999))&gt;0,TEXT(SUMPRODUCT(MAX(('Formation Initiale'!$A$2:$A$999=$A640)*'Formation Initiale'!$G$2:$G$999)),"yyyy-mm-dd"),"")))))</f>
        <v/>
      </c>
      <c r="F640" s="131" t="str">
        <f aca="false">IF($P640="✓","✓",IF(ISNUMBER($P640),TEXT($P640,"yyyy-mm-dd"),IF($A640="","",IF($D640="Lisbonne","",IF(SUMPRODUCT(('Formation Initiale'!$A$2:$A$999=$A640)*('Formation Initiale'!$R$2:$R$999="Terminé"))&gt;0,"✓",IF(SUMPRODUCT(MAX(('Formation Initiale'!$A$2:$A$999=$A640)*'Formation Initiale'!$G$2:$G$999))&gt;0,TEXT(SUMPRODUCT(MAX(('Formation Initiale'!$A$2:$A$999=$A640)*'Formation Initiale'!$G$2:$G$999)),"yyyy-mm-dd"),""))))))</f>
        <v/>
      </c>
      <c r="G640" s="131" t="str">
        <f aca="false">IF($Q640="✓","✓",IF(ISNUMBER($Q640),TEXT($Q640,"yyyy-mm-dd"),IF($A640="","",IF(SUMPRODUCT(('Agences &amp; Après-vente'!$A$2:$A$1000=$A640)*(('Agences &amp; Après-vente'!$D$2:$D$1000="Agences")+('Agences &amp; Après-vente'!$D$2:$D$1000="Agences et Après-vente"))*('Agences &amp; Après-vente'!$I$2:$I$1000="DONE"))&gt;0,"✓",IF(SUMPRODUCT(MAX(('Agences &amp; Après-vente'!$A$2:$A$1000=$A640)*(('Agences &amp; Après-vente'!$D$2:$D$1000="Agences")+('Agences &amp; Après-vente'!$D$2:$D$1000="Agences et Après-vente"))*'Agences &amp; Après-vente'!$E$2:$E$1000))&gt;0,TEXT(SUMPRODUCT(MAX(('Agences &amp; Après-vente'!$A$2:$A$1000=$A640)*(('Agences &amp; Après-vente'!$D$2:$D$1000="Agences")+('Agences &amp; Après-vente'!$D$2:$D$1000="Agences et Après-vente"))*'Agences &amp; Après-vente'!$E$2:$E$1000)),"yyyy-mm-dd"),"")))))</f>
        <v/>
      </c>
      <c r="H640" s="131" t="str">
        <f aca="false">IF($R640="✓","✓",IF(ISNUMBER($R640),TEXT($R640,"yyyy-mm-dd"),IF($A640="","",IF($D640="Lisbonne","",IF(SUMPRODUCT(('Agences &amp; Après-vente'!$A$2:$A$1000=$A640)*(('Agences &amp; Après-vente'!$D$2:$D$1000="Agences")+('Agences &amp; Après-vente'!$D$2:$D$1000="Agences et Après-vente"))*('Agences &amp; Après-vente'!$I$2:$I$1000="DONE"))&gt;0,"✓",IF(SUMPRODUCT(MAX(('Agences &amp; Après-vente'!$A$2:$A$1000=$A640)*(('Agences &amp; Après-vente'!$D$2:$D$1000="Agences")+('Agences &amp; Après-vente'!$D$2:$D$1000="Agences et Après-vente"))*'Agences &amp; Après-vente'!$E$2:$E$1000))&gt;0,TEXT(SUMPRODUCT(MAX(('Agences &amp; Après-vente'!$A$2:$A$1000=$A640)*(('Agences &amp; Après-vente'!$D$2:$D$1000="Agences")+('Agences &amp; Après-vente'!$D$2:$D$1000="Agences et Après-vente"))*'Agences &amp; Après-vente'!$E$2:$E$1000)),"yyyy-mm-dd"),""))))))</f>
        <v/>
      </c>
      <c r="I640" s="131" t="str">
        <f aca="false">IF($S640="✓","✓",IF(ISNUMBER($S640),TEXT($S640,"yyyy-mm-dd"),IF($A640="","",IF(SUMPRODUCT(('Agences &amp; Après-vente'!$A$2:$A$1000=$A640)*(('Agences &amp; Après-vente'!$D$2:$D$1000="Après-vente")+('Agences &amp; Après-vente'!$D$2:$D$1000="Agences et Après-vente"))*('Agences &amp; Après-vente'!$I$2:$I$1000="DONE"))&gt;0,"✓",IF(SUMPRODUCT(MAX(('Agences &amp; Après-vente'!$A$2:$A$1000=$A640)*(('Agences &amp; Après-vente'!$D$2:$D$1000="Après-vente")+('Agences &amp; Après-vente'!$D$2:$D$1000="Agences et Après-vente"))*'Agences &amp; Après-vente'!$E$2:$E$1000))&gt;0,TEXT(SUMPRODUCT(MAX(('Agences &amp; Après-vente'!$A$2:$A$1000=$A640)*(('Agences &amp; Après-vente'!$D$2:$D$1000="Après-vente")+('Agences &amp; Après-vente'!$D$2:$D$1000="Agences et Après-vente"))*'Agences &amp; Après-vente'!$E$2:$E$1000)),"yyyy-mm-dd"),"")))))</f>
        <v/>
      </c>
      <c r="J640" s="131" t="str">
        <f aca="false">IF($T640="✓","✓",IF(ISNUMBER($T640),TEXT($T640,"yyyy-mm-dd"),IF($A640="","",IF($D640="Lisbonne","",IF(SUMPRODUCT(('Agences &amp; Après-vente'!$A$2:$A$1000=$A640)*(('Agences &amp; Après-vente'!$D$2:$D$1000="Après-vente")+('Agences &amp; Après-vente'!$D$2:$D$1000="Agences et Après-vente"))*('Agences &amp; Après-vente'!$I$2:$I$1000="DONE"))&gt;0,"✓",IF(SUMPRODUCT(MAX(('Agences &amp; Après-vente'!$A$2:$A$1000=$A640)*(('Agences &amp; Après-vente'!$D$2:$D$1000="Après-vente")+('Agences &amp; Après-vente'!$D$2:$D$1000="Agences et Après-vente"))*'Agences &amp; Après-vente'!$E$2:$E$1000))&gt;0,TEXT(SUMPRODUCT(MAX(('Agences &amp; Après-vente'!$A$2:$A$1000=$A640)*(('Agences &amp; Après-vente'!$D$2:$D$1000="Après-vente")+('Agences &amp; Après-vente'!$D$2:$D$1000="Agences et Après-vente"))*'Agences &amp; Après-vente'!$E$2:$E$1000)),"yyyy-mm-dd"),""))))))</f>
        <v/>
      </c>
      <c r="K640" s="131" t="str">
        <f aca="false">IF($U640="✓","✓",IF(ISNUMBER($U640),TEXT($U640,"yyyy-mm-dd"),IF($D640="Lisbonne","",IF($A640="","",IF(SUMPRODUCT((Evermont!$A$2:$A$1000=$A640)*(Evermont!$Q$2:$Q$1000="Terminé"))&gt;0,"✓",IF(SUMPRODUCT(MAX((Evermont!$A$2:$A$1000=$A640)*Evermont!$F$2:$F$1000))&gt;0,TEXT(SUMPRODUCT(MAX((Evermont!$A$2:$A$1000=$A640)*Evermont!$F$2:$F$1000)),"yyyy-mm-dd"),""))))))</f>
        <v/>
      </c>
      <c r="L640" s="131" t="str">
        <f aca="false">IF($A640="","",COUNTIF(E640:K640,"✓"))</f>
        <v/>
      </c>
      <c r="M640" s="131" t="str">
        <f aca="false">IF(B640="","","Active")</f>
        <v/>
      </c>
      <c r="W640" s="120" t="str">
        <f aca="false">IF($A640="","",IF($X640&lt;&gt;"",$X640,IFERROR(INDEX('Formation Initiale'!$B$2:$B$999,MATCH($A640,'Formation Initiale'!$A$2:$A$999,0)),"Général")))</f>
        <v/>
      </c>
    </row>
    <row r="641" customFormat="false" ht="15" hidden="true" customHeight="true" outlineLevel="0" collapsed="false">
      <c r="A641" s="142" t="str">
        <f aca="false">IF(B641="","","TR"&amp;TEXT(ROW()-1,"000"))</f>
        <v/>
      </c>
      <c r="E641" s="130" t="str">
        <f aca="false">IF($O641="✓","✓",IF(ISNUMBER($O641),TEXT($O641,"yyyy-mm-dd"),IF($A641="","",IF(SUMPRODUCT(('Formation Initiale'!$A$2:$A$999=$A641)*('Formation Initiale'!$R$2:$R$999="Terminé"))&gt;0,"✓",IF(SUMPRODUCT(MAX(('Formation Initiale'!$A$2:$A$999=$A641)*'Formation Initiale'!$G$2:$G$999))&gt;0,TEXT(SUMPRODUCT(MAX(('Formation Initiale'!$A$2:$A$999=$A641)*'Formation Initiale'!$G$2:$G$999)),"yyyy-mm-dd"),"")))))</f>
        <v/>
      </c>
      <c r="F641" s="131" t="str">
        <f aca="false">IF($P641="✓","✓",IF(ISNUMBER($P641),TEXT($P641,"yyyy-mm-dd"),IF($A641="","",IF($D641="Lisbonne","",IF(SUMPRODUCT(('Formation Initiale'!$A$2:$A$999=$A641)*('Formation Initiale'!$R$2:$R$999="Terminé"))&gt;0,"✓",IF(SUMPRODUCT(MAX(('Formation Initiale'!$A$2:$A$999=$A641)*'Formation Initiale'!$G$2:$G$999))&gt;0,TEXT(SUMPRODUCT(MAX(('Formation Initiale'!$A$2:$A$999=$A641)*'Formation Initiale'!$G$2:$G$999)),"yyyy-mm-dd"),""))))))</f>
        <v/>
      </c>
      <c r="G641" s="131" t="str">
        <f aca="false">IF($Q641="✓","✓",IF(ISNUMBER($Q641),TEXT($Q641,"yyyy-mm-dd"),IF($A641="","",IF(SUMPRODUCT(('Agences &amp; Après-vente'!$A$2:$A$1000=$A641)*(('Agences &amp; Après-vente'!$D$2:$D$1000="Agences")+('Agences &amp; Après-vente'!$D$2:$D$1000="Agences et Après-vente"))*('Agences &amp; Après-vente'!$I$2:$I$1000="DONE"))&gt;0,"✓",IF(SUMPRODUCT(MAX(('Agences &amp; Après-vente'!$A$2:$A$1000=$A641)*(('Agences &amp; Après-vente'!$D$2:$D$1000="Agences")+('Agences &amp; Après-vente'!$D$2:$D$1000="Agences et Après-vente"))*'Agences &amp; Après-vente'!$E$2:$E$1000))&gt;0,TEXT(SUMPRODUCT(MAX(('Agences &amp; Après-vente'!$A$2:$A$1000=$A641)*(('Agences &amp; Après-vente'!$D$2:$D$1000="Agences")+('Agences &amp; Après-vente'!$D$2:$D$1000="Agences et Après-vente"))*'Agences &amp; Après-vente'!$E$2:$E$1000)),"yyyy-mm-dd"),"")))))</f>
        <v/>
      </c>
      <c r="H641" s="131" t="str">
        <f aca="false">IF($R641="✓","✓",IF(ISNUMBER($R641),TEXT($R641,"yyyy-mm-dd"),IF($A641="","",IF($D641="Lisbonne","",IF(SUMPRODUCT(('Agences &amp; Après-vente'!$A$2:$A$1000=$A641)*(('Agences &amp; Après-vente'!$D$2:$D$1000="Agences")+('Agences &amp; Après-vente'!$D$2:$D$1000="Agences et Après-vente"))*('Agences &amp; Après-vente'!$I$2:$I$1000="DONE"))&gt;0,"✓",IF(SUMPRODUCT(MAX(('Agences &amp; Après-vente'!$A$2:$A$1000=$A641)*(('Agences &amp; Après-vente'!$D$2:$D$1000="Agences")+('Agences &amp; Après-vente'!$D$2:$D$1000="Agences et Après-vente"))*'Agences &amp; Après-vente'!$E$2:$E$1000))&gt;0,TEXT(SUMPRODUCT(MAX(('Agences &amp; Après-vente'!$A$2:$A$1000=$A641)*(('Agences &amp; Après-vente'!$D$2:$D$1000="Agences")+('Agences &amp; Après-vente'!$D$2:$D$1000="Agences et Après-vente"))*'Agences &amp; Après-vente'!$E$2:$E$1000)),"yyyy-mm-dd"),""))))))</f>
        <v/>
      </c>
      <c r="I641" s="131" t="str">
        <f aca="false">IF($S641="✓","✓",IF(ISNUMBER($S641),TEXT($S641,"yyyy-mm-dd"),IF($A641="","",IF(SUMPRODUCT(('Agences &amp; Après-vente'!$A$2:$A$1000=$A641)*(('Agences &amp; Après-vente'!$D$2:$D$1000="Après-vente")+('Agences &amp; Après-vente'!$D$2:$D$1000="Agences et Après-vente"))*('Agences &amp; Après-vente'!$I$2:$I$1000="DONE"))&gt;0,"✓",IF(SUMPRODUCT(MAX(('Agences &amp; Après-vente'!$A$2:$A$1000=$A641)*(('Agences &amp; Après-vente'!$D$2:$D$1000="Après-vente")+('Agences &amp; Après-vente'!$D$2:$D$1000="Agences et Après-vente"))*'Agences &amp; Après-vente'!$E$2:$E$1000))&gt;0,TEXT(SUMPRODUCT(MAX(('Agences &amp; Après-vente'!$A$2:$A$1000=$A641)*(('Agences &amp; Après-vente'!$D$2:$D$1000="Après-vente")+('Agences &amp; Après-vente'!$D$2:$D$1000="Agences et Après-vente"))*'Agences &amp; Après-vente'!$E$2:$E$1000)),"yyyy-mm-dd"),"")))))</f>
        <v/>
      </c>
      <c r="J641" s="131" t="str">
        <f aca="false">IF($T641="✓","✓",IF(ISNUMBER($T641),TEXT($T641,"yyyy-mm-dd"),IF($A641="","",IF($D641="Lisbonne","",IF(SUMPRODUCT(('Agences &amp; Après-vente'!$A$2:$A$1000=$A641)*(('Agences &amp; Après-vente'!$D$2:$D$1000="Après-vente")+('Agences &amp; Après-vente'!$D$2:$D$1000="Agences et Après-vente"))*('Agences &amp; Après-vente'!$I$2:$I$1000="DONE"))&gt;0,"✓",IF(SUMPRODUCT(MAX(('Agences &amp; Après-vente'!$A$2:$A$1000=$A641)*(('Agences &amp; Après-vente'!$D$2:$D$1000="Après-vente")+('Agences &amp; Après-vente'!$D$2:$D$1000="Agences et Après-vente"))*'Agences &amp; Après-vente'!$E$2:$E$1000))&gt;0,TEXT(SUMPRODUCT(MAX(('Agences &amp; Après-vente'!$A$2:$A$1000=$A641)*(('Agences &amp; Après-vente'!$D$2:$D$1000="Après-vente")+('Agences &amp; Après-vente'!$D$2:$D$1000="Agences et Après-vente"))*'Agences &amp; Après-vente'!$E$2:$E$1000)),"yyyy-mm-dd"),""))))))</f>
        <v/>
      </c>
      <c r="K641" s="131" t="str">
        <f aca="false">IF($U641="✓","✓",IF(ISNUMBER($U641),TEXT($U641,"yyyy-mm-dd"),IF($D641="Lisbonne","",IF($A641="","",IF(SUMPRODUCT((Evermont!$A$2:$A$1000=$A641)*(Evermont!$Q$2:$Q$1000="Terminé"))&gt;0,"✓",IF(SUMPRODUCT(MAX((Evermont!$A$2:$A$1000=$A641)*Evermont!$F$2:$F$1000))&gt;0,TEXT(SUMPRODUCT(MAX((Evermont!$A$2:$A$1000=$A641)*Evermont!$F$2:$F$1000)),"yyyy-mm-dd"),""))))))</f>
        <v/>
      </c>
      <c r="L641" s="131" t="str">
        <f aca="false">IF($A641="","",COUNTIF(E641:K641,"✓"))</f>
        <v/>
      </c>
      <c r="M641" s="131" t="str">
        <f aca="false">IF(B641="","","Active")</f>
        <v/>
      </c>
      <c r="W641" s="120" t="str">
        <f aca="false">IF($A641="","",IF($X641&lt;&gt;"",$X641,IFERROR(INDEX('Formation Initiale'!$B$2:$B$999,MATCH($A641,'Formation Initiale'!$A$2:$A$999,0)),"Général")))</f>
        <v/>
      </c>
    </row>
    <row r="642" customFormat="false" ht="15" hidden="true" customHeight="true" outlineLevel="0" collapsed="false">
      <c r="A642" s="142" t="str">
        <f aca="false">IF(B642="","","TR"&amp;TEXT(ROW()-1,"000"))</f>
        <v/>
      </c>
      <c r="E642" s="130" t="str">
        <f aca="false">IF($O642="✓","✓",IF(ISNUMBER($O642),TEXT($O642,"yyyy-mm-dd"),IF($A642="","",IF(SUMPRODUCT(('Formation Initiale'!$A$2:$A$999=$A642)*('Formation Initiale'!$R$2:$R$999="Terminé"))&gt;0,"✓",IF(SUMPRODUCT(MAX(('Formation Initiale'!$A$2:$A$999=$A642)*'Formation Initiale'!$G$2:$G$999))&gt;0,TEXT(SUMPRODUCT(MAX(('Formation Initiale'!$A$2:$A$999=$A642)*'Formation Initiale'!$G$2:$G$999)),"yyyy-mm-dd"),"")))))</f>
        <v/>
      </c>
      <c r="F642" s="131" t="str">
        <f aca="false">IF($P642="✓","✓",IF(ISNUMBER($P642),TEXT($P642,"yyyy-mm-dd"),IF($A642="","",IF($D642="Lisbonne","",IF(SUMPRODUCT(('Formation Initiale'!$A$2:$A$999=$A642)*('Formation Initiale'!$R$2:$R$999="Terminé"))&gt;0,"✓",IF(SUMPRODUCT(MAX(('Formation Initiale'!$A$2:$A$999=$A642)*'Formation Initiale'!$G$2:$G$999))&gt;0,TEXT(SUMPRODUCT(MAX(('Formation Initiale'!$A$2:$A$999=$A642)*'Formation Initiale'!$G$2:$G$999)),"yyyy-mm-dd"),""))))))</f>
        <v/>
      </c>
      <c r="G642" s="131" t="str">
        <f aca="false">IF($Q642="✓","✓",IF(ISNUMBER($Q642),TEXT($Q642,"yyyy-mm-dd"),IF($A642="","",IF(SUMPRODUCT(('Agences &amp; Après-vente'!$A$2:$A$1000=$A642)*(('Agences &amp; Après-vente'!$D$2:$D$1000="Agences")+('Agences &amp; Après-vente'!$D$2:$D$1000="Agences et Après-vente"))*('Agences &amp; Après-vente'!$I$2:$I$1000="DONE"))&gt;0,"✓",IF(SUMPRODUCT(MAX(('Agences &amp; Après-vente'!$A$2:$A$1000=$A642)*(('Agences &amp; Après-vente'!$D$2:$D$1000="Agences")+('Agences &amp; Après-vente'!$D$2:$D$1000="Agences et Après-vente"))*'Agences &amp; Après-vente'!$E$2:$E$1000))&gt;0,TEXT(SUMPRODUCT(MAX(('Agences &amp; Après-vente'!$A$2:$A$1000=$A642)*(('Agences &amp; Après-vente'!$D$2:$D$1000="Agences")+('Agences &amp; Après-vente'!$D$2:$D$1000="Agences et Après-vente"))*'Agences &amp; Après-vente'!$E$2:$E$1000)),"yyyy-mm-dd"),"")))))</f>
        <v/>
      </c>
      <c r="H642" s="131" t="str">
        <f aca="false">IF($R642="✓","✓",IF(ISNUMBER($R642),TEXT($R642,"yyyy-mm-dd"),IF($A642="","",IF($D642="Lisbonne","",IF(SUMPRODUCT(('Agences &amp; Après-vente'!$A$2:$A$1000=$A642)*(('Agences &amp; Après-vente'!$D$2:$D$1000="Agences")+('Agences &amp; Après-vente'!$D$2:$D$1000="Agences et Après-vente"))*('Agences &amp; Après-vente'!$I$2:$I$1000="DONE"))&gt;0,"✓",IF(SUMPRODUCT(MAX(('Agences &amp; Après-vente'!$A$2:$A$1000=$A642)*(('Agences &amp; Après-vente'!$D$2:$D$1000="Agences")+('Agences &amp; Après-vente'!$D$2:$D$1000="Agences et Après-vente"))*'Agences &amp; Après-vente'!$E$2:$E$1000))&gt;0,TEXT(SUMPRODUCT(MAX(('Agences &amp; Après-vente'!$A$2:$A$1000=$A642)*(('Agences &amp; Après-vente'!$D$2:$D$1000="Agences")+('Agences &amp; Après-vente'!$D$2:$D$1000="Agences et Après-vente"))*'Agences &amp; Après-vente'!$E$2:$E$1000)),"yyyy-mm-dd"),""))))))</f>
        <v/>
      </c>
      <c r="I642" s="131" t="str">
        <f aca="false">IF($S642="✓","✓",IF(ISNUMBER($S642),TEXT($S642,"yyyy-mm-dd"),IF($A642="","",IF(SUMPRODUCT(('Agences &amp; Après-vente'!$A$2:$A$1000=$A642)*(('Agences &amp; Après-vente'!$D$2:$D$1000="Après-vente")+('Agences &amp; Après-vente'!$D$2:$D$1000="Agences et Après-vente"))*('Agences &amp; Après-vente'!$I$2:$I$1000="DONE"))&gt;0,"✓",IF(SUMPRODUCT(MAX(('Agences &amp; Après-vente'!$A$2:$A$1000=$A642)*(('Agences &amp; Après-vente'!$D$2:$D$1000="Après-vente")+('Agences &amp; Après-vente'!$D$2:$D$1000="Agences et Après-vente"))*'Agences &amp; Après-vente'!$E$2:$E$1000))&gt;0,TEXT(SUMPRODUCT(MAX(('Agences &amp; Après-vente'!$A$2:$A$1000=$A642)*(('Agences &amp; Après-vente'!$D$2:$D$1000="Après-vente")+('Agences &amp; Après-vente'!$D$2:$D$1000="Agences et Après-vente"))*'Agences &amp; Après-vente'!$E$2:$E$1000)),"yyyy-mm-dd"),"")))))</f>
        <v/>
      </c>
      <c r="J642" s="131" t="str">
        <f aca="false">IF($T642="✓","✓",IF(ISNUMBER($T642),TEXT($T642,"yyyy-mm-dd"),IF($A642="","",IF($D642="Lisbonne","",IF(SUMPRODUCT(('Agences &amp; Après-vente'!$A$2:$A$1000=$A642)*(('Agences &amp; Après-vente'!$D$2:$D$1000="Après-vente")+('Agences &amp; Après-vente'!$D$2:$D$1000="Agences et Après-vente"))*('Agences &amp; Après-vente'!$I$2:$I$1000="DONE"))&gt;0,"✓",IF(SUMPRODUCT(MAX(('Agences &amp; Après-vente'!$A$2:$A$1000=$A642)*(('Agences &amp; Après-vente'!$D$2:$D$1000="Après-vente")+('Agences &amp; Après-vente'!$D$2:$D$1000="Agences et Après-vente"))*'Agences &amp; Après-vente'!$E$2:$E$1000))&gt;0,TEXT(SUMPRODUCT(MAX(('Agences &amp; Après-vente'!$A$2:$A$1000=$A642)*(('Agences &amp; Après-vente'!$D$2:$D$1000="Après-vente")+('Agences &amp; Après-vente'!$D$2:$D$1000="Agences et Après-vente"))*'Agences &amp; Après-vente'!$E$2:$E$1000)),"yyyy-mm-dd"),""))))))</f>
        <v/>
      </c>
      <c r="K642" s="131" t="str">
        <f aca="false">IF($U642="✓","✓",IF(ISNUMBER($U642),TEXT($U642,"yyyy-mm-dd"),IF($D642="Lisbonne","",IF($A642="","",IF(SUMPRODUCT((Evermont!$A$2:$A$1000=$A642)*(Evermont!$Q$2:$Q$1000="Terminé"))&gt;0,"✓",IF(SUMPRODUCT(MAX((Evermont!$A$2:$A$1000=$A642)*Evermont!$F$2:$F$1000))&gt;0,TEXT(SUMPRODUCT(MAX((Evermont!$A$2:$A$1000=$A642)*Evermont!$F$2:$F$1000)),"yyyy-mm-dd"),""))))))</f>
        <v/>
      </c>
      <c r="L642" s="131" t="str">
        <f aca="false">IF($A642="","",COUNTIF(E642:K642,"✓"))</f>
        <v/>
      </c>
      <c r="M642" s="131" t="str">
        <f aca="false">IF(B642="","","Active")</f>
        <v/>
      </c>
      <c r="W642" s="120" t="str">
        <f aca="false">IF($A642="","",IF($X642&lt;&gt;"",$X642,IFERROR(INDEX('Formation Initiale'!$B$2:$B$999,MATCH($A642,'Formation Initiale'!$A$2:$A$999,0)),"Général")))</f>
        <v/>
      </c>
    </row>
    <row r="643" customFormat="false" ht="15" hidden="true" customHeight="true" outlineLevel="0" collapsed="false">
      <c r="A643" s="142" t="str">
        <f aca="false">IF(B643="","","TR"&amp;TEXT(ROW()-1,"000"))</f>
        <v/>
      </c>
      <c r="E643" s="130" t="str">
        <f aca="false">IF($O643="✓","✓",IF(ISNUMBER($O643),TEXT($O643,"yyyy-mm-dd"),IF($A643="","",IF(SUMPRODUCT(('Formation Initiale'!$A$2:$A$999=$A643)*('Formation Initiale'!$R$2:$R$999="Terminé"))&gt;0,"✓",IF(SUMPRODUCT(MAX(('Formation Initiale'!$A$2:$A$999=$A643)*'Formation Initiale'!$G$2:$G$999))&gt;0,TEXT(SUMPRODUCT(MAX(('Formation Initiale'!$A$2:$A$999=$A643)*'Formation Initiale'!$G$2:$G$999)),"yyyy-mm-dd"),"")))))</f>
        <v/>
      </c>
      <c r="F643" s="131" t="str">
        <f aca="false">IF($P643="✓","✓",IF(ISNUMBER($P643),TEXT($P643,"yyyy-mm-dd"),IF($A643="","",IF($D643="Lisbonne","",IF(SUMPRODUCT(('Formation Initiale'!$A$2:$A$999=$A643)*('Formation Initiale'!$R$2:$R$999="Terminé"))&gt;0,"✓",IF(SUMPRODUCT(MAX(('Formation Initiale'!$A$2:$A$999=$A643)*'Formation Initiale'!$G$2:$G$999))&gt;0,TEXT(SUMPRODUCT(MAX(('Formation Initiale'!$A$2:$A$999=$A643)*'Formation Initiale'!$G$2:$G$999)),"yyyy-mm-dd"),""))))))</f>
        <v/>
      </c>
      <c r="G643" s="131" t="str">
        <f aca="false">IF($Q643="✓","✓",IF(ISNUMBER($Q643),TEXT($Q643,"yyyy-mm-dd"),IF($A643="","",IF(SUMPRODUCT(('Agences &amp; Après-vente'!$A$2:$A$1000=$A643)*(('Agences &amp; Après-vente'!$D$2:$D$1000="Agences")+('Agences &amp; Après-vente'!$D$2:$D$1000="Agences et Après-vente"))*('Agences &amp; Après-vente'!$I$2:$I$1000="DONE"))&gt;0,"✓",IF(SUMPRODUCT(MAX(('Agences &amp; Après-vente'!$A$2:$A$1000=$A643)*(('Agences &amp; Après-vente'!$D$2:$D$1000="Agences")+('Agences &amp; Après-vente'!$D$2:$D$1000="Agences et Après-vente"))*'Agences &amp; Après-vente'!$E$2:$E$1000))&gt;0,TEXT(SUMPRODUCT(MAX(('Agences &amp; Après-vente'!$A$2:$A$1000=$A643)*(('Agences &amp; Après-vente'!$D$2:$D$1000="Agences")+('Agences &amp; Après-vente'!$D$2:$D$1000="Agences et Après-vente"))*'Agences &amp; Après-vente'!$E$2:$E$1000)),"yyyy-mm-dd"),"")))))</f>
        <v/>
      </c>
      <c r="H643" s="131" t="str">
        <f aca="false">IF($R643="✓","✓",IF(ISNUMBER($R643),TEXT($R643,"yyyy-mm-dd"),IF($A643="","",IF($D643="Lisbonne","",IF(SUMPRODUCT(('Agences &amp; Après-vente'!$A$2:$A$1000=$A643)*(('Agences &amp; Après-vente'!$D$2:$D$1000="Agences")+('Agences &amp; Après-vente'!$D$2:$D$1000="Agences et Après-vente"))*('Agences &amp; Après-vente'!$I$2:$I$1000="DONE"))&gt;0,"✓",IF(SUMPRODUCT(MAX(('Agences &amp; Après-vente'!$A$2:$A$1000=$A643)*(('Agences &amp; Après-vente'!$D$2:$D$1000="Agences")+('Agences &amp; Après-vente'!$D$2:$D$1000="Agences et Après-vente"))*'Agences &amp; Après-vente'!$E$2:$E$1000))&gt;0,TEXT(SUMPRODUCT(MAX(('Agences &amp; Après-vente'!$A$2:$A$1000=$A643)*(('Agences &amp; Après-vente'!$D$2:$D$1000="Agences")+('Agences &amp; Après-vente'!$D$2:$D$1000="Agences et Après-vente"))*'Agences &amp; Après-vente'!$E$2:$E$1000)),"yyyy-mm-dd"),""))))))</f>
        <v/>
      </c>
      <c r="I643" s="131" t="str">
        <f aca="false">IF($S643="✓","✓",IF(ISNUMBER($S643),TEXT($S643,"yyyy-mm-dd"),IF($A643="","",IF(SUMPRODUCT(('Agences &amp; Après-vente'!$A$2:$A$1000=$A643)*(('Agences &amp; Après-vente'!$D$2:$D$1000="Après-vente")+('Agences &amp; Après-vente'!$D$2:$D$1000="Agences et Après-vente"))*('Agences &amp; Après-vente'!$I$2:$I$1000="DONE"))&gt;0,"✓",IF(SUMPRODUCT(MAX(('Agences &amp; Après-vente'!$A$2:$A$1000=$A643)*(('Agences &amp; Après-vente'!$D$2:$D$1000="Après-vente")+('Agences &amp; Après-vente'!$D$2:$D$1000="Agences et Après-vente"))*'Agences &amp; Après-vente'!$E$2:$E$1000))&gt;0,TEXT(SUMPRODUCT(MAX(('Agences &amp; Après-vente'!$A$2:$A$1000=$A643)*(('Agences &amp; Après-vente'!$D$2:$D$1000="Après-vente")+('Agences &amp; Après-vente'!$D$2:$D$1000="Agences et Après-vente"))*'Agences &amp; Après-vente'!$E$2:$E$1000)),"yyyy-mm-dd"),"")))))</f>
        <v/>
      </c>
      <c r="J643" s="131" t="str">
        <f aca="false">IF($T643="✓","✓",IF(ISNUMBER($T643),TEXT($T643,"yyyy-mm-dd"),IF($A643="","",IF($D643="Lisbonne","",IF(SUMPRODUCT(('Agences &amp; Après-vente'!$A$2:$A$1000=$A643)*(('Agences &amp; Après-vente'!$D$2:$D$1000="Après-vente")+('Agences &amp; Après-vente'!$D$2:$D$1000="Agences et Après-vente"))*('Agences &amp; Après-vente'!$I$2:$I$1000="DONE"))&gt;0,"✓",IF(SUMPRODUCT(MAX(('Agences &amp; Après-vente'!$A$2:$A$1000=$A643)*(('Agences &amp; Après-vente'!$D$2:$D$1000="Après-vente")+('Agences &amp; Après-vente'!$D$2:$D$1000="Agences et Après-vente"))*'Agences &amp; Après-vente'!$E$2:$E$1000))&gt;0,TEXT(SUMPRODUCT(MAX(('Agences &amp; Après-vente'!$A$2:$A$1000=$A643)*(('Agences &amp; Après-vente'!$D$2:$D$1000="Après-vente")+('Agences &amp; Après-vente'!$D$2:$D$1000="Agences et Après-vente"))*'Agences &amp; Après-vente'!$E$2:$E$1000)),"yyyy-mm-dd"),""))))))</f>
        <v/>
      </c>
      <c r="K643" s="131" t="str">
        <f aca="false">IF($U643="✓","✓",IF(ISNUMBER($U643),TEXT($U643,"yyyy-mm-dd"),IF($D643="Lisbonne","",IF($A643="","",IF(SUMPRODUCT((Evermont!$A$2:$A$1000=$A643)*(Evermont!$Q$2:$Q$1000="Terminé"))&gt;0,"✓",IF(SUMPRODUCT(MAX((Evermont!$A$2:$A$1000=$A643)*Evermont!$F$2:$F$1000))&gt;0,TEXT(SUMPRODUCT(MAX((Evermont!$A$2:$A$1000=$A643)*Evermont!$F$2:$F$1000)),"yyyy-mm-dd"),""))))))</f>
        <v/>
      </c>
      <c r="L643" s="131" t="str">
        <f aca="false">IF($A643="","",COUNTIF(E643:K643,"✓"))</f>
        <v/>
      </c>
      <c r="M643" s="131" t="str">
        <f aca="false">IF(B643="","","Active")</f>
        <v/>
      </c>
      <c r="W643" s="120" t="str">
        <f aca="false">IF($A643="","",IF($X643&lt;&gt;"",$X643,IFERROR(INDEX('Formation Initiale'!$B$2:$B$999,MATCH($A643,'Formation Initiale'!$A$2:$A$999,0)),"Général")))</f>
        <v/>
      </c>
    </row>
    <row r="644" customFormat="false" ht="15" hidden="true" customHeight="true" outlineLevel="0" collapsed="false">
      <c r="A644" s="142" t="str">
        <f aca="false">IF(B644="","","TR"&amp;TEXT(ROW()-1,"000"))</f>
        <v/>
      </c>
      <c r="E644" s="130" t="str">
        <f aca="false">IF($O644="✓","✓",IF(ISNUMBER($O644),TEXT($O644,"yyyy-mm-dd"),IF($A644="","",IF(SUMPRODUCT(('Formation Initiale'!$A$2:$A$999=$A644)*('Formation Initiale'!$R$2:$R$999="Terminé"))&gt;0,"✓",IF(SUMPRODUCT(MAX(('Formation Initiale'!$A$2:$A$999=$A644)*'Formation Initiale'!$G$2:$G$999))&gt;0,TEXT(SUMPRODUCT(MAX(('Formation Initiale'!$A$2:$A$999=$A644)*'Formation Initiale'!$G$2:$G$999)),"yyyy-mm-dd"),"")))))</f>
        <v/>
      </c>
      <c r="F644" s="131" t="str">
        <f aca="false">IF($P644="✓","✓",IF(ISNUMBER($P644),TEXT($P644,"yyyy-mm-dd"),IF($A644="","",IF($D644="Lisbonne","",IF(SUMPRODUCT(('Formation Initiale'!$A$2:$A$999=$A644)*('Formation Initiale'!$R$2:$R$999="Terminé"))&gt;0,"✓",IF(SUMPRODUCT(MAX(('Formation Initiale'!$A$2:$A$999=$A644)*'Formation Initiale'!$G$2:$G$999))&gt;0,TEXT(SUMPRODUCT(MAX(('Formation Initiale'!$A$2:$A$999=$A644)*'Formation Initiale'!$G$2:$G$999)),"yyyy-mm-dd"),""))))))</f>
        <v/>
      </c>
      <c r="G644" s="131" t="str">
        <f aca="false">IF($Q644="✓","✓",IF(ISNUMBER($Q644),TEXT($Q644,"yyyy-mm-dd"),IF($A644="","",IF(SUMPRODUCT(('Agences &amp; Après-vente'!$A$2:$A$1000=$A644)*(('Agences &amp; Après-vente'!$D$2:$D$1000="Agences")+('Agences &amp; Après-vente'!$D$2:$D$1000="Agences et Après-vente"))*('Agences &amp; Après-vente'!$I$2:$I$1000="DONE"))&gt;0,"✓",IF(SUMPRODUCT(MAX(('Agences &amp; Après-vente'!$A$2:$A$1000=$A644)*(('Agences &amp; Après-vente'!$D$2:$D$1000="Agences")+('Agences &amp; Après-vente'!$D$2:$D$1000="Agences et Après-vente"))*'Agences &amp; Après-vente'!$E$2:$E$1000))&gt;0,TEXT(SUMPRODUCT(MAX(('Agences &amp; Après-vente'!$A$2:$A$1000=$A644)*(('Agences &amp; Après-vente'!$D$2:$D$1000="Agences")+('Agences &amp; Après-vente'!$D$2:$D$1000="Agences et Après-vente"))*'Agences &amp; Après-vente'!$E$2:$E$1000)),"yyyy-mm-dd"),"")))))</f>
        <v/>
      </c>
      <c r="H644" s="131" t="str">
        <f aca="false">IF($R644="✓","✓",IF(ISNUMBER($R644),TEXT($R644,"yyyy-mm-dd"),IF($A644="","",IF($D644="Lisbonne","",IF(SUMPRODUCT(('Agences &amp; Après-vente'!$A$2:$A$1000=$A644)*(('Agences &amp; Après-vente'!$D$2:$D$1000="Agences")+('Agences &amp; Après-vente'!$D$2:$D$1000="Agences et Après-vente"))*('Agences &amp; Après-vente'!$I$2:$I$1000="DONE"))&gt;0,"✓",IF(SUMPRODUCT(MAX(('Agences &amp; Après-vente'!$A$2:$A$1000=$A644)*(('Agences &amp; Après-vente'!$D$2:$D$1000="Agences")+('Agences &amp; Après-vente'!$D$2:$D$1000="Agences et Après-vente"))*'Agences &amp; Après-vente'!$E$2:$E$1000))&gt;0,TEXT(SUMPRODUCT(MAX(('Agences &amp; Après-vente'!$A$2:$A$1000=$A644)*(('Agences &amp; Après-vente'!$D$2:$D$1000="Agences")+('Agences &amp; Après-vente'!$D$2:$D$1000="Agences et Après-vente"))*'Agences &amp; Après-vente'!$E$2:$E$1000)),"yyyy-mm-dd"),""))))))</f>
        <v/>
      </c>
      <c r="I644" s="131" t="str">
        <f aca="false">IF($S644="✓","✓",IF(ISNUMBER($S644),TEXT($S644,"yyyy-mm-dd"),IF($A644="","",IF(SUMPRODUCT(('Agences &amp; Après-vente'!$A$2:$A$1000=$A644)*(('Agences &amp; Après-vente'!$D$2:$D$1000="Après-vente")+('Agences &amp; Après-vente'!$D$2:$D$1000="Agences et Après-vente"))*('Agences &amp; Après-vente'!$I$2:$I$1000="DONE"))&gt;0,"✓",IF(SUMPRODUCT(MAX(('Agences &amp; Après-vente'!$A$2:$A$1000=$A644)*(('Agences &amp; Après-vente'!$D$2:$D$1000="Après-vente")+('Agences &amp; Après-vente'!$D$2:$D$1000="Agences et Après-vente"))*'Agences &amp; Après-vente'!$E$2:$E$1000))&gt;0,TEXT(SUMPRODUCT(MAX(('Agences &amp; Après-vente'!$A$2:$A$1000=$A644)*(('Agences &amp; Après-vente'!$D$2:$D$1000="Après-vente")+('Agences &amp; Après-vente'!$D$2:$D$1000="Agences et Après-vente"))*'Agences &amp; Après-vente'!$E$2:$E$1000)),"yyyy-mm-dd"),"")))))</f>
        <v/>
      </c>
      <c r="J644" s="131" t="str">
        <f aca="false">IF($T644="✓","✓",IF(ISNUMBER($T644),TEXT($T644,"yyyy-mm-dd"),IF($A644="","",IF($D644="Lisbonne","",IF(SUMPRODUCT(('Agences &amp; Après-vente'!$A$2:$A$1000=$A644)*(('Agences &amp; Après-vente'!$D$2:$D$1000="Après-vente")+('Agences &amp; Après-vente'!$D$2:$D$1000="Agences et Après-vente"))*('Agences &amp; Après-vente'!$I$2:$I$1000="DONE"))&gt;0,"✓",IF(SUMPRODUCT(MAX(('Agences &amp; Après-vente'!$A$2:$A$1000=$A644)*(('Agences &amp; Après-vente'!$D$2:$D$1000="Après-vente")+('Agences &amp; Après-vente'!$D$2:$D$1000="Agences et Après-vente"))*'Agences &amp; Après-vente'!$E$2:$E$1000))&gt;0,TEXT(SUMPRODUCT(MAX(('Agences &amp; Après-vente'!$A$2:$A$1000=$A644)*(('Agences &amp; Après-vente'!$D$2:$D$1000="Après-vente")+('Agences &amp; Après-vente'!$D$2:$D$1000="Agences et Après-vente"))*'Agences &amp; Après-vente'!$E$2:$E$1000)),"yyyy-mm-dd"),""))))))</f>
        <v/>
      </c>
      <c r="K644" s="131" t="str">
        <f aca="false">IF($U644="✓","✓",IF(ISNUMBER($U644),TEXT($U644,"yyyy-mm-dd"),IF($D644="Lisbonne","",IF($A644="","",IF(SUMPRODUCT((Evermont!$A$2:$A$1000=$A644)*(Evermont!$Q$2:$Q$1000="Terminé"))&gt;0,"✓",IF(SUMPRODUCT(MAX((Evermont!$A$2:$A$1000=$A644)*Evermont!$F$2:$F$1000))&gt;0,TEXT(SUMPRODUCT(MAX((Evermont!$A$2:$A$1000=$A644)*Evermont!$F$2:$F$1000)),"yyyy-mm-dd"),""))))))</f>
        <v/>
      </c>
      <c r="L644" s="131" t="str">
        <f aca="false">IF($A644="","",COUNTIF(E644:K644,"✓"))</f>
        <v/>
      </c>
      <c r="M644" s="131" t="str">
        <f aca="false">IF(B644="","","Active")</f>
        <v/>
      </c>
      <c r="W644" s="120" t="str">
        <f aca="false">IF($A644="","",IF($X644&lt;&gt;"",$X644,IFERROR(INDEX('Formation Initiale'!$B$2:$B$999,MATCH($A644,'Formation Initiale'!$A$2:$A$999,0)),"Général")))</f>
        <v/>
      </c>
    </row>
    <row r="645" customFormat="false" ht="15" hidden="true" customHeight="true" outlineLevel="0" collapsed="false">
      <c r="A645" s="142" t="str">
        <f aca="false">IF(B645="","","TR"&amp;TEXT(ROW()-1,"000"))</f>
        <v/>
      </c>
      <c r="E645" s="130" t="str">
        <f aca="false">IF($O645="✓","✓",IF(ISNUMBER($O645),TEXT($O645,"yyyy-mm-dd"),IF($A645="","",IF(SUMPRODUCT(('Formation Initiale'!$A$2:$A$999=$A645)*('Formation Initiale'!$R$2:$R$999="Terminé"))&gt;0,"✓",IF(SUMPRODUCT(MAX(('Formation Initiale'!$A$2:$A$999=$A645)*'Formation Initiale'!$G$2:$G$999))&gt;0,TEXT(SUMPRODUCT(MAX(('Formation Initiale'!$A$2:$A$999=$A645)*'Formation Initiale'!$G$2:$G$999)),"yyyy-mm-dd"),"")))))</f>
        <v/>
      </c>
      <c r="F645" s="131" t="str">
        <f aca="false">IF($P645="✓","✓",IF(ISNUMBER($P645),TEXT($P645,"yyyy-mm-dd"),IF($A645="","",IF($D645="Lisbonne","",IF(SUMPRODUCT(('Formation Initiale'!$A$2:$A$999=$A645)*('Formation Initiale'!$R$2:$R$999="Terminé"))&gt;0,"✓",IF(SUMPRODUCT(MAX(('Formation Initiale'!$A$2:$A$999=$A645)*'Formation Initiale'!$G$2:$G$999))&gt;0,TEXT(SUMPRODUCT(MAX(('Formation Initiale'!$A$2:$A$999=$A645)*'Formation Initiale'!$G$2:$G$999)),"yyyy-mm-dd"),""))))))</f>
        <v/>
      </c>
      <c r="G645" s="131" t="str">
        <f aca="false">IF($Q645="✓","✓",IF(ISNUMBER($Q645),TEXT($Q645,"yyyy-mm-dd"),IF($A645="","",IF(SUMPRODUCT(('Agences &amp; Après-vente'!$A$2:$A$1000=$A645)*(('Agences &amp; Après-vente'!$D$2:$D$1000="Agences")+('Agences &amp; Après-vente'!$D$2:$D$1000="Agences et Après-vente"))*('Agences &amp; Après-vente'!$I$2:$I$1000="DONE"))&gt;0,"✓",IF(SUMPRODUCT(MAX(('Agences &amp; Après-vente'!$A$2:$A$1000=$A645)*(('Agences &amp; Après-vente'!$D$2:$D$1000="Agences")+('Agences &amp; Après-vente'!$D$2:$D$1000="Agences et Après-vente"))*'Agences &amp; Après-vente'!$E$2:$E$1000))&gt;0,TEXT(SUMPRODUCT(MAX(('Agences &amp; Après-vente'!$A$2:$A$1000=$A645)*(('Agences &amp; Après-vente'!$D$2:$D$1000="Agences")+('Agences &amp; Après-vente'!$D$2:$D$1000="Agences et Après-vente"))*'Agences &amp; Après-vente'!$E$2:$E$1000)),"yyyy-mm-dd"),"")))))</f>
        <v/>
      </c>
      <c r="H645" s="131" t="str">
        <f aca="false">IF($R645="✓","✓",IF(ISNUMBER($R645),TEXT($R645,"yyyy-mm-dd"),IF($A645="","",IF($D645="Lisbonne","",IF(SUMPRODUCT(('Agences &amp; Après-vente'!$A$2:$A$1000=$A645)*(('Agences &amp; Après-vente'!$D$2:$D$1000="Agences")+('Agences &amp; Après-vente'!$D$2:$D$1000="Agences et Après-vente"))*('Agences &amp; Après-vente'!$I$2:$I$1000="DONE"))&gt;0,"✓",IF(SUMPRODUCT(MAX(('Agences &amp; Après-vente'!$A$2:$A$1000=$A645)*(('Agences &amp; Après-vente'!$D$2:$D$1000="Agences")+('Agences &amp; Après-vente'!$D$2:$D$1000="Agences et Après-vente"))*'Agences &amp; Après-vente'!$E$2:$E$1000))&gt;0,TEXT(SUMPRODUCT(MAX(('Agences &amp; Après-vente'!$A$2:$A$1000=$A645)*(('Agences &amp; Après-vente'!$D$2:$D$1000="Agences")+('Agences &amp; Après-vente'!$D$2:$D$1000="Agences et Après-vente"))*'Agences &amp; Après-vente'!$E$2:$E$1000)),"yyyy-mm-dd"),""))))))</f>
        <v/>
      </c>
      <c r="I645" s="131" t="str">
        <f aca="false">IF($S645="✓","✓",IF(ISNUMBER($S645),TEXT($S645,"yyyy-mm-dd"),IF($A645="","",IF(SUMPRODUCT(('Agences &amp; Après-vente'!$A$2:$A$1000=$A645)*(('Agences &amp; Après-vente'!$D$2:$D$1000="Après-vente")+('Agences &amp; Après-vente'!$D$2:$D$1000="Agences et Après-vente"))*('Agences &amp; Après-vente'!$I$2:$I$1000="DONE"))&gt;0,"✓",IF(SUMPRODUCT(MAX(('Agences &amp; Après-vente'!$A$2:$A$1000=$A645)*(('Agences &amp; Après-vente'!$D$2:$D$1000="Après-vente")+('Agences &amp; Après-vente'!$D$2:$D$1000="Agences et Après-vente"))*'Agences &amp; Après-vente'!$E$2:$E$1000))&gt;0,TEXT(SUMPRODUCT(MAX(('Agences &amp; Après-vente'!$A$2:$A$1000=$A645)*(('Agences &amp; Après-vente'!$D$2:$D$1000="Après-vente")+('Agences &amp; Après-vente'!$D$2:$D$1000="Agences et Après-vente"))*'Agences &amp; Après-vente'!$E$2:$E$1000)),"yyyy-mm-dd"),"")))))</f>
        <v/>
      </c>
      <c r="J645" s="131" t="str">
        <f aca="false">IF($T645="✓","✓",IF(ISNUMBER($T645),TEXT($T645,"yyyy-mm-dd"),IF($A645="","",IF($D645="Lisbonne","",IF(SUMPRODUCT(('Agences &amp; Après-vente'!$A$2:$A$1000=$A645)*(('Agences &amp; Après-vente'!$D$2:$D$1000="Après-vente")+('Agences &amp; Après-vente'!$D$2:$D$1000="Agences et Après-vente"))*('Agences &amp; Après-vente'!$I$2:$I$1000="DONE"))&gt;0,"✓",IF(SUMPRODUCT(MAX(('Agences &amp; Après-vente'!$A$2:$A$1000=$A645)*(('Agences &amp; Après-vente'!$D$2:$D$1000="Après-vente")+('Agences &amp; Après-vente'!$D$2:$D$1000="Agences et Après-vente"))*'Agences &amp; Après-vente'!$E$2:$E$1000))&gt;0,TEXT(SUMPRODUCT(MAX(('Agences &amp; Après-vente'!$A$2:$A$1000=$A645)*(('Agences &amp; Après-vente'!$D$2:$D$1000="Après-vente")+('Agences &amp; Après-vente'!$D$2:$D$1000="Agences et Après-vente"))*'Agences &amp; Après-vente'!$E$2:$E$1000)),"yyyy-mm-dd"),""))))))</f>
        <v/>
      </c>
      <c r="K645" s="131" t="str">
        <f aca="false">IF($U645="✓","✓",IF(ISNUMBER($U645),TEXT($U645,"yyyy-mm-dd"),IF($D645="Lisbonne","",IF($A645="","",IF(SUMPRODUCT((Evermont!$A$2:$A$1000=$A645)*(Evermont!$Q$2:$Q$1000="Terminé"))&gt;0,"✓",IF(SUMPRODUCT(MAX((Evermont!$A$2:$A$1000=$A645)*Evermont!$F$2:$F$1000))&gt;0,TEXT(SUMPRODUCT(MAX((Evermont!$A$2:$A$1000=$A645)*Evermont!$F$2:$F$1000)),"yyyy-mm-dd"),""))))))</f>
        <v/>
      </c>
      <c r="L645" s="131" t="str">
        <f aca="false">IF($A645="","",COUNTIF(E645:K645,"✓"))</f>
        <v/>
      </c>
      <c r="M645" s="131" t="str">
        <f aca="false">IF(B645="","","Active")</f>
        <v/>
      </c>
      <c r="W645" s="120" t="str">
        <f aca="false">IF($A645="","",IF($X645&lt;&gt;"",$X645,IFERROR(INDEX('Formation Initiale'!$B$2:$B$999,MATCH($A645,'Formation Initiale'!$A$2:$A$999,0)),"Général")))</f>
        <v/>
      </c>
    </row>
    <row r="646" customFormat="false" ht="15" hidden="true" customHeight="true" outlineLevel="0" collapsed="false">
      <c r="A646" s="142" t="str">
        <f aca="false">IF(B646="","","TR"&amp;TEXT(ROW()-1,"000"))</f>
        <v/>
      </c>
      <c r="E646" s="130" t="str">
        <f aca="false">IF($O646="✓","✓",IF(ISNUMBER($O646),TEXT($O646,"yyyy-mm-dd"),IF($A646="","",IF(SUMPRODUCT(('Formation Initiale'!$A$2:$A$999=$A646)*('Formation Initiale'!$R$2:$R$999="Terminé"))&gt;0,"✓",IF(SUMPRODUCT(MAX(('Formation Initiale'!$A$2:$A$999=$A646)*'Formation Initiale'!$G$2:$G$999))&gt;0,TEXT(SUMPRODUCT(MAX(('Formation Initiale'!$A$2:$A$999=$A646)*'Formation Initiale'!$G$2:$G$999)),"yyyy-mm-dd"),"")))))</f>
        <v/>
      </c>
      <c r="F646" s="131" t="str">
        <f aca="false">IF($P646="✓","✓",IF(ISNUMBER($P646),TEXT($P646,"yyyy-mm-dd"),IF($A646="","",IF($D646="Lisbonne","",IF(SUMPRODUCT(('Formation Initiale'!$A$2:$A$999=$A646)*('Formation Initiale'!$R$2:$R$999="Terminé"))&gt;0,"✓",IF(SUMPRODUCT(MAX(('Formation Initiale'!$A$2:$A$999=$A646)*'Formation Initiale'!$G$2:$G$999))&gt;0,TEXT(SUMPRODUCT(MAX(('Formation Initiale'!$A$2:$A$999=$A646)*'Formation Initiale'!$G$2:$G$999)),"yyyy-mm-dd"),""))))))</f>
        <v/>
      </c>
      <c r="G646" s="131" t="str">
        <f aca="false">IF($Q646="✓","✓",IF(ISNUMBER($Q646),TEXT($Q646,"yyyy-mm-dd"),IF($A646="","",IF(SUMPRODUCT(('Agences &amp; Après-vente'!$A$2:$A$1000=$A646)*(('Agences &amp; Après-vente'!$D$2:$D$1000="Agences")+('Agences &amp; Après-vente'!$D$2:$D$1000="Agences et Après-vente"))*('Agences &amp; Après-vente'!$I$2:$I$1000="DONE"))&gt;0,"✓",IF(SUMPRODUCT(MAX(('Agences &amp; Après-vente'!$A$2:$A$1000=$A646)*(('Agences &amp; Après-vente'!$D$2:$D$1000="Agences")+('Agences &amp; Après-vente'!$D$2:$D$1000="Agences et Après-vente"))*'Agences &amp; Après-vente'!$E$2:$E$1000))&gt;0,TEXT(SUMPRODUCT(MAX(('Agences &amp; Après-vente'!$A$2:$A$1000=$A646)*(('Agences &amp; Après-vente'!$D$2:$D$1000="Agences")+('Agences &amp; Après-vente'!$D$2:$D$1000="Agences et Après-vente"))*'Agences &amp; Après-vente'!$E$2:$E$1000)),"yyyy-mm-dd"),"")))))</f>
        <v/>
      </c>
      <c r="H646" s="131" t="str">
        <f aca="false">IF($R646="✓","✓",IF(ISNUMBER($R646),TEXT($R646,"yyyy-mm-dd"),IF($A646="","",IF($D646="Lisbonne","",IF(SUMPRODUCT(('Agences &amp; Après-vente'!$A$2:$A$1000=$A646)*(('Agences &amp; Après-vente'!$D$2:$D$1000="Agences")+('Agences &amp; Après-vente'!$D$2:$D$1000="Agences et Après-vente"))*('Agences &amp; Après-vente'!$I$2:$I$1000="DONE"))&gt;0,"✓",IF(SUMPRODUCT(MAX(('Agences &amp; Après-vente'!$A$2:$A$1000=$A646)*(('Agences &amp; Après-vente'!$D$2:$D$1000="Agences")+('Agences &amp; Après-vente'!$D$2:$D$1000="Agences et Après-vente"))*'Agences &amp; Après-vente'!$E$2:$E$1000))&gt;0,TEXT(SUMPRODUCT(MAX(('Agences &amp; Après-vente'!$A$2:$A$1000=$A646)*(('Agences &amp; Après-vente'!$D$2:$D$1000="Agences")+('Agences &amp; Après-vente'!$D$2:$D$1000="Agences et Après-vente"))*'Agences &amp; Après-vente'!$E$2:$E$1000)),"yyyy-mm-dd"),""))))))</f>
        <v/>
      </c>
      <c r="I646" s="131" t="str">
        <f aca="false">IF($S646="✓","✓",IF(ISNUMBER($S646),TEXT($S646,"yyyy-mm-dd"),IF($A646="","",IF(SUMPRODUCT(('Agences &amp; Après-vente'!$A$2:$A$1000=$A646)*(('Agences &amp; Après-vente'!$D$2:$D$1000="Après-vente")+('Agences &amp; Après-vente'!$D$2:$D$1000="Agences et Après-vente"))*('Agences &amp; Après-vente'!$I$2:$I$1000="DONE"))&gt;0,"✓",IF(SUMPRODUCT(MAX(('Agences &amp; Après-vente'!$A$2:$A$1000=$A646)*(('Agences &amp; Après-vente'!$D$2:$D$1000="Après-vente")+('Agences &amp; Après-vente'!$D$2:$D$1000="Agences et Après-vente"))*'Agences &amp; Après-vente'!$E$2:$E$1000))&gt;0,TEXT(SUMPRODUCT(MAX(('Agences &amp; Après-vente'!$A$2:$A$1000=$A646)*(('Agences &amp; Après-vente'!$D$2:$D$1000="Après-vente")+('Agences &amp; Après-vente'!$D$2:$D$1000="Agences et Après-vente"))*'Agences &amp; Après-vente'!$E$2:$E$1000)),"yyyy-mm-dd"),"")))))</f>
        <v/>
      </c>
      <c r="J646" s="131" t="str">
        <f aca="false">IF($T646="✓","✓",IF(ISNUMBER($T646),TEXT($T646,"yyyy-mm-dd"),IF($A646="","",IF($D646="Lisbonne","",IF(SUMPRODUCT(('Agences &amp; Après-vente'!$A$2:$A$1000=$A646)*(('Agences &amp; Après-vente'!$D$2:$D$1000="Après-vente")+('Agences &amp; Après-vente'!$D$2:$D$1000="Agences et Après-vente"))*('Agences &amp; Après-vente'!$I$2:$I$1000="DONE"))&gt;0,"✓",IF(SUMPRODUCT(MAX(('Agences &amp; Après-vente'!$A$2:$A$1000=$A646)*(('Agences &amp; Après-vente'!$D$2:$D$1000="Après-vente")+('Agences &amp; Après-vente'!$D$2:$D$1000="Agences et Après-vente"))*'Agences &amp; Après-vente'!$E$2:$E$1000))&gt;0,TEXT(SUMPRODUCT(MAX(('Agences &amp; Après-vente'!$A$2:$A$1000=$A646)*(('Agences &amp; Après-vente'!$D$2:$D$1000="Après-vente")+('Agences &amp; Après-vente'!$D$2:$D$1000="Agences et Après-vente"))*'Agences &amp; Après-vente'!$E$2:$E$1000)),"yyyy-mm-dd"),""))))))</f>
        <v/>
      </c>
      <c r="K646" s="131" t="str">
        <f aca="false">IF($U646="✓","✓",IF(ISNUMBER($U646),TEXT($U646,"yyyy-mm-dd"),IF($D646="Lisbonne","",IF($A646="","",IF(SUMPRODUCT((Evermont!$A$2:$A$1000=$A646)*(Evermont!$Q$2:$Q$1000="Terminé"))&gt;0,"✓",IF(SUMPRODUCT(MAX((Evermont!$A$2:$A$1000=$A646)*Evermont!$F$2:$F$1000))&gt;0,TEXT(SUMPRODUCT(MAX((Evermont!$A$2:$A$1000=$A646)*Evermont!$F$2:$F$1000)),"yyyy-mm-dd"),""))))))</f>
        <v/>
      </c>
      <c r="L646" s="131" t="str">
        <f aca="false">IF($A646="","",COUNTIF(E646:K646,"✓"))</f>
        <v/>
      </c>
      <c r="M646" s="131" t="str">
        <f aca="false">IF(B646="","","Active")</f>
        <v/>
      </c>
      <c r="W646" s="120" t="str">
        <f aca="false">IF($A646="","",IF($X646&lt;&gt;"",$X646,IFERROR(INDEX('Formation Initiale'!$B$2:$B$999,MATCH($A646,'Formation Initiale'!$A$2:$A$999,0)),"Général")))</f>
        <v/>
      </c>
    </row>
    <row r="647" customFormat="false" ht="15" hidden="true" customHeight="true" outlineLevel="0" collapsed="false">
      <c r="A647" s="142" t="str">
        <f aca="false">IF(B647="","","TR"&amp;TEXT(ROW()-1,"000"))</f>
        <v/>
      </c>
      <c r="E647" s="130" t="str">
        <f aca="false">IF($O647="✓","✓",IF(ISNUMBER($O647),TEXT($O647,"yyyy-mm-dd"),IF($A647="","",IF(SUMPRODUCT(('Formation Initiale'!$A$2:$A$999=$A647)*('Formation Initiale'!$R$2:$R$999="Terminé"))&gt;0,"✓",IF(SUMPRODUCT(MAX(('Formation Initiale'!$A$2:$A$999=$A647)*'Formation Initiale'!$G$2:$G$999))&gt;0,TEXT(SUMPRODUCT(MAX(('Formation Initiale'!$A$2:$A$999=$A647)*'Formation Initiale'!$G$2:$G$999)),"yyyy-mm-dd"),"")))))</f>
        <v/>
      </c>
      <c r="F647" s="131" t="str">
        <f aca="false">IF($P647="✓","✓",IF(ISNUMBER($P647),TEXT($P647,"yyyy-mm-dd"),IF($A647="","",IF($D647="Lisbonne","",IF(SUMPRODUCT(('Formation Initiale'!$A$2:$A$999=$A647)*('Formation Initiale'!$R$2:$R$999="Terminé"))&gt;0,"✓",IF(SUMPRODUCT(MAX(('Formation Initiale'!$A$2:$A$999=$A647)*'Formation Initiale'!$G$2:$G$999))&gt;0,TEXT(SUMPRODUCT(MAX(('Formation Initiale'!$A$2:$A$999=$A647)*'Formation Initiale'!$G$2:$G$999)),"yyyy-mm-dd"),""))))))</f>
        <v/>
      </c>
      <c r="G647" s="131" t="str">
        <f aca="false">IF($Q647="✓","✓",IF(ISNUMBER($Q647),TEXT($Q647,"yyyy-mm-dd"),IF($A647="","",IF(SUMPRODUCT(('Agences &amp; Après-vente'!$A$2:$A$1000=$A647)*(('Agences &amp; Après-vente'!$D$2:$D$1000="Agences")+('Agences &amp; Après-vente'!$D$2:$D$1000="Agences et Après-vente"))*('Agences &amp; Après-vente'!$I$2:$I$1000="DONE"))&gt;0,"✓",IF(SUMPRODUCT(MAX(('Agences &amp; Après-vente'!$A$2:$A$1000=$A647)*(('Agences &amp; Après-vente'!$D$2:$D$1000="Agences")+('Agences &amp; Après-vente'!$D$2:$D$1000="Agences et Après-vente"))*'Agences &amp; Après-vente'!$E$2:$E$1000))&gt;0,TEXT(SUMPRODUCT(MAX(('Agences &amp; Après-vente'!$A$2:$A$1000=$A647)*(('Agences &amp; Après-vente'!$D$2:$D$1000="Agences")+('Agences &amp; Après-vente'!$D$2:$D$1000="Agences et Après-vente"))*'Agences &amp; Après-vente'!$E$2:$E$1000)),"yyyy-mm-dd"),"")))))</f>
        <v/>
      </c>
      <c r="H647" s="131" t="str">
        <f aca="false">IF($R647="✓","✓",IF(ISNUMBER($R647),TEXT($R647,"yyyy-mm-dd"),IF($A647="","",IF($D647="Lisbonne","",IF(SUMPRODUCT(('Agences &amp; Après-vente'!$A$2:$A$1000=$A647)*(('Agences &amp; Après-vente'!$D$2:$D$1000="Agences")+('Agences &amp; Après-vente'!$D$2:$D$1000="Agences et Après-vente"))*('Agences &amp; Après-vente'!$I$2:$I$1000="DONE"))&gt;0,"✓",IF(SUMPRODUCT(MAX(('Agences &amp; Après-vente'!$A$2:$A$1000=$A647)*(('Agences &amp; Après-vente'!$D$2:$D$1000="Agences")+('Agences &amp; Après-vente'!$D$2:$D$1000="Agences et Après-vente"))*'Agences &amp; Après-vente'!$E$2:$E$1000))&gt;0,TEXT(SUMPRODUCT(MAX(('Agences &amp; Après-vente'!$A$2:$A$1000=$A647)*(('Agences &amp; Après-vente'!$D$2:$D$1000="Agences")+('Agences &amp; Après-vente'!$D$2:$D$1000="Agences et Après-vente"))*'Agences &amp; Après-vente'!$E$2:$E$1000)),"yyyy-mm-dd"),""))))))</f>
        <v/>
      </c>
      <c r="I647" s="131" t="str">
        <f aca="false">IF($S647="✓","✓",IF(ISNUMBER($S647),TEXT($S647,"yyyy-mm-dd"),IF($A647="","",IF(SUMPRODUCT(('Agences &amp; Après-vente'!$A$2:$A$1000=$A647)*(('Agences &amp; Après-vente'!$D$2:$D$1000="Après-vente")+('Agences &amp; Après-vente'!$D$2:$D$1000="Agences et Après-vente"))*('Agences &amp; Après-vente'!$I$2:$I$1000="DONE"))&gt;0,"✓",IF(SUMPRODUCT(MAX(('Agences &amp; Après-vente'!$A$2:$A$1000=$A647)*(('Agences &amp; Après-vente'!$D$2:$D$1000="Après-vente")+('Agences &amp; Après-vente'!$D$2:$D$1000="Agences et Après-vente"))*'Agences &amp; Après-vente'!$E$2:$E$1000))&gt;0,TEXT(SUMPRODUCT(MAX(('Agences &amp; Après-vente'!$A$2:$A$1000=$A647)*(('Agences &amp; Après-vente'!$D$2:$D$1000="Après-vente")+('Agences &amp; Après-vente'!$D$2:$D$1000="Agences et Après-vente"))*'Agences &amp; Après-vente'!$E$2:$E$1000)),"yyyy-mm-dd"),"")))))</f>
        <v/>
      </c>
      <c r="J647" s="131" t="str">
        <f aca="false">IF($T647="✓","✓",IF(ISNUMBER($T647),TEXT($T647,"yyyy-mm-dd"),IF($A647="","",IF($D647="Lisbonne","",IF(SUMPRODUCT(('Agences &amp; Après-vente'!$A$2:$A$1000=$A647)*(('Agences &amp; Après-vente'!$D$2:$D$1000="Après-vente")+('Agences &amp; Après-vente'!$D$2:$D$1000="Agences et Après-vente"))*('Agences &amp; Après-vente'!$I$2:$I$1000="DONE"))&gt;0,"✓",IF(SUMPRODUCT(MAX(('Agences &amp; Après-vente'!$A$2:$A$1000=$A647)*(('Agences &amp; Après-vente'!$D$2:$D$1000="Après-vente")+('Agences &amp; Après-vente'!$D$2:$D$1000="Agences et Après-vente"))*'Agences &amp; Après-vente'!$E$2:$E$1000))&gt;0,TEXT(SUMPRODUCT(MAX(('Agences &amp; Après-vente'!$A$2:$A$1000=$A647)*(('Agences &amp; Après-vente'!$D$2:$D$1000="Après-vente")+('Agences &amp; Après-vente'!$D$2:$D$1000="Agences et Après-vente"))*'Agences &amp; Après-vente'!$E$2:$E$1000)),"yyyy-mm-dd"),""))))))</f>
        <v/>
      </c>
      <c r="K647" s="131" t="str">
        <f aca="false">IF($U647="✓","✓",IF(ISNUMBER($U647),TEXT($U647,"yyyy-mm-dd"),IF($D647="Lisbonne","",IF($A647="","",IF(SUMPRODUCT((Evermont!$A$2:$A$1000=$A647)*(Evermont!$Q$2:$Q$1000="Terminé"))&gt;0,"✓",IF(SUMPRODUCT(MAX((Evermont!$A$2:$A$1000=$A647)*Evermont!$F$2:$F$1000))&gt;0,TEXT(SUMPRODUCT(MAX((Evermont!$A$2:$A$1000=$A647)*Evermont!$F$2:$F$1000)),"yyyy-mm-dd"),""))))))</f>
        <v/>
      </c>
      <c r="L647" s="131" t="str">
        <f aca="false">IF($A647="","",COUNTIF(E647:K647,"✓"))</f>
        <v/>
      </c>
      <c r="M647" s="131" t="str">
        <f aca="false">IF(B647="","","Active")</f>
        <v/>
      </c>
      <c r="W647" s="120" t="str">
        <f aca="false">IF($A647="","",IF($X647&lt;&gt;"",$X647,IFERROR(INDEX('Formation Initiale'!$B$2:$B$999,MATCH($A647,'Formation Initiale'!$A$2:$A$999,0)),"Général")))</f>
        <v/>
      </c>
    </row>
    <row r="648" customFormat="false" ht="15" hidden="true" customHeight="true" outlineLevel="0" collapsed="false">
      <c r="A648" s="142" t="str">
        <f aca="false">IF(B648="","","TR"&amp;TEXT(ROW()-1,"000"))</f>
        <v/>
      </c>
      <c r="E648" s="130" t="str">
        <f aca="false">IF($O648="✓","✓",IF(ISNUMBER($O648),TEXT($O648,"yyyy-mm-dd"),IF($A648="","",IF(SUMPRODUCT(('Formation Initiale'!$A$2:$A$999=$A648)*('Formation Initiale'!$R$2:$R$999="Terminé"))&gt;0,"✓",IF(SUMPRODUCT(MAX(('Formation Initiale'!$A$2:$A$999=$A648)*'Formation Initiale'!$G$2:$G$999))&gt;0,TEXT(SUMPRODUCT(MAX(('Formation Initiale'!$A$2:$A$999=$A648)*'Formation Initiale'!$G$2:$G$999)),"yyyy-mm-dd"),"")))))</f>
        <v/>
      </c>
      <c r="F648" s="131" t="str">
        <f aca="false">IF($P648="✓","✓",IF(ISNUMBER($P648),TEXT($P648,"yyyy-mm-dd"),IF($A648="","",IF($D648="Lisbonne","",IF(SUMPRODUCT(('Formation Initiale'!$A$2:$A$999=$A648)*('Formation Initiale'!$R$2:$R$999="Terminé"))&gt;0,"✓",IF(SUMPRODUCT(MAX(('Formation Initiale'!$A$2:$A$999=$A648)*'Formation Initiale'!$G$2:$G$999))&gt;0,TEXT(SUMPRODUCT(MAX(('Formation Initiale'!$A$2:$A$999=$A648)*'Formation Initiale'!$G$2:$G$999)),"yyyy-mm-dd"),""))))))</f>
        <v/>
      </c>
      <c r="G648" s="131" t="str">
        <f aca="false">IF($Q648="✓","✓",IF(ISNUMBER($Q648),TEXT($Q648,"yyyy-mm-dd"),IF($A648="","",IF(SUMPRODUCT(('Agences &amp; Après-vente'!$A$2:$A$1000=$A648)*(('Agences &amp; Après-vente'!$D$2:$D$1000="Agences")+('Agences &amp; Après-vente'!$D$2:$D$1000="Agences et Après-vente"))*('Agences &amp; Après-vente'!$I$2:$I$1000="DONE"))&gt;0,"✓",IF(SUMPRODUCT(MAX(('Agences &amp; Après-vente'!$A$2:$A$1000=$A648)*(('Agences &amp; Après-vente'!$D$2:$D$1000="Agences")+('Agences &amp; Après-vente'!$D$2:$D$1000="Agences et Après-vente"))*'Agences &amp; Après-vente'!$E$2:$E$1000))&gt;0,TEXT(SUMPRODUCT(MAX(('Agences &amp; Après-vente'!$A$2:$A$1000=$A648)*(('Agences &amp; Après-vente'!$D$2:$D$1000="Agences")+('Agences &amp; Après-vente'!$D$2:$D$1000="Agences et Après-vente"))*'Agences &amp; Après-vente'!$E$2:$E$1000)),"yyyy-mm-dd"),"")))))</f>
        <v/>
      </c>
      <c r="H648" s="131" t="str">
        <f aca="false">IF($R648="✓","✓",IF(ISNUMBER($R648),TEXT($R648,"yyyy-mm-dd"),IF($A648="","",IF($D648="Lisbonne","",IF(SUMPRODUCT(('Agences &amp; Après-vente'!$A$2:$A$1000=$A648)*(('Agences &amp; Après-vente'!$D$2:$D$1000="Agences")+('Agences &amp; Après-vente'!$D$2:$D$1000="Agences et Après-vente"))*('Agences &amp; Après-vente'!$I$2:$I$1000="DONE"))&gt;0,"✓",IF(SUMPRODUCT(MAX(('Agences &amp; Après-vente'!$A$2:$A$1000=$A648)*(('Agences &amp; Après-vente'!$D$2:$D$1000="Agences")+('Agences &amp; Après-vente'!$D$2:$D$1000="Agences et Après-vente"))*'Agences &amp; Après-vente'!$E$2:$E$1000))&gt;0,TEXT(SUMPRODUCT(MAX(('Agences &amp; Après-vente'!$A$2:$A$1000=$A648)*(('Agences &amp; Après-vente'!$D$2:$D$1000="Agences")+('Agences &amp; Après-vente'!$D$2:$D$1000="Agences et Après-vente"))*'Agences &amp; Après-vente'!$E$2:$E$1000)),"yyyy-mm-dd"),""))))))</f>
        <v/>
      </c>
      <c r="I648" s="131" t="str">
        <f aca="false">IF($S648="✓","✓",IF(ISNUMBER($S648),TEXT($S648,"yyyy-mm-dd"),IF($A648="","",IF(SUMPRODUCT(('Agences &amp; Après-vente'!$A$2:$A$1000=$A648)*(('Agences &amp; Après-vente'!$D$2:$D$1000="Après-vente")+('Agences &amp; Après-vente'!$D$2:$D$1000="Agences et Après-vente"))*('Agences &amp; Après-vente'!$I$2:$I$1000="DONE"))&gt;0,"✓",IF(SUMPRODUCT(MAX(('Agences &amp; Après-vente'!$A$2:$A$1000=$A648)*(('Agences &amp; Après-vente'!$D$2:$D$1000="Après-vente")+('Agences &amp; Après-vente'!$D$2:$D$1000="Agences et Après-vente"))*'Agences &amp; Après-vente'!$E$2:$E$1000))&gt;0,TEXT(SUMPRODUCT(MAX(('Agences &amp; Après-vente'!$A$2:$A$1000=$A648)*(('Agences &amp; Après-vente'!$D$2:$D$1000="Après-vente")+('Agences &amp; Après-vente'!$D$2:$D$1000="Agences et Après-vente"))*'Agences &amp; Après-vente'!$E$2:$E$1000)),"yyyy-mm-dd"),"")))))</f>
        <v/>
      </c>
      <c r="J648" s="131" t="str">
        <f aca="false">IF($T648="✓","✓",IF(ISNUMBER($T648),TEXT($T648,"yyyy-mm-dd"),IF($A648="","",IF($D648="Lisbonne","",IF(SUMPRODUCT(('Agences &amp; Après-vente'!$A$2:$A$1000=$A648)*(('Agences &amp; Après-vente'!$D$2:$D$1000="Après-vente")+('Agences &amp; Après-vente'!$D$2:$D$1000="Agences et Après-vente"))*('Agences &amp; Après-vente'!$I$2:$I$1000="DONE"))&gt;0,"✓",IF(SUMPRODUCT(MAX(('Agences &amp; Après-vente'!$A$2:$A$1000=$A648)*(('Agences &amp; Après-vente'!$D$2:$D$1000="Après-vente")+('Agences &amp; Après-vente'!$D$2:$D$1000="Agences et Après-vente"))*'Agences &amp; Après-vente'!$E$2:$E$1000))&gt;0,TEXT(SUMPRODUCT(MAX(('Agences &amp; Après-vente'!$A$2:$A$1000=$A648)*(('Agences &amp; Après-vente'!$D$2:$D$1000="Après-vente")+('Agences &amp; Après-vente'!$D$2:$D$1000="Agences et Après-vente"))*'Agences &amp; Après-vente'!$E$2:$E$1000)),"yyyy-mm-dd"),""))))))</f>
        <v/>
      </c>
      <c r="K648" s="131" t="str">
        <f aca="false">IF($U648="✓","✓",IF(ISNUMBER($U648),TEXT($U648,"yyyy-mm-dd"),IF($D648="Lisbonne","",IF($A648="","",IF(SUMPRODUCT((Evermont!$A$2:$A$1000=$A648)*(Evermont!$Q$2:$Q$1000="Terminé"))&gt;0,"✓",IF(SUMPRODUCT(MAX((Evermont!$A$2:$A$1000=$A648)*Evermont!$F$2:$F$1000))&gt;0,TEXT(SUMPRODUCT(MAX((Evermont!$A$2:$A$1000=$A648)*Evermont!$F$2:$F$1000)),"yyyy-mm-dd"),""))))))</f>
        <v/>
      </c>
      <c r="L648" s="131" t="str">
        <f aca="false">IF($A648="","",COUNTIF(E648:K648,"✓"))</f>
        <v/>
      </c>
      <c r="M648" s="131" t="str">
        <f aca="false">IF(B648="","","Active")</f>
        <v/>
      </c>
      <c r="W648" s="120" t="str">
        <f aca="false">IF($A648="","",IF($X648&lt;&gt;"",$X648,IFERROR(INDEX('Formation Initiale'!$B$2:$B$999,MATCH($A648,'Formation Initiale'!$A$2:$A$999,0)),"Général")))</f>
        <v/>
      </c>
    </row>
    <row r="649" customFormat="false" ht="15" hidden="true" customHeight="true" outlineLevel="0" collapsed="false">
      <c r="A649" s="142" t="str">
        <f aca="false">IF(B649="","","TR"&amp;TEXT(ROW()-1,"000"))</f>
        <v/>
      </c>
      <c r="E649" s="130" t="str">
        <f aca="false">IF($O649="✓","✓",IF(ISNUMBER($O649),TEXT($O649,"yyyy-mm-dd"),IF($A649="","",IF(SUMPRODUCT(('Formation Initiale'!$A$2:$A$999=$A649)*('Formation Initiale'!$R$2:$R$999="Terminé"))&gt;0,"✓",IF(SUMPRODUCT(MAX(('Formation Initiale'!$A$2:$A$999=$A649)*'Formation Initiale'!$G$2:$G$999))&gt;0,TEXT(SUMPRODUCT(MAX(('Formation Initiale'!$A$2:$A$999=$A649)*'Formation Initiale'!$G$2:$G$999)),"yyyy-mm-dd"),"")))))</f>
        <v/>
      </c>
      <c r="F649" s="131" t="str">
        <f aca="false">IF($P649="✓","✓",IF(ISNUMBER($P649),TEXT($P649,"yyyy-mm-dd"),IF($A649="","",IF($D649="Lisbonne","",IF(SUMPRODUCT(('Formation Initiale'!$A$2:$A$999=$A649)*('Formation Initiale'!$R$2:$R$999="Terminé"))&gt;0,"✓",IF(SUMPRODUCT(MAX(('Formation Initiale'!$A$2:$A$999=$A649)*'Formation Initiale'!$G$2:$G$999))&gt;0,TEXT(SUMPRODUCT(MAX(('Formation Initiale'!$A$2:$A$999=$A649)*'Formation Initiale'!$G$2:$G$999)),"yyyy-mm-dd"),""))))))</f>
        <v/>
      </c>
      <c r="G649" s="131" t="str">
        <f aca="false">IF($Q649="✓","✓",IF(ISNUMBER($Q649),TEXT($Q649,"yyyy-mm-dd"),IF($A649="","",IF(SUMPRODUCT(('Agences &amp; Après-vente'!$A$2:$A$1000=$A649)*(('Agences &amp; Après-vente'!$D$2:$D$1000="Agences")+('Agences &amp; Après-vente'!$D$2:$D$1000="Agences et Après-vente"))*('Agences &amp; Après-vente'!$I$2:$I$1000="DONE"))&gt;0,"✓",IF(SUMPRODUCT(MAX(('Agences &amp; Après-vente'!$A$2:$A$1000=$A649)*(('Agences &amp; Après-vente'!$D$2:$D$1000="Agences")+('Agences &amp; Après-vente'!$D$2:$D$1000="Agences et Après-vente"))*'Agences &amp; Après-vente'!$E$2:$E$1000))&gt;0,TEXT(SUMPRODUCT(MAX(('Agences &amp; Après-vente'!$A$2:$A$1000=$A649)*(('Agences &amp; Après-vente'!$D$2:$D$1000="Agences")+('Agences &amp; Après-vente'!$D$2:$D$1000="Agences et Après-vente"))*'Agences &amp; Après-vente'!$E$2:$E$1000)),"yyyy-mm-dd"),"")))))</f>
        <v/>
      </c>
      <c r="H649" s="131" t="str">
        <f aca="false">IF($R649="✓","✓",IF(ISNUMBER($R649),TEXT($R649,"yyyy-mm-dd"),IF($A649="","",IF($D649="Lisbonne","",IF(SUMPRODUCT(('Agences &amp; Après-vente'!$A$2:$A$1000=$A649)*(('Agences &amp; Après-vente'!$D$2:$D$1000="Agences")+('Agences &amp; Après-vente'!$D$2:$D$1000="Agences et Après-vente"))*('Agences &amp; Après-vente'!$I$2:$I$1000="DONE"))&gt;0,"✓",IF(SUMPRODUCT(MAX(('Agences &amp; Après-vente'!$A$2:$A$1000=$A649)*(('Agences &amp; Après-vente'!$D$2:$D$1000="Agences")+('Agences &amp; Après-vente'!$D$2:$D$1000="Agences et Après-vente"))*'Agences &amp; Après-vente'!$E$2:$E$1000))&gt;0,TEXT(SUMPRODUCT(MAX(('Agences &amp; Après-vente'!$A$2:$A$1000=$A649)*(('Agences &amp; Après-vente'!$D$2:$D$1000="Agences")+('Agences &amp; Après-vente'!$D$2:$D$1000="Agences et Après-vente"))*'Agences &amp; Après-vente'!$E$2:$E$1000)),"yyyy-mm-dd"),""))))))</f>
        <v/>
      </c>
      <c r="I649" s="131" t="str">
        <f aca="false">IF($S649="✓","✓",IF(ISNUMBER($S649),TEXT($S649,"yyyy-mm-dd"),IF($A649="","",IF(SUMPRODUCT(('Agences &amp; Après-vente'!$A$2:$A$1000=$A649)*(('Agences &amp; Après-vente'!$D$2:$D$1000="Après-vente")+('Agences &amp; Après-vente'!$D$2:$D$1000="Agences et Après-vente"))*('Agences &amp; Après-vente'!$I$2:$I$1000="DONE"))&gt;0,"✓",IF(SUMPRODUCT(MAX(('Agences &amp; Après-vente'!$A$2:$A$1000=$A649)*(('Agences &amp; Après-vente'!$D$2:$D$1000="Après-vente")+('Agences &amp; Après-vente'!$D$2:$D$1000="Agences et Après-vente"))*'Agences &amp; Après-vente'!$E$2:$E$1000))&gt;0,TEXT(SUMPRODUCT(MAX(('Agences &amp; Après-vente'!$A$2:$A$1000=$A649)*(('Agences &amp; Après-vente'!$D$2:$D$1000="Après-vente")+('Agences &amp; Après-vente'!$D$2:$D$1000="Agences et Après-vente"))*'Agences &amp; Après-vente'!$E$2:$E$1000)),"yyyy-mm-dd"),"")))))</f>
        <v/>
      </c>
      <c r="J649" s="131" t="str">
        <f aca="false">IF($T649="✓","✓",IF(ISNUMBER($T649),TEXT($T649,"yyyy-mm-dd"),IF($A649="","",IF($D649="Lisbonne","",IF(SUMPRODUCT(('Agences &amp; Après-vente'!$A$2:$A$1000=$A649)*(('Agences &amp; Après-vente'!$D$2:$D$1000="Après-vente")+('Agences &amp; Après-vente'!$D$2:$D$1000="Agences et Après-vente"))*('Agences &amp; Après-vente'!$I$2:$I$1000="DONE"))&gt;0,"✓",IF(SUMPRODUCT(MAX(('Agences &amp; Après-vente'!$A$2:$A$1000=$A649)*(('Agences &amp; Après-vente'!$D$2:$D$1000="Après-vente")+('Agences &amp; Après-vente'!$D$2:$D$1000="Agences et Après-vente"))*'Agences &amp; Après-vente'!$E$2:$E$1000))&gt;0,TEXT(SUMPRODUCT(MAX(('Agences &amp; Après-vente'!$A$2:$A$1000=$A649)*(('Agences &amp; Après-vente'!$D$2:$D$1000="Après-vente")+('Agences &amp; Après-vente'!$D$2:$D$1000="Agences et Après-vente"))*'Agences &amp; Après-vente'!$E$2:$E$1000)),"yyyy-mm-dd"),""))))))</f>
        <v/>
      </c>
      <c r="K649" s="131" t="str">
        <f aca="false">IF($U649="✓","✓",IF(ISNUMBER($U649),TEXT($U649,"yyyy-mm-dd"),IF($D649="Lisbonne","",IF($A649="","",IF(SUMPRODUCT((Evermont!$A$2:$A$1000=$A649)*(Evermont!$Q$2:$Q$1000="Terminé"))&gt;0,"✓",IF(SUMPRODUCT(MAX((Evermont!$A$2:$A$1000=$A649)*Evermont!$F$2:$F$1000))&gt;0,TEXT(SUMPRODUCT(MAX((Evermont!$A$2:$A$1000=$A649)*Evermont!$F$2:$F$1000)),"yyyy-mm-dd"),""))))))</f>
        <v/>
      </c>
      <c r="L649" s="131" t="str">
        <f aca="false">IF($A649="","",COUNTIF(E649:K649,"✓"))</f>
        <v/>
      </c>
      <c r="M649" s="131" t="str">
        <f aca="false">IF(B649="","","Active")</f>
        <v/>
      </c>
      <c r="W649" s="120" t="str">
        <f aca="false">IF($A649="","",IF($X649&lt;&gt;"",$X649,IFERROR(INDEX('Formation Initiale'!$B$2:$B$999,MATCH($A649,'Formation Initiale'!$A$2:$A$999,0)),"Général")))</f>
        <v/>
      </c>
    </row>
    <row r="650" customFormat="false" ht="15" hidden="true" customHeight="true" outlineLevel="0" collapsed="false">
      <c r="A650" s="142" t="str">
        <f aca="false">IF(B650="","","TR"&amp;TEXT(ROW()-1,"000"))</f>
        <v/>
      </c>
      <c r="E650" s="130" t="str">
        <f aca="false">IF($O650="✓","✓",IF(ISNUMBER($O650),TEXT($O650,"yyyy-mm-dd"),IF($A650="","",IF(SUMPRODUCT(('Formation Initiale'!$A$2:$A$999=$A650)*('Formation Initiale'!$R$2:$R$999="Terminé"))&gt;0,"✓",IF(SUMPRODUCT(MAX(('Formation Initiale'!$A$2:$A$999=$A650)*'Formation Initiale'!$G$2:$G$999))&gt;0,TEXT(SUMPRODUCT(MAX(('Formation Initiale'!$A$2:$A$999=$A650)*'Formation Initiale'!$G$2:$G$999)),"yyyy-mm-dd"),"")))))</f>
        <v/>
      </c>
      <c r="F650" s="131" t="str">
        <f aca="false">IF($P650="✓","✓",IF(ISNUMBER($P650),TEXT($P650,"yyyy-mm-dd"),IF($A650="","",IF($D650="Lisbonne","",IF(SUMPRODUCT(('Formation Initiale'!$A$2:$A$999=$A650)*('Formation Initiale'!$R$2:$R$999="Terminé"))&gt;0,"✓",IF(SUMPRODUCT(MAX(('Formation Initiale'!$A$2:$A$999=$A650)*'Formation Initiale'!$G$2:$G$999))&gt;0,TEXT(SUMPRODUCT(MAX(('Formation Initiale'!$A$2:$A$999=$A650)*'Formation Initiale'!$G$2:$G$999)),"yyyy-mm-dd"),""))))))</f>
        <v/>
      </c>
      <c r="G650" s="131" t="str">
        <f aca="false">IF($Q650="✓","✓",IF(ISNUMBER($Q650),TEXT($Q650,"yyyy-mm-dd"),IF($A650="","",IF(SUMPRODUCT(('Agences &amp; Après-vente'!$A$2:$A$1000=$A650)*(('Agences &amp; Après-vente'!$D$2:$D$1000="Agences")+('Agences &amp; Après-vente'!$D$2:$D$1000="Agences et Après-vente"))*('Agences &amp; Après-vente'!$I$2:$I$1000="DONE"))&gt;0,"✓",IF(SUMPRODUCT(MAX(('Agences &amp; Après-vente'!$A$2:$A$1000=$A650)*(('Agences &amp; Après-vente'!$D$2:$D$1000="Agences")+('Agences &amp; Après-vente'!$D$2:$D$1000="Agences et Après-vente"))*'Agences &amp; Après-vente'!$E$2:$E$1000))&gt;0,TEXT(SUMPRODUCT(MAX(('Agences &amp; Après-vente'!$A$2:$A$1000=$A650)*(('Agences &amp; Après-vente'!$D$2:$D$1000="Agences")+('Agences &amp; Après-vente'!$D$2:$D$1000="Agences et Après-vente"))*'Agences &amp; Après-vente'!$E$2:$E$1000)),"yyyy-mm-dd"),"")))))</f>
        <v/>
      </c>
      <c r="H650" s="131" t="str">
        <f aca="false">IF($R650="✓","✓",IF(ISNUMBER($R650),TEXT($R650,"yyyy-mm-dd"),IF($A650="","",IF($D650="Lisbonne","",IF(SUMPRODUCT(('Agences &amp; Après-vente'!$A$2:$A$1000=$A650)*(('Agences &amp; Après-vente'!$D$2:$D$1000="Agences")+('Agences &amp; Après-vente'!$D$2:$D$1000="Agences et Après-vente"))*('Agences &amp; Après-vente'!$I$2:$I$1000="DONE"))&gt;0,"✓",IF(SUMPRODUCT(MAX(('Agences &amp; Après-vente'!$A$2:$A$1000=$A650)*(('Agences &amp; Après-vente'!$D$2:$D$1000="Agences")+('Agences &amp; Après-vente'!$D$2:$D$1000="Agences et Après-vente"))*'Agences &amp; Après-vente'!$E$2:$E$1000))&gt;0,TEXT(SUMPRODUCT(MAX(('Agences &amp; Après-vente'!$A$2:$A$1000=$A650)*(('Agences &amp; Après-vente'!$D$2:$D$1000="Agences")+('Agences &amp; Après-vente'!$D$2:$D$1000="Agences et Après-vente"))*'Agences &amp; Après-vente'!$E$2:$E$1000)),"yyyy-mm-dd"),""))))))</f>
        <v/>
      </c>
      <c r="I650" s="131" t="str">
        <f aca="false">IF($S650="✓","✓",IF(ISNUMBER($S650),TEXT($S650,"yyyy-mm-dd"),IF($A650="","",IF(SUMPRODUCT(('Agences &amp; Après-vente'!$A$2:$A$1000=$A650)*(('Agences &amp; Après-vente'!$D$2:$D$1000="Après-vente")+('Agences &amp; Après-vente'!$D$2:$D$1000="Agences et Après-vente"))*('Agences &amp; Après-vente'!$I$2:$I$1000="DONE"))&gt;0,"✓",IF(SUMPRODUCT(MAX(('Agences &amp; Après-vente'!$A$2:$A$1000=$A650)*(('Agences &amp; Après-vente'!$D$2:$D$1000="Après-vente")+('Agences &amp; Après-vente'!$D$2:$D$1000="Agences et Après-vente"))*'Agences &amp; Après-vente'!$E$2:$E$1000))&gt;0,TEXT(SUMPRODUCT(MAX(('Agences &amp; Après-vente'!$A$2:$A$1000=$A650)*(('Agences &amp; Après-vente'!$D$2:$D$1000="Après-vente")+('Agences &amp; Après-vente'!$D$2:$D$1000="Agences et Après-vente"))*'Agences &amp; Après-vente'!$E$2:$E$1000)),"yyyy-mm-dd"),"")))))</f>
        <v/>
      </c>
      <c r="J650" s="131" t="str">
        <f aca="false">IF($T650="✓","✓",IF(ISNUMBER($T650),TEXT($T650,"yyyy-mm-dd"),IF($A650="","",IF($D650="Lisbonne","",IF(SUMPRODUCT(('Agences &amp; Après-vente'!$A$2:$A$1000=$A650)*(('Agences &amp; Après-vente'!$D$2:$D$1000="Après-vente")+('Agences &amp; Après-vente'!$D$2:$D$1000="Agences et Après-vente"))*('Agences &amp; Après-vente'!$I$2:$I$1000="DONE"))&gt;0,"✓",IF(SUMPRODUCT(MAX(('Agences &amp; Après-vente'!$A$2:$A$1000=$A650)*(('Agences &amp; Après-vente'!$D$2:$D$1000="Après-vente")+('Agences &amp; Après-vente'!$D$2:$D$1000="Agences et Après-vente"))*'Agences &amp; Après-vente'!$E$2:$E$1000))&gt;0,TEXT(SUMPRODUCT(MAX(('Agences &amp; Après-vente'!$A$2:$A$1000=$A650)*(('Agences &amp; Après-vente'!$D$2:$D$1000="Après-vente")+('Agences &amp; Après-vente'!$D$2:$D$1000="Agences et Après-vente"))*'Agences &amp; Après-vente'!$E$2:$E$1000)),"yyyy-mm-dd"),""))))))</f>
        <v/>
      </c>
      <c r="K650" s="131" t="str">
        <f aca="false">IF($U650="✓","✓",IF(ISNUMBER($U650),TEXT($U650,"yyyy-mm-dd"),IF($D650="Lisbonne","",IF($A650="","",IF(SUMPRODUCT((Evermont!$A$2:$A$1000=$A650)*(Evermont!$Q$2:$Q$1000="Terminé"))&gt;0,"✓",IF(SUMPRODUCT(MAX((Evermont!$A$2:$A$1000=$A650)*Evermont!$F$2:$F$1000))&gt;0,TEXT(SUMPRODUCT(MAX((Evermont!$A$2:$A$1000=$A650)*Evermont!$F$2:$F$1000)),"yyyy-mm-dd"),""))))))</f>
        <v/>
      </c>
      <c r="L650" s="131" t="str">
        <f aca="false">IF($A650="","",COUNTIF(E650:K650,"✓"))</f>
        <v/>
      </c>
      <c r="M650" s="131" t="str">
        <f aca="false">IF(B650="","","Active")</f>
        <v/>
      </c>
      <c r="W650" s="120" t="str">
        <f aca="false">IF($A650="","",IF($X650&lt;&gt;"",$X650,IFERROR(INDEX('Formation Initiale'!$B$2:$B$999,MATCH($A650,'Formation Initiale'!$A$2:$A$999,0)),"Général")))</f>
        <v/>
      </c>
    </row>
    <row r="651" customFormat="false" ht="15" hidden="true" customHeight="true" outlineLevel="0" collapsed="false">
      <c r="A651" s="142" t="str">
        <f aca="false">IF(B651="","","TR"&amp;TEXT(ROW()-1,"000"))</f>
        <v/>
      </c>
      <c r="E651" s="130" t="str">
        <f aca="false">IF($O651="✓","✓",IF(ISNUMBER($O651),TEXT($O651,"yyyy-mm-dd"),IF($A651="","",IF(SUMPRODUCT(('Formation Initiale'!$A$2:$A$999=$A651)*('Formation Initiale'!$R$2:$R$999="Terminé"))&gt;0,"✓",IF(SUMPRODUCT(MAX(('Formation Initiale'!$A$2:$A$999=$A651)*'Formation Initiale'!$G$2:$G$999))&gt;0,TEXT(SUMPRODUCT(MAX(('Formation Initiale'!$A$2:$A$999=$A651)*'Formation Initiale'!$G$2:$G$999)),"yyyy-mm-dd"),"")))))</f>
        <v/>
      </c>
      <c r="F651" s="131" t="str">
        <f aca="false">IF($P651="✓","✓",IF(ISNUMBER($P651),TEXT($P651,"yyyy-mm-dd"),IF($A651="","",IF($D651="Lisbonne","",IF(SUMPRODUCT(('Formation Initiale'!$A$2:$A$999=$A651)*('Formation Initiale'!$R$2:$R$999="Terminé"))&gt;0,"✓",IF(SUMPRODUCT(MAX(('Formation Initiale'!$A$2:$A$999=$A651)*'Formation Initiale'!$G$2:$G$999))&gt;0,TEXT(SUMPRODUCT(MAX(('Formation Initiale'!$A$2:$A$999=$A651)*'Formation Initiale'!$G$2:$G$999)),"yyyy-mm-dd"),""))))))</f>
        <v/>
      </c>
      <c r="G651" s="131" t="str">
        <f aca="false">IF($Q651="✓","✓",IF(ISNUMBER($Q651),TEXT($Q651,"yyyy-mm-dd"),IF($A651="","",IF(SUMPRODUCT(('Agences &amp; Après-vente'!$A$2:$A$1000=$A651)*(('Agences &amp; Après-vente'!$D$2:$D$1000="Agences")+('Agences &amp; Après-vente'!$D$2:$D$1000="Agences et Après-vente"))*('Agences &amp; Après-vente'!$I$2:$I$1000="DONE"))&gt;0,"✓",IF(SUMPRODUCT(MAX(('Agences &amp; Après-vente'!$A$2:$A$1000=$A651)*(('Agences &amp; Après-vente'!$D$2:$D$1000="Agences")+('Agences &amp; Après-vente'!$D$2:$D$1000="Agences et Après-vente"))*'Agences &amp; Après-vente'!$E$2:$E$1000))&gt;0,TEXT(SUMPRODUCT(MAX(('Agences &amp; Après-vente'!$A$2:$A$1000=$A651)*(('Agences &amp; Après-vente'!$D$2:$D$1000="Agences")+('Agences &amp; Après-vente'!$D$2:$D$1000="Agences et Après-vente"))*'Agences &amp; Après-vente'!$E$2:$E$1000)),"yyyy-mm-dd"),"")))))</f>
        <v/>
      </c>
      <c r="H651" s="131" t="str">
        <f aca="false">IF($R651="✓","✓",IF(ISNUMBER($R651),TEXT($R651,"yyyy-mm-dd"),IF($A651="","",IF($D651="Lisbonne","",IF(SUMPRODUCT(('Agences &amp; Après-vente'!$A$2:$A$1000=$A651)*(('Agences &amp; Après-vente'!$D$2:$D$1000="Agences")+('Agences &amp; Après-vente'!$D$2:$D$1000="Agences et Après-vente"))*('Agences &amp; Après-vente'!$I$2:$I$1000="DONE"))&gt;0,"✓",IF(SUMPRODUCT(MAX(('Agences &amp; Après-vente'!$A$2:$A$1000=$A651)*(('Agences &amp; Après-vente'!$D$2:$D$1000="Agences")+('Agences &amp; Après-vente'!$D$2:$D$1000="Agences et Après-vente"))*'Agences &amp; Après-vente'!$E$2:$E$1000))&gt;0,TEXT(SUMPRODUCT(MAX(('Agences &amp; Après-vente'!$A$2:$A$1000=$A651)*(('Agences &amp; Après-vente'!$D$2:$D$1000="Agences")+('Agences &amp; Après-vente'!$D$2:$D$1000="Agences et Après-vente"))*'Agences &amp; Après-vente'!$E$2:$E$1000)),"yyyy-mm-dd"),""))))))</f>
        <v/>
      </c>
      <c r="I651" s="131" t="str">
        <f aca="false">IF($S651="✓","✓",IF(ISNUMBER($S651),TEXT($S651,"yyyy-mm-dd"),IF($A651="","",IF(SUMPRODUCT(('Agences &amp; Après-vente'!$A$2:$A$1000=$A651)*(('Agences &amp; Après-vente'!$D$2:$D$1000="Après-vente")+('Agences &amp; Après-vente'!$D$2:$D$1000="Agences et Après-vente"))*('Agences &amp; Après-vente'!$I$2:$I$1000="DONE"))&gt;0,"✓",IF(SUMPRODUCT(MAX(('Agences &amp; Après-vente'!$A$2:$A$1000=$A651)*(('Agences &amp; Après-vente'!$D$2:$D$1000="Après-vente")+('Agences &amp; Après-vente'!$D$2:$D$1000="Agences et Après-vente"))*'Agences &amp; Après-vente'!$E$2:$E$1000))&gt;0,TEXT(SUMPRODUCT(MAX(('Agences &amp; Après-vente'!$A$2:$A$1000=$A651)*(('Agences &amp; Après-vente'!$D$2:$D$1000="Après-vente")+('Agences &amp; Après-vente'!$D$2:$D$1000="Agences et Après-vente"))*'Agences &amp; Après-vente'!$E$2:$E$1000)),"yyyy-mm-dd"),"")))))</f>
        <v/>
      </c>
      <c r="J651" s="131" t="str">
        <f aca="false">IF($T651="✓","✓",IF(ISNUMBER($T651),TEXT($T651,"yyyy-mm-dd"),IF($A651="","",IF($D651="Lisbonne","",IF(SUMPRODUCT(('Agences &amp; Après-vente'!$A$2:$A$1000=$A651)*(('Agences &amp; Après-vente'!$D$2:$D$1000="Après-vente")+('Agences &amp; Après-vente'!$D$2:$D$1000="Agences et Après-vente"))*('Agences &amp; Après-vente'!$I$2:$I$1000="DONE"))&gt;0,"✓",IF(SUMPRODUCT(MAX(('Agences &amp; Après-vente'!$A$2:$A$1000=$A651)*(('Agences &amp; Après-vente'!$D$2:$D$1000="Après-vente")+('Agences &amp; Après-vente'!$D$2:$D$1000="Agences et Après-vente"))*'Agences &amp; Après-vente'!$E$2:$E$1000))&gt;0,TEXT(SUMPRODUCT(MAX(('Agences &amp; Après-vente'!$A$2:$A$1000=$A651)*(('Agences &amp; Après-vente'!$D$2:$D$1000="Après-vente")+('Agences &amp; Après-vente'!$D$2:$D$1000="Agences et Après-vente"))*'Agences &amp; Après-vente'!$E$2:$E$1000)),"yyyy-mm-dd"),""))))))</f>
        <v/>
      </c>
      <c r="K651" s="131" t="str">
        <f aca="false">IF($U651="✓","✓",IF(ISNUMBER($U651),TEXT($U651,"yyyy-mm-dd"),IF($D651="Lisbonne","",IF($A651="","",IF(SUMPRODUCT((Evermont!$A$2:$A$1000=$A651)*(Evermont!$Q$2:$Q$1000="Terminé"))&gt;0,"✓",IF(SUMPRODUCT(MAX((Evermont!$A$2:$A$1000=$A651)*Evermont!$F$2:$F$1000))&gt;0,TEXT(SUMPRODUCT(MAX((Evermont!$A$2:$A$1000=$A651)*Evermont!$F$2:$F$1000)),"yyyy-mm-dd"),""))))))</f>
        <v/>
      </c>
      <c r="L651" s="131" t="str">
        <f aca="false">IF($A651="","",COUNTIF(E651:K651,"✓"))</f>
        <v/>
      </c>
      <c r="M651" s="131" t="str">
        <f aca="false">IF(B651="","","Active")</f>
        <v/>
      </c>
      <c r="W651" s="120" t="str">
        <f aca="false">IF($A651="","",IF($X651&lt;&gt;"",$X651,IFERROR(INDEX('Formation Initiale'!$B$2:$B$999,MATCH($A651,'Formation Initiale'!$A$2:$A$999,0)),"Général")))</f>
        <v/>
      </c>
    </row>
    <row r="652" customFormat="false" ht="15" hidden="true" customHeight="true" outlineLevel="0" collapsed="false">
      <c r="A652" s="142" t="str">
        <f aca="false">IF(B652="","","TR"&amp;TEXT(ROW()-1,"000"))</f>
        <v/>
      </c>
      <c r="E652" s="130" t="str">
        <f aca="false">IF($O652="✓","✓",IF(ISNUMBER($O652),TEXT($O652,"yyyy-mm-dd"),IF($A652="","",IF(SUMPRODUCT(('Formation Initiale'!$A$2:$A$999=$A652)*('Formation Initiale'!$R$2:$R$999="Terminé"))&gt;0,"✓",IF(SUMPRODUCT(MAX(('Formation Initiale'!$A$2:$A$999=$A652)*'Formation Initiale'!$G$2:$G$999))&gt;0,TEXT(SUMPRODUCT(MAX(('Formation Initiale'!$A$2:$A$999=$A652)*'Formation Initiale'!$G$2:$G$999)),"yyyy-mm-dd"),"")))))</f>
        <v/>
      </c>
      <c r="F652" s="131" t="str">
        <f aca="false">IF($P652="✓","✓",IF(ISNUMBER($P652),TEXT($P652,"yyyy-mm-dd"),IF($A652="","",IF($D652="Lisbonne","",IF(SUMPRODUCT(('Formation Initiale'!$A$2:$A$999=$A652)*('Formation Initiale'!$R$2:$R$999="Terminé"))&gt;0,"✓",IF(SUMPRODUCT(MAX(('Formation Initiale'!$A$2:$A$999=$A652)*'Formation Initiale'!$G$2:$G$999))&gt;0,TEXT(SUMPRODUCT(MAX(('Formation Initiale'!$A$2:$A$999=$A652)*'Formation Initiale'!$G$2:$G$999)),"yyyy-mm-dd"),""))))))</f>
        <v/>
      </c>
      <c r="G652" s="131" t="str">
        <f aca="false">IF($Q652="✓","✓",IF(ISNUMBER($Q652),TEXT($Q652,"yyyy-mm-dd"),IF($A652="","",IF(SUMPRODUCT(('Agences &amp; Après-vente'!$A$2:$A$1000=$A652)*(('Agences &amp; Après-vente'!$D$2:$D$1000="Agences")+('Agences &amp; Après-vente'!$D$2:$D$1000="Agences et Après-vente"))*('Agences &amp; Après-vente'!$I$2:$I$1000="DONE"))&gt;0,"✓",IF(SUMPRODUCT(MAX(('Agences &amp; Après-vente'!$A$2:$A$1000=$A652)*(('Agences &amp; Après-vente'!$D$2:$D$1000="Agences")+('Agences &amp; Après-vente'!$D$2:$D$1000="Agences et Après-vente"))*'Agences &amp; Après-vente'!$E$2:$E$1000))&gt;0,TEXT(SUMPRODUCT(MAX(('Agences &amp; Après-vente'!$A$2:$A$1000=$A652)*(('Agences &amp; Après-vente'!$D$2:$D$1000="Agences")+('Agences &amp; Après-vente'!$D$2:$D$1000="Agences et Après-vente"))*'Agences &amp; Après-vente'!$E$2:$E$1000)),"yyyy-mm-dd"),"")))))</f>
        <v/>
      </c>
      <c r="H652" s="131" t="str">
        <f aca="false">IF($R652="✓","✓",IF(ISNUMBER($R652),TEXT($R652,"yyyy-mm-dd"),IF($A652="","",IF($D652="Lisbonne","",IF(SUMPRODUCT(('Agences &amp; Après-vente'!$A$2:$A$1000=$A652)*(('Agences &amp; Après-vente'!$D$2:$D$1000="Agences")+('Agences &amp; Après-vente'!$D$2:$D$1000="Agences et Après-vente"))*('Agences &amp; Après-vente'!$I$2:$I$1000="DONE"))&gt;0,"✓",IF(SUMPRODUCT(MAX(('Agences &amp; Après-vente'!$A$2:$A$1000=$A652)*(('Agences &amp; Après-vente'!$D$2:$D$1000="Agences")+('Agences &amp; Après-vente'!$D$2:$D$1000="Agences et Après-vente"))*'Agences &amp; Après-vente'!$E$2:$E$1000))&gt;0,TEXT(SUMPRODUCT(MAX(('Agences &amp; Après-vente'!$A$2:$A$1000=$A652)*(('Agences &amp; Après-vente'!$D$2:$D$1000="Agences")+('Agences &amp; Après-vente'!$D$2:$D$1000="Agences et Après-vente"))*'Agences &amp; Après-vente'!$E$2:$E$1000)),"yyyy-mm-dd"),""))))))</f>
        <v/>
      </c>
      <c r="I652" s="131" t="str">
        <f aca="false">IF($S652="✓","✓",IF(ISNUMBER($S652),TEXT($S652,"yyyy-mm-dd"),IF($A652="","",IF(SUMPRODUCT(('Agences &amp; Après-vente'!$A$2:$A$1000=$A652)*(('Agences &amp; Après-vente'!$D$2:$D$1000="Après-vente")+('Agences &amp; Après-vente'!$D$2:$D$1000="Agences et Après-vente"))*('Agences &amp; Après-vente'!$I$2:$I$1000="DONE"))&gt;0,"✓",IF(SUMPRODUCT(MAX(('Agences &amp; Après-vente'!$A$2:$A$1000=$A652)*(('Agences &amp; Après-vente'!$D$2:$D$1000="Après-vente")+('Agences &amp; Après-vente'!$D$2:$D$1000="Agences et Après-vente"))*'Agences &amp; Après-vente'!$E$2:$E$1000))&gt;0,TEXT(SUMPRODUCT(MAX(('Agences &amp; Après-vente'!$A$2:$A$1000=$A652)*(('Agences &amp; Après-vente'!$D$2:$D$1000="Après-vente")+('Agences &amp; Après-vente'!$D$2:$D$1000="Agences et Après-vente"))*'Agences &amp; Après-vente'!$E$2:$E$1000)),"yyyy-mm-dd"),"")))))</f>
        <v/>
      </c>
      <c r="J652" s="131" t="str">
        <f aca="false">IF($T652="✓","✓",IF(ISNUMBER($T652),TEXT($T652,"yyyy-mm-dd"),IF($A652="","",IF($D652="Lisbonne","",IF(SUMPRODUCT(('Agences &amp; Après-vente'!$A$2:$A$1000=$A652)*(('Agences &amp; Après-vente'!$D$2:$D$1000="Après-vente")+('Agences &amp; Après-vente'!$D$2:$D$1000="Agences et Après-vente"))*('Agences &amp; Après-vente'!$I$2:$I$1000="DONE"))&gt;0,"✓",IF(SUMPRODUCT(MAX(('Agences &amp; Après-vente'!$A$2:$A$1000=$A652)*(('Agences &amp; Après-vente'!$D$2:$D$1000="Après-vente")+('Agences &amp; Après-vente'!$D$2:$D$1000="Agences et Après-vente"))*'Agences &amp; Après-vente'!$E$2:$E$1000))&gt;0,TEXT(SUMPRODUCT(MAX(('Agences &amp; Après-vente'!$A$2:$A$1000=$A652)*(('Agences &amp; Après-vente'!$D$2:$D$1000="Après-vente")+('Agences &amp; Après-vente'!$D$2:$D$1000="Agences et Après-vente"))*'Agences &amp; Après-vente'!$E$2:$E$1000)),"yyyy-mm-dd"),""))))))</f>
        <v/>
      </c>
      <c r="K652" s="131" t="str">
        <f aca="false">IF($U652="✓","✓",IF(ISNUMBER($U652),TEXT($U652,"yyyy-mm-dd"),IF($D652="Lisbonne","",IF($A652="","",IF(SUMPRODUCT((Evermont!$A$2:$A$1000=$A652)*(Evermont!$Q$2:$Q$1000="Terminé"))&gt;0,"✓",IF(SUMPRODUCT(MAX((Evermont!$A$2:$A$1000=$A652)*Evermont!$F$2:$F$1000))&gt;0,TEXT(SUMPRODUCT(MAX((Evermont!$A$2:$A$1000=$A652)*Evermont!$F$2:$F$1000)),"yyyy-mm-dd"),""))))))</f>
        <v/>
      </c>
      <c r="L652" s="131" t="str">
        <f aca="false">IF($A652="","",COUNTIF(E652:K652,"✓"))</f>
        <v/>
      </c>
      <c r="M652" s="131" t="str">
        <f aca="false">IF(B652="","","Active")</f>
        <v/>
      </c>
      <c r="W652" s="120" t="str">
        <f aca="false">IF($A652="","",IF($X652&lt;&gt;"",$X652,IFERROR(INDEX('Formation Initiale'!$B$2:$B$999,MATCH($A652,'Formation Initiale'!$A$2:$A$999,0)),"Général")))</f>
        <v/>
      </c>
    </row>
    <row r="653" customFormat="false" ht="15" hidden="true" customHeight="true" outlineLevel="0" collapsed="false">
      <c r="A653" s="142" t="str">
        <f aca="false">IF(B653="","","TR"&amp;TEXT(ROW()-1,"000"))</f>
        <v/>
      </c>
      <c r="E653" s="130" t="str">
        <f aca="false">IF($O653="✓","✓",IF(ISNUMBER($O653),TEXT($O653,"yyyy-mm-dd"),IF($A653="","",IF(SUMPRODUCT(('Formation Initiale'!$A$2:$A$999=$A653)*('Formation Initiale'!$R$2:$R$999="Terminé"))&gt;0,"✓",IF(SUMPRODUCT(MAX(('Formation Initiale'!$A$2:$A$999=$A653)*'Formation Initiale'!$G$2:$G$999))&gt;0,TEXT(SUMPRODUCT(MAX(('Formation Initiale'!$A$2:$A$999=$A653)*'Formation Initiale'!$G$2:$G$999)),"yyyy-mm-dd"),"")))))</f>
        <v/>
      </c>
      <c r="F653" s="131" t="str">
        <f aca="false">IF($P653="✓","✓",IF(ISNUMBER($P653),TEXT($P653,"yyyy-mm-dd"),IF($A653="","",IF($D653="Lisbonne","",IF(SUMPRODUCT(('Formation Initiale'!$A$2:$A$999=$A653)*('Formation Initiale'!$R$2:$R$999="Terminé"))&gt;0,"✓",IF(SUMPRODUCT(MAX(('Formation Initiale'!$A$2:$A$999=$A653)*'Formation Initiale'!$G$2:$G$999))&gt;0,TEXT(SUMPRODUCT(MAX(('Formation Initiale'!$A$2:$A$999=$A653)*'Formation Initiale'!$G$2:$G$999)),"yyyy-mm-dd"),""))))))</f>
        <v/>
      </c>
      <c r="G653" s="131" t="str">
        <f aca="false">IF($Q653="✓","✓",IF(ISNUMBER($Q653),TEXT($Q653,"yyyy-mm-dd"),IF($A653="","",IF(SUMPRODUCT(('Agences &amp; Après-vente'!$A$2:$A$1000=$A653)*(('Agences &amp; Après-vente'!$D$2:$D$1000="Agences")+('Agences &amp; Après-vente'!$D$2:$D$1000="Agences et Après-vente"))*('Agences &amp; Après-vente'!$I$2:$I$1000="DONE"))&gt;0,"✓",IF(SUMPRODUCT(MAX(('Agences &amp; Après-vente'!$A$2:$A$1000=$A653)*(('Agences &amp; Après-vente'!$D$2:$D$1000="Agences")+('Agences &amp; Après-vente'!$D$2:$D$1000="Agences et Après-vente"))*'Agences &amp; Après-vente'!$E$2:$E$1000))&gt;0,TEXT(SUMPRODUCT(MAX(('Agences &amp; Après-vente'!$A$2:$A$1000=$A653)*(('Agences &amp; Après-vente'!$D$2:$D$1000="Agences")+('Agences &amp; Après-vente'!$D$2:$D$1000="Agences et Après-vente"))*'Agences &amp; Après-vente'!$E$2:$E$1000)),"yyyy-mm-dd"),"")))))</f>
        <v/>
      </c>
      <c r="H653" s="131" t="str">
        <f aca="false">IF($R653="✓","✓",IF(ISNUMBER($R653),TEXT($R653,"yyyy-mm-dd"),IF($A653="","",IF($D653="Lisbonne","",IF(SUMPRODUCT(('Agences &amp; Après-vente'!$A$2:$A$1000=$A653)*(('Agences &amp; Après-vente'!$D$2:$D$1000="Agences")+('Agences &amp; Après-vente'!$D$2:$D$1000="Agences et Après-vente"))*('Agences &amp; Après-vente'!$I$2:$I$1000="DONE"))&gt;0,"✓",IF(SUMPRODUCT(MAX(('Agences &amp; Après-vente'!$A$2:$A$1000=$A653)*(('Agences &amp; Après-vente'!$D$2:$D$1000="Agences")+('Agences &amp; Après-vente'!$D$2:$D$1000="Agences et Après-vente"))*'Agences &amp; Après-vente'!$E$2:$E$1000))&gt;0,TEXT(SUMPRODUCT(MAX(('Agences &amp; Après-vente'!$A$2:$A$1000=$A653)*(('Agences &amp; Après-vente'!$D$2:$D$1000="Agences")+('Agences &amp; Après-vente'!$D$2:$D$1000="Agences et Après-vente"))*'Agences &amp; Après-vente'!$E$2:$E$1000)),"yyyy-mm-dd"),""))))))</f>
        <v/>
      </c>
      <c r="I653" s="131" t="str">
        <f aca="false">IF($S653="✓","✓",IF(ISNUMBER($S653),TEXT($S653,"yyyy-mm-dd"),IF($A653="","",IF(SUMPRODUCT(('Agences &amp; Après-vente'!$A$2:$A$1000=$A653)*(('Agences &amp; Après-vente'!$D$2:$D$1000="Après-vente")+('Agences &amp; Après-vente'!$D$2:$D$1000="Agences et Après-vente"))*('Agences &amp; Après-vente'!$I$2:$I$1000="DONE"))&gt;0,"✓",IF(SUMPRODUCT(MAX(('Agences &amp; Après-vente'!$A$2:$A$1000=$A653)*(('Agences &amp; Après-vente'!$D$2:$D$1000="Après-vente")+('Agences &amp; Après-vente'!$D$2:$D$1000="Agences et Après-vente"))*'Agences &amp; Après-vente'!$E$2:$E$1000))&gt;0,TEXT(SUMPRODUCT(MAX(('Agences &amp; Après-vente'!$A$2:$A$1000=$A653)*(('Agences &amp; Après-vente'!$D$2:$D$1000="Après-vente")+('Agences &amp; Après-vente'!$D$2:$D$1000="Agences et Après-vente"))*'Agences &amp; Après-vente'!$E$2:$E$1000)),"yyyy-mm-dd"),"")))))</f>
        <v/>
      </c>
      <c r="J653" s="131" t="str">
        <f aca="false">IF($T653="✓","✓",IF(ISNUMBER($T653),TEXT($T653,"yyyy-mm-dd"),IF($A653="","",IF($D653="Lisbonne","",IF(SUMPRODUCT(('Agences &amp; Après-vente'!$A$2:$A$1000=$A653)*(('Agences &amp; Après-vente'!$D$2:$D$1000="Après-vente")+('Agences &amp; Après-vente'!$D$2:$D$1000="Agences et Après-vente"))*('Agences &amp; Après-vente'!$I$2:$I$1000="DONE"))&gt;0,"✓",IF(SUMPRODUCT(MAX(('Agences &amp; Après-vente'!$A$2:$A$1000=$A653)*(('Agences &amp; Après-vente'!$D$2:$D$1000="Après-vente")+('Agences &amp; Après-vente'!$D$2:$D$1000="Agences et Après-vente"))*'Agences &amp; Après-vente'!$E$2:$E$1000))&gt;0,TEXT(SUMPRODUCT(MAX(('Agences &amp; Après-vente'!$A$2:$A$1000=$A653)*(('Agences &amp; Après-vente'!$D$2:$D$1000="Après-vente")+('Agences &amp; Après-vente'!$D$2:$D$1000="Agences et Après-vente"))*'Agences &amp; Après-vente'!$E$2:$E$1000)),"yyyy-mm-dd"),""))))))</f>
        <v/>
      </c>
      <c r="K653" s="131" t="str">
        <f aca="false">IF($U653="✓","✓",IF(ISNUMBER($U653),TEXT($U653,"yyyy-mm-dd"),IF($D653="Lisbonne","",IF($A653="","",IF(SUMPRODUCT((Evermont!$A$2:$A$1000=$A653)*(Evermont!$Q$2:$Q$1000="Terminé"))&gt;0,"✓",IF(SUMPRODUCT(MAX((Evermont!$A$2:$A$1000=$A653)*Evermont!$F$2:$F$1000))&gt;0,TEXT(SUMPRODUCT(MAX((Evermont!$A$2:$A$1000=$A653)*Evermont!$F$2:$F$1000)),"yyyy-mm-dd"),""))))))</f>
        <v/>
      </c>
      <c r="L653" s="131" t="str">
        <f aca="false">IF($A653="","",COUNTIF(E653:K653,"✓"))</f>
        <v/>
      </c>
      <c r="M653" s="131" t="str">
        <f aca="false">IF(B653="","","Active")</f>
        <v/>
      </c>
      <c r="W653" s="120" t="str">
        <f aca="false">IF($A653="","",IF($X653&lt;&gt;"",$X653,IFERROR(INDEX('Formation Initiale'!$B$2:$B$999,MATCH($A653,'Formation Initiale'!$A$2:$A$999,0)),"Général")))</f>
        <v/>
      </c>
    </row>
    <row r="654" customFormat="false" ht="15" hidden="true" customHeight="true" outlineLevel="0" collapsed="false">
      <c r="A654" s="142" t="str">
        <f aca="false">IF(B654="","","TR"&amp;TEXT(ROW()-1,"000"))</f>
        <v/>
      </c>
      <c r="E654" s="130" t="str">
        <f aca="false">IF($O654="✓","✓",IF(ISNUMBER($O654),TEXT($O654,"yyyy-mm-dd"),IF($A654="","",IF(SUMPRODUCT(('Formation Initiale'!$A$2:$A$999=$A654)*('Formation Initiale'!$R$2:$R$999="Terminé"))&gt;0,"✓",IF(SUMPRODUCT(MAX(('Formation Initiale'!$A$2:$A$999=$A654)*'Formation Initiale'!$G$2:$G$999))&gt;0,TEXT(SUMPRODUCT(MAX(('Formation Initiale'!$A$2:$A$999=$A654)*'Formation Initiale'!$G$2:$G$999)),"yyyy-mm-dd"),"")))))</f>
        <v/>
      </c>
      <c r="F654" s="131" t="str">
        <f aca="false">IF($P654="✓","✓",IF(ISNUMBER($P654),TEXT($P654,"yyyy-mm-dd"),IF($A654="","",IF($D654="Lisbonne","",IF(SUMPRODUCT(('Formation Initiale'!$A$2:$A$999=$A654)*('Formation Initiale'!$R$2:$R$999="Terminé"))&gt;0,"✓",IF(SUMPRODUCT(MAX(('Formation Initiale'!$A$2:$A$999=$A654)*'Formation Initiale'!$G$2:$G$999))&gt;0,TEXT(SUMPRODUCT(MAX(('Formation Initiale'!$A$2:$A$999=$A654)*'Formation Initiale'!$G$2:$G$999)),"yyyy-mm-dd"),""))))))</f>
        <v/>
      </c>
      <c r="G654" s="131" t="str">
        <f aca="false">IF($Q654="✓","✓",IF(ISNUMBER($Q654),TEXT($Q654,"yyyy-mm-dd"),IF($A654="","",IF(SUMPRODUCT(('Agences &amp; Après-vente'!$A$2:$A$1000=$A654)*(('Agences &amp; Après-vente'!$D$2:$D$1000="Agences")+('Agences &amp; Après-vente'!$D$2:$D$1000="Agences et Après-vente"))*('Agences &amp; Après-vente'!$I$2:$I$1000="DONE"))&gt;0,"✓",IF(SUMPRODUCT(MAX(('Agences &amp; Après-vente'!$A$2:$A$1000=$A654)*(('Agences &amp; Après-vente'!$D$2:$D$1000="Agences")+('Agences &amp; Après-vente'!$D$2:$D$1000="Agences et Après-vente"))*'Agences &amp; Après-vente'!$E$2:$E$1000))&gt;0,TEXT(SUMPRODUCT(MAX(('Agences &amp; Après-vente'!$A$2:$A$1000=$A654)*(('Agences &amp; Après-vente'!$D$2:$D$1000="Agences")+('Agences &amp; Après-vente'!$D$2:$D$1000="Agences et Après-vente"))*'Agences &amp; Après-vente'!$E$2:$E$1000)),"yyyy-mm-dd"),"")))))</f>
        <v/>
      </c>
      <c r="H654" s="131" t="str">
        <f aca="false">IF($R654="✓","✓",IF(ISNUMBER($R654),TEXT($R654,"yyyy-mm-dd"),IF($A654="","",IF($D654="Lisbonne","",IF(SUMPRODUCT(('Agences &amp; Après-vente'!$A$2:$A$1000=$A654)*(('Agences &amp; Après-vente'!$D$2:$D$1000="Agences")+('Agences &amp; Après-vente'!$D$2:$D$1000="Agences et Après-vente"))*('Agences &amp; Après-vente'!$I$2:$I$1000="DONE"))&gt;0,"✓",IF(SUMPRODUCT(MAX(('Agences &amp; Après-vente'!$A$2:$A$1000=$A654)*(('Agences &amp; Après-vente'!$D$2:$D$1000="Agences")+('Agences &amp; Après-vente'!$D$2:$D$1000="Agences et Après-vente"))*'Agences &amp; Après-vente'!$E$2:$E$1000))&gt;0,TEXT(SUMPRODUCT(MAX(('Agences &amp; Après-vente'!$A$2:$A$1000=$A654)*(('Agences &amp; Après-vente'!$D$2:$D$1000="Agences")+('Agences &amp; Après-vente'!$D$2:$D$1000="Agences et Après-vente"))*'Agences &amp; Après-vente'!$E$2:$E$1000)),"yyyy-mm-dd"),""))))))</f>
        <v/>
      </c>
      <c r="I654" s="131" t="str">
        <f aca="false">IF($S654="✓","✓",IF(ISNUMBER($S654),TEXT($S654,"yyyy-mm-dd"),IF($A654="","",IF(SUMPRODUCT(('Agences &amp; Après-vente'!$A$2:$A$1000=$A654)*(('Agences &amp; Après-vente'!$D$2:$D$1000="Après-vente")+('Agences &amp; Après-vente'!$D$2:$D$1000="Agences et Après-vente"))*('Agences &amp; Après-vente'!$I$2:$I$1000="DONE"))&gt;0,"✓",IF(SUMPRODUCT(MAX(('Agences &amp; Après-vente'!$A$2:$A$1000=$A654)*(('Agences &amp; Après-vente'!$D$2:$D$1000="Après-vente")+('Agences &amp; Après-vente'!$D$2:$D$1000="Agences et Après-vente"))*'Agences &amp; Après-vente'!$E$2:$E$1000))&gt;0,TEXT(SUMPRODUCT(MAX(('Agences &amp; Après-vente'!$A$2:$A$1000=$A654)*(('Agences &amp; Après-vente'!$D$2:$D$1000="Après-vente")+('Agences &amp; Après-vente'!$D$2:$D$1000="Agences et Après-vente"))*'Agences &amp; Après-vente'!$E$2:$E$1000)),"yyyy-mm-dd"),"")))))</f>
        <v/>
      </c>
      <c r="J654" s="131" t="str">
        <f aca="false">IF($T654="✓","✓",IF(ISNUMBER($T654),TEXT($T654,"yyyy-mm-dd"),IF($A654="","",IF($D654="Lisbonne","",IF(SUMPRODUCT(('Agences &amp; Après-vente'!$A$2:$A$1000=$A654)*(('Agences &amp; Après-vente'!$D$2:$D$1000="Après-vente")+('Agences &amp; Après-vente'!$D$2:$D$1000="Agences et Après-vente"))*('Agences &amp; Après-vente'!$I$2:$I$1000="DONE"))&gt;0,"✓",IF(SUMPRODUCT(MAX(('Agences &amp; Après-vente'!$A$2:$A$1000=$A654)*(('Agences &amp; Après-vente'!$D$2:$D$1000="Après-vente")+('Agences &amp; Après-vente'!$D$2:$D$1000="Agences et Après-vente"))*'Agences &amp; Après-vente'!$E$2:$E$1000))&gt;0,TEXT(SUMPRODUCT(MAX(('Agences &amp; Après-vente'!$A$2:$A$1000=$A654)*(('Agences &amp; Après-vente'!$D$2:$D$1000="Après-vente")+('Agences &amp; Après-vente'!$D$2:$D$1000="Agences et Après-vente"))*'Agences &amp; Après-vente'!$E$2:$E$1000)),"yyyy-mm-dd"),""))))))</f>
        <v/>
      </c>
      <c r="K654" s="131" t="str">
        <f aca="false">IF($U654="✓","✓",IF(ISNUMBER($U654),TEXT($U654,"yyyy-mm-dd"),IF($D654="Lisbonne","",IF($A654="","",IF(SUMPRODUCT((Evermont!$A$2:$A$1000=$A654)*(Evermont!$Q$2:$Q$1000="Terminé"))&gt;0,"✓",IF(SUMPRODUCT(MAX((Evermont!$A$2:$A$1000=$A654)*Evermont!$F$2:$F$1000))&gt;0,TEXT(SUMPRODUCT(MAX((Evermont!$A$2:$A$1000=$A654)*Evermont!$F$2:$F$1000)),"yyyy-mm-dd"),""))))))</f>
        <v/>
      </c>
      <c r="L654" s="131" t="str">
        <f aca="false">IF($A654="","",COUNTIF(E654:K654,"✓"))</f>
        <v/>
      </c>
      <c r="M654" s="131" t="str">
        <f aca="false">IF(B654="","","Active")</f>
        <v/>
      </c>
      <c r="W654" s="120" t="str">
        <f aca="false">IF($A654="","",IF($X654&lt;&gt;"",$X654,IFERROR(INDEX('Formation Initiale'!$B$2:$B$999,MATCH($A654,'Formation Initiale'!$A$2:$A$999,0)),"Général")))</f>
        <v/>
      </c>
    </row>
    <row r="655" customFormat="false" ht="15" hidden="true" customHeight="true" outlineLevel="0" collapsed="false">
      <c r="A655" s="142" t="str">
        <f aca="false">IF(B655="","","TR"&amp;TEXT(ROW()-1,"000"))</f>
        <v/>
      </c>
      <c r="E655" s="130" t="str">
        <f aca="false">IF($O655="✓","✓",IF(ISNUMBER($O655),TEXT($O655,"yyyy-mm-dd"),IF($A655="","",IF(SUMPRODUCT(('Formation Initiale'!$A$2:$A$999=$A655)*('Formation Initiale'!$R$2:$R$999="Terminé"))&gt;0,"✓",IF(SUMPRODUCT(MAX(('Formation Initiale'!$A$2:$A$999=$A655)*'Formation Initiale'!$G$2:$G$999))&gt;0,TEXT(SUMPRODUCT(MAX(('Formation Initiale'!$A$2:$A$999=$A655)*'Formation Initiale'!$G$2:$G$999)),"yyyy-mm-dd"),"")))))</f>
        <v/>
      </c>
      <c r="F655" s="131" t="str">
        <f aca="false">IF($P655="✓","✓",IF(ISNUMBER($P655),TEXT($P655,"yyyy-mm-dd"),IF($A655="","",IF($D655="Lisbonne","",IF(SUMPRODUCT(('Formation Initiale'!$A$2:$A$999=$A655)*('Formation Initiale'!$R$2:$R$999="Terminé"))&gt;0,"✓",IF(SUMPRODUCT(MAX(('Formation Initiale'!$A$2:$A$999=$A655)*'Formation Initiale'!$G$2:$G$999))&gt;0,TEXT(SUMPRODUCT(MAX(('Formation Initiale'!$A$2:$A$999=$A655)*'Formation Initiale'!$G$2:$G$999)),"yyyy-mm-dd"),""))))))</f>
        <v/>
      </c>
      <c r="G655" s="131" t="str">
        <f aca="false">IF($Q655="✓","✓",IF(ISNUMBER($Q655),TEXT($Q655,"yyyy-mm-dd"),IF($A655="","",IF(SUMPRODUCT(('Agences &amp; Après-vente'!$A$2:$A$1000=$A655)*(('Agences &amp; Après-vente'!$D$2:$D$1000="Agences")+('Agences &amp; Après-vente'!$D$2:$D$1000="Agences et Après-vente"))*('Agences &amp; Après-vente'!$I$2:$I$1000="DONE"))&gt;0,"✓",IF(SUMPRODUCT(MAX(('Agences &amp; Après-vente'!$A$2:$A$1000=$A655)*(('Agences &amp; Après-vente'!$D$2:$D$1000="Agences")+('Agences &amp; Après-vente'!$D$2:$D$1000="Agences et Après-vente"))*'Agences &amp; Après-vente'!$E$2:$E$1000))&gt;0,TEXT(SUMPRODUCT(MAX(('Agences &amp; Après-vente'!$A$2:$A$1000=$A655)*(('Agences &amp; Après-vente'!$D$2:$D$1000="Agences")+('Agences &amp; Après-vente'!$D$2:$D$1000="Agences et Après-vente"))*'Agences &amp; Après-vente'!$E$2:$E$1000)),"yyyy-mm-dd"),"")))))</f>
        <v/>
      </c>
      <c r="H655" s="131" t="str">
        <f aca="false">IF($R655="✓","✓",IF(ISNUMBER($R655),TEXT($R655,"yyyy-mm-dd"),IF($A655="","",IF($D655="Lisbonne","",IF(SUMPRODUCT(('Agences &amp; Après-vente'!$A$2:$A$1000=$A655)*(('Agences &amp; Après-vente'!$D$2:$D$1000="Agences")+('Agences &amp; Après-vente'!$D$2:$D$1000="Agences et Après-vente"))*('Agences &amp; Après-vente'!$I$2:$I$1000="DONE"))&gt;0,"✓",IF(SUMPRODUCT(MAX(('Agences &amp; Après-vente'!$A$2:$A$1000=$A655)*(('Agences &amp; Après-vente'!$D$2:$D$1000="Agences")+('Agences &amp; Après-vente'!$D$2:$D$1000="Agences et Après-vente"))*'Agences &amp; Après-vente'!$E$2:$E$1000))&gt;0,TEXT(SUMPRODUCT(MAX(('Agences &amp; Après-vente'!$A$2:$A$1000=$A655)*(('Agences &amp; Après-vente'!$D$2:$D$1000="Agences")+('Agences &amp; Après-vente'!$D$2:$D$1000="Agences et Après-vente"))*'Agences &amp; Après-vente'!$E$2:$E$1000)),"yyyy-mm-dd"),""))))))</f>
        <v/>
      </c>
      <c r="I655" s="131" t="str">
        <f aca="false">IF($S655="✓","✓",IF(ISNUMBER($S655),TEXT($S655,"yyyy-mm-dd"),IF($A655="","",IF(SUMPRODUCT(('Agences &amp; Après-vente'!$A$2:$A$1000=$A655)*(('Agences &amp; Après-vente'!$D$2:$D$1000="Après-vente")+('Agences &amp; Après-vente'!$D$2:$D$1000="Agences et Après-vente"))*('Agences &amp; Après-vente'!$I$2:$I$1000="DONE"))&gt;0,"✓",IF(SUMPRODUCT(MAX(('Agences &amp; Après-vente'!$A$2:$A$1000=$A655)*(('Agences &amp; Après-vente'!$D$2:$D$1000="Après-vente")+('Agences &amp; Après-vente'!$D$2:$D$1000="Agences et Après-vente"))*'Agences &amp; Après-vente'!$E$2:$E$1000))&gt;0,TEXT(SUMPRODUCT(MAX(('Agences &amp; Après-vente'!$A$2:$A$1000=$A655)*(('Agences &amp; Après-vente'!$D$2:$D$1000="Après-vente")+('Agences &amp; Après-vente'!$D$2:$D$1000="Agences et Après-vente"))*'Agences &amp; Après-vente'!$E$2:$E$1000)),"yyyy-mm-dd"),"")))))</f>
        <v/>
      </c>
      <c r="J655" s="131" t="str">
        <f aca="false">IF($T655="✓","✓",IF(ISNUMBER($T655),TEXT($T655,"yyyy-mm-dd"),IF($A655="","",IF($D655="Lisbonne","",IF(SUMPRODUCT(('Agences &amp; Après-vente'!$A$2:$A$1000=$A655)*(('Agences &amp; Après-vente'!$D$2:$D$1000="Après-vente")+('Agences &amp; Après-vente'!$D$2:$D$1000="Agences et Après-vente"))*('Agences &amp; Après-vente'!$I$2:$I$1000="DONE"))&gt;0,"✓",IF(SUMPRODUCT(MAX(('Agences &amp; Après-vente'!$A$2:$A$1000=$A655)*(('Agences &amp; Après-vente'!$D$2:$D$1000="Après-vente")+('Agences &amp; Après-vente'!$D$2:$D$1000="Agences et Après-vente"))*'Agences &amp; Après-vente'!$E$2:$E$1000))&gt;0,TEXT(SUMPRODUCT(MAX(('Agences &amp; Après-vente'!$A$2:$A$1000=$A655)*(('Agences &amp; Après-vente'!$D$2:$D$1000="Après-vente")+('Agences &amp; Après-vente'!$D$2:$D$1000="Agences et Après-vente"))*'Agences &amp; Après-vente'!$E$2:$E$1000)),"yyyy-mm-dd"),""))))))</f>
        <v/>
      </c>
      <c r="K655" s="131" t="str">
        <f aca="false">IF($U655="✓","✓",IF(ISNUMBER($U655),TEXT($U655,"yyyy-mm-dd"),IF($D655="Lisbonne","",IF($A655="","",IF(SUMPRODUCT((Evermont!$A$2:$A$1000=$A655)*(Evermont!$Q$2:$Q$1000="Terminé"))&gt;0,"✓",IF(SUMPRODUCT(MAX((Evermont!$A$2:$A$1000=$A655)*Evermont!$F$2:$F$1000))&gt;0,TEXT(SUMPRODUCT(MAX((Evermont!$A$2:$A$1000=$A655)*Evermont!$F$2:$F$1000)),"yyyy-mm-dd"),""))))))</f>
        <v/>
      </c>
      <c r="L655" s="131" t="str">
        <f aca="false">IF($A655="","",COUNTIF(E655:K655,"✓"))</f>
        <v/>
      </c>
      <c r="M655" s="131" t="str">
        <f aca="false">IF(B655="","","Active")</f>
        <v/>
      </c>
      <c r="W655" s="120" t="str">
        <f aca="false">IF($A655="","",IF($X655&lt;&gt;"",$X655,IFERROR(INDEX('Formation Initiale'!$B$2:$B$999,MATCH($A655,'Formation Initiale'!$A$2:$A$999,0)),"Général")))</f>
        <v/>
      </c>
    </row>
    <row r="656" customFormat="false" ht="15" hidden="true" customHeight="true" outlineLevel="0" collapsed="false">
      <c r="A656" s="142" t="str">
        <f aca="false">IF(B656="","","TR"&amp;TEXT(ROW()-1,"000"))</f>
        <v/>
      </c>
      <c r="E656" s="130" t="str">
        <f aca="false">IF($O656="✓","✓",IF(ISNUMBER($O656),TEXT($O656,"yyyy-mm-dd"),IF($A656="","",IF(SUMPRODUCT(('Formation Initiale'!$A$2:$A$999=$A656)*('Formation Initiale'!$R$2:$R$999="Terminé"))&gt;0,"✓",IF(SUMPRODUCT(MAX(('Formation Initiale'!$A$2:$A$999=$A656)*'Formation Initiale'!$G$2:$G$999))&gt;0,TEXT(SUMPRODUCT(MAX(('Formation Initiale'!$A$2:$A$999=$A656)*'Formation Initiale'!$G$2:$G$999)),"yyyy-mm-dd"),"")))))</f>
        <v/>
      </c>
      <c r="F656" s="131" t="str">
        <f aca="false">IF($P656="✓","✓",IF(ISNUMBER($P656),TEXT($P656,"yyyy-mm-dd"),IF($A656="","",IF($D656="Lisbonne","",IF(SUMPRODUCT(('Formation Initiale'!$A$2:$A$999=$A656)*('Formation Initiale'!$R$2:$R$999="Terminé"))&gt;0,"✓",IF(SUMPRODUCT(MAX(('Formation Initiale'!$A$2:$A$999=$A656)*'Formation Initiale'!$G$2:$G$999))&gt;0,TEXT(SUMPRODUCT(MAX(('Formation Initiale'!$A$2:$A$999=$A656)*'Formation Initiale'!$G$2:$G$999)),"yyyy-mm-dd"),""))))))</f>
        <v/>
      </c>
      <c r="G656" s="131" t="str">
        <f aca="false">IF($Q656="✓","✓",IF(ISNUMBER($Q656),TEXT($Q656,"yyyy-mm-dd"),IF($A656="","",IF(SUMPRODUCT(('Agences &amp; Après-vente'!$A$2:$A$1000=$A656)*(('Agences &amp; Après-vente'!$D$2:$D$1000="Agences")+('Agences &amp; Après-vente'!$D$2:$D$1000="Agences et Après-vente"))*('Agences &amp; Après-vente'!$I$2:$I$1000="DONE"))&gt;0,"✓",IF(SUMPRODUCT(MAX(('Agences &amp; Après-vente'!$A$2:$A$1000=$A656)*(('Agences &amp; Après-vente'!$D$2:$D$1000="Agences")+('Agences &amp; Après-vente'!$D$2:$D$1000="Agences et Après-vente"))*'Agences &amp; Après-vente'!$E$2:$E$1000))&gt;0,TEXT(SUMPRODUCT(MAX(('Agences &amp; Après-vente'!$A$2:$A$1000=$A656)*(('Agences &amp; Après-vente'!$D$2:$D$1000="Agences")+('Agences &amp; Après-vente'!$D$2:$D$1000="Agences et Après-vente"))*'Agences &amp; Après-vente'!$E$2:$E$1000)),"yyyy-mm-dd"),"")))))</f>
        <v/>
      </c>
      <c r="H656" s="131" t="str">
        <f aca="false">IF($R656="✓","✓",IF(ISNUMBER($R656),TEXT($R656,"yyyy-mm-dd"),IF($A656="","",IF($D656="Lisbonne","",IF(SUMPRODUCT(('Agences &amp; Après-vente'!$A$2:$A$1000=$A656)*(('Agences &amp; Après-vente'!$D$2:$D$1000="Agences")+('Agences &amp; Après-vente'!$D$2:$D$1000="Agences et Après-vente"))*('Agences &amp; Après-vente'!$I$2:$I$1000="DONE"))&gt;0,"✓",IF(SUMPRODUCT(MAX(('Agences &amp; Après-vente'!$A$2:$A$1000=$A656)*(('Agences &amp; Après-vente'!$D$2:$D$1000="Agences")+('Agences &amp; Après-vente'!$D$2:$D$1000="Agences et Après-vente"))*'Agences &amp; Après-vente'!$E$2:$E$1000))&gt;0,TEXT(SUMPRODUCT(MAX(('Agences &amp; Après-vente'!$A$2:$A$1000=$A656)*(('Agences &amp; Après-vente'!$D$2:$D$1000="Agences")+('Agences &amp; Après-vente'!$D$2:$D$1000="Agences et Après-vente"))*'Agences &amp; Après-vente'!$E$2:$E$1000)),"yyyy-mm-dd"),""))))))</f>
        <v/>
      </c>
      <c r="I656" s="131" t="str">
        <f aca="false">IF($S656="✓","✓",IF(ISNUMBER($S656),TEXT($S656,"yyyy-mm-dd"),IF($A656="","",IF(SUMPRODUCT(('Agences &amp; Après-vente'!$A$2:$A$1000=$A656)*(('Agences &amp; Après-vente'!$D$2:$D$1000="Après-vente")+('Agences &amp; Après-vente'!$D$2:$D$1000="Agences et Après-vente"))*('Agences &amp; Après-vente'!$I$2:$I$1000="DONE"))&gt;0,"✓",IF(SUMPRODUCT(MAX(('Agences &amp; Après-vente'!$A$2:$A$1000=$A656)*(('Agences &amp; Après-vente'!$D$2:$D$1000="Après-vente")+('Agences &amp; Après-vente'!$D$2:$D$1000="Agences et Après-vente"))*'Agences &amp; Après-vente'!$E$2:$E$1000))&gt;0,TEXT(SUMPRODUCT(MAX(('Agences &amp; Après-vente'!$A$2:$A$1000=$A656)*(('Agences &amp; Après-vente'!$D$2:$D$1000="Après-vente")+('Agences &amp; Après-vente'!$D$2:$D$1000="Agences et Après-vente"))*'Agences &amp; Après-vente'!$E$2:$E$1000)),"yyyy-mm-dd"),"")))))</f>
        <v/>
      </c>
      <c r="J656" s="131" t="str">
        <f aca="false">IF($T656="✓","✓",IF(ISNUMBER($T656),TEXT($T656,"yyyy-mm-dd"),IF($A656="","",IF($D656="Lisbonne","",IF(SUMPRODUCT(('Agences &amp; Après-vente'!$A$2:$A$1000=$A656)*(('Agences &amp; Après-vente'!$D$2:$D$1000="Après-vente")+('Agences &amp; Après-vente'!$D$2:$D$1000="Agences et Après-vente"))*('Agences &amp; Après-vente'!$I$2:$I$1000="DONE"))&gt;0,"✓",IF(SUMPRODUCT(MAX(('Agences &amp; Après-vente'!$A$2:$A$1000=$A656)*(('Agences &amp; Après-vente'!$D$2:$D$1000="Après-vente")+('Agences &amp; Après-vente'!$D$2:$D$1000="Agences et Après-vente"))*'Agences &amp; Après-vente'!$E$2:$E$1000))&gt;0,TEXT(SUMPRODUCT(MAX(('Agences &amp; Après-vente'!$A$2:$A$1000=$A656)*(('Agences &amp; Après-vente'!$D$2:$D$1000="Après-vente")+('Agences &amp; Après-vente'!$D$2:$D$1000="Agences et Après-vente"))*'Agences &amp; Après-vente'!$E$2:$E$1000)),"yyyy-mm-dd"),""))))))</f>
        <v/>
      </c>
      <c r="K656" s="131" t="str">
        <f aca="false">IF($U656="✓","✓",IF(ISNUMBER($U656),TEXT($U656,"yyyy-mm-dd"),IF($D656="Lisbonne","",IF($A656="","",IF(SUMPRODUCT((Evermont!$A$2:$A$1000=$A656)*(Evermont!$Q$2:$Q$1000="Terminé"))&gt;0,"✓",IF(SUMPRODUCT(MAX((Evermont!$A$2:$A$1000=$A656)*Evermont!$F$2:$F$1000))&gt;0,TEXT(SUMPRODUCT(MAX((Evermont!$A$2:$A$1000=$A656)*Evermont!$F$2:$F$1000)),"yyyy-mm-dd"),""))))))</f>
        <v/>
      </c>
      <c r="L656" s="131" t="str">
        <f aca="false">IF($A656="","",COUNTIF(E656:K656,"✓"))</f>
        <v/>
      </c>
      <c r="M656" s="131" t="str">
        <f aca="false">IF(B656="","","Active")</f>
        <v/>
      </c>
      <c r="W656" s="120" t="str">
        <f aca="false">IF($A656="","",IF($X656&lt;&gt;"",$X656,IFERROR(INDEX('Formation Initiale'!$B$2:$B$999,MATCH($A656,'Formation Initiale'!$A$2:$A$999,0)),"Général")))</f>
        <v/>
      </c>
    </row>
    <row r="657" customFormat="false" ht="15" hidden="true" customHeight="true" outlineLevel="0" collapsed="false">
      <c r="A657" s="142" t="str">
        <f aca="false">IF(B657="","","TR"&amp;TEXT(ROW()-1,"000"))</f>
        <v/>
      </c>
      <c r="E657" s="130" t="str">
        <f aca="false">IF($O657="✓","✓",IF(ISNUMBER($O657),TEXT($O657,"yyyy-mm-dd"),IF($A657="","",IF(SUMPRODUCT(('Formation Initiale'!$A$2:$A$999=$A657)*('Formation Initiale'!$R$2:$R$999="Terminé"))&gt;0,"✓",IF(SUMPRODUCT(MAX(('Formation Initiale'!$A$2:$A$999=$A657)*'Formation Initiale'!$G$2:$G$999))&gt;0,TEXT(SUMPRODUCT(MAX(('Formation Initiale'!$A$2:$A$999=$A657)*'Formation Initiale'!$G$2:$G$999)),"yyyy-mm-dd"),"")))))</f>
        <v/>
      </c>
      <c r="F657" s="131" t="str">
        <f aca="false">IF($P657="✓","✓",IF(ISNUMBER($P657),TEXT($P657,"yyyy-mm-dd"),IF($A657="","",IF($D657="Lisbonne","",IF(SUMPRODUCT(('Formation Initiale'!$A$2:$A$999=$A657)*('Formation Initiale'!$R$2:$R$999="Terminé"))&gt;0,"✓",IF(SUMPRODUCT(MAX(('Formation Initiale'!$A$2:$A$999=$A657)*'Formation Initiale'!$G$2:$G$999))&gt;0,TEXT(SUMPRODUCT(MAX(('Formation Initiale'!$A$2:$A$999=$A657)*'Formation Initiale'!$G$2:$G$999)),"yyyy-mm-dd"),""))))))</f>
        <v/>
      </c>
      <c r="G657" s="131" t="str">
        <f aca="false">IF($Q657="✓","✓",IF(ISNUMBER($Q657),TEXT($Q657,"yyyy-mm-dd"),IF($A657="","",IF(SUMPRODUCT(('Agences &amp; Après-vente'!$A$2:$A$1000=$A657)*(('Agences &amp; Après-vente'!$D$2:$D$1000="Agences")+('Agences &amp; Après-vente'!$D$2:$D$1000="Agences et Après-vente"))*('Agences &amp; Après-vente'!$I$2:$I$1000="DONE"))&gt;0,"✓",IF(SUMPRODUCT(MAX(('Agences &amp; Après-vente'!$A$2:$A$1000=$A657)*(('Agences &amp; Après-vente'!$D$2:$D$1000="Agences")+('Agences &amp; Après-vente'!$D$2:$D$1000="Agences et Après-vente"))*'Agences &amp; Après-vente'!$E$2:$E$1000))&gt;0,TEXT(SUMPRODUCT(MAX(('Agences &amp; Après-vente'!$A$2:$A$1000=$A657)*(('Agences &amp; Après-vente'!$D$2:$D$1000="Agences")+('Agences &amp; Après-vente'!$D$2:$D$1000="Agences et Après-vente"))*'Agences &amp; Après-vente'!$E$2:$E$1000)),"yyyy-mm-dd"),"")))))</f>
        <v/>
      </c>
      <c r="H657" s="131" t="str">
        <f aca="false">IF($R657="✓","✓",IF(ISNUMBER($R657),TEXT($R657,"yyyy-mm-dd"),IF($A657="","",IF($D657="Lisbonne","",IF(SUMPRODUCT(('Agences &amp; Après-vente'!$A$2:$A$1000=$A657)*(('Agences &amp; Après-vente'!$D$2:$D$1000="Agences")+('Agences &amp; Après-vente'!$D$2:$D$1000="Agences et Après-vente"))*('Agences &amp; Après-vente'!$I$2:$I$1000="DONE"))&gt;0,"✓",IF(SUMPRODUCT(MAX(('Agences &amp; Après-vente'!$A$2:$A$1000=$A657)*(('Agences &amp; Après-vente'!$D$2:$D$1000="Agences")+('Agences &amp; Après-vente'!$D$2:$D$1000="Agences et Après-vente"))*'Agences &amp; Après-vente'!$E$2:$E$1000))&gt;0,TEXT(SUMPRODUCT(MAX(('Agences &amp; Après-vente'!$A$2:$A$1000=$A657)*(('Agences &amp; Après-vente'!$D$2:$D$1000="Agences")+('Agences &amp; Après-vente'!$D$2:$D$1000="Agences et Après-vente"))*'Agences &amp; Après-vente'!$E$2:$E$1000)),"yyyy-mm-dd"),""))))))</f>
        <v/>
      </c>
      <c r="I657" s="131" t="str">
        <f aca="false">IF($S657="✓","✓",IF(ISNUMBER($S657),TEXT($S657,"yyyy-mm-dd"),IF($A657="","",IF(SUMPRODUCT(('Agences &amp; Après-vente'!$A$2:$A$1000=$A657)*(('Agences &amp; Après-vente'!$D$2:$D$1000="Après-vente")+('Agences &amp; Après-vente'!$D$2:$D$1000="Agences et Après-vente"))*('Agences &amp; Après-vente'!$I$2:$I$1000="DONE"))&gt;0,"✓",IF(SUMPRODUCT(MAX(('Agences &amp; Après-vente'!$A$2:$A$1000=$A657)*(('Agences &amp; Après-vente'!$D$2:$D$1000="Après-vente")+('Agences &amp; Après-vente'!$D$2:$D$1000="Agences et Après-vente"))*'Agences &amp; Après-vente'!$E$2:$E$1000))&gt;0,TEXT(SUMPRODUCT(MAX(('Agences &amp; Après-vente'!$A$2:$A$1000=$A657)*(('Agences &amp; Après-vente'!$D$2:$D$1000="Après-vente")+('Agences &amp; Après-vente'!$D$2:$D$1000="Agences et Après-vente"))*'Agences &amp; Après-vente'!$E$2:$E$1000)),"yyyy-mm-dd"),"")))))</f>
        <v/>
      </c>
      <c r="J657" s="131" t="str">
        <f aca="false">IF($T657="✓","✓",IF(ISNUMBER($T657),TEXT($T657,"yyyy-mm-dd"),IF($A657="","",IF($D657="Lisbonne","",IF(SUMPRODUCT(('Agences &amp; Après-vente'!$A$2:$A$1000=$A657)*(('Agences &amp; Après-vente'!$D$2:$D$1000="Après-vente")+('Agences &amp; Après-vente'!$D$2:$D$1000="Agences et Après-vente"))*('Agences &amp; Après-vente'!$I$2:$I$1000="DONE"))&gt;0,"✓",IF(SUMPRODUCT(MAX(('Agences &amp; Après-vente'!$A$2:$A$1000=$A657)*(('Agences &amp; Après-vente'!$D$2:$D$1000="Après-vente")+('Agences &amp; Après-vente'!$D$2:$D$1000="Agences et Après-vente"))*'Agences &amp; Après-vente'!$E$2:$E$1000))&gt;0,TEXT(SUMPRODUCT(MAX(('Agences &amp; Après-vente'!$A$2:$A$1000=$A657)*(('Agences &amp; Après-vente'!$D$2:$D$1000="Après-vente")+('Agences &amp; Après-vente'!$D$2:$D$1000="Agences et Après-vente"))*'Agences &amp; Après-vente'!$E$2:$E$1000)),"yyyy-mm-dd"),""))))))</f>
        <v/>
      </c>
      <c r="K657" s="131" t="str">
        <f aca="false">IF($U657="✓","✓",IF(ISNUMBER($U657),TEXT($U657,"yyyy-mm-dd"),IF($D657="Lisbonne","",IF($A657="","",IF(SUMPRODUCT((Evermont!$A$2:$A$1000=$A657)*(Evermont!$Q$2:$Q$1000="Terminé"))&gt;0,"✓",IF(SUMPRODUCT(MAX((Evermont!$A$2:$A$1000=$A657)*Evermont!$F$2:$F$1000))&gt;0,TEXT(SUMPRODUCT(MAX((Evermont!$A$2:$A$1000=$A657)*Evermont!$F$2:$F$1000)),"yyyy-mm-dd"),""))))))</f>
        <v/>
      </c>
      <c r="L657" s="131" t="str">
        <f aca="false">IF($A657="","",COUNTIF(E657:K657,"✓"))</f>
        <v/>
      </c>
      <c r="M657" s="131" t="str">
        <f aca="false">IF(B657="","","Active")</f>
        <v/>
      </c>
      <c r="W657" s="120" t="str">
        <f aca="false">IF($A657="","",IF($X657&lt;&gt;"",$X657,IFERROR(INDEX('Formation Initiale'!$B$2:$B$999,MATCH($A657,'Formation Initiale'!$A$2:$A$999,0)),"Général")))</f>
        <v/>
      </c>
    </row>
    <row r="658" customFormat="false" ht="15" hidden="true" customHeight="true" outlineLevel="0" collapsed="false">
      <c r="A658" s="142" t="str">
        <f aca="false">IF(B658="","","TR"&amp;TEXT(ROW()-1,"000"))</f>
        <v/>
      </c>
      <c r="E658" s="130" t="str">
        <f aca="false">IF($O658="✓","✓",IF(ISNUMBER($O658),TEXT($O658,"yyyy-mm-dd"),IF($A658="","",IF(SUMPRODUCT(('Formation Initiale'!$A$2:$A$999=$A658)*('Formation Initiale'!$R$2:$R$999="Terminé"))&gt;0,"✓",IF(SUMPRODUCT(MAX(('Formation Initiale'!$A$2:$A$999=$A658)*'Formation Initiale'!$G$2:$G$999))&gt;0,TEXT(SUMPRODUCT(MAX(('Formation Initiale'!$A$2:$A$999=$A658)*'Formation Initiale'!$G$2:$G$999)),"yyyy-mm-dd"),"")))))</f>
        <v/>
      </c>
      <c r="F658" s="131" t="str">
        <f aca="false">IF($P658="✓","✓",IF(ISNUMBER($P658),TEXT($P658,"yyyy-mm-dd"),IF($A658="","",IF($D658="Lisbonne","",IF(SUMPRODUCT(('Formation Initiale'!$A$2:$A$999=$A658)*('Formation Initiale'!$R$2:$R$999="Terminé"))&gt;0,"✓",IF(SUMPRODUCT(MAX(('Formation Initiale'!$A$2:$A$999=$A658)*'Formation Initiale'!$G$2:$G$999))&gt;0,TEXT(SUMPRODUCT(MAX(('Formation Initiale'!$A$2:$A$999=$A658)*'Formation Initiale'!$G$2:$G$999)),"yyyy-mm-dd"),""))))))</f>
        <v/>
      </c>
      <c r="G658" s="131" t="str">
        <f aca="false">IF($Q658="✓","✓",IF(ISNUMBER($Q658),TEXT($Q658,"yyyy-mm-dd"),IF($A658="","",IF(SUMPRODUCT(('Agences &amp; Après-vente'!$A$2:$A$1000=$A658)*(('Agences &amp; Après-vente'!$D$2:$D$1000="Agences")+('Agences &amp; Après-vente'!$D$2:$D$1000="Agences et Après-vente"))*('Agences &amp; Après-vente'!$I$2:$I$1000="DONE"))&gt;0,"✓",IF(SUMPRODUCT(MAX(('Agences &amp; Après-vente'!$A$2:$A$1000=$A658)*(('Agences &amp; Après-vente'!$D$2:$D$1000="Agences")+('Agences &amp; Après-vente'!$D$2:$D$1000="Agences et Après-vente"))*'Agences &amp; Après-vente'!$E$2:$E$1000))&gt;0,TEXT(SUMPRODUCT(MAX(('Agences &amp; Après-vente'!$A$2:$A$1000=$A658)*(('Agences &amp; Après-vente'!$D$2:$D$1000="Agences")+('Agences &amp; Après-vente'!$D$2:$D$1000="Agences et Après-vente"))*'Agences &amp; Après-vente'!$E$2:$E$1000)),"yyyy-mm-dd"),"")))))</f>
        <v/>
      </c>
      <c r="H658" s="131" t="str">
        <f aca="false">IF($R658="✓","✓",IF(ISNUMBER($R658),TEXT($R658,"yyyy-mm-dd"),IF($A658="","",IF($D658="Lisbonne","",IF(SUMPRODUCT(('Agences &amp; Après-vente'!$A$2:$A$1000=$A658)*(('Agences &amp; Après-vente'!$D$2:$D$1000="Agences")+('Agences &amp; Après-vente'!$D$2:$D$1000="Agences et Après-vente"))*('Agences &amp; Après-vente'!$I$2:$I$1000="DONE"))&gt;0,"✓",IF(SUMPRODUCT(MAX(('Agences &amp; Après-vente'!$A$2:$A$1000=$A658)*(('Agences &amp; Après-vente'!$D$2:$D$1000="Agences")+('Agences &amp; Après-vente'!$D$2:$D$1000="Agences et Après-vente"))*'Agences &amp; Après-vente'!$E$2:$E$1000))&gt;0,TEXT(SUMPRODUCT(MAX(('Agences &amp; Après-vente'!$A$2:$A$1000=$A658)*(('Agences &amp; Après-vente'!$D$2:$D$1000="Agences")+('Agences &amp; Après-vente'!$D$2:$D$1000="Agences et Après-vente"))*'Agences &amp; Après-vente'!$E$2:$E$1000)),"yyyy-mm-dd"),""))))))</f>
        <v/>
      </c>
      <c r="I658" s="131" t="str">
        <f aca="false">IF($S658="✓","✓",IF(ISNUMBER($S658),TEXT($S658,"yyyy-mm-dd"),IF($A658="","",IF(SUMPRODUCT(('Agences &amp; Après-vente'!$A$2:$A$1000=$A658)*(('Agences &amp; Après-vente'!$D$2:$D$1000="Après-vente")+('Agences &amp; Après-vente'!$D$2:$D$1000="Agences et Après-vente"))*('Agences &amp; Après-vente'!$I$2:$I$1000="DONE"))&gt;0,"✓",IF(SUMPRODUCT(MAX(('Agences &amp; Après-vente'!$A$2:$A$1000=$A658)*(('Agences &amp; Après-vente'!$D$2:$D$1000="Après-vente")+('Agences &amp; Après-vente'!$D$2:$D$1000="Agences et Après-vente"))*'Agences &amp; Après-vente'!$E$2:$E$1000))&gt;0,TEXT(SUMPRODUCT(MAX(('Agences &amp; Après-vente'!$A$2:$A$1000=$A658)*(('Agences &amp; Après-vente'!$D$2:$D$1000="Après-vente")+('Agences &amp; Après-vente'!$D$2:$D$1000="Agences et Après-vente"))*'Agences &amp; Après-vente'!$E$2:$E$1000)),"yyyy-mm-dd"),"")))))</f>
        <v/>
      </c>
      <c r="J658" s="131" t="str">
        <f aca="false">IF($T658="✓","✓",IF(ISNUMBER($T658),TEXT($T658,"yyyy-mm-dd"),IF($A658="","",IF($D658="Lisbonne","",IF(SUMPRODUCT(('Agences &amp; Après-vente'!$A$2:$A$1000=$A658)*(('Agences &amp; Après-vente'!$D$2:$D$1000="Après-vente")+('Agences &amp; Après-vente'!$D$2:$D$1000="Agences et Après-vente"))*('Agences &amp; Après-vente'!$I$2:$I$1000="DONE"))&gt;0,"✓",IF(SUMPRODUCT(MAX(('Agences &amp; Après-vente'!$A$2:$A$1000=$A658)*(('Agences &amp; Après-vente'!$D$2:$D$1000="Après-vente")+('Agences &amp; Après-vente'!$D$2:$D$1000="Agences et Après-vente"))*'Agences &amp; Après-vente'!$E$2:$E$1000))&gt;0,TEXT(SUMPRODUCT(MAX(('Agences &amp; Après-vente'!$A$2:$A$1000=$A658)*(('Agences &amp; Après-vente'!$D$2:$D$1000="Après-vente")+('Agences &amp; Après-vente'!$D$2:$D$1000="Agences et Après-vente"))*'Agences &amp; Après-vente'!$E$2:$E$1000)),"yyyy-mm-dd"),""))))))</f>
        <v/>
      </c>
      <c r="K658" s="131" t="str">
        <f aca="false">IF($U658="✓","✓",IF(ISNUMBER($U658),TEXT($U658,"yyyy-mm-dd"),IF($D658="Lisbonne","",IF($A658="","",IF(SUMPRODUCT((Evermont!$A$2:$A$1000=$A658)*(Evermont!$Q$2:$Q$1000="Terminé"))&gt;0,"✓",IF(SUMPRODUCT(MAX((Evermont!$A$2:$A$1000=$A658)*Evermont!$F$2:$F$1000))&gt;0,TEXT(SUMPRODUCT(MAX((Evermont!$A$2:$A$1000=$A658)*Evermont!$F$2:$F$1000)),"yyyy-mm-dd"),""))))))</f>
        <v/>
      </c>
      <c r="L658" s="131" t="str">
        <f aca="false">IF($A658="","",COUNTIF(E658:K658,"✓"))</f>
        <v/>
      </c>
      <c r="M658" s="131" t="str">
        <f aca="false">IF(B658="","","Active")</f>
        <v/>
      </c>
      <c r="W658" s="120" t="str">
        <f aca="false">IF($A658="","",IF($X658&lt;&gt;"",$X658,IFERROR(INDEX('Formation Initiale'!$B$2:$B$999,MATCH($A658,'Formation Initiale'!$A$2:$A$999,0)),"Général")))</f>
        <v/>
      </c>
    </row>
    <row r="659" customFormat="false" ht="15" hidden="true" customHeight="true" outlineLevel="0" collapsed="false">
      <c r="A659" s="142" t="str">
        <f aca="false">IF(B659="","","TR"&amp;TEXT(ROW()-1,"000"))</f>
        <v/>
      </c>
      <c r="E659" s="130" t="str">
        <f aca="false">IF($O659="✓","✓",IF(ISNUMBER($O659),TEXT($O659,"yyyy-mm-dd"),IF($A659="","",IF(SUMPRODUCT(('Formation Initiale'!$A$2:$A$999=$A659)*('Formation Initiale'!$R$2:$R$999="Terminé"))&gt;0,"✓",IF(SUMPRODUCT(MAX(('Formation Initiale'!$A$2:$A$999=$A659)*'Formation Initiale'!$G$2:$G$999))&gt;0,TEXT(SUMPRODUCT(MAX(('Formation Initiale'!$A$2:$A$999=$A659)*'Formation Initiale'!$G$2:$G$999)),"yyyy-mm-dd"),"")))))</f>
        <v/>
      </c>
      <c r="F659" s="131" t="str">
        <f aca="false">IF($P659="✓","✓",IF(ISNUMBER($P659),TEXT($P659,"yyyy-mm-dd"),IF($A659="","",IF($D659="Lisbonne","",IF(SUMPRODUCT(('Formation Initiale'!$A$2:$A$999=$A659)*('Formation Initiale'!$R$2:$R$999="Terminé"))&gt;0,"✓",IF(SUMPRODUCT(MAX(('Formation Initiale'!$A$2:$A$999=$A659)*'Formation Initiale'!$G$2:$G$999))&gt;0,TEXT(SUMPRODUCT(MAX(('Formation Initiale'!$A$2:$A$999=$A659)*'Formation Initiale'!$G$2:$G$999)),"yyyy-mm-dd"),""))))))</f>
        <v/>
      </c>
      <c r="G659" s="131" t="str">
        <f aca="false">IF($Q659="✓","✓",IF(ISNUMBER($Q659),TEXT($Q659,"yyyy-mm-dd"),IF($A659="","",IF(SUMPRODUCT(('Agences &amp; Après-vente'!$A$2:$A$1000=$A659)*(('Agences &amp; Après-vente'!$D$2:$D$1000="Agences")+('Agences &amp; Après-vente'!$D$2:$D$1000="Agences et Après-vente"))*('Agences &amp; Après-vente'!$I$2:$I$1000="DONE"))&gt;0,"✓",IF(SUMPRODUCT(MAX(('Agences &amp; Après-vente'!$A$2:$A$1000=$A659)*(('Agences &amp; Après-vente'!$D$2:$D$1000="Agences")+('Agences &amp; Après-vente'!$D$2:$D$1000="Agences et Après-vente"))*'Agences &amp; Après-vente'!$E$2:$E$1000))&gt;0,TEXT(SUMPRODUCT(MAX(('Agences &amp; Après-vente'!$A$2:$A$1000=$A659)*(('Agences &amp; Après-vente'!$D$2:$D$1000="Agences")+('Agences &amp; Après-vente'!$D$2:$D$1000="Agences et Après-vente"))*'Agences &amp; Après-vente'!$E$2:$E$1000)),"yyyy-mm-dd"),"")))))</f>
        <v/>
      </c>
      <c r="H659" s="131" t="str">
        <f aca="false">IF($R659="✓","✓",IF(ISNUMBER($R659),TEXT($R659,"yyyy-mm-dd"),IF($A659="","",IF($D659="Lisbonne","",IF(SUMPRODUCT(('Agences &amp; Après-vente'!$A$2:$A$1000=$A659)*(('Agences &amp; Après-vente'!$D$2:$D$1000="Agences")+('Agences &amp; Après-vente'!$D$2:$D$1000="Agences et Après-vente"))*('Agences &amp; Après-vente'!$I$2:$I$1000="DONE"))&gt;0,"✓",IF(SUMPRODUCT(MAX(('Agences &amp; Après-vente'!$A$2:$A$1000=$A659)*(('Agences &amp; Après-vente'!$D$2:$D$1000="Agences")+('Agences &amp; Après-vente'!$D$2:$D$1000="Agences et Après-vente"))*'Agences &amp; Après-vente'!$E$2:$E$1000))&gt;0,TEXT(SUMPRODUCT(MAX(('Agences &amp; Après-vente'!$A$2:$A$1000=$A659)*(('Agences &amp; Après-vente'!$D$2:$D$1000="Agences")+('Agences &amp; Après-vente'!$D$2:$D$1000="Agences et Après-vente"))*'Agences &amp; Après-vente'!$E$2:$E$1000)),"yyyy-mm-dd"),""))))))</f>
        <v/>
      </c>
      <c r="I659" s="131" t="str">
        <f aca="false">IF($S659="✓","✓",IF(ISNUMBER($S659),TEXT($S659,"yyyy-mm-dd"),IF($A659="","",IF(SUMPRODUCT(('Agences &amp; Après-vente'!$A$2:$A$1000=$A659)*(('Agences &amp; Après-vente'!$D$2:$D$1000="Après-vente")+('Agences &amp; Après-vente'!$D$2:$D$1000="Agences et Après-vente"))*('Agences &amp; Après-vente'!$I$2:$I$1000="DONE"))&gt;0,"✓",IF(SUMPRODUCT(MAX(('Agences &amp; Après-vente'!$A$2:$A$1000=$A659)*(('Agences &amp; Après-vente'!$D$2:$D$1000="Après-vente")+('Agences &amp; Après-vente'!$D$2:$D$1000="Agences et Après-vente"))*'Agences &amp; Après-vente'!$E$2:$E$1000))&gt;0,TEXT(SUMPRODUCT(MAX(('Agences &amp; Après-vente'!$A$2:$A$1000=$A659)*(('Agences &amp; Après-vente'!$D$2:$D$1000="Après-vente")+('Agences &amp; Après-vente'!$D$2:$D$1000="Agences et Après-vente"))*'Agences &amp; Après-vente'!$E$2:$E$1000)),"yyyy-mm-dd"),"")))))</f>
        <v/>
      </c>
      <c r="J659" s="131" t="str">
        <f aca="false">IF($T659="✓","✓",IF(ISNUMBER($T659),TEXT($T659,"yyyy-mm-dd"),IF($A659="","",IF($D659="Lisbonne","",IF(SUMPRODUCT(('Agences &amp; Après-vente'!$A$2:$A$1000=$A659)*(('Agences &amp; Après-vente'!$D$2:$D$1000="Après-vente")+('Agences &amp; Après-vente'!$D$2:$D$1000="Agences et Après-vente"))*('Agences &amp; Après-vente'!$I$2:$I$1000="DONE"))&gt;0,"✓",IF(SUMPRODUCT(MAX(('Agences &amp; Après-vente'!$A$2:$A$1000=$A659)*(('Agences &amp; Après-vente'!$D$2:$D$1000="Après-vente")+('Agences &amp; Après-vente'!$D$2:$D$1000="Agences et Après-vente"))*'Agences &amp; Après-vente'!$E$2:$E$1000))&gt;0,TEXT(SUMPRODUCT(MAX(('Agences &amp; Après-vente'!$A$2:$A$1000=$A659)*(('Agences &amp; Après-vente'!$D$2:$D$1000="Après-vente")+('Agences &amp; Après-vente'!$D$2:$D$1000="Agences et Après-vente"))*'Agences &amp; Après-vente'!$E$2:$E$1000)),"yyyy-mm-dd"),""))))))</f>
        <v/>
      </c>
      <c r="K659" s="131" t="str">
        <f aca="false">IF($U659="✓","✓",IF(ISNUMBER($U659),TEXT($U659,"yyyy-mm-dd"),IF($D659="Lisbonne","",IF($A659="","",IF(SUMPRODUCT((Evermont!$A$2:$A$1000=$A659)*(Evermont!$Q$2:$Q$1000="Terminé"))&gt;0,"✓",IF(SUMPRODUCT(MAX((Evermont!$A$2:$A$1000=$A659)*Evermont!$F$2:$F$1000))&gt;0,TEXT(SUMPRODUCT(MAX((Evermont!$A$2:$A$1000=$A659)*Evermont!$F$2:$F$1000)),"yyyy-mm-dd"),""))))))</f>
        <v/>
      </c>
      <c r="L659" s="131" t="str">
        <f aca="false">IF($A659="","",COUNTIF(E659:K659,"✓"))</f>
        <v/>
      </c>
      <c r="M659" s="131" t="str">
        <f aca="false">IF(B659="","","Active")</f>
        <v/>
      </c>
      <c r="W659" s="120" t="str">
        <f aca="false">IF($A659="","",IF($X659&lt;&gt;"",$X659,IFERROR(INDEX('Formation Initiale'!$B$2:$B$999,MATCH($A659,'Formation Initiale'!$A$2:$A$999,0)),"Général")))</f>
        <v/>
      </c>
    </row>
    <row r="660" customFormat="false" ht="15" hidden="true" customHeight="true" outlineLevel="0" collapsed="false">
      <c r="A660" s="142" t="str">
        <f aca="false">IF(B660="","","TR"&amp;TEXT(ROW()-1,"000"))</f>
        <v/>
      </c>
      <c r="E660" s="130" t="str">
        <f aca="false">IF($O660="✓","✓",IF(ISNUMBER($O660),TEXT($O660,"yyyy-mm-dd"),IF($A660="","",IF(SUMPRODUCT(('Formation Initiale'!$A$2:$A$999=$A660)*('Formation Initiale'!$R$2:$R$999="Terminé"))&gt;0,"✓",IF(SUMPRODUCT(MAX(('Formation Initiale'!$A$2:$A$999=$A660)*'Formation Initiale'!$G$2:$G$999))&gt;0,TEXT(SUMPRODUCT(MAX(('Formation Initiale'!$A$2:$A$999=$A660)*'Formation Initiale'!$G$2:$G$999)),"yyyy-mm-dd"),"")))))</f>
        <v/>
      </c>
      <c r="F660" s="131" t="str">
        <f aca="false">IF($P660="✓","✓",IF(ISNUMBER($P660),TEXT($P660,"yyyy-mm-dd"),IF($A660="","",IF($D660="Lisbonne","",IF(SUMPRODUCT(('Formation Initiale'!$A$2:$A$999=$A660)*('Formation Initiale'!$R$2:$R$999="Terminé"))&gt;0,"✓",IF(SUMPRODUCT(MAX(('Formation Initiale'!$A$2:$A$999=$A660)*'Formation Initiale'!$G$2:$G$999))&gt;0,TEXT(SUMPRODUCT(MAX(('Formation Initiale'!$A$2:$A$999=$A660)*'Formation Initiale'!$G$2:$G$999)),"yyyy-mm-dd"),""))))))</f>
        <v/>
      </c>
      <c r="G660" s="131" t="str">
        <f aca="false">IF($Q660="✓","✓",IF(ISNUMBER($Q660),TEXT($Q660,"yyyy-mm-dd"),IF($A660="","",IF(SUMPRODUCT(('Agences &amp; Après-vente'!$A$2:$A$1000=$A660)*(('Agences &amp; Après-vente'!$D$2:$D$1000="Agences")+('Agences &amp; Après-vente'!$D$2:$D$1000="Agences et Après-vente"))*('Agences &amp; Après-vente'!$I$2:$I$1000="DONE"))&gt;0,"✓",IF(SUMPRODUCT(MAX(('Agences &amp; Après-vente'!$A$2:$A$1000=$A660)*(('Agences &amp; Après-vente'!$D$2:$D$1000="Agences")+('Agences &amp; Après-vente'!$D$2:$D$1000="Agences et Après-vente"))*'Agences &amp; Après-vente'!$E$2:$E$1000))&gt;0,TEXT(SUMPRODUCT(MAX(('Agences &amp; Après-vente'!$A$2:$A$1000=$A660)*(('Agences &amp; Après-vente'!$D$2:$D$1000="Agences")+('Agences &amp; Après-vente'!$D$2:$D$1000="Agences et Après-vente"))*'Agences &amp; Après-vente'!$E$2:$E$1000)),"yyyy-mm-dd"),"")))))</f>
        <v/>
      </c>
      <c r="H660" s="131" t="str">
        <f aca="false">IF($R660="✓","✓",IF(ISNUMBER($R660),TEXT($R660,"yyyy-mm-dd"),IF($A660="","",IF($D660="Lisbonne","",IF(SUMPRODUCT(('Agences &amp; Après-vente'!$A$2:$A$1000=$A660)*(('Agences &amp; Après-vente'!$D$2:$D$1000="Agences")+('Agences &amp; Après-vente'!$D$2:$D$1000="Agences et Après-vente"))*('Agences &amp; Après-vente'!$I$2:$I$1000="DONE"))&gt;0,"✓",IF(SUMPRODUCT(MAX(('Agences &amp; Après-vente'!$A$2:$A$1000=$A660)*(('Agences &amp; Après-vente'!$D$2:$D$1000="Agences")+('Agences &amp; Après-vente'!$D$2:$D$1000="Agences et Après-vente"))*'Agences &amp; Après-vente'!$E$2:$E$1000))&gt;0,TEXT(SUMPRODUCT(MAX(('Agences &amp; Après-vente'!$A$2:$A$1000=$A660)*(('Agences &amp; Après-vente'!$D$2:$D$1000="Agences")+('Agences &amp; Après-vente'!$D$2:$D$1000="Agences et Après-vente"))*'Agences &amp; Après-vente'!$E$2:$E$1000)),"yyyy-mm-dd"),""))))))</f>
        <v/>
      </c>
      <c r="I660" s="131" t="str">
        <f aca="false">IF($S660="✓","✓",IF(ISNUMBER($S660),TEXT($S660,"yyyy-mm-dd"),IF($A660="","",IF(SUMPRODUCT(('Agences &amp; Après-vente'!$A$2:$A$1000=$A660)*(('Agences &amp; Après-vente'!$D$2:$D$1000="Après-vente")+('Agences &amp; Après-vente'!$D$2:$D$1000="Agences et Après-vente"))*('Agences &amp; Après-vente'!$I$2:$I$1000="DONE"))&gt;0,"✓",IF(SUMPRODUCT(MAX(('Agences &amp; Après-vente'!$A$2:$A$1000=$A660)*(('Agences &amp; Après-vente'!$D$2:$D$1000="Après-vente")+('Agences &amp; Après-vente'!$D$2:$D$1000="Agences et Après-vente"))*'Agences &amp; Après-vente'!$E$2:$E$1000))&gt;0,TEXT(SUMPRODUCT(MAX(('Agences &amp; Après-vente'!$A$2:$A$1000=$A660)*(('Agences &amp; Après-vente'!$D$2:$D$1000="Après-vente")+('Agences &amp; Après-vente'!$D$2:$D$1000="Agences et Après-vente"))*'Agences &amp; Après-vente'!$E$2:$E$1000)),"yyyy-mm-dd"),"")))))</f>
        <v/>
      </c>
      <c r="J660" s="131" t="str">
        <f aca="false">IF($T660="✓","✓",IF(ISNUMBER($T660),TEXT($T660,"yyyy-mm-dd"),IF($A660="","",IF($D660="Lisbonne","",IF(SUMPRODUCT(('Agences &amp; Après-vente'!$A$2:$A$1000=$A660)*(('Agences &amp; Après-vente'!$D$2:$D$1000="Après-vente")+('Agences &amp; Après-vente'!$D$2:$D$1000="Agences et Après-vente"))*('Agences &amp; Après-vente'!$I$2:$I$1000="DONE"))&gt;0,"✓",IF(SUMPRODUCT(MAX(('Agences &amp; Après-vente'!$A$2:$A$1000=$A660)*(('Agences &amp; Après-vente'!$D$2:$D$1000="Après-vente")+('Agences &amp; Après-vente'!$D$2:$D$1000="Agences et Après-vente"))*'Agences &amp; Après-vente'!$E$2:$E$1000))&gt;0,TEXT(SUMPRODUCT(MAX(('Agences &amp; Après-vente'!$A$2:$A$1000=$A660)*(('Agences &amp; Après-vente'!$D$2:$D$1000="Après-vente")+('Agences &amp; Après-vente'!$D$2:$D$1000="Agences et Après-vente"))*'Agences &amp; Après-vente'!$E$2:$E$1000)),"yyyy-mm-dd"),""))))))</f>
        <v/>
      </c>
      <c r="K660" s="131" t="str">
        <f aca="false">IF($U660="✓","✓",IF(ISNUMBER($U660),TEXT($U660,"yyyy-mm-dd"),IF($D660="Lisbonne","",IF($A660="","",IF(SUMPRODUCT((Evermont!$A$2:$A$1000=$A660)*(Evermont!$Q$2:$Q$1000="Terminé"))&gt;0,"✓",IF(SUMPRODUCT(MAX((Evermont!$A$2:$A$1000=$A660)*Evermont!$F$2:$F$1000))&gt;0,TEXT(SUMPRODUCT(MAX((Evermont!$A$2:$A$1000=$A660)*Evermont!$F$2:$F$1000)),"yyyy-mm-dd"),""))))))</f>
        <v/>
      </c>
      <c r="L660" s="131" t="str">
        <f aca="false">IF($A660="","",COUNTIF(E660:K660,"✓"))</f>
        <v/>
      </c>
      <c r="M660" s="131" t="str">
        <f aca="false">IF(B660="","","Active")</f>
        <v/>
      </c>
      <c r="W660" s="120" t="str">
        <f aca="false">IF($A660="","",IF($X660&lt;&gt;"",$X660,IFERROR(INDEX('Formation Initiale'!$B$2:$B$999,MATCH($A660,'Formation Initiale'!$A$2:$A$999,0)),"Général")))</f>
        <v/>
      </c>
    </row>
    <row r="661" customFormat="false" ht="15" hidden="true" customHeight="true" outlineLevel="0" collapsed="false">
      <c r="A661" s="142" t="str">
        <f aca="false">IF(B661="","","TR"&amp;TEXT(ROW()-1,"000"))</f>
        <v/>
      </c>
      <c r="E661" s="130" t="str">
        <f aca="false">IF($O661="✓","✓",IF(ISNUMBER($O661),TEXT($O661,"yyyy-mm-dd"),IF($A661="","",IF(SUMPRODUCT(('Formation Initiale'!$A$2:$A$999=$A661)*('Formation Initiale'!$R$2:$R$999="Terminé"))&gt;0,"✓",IF(SUMPRODUCT(MAX(('Formation Initiale'!$A$2:$A$999=$A661)*'Formation Initiale'!$G$2:$G$999))&gt;0,TEXT(SUMPRODUCT(MAX(('Formation Initiale'!$A$2:$A$999=$A661)*'Formation Initiale'!$G$2:$G$999)),"yyyy-mm-dd"),"")))))</f>
        <v/>
      </c>
      <c r="F661" s="131" t="str">
        <f aca="false">IF($P661="✓","✓",IF(ISNUMBER($P661),TEXT($P661,"yyyy-mm-dd"),IF($A661="","",IF($D661="Lisbonne","",IF(SUMPRODUCT(('Formation Initiale'!$A$2:$A$999=$A661)*('Formation Initiale'!$R$2:$R$999="Terminé"))&gt;0,"✓",IF(SUMPRODUCT(MAX(('Formation Initiale'!$A$2:$A$999=$A661)*'Formation Initiale'!$G$2:$G$999))&gt;0,TEXT(SUMPRODUCT(MAX(('Formation Initiale'!$A$2:$A$999=$A661)*'Formation Initiale'!$G$2:$G$999)),"yyyy-mm-dd"),""))))))</f>
        <v/>
      </c>
      <c r="G661" s="131" t="str">
        <f aca="false">IF($Q661="✓","✓",IF(ISNUMBER($Q661),TEXT($Q661,"yyyy-mm-dd"),IF($A661="","",IF(SUMPRODUCT(('Agences &amp; Après-vente'!$A$2:$A$1000=$A661)*(('Agences &amp; Après-vente'!$D$2:$D$1000="Agences")+('Agences &amp; Après-vente'!$D$2:$D$1000="Agences et Après-vente"))*('Agences &amp; Après-vente'!$I$2:$I$1000="DONE"))&gt;0,"✓",IF(SUMPRODUCT(MAX(('Agences &amp; Après-vente'!$A$2:$A$1000=$A661)*(('Agences &amp; Après-vente'!$D$2:$D$1000="Agences")+('Agences &amp; Après-vente'!$D$2:$D$1000="Agences et Après-vente"))*'Agences &amp; Après-vente'!$E$2:$E$1000))&gt;0,TEXT(SUMPRODUCT(MAX(('Agences &amp; Après-vente'!$A$2:$A$1000=$A661)*(('Agences &amp; Après-vente'!$D$2:$D$1000="Agences")+('Agences &amp; Après-vente'!$D$2:$D$1000="Agences et Après-vente"))*'Agences &amp; Après-vente'!$E$2:$E$1000)),"yyyy-mm-dd"),"")))))</f>
        <v/>
      </c>
      <c r="H661" s="131" t="str">
        <f aca="false">IF($R661="✓","✓",IF(ISNUMBER($R661),TEXT($R661,"yyyy-mm-dd"),IF($A661="","",IF($D661="Lisbonne","",IF(SUMPRODUCT(('Agences &amp; Après-vente'!$A$2:$A$1000=$A661)*(('Agences &amp; Après-vente'!$D$2:$D$1000="Agences")+('Agences &amp; Après-vente'!$D$2:$D$1000="Agences et Après-vente"))*('Agences &amp; Après-vente'!$I$2:$I$1000="DONE"))&gt;0,"✓",IF(SUMPRODUCT(MAX(('Agences &amp; Après-vente'!$A$2:$A$1000=$A661)*(('Agences &amp; Après-vente'!$D$2:$D$1000="Agences")+('Agences &amp; Après-vente'!$D$2:$D$1000="Agences et Après-vente"))*'Agences &amp; Après-vente'!$E$2:$E$1000))&gt;0,TEXT(SUMPRODUCT(MAX(('Agences &amp; Après-vente'!$A$2:$A$1000=$A661)*(('Agences &amp; Après-vente'!$D$2:$D$1000="Agences")+('Agences &amp; Après-vente'!$D$2:$D$1000="Agences et Après-vente"))*'Agences &amp; Après-vente'!$E$2:$E$1000)),"yyyy-mm-dd"),""))))))</f>
        <v/>
      </c>
      <c r="I661" s="131" t="str">
        <f aca="false">IF($S661="✓","✓",IF(ISNUMBER($S661),TEXT($S661,"yyyy-mm-dd"),IF($A661="","",IF(SUMPRODUCT(('Agences &amp; Après-vente'!$A$2:$A$1000=$A661)*(('Agences &amp; Après-vente'!$D$2:$D$1000="Après-vente")+('Agences &amp; Après-vente'!$D$2:$D$1000="Agences et Après-vente"))*('Agences &amp; Après-vente'!$I$2:$I$1000="DONE"))&gt;0,"✓",IF(SUMPRODUCT(MAX(('Agences &amp; Après-vente'!$A$2:$A$1000=$A661)*(('Agences &amp; Après-vente'!$D$2:$D$1000="Après-vente")+('Agences &amp; Après-vente'!$D$2:$D$1000="Agences et Après-vente"))*'Agences &amp; Après-vente'!$E$2:$E$1000))&gt;0,TEXT(SUMPRODUCT(MAX(('Agences &amp; Après-vente'!$A$2:$A$1000=$A661)*(('Agences &amp; Après-vente'!$D$2:$D$1000="Après-vente")+('Agences &amp; Après-vente'!$D$2:$D$1000="Agences et Après-vente"))*'Agences &amp; Après-vente'!$E$2:$E$1000)),"yyyy-mm-dd"),"")))))</f>
        <v/>
      </c>
      <c r="J661" s="131" t="str">
        <f aca="false">IF($T661="✓","✓",IF(ISNUMBER($T661),TEXT($T661,"yyyy-mm-dd"),IF($A661="","",IF($D661="Lisbonne","",IF(SUMPRODUCT(('Agences &amp; Après-vente'!$A$2:$A$1000=$A661)*(('Agences &amp; Après-vente'!$D$2:$D$1000="Après-vente")+('Agences &amp; Après-vente'!$D$2:$D$1000="Agences et Après-vente"))*('Agences &amp; Après-vente'!$I$2:$I$1000="DONE"))&gt;0,"✓",IF(SUMPRODUCT(MAX(('Agences &amp; Après-vente'!$A$2:$A$1000=$A661)*(('Agences &amp; Après-vente'!$D$2:$D$1000="Après-vente")+('Agences &amp; Après-vente'!$D$2:$D$1000="Agences et Après-vente"))*'Agences &amp; Après-vente'!$E$2:$E$1000))&gt;0,TEXT(SUMPRODUCT(MAX(('Agences &amp; Après-vente'!$A$2:$A$1000=$A661)*(('Agences &amp; Après-vente'!$D$2:$D$1000="Après-vente")+('Agences &amp; Après-vente'!$D$2:$D$1000="Agences et Après-vente"))*'Agences &amp; Après-vente'!$E$2:$E$1000)),"yyyy-mm-dd"),""))))))</f>
        <v/>
      </c>
      <c r="K661" s="131" t="str">
        <f aca="false">IF($U661="✓","✓",IF(ISNUMBER($U661),TEXT($U661,"yyyy-mm-dd"),IF($D661="Lisbonne","",IF($A661="","",IF(SUMPRODUCT((Evermont!$A$2:$A$1000=$A661)*(Evermont!$Q$2:$Q$1000="Terminé"))&gt;0,"✓",IF(SUMPRODUCT(MAX((Evermont!$A$2:$A$1000=$A661)*Evermont!$F$2:$F$1000))&gt;0,TEXT(SUMPRODUCT(MAX((Evermont!$A$2:$A$1000=$A661)*Evermont!$F$2:$F$1000)),"yyyy-mm-dd"),""))))))</f>
        <v/>
      </c>
      <c r="L661" s="131" t="str">
        <f aca="false">IF($A661="","",COUNTIF(E661:K661,"✓"))</f>
        <v/>
      </c>
      <c r="M661" s="131" t="str">
        <f aca="false">IF(B661="","","Active")</f>
        <v/>
      </c>
      <c r="W661" s="120" t="str">
        <f aca="false">IF($A661="","",IF($X661&lt;&gt;"",$X661,IFERROR(INDEX('Formation Initiale'!$B$2:$B$999,MATCH($A661,'Formation Initiale'!$A$2:$A$999,0)),"Général")))</f>
        <v/>
      </c>
    </row>
    <row r="662" customFormat="false" ht="15" hidden="true" customHeight="true" outlineLevel="0" collapsed="false">
      <c r="A662" s="142" t="str">
        <f aca="false">IF(B662="","","TR"&amp;TEXT(ROW()-1,"000"))</f>
        <v/>
      </c>
      <c r="E662" s="130" t="str">
        <f aca="false">IF($O662="✓","✓",IF(ISNUMBER($O662),TEXT($O662,"yyyy-mm-dd"),IF($A662="","",IF(SUMPRODUCT(('Formation Initiale'!$A$2:$A$999=$A662)*('Formation Initiale'!$R$2:$R$999="Terminé"))&gt;0,"✓",IF(SUMPRODUCT(MAX(('Formation Initiale'!$A$2:$A$999=$A662)*'Formation Initiale'!$G$2:$G$999))&gt;0,TEXT(SUMPRODUCT(MAX(('Formation Initiale'!$A$2:$A$999=$A662)*'Formation Initiale'!$G$2:$G$999)),"yyyy-mm-dd"),"")))))</f>
        <v/>
      </c>
      <c r="F662" s="131" t="str">
        <f aca="false">IF($P662="✓","✓",IF(ISNUMBER($P662),TEXT($P662,"yyyy-mm-dd"),IF($A662="","",IF($D662="Lisbonne","",IF(SUMPRODUCT(('Formation Initiale'!$A$2:$A$999=$A662)*('Formation Initiale'!$R$2:$R$999="Terminé"))&gt;0,"✓",IF(SUMPRODUCT(MAX(('Formation Initiale'!$A$2:$A$999=$A662)*'Formation Initiale'!$G$2:$G$999))&gt;0,TEXT(SUMPRODUCT(MAX(('Formation Initiale'!$A$2:$A$999=$A662)*'Formation Initiale'!$G$2:$G$999)),"yyyy-mm-dd"),""))))))</f>
        <v/>
      </c>
      <c r="G662" s="131" t="str">
        <f aca="false">IF($Q662="✓","✓",IF(ISNUMBER($Q662),TEXT($Q662,"yyyy-mm-dd"),IF($A662="","",IF(SUMPRODUCT(('Agences &amp; Après-vente'!$A$2:$A$1000=$A662)*(('Agences &amp; Après-vente'!$D$2:$D$1000="Agences")+('Agences &amp; Après-vente'!$D$2:$D$1000="Agences et Après-vente"))*('Agences &amp; Après-vente'!$I$2:$I$1000="DONE"))&gt;0,"✓",IF(SUMPRODUCT(MAX(('Agences &amp; Après-vente'!$A$2:$A$1000=$A662)*(('Agences &amp; Après-vente'!$D$2:$D$1000="Agences")+('Agences &amp; Après-vente'!$D$2:$D$1000="Agences et Après-vente"))*'Agences &amp; Après-vente'!$E$2:$E$1000))&gt;0,TEXT(SUMPRODUCT(MAX(('Agences &amp; Après-vente'!$A$2:$A$1000=$A662)*(('Agences &amp; Après-vente'!$D$2:$D$1000="Agences")+('Agences &amp; Après-vente'!$D$2:$D$1000="Agences et Après-vente"))*'Agences &amp; Après-vente'!$E$2:$E$1000)),"yyyy-mm-dd"),"")))))</f>
        <v/>
      </c>
      <c r="H662" s="131" t="str">
        <f aca="false">IF($R662="✓","✓",IF(ISNUMBER($R662),TEXT($R662,"yyyy-mm-dd"),IF($A662="","",IF($D662="Lisbonne","",IF(SUMPRODUCT(('Agences &amp; Après-vente'!$A$2:$A$1000=$A662)*(('Agences &amp; Après-vente'!$D$2:$D$1000="Agences")+('Agences &amp; Après-vente'!$D$2:$D$1000="Agences et Après-vente"))*('Agences &amp; Après-vente'!$I$2:$I$1000="DONE"))&gt;0,"✓",IF(SUMPRODUCT(MAX(('Agences &amp; Après-vente'!$A$2:$A$1000=$A662)*(('Agences &amp; Après-vente'!$D$2:$D$1000="Agences")+('Agences &amp; Après-vente'!$D$2:$D$1000="Agences et Après-vente"))*'Agences &amp; Après-vente'!$E$2:$E$1000))&gt;0,TEXT(SUMPRODUCT(MAX(('Agences &amp; Après-vente'!$A$2:$A$1000=$A662)*(('Agences &amp; Après-vente'!$D$2:$D$1000="Agences")+('Agences &amp; Après-vente'!$D$2:$D$1000="Agences et Après-vente"))*'Agences &amp; Après-vente'!$E$2:$E$1000)),"yyyy-mm-dd"),""))))))</f>
        <v/>
      </c>
      <c r="I662" s="131" t="str">
        <f aca="false">IF($S662="✓","✓",IF(ISNUMBER($S662),TEXT($S662,"yyyy-mm-dd"),IF($A662="","",IF(SUMPRODUCT(('Agences &amp; Après-vente'!$A$2:$A$1000=$A662)*(('Agences &amp; Après-vente'!$D$2:$D$1000="Après-vente")+('Agences &amp; Après-vente'!$D$2:$D$1000="Agences et Après-vente"))*('Agences &amp; Après-vente'!$I$2:$I$1000="DONE"))&gt;0,"✓",IF(SUMPRODUCT(MAX(('Agences &amp; Après-vente'!$A$2:$A$1000=$A662)*(('Agences &amp; Après-vente'!$D$2:$D$1000="Après-vente")+('Agences &amp; Après-vente'!$D$2:$D$1000="Agences et Après-vente"))*'Agences &amp; Après-vente'!$E$2:$E$1000))&gt;0,TEXT(SUMPRODUCT(MAX(('Agences &amp; Après-vente'!$A$2:$A$1000=$A662)*(('Agences &amp; Après-vente'!$D$2:$D$1000="Après-vente")+('Agences &amp; Après-vente'!$D$2:$D$1000="Agences et Après-vente"))*'Agences &amp; Après-vente'!$E$2:$E$1000)),"yyyy-mm-dd"),"")))))</f>
        <v/>
      </c>
      <c r="J662" s="131" t="str">
        <f aca="false">IF($T662="✓","✓",IF(ISNUMBER($T662),TEXT($T662,"yyyy-mm-dd"),IF($A662="","",IF($D662="Lisbonne","",IF(SUMPRODUCT(('Agences &amp; Après-vente'!$A$2:$A$1000=$A662)*(('Agences &amp; Après-vente'!$D$2:$D$1000="Après-vente")+('Agences &amp; Après-vente'!$D$2:$D$1000="Agences et Après-vente"))*('Agences &amp; Après-vente'!$I$2:$I$1000="DONE"))&gt;0,"✓",IF(SUMPRODUCT(MAX(('Agences &amp; Après-vente'!$A$2:$A$1000=$A662)*(('Agences &amp; Après-vente'!$D$2:$D$1000="Après-vente")+('Agences &amp; Après-vente'!$D$2:$D$1000="Agences et Après-vente"))*'Agences &amp; Après-vente'!$E$2:$E$1000))&gt;0,TEXT(SUMPRODUCT(MAX(('Agences &amp; Après-vente'!$A$2:$A$1000=$A662)*(('Agences &amp; Après-vente'!$D$2:$D$1000="Après-vente")+('Agences &amp; Après-vente'!$D$2:$D$1000="Agences et Après-vente"))*'Agences &amp; Après-vente'!$E$2:$E$1000)),"yyyy-mm-dd"),""))))))</f>
        <v/>
      </c>
      <c r="K662" s="131" t="str">
        <f aca="false">IF($U662="✓","✓",IF(ISNUMBER($U662),TEXT($U662,"yyyy-mm-dd"),IF($D662="Lisbonne","",IF($A662="","",IF(SUMPRODUCT((Evermont!$A$2:$A$1000=$A662)*(Evermont!$Q$2:$Q$1000="Terminé"))&gt;0,"✓",IF(SUMPRODUCT(MAX((Evermont!$A$2:$A$1000=$A662)*Evermont!$F$2:$F$1000))&gt;0,TEXT(SUMPRODUCT(MAX((Evermont!$A$2:$A$1000=$A662)*Evermont!$F$2:$F$1000)),"yyyy-mm-dd"),""))))))</f>
        <v/>
      </c>
      <c r="L662" s="131" t="str">
        <f aca="false">IF($A662="","",COUNTIF(E662:K662,"✓"))</f>
        <v/>
      </c>
      <c r="M662" s="131" t="str">
        <f aca="false">IF(B662="","","Active")</f>
        <v/>
      </c>
      <c r="W662" s="120" t="str">
        <f aca="false">IF($A662="","",IF($X662&lt;&gt;"",$X662,IFERROR(INDEX('Formation Initiale'!$B$2:$B$999,MATCH($A662,'Formation Initiale'!$A$2:$A$999,0)),"Général")))</f>
        <v/>
      </c>
    </row>
    <row r="663" customFormat="false" ht="15" hidden="true" customHeight="true" outlineLevel="0" collapsed="false">
      <c r="A663" s="142" t="str">
        <f aca="false">IF(B663="","","TR"&amp;TEXT(ROW()-1,"000"))</f>
        <v/>
      </c>
      <c r="E663" s="130" t="str">
        <f aca="false">IF($O663="✓","✓",IF(ISNUMBER($O663),TEXT($O663,"yyyy-mm-dd"),IF($A663="","",IF(SUMPRODUCT(('Formation Initiale'!$A$2:$A$999=$A663)*('Formation Initiale'!$R$2:$R$999="Terminé"))&gt;0,"✓",IF(SUMPRODUCT(MAX(('Formation Initiale'!$A$2:$A$999=$A663)*'Formation Initiale'!$G$2:$G$999))&gt;0,TEXT(SUMPRODUCT(MAX(('Formation Initiale'!$A$2:$A$999=$A663)*'Formation Initiale'!$G$2:$G$999)),"yyyy-mm-dd"),"")))))</f>
        <v/>
      </c>
      <c r="F663" s="131" t="str">
        <f aca="false">IF($P663="✓","✓",IF(ISNUMBER($P663),TEXT($P663,"yyyy-mm-dd"),IF($A663="","",IF($D663="Lisbonne","",IF(SUMPRODUCT(('Formation Initiale'!$A$2:$A$999=$A663)*('Formation Initiale'!$R$2:$R$999="Terminé"))&gt;0,"✓",IF(SUMPRODUCT(MAX(('Formation Initiale'!$A$2:$A$999=$A663)*'Formation Initiale'!$G$2:$G$999))&gt;0,TEXT(SUMPRODUCT(MAX(('Formation Initiale'!$A$2:$A$999=$A663)*'Formation Initiale'!$G$2:$G$999)),"yyyy-mm-dd"),""))))))</f>
        <v/>
      </c>
      <c r="G663" s="131" t="str">
        <f aca="false">IF($Q663="✓","✓",IF(ISNUMBER($Q663),TEXT($Q663,"yyyy-mm-dd"),IF($A663="","",IF(SUMPRODUCT(('Agences &amp; Après-vente'!$A$2:$A$1000=$A663)*(('Agences &amp; Après-vente'!$D$2:$D$1000="Agences")+('Agences &amp; Après-vente'!$D$2:$D$1000="Agences et Après-vente"))*('Agences &amp; Après-vente'!$I$2:$I$1000="DONE"))&gt;0,"✓",IF(SUMPRODUCT(MAX(('Agences &amp; Après-vente'!$A$2:$A$1000=$A663)*(('Agences &amp; Après-vente'!$D$2:$D$1000="Agences")+('Agences &amp; Après-vente'!$D$2:$D$1000="Agences et Après-vente"))*'Agences &amp; Après-vente'!$E$2:$E$1000))&gt;0,TEXT(SUMPRODUCT(MAX(('Agences &amp; Après-vente'!$A$2:$A$1000=$A663)*(('Agences &amp; Après-vente'!$D$2:$D$1000="Agences")+('Agences &amp; Après-vente'!$D$2:$D$1000="Agences et Après-vente"))*'Agences &amp; Après-vente'!$E$2:$E$1000)),"yyyy-mm-dd"),"")))))</f>
        <v/>
      </c>
      <c r="H663" s="131" t="str">
        <f aca="false">IF($R663="✓","✓",IF(ISNUMBER($R663),TEXT($R663,"yyyy-mm-dd"),IF($A663="","",IF($D663="Lisbonne","",IF(SUMPRODUCT(('Agences &amp; Après-vente'!$A$2:$A$1000=$A663)*(('Agences &amp; Après-vente'!$D$2:$D$1000="Agences")+('Agences &amp; Après-vente'!$D$2:$D$1000="Agences et Après-vente"))*('Agences &amp; Après-vente'!$I$2:$I$1000="DONE"))&gt;0,"✓",IF(SUMPRODUCT(MAX(('Agences &amp; Après-vente'!$A$2:$A$1000=$A663)*(('Agences &amp; Après-vente'!$D$2:$D$1000="Agences")+('Agences &amp; Après-vente'!$D$2:$D$1000="Agences et Après-vente"))*'Agences &amp; Après-vente'!$E$2:$E$1000))&gt;0,TEXT(SUMPRODUCT(MAX(('Agences &amp; Après-vente'!$A$2:$A$1000=$A663)*(('Agences &amp; Après-vente'!$D$2:$D$1000="Agences")+('Agences &amp; Après-vente'!$D$2:$D$1000="Agences et Après-vente"))*'Agences &amp; Après-vente'!$E$2:$E$1000)),"yyyy-mm-dd"),""))))))</f>
        <v/>
      </c>
      <c r="I663" s="131" t="str">
        <f aca="false">IF($S663="✓","✓",IF(ISNUMBER($S663),TEXT($S663,"yyyy-mm-dd"),IF($A663="","",IF(SUMPRODUCT(('Agences &amp; Après-vente'!$A$2:$A$1000=$A663)*(('Agences &amp; Après-vente'!$D$2:$D$1000="Après-vente")+('Agences &amp; Après-vente'!$D$2:$D$1000="Agences et Après-vente"))*('Agences &amp; Après-vente'!$I$2:$I$1000="DONE"))&gt;0,"✓",IF(SUMPRODUCT(MAX(('Agences &amp; Après-vente'!$A$2:$A$1000=$A663)*(('Agences &amp; Après-vente'!$D$2:$D$1000="Après-vente")+('Agences &amp; Après-vente'!$D$2:$D$1000="Agences et Après-vente"))*'Agences &amp; Après-vente'!$E$2:$E$1000))&gt;0,TEXT(SUMPRODUCT(MAX(('Agences &amp; Après-vente'!$A$2:$A$1000=$A663)*(('Agences &amp; Après-vente'!$D$2:$D$1000="Après-vente")+('Agences &amp; Après-vente'!$D$2:$D$1000="Agences et Après-vente"))*'Agences &amp; Après-vente'!$E$2:$E$1000)),"yyyy-mm-dd"),"")))))</f>
        <v/>
      </c>
      <c r="J663" s="131" t="str">
        <f aca="false">IF($T663="✓","✓",IF(ISNUMBER($T663),TEXT($T663,"yyyy-mm-dd"),IF($A663="","",IF($D663="Lisbonne","",IF(SUMPRODUCT(('Agences &amp; Après-vente'!$A$2:$A$1000=$A663)*(('Agences &amp; Après-vente'!$D$2:$D$1000="Après-vente")+('Agences &amp; Après-vente'!$D$2:$D$1000="Agences et Après-vente"))*('Agences &amp; Après-vente'!$I$2:$I$1000="DONE"))&gt;0,"✓",IF(SUMPRODUCT(MAX(('Agences &amp; Après-vente'!$A$2:$A$1000=$A663)*(('Agences &amp; Après-vente'!$D$2:$D$1000="Après-vente")+('Agences &amp; Après-vente'!$D$2:$D$1000="Agences et Après-vente"))*'Agences &amp; Après-vente'!$E$2:$E$1000))&gt;0,TEXT(SUMPRODUCT(MAX(('Agences &amp; Après-vente'!$A$2:$A$1000=$A663)*(('Agences &amp; Après-vente'!$D$2:$D$1000="Après-vente")+('Agences &amp; Après-vente'!$D$2:$D$1000="Agences et Après-vente"))*'Agences &amp; Après-vente'!$E$2:$E$1000)),"yyyy-mm-dd"),""))))))</f>
        <v/>
      </c>
      <c r="K663" s="131" t="str">
        <f aca="false">IF($U663="✓","✓",IF(ISNUMBER($U663),TEXT($U663,"yyyy-mm-dd"),IF($D663="Lisbonne","",IF($A663="","",IF(SUMPRODUCT((Evermont!$A$2:$A$1000=$A663)*(Evermont!$Q$2:$Q$1000="Terminé"))&gt;0,"✓",IF(SUMPRODUCT(MAX((Evermont!$A$2:$A$1000=$A663)*Evermont!$F$2:$F$1000))&gt;0,TEXT(SUMPRODUCT(MAX((Evermont!$A$2:$A$1000=$A663)*Evermont!$F$2:$F$1000)),"yyyy-mm-dd"),""))))))</f>
        <v/>
      </c>
      <c r="L663" s="131" t="str">
        <f aca="false">IF($A663="","",COUNTIF(E663:K663,"✓"))</f>
        <v/>
      </c>
      <c r="M663" s="131" t="str">
        <f aca="false">IF(B663="","","Active")</f>
        <v/>
      </c>
      <c r="W663" s="120" t="str">
        <f aca="false">IF($A663="","",IF($X663&lt;&gt;"",$X663,IFERROR(INDEX('Formation Initiale'!$B$2:$B$999,MATCH($A663,'Formation Initiale'!$A$2:$A$999,0)),"Général")))</f>
        <v/>
      </c>
    </row>
    <row r="664" customFormat="false" ht="15" hidden="true" customHeight="true" outlineLevel="0" collapsed="false">
      <c r="A664" s="142" t="str">
        <f aca="false">IF(B664="","","TR"&amp;TEXT(ROW()-1,"000"))</f>
        <v/>
      </c>
      <c r="E664" s="130" t="str">
        <f aca="false">IF($O664="✓","✓",IF(ISNUMBER($O664),TEXT($O664,"yyyy-mm-dd"),IF($A664="","",IF(SUMPRODUCT(('Formation Initiale'!$A$2:$A$999=$A664)*('Formation Initiale'!$R$2:$R$999="Terminé"))&gt;0,"✓",IF(SUMPRODUCT(MAX(('Formation Initiale'!$A$2:$A$999=$A664)*'Formation Initiale'!$G$2:$G$999))&gt;0,TEXT(SUMPRODUCT(MAX(('Formation Initiale'!$A$2:$A$999=$A664)*'Formation Initiale'!$G$2:$G$999)),"yyyy-mm-dd"),"")))))</f>
        <v/>
      </c>
      <c r="F664" s="131" t="str">
        <f aca="false">IF($P664="✓","✓",IF(ISNUMBER($P664),TEXT($P664,"yyyy-mm-dd"),IF($A664="","",IF($D664="Lisbonne","",IF(SUMPRODUCT(('Formation Initiale'!$A$2:$A$999=$A664)*('Formation Initiale'!$R$2:$R$999="Terminé"))&gt;0,"✓",IF(SUMPRODUCT(MAX(('Formation Initiale'!$A$2:$A$999=$A664)*'Formation Initiale'!$G$2:$G$999))&gt;0,TEXT(SUMPRODUCT(MAX(('Formation Initiale'!$A$2:$A$999=$A664)*'Formation Initiale'!$G$2:$G$999)),"yyyy-mm-dd"),""))))))</f>
        <v/>
      </c>
      <c r="G664" s="131" t="str">
        <f aca="false">IF($Q664="✓","✓",IF(ISNUMBER($Q664),TEXT($Q664,"yyyy-mm-dd"),IF($A664="","",IF(SUMPRODUCT(('Agences &amp; Après-vente'!$A$2:$A$1000=$A664)*(('Agences &amp; Après-vente'!$D$2:$D$1000="Agences")+('Agences &amp; Après-vente'!$D$2:$D$1000="Agences et Après-vente"))*('Agences &amp; Après-vente'!$I$2:$I$1000="DONE"))&gt;0,"✓",IF(SUMPRODUCT(MAX(('Agences &amp; Après-vente'!$A$2:$A$1000=$A664)*(('Agences &amp; Après-vente'!$D$2:$D$1000="Agences")+('Agences &amp; Après-vente'!$D$2:$D$1000="Agences et Après-vente"))*'Agences &amp; Après-vente'!$E$2:$E$1000))&gt;0,TEXT(SUMPRODUCT(MAX(('Agences &amp; Après-vente'!$A$2:$A$1000=$A664)*(('Agences &amp; Après-vente'!$D$2:$D$1000="Agences")+('Agences &amp; Après-vente'!$D$2:$D$1000="Agences et Après-vente"))*'Agences &amp; Après-vente'!$E$2:$E$1000)),"yyyy-mm-dd"),"")))))</f>
        <v/>
      </c>
      <c r="H664" s="131" t="str">
        <f aca="false">IF($R664="✓","✓",IF(ISNUMBER($R664),TEXT($R664,"yyyy-mm-dd"),IF($A664="","",IF($D664="Lisbonne","",IF(SUMPRODUCT(('Agences &amp; Après-vente'!$A$2:$A$1000=$A664)*(('Agences &amp; Après-vente'!$D$2:$D$1000="Agences")+('Agences &amp; Après-vente'!$D$2:$D$1000="Agences et Après-vente"))*('Agences &amp; Après-vente'!$I$2:$I$1000="DONE"))&gt;0,"✓",IF(SUMPRODUCT(MAX(('Agences &amp; Après-vente'!$A$2:$A$1000=$A664)*(('Agences &amp; Après-vente'!$D$2:$D$1000="Agences")+('Agences &amp; Après-vente'!$D$2:$D$1000="Agences et Après-vente"))*'Agences &amp; Après-vente'!$E$2:$E$1000))&gt;0,TEXT(SUMPRODUCT(MAX(('Agences &amp; Après-vente'!$A$2:$A$1000=$A664)*(('Agences &amp; Après-vente'!$D$2:$D$1000="Agences")+('Agences &amp; Après-vente'!$D$2:$D$1000="Agences et Après-vente"))*'Agences &amp; Après-vente'!$E$2:$E$1000)),"yyyy-mm-dd"),""))))))</f>
        <v/>
      </c>
      <c r="I664" s="131" t="str">
        <f aca="false">IF($S664="✓","✓",IF(ISNUMBER($S664),TEXT($S664,"yyyy-mm-dd"),IF($A664="","",IF(SUMPRODUCT(('Agences &amp; Après-vente'!$A$2:$A$1000=$A664)*(('Agences &amp; Après-vente'!$D$2:$D$1000="Après-vente")+('Agences &amp; Après-vente'!$D$2:$D$1000="Agences et Après-vente"))*('Agences &amp; Après-vente'!$I$2:$I$1000="DONE"))&gt;0,"✓",IF(SUMPRODUCT(MAX(('Agences &amp; Après-vente'!$A$2:$A$1000=$A664)*(('Agences &amp; Après-vente'!$D$2:$D$1000="Après-vente")+('Agences &amp; Après-vente'!$D$2:$D$1000="Agences et Après-vente"))*'Agences &amp; Après-vente'!$E$2:$E$1000))&gt;0,TEXT(SUMPRODUCT(MAX(('Agences &amp; Après-vente'!$A$2:$A$1000=$A664)*(('Agences &amp; Après-vente'!$D$2:$D$1000="Après-vente")+('Agences &amp; Après-vente'!$D$2:$D$1000="Agences et Après-vente"))*'Agences &amp; Après-vente'!$E$2:$E$1000)),"yyyy-mm-dd"),"")))))</f>
        <v/>
      </c>
      <c r="J664" s="131" t="str">
        <f aca="false">IF($T664="✓","✓",IF(ISNUMBER($T664),TEXT($T664,"yyyy-mm-dd"),IF($A664="","",IF($D664="Lisbonne","",IF(SUMPRODUCT(('Agences &amp; Après-vente'!$A$2:$A$1000=$A664)*(('Agences &amp; Après-vente'!$D$2:$D$1000="Après-vente")+('Agences &amp; Après-vente'!$D$2:$D$1000="Agences et Après-vente"))*('Agences &amp; Après-vente'!$I$2:$I$1000="DONE"))&gt;0,"✓",IF(SUMPRODUCT(MAX(('Agences &amp; Après-vente'!$A$2:$A$1000=$A664)*(('Agences &amp; Après-vente'!$D$2:$D$1000="Après-vente")+('Agences &amp; Après-vente'!$D$2:$D$1000="Agences et Après-vente"))*'Agences &amp; Après-vente'!$E$2:$E$1000))&gt;0,TEXT(SUMPRODUCT(MAX(('Agences &amp; Après-vente'!$A$2:$A$1000=$A664)*(('Agences &amp; Après-vente'!$D$2:$D$1000="Après-vente")+('Agences &amp; Après-vente'!$D$2:$D$1000="Agences et Après-vente"))*'Agences &amp; Après-vente'!$E$2:$E$1000)),"yyyy-mm-dd"),""))))))</f>
        <v/>
      </c>
      <c r="K664" s="131" t="str">
        <f aca="false">IF($U664="✓","✓",IF(ISNUMBER($U664),TEXT($U664,"yyyy-mm-dd"),IF($D664="Lisbonne","",IF($A664="","",IF(SUMPRODUCT((Evermont!$A$2:$A$1000=$A664)*(Evermont!$Q$2:$Q$1000="Terminé"))&gt;0,"✓",IF(SUMPRODUCT(MAX((Evermont!$A$2:$A$1000=$A664)*Evermont!$F$2:$F$1000))&gt;0,TEXT(SUMPRODUCT(MAX((Evermont!$A$2:$A$1000=$A664)*Evermont!$F$2:$F$1000)),"yyyy-mm-dd"),""))))))</f>
        <v/>
      </c>
      <c r="L664" s="131" t="str">
        <f aca="false">IF($A664="","",COUNTIF(E664:K664,"✓"))</f>
        <v/>
      </c>
      <c r="M664" s="131" t="str">
        <f aca="false">IF(B664="","","Active")</f>
        <v/>
      </c>
      <c r="W664" s="120" t="str">
        <f aca="false">IF($A664="","",IF($X664&lt;&gt;"",$X664,IFERROR(INDEX('Formation Initiale'!$B$2:$B$999,MATCH($A664,'Formation Initiale'!$A$2:$A$999,0)),"Général")))</f>
        <v/>
      </c>
    </row>
    <row r="665" customFormat="false" ht="15" hidden="true" customHeight="true" outlineLevel="0" collapsed="false">
      <c r="A665" s="142" t="str">
        <f aca="false">IF(B665="","","TR"&amp;TEXT(ROW()-1,"000"))</f>
        <v/>
      </c>
      <c r="E665" s="130" t="str">
        <f aca="false">IF($O665="✓","✓",IF(ISNUMBER($O665),TEXT($O665,"yyyy-mm-dd"),IF($A665="","",IF(SUMPRODUCT(('Formation Initiale'!$A$2:$A$999=$A665)*('Formation Initiale'!$R$2:$R$999="Terminé"))&gt;0,"✓",IF(SUMPRODUCT(MAX(('Formation Initiale'!$A$2:$A$999=$A665)*'Formation Initiale'!$G$2:$G$999))&gt;0,TEXT(SUMPRODUCT(MAX(('Formation Initiale'!$A$2:$A$999=$A665)*'Formation Initiale'!$G$2:$G$999)),"yyyy-mm-dd"),"")))))</f>
        <v/>
      </c>
      <c r="F665" s="131" t="str">
        <f aca="false">IF($P665="✓","✓",IF(ISNUMBER($P665),TEXT($P665,"yyyy-mm-dd"),IF($A665="","",IF($D665="Lisbonne","",IF(SUMPRODUCT(('Formation Initiale'!$A$2:$A$999=$A665)*('Formation Initiale'!$R$2:$R$999="Terminé"))&gt;0,"✓",IF(SUMPRODUCT(MAX(('Formation Initiale'!$A$2:$A$999=$A665)*'Formation Initiale'!$G$2:$G$999))&gt;0,TEXT(SUMPRODUCT(MAX(('Formation Initiale'!$A$2:$A$999=$A665)*'Formation Initiale'!$G$2:$G$999)),"yyyy-mm-dd"),""))))))</f>
        <v/>
      </c>
      <c r="G665" s="131" t="str">
        <f aca="false">IF($Q665="✓","✓",IF(ISNUMBER($Q665),TEXT($Q665,"yyyy-mm-dd"),IF($A665="","",IF(SUMPRODUCT(('Agences &amp; Après-vente'!$A$2:$A$1000=$A665)*(('Agences &amp; Après-vente'!$D$2:$D$1000="Agences")+('Agences &amp; Après-vente'!$D$2:$D$1000="Agences et Après-vente"))*('Agences &amp; Après-vente'!$I$2:$I$1000="DONE"))&gt;0,"✓",IF(SUMPRODUCT(MAX(('Agences &amp; Après-vente'!$A$2:$A$1000=$A665)*(('Agences &amp; Après-vente'!$D$2:$D$1000="Agences")+('Agences &amp; Après-vente'!$D$2:$D$1000="Agences et Après-vente"))*'Agences &amp; Après-vente'!$E$2:$E$1000))&gt;0,TEXT(SUMPRODUCT(MAX(('Agences &amp; Après-vente'!$A$2:$A$1000=$A665)*(('Agences &amp; Après-vente'!$D$2:$D$1000="Agences")+('Agences &amp; Après-vente'!$D$2:$D$1000="Agences et Après-vente"))*'Agences &amp; Après-vente'!$E$2:$E$1000)),"yyyy-mm-dd"),"")))))</f>
        <v/>
      </c>
      <c r="H665" s="131" t="str">
        <f aca="false">IF($R665="✓","✓",IF(ISNUMBER($R665),TEXT($R665,"yyyy-mm-dd"),IF($A665="","",IF($D665="Lisbonne","",IF(SUMPRODUCT(('Agences &amp; Après-vente'!$A$2:$A$1000=$A665)*(('Agences &amp; Après-vente'!$D$2:$D$1000="Agences")+('Agences &amp; Après-vente'!$D$2:$D$1000="Agences et Après-vente"))*('Agences &amp; Après-vente'!$I$2:$I$1000="DONE"))&gt;0,"✓",IF(SUMPRODUCT(MAX(('Agences &amp; Après-vente'!$A$2:$A$1000=$A665)*(('Agences &amp; Après-vente'!$D$2:$D$1000="Agences")+('Agences &amp; Après-vente'!$D$2:$D$1000="Agences et Après-vente"))*'Agences &amp; Après-vente'!$E$2:$E$1000))&gt;0,TEXT(SUMPRODUCT(MAX(('Agences &amp; Après-vente'!$A$2:$A$1000=$A665)*(('Agences &amp; Après-vente'!$D$2:$D$1000="Agences")+('Agences &amp; Après-vente'!$D$2:$D$1000="Agences et Après-vente"))*'Agences &amp; Après-vente'!$E$2:$E$1000)),"yyyy-mm-dd"),""))))))</f>
        <v/>
      </c>
      <c r="I665" s="131" t="str">
        <f aca="false">IF($S665="✓","✓",IF(ISNUMBER($S665),TEXT($S665,"yyyy-mm-dd"),IF($A665="","",IF(SUMPRODUCT(('Agences &amp; Après-vente'!$A$2:$A$1000=$A665)*(('Agences &amp; Après-vente'!$D$2:$D$1000="Après-vente")+('Agences &amp; Après-vente'!$D$2:$D$1000="Agences et Après-vente"))*('Agences &amp; Après-vente'!$I$2:$I$1000="DONE"))&gt;0,"✓",IF(SUMPRODUCT(MAX(('Agences &amp; Après-vente'!$A$2:$A$1000=$A665)*(('Agences &amp; Après-vente'!$D$2:$D$1000="Après-vente")+('Agences &amp; Après-vente'!$D$2:$D$1000="Agences et Après-vente"))*'Agences &amp; Après-vente'!$E$2:$E$1000))&gt;0,TEXT(SUMPRODUCT(MAX(('Agences &amp; Après-vente'!$A$2:$A$1000=$A665)*(('Agences &amp; Après-vente'!$D$2:$D$1000="Après-vente")+('Agences &amp; Après-vente'!$D$2:$D$1000="Agences et Après-vente"))*'Agences &amp; Après-vente'!$E$2:$E$1000)),"yyyy-mm-dd"),"")))))</f>
        <v/>
      </c>
      <c r="J665" s="131" t="str">
        <f aca="false">IF($T665="✓","✓",IF(ISNUMBER($T665),TEXT($T665,"yyyy-mm-dd"),IF($A665="","",IF($D665="Lisbonne","",IF(SUMPRODUCT(('Agences &amp; Après-vente'!$A$2:$A$1000=$A665)*(('Agences &amp; Après-vente'!$D$2:$D$1000="Après-vente")+('Agences &amp; Après-vente'!$D$2:$D$1000="Agences et Après-vente"))*('Agences &amp; Après-vente'!$I$2:$I$1000="DONE"))&gt;0,"✓",IF(SUMPRODUCT(MAX(('Agences &amp; Après-vente'!$A$2:$A$1000=$A665)*(('Agences &amp; Après-vente'!$D$2:$D$1000="Après-vente")+('Agences &amp; Après-vente'!$D$2:$D$1000="Agences et Après-vente"))*'Agences &amp; Après-vente'!$E$2:$E$1000))&gt;0,TEXT(SUMPRODUCT(MAX(('Agences &amp; Après-vente'!$A$2:$A$1000=$A665)*(('Agences &amp; Après-vente'!$D$2:$D$1000="Après-vente")+('Agences &amp; Après-vente'!$D$2:$D$1000="Agences et Après-vente"))*'Agences &amp; Après-vente'!$E$2:$E$1000)),"yyyy-mm-dd"),""))))))</f>
        <v/>
      </c>
      <c r="K665" s="131" t="str">
        <f aca="false">IF($U665="✓","✓",IF(ISNUMBER($U665),TEXT($U665,"yyyy-mm-dd"),IF($D665="Lisbonne","",IF($A665="","",IF(SUMPRODUCT((Evermont!$A$2:$A$1000=$A665)*(Evermont!$Q$2:$Q$1000="Terminé"))&gt;0,"✓",IF(SUMPRODUCT(MAX((Evermont!$A$2:$A$1000=$A665)*Evermont!$F$2:$F$1000))&gt;0,TEXT(SUMPRODUCT(MAX((Evermont!$A$2:$A$1000=$A665)*Evermont!$F$2:$F$1000)),"yyyy-mm-dd"),""))))))</f>
        <v/>
      </c>
      <c r="L665" s="131" t="str">
        <f aca="false">IF($A665="","",COUNTIF(E665:K665,"✓"))</f>
        <v/>
      </c>
      <c r="M665" s="131" t="str">
        <f aca="false">IF(B665="","","Active")</f>
        <v/>
      </c>
      <c r="W665" s="120" t="str">
        <f aca="false">IF($A665="","",IF($X665&lt;&gt;"",$X665,IFERROR(INDEX('Formation Initiale'!$B$2:$B$999,MATCH($A665,'Formation Initiale'!$A$2:$A$999,0)),"Général")))</f>
        <v/>
      </c>
    </row>
    <row r="666" customFormat="false" ht="15" hidden="true" customHeight="true" outlineLevel="0" collapsed="false">
      <c r="A666" s="142" t="str">
        <f aca="false">IF(B666="","","TR"&amp;TEXT(ROW()-1,"000"))</f>
        <v/>
      </c>
      <c r="E666" s="130" t="str">
        <f aca="false">IF($O666="✓","✓",IF(ISNUMBER($O666),TEXT($O666,"yyyy-mm-dd"),IF($A666="","",IF(SUMPRODUCT(('Formation Initiale'!$A$2:$A$999=$A666)*('Formation Initiale'!$R$2:$R$999="Terminé"))&gt;0,"✓",IF(SUMPRODUCT(MAX(('Formation Initiale'!$A$2:$A$999=$A666)*'Formation Initiale'!$G$2:$G$999))&gt;0,TEXT(SUMPRODUCT(MAX(('Formation Initiale'!$A$2:$A$999=$A666)*'Formation Initiale'!$G$2:$G$999)),"yyyy-mm-dd"),"")))))</f>
        <v/>
      </c>
      <c r="F666" s="131" t="str">
        <f aca="false">IF($P666="✓","✓",IF(ISNUMBER($P666),TEXT($P666,"yyyy-mm-dd"),IF($A666="","",IF($D666="Lisbonne","",IF(SUMPRODUCT(('Formation Initiale'!$A$2:$A$999=$A666)*('Formation Initiale'!$R$2:$R$999="Terminé"))&gt;0,"✓",IF(SUMPRODUCT(MAX(('Formation Initiale'!$A$2:$A$999=$A666)*'Formation Initiale'!$G$2:$G$999))&gt;0,TEXT(SUMPRODUCT(MAX(('Formation Initiale'!$A$2:$A$999=$A666)*'Formation Initiale'!$G$2:$G$999)),"yyyy-mm-dd"),""))))))</f>
        <v/>
      </c>
      <c r="G666" s="131" t="str">
        <f aca="false">IF($Q666="✓","✓",IF(ISNUMBER($Q666),TEXT($Q666,"yyyy-mm-dd"),IF($A666="","",IF(SUMPRODUCT(('Agences &amp; Après-vente'!$A$2:$A$1000=$A666)*(('Agences &amp; Après-vente'!$D$2:$D$1000="Agences")+('Agences &amp; Après-vente'!$D$2:$D$1000="Agences et Après-vente"))*('Agences &amp; Après-vente'!$I$2:$I$1000="DONE"))&gt;0,"✓",IF(SUMPRODUCT(MAX(('Agences &amp; Après-vente'!$A$2:$A$1000=$A666)*(('Agences &amp; Après-vente'!$D$2:$D$1000="Agences")+('Agences &amp; Après-vente'!$D$2:$D$1000="Agences et Après-vente"))*'Agences &amp; Après-vente'!$E$2:$E$1000))&gt;0,TEXT(SUMPRODUCT(MAX(('Agences &amp; Après-vente'!$A$2:$A$1000=$A666)*(('Agences &amp; Après-vente'!$D$2:$D$1000="Agences")+('Agences &amp; Après-vente'!$D$2:$D$1000="Agences et Après-vente"))*'Agences &amp; Après-vente'!$E$2:$E$1000)),"yyyy-mm-dd"),"")))))</f>
        <v/>
      </c>
      <c r="H666" s="131" t="str">
        <f aca="false">IF($R666="✓","✓",IF(ISNUMBER($R666),TEXT($R666,"yyyy-mm-dd"),IF($A666="","",IF($D666="Lisbonne","",IF(SUMPRODUCT(('Agences &amp; Après-vente'!$A$2:$A$1000=$A666)*(('Agences &amp; Après-vente'!$D$2:$D$1000="Agences")+('Agences &amp; Après-vente'!$D$2:$D$1000="Agences et Après-vente"))*('Agences &amp; Après-vente'!$I$2:$I$1000="DONE"))&gt;0,"✓",IF(SUMPRODUCT(MAX(('Agences &amp; Après-vente'!$A$2:$A$1000=$A666)*(('Agences &amp; Après-vente'!$D$2:$D$1000="Agences")+('Agences &amp; Après-vente'!$D$2:$D$1000="Agences et Après-vente"))*'Agences &amp; Après-vente'!$E$2:$E$1000))&gt;0,TEXT(SUMPRODUCT(MAX(('Agences &amp; Après-vente'!$A$2:$A$1000=$A666)*(('Agences &amp; Après-vente'!$D$2:$D$1000="Agences")+('Agences &amp; Après-vente'!$D$2:$D$1000="Agences et Après-vente"))*'Agences &amp; Après-vente'!$E$2:$E$1000)),"yyyy-mm-dd"),""))))))</f>
        <v/>
      </c>
      <c r="I666" s="131" t="str">
        <f aca="false">IF($S666="✓","✓",IF(ISNUMBER($S666),TEXT($S666,"yyyy-mm-dd"),IF($A666="","",IF(SUMPRODUCT(('Agences &amp; Après-vente'!$A$2:$A$1000=$A666)*(('Agences &amp; Après-vente'!$D$2:$D$1000="Après-vente")+('Agences &amp; Après-vente'!$D$2:$D$1000="Agences et Après-vente"))*('Agences &amp; Après-vente'!$I$2:$I$1000="DONE"))&gt;0,"✓",IF(SUMPRODUCT(MAX(('Agences &amp; Après-vente'!$A$2:$A$1000=$A666)*(('Agences &amp; Après-vente'!$D$2:$D$1000="Après-vente")+('Agences &amp; Après-vente'!$D$2:$D$1000="Agences et Après-vente"))*'Agences &amp; Après-vente'!$E$2:$E$1000))&gt;0,TEXT(SUMPRODUCT(MAX(('Agences &amp; Après-vente'!$A$2:$A$1000=$A666)*(('Agences &amp; Après-vente'!$D$2:$D$1000="Après-vente")+('Agences &amp; Après-vente'!$D$2:$D$1000="Agences et Après-vente"))*'Agences &amp; Après-vente'!$E$2:$E$1000)),"yyyy-mm-dd"),"")))))</f>
        <v/>
      </c>
      <c r="J666" s="131" t="str">
        <f aca="false">IF($T666="✓","✓",IF(ISNUMBER($T666),TEXT($T666,"yyyy-mm-dd"),IF($A666="","",IF($D666="Lisbonne","",IF(SUMPRODUCT(('Agences &amp; Après-vente'!$A$2:$A$1000=$A666)*(('Agences &amp; Après-vente'!$D$2:$D$1000="Après-vente")+('Agences &amp; Après-vente'!$D$2:$D$1000="Agences et Après-vente"))*('Agences &amp; Après-vente'!$I$2:$I$1000="DONE"))&gt;0,"✓",IF(SUMPRODUCT(MAX(('Agences &amp; Après-vente'!$A$2:$A$1000=$A666)*(('Agences &amp; Après-vente'!$D$2:$D$1000="Après-vente")+('Agences &amp; Après-vente'!$D$2:$D$1000="Agences et Après-vente"))*'Agences &amp; Après-vente'!$E$2:$E$1000))&gt;0,TEXT(SUMPRODUCT(MAX(('Agences &amp; Après-vente'!$A$2:$A$1000=$A666)*(('Agences &amp; Après-vente'!$D$2:$D$1000="Après-vente")+('Agences &amp; Après-vente'!$D$2:$D$1000="Agences et Après-vente"))*'Agences &amp; Après-vente'!$E$2:$E$1000)),"yyyy-mm-dd"),""))))))</f>
        <v/>
      </c>
      <c r="K666" s="131" t="str">
        <f aca="false">IF($U666="✓","✓",IF(ISNUMBER($U666),TEXT($U666,"yyyy-mm-dd"),IF($D666="Lisbonne","",IF($A666="","",IF(SUMPRODUCT((Evermont!$A$2:$A$1000=$A666)*(Evermont!$Q$2:$Q$1000="Terminé"))&gt;0,"✓",IF(SUMPRODUCT(MAX((Evermont!$A$2:$A$1000=$A666)*Evermont!$F$2:$F$1000))&gt;0,TEXT(SUMPRODUCT(MAX((Evermont!$A$2:$A$1000=$A666)*Evermont!$F$2:$F$1000)),"yyyy-mm-dd"),""))))))</f>
        <v/>
      </c>
      <c r="L666" s="131" t="str">
        <f aca="false">IF($A666="","",COUNTIF(E666:K666,"✓"))</f>
        <v/>
      </c>
      <c r="M666" s="131" t="str">
        <f aca="false">IF(B666="","","Active")</f>
        <v/>
      </c>
      <c r="W666" s="120" t="str">
        <f aca="false">IF($A666="","",IF($X666&lt;&gt;"",$X666,IFERROR(INDEX('Formation Initiale'!$B$2:$B$999,MATCH($A666,'Formation Initiale'!$A$2:$A$999,0)),"Général")))</f>
        <v/>
      </c>
    </row>
    <row r="667" customFormat="false" ht="15" hidden="true" customHeight="true" outlineLevel="0" collapsed="false">
      <c r="A667" s="142" t="str">
        <f aca="false">IF(B667="","","TR"&amp;TEXT(ROW()-1,"000"))</f>
        <v/>
      </c>
      <c r="E667" s="130" t="str">
        <f aca="false">IF($O667="✓","✓",IF(ISNUMBER($O667),TEXT($O667,"yyyy-mm-dd"),IF($A667="","",IF(SUMPRODUCT(('Formation Initiale'!$A$2:$A$999=$A667)*('Formation Initiale'!$R$2:$R$999="Terminé"))&gt;0,"✓",IF(SUMPRODUCT(MAX(('Formation Initiale'!$A$2:$A$999=$A667)*'Formation Initiale'!$G$2:$G$999))&gt;0,TEXT(SUMPRODUCT(MAX(('Formation Initiale'!$A$2:$A$999=$A667)*'Formation Initiale'!$G$2:$G$999)),"yyyy-mm-dd"),"")))))</f>
        <v/>
      </c>
      <c r="F667" s="131" t="str">
        <f aca="false">IF($P667="✓","✓",IF(ISNUMBER($P667),TEXT($P667,"yyyy-mm-dd"),IF($A667="","",IF($D667="Lisbonne","",IF(SUMPRODUCT(('Formation Initiale'!$A$2:$A$999=$A667)*('Formation Initiale'!$R$2:$R$999="Terminé"))&gt;0,"✓",IF(SUMPRODUCT(MAX(('Formation Initiale'!$A$2:$A$999=$A667)*'Formation Initiale'!$G$2:$G$999))&gt;0,TEXT(SUMPRODUCT(MAX(('Formation Initiale'!$A$2:$A$999=$A667)*'Formation Initiale'!$G$2:$G$999)),"yyyy-mm-dd"),""))))))</f>
        <v/>
      </c>
      <c r="G667" s="131" t="str">
        <f aca="false">IF($Q667="✓","✓",IF(ISNUMBER($Q667),TEXT($Q667,"yyyy-mm-dd"),IF($A667="","",IF(SUMPRODUCT(('Agences &amp; Après-vente'!$A$2:$A$1000=$A667)*(('Agences &amp; Après-vente'!$D$2:$D$1000="Agences")+('Agences &amp; Après-vente'!$D$2:$D$1000="Agences et Après-vente"))*('Agences &amp; Après-vente'!$I$2:$I$1000="DONE"))&gt;0,"✓",IF(SUMPRODUCT(MAX(('Agences &amp; Après-vente'!$A$2:$A$1000=$A667)*(('Agences &amp; Après-vente'!$D$2:$D$1000="Agences")+('Agences &amp; Après-vente'!$D$2:$D$1000="Agences et Après-vente"))*'Agences &amp; Après-vente'!$E$2:$E$1000))&gt;0,TEXT(SUMPRODUCT(MAX(('Agences &amp; Après-vente'!$A$2:$A$1000=$A667)*(('Agences &amp; Après-vente'!$D$2:$D$1000="Agences")+('Agences &amp; Après-vente'!$D$2:$D$1000="Agences et Après-vente"))*'Agences &amp; Après-vente'!$E$2:$E$1000)),"yyyy-mm-dd"),"")))))</f>
        <v/>
      </c>
      <c r="H667" s="131" t="str">
        <f aca="false">IF($R667="✓","✓",IF(ISNUMBER($R667),TEXT($R667,"yyyy-mm-dd"),IF($A667="","",IF($D667="Lisbonne","",IF(SUMPRODUCT(('Agences &amp; Après-vente'!$A$2:$A$1000=$A667)*(('Agences &amp; Après-vente'!$D$2:$D$1000="Agences")+('Agences &amp; Après-vente'!$D$2:$D$1000="Agences et Après-vente"))*('Agences &amp; Après-vente'!$I$2:$I$1000="DONE"))&gt;0,"✓",IF(SUMPRODUCT(MAX(('Agences &amp; Après-vente'!$A$2:$A$1000=$A667)*(('Agences &amp; Après-vente'!$D$2:$D$1000="Agences")+('Agences &amp; Après-vente'!$D$2:$D$1000="Agences et Après-vente"))*'Agences &amp; Après-vente'!$E$2:$E$1000))&gt;0,TEXT(SUMPRODUCT(MAX(('Agences &amp; Après-vente'!$A$2:$A$1000=$A667)*(('Agences &amp; Après-vente'!$D$2:$D$1000="Agences")+('Agences &amp; Après-vente'!$D$2:$D$1000="Agences et Après-vente"))*'Agences &amp; Après-vente'!$E$2:$E$1000)),"yyyy-mm-dd"),""))))))</f>
        <v/>
      </c>
      <c r="I667" s="131" t="str">
        <f aca="false">IF($S667="✓","✓",IF(ISNUMBER($S667),TEXT($S667,"yyyy-mm-dd"),IF($A667="","",IF(SUMPRODUCT(('Agences &amp; Après-vente'!$A$2:$A$1000=$A667)*(('Agences &amp; Après-vente'!$D$2:$D$1000="Après-vente")+('Agences &amp; Après-vente'!$D$2:$D$1000="Agences et Après-vente"))*('Agences &amp; Après-vente'!$I$2:$I$1000="DONE"))&gt;0,"✓",IF(SUMPRODUCT(MAX(('Agences &amp; Après-vente'!$A$2:$A$1000=$A667)*(('Agences &amp; Après-vente'!$D$2:$D$1000="Après-vente")+('Agences &amp; Après-vente'!$D$2:$D$1000="Agences et Après-vente"))*'Agences &amp; Après-vente'!$E$2:$E$1000))&gt;0,TEXT(SUMPRODUCT(MAX(('Agences &amp; Après-vente'!$A$2:$A$1000=$A667)*(('Agences &amp; Après-vente'!$D$2:$D$1000="Après-vente")+('Agences &amp; Après-vente'!$D$2:$D$1000="Agences et Après-vente"))*'Agences &amp; Après-vente'!$E$2:$E$1000)),"yyyy-mm-dd"),"")))))</f>
        <v/>
      </c>
      <c r="J667" s="131" t="str">
        <f aca="false">IF($T667="✓","✓",IF(ISNUMBER($T667),TEXT($T667,"yyyy-mm-dd"),IF($A667="","",IF($D667="Lisbonne","",IF(SUMPRODUCT(('Agences &amp; Après-vente'!$A$2:$A$1000=$A667)*(('Agences &amp; Après-vente'!$D$2:$D$1000="Après-vente")+('Agences &amp; Après-vente'!$D$2:$D$1000="Agences et Après-vente"))*('Agences &amp; Après-vente'!$I$2:$I$1000="DONE"))&gt;0,"✓",IF(SUMPRODUCT(MAX(('Agences &amp; Après-vente'!$A$2:$A$1000=$A667)*(('Agences &amp; Après-vente'!$D$2:$D$1000="Après-vente")+('Agences &amp; Après-vente'!$D$2:$D$1000="Agences et Après-vente"))*'Agences &amp; Après-vente'!$E$2:$E$1000))&gt;0,TEXT(SUMPRODUCT(MAX(('Agences &amp; Après-vente'!$A$2:$A$1000=$A667)*(('Agences &amp; Après-vente'!$D$2:$D$1000="Après-vente")+('Agences &amp; Après-vente'!$D$2:$D$1000="Agences et Après-vente"))*'Agences &amp; Après-vente'!$E$2:$E$1000)),"yyyy-mm-dd"),""))))))</f>
        <v/>
      </c>
      <c r="K667" s="131" t="str">
        <f aca="false">IF($U667="✓","✓",IF(ISNUMBER($U667),TEXT($U667,"yyyy-mm-dd"),IF($D667="Lisbonne","",IF($A667="","",IF(SUMPRODUCT((Evermont!$A$2:$A$1000=$A667)*(Evermont!$Q$2:$Q$1000="Terminé"))&gt;0,"✓",IF(SUMPRODUCT(MAX((Evermont!$A$2:$A$1000=$A667)*Evermont!$F$2:$F$1000))&gt;0,TEXT(SUMPRODUCT(MAX((Evermont!$A$2:$A$1000=$A667)*Evermont!$F$2:$F$1000)),"yyyy-mm-dd"),""))))))</f>
        <v/>
      </c>
      <c r="L667" s="131" t="str">
        <f aca="false">IF($A667="","",COUNTIF(E667:K667,"✓"))</f>
        <v/>
      </c>
      <c r="M667" s="131" t="str">
        <f aca="false">IF(B667="","","Active")</f>
        <v/>
      </c>
      <c r="W667" s="120" t="str">
        <f aca="false">IF($A667="","",IF($X667&lt;&gt;"",$X667,IFERROR(INDEX('Formation Initiale'!$B$2:$B$999,MATCH($A667,'Formation Initiale'!$A$2:$A$999,0)),"Général")))</f>
        <v/>
      </c>
    </row>
    <row r="668" customFormat="false" ht="15" hidden="true" customHeight="true" outlineLevel="0" collapsed="false">
      <c r="A668" s="142" t="str">
        <f aca="false">IF(B668="","","TR"&amp;TEXT(ROW()-1,"000"))</f>
        <v/>
      </c>
      <c r="E668" s="130" t="str">
        <f aca="false">IF($O668="✓","✓",IF(ISNUMBER($O668),TEXT($O668,"yyyy-mm-dd"),IF($A668="","",IF(SUMPRODUCT(('Formation Initiale'!$A$2:$A$999=$A668)*('Formation Initiale'!$R$2:$R$999="Terminé"))&gt;0,"✓",IF(SUMPRODUCT(MAX(('Formation Initiale'!$A$2:$A$999=$A668)*'Formation Initiale'!$G$2:$G$999))&gt;0,TEXT(SUMPRODUCT(MAX(('Formation Initiale'!$A$2:$A$999=$A668)*'Formation Initiale'!$G$2:$G$999)),"yyyy-mm-dd"),"")))))</f>
        <v/>
      </c>
      <c r="F668" s="131" t="str">
        <f aca="false">IF($P668="✓","✓",IF(ISNUMBER($P668),TEXT($P668,"yyyy-mm-dd"),IF($A668="","",IF($D668="Lisbonne","",IF(SUMPRODUCT(('Formation Initiale'!$A$2:$A$999=$A668)*('Formation Initiale'!$R$2:$R$999="Terminé"))&gt;0,"✓",IF(SUMPRODUCT(MAX(('Formation Initiale'!$A$2:$A$999=$A668)*'Formation Initiale'!$G$2:$G$999))&gt;0,TEXT(SUMPRODUCT(MAX(('Formation Initiale'!$A$2:$A$999=$A668)*'Formation Initiale'!$G$2:$G$999)),"yyyy-mm-dd"),""))))))</f>
        <v/>
      </c>
      <c r="G668" s="131" t="str">
        <f aca="false">IF($Q668="✓","✓",IF(ISNUMBER($Q668),TEXT($Q668,"yyyy-mm-dd"),IF($A668="","",IF(SUMPRODUCT(('Agences &amp; Après-vente'!$A$2:$A$1000=$A668)*(('Agences &amp; Après-vente'!$D$2:$D$1000="Agences")+('Agences &amp; Après-vente'!$D$2:$D$1000="Agences et Après-vente"))*('Agences &amp; Après-vente'!$I$2:$I$1000="DONE"))&gt;0,"✓",IF(SUMPRODUCT(MAX(('Agences &amp; Après-vente'!$A$2:$A$1000=$A668)*(('Agences &amp; Après-vente'!$D$2:$D$1000="Agences")+('Agences &amp; Après-vente'!$D$2:$D$1000="Agences et Après-vente"))*'Agences &amp; Après-vente'!$E$2:$E$1000))&gt;0,TEXT(SUMPRODUCT(MAX(('Agences &amp; Après-vente'!$A$2:$A$1000=$A668)*(('Agences &amp; Après-vente'!$D$2:$D$1000="Agences")+('Agences &amp; Après-vente'!$D$2:$D$1000="Agences et Après-vente"))*'Agences &amp; Après-vente'!$E$2:$E$1000)),"yyyy-mm-dd"),"")))))</f>
        <v/>
      </c>
      <c r="H668" s="131" t="str">
        <f aca="false">IF($R668="✓","✓",IF(ISNUMBER($R668),TEXT($R668,"yyyy-mm-dd"),IF($A668="","",IF($D668="Lisbonne","",IF(SUMPRODUCT(('Agences &amp; Après-vente'!$A$2:$A$1000=$A668)*(('Agences &amp; Après-vente'!$D$2:$D$1000="Agences")+('Agences &amp; Après-vente'!$D$2:$D$1000="Agences et Après-vente"))*('Agences &amp; Après-vente'!$I$2:$I$1000="DONE"))&gt;0,"✓",IF(SUMPRODUCT(MAX(('Agences &amp; Après-vente'!$A$2:$A$1000=$A668)*(('Agences &amp; Après-vente'!$D$2:$D$1000="Agences")+('Agences &amp; Après-vente'!$D$2:$D$1000="Agences et Après-vente"))*'Agences &amp; Après-vente'!$E$2:$E$1000))&gt;0,TEXT(SUMPRODUCT(MAX(('Agences &amp; Après-vente'!$A$2:$A$1000=$A668)*(('Agences &amp; Après-vente'!$D$2:$D$1000="Agences")+('Agences &amp; Après-vente'!$D$2:$D$1000="Agences et Après-vente"))*'Agences &amp; Après-vente'!$E$2:$E$1000)),"yyyy-mm-dd"),""))))))</f>
        <v/>
      </c>
      <c r="I668" s="131" t="str">
        <f aca="false">IF($S668="✓","✓",IF(ISNUMBER($S668),TEXT($S668,"yyyy-mm-dd"),IF($A668="","",IF(SUMPRODUCT(('Agences &amp; Après-vente'!$A$2:$A$1000=$A668)*(('Agences &amp; Après-vente'!$D$2:$D$1000="Après-vente")+('Agences &amp; Après-vente'!$D$2:$D$1000="Agences et Après-vente"))*('Agences &amp; Après-vente'!$I$2:$I$1000="DONE"))&gt;0,"✓",IF(SUMPRODUCT(MAX(('Agences &amp; Après-vente'!$A$2:$A$1000=$A668)*(('Agences &amp; Après-vente'!$D$2:$D$1000="Après-vente")+('Agences &amp; Après-vente'!$D$2:$D$1000="Agences et Après-vente"))*'Agences &amp; Après-vente'!$E$2:$E$1000))&gt;0,TEXT(SUMPRODUCT(MAX(('Agences &amp; Après-vente'!$A$2:$A$1000=$A668)*(('Agences &amp; Après-vente'!$D$2:$D$1000="Après-vente")+('Agences &amp; Après-vente'!$D$2:$D$1000="Agences et Après-vente"))*'Agences &amp; Après-vente'!$E$2:$E$1000)),"yyyy-mm-dd"),"")))))</f>
        <v/>
      </c>
      <c r="J668" s="131" t="str">
        <f aca="false">IF($T668="✓","✓",IF(ISNUMBER($T668),TEXT($T668,"yyyy-mm-dd"),IF($A668="","",IF($D668="Lisbonne","",IF(SUMPRODUCT(('Agences &amp; Après-vente'!$A$2:$A$1000=$A668)*(('Agences &amp; Après-vente'!$D$2:$D$1000="Après-vente")+('Agences &amp; Après-vente'!$D$2:$D$1000="Agences et Après-vente"))*('Agences &amp; Après-vente'!$I$2:$I$1000="DONE"))&gt;0,"✓",IF(SUMPRODUCT(MAX(('Agences &amp; Après-vente'!$A$2:$A$1000=$A668)*(('Agences &amp; Après-vente'!$D$2:$D$1000="Après-vente")+('Agences &amp; Après-vente'!$D$2:$D$1000="Agences et Après-vente"))*'Agences &amp; Après-vente'!$E$2:$E$1000))&gt;0,TEXT(SUMPRODUCT(MAX(('Agences &amp; Après-vente'!$A$2:$A$1000=$A668)*(('Agences &amp; Après-vente'!$D$2:$D$1000="Après-vente")+('Agences &amp; Après-vente'!$D$2:$D$1000="Agences et Après-vente"))*'Agences &amp; Après-vente'!$E$2:$E$1000)),"yyyy-mm-dd"),""))))))</f>
        <v/>
      </c>
      <c r="K668" s="131" t="str">
        <f aca="false">IF($U668="✓","✓",IF(ISNUMBER($U668),TEXT($U668,"yyyy-mm-dd"),IF($D668="Lisbonne","",IF($A668="","",IF(SUMPRODUCT((Evermont!$A$2:$A$1000=$A668)*(Evermont!$Q$2:$Q$1000="Terminé"))&gt;0,"✓",IF(SUMPRODUCT(MAX((Evermont!$A$2:$A$1000=$A668)*Evermont!$F$2:$F$1000))&gt;0,TEXT(SUMPRODUCT(MAX((Evermont!$A$2:$A$1000=$A668)*Evermont!$F$2:$F$1000)),"yyyy-mm-dd"),""))))))</f>
        <v/>
      </c>
      <c r="L668" s="131" t="str">
        <f aca="false">IF($A668="","",COUNTIF(E668:K668,"✓"))</f>
        <v/>
      </c>
      <c r="M668" s="131" t="str">
        <f aca="false">IF(B668="","","Active")</f>
        <v/>
      </c>
      <c r="W668" s="120" t="str">
        <f aca="false">IF($A668="","",IF($X668&lt;&gt;"",$X668,IFERROR(INDEX('Formation Initiale'!$B$2:$B$999,MATCH($A668,'Formation Initiale'!$A$2:$A$999,0)),"Général")))</f>
        <v/>
      </c>
    </row>
    <row r="669" customFormat="false" ht="15" hidden="true" customHeight="true" outlineLevel="0" collapsed="false">
      <c r="A669" s="142" t="str">
        <f aca="false">IF(B669="","","TR"&amp;TEXT(ROW()-1,"000"))</f>
        <v/>
      </c>
      <c r="E669" s="130" t="str">
        <f aca="false">IF($O669="✓","✓",IF(ISNUMBER($O669),TEXT($O669,"yyyy-mm-dd"),IF($A669="","",IF(SUMPRODUCT(('Formation Initiale'!$A$2:$A$999=$A669)*('Formation Initiale'!$R$2:$R$999="Terminé"))&gt;0,"✓",IF(SUMPRODUCT(MAX(('Formation Initiale'!$A$2:$A$999=$A669)*'Formation Initiale'!$G$2:$G$999))&gt;0,TEXT(SUMPRODUCT(MAX(('Formation Initiale'!$A$2:$A$999=$A669)*'Formation Initiale'!$G$2:$G$999)),"yyyy-mm-dd"),"")))))</f>
        <v/>
      </c>
      <c r="F669" s="131" t="str">
        <f aca="false">IF($P669="✓","✓",IF(ISNUMBER($P669),TEXT($P669,"yyyy-mm-dd"),IF($A669="","",IF($D669="Lisbonne","",IF(SUMPRODUCT(('Formation Initiale'!$A$2:$A$999=$A669)*('Formation Initiale'!$R$2:$R$999="Terminé"))&gt;0,"✓",IF(SUMPRODUCT(MAX(('Formation Initiale'!$A$2:$A$999=$A669)*'Formation Initiale'!$G$2:$G$999))&gt;0,TEXT(SUMPRODUCT(MAX(('Formation Initiale'!$A$2:$A$999=$A669)*'Formation Initiale'!$G$2:$G$999)),"yyyy-mm-dd"),""))))))</f>
        <v/>
      </c>
      <c r="G669" s="131" t="str">
        <f aca="false">IF($Q669="✓","✓",IF(ISNUMBER($Q669),TEXT($Q669,"yyyy-mm-dd"),IF($A669="","",IF(SUMPRODUCT(('Agences &amp; Après-vente'!$A$2:$A$1000=$A669)*(('Agences &amp; Après-vente'!$D$2:$D$1000="Agences")+('Agences &amp; Après-vente'!$D$2:$D$1000="Agences et Après-vente"))*('Agences &amp; Après-vente'!$I$2:$I$1000="DONE"))&gt;0,"✓",IF(SUMPRODUCT(MAX(('Agences &amp; Après-vente'!$A$2:$A$1000=$A669)*(('Agences &amp; Après-vente'!$D$2:$D$1000="Agences")+('Agences &amp; Après-vente'!$D$2:$D$1000="Agences et Après-vente"))*'Agences &amp; Après-vente'!$E$2:$E$1000))&gt;0,TEXT(SUMPRODUCT(MAX(('Agences &amp; Après-vente'!$A$2:$A$1000=$A669)*(('Agences &amp; Après-vente'!$D$2:$D$1000="Agences")+('Agences &amp; Après-vente'!$D$2:$D$1000="Agences et Après-vente"))*'Agences &amp; Après-vente'!$E$2:$E$1000)),"yyyy-mm-dd"),"")))))</f>
        <v/>
      </c>
      <c r="H669" s="131" t="str">
        <f aca="false">IF($R669="✓","✓",IF(ISNUMBER($R669),TEXT($R669,"yyyy-mm-dd"),IF($A669="","",IF($D669="Lisbonne","",IF(SUMPRODUCT(('Agences &amp; Après-vente'!$A$2:$A$1000=$A669)*(('Agences &amp; Après-vente'!$D$2:$D$1000="Agences")+('Agences &amp; Après-vente'!$D$2:$D$1000="Agences et Après-vente"))*('Agences &amp; Après-vente'!$I$2:$I$1000="DONE"))&gt;0,"✓",IF(SUMPRODUCT(MAX(('Agences &amp; Après-vente'!$A$2:$A$1000=$A669)*(('Agences &amp; Après-vente'!$D$2:$D$1000="Agences")+('Agences &amp; Après-vente'!$D$2:$D$1000="Agences et Après-vente"))*'Agences &amp; Après-vente'!$E$2:$E$1000))&gt;0,TEXT(SUMPRODUCT(MAX(('Agences &amp; Après-vente'!$A$2:$A$1000=$A669)*(('Agences &amp; Après-vente'!$D$2:$D$1000="Agences")+('Agences &amp; Après-vente'!$D$2:$D$1000="Agences et Après-vente"))*'Agences &amp; Après-vente'!$E$2:$E$1000)),"yyyy-mm-dd"),""))))))</f>
        <v/>
      </c>
      <c r="I669" s="131" t="str">
        <f aca="false">IF($S669="✓","✓",IF(ISNUMBER($S669),TEXT($S669,"yyyy-mm-dd"),IF($A669="","",IF(SUMPRODUCT(('Agences &amp; Après-vente'!$A$2:$A$1000=$A669)*(('Agences &amp; Après-vente'!$D$2:$D$1000="Après-vente")+('Agences &amp; Après-vente'!$D$2:$D$1000="Agences et Après-vente"))*('Agences &amp; Après-vente'!$I$2:$I$1000="DONE"))&gt;0,"✓",IF(SUMPRODUCT(MAX(('Agences &amp; Après-vente'!$A$2:$A$1000=$A669)*(('Agences &amp; Après-vente'!$D$2:$D$1000="Après-vente")+('Agences &amp; Après-vente'!$D$2:$D$1000="Agences et Après-vente"))*'Agences &amp; Après-vente'!$E$2:$E$1000))&gt;0,TEXT(SUMPRODUCT(MAX(('Agences &amp; Après-vente'!$A$2:$A$1000=$A669)*(('Agences &amp; Après-vente'!$D$2:$D$1000="Après-vente")+('Agences &amp; Après-vente'!$D$2:$D$1000="Agences et Après-vente"))*'Agences &amp; Après-vente'!$E$2:$E$1000)),"yyyy-mm-dd"),"")))))</f>
        <v/>
      </c>
      <c r="J669" s="131" t="str">
        <f aca="false">IF($T669="✓","✓",IF(ISNUMBER($T669),TEXT($T669,"yyyy-mm-dd"),IF($A669="","",IF($D669="Lisbonne","",IF(SUMPRODUCT(('Agences &amp; Après-vente'!$A$2:$A$1000=$A669)*(('Agences &amp; Après-vente'!$D$2:$D$1000="Après-vente")+('Agences &amp; Après-vente'!$D$2:$D$1000="Agences et Après-vente"))*('Agences &amp; Après-vente'!$I$2:$I$1000="DONE"))&gt;0,"✓",IF(SUMPRODUCT(MAX(('Agences &amp; Après-vente'!$A$2:$A$1000=$A669)*(('Agences &amp; Après-vente'!$D$2:$D$1000="Après-vente")+('Agences &amp; Après-vente'!$D$2:$D$1000="Agences et Après-vente"))*'Agences &amp; Après-vente'!$E$2:$E$1000))&gt;0,TEXT(SUMPRODUCT(MAX(('Agences &amp; Après-vente'!$A$2:$A$1000=$A669)*(('Agences &amp; Après-vente'!$D$2:$D$1000="Après-vente")+('Agences &amp; Après-vente'!$D$2:$D$1000="Agences et Après-vente"))*'Agences &amp; Après-vente'!$E$2:$E$1000)),"yyyy-mm-dd"),""))))))</f>
        <v/>
      </c>
      <c r="K669" s="131" t="str">
        <f aca="false">IF($U669="✓","✓",IF(ISNUMBER($U669),TEXT($U669,"yyyy-mm-dd"),IF($D669="Lisbonne","",IF($A669="","",IF(SUMPRODUCT((Evermont!$A$2:$A$1000=$A669)*(Evermont!$Q$2:$Q$1000="Terminé"))&gt;0,"✓",IF(SUMPRODUCT(MAX((Evermont!$A$2:$A$1000=$A669)*Evermont!$F$2:$F$1000))&gt;0,TEXT(SUMPRODUCT(MAX((Evermont!$A$2:$A$1000=$A669)*Evermont!$F$2:$F$1000)),"yyyy-mm-dd"),""))))))</f>
        <v/>
      </c>
      <c r="L669" s="131" t="str">
        <f aca="false">IF($A669="","",COUNTIF(E669:K669,"✓"))</f>
        <v/>
      </c>
      <c r="M669" s="131" t="str">
        <f aca="false">IF(B669="","","Active")</f>
        <v/>
      </c>
      <c r="W669" s="120" t="str">
        <f aca="false">IF($A669="","",IF($X669&lt;&gt;"",$X669,IFERROR(INDEX('Formation Initiale'!$B$2:$B$999,MATCH($A669,'Formation Initiale'!$A$2:$A$999,0)),"Général")))</f>
        <v/>
      </c>
    </row>
    <row r="670" customFormat="false" ht="15" hidden="true" customHeight="true" outlineLevel="0" collapsed="false">
      <c r="A670" s="142" t="str">
        <f aca="false">IF(B670="","","TR"&amp;TEXT(ROW()-1,"000"))</f>
        <v/>
      </c>
      <c r="E670" s="130" t="str">
        <f aca="false">IF($O670="✓","✓",IF(ISNUMBER($O670),TEXT($O670,"yyyy-mm-dd"),IF($A670="","",IF(SUMPRODUCT(('Formation Initiale'!$A$2:$A$999=$A670)*('Formation Initiale'!$R$2:$R$999="Terminé"))&gt;0,"✓",IF(SUMPRODUCT(MAX(('Formation Initiale'!$A$2:$A$999=$A670)*'Formation Initiale'!$G$2:$G$999))&gt;0,TEXT(SUMPRODUCT(MAX(('Formation Initiale'!$A$2:$A$999=$A670)*'Formation Initiale'!$G$2:$G$999)),"yyyy-mm-dd"),"")))))</f>
        <v/>
      </c>
      <c r="F670" s="131" t="str">
        <f aca="false">IF($P670="✓","✓",IF(ISNUMBER($P670),TEXT($P670,"yyyy-mm-dd"),IF($A670="","",IF($D670="Lisbonne","",IF(SUMPRODUCT(('Formation Initiale'!$A$2:$A$999=$A670)*('Formation Initiale'!$R$2:$R$999="Terminé"))&gt;0,"✓",IF(SUMPRODUCT(MAX(('Formation Initiale'!$A$2:$A$999=$A670)*'Formation Initiale'!$G$2:$G$999))&gt;0,TEXT(SUMPRODUCT(MAX(('Formation Initiale'!$A$2:$A$999=$A670)*'Formation Initiale'!$G$2:$G$999)),"yyyy-mm-dd"),""))))))</f>
        <v/>
      </c>
      <c r="G670" s="131" t="str">
        <f aca="false">IF($Q670="✓","✓",IF(ISNUMBER($Q670),TEXT($Q670,"yyyy-mm-dd"),IF($A670="","",IF(SUMPRODUCT(('Agences &amp; Après-vente'!$A$2:$A$1000=$A670)*(('Agences &amp; Après-vente'!$D$2:$D$1000="Agences")+('Agences &amp; Après-vente'!$D$2:$D$1000="Agences et Après-vente"))*('Agences &amp; Après-vente'!$I$2:$I$1000="DONE"))&gt;0,"✓",IF(SUMPRODUCT(MAX(('Agences &amp; Après-vente'!$A$2:$A$1000=$A670)*(('Agences &amp; Après-vente'!$D$2:$D$1000="Agences")+('Agences &amp; Après-vente'!$D$2:$D$1000="Agences et Après-vente"))*'Agences &amp; Après-vente'!$E$2:$E$1000))&gt;0,TEXT(SUMPRODUCT(MAX(('Agences &amp; Après-vente'!$A$2:$A$1000=$A670)*(('Agences &amp; Après-vente'!$D$2:$D$1000="Agences")+('Agences &amp; Après-vente'!$D$2:$D$1000="Agences et Après-vente"))*'Agences &amp; Après-vente'!$E$2:$E$1000)),"yyyy-mm-dd"),"")))))</f>
        <v/>
      </c>
      <c r="H670" s="131" t="str">
        <f aca="false">IF($R670="✓","✓",IF(ISNUMBER($R670),TEXT($R670,"yyyy-mm-dd"),IF($A670="","",IF($D670="Lisbonne","",IF(SUMPRODUCT(('Agences &amp; Après-vente'!$A$2:$A$1000=$A670)*(('Agences &amp; Après-vente'!$D$2:$D$1000="Agences")+('Agences &amp; Après-vente'!$D$2:$D$1000="Agences et Après-vente"))*('Agences &amp; Après-vente'!$I$2:$I$1000="DONE"))&gt;0,"✓",IF(SUMPRODUCT(MAX(('Agences &amp; Après-vente'!$A$2:$A$1000=$A670)*(('Agences &amp; Après-vente'!$D$2:$D$1000="Agences")+('Agences &amp; Après-vente'!$D$2:$D$1000="Agences et Après-vente"))*'Agences &amp; Après-vente'!$E$2:$E$1000))&gt;0,TEXT(SUMPRODUCT(MAX(('Agences &amp; Après-vente'!$A$2:$A$1000=$A670)*(('Agences &amp; Après-vente'!$D$2:$D$1000="Agences")+('Agences &amp; Après-vente'!$D$2:$D$1000="Agences et Après-vente"))*'Agences &amp; Après-vente'!$E$2:$E$1000)),"yyyy-mm-dd"),""))))))</f>
        <v/>
      </c>
      <c r="I670" s="131" t="str">
        <f aca="false">IF($S670="✓","✓",IF(ISNUMBER($S670),TEXT($S670,"yyyy-mm-dd"),IF($A670="","",IF(SUMPRODUCT(('Agences &amp; Après-vente'!$A$2:$A$1000=$A670)*(('Agences &amp; Après-vente'!$D$2:$D$1000="Après-vente")+('Agences &amp; Après-vente'!$D$2:$D$1000="Agences et Après-vente"))*('Agences &amp; Après-vente'!$I$2:$I$1000="DONE"))&gt;0,"✓",IF(SUMPRODUCT(MAX(('Agences &amp; Après-vente'!$A$2:$A$1000=$A670)*(('Agences &amp; Après-vente'!$D$2:$D$1000="Après-vente")+('Agences &amp; Après-vente'!$D$2:$D$1000="Agences et Après-vente"))*'Agences &amp; Après-vente'!$E$2:$E$1000))&gt;0,TEXT(SUMPRODUCT(MAX(('Agences &amp; Après-vente'!$A$2:$A$1000=$A670)*(('Agences &amp; Après-vente'!$D$2:$D$1000="Après-vente")+('Agences &amp; Après-vente'!$D$2:$D$1000="Agences et Après-vente"))*'Agences &amp; Après-vente'!$E$2:$E$1000)),"yyyy-mm-dd"),"")))))</f>
        <v/>
      </c>
      <c r="J670" s="131" t="str">
        <f aca="false">IF($T670="✓","✓",IF(ISNUMBER($T670),TEXT($T670,"yyyy-mm-dd"),IF($A670="","",IF($D670="Lisbonne","",IF(SUMPRODUCT(('Agences &amp; Après-vente'!$A$2:$A$1000=$A670)*(('Agences &amp; Après-vente'!$D$2:$D$1000="Après-vente")+('Agences &amp; Après-vente'!$D$2:$D$1000="Agences et Après-vente"))*('Agences &amp; Après-vente'!$I$2:$I$1000="DONE"))&gt;0,"✓",IF(SUMPRODUCT(MAX(('Agences &amp; Après-vente'!$A$2:$A$1000=$A670)*(('Agences &amp; Après-vente'!$D$2:$D$1000="Après-vente")+('Agences &amp; Après-vente'!$D$2:$D$1000="Agences et Après-vente"))*'Agences &amp; Après-vente'!$E$2:$E$1000))&gt;0,TEXT(SUMPRODUCT(MAX(('Agences &amp; Après-vente'!$A$2:$A$1000=$A670)*(('Agences &amp; Après-vente'!$D$2:$D$1000="Après-vente")+('Agences &amp; Après-vente'!$D$2:$D$1000="Agences et Après-vente"))*'Agences &amp; Après-vente'!$E$2:$E$1000)),"yyyy-mm-dd"),""))))))</f>
        <v/>
      </c>
      <c r="K670" s="131" t="str">
        <f aca="false">IF($U670="✓","✓",IF(ISNUMBER($U670),TEXT($U670,"yyyy-mm-dd"),IF($D670="Lisbonne","",IF($A670="","",IF(SUMPRODUCT((Evermont!$A$2:$A$1000=$A670)*(Evermont!$Q$2:$Q$1000="Terminé"))&gt;0,"✓",IF(SUMPRODUCT(MAX((Evermont!$A$2:$A$1000=$A670)*Evermont!$F$2:$F$1000))&gt;0,TEXT(SUMPRODUCT(MAX((Evermont!$A$2:$A$1000=$A670)*Evermont!$F$2:$F$1000)),"yyyy-mm-dd"),""))))))</f>
        <v/>
      </c>
      <c r="L670" s="131" t="str">
        <f aca="false">IF($A670="","",COUNTIF(E670:K670,"✓"))</f>
        <v/>
      </c>
      <c r="M670" s="131" t="str">
        <f aca="false">IF(B670="","","Active")</f>
        <v/>
      </c>
      <c r="W670" s="120" t="str">
        <f aca="false">IF($A670="","",IF($X670&lt;&gt;"",$X670,IFERROR(INDEX('Formation Initiale'!$B$2:$B$999,MATCH($A670,'Formation Initiale'!$A$2:$A$999,0)),"Général")))</f>
        <v/>
      </c>
    </row>
    <row r="671" customFormat="false" ht="15" hidden="true" customHeight="true" outlineLevel="0" collapsed="false">
      <c r="A671" s="142" t="str">
        <f aca="false">IF(B671="","","TR"&amp;TEXT(ROW()-1,"000"))</f>
        <v/>
      </c>
      <c r="E671" s="130" t="str">
        <f aca="false">IF($O671="✓","✓",IF(ISNUMBER($O671),TEXT($O671,"yyyy-mm-dd"),IF($A671="","",IF(SUMPRODUCT(('Formation Initiale'!$A$2:$A$999=$A671)*('Formation Initiale'!$R$2:$R$999="Terminé"))&gt;0,"✓",IF(SUMPRODUCT(MAX(('Formation Initiale'!$A$2:$A$999=$A671)*'Formation Initiale'!$G$2:$G$999))&gt;0,TEXT(SUMPRODUCT(MAX(('Formation Initiale'!$A$2:$A$999=$A671)*'Formation Initiale'!$G$2:$G$999)),"yyyy-mm-dd"),"")))))</f>
        <v/>
      </c>
      <c r="F671" s="131" t="str">
        <f aca="false">IF($P671="✓","✓",IF(ISNUMBER($P671),TEXT($P671,"yyyy-mm-dd"),IF($A671="","",IF($D671="Lisbonne","",IF(SUMPRODUCT(('Formation Initiale'!$A$2:$A$999=$A671)*('Formation Initiale'!$R$2:$R$999="Terminé"))&gt;0,"✓",IF(SUMPRODUCT(MAX(('Formation Initiale'!$A$2:$A$999=$A671)*'Formation Initiale'!$G$2:$G$999))&gt;0,TEXT(SUMPRODUCT(MAX(('Formation Initiale'!$A$2:$A$999=$A671)*'Formation Initiale'!$G$2:$G$999)),"yyyy-mm-dd"),""))))))</f>
        <v/>
      </c>
      <c r="G671" s="131" t="str">
        <f aca="false">IF($Q671="✓","✓",IF(ISNUMBER($Q671),TEXT($Q671,"yyyy-mm-dd"),IF($A671="","",IF(SUMPRODUCT(('Agences &amp; Après-vente'!$A$2:$A$1000=$A671)*(('Agences &amp; Après-vente'!$D$2:$D$1000="Agences")+('Agences &amp; Après-vente'!$D$2:$D$1000="Agences et Après-vente"))*('Agences &amp; Après-vente'!$I$2:$I$1000="DONE"))&gt;0,"✓",IF(SUMPRODUCT(MAX(('Agences &amp; Après-vente'!$A$2:$A$1000=$A671)*(('Agences &amp; Après-vente'!$D$2:$D$1000="Agences")+('Agences &amp; Après-vente'!$D$2:$D$1000="Agences et Après-vente"))*'Agences &amp; Après-vente'!$E$2:$E$1000))&gt;0,TEXT(SUMPRODUCT(MAX(('Agences &amp; Après-vente'!$A$2:$A$1000=$A671)*(('Agences &amp; Après-vente'!$D$2:$D$1000="Agences")+('Agences &amp; Après-vente'!$D$2:$D$1000="Agences et Après-vente"))*'Agences &amp; Après-vente'!$E$2:$E$1000)),"yyyy-mm-dd"),"")))))</f>
        <v/>
      </c>
      <c r="H671" s="131" t="str">
        <f aca="false">IF($R671="✓","✓",IF(ISNUMBER($R671),TEXT($R671,"yyyy-mm-dd"),IF($A671="","",IF($D671="Lisbonne","",IF(SUMPRODUCT(('Agences &amp; Après-vente'!$A$2:$A$1000=$A671)*(('Agences &amp; Après-vente'!$D$2:$D$1000="Agences")+('Agences &amp; Après-vente'!$D$2:$D$1000="Agences et Après-vente"))*('Agences &amp; Après-vente'!$I$2:$I$1000="DONE"))&gt;0,"✓",IF(SUMPRODUCT(MAX(('Agences &amp; Après-vente'!$A$2:$A$1000=$A671)*(('Agences &amp; Après-vente'!$D$2:$D$1000="Agences")+('Agences &amp; Après-vente'!$D$2:$D$1000="Agences et Après-vente"))*'Agences &amp; Après-vente'!$E$2:$E$1000))&gt;0,TEXT(SUMPRODUCT(MAX(('Agences &amp; Après-vente'!$A$2:$A$1000=$A671)*(('Agences &amp; Après-vente'!$D$2:$D$1000="Agences")+('Agences &amp; Après-vente'!$D$2:$D$1000="Agences et Après-vente"))*'Agences &amp; Après-vente'!$E$2:$E$1000)),"yyyy-mm-dd"),""))))))</f>
        <v/>
      </c>
      <c r="I671" s="131" t="str">
        <f aca="false">IF($S671="✓","✓",IF(ISNUMBER($S671),TEXT($S671,"yyyy-mm-dd"),IF($A671="","",IF(SUMPRODUCT(('Agences &amp; Après-vente'!$A$2:$A$1000=$A671)*(('Agences &amp; Après-vente'!$D$2:$D$1000="Après-vente")+('Agences &amp; Après-vente'!$D$2:$D$1000="Agences et Après-vente"))*('Agences &amp; Après-vente'!$I$2:$I$1000="DONE"))&gt;0,"✓",IF(SUMPRODUCT(MAX(('Agences &amp; Après-vente'!$A$2:$A$1000=$A671)*(('Agences &amp; Après-vente'!$D$2:$D$1000="Après-vente")+('Agences &amp; Après-vente'!$D$2:$D$1000="Agences et Après-vente"))*'Agences &amp; Après-vente'!$E$2:$E$1000))&gt;0,TEXT(SUMPRODUCT(MAX(('Agences &amp; Après-vente'!$A$2:$A$1000=$A671)*(('Agences &amp; Après-vente'!$D$2:$D$1000="Après-vente")+('Agences &amp; Après-vente'!$D$2:$D$1000="Agences et Après-vente"))*'Agences &amp; Après-vente'!$E$2:$E$1000)),"yyyy-mm-dd"),"")))))</f>
        <v/>
      </c>
      <c r="J671" s="131" t="str">
        <f aca="false">IF($T671="✓","✓",IF(ISNUMBER($T671),TEXT($T671,"yyyy-mm-dd"),IF($A671="","",IF($D671="Lisbonne","",IF(SUMPRODUCT(('Agences &amp; Après-vente'!$A$2:$A$1000=$A671)*(('Agences &amp; Après-vente'!$D$2:$D$1000="Après-vente")+('Agences &amp; Après-vente'!$D$2:$D$1000="Agences et Après-vente"))*('Agences &amp; Après-vente'!$I$2:$I$1000="DONE"))&gt;0,"✓",IF(SUMPRODUCT(MAX(('Agences &amp; Après-vente'!$A$2:$A$1000=$A671)*(('Agences &amp; Après-vente'!$D$2:$D$1000="Après-vente")+('Agences &amp; Après-vente'!$D$2:$D$1000="Agences et Après-vente"))*'Agences &amp; Après-vente'!$E$2:$E$1000))&gt;0,TEXT(SUMPRODUCT(MAX(('Agences &amp; Après-vente'!$A$2:$A$1000=$A671)*(('Agences &amp; Après-vente'!$D$2:$D$1000="Après-vente")+('Agences &amp; Après-vente'!$D$2:$D$1000="Agences et Après-vente"))*'Agences &amp; Après-vente'!$E$2:$E$1000)),"yyyy-mm-dd"),""))))))</f>
        <v/>
      </c>
      <c r="K671" s="131" t="str">
        <f aca="false">IF($U671="✓","✓",IF(ISNUMBER($U671),TEXT($U671,"yyyy-mm-dd"),IF($D671="Lisbonne","",IF($A671="","",IF(SUMPRODUCT((Evermont!$A$2:$A$1000=$A671)*(Evermont!$Q$2:$Q$1000="Terminé"))&gt;0,"✓",IF(SUMPRODUCT(MAX((Evermont!$A$2:$A$1000=$A671)*Evermont!$F$2:$F$1000))&gt;0,TEXT(SUMPRODUCT(MAX((Evermont!$A$2:$A$1000=$A671)*Evermont!$F$2:$F$1000)),"yyyy-mm-dd"),""))))))</f>
        <v/>
      </c>
      <c r="L671" s="131" t="str">
        <f aca="false">IF($A671="","",COUNTIF(E671:K671,"✓"))</f>
        <v/>
      </c>
      <c r="M671" s="131" t="str">
        <f aca="false">IF(B671="","","Active")</f>
        <v/>
      </c>
      <c r="W671" s="120" t="str">
        <f aca="false">IF($A671="","",IF($X671&lt;&gt;"",$X671,IFERROR(INDEX('Formation Initiale'!$B$2:$B$999,MATCH($A671,'Formation Initiale'!$A$2:$A$999,0)),"Général")))</f>
        <v/>
      </c>
    </row>
    <row r="672" customFormat="false" ht="15" hidden="true" customHeight="true" outlineLevel="0" collapsed="false">
      <c r="A672" s="142" t="str">
        <f aca="false">IF(B672="","","TR"&amp;TEXT(ROW()-1,"000"))</f>
        <v/>
      </c>
      <c r="E672" s="130" t="str">
        <f aca="false">IF($O672="✓","✓",IF(ISNUMBER($O672),TEXT($O672,"yyyy-mm-dd"),IF($A672="","",IF(SUMPRODUCT(('Formation Initiale'!$A$2:$A$999=$A672)*('Formation Initiale'!$R$2:$R$999="Terminé"))&gt;0,"✓",IF(SUMPRODUCT(MAX(('Formation Initiale'!$A$2:$A$999=$A672)*'Formation Initiale'!$G$2:$G$999))&gt;0,TEXT(SUMPRODUCT(MAX(('Formation Initiale'!$A$2:$A$999=$A672)*'Formation Initiale'!$G$2:$G$999)),"yyyy-mm-dd"),"")))))</f>
        <v/>
      </c>
      <c r="F672" s="131" t="str">
        <f aca="false">IF($P672="✓","✓",IF(ISNUMBER($P672),TEXT($P672,"yyyy-mm-dd"),IF($A672="","",IF($D672="Lisbonne","",IF(SUMPRODUCT(('Formation Initiale'!$A$2:$A$999=$A672)*('Formation Initiale'!$R$2:$R$999="Terminé"))&gt;0,"✓",IF(SUMPRODUCT(MAX(('Formation Initiale'!$A$2:$A$999=$A672)*'Formation Initiale'!$G$2:$G$999))&gt;0,TEXT(SUMPRODUCT(MAX(('Formation Initiale'!$A$2:$A$999=$A672)*'Formation Initiale'!$G$2:$G$999)),"yyyy-mm-dd"),""))))))</f>
        <v/>
      </c>
      <c r="G672" s="131" t="str">
        <f aca="false">IF($Q672="✓","✓",IF(ISNUMBER($Q672),TEXT($Q672,"yyyy-mm-dd"),IF($A672="","",IF(SUMPRODUCT(('Agences &amp; Après-vente'!$A$2:$A$1000=$A672)*(('Agences &amp; Après-vente'!$D$2:$D$1000="Agences")+('Agences &amp; Après-vente'!$D$2:$D$1000="Agences et Après-vente"))*('Agences &amp; Après-vente'!$I$2:$I$1000="DONE"))&gt;0,"✓",IF(SUMPRODUCT(MAX(('Agences &amp; Après-vente'!$A$2:$A$1000=$A672)*(('Agences &amp; Après-vente'!$D$2:$D$1000="Agences")+('Agences &amp; Après-vente'!$D$2:$D$1000="Agences et Après-vente"))*'Agences &amp; Après-vente'!$E$2:$E$1000))&gt;0,TEXT(SUMPRODUCT(MAX(('Agences &amp; Après-vente'!$A$2:$A$1000=$A672)*(('Agences &amp; Après-vente'!$D$2:$D$1000="Agences")+('Agences &amp; Après-vente'!$D$2:$D$1000="Agences et Après-vente"))*'Agences &amp; Après-vente'!$E$2:$E$1000)),"yyyy-mm-dd"),"")))))</f>
        <v/>
      </c>
      <c r="H672" s="131" t="str">
        <f aca="false">IF($R672="✓","✓",IF(ISNUMBER($R672),TEXT($R672,"yyyy-mm-dd"),IF($A672="","",IF($D672="Lisbonne","",IF(SUMPRODUCT(('Agences &amp; Après-vente'!$A$2:$A$1000=$A672)*(('Agences &amp; Après-vente'!$D$2:$D$1000="Agences")+('Agences &amp; Après-vente'!$D$2:$D$1000="Agences et Après-vente"))*('Agences &amp; Après-vente'!$I$2:$I$1000="DONE"))&gt;0,"✓",IF(SUMPRODUCT(MAX(('Agences &amp; Après-vente'!$A$2:$A$1000=$A672)*(('Agences &amp; Après-vente'!$D$2:$D$1000="Agences")+('Agences &amp; Après-vente'!$D$2:$D$1000="Agences et Après-vente"))*'Agences &amp; Après-vente'!$E$2:$E$1000))&gt;0,TEXT(SUMPRODUCT(MAX(('Agences &amp; Après-vente'!$A$2:$A$1000=$A672)*(('Agences &amp; Après-vente'!$D$2:$D$1000="Agences")+('Agences &amp; Après-vente'!$D$2:$D$1000="Agences et Après-vente"))*'Agences &amp; Après-vente'!$E$2:$E$1000)),"yyyy-mm-dd"),""))))))</f>
        <v/>
      </c>
      <c r="I672" s="131" t="str">
        <f aca="false">IF($S672="✓","✓",IF(ISNUMBER($S672),TEXT($S672,"yyyy-mm-dd"),IF($A672="","",IF(SUMPRODUCT(('Agences &amp; Après-vente'!$A$2:$A$1000=$A672)*(('Agences &amp; Après-vente'!$D$2:$D$1000="Après-vente")+('Agences &amp; Après-vente'!$D$2:$D$1000="Agences et Après-vente"))*('Agences &amp; Après-vente'!$I$2:$I$1000="DONE"))&gt;0,"✓",IF(SUMPRODUCT(MAX(('Agences &amp; Après-vente'!$A$2:$A$1000=$A672)*(('Agences &amp; Après-vente'!$D$2:$D$1000="Après-vente")+('Agences &amp; Après-vente'!$D$2:$D$1000="Agences et Après-vente"))*'Agences &amp; Après-vente'!$E$2:$E$1000))&gt;0,TEXT(SUMPRODUCT(MAX(('Agences &amp; Après-vente'!$A$2:$A$1000=$A672)*(('Agences &amp; Après-vente'!$D$2:$D$1000="Après-vente")+('Agences &amp; Après-vente'!$D$2:$D$1000="Agences et Après-vente"))*'Agences &amp; Après-vente'!$E$2:$E$1000)),"yyyy-mm-dd"),"")))))</f>
        <v/>
      </c>
      <c r="J672" s="131" t="str">
        <f aca="false">IF($T672="✓","✓",IF(ISNUMBER($T672),TEXT($T672,"yyyy-mm-dd"),IF($A672="","",IF($D672="Lisbonne","",IF(SUMPRODUCT(('Agences &amp; Après-vente'!$A$2:$A$1000=$A672)*(('Agences &amp; Après-vente'!$D$2:$D$1000="Après-vente")+('Agences &amp; Après-vente'!$D$2:$D$1000="Agences et Après-vente"))*('Agences &amp; Après-vente'!$I$2:$I$1000="DONE"))&gt;0,"✓",IF(SUMPRODUCT(MAX(('Agences &amp; Après-vente'!$A$2:$A$1000=$A672)*(('Agences &amp; Après-vente'!$D$2:$D$1000="Après-vente")+('Agences &amp; Après-vente'!$D$2:$D$1000="Agences et Après-vente"))*'Agences &amp; Après-vente'!$E$2:$E$1000))&gt;0,TEXT(SUMPRODUCT(MAX(('Agences &amp; Après-vente'!$A$2:$A$1000=$A672)*(('Agences &amp; Après-vente'!$D$2:$D$1000="Après-vente")+('Agences &amp; Après-vente'!$D$2:$D$1000="Agences et Après-vente"))*'Agences &amp; Après-vente'!$E$2:$E$1000)),"yyyy-mm-dd"),""))))))</f>
        <v/>
      </c>
      <c r="K672" s="131" t="str">
        <f aca="false">IF($U672="✓","✓",IF(ISNUMBER($U672),TEXT($U672,"yyyy-mm-dd"),IF($D672="Lisbonne","",IF($A672="","",IF(SUMPRODUCT((Evermont!$A$2:$A$1000=$A672)*(Evermont!$Q$2:$Q$1000="Terminé"))&gt;0,"✓",IF(SUMPRODUCT(MAX((Evermont!$A$2:$A$1000=$A672)*Evermont!$F$2:$F$1000))&gt;0,TEXT(SUMPRODUCT(MAX((Evermont!$A$2:$A$1000=$A672)*Evermont!$F$2:$F$1000)),"yyyy-mm-dd"),""))))))</f>
        <v/>
      </c>
      <c r="L672" s="131" t="str">
        <f aca="false">IF($A672="","",COUNTIF(E672:K672,"✓"))</f>
        <v/>
      </c>
      <c r="M672" s="131" t="str">
        <f aca="false">IF(B672="","","Active")</f>
        <v/>
      </c>
      <c r="W672" s="120" t="str">
        <f aca="false">IF($A672="","",IF($X672&lt;&gt;"",$X672,IFERROR(INDEX('Formation Initiale'!$B$2:$B$999,MATCH($A672,'Formation Initiale'!$A$2:$A$999,0)),"Général")))</f>
        <v/>
      </c>
    </row>
    <row r="673" customFormat="false" ht="15" hidden="true" customHeight="true" outlineLevel="0" collapsed="false">
      <c r="A673" s="142" t="str">
        <f aca="false">IF(B673="","","TR"&amp;TEXT(ROW()-1,"000"))</f>
        <v/>
      </c>
      <c r="E673" s="130" t="str">
        <f aca="false">IF($O673="✓","✓",IF(ISNUMBER($O673),TEXT($O673,"yyyy-mm-dd"),IF($A673="","",IF(SUMPRODUCT(('Formation Initiale'!$A$2:$A$999=$A673)*('Formation Initiale'!$R$2:$R$999="Terminé"))&gt;0,"✓",IF(SUMPRODUCT(MAX(('Formation Initiale'!$A$2:$A$999=$A673)*'Formation Initiale'!$G$2:$G$999))&gt;0,TEXT(SUMPRODUCT(MAX(('Formation Initiale'!$A$2:$A$999=$A673)*'Formation Initiale'!$G$2:$G$999)),"yyyy-mm-dd"),"")))))</f>
        <v/>
      </c>
      <c r="F673" s="131" t="str">
        <f aca="false">IF($P673="✓","✓",IF(ISNUMBER($P673),TEXT($P673,"yyyy-mm-dd"),IF($A673="","",IF($D673="Lisbonne","",IF(SUMPRODUCT(('Formation Initiale'!$A$2:$A$999=$A673)*('Formation Initiale'!$R$2:$R$999="Terminé"))&gt;0,"✓",IF(SUMPRODUCT(MAX(('Formation Initiale'!$A$2:$A$999=$A673)*'Formation Initiale'!$G$2:$G$999))&gt;0,TEXT(SUMPRODUCT(MAX(('Formation Initiale'!$A$2:$A$999=$A673)*'Formation Initiale'!$G$2:$G$999)),"yyyy-mm-dd"),""))))))</f>
        <v/>
      </c>
      <c r="G673" s="131" t="str">
        <f aca="false">IF($Q673="✓","✓",IF(ISNUMBER($Q673),TEXT($Q673,"yyyy-mm-dd"),IF($A673="","",IF(SUMPRODUCT(('Agences &amp; Après-vente'!$A$2:$A$1000=$A673)*(('Agences &amp; Après-vente'!$D$2:$D$1000="Agences")+('Agences &amp; Après-vente'!$D$2:$D$1000="Agences et Après-vente"))*('Agences &amp; Après-vente'!$I$2:$I$1000="DONE"))&gt;0,"✓",IF(SUMPRODUCT(MAX(('Agences &amp; Après-vente'!$A$2:$A$1000=$A673)*(('Agences &amp; Après-vente'!$D$2:$D$1000="Agences")+('Agences &amp; Après-vente'!$D$2:$D$1000="Agences et Après-vente"))*'Agences &amp; Après-vente'!$E$2:$E$1000))&gt;0,TEXT(SUMPRODUCT(MAX(('Agences &amp; Après-vente'!$A$2:$A$1000=$A673)*(('Agences &amp; Après-vente'!$D$2:$D$1000="Agences")+('Agences &amp; Après-vente'!$D$2:$D$1000="Agences et Après-vente"))*'Agences &amp; Après-vente'!$E$2:$E$1000)),"yyyy-mm-dd"),"")))))</f>
        <v/>
      </c>
      <c r="H673" s="131" t="str">
        <f aca="false">IF($R673="✓","✓",IF(ISNUMBER($R673),TEXT($R673,"yyyy-mm-dd"),IF($A673="","",IF($D673="Lisbonne","",IF(SUMPRODUCT(('Agences &amp; Après-vente'!$A$2:$A$1000=$A673)*(('Agences &amp; Après-vente'!$D$2:$D$1000="Agences")+('Agences &amp; Après-vente'!$D$2:$D$1000="Agences et Après-vente"))*('Agences &amp; Après-vente'!$I$2:$I$1000="DONE"))&gt;0,"✓",IF(SUMPRODUCT(MAX(('Agences &amp; Après-vente'!$A$2:$A$1000=$A673)*(('Agences &amp; Après-vente'!$D$2:$D$1000="Agences")+('Agences &amp; Après-vente'!$D$2:$D$1000="Agences et Après-vente"))*'Agences &amp; Après-vente'!$E$2:$E$1000))&gt;0,TEXT(SUMPRODUCT(MAX(('Agences &amp; Après-vente'!$A$2:$A$1000=$A673)*(('Agences &amp; Après-vente'!$D$2:$D$1000="Agences")+('Agences &amp; Après-vente'!$D$2:$D$1000="Agences et Après-vente"))*'Agences &amp; Après-vente'!$E$2:$E$1000)),"yyyy-mm-dd"),""))))))</f>
        <v/>
      </c>
      <c r="I673" s="131" t="str">
        <f aca="false">IF($S673="✓","✓",IF(ISNUMBER($S673),TEXT($S673,"yyyy-mm-dd"),IF($A673="","",IF(SUMPRODUCT(('Agences &amp; Après-vente'!$A$2:$A$1000=$A673)*(('Agences &amp; Après-vente'!$D$2:$D$1000="Après-vente")+('Agences &amp; Après-vente'!$D$2:$D$1000="Agences et Après-vente"))*('Agences &amp; Après-vente'!$I$2:$I$1000="DONE"))&gt;0,"✓",IF(SUMPRODUCT(MAX(('Agences &amp; Après-vente'!$A$2:$A$1000=$A673)*(('Agences &amp; Après-vente'!$D$2:$D$1000="Après-vente")+('Agences &amp; Après-vente'!$D$2:$D$1000="Agences et Après-vente"))*'Agences &amp; Après-vente'!$E$2:$E$1000))&gt;0,TEXT(SUMPRODUCT(MAX(('Agences &amp; Après-vente'!$A$2:$A$1000=$A673)*(('Agences &amp; Après-vente'!$D$2:$D$1000="Après-vente")+('Agences &amp; Après-vente'!$D$2:$D$1000="Agences et Après-vente"))*'Agences &amp; Après-vente'!$E$2:$E$1000)),"yyyy-mm-dd"),"")))))</f>
        <v/>
      </c>
      <c r="J673" s="131" t="str">
        <f aca="false">IF($T673="✓","✓",IF(ISNUMBER($T673),TEXT($T673,"yyyy-mm-dd"),IF($A673="","",IF($D673="Lisbonne","",IF(SUMPRODUCT(('Agences &amp; Après-vente'!$A$2:$A$1000=$A673)*(('Agences &amp; Après-vente'!$D$2:$D$1000="Après-vente")+('Agences &amp; Après-vente'!$D$2:$D$1000="Agences et Après-vente"))*('Agences &amp; Après-vente'!$I$2:$I$1000="DONE"))&gt;0,"✓",IF(SUMPRODUCT(MAX(('Agences &amp; Après-vente'!$A$2:$A$1000=$A673)*(('Agences &amp; Après-vente'!$D$2:$D$1000="Après-vente")+('Agences &amp; Après-vente'!$D$2:$D$1000="Agences et Après-vente"))*'Agences &amp; Après-vente'!$E$2:$E$1000))&gt;0,TEXT(SUMPRODUCT(MAX(('Agences &amp; Après-vente'!$A$2:$A$1000=$A673)*(('Agences &amp; Après-vente'!$D$2:$D$1000="Après-vente")+('Agences &amp; Après-vente'!$D$2:$D$1000="Agences et Après-vente"))*'Agences &amp; Après-vente'!$E$2:$E$1000)),"yyyy-mm-dd"),""))))))</f>
        <v/>
      </c>
      <c r="K673" s="131" t="str">
        <f aca="false">IF($U673="✓","✓",IF(ISNUMBER($U673),TEXT($U673,"yyyy-mm-dd"),IF($D673="Lisbonne","",IF($A673="","",IF(SUMPRODUCT((Evermont!$A$2:$A$1000=$A673)*(Evermont!$Q$2:$Q$1000="Terminé"))&gt;0,"✓",IF(SUMPRODUCT(MAX((Evermont!$A$2:$A$1000=$A673)*Evermont!$F$2:$F$1000))&gt;0,TEXT(SUMPRODUCT(MAX((Evermont!$A$2:$A$1000=$A673)*Evermont!$F$2:$F$1000)),"yyyy-mm-dd"),""))))))</f>
        <v/>
      </c>
      <c r="L673" s="131" t="str">
        <f aca="false">IF($A673="","",COUNTIF(E673:K673,"✓"))</f>
        <v/>
      </c>
      <c r="M673" s="131" t="str">
        <f aca="false">IF(B673="","","Active")</f>
        <v/>
      </c>
      <c r="W673" s="120" t="str">
        <f aca="false">IF($A673="","",IF($X673&lt;&gt;"",$X673,IFERROR(INDEX('Formation Initiale'!$B$2:$B$999,MATCH($A673,'Formation Initiale'!$A$2:$A$999,0)),"Général")))</f>
        <v/>
      </c>
    </row>
    <row r="674" customFormat="false" ht="15" hidden="true" customHeight="true" outlineLevel="0" collapsed="false">
      <c r="A674" s="142" t="str">
        <f aca="false">IF(B674="","","TR"&amp;TEXT(ROW()-1,"000"))</f>
        <v/>
      </c>
      <c r="E674" s="130" t="str">
        <f aca="false">IF($O674="✓","✓",IF(ISNUMBER($O674),TEXT($O674,"yyyy-mm-dd"),IF($A674="","",IF(SUMPRODUCT(('Formation Initiale'!$A$2:$A$999=$A674)*('Formation Initiale'!$R$2:$R$999="Terminé"))&gt;0,"✓",IF(SUMPRODUCT(MAX(('Formation Initiale'!$A$2:$A$999=$A674)*'Formation Initiale'!$G$2:$G$999))&gt;0,TEXT(SUMPRODUCT(MAX(('Formation Initiale'!$A$2:$A$999=$A674)*'Formation Initiale'!$G$2:$G$999)),"yyyy-mm-dd"),"")))))</f>
        <v/>
      </c>
      <c r="F674" s="131" t="str">
        <f aca="false">IF($P674="✓","✓",IF(ISNUMBER($P674),TEXT($P674,"yyyy-mm-dd"),IF($A674="","",IF($D674="Lisbonne","",IF(SUMPRODUCT(('Formation Initiale'!$A$2:$A$999=$A674)*('Formation Initiale'!$R$2:$R$999="Terminé"))&gt;0,"✓",IF(SUMPRODUCT(MAX(('Formation Initiale'!$A$2:$A$999=$A674)*'Formation Initiale'!$G$2:$G$999))&gt;0,TEXT(SUMPRODUCT(MAX(('Formation Initiale'!$A$2:$A$999=$A674)*'Formation Initiale'!$G$2:$G$999)),"yyyy-mm-dd"),""))))))</f>
        <v/>
      </c>
      <c r="G674" s="131" t="str">
        <f aca="false">IF($Q674="✓","✓",IF(ISNUMBER($Q674),TEXT($Q674,"yyyy-mm-dd"),IF($A674="","",IF(SUMPRODUCT(('Agences &amp; Après-vente'!$A$2:$A$1000=$A674)*(('Agences &amp; Après-vente'!$D$2:$D$1000="Agences")+('Agences &amp; Après-vente'!$D$2:$D$1000="Agences et Après-vente"))*('Agences &amp; Après-vente'!$I$2:$I$1000="DONE"))&gt;0,"✓",IF(SUMPRODUCT(MAX(('Agences &amp; Après-vente'!$A$2:$A$1000=$A674)*(('Agences &amp; Après-vente'!$D$2:$D$1000="Agences")+('Agences &amp; Après-vente'!$D$2:$D$1000="Agences et Après-vente"))*'Agences &amp; Après-vente'!$E$2:$E$1000))&gt;0,TEXT(SUMPRODUCT(MAX(('Agences &amp; Après-vente'!$A$2:$A$1000=$A674)*(('Agences &amp; Après-vente'!$D$2:$D$1000="Agences")+('Agences &amp; Après-vente'!$D$2:$D$1000="Agences et Après-vente"))*'Agences &amp; Après-vente'!$E$2:$E$1000)),"yyyy-mm-dd"),"")))))</f>
        <v/>
      </c>
      <c r="H674" s="131" t="str">
        <f aca="false">IF($R674="✓","✓",IF(ISNUMBER($R674),TEXT($R674,"yyyy-mm-dd"),IF($A674="","",IF($D674="Lisbonne","",IF(SUMPRODUCT(('Agences &amp; Après-vente'!$A$2:$A$1000=$A674)*(('Agences &amp; Après-vente'!$D$2:$D$1000="Agences")+('Agences &amp; Après-vente'!$D$2:$D$1000="Agences et Après-vente"))*('Agences &amp; Après-vente'!$I$2:$I$1000="DONE"))&gt;0,"✓",IF(SUMPRODUCT(MAX(('Agences &amp; Après-vente'!$A$2:$A$1000=$A674)*(('Agences &amp; Après-vente'!$D$2:$D$1000="Agences")+('Agences &amp; Après-vente'!$D$2:$D$1000="Agences et Après-vente"))*'Agences &amp; Après-vente'!$E$2:$E$1000))&gt;0,TEXT(SUMPRODUCT(MAX(('Agences &amp; Après-vente'!$A$2:$A$1000=$A674)*(('Agences &amp; Après-vente'!$D$2:$D$1000="Agences")+('Agences &amp; Après-vente'!$D$2:$D$1000="Agences et Après-vente"))*'Agences &amp; Après-vente'!$E$2:$E$1000)),"yyyy-mm-dd"),""))))))</f>
        <v/>
      </c>
      <c r="I674" s="131" t="str">
        <f aca="false">IF($S674="✓","✓",IF(ISNUMBER($S674),TEXT($S674,"yyyy-mm-dd"),IF($A674="","",IF(SUMPRODUCT(('Agences &amp; Après-vente'!$A$2:$A$1000=$A674)*(('Agences &amp; Après-vente'!$D$2:$D$1000="Après-vente")+('Agences &amp; Après-vente'!$D$2:$D$1000="Agences et Après-vente"))*('Agences &amp; Après-vente'!$I$2:$I$1000="DONE"))&gt;0,"✓",IF(SUMPRODUCT(MAX(('Agences &amp; Après-vente'!$A$2:$A$1000=$A674)*(('Agences &amp; Après-vente'!$D$2:$D$1000="Après-vente")+('Agences &amp; Après-vente'!$D$2:$D$1000="Agences et Après-vente"))*'Agences &amp; Après-vente'!$E$2:$E$1000))&gt;0,TEXT(SUMPRODUCT(MAX(('Agences &amp; Après-vente'!$A$2:$A$1000=$A674)*(('Agences &amp; Après-vente'!$D$2:$D$1000="Après-vente")+('Agences &amp; Après-vente'!$D$2:$D$1000="Agences et Après-vente"))*'Agences &amp; Après-vente'!$E$2:$E$1000)),"yyyy-mm-dd"),"")))))</f>
        <v/>
      </c>
      <c r="J674" s="131" t="str">
        <f aca="false">IF($T674="✓","✓",IF(ISNUMBER($T674),TEXT($T674,"yyyy-mm-dd"),IF($A674="","",IF($D674="Lisbonne","",IF(SUMPRODUCT(('Agences &amp; Après-vente'!$A$2:$A$1000=$A674)*(('Agences &amp; Après-vente'!$D$2:$D$1000="Après-vente")+('Agences &amp; Après-vente'!$D$2:$D$1000="Agences et Après-vente"))*('Agences &amp; Après-vente'!$I$2:$I$1000="DONE"))&gt;0,"✓",IF(SUMPRODUCT(MAX(('Agences &amp; Après-vente'!$A$2:$A$1000=$A674)*(('Agences &amp; Après-vente'!$D$2:$D$1000="Après-vente")+('Agences &amp; Après-vente'!$D$2:$D$1000="Agences et Après-vente"))*'Agences &amp; Après-vente'!$E$2:$E$1000))&gt;0,TEXT(SUMPRODUCT(MAX(('Agences &amp; Après-vente'!$A$2:$A$1000=$A674)*(('Agences &amp; Après-vente'!$D$2:$D$1000="Après-vente")+('Agences &amp; Après-vente'!$D$2:$D$1000="Agences et Après-vente"))*'Agences &amp; Après-vente'!$E$2:$E$1000)),"yyyy-mm-dd"),""))))))</f>
        <v/>
      </c>
      <c r="K674" s="131" t="str">
        <f aca="false">IF($U674="✓","✓",IF(ISNUMBER($U674),TEXT($U674,"yyyy-mm-dd"),IF($D674="Lisbonne","",IF($A674="","",IF(SUMPRODUCT((Evermont!$A$2:$A$1000=$A674)*(Evermont!$Q$2:$Q$1000="Terminé"))&gt;0,"✓",IF(SUMPRODUCT(MAX((Evermont!$A$2:$A$1000=$A674)*Evermont!$F$2:$F$1000))&gt;0,TEXT(SUMPRODUCT(MAX((Evermont!$A$2:$A$1000=$A674)*Evermont!$F$2:$F$1000)),"yyyy-mm-dd"),""))))))</f>
        <v/>
      </c>
      <c r="L674" s="131" t="str">
        <f aca="false">IF($A674="","",COUNTIF(E674:K674,"✓"))</f>
        <v/>
      </c>
      <c r="M674" s="131" t="str">
        <f aca="false">IF(B674="","","Active")</f>
        <v/>
      </c>
      <c r="W674" s="120" t="str">
        <f aca="false">IF($A674="","",IF($X674&lt;&gt;"",$X674,IFERROR(INDEX('Formation Initiale'!$B$2:$B$999,MATCH($A674,'Formation Initiale'!$A$2:$A$999,0)),"Général")))</f>
        <v/>
      </c>
    </row>
    <row r="675" customFormat="false" ht="15" hidden="true" customHeight="true" outlineLevel="0" collapsed="false">
      <c r="A675" s="142" t="str">
        <f aca="false">IF(B675="","","TR"&amp;TEXT(ROW()-1,"000"))</f>
        <v/>
      </c>
      <c r="E675" s="130" t="str">
        <f aca="false">IF($O675="✓","✓",IF(ISNUMBER($O675),TEXT($O675,"yyyy-mm-dd"),IF($A675="","",IF(SUMPRODUCT(('Formation Initiale'!$A$2:$A$999=$A675)*('Formation Initiale'!$R$2:$R$999="Terminé"))&gt;0,"✓",IF(SUMPRODUCT(MAX(('Formation Initiale'!$A$2:$A$999=$A675)*'Formation Initiale'!$G$2:$G$999))&gt;0,TEXT(SUMPRODUCT(MAX(('Formation Initiale'!$A$2:$A$999=$A675)*'Formation Initiale'!$G$2:$G$999)),"yyyy-mm-dd"),"")))))</f>
        <v/>
      </c>
      <c r="F675" s="131" t="str">
        <f aca="false">IF($P675="✓","✓",IF(ISNUMBER($P675),TEXT($P675,"yyyy-mm-dd"),IF($A675="","",IF($D675="Lisbonne","",IF(SUMPRODUCT(('Formation Initiale'!$A$2:$A$999=$A675)*('Formation Initiale'!$R$2:$R$999="Terminé"))&gt;0,"✓",IF(SUMPRODUCT(MAX(('Formation Initiale'!$A$2:$A$999=$A675)*'Formation Initiale'!$G$2:$G$999))&gt;0,TEXT(SUMPRODUCT(MAX(('Formation Initiale'!$A$2:$A$999=$A675)*'Formation Initiale'!$G$2:$G$999)),"yyyy-mm-dd"),""))))))</f>
        <v/>
      </c>
      <c r="G675" s="131" t="str">
        <f aca="false">IF($Q675="✓","✓",IF(ISNUMBER($Q675),TEXT($Q675,"yyyy-mm-dd"),IF($A675="","",IF(SUMPRODUCT(('Agences &amp; Après-vente'!$A$2:$A$1000=$A675)*(('Agences &amp; Après-vente'!$D$2:$D$1000="Agences")+('Agences &amp; Après-vente'!$D$2:$D$1000="Agences et Après-vente"))*('Agences &amp; Après-vente'!$I$2:$I$1000="DONE"))&gt;0,"✓",IF(SUMPRODUCT(MAX(('Agences &amp; Après-vente'!$A$2:$A$1000=$A675)*(('Agences &amp; Après-vente'!$D$2:$D$1000="Agences")+('Agences &amp; Après-vente'!$D$2:$D$1000="Agences et Après-vente"))*'Agences &amp; Après-vente'!$E$2:$E$1000))&gt;0,TEXT(SUMPRODUCT(MAX(('Agences &amp; Après-vente'!$A$2:$A$1000=$A675)*(('Agences &amp; Après-vente'!$D$2:$D$1000="Agences")+('Agences &amp; Après-vente'!$D$2:$D$1000="Agences et Après-vente"))*'Agences &amp; Après-vente'!$E$2:$E$1000)),"yyyy-mm-dd"),"")))))</f>
        <v/>
      </c>
      <c r="H675" s="131" t="str">
        <f aca="false">IF($R675="✓","✓",IF(ISNUMBER($R675),TEXT($R675,"yyyy-mm-dd"),IF($A675="","",IF($D675="Lisbonne","",IF(SUMPRODUCT(('Agences &amp; Après-vente'!$A$2:$A$1000=$A675)*(('Agences &amp; Après-vente'!$D$2:$D$1000="Agences")+('Agences &amp; Après-vente'!$D$2:$D$1000="Agences et Après-vente"))*('Agences &amp; Après-vente'!$I$2:$I$1000="DONE"))&gt;0,"✓",IF(SUMPRODUCT(MAX(('Agences &amp; Après-vente'!$A$2:$A$1000=$A675)*(('Agences &amp; Après-vente'!$D$2:$D$1000="Agences")+('Agences &amp; Après-vente'!$D$2:$D$1000="Agences et Après-vente"))*'Agences &amp; Après-vente'!$E$2:$E$1000))&gt;0,TEXT(SUMPRODUCT(MAX(('Agences &amp; Après-vente'!$A$2:$A$1000=$A675)*(('Agences &amp; Après-vente'!$D$2:$D$1000="Agences")+('Agences &amp; Après-vente'!$D$2:$D$1000="Agences et Après-vente"))*'Agences &amp; Après-vente'!$E$2:$E$1000)),"yyyy-mm-dd"),""))))))</f>
        <v/>
      </c>
      <c r="I675" s="131" t="str">
        <f aca="false">IF($S675="✓","✓",IF(ISNUMBER($S675),TEXT($S675,"yyyy-mm-dd"),IF($A675="","",IF(SUMPRODUCT(('Agences &amp; Après-vente'!$A$2:$A$1000=$A675)*(('Agences &amp; Après-vente'!$D$2:$D$1000="Après-vente")+('Agences &amp; Après-vente'!$D$2:$D$1000="Agences et Après-vente"))*('Agences &amp; Après-vente'!$I$2:$I$1000="DONE"))&gt;0,"✓",IF(SUMPRODUCT(MAX(('Agences &amp; Après-vente'!$A$2:$A$1000=$A675)*(('Agences &amp; Après-vente'!$D$2:$D$1000="Après-vente")+('Agences &amp; Après-vente'!$D$2:$D$1000="Agences et Après-vente"))*'Agences &amp; Après-vente'!$E$2:$E$1000))&gt;0,TEXT(SUMPRODUCT(MAX(('Agences &amp; Après-vente'!$A$2:$A$1000=$A675)*(('Agences &amp; Après-vente'!$D$2:$D$1000="Après-vente")+('Agences &amp; Après-vente'!$D$2:$D$1000="Agences et Après-vente"))*'Agences &amp; Après-vente'!$E$2:$E$1000)),"yyyy-mm-dd"),"")))))</f>
        <v/>
      </c>
      <c r="J675" s="131" t="str">
        <f aca="false">IF($T675="✓","✓",IF(ISNUMBER($T675),TEXT($T675,"yyyy-mm-dd"),IF($A675="","",IF($D675="Lisbonne","",IF(SUMPRODUCT(('Agences &amp; Après-vente'!$A$2:$A$1000=$A675)*(('Agences &amp; Après-vente'!$D$2:$D$1000="Après-vente")+('Agences &amp; Après-vente'!$D$2:$D$1000="Agences et Après-vente"))*('Agences &amp; Après-vente'!$I$2:$I$1000="DONE"))&gt;0,"✓",IF(SUMPRODUCT(MAX(('Agences &amp; Après-vente'!$A$2:$A$1000=$A675)*(('Agences &amp; Après-vente'!$D$2:$D$1000="Après-vente")+('Agences &amp; Après-vente'!$D$2:$D$1000="Agences et Après-vente"))*'Agences &amp; Après-vente'!$E$2:$E$1000))&gt;0,TEXT(SUMPRODUCT(MAX(('Agences &amp; Après-vente'!$A$2:$A$1000=$A675)*(('Agences &amp; Après-vente'!$D$2:$D$1000="Après-vente")+('Agences &amp; Après-vente'!$D$2:$D$1000="Agences et Après-vente"))*'Agences &amp; Après-vente'!$E$2:$E$1000)),"yyyy-mm-dd"),""))))))</f>
        <v/>
      </c>
      <c r="K675" s="131" t="str">
        <f aca="false">IF($U675="✓","✓",IF(ISNUMBER($U675),TEXT($U675,"yyyy-mm-dd"),IF($D675="Lisbonne","",IF($A675="","",IF(SUMPRODUCT((Evermont!$A$2:$A$1000=$A675)*(Evermont!$Q$2:$Q$1000="Terminé"))&gt;0,"✓",IF(SUMPRODUCT(MAX((Evermont!$A$2:$A$1000=$A675)*Evermont!$F$2:$F$1000))&gt;0,TEXT(SUMPRODUCT(MAX((Evermont!$A$2:$A$1000=$A675)*Evermont!$F$2:$F$1000)),"yyyy-mm-dd"),""))))))</f>
        <v/>
      </c>
      <c r="L675" s="131" t="str">
        <f aca="false">IF($A675="","",COUNTIF(E675:K675,"✓"))</f>
        <v/>
      </c>
      <c r="M675" s="131" t="str">
        <f aca="false">IF(B675="","","Active")</f>
        <v/>
      </c>
      <c r="W675" s="120" t="str">
        <f aca="false">IF($A675="","",IF($X675&lt;&gt;"",$X675,IFERROR(INDEX('Formation Initiale'!$B$2:$B$999,MATCH($A675,'Formation Initiale'!$A$2:$A$999,0)),"Général")))</f>
        <v/>
      </c>
    </row>
    <row r="676" customFormat="false" ht="15" hidden="true" customHeight="true" outlineLevel="0" collapsed="false">
      <c r="A676" s="142" t="str">
        <f aca="false">IF(B676="","","TR"&amp;TEXT(ROW()-1,"000"))</f>
        <v/>
      </c>
      <c r="E676" s="130" t="str">
        <f aca="false">IF($O676="✓","✓",IF(ISNUMBER($O676),TEXT($O676,"yyyy-mm-dd"),IF($A676="","",IF(SUMPRODUCT(('Formation Initiale'!$A$2:$A$999=$A676)*('Formation Initiale'!$R$2:$R$999="Terminé"))&gt;0,"✓",IF(SUMPRODUCT(MAX(('Formation Initiale'!$A$2:$A$999=$A676)*'Formation Initiale'!$G$2:$G$999))&gt;0,TEXT(SUMPRODUCT(MAX(('Formation Initiale'!$A$2:$A$999=$A676)*'Formation Initiale'!$G$2:$G$999)),"yyyy-mm-dd"),"")))))</f>
        <v/>
      </c>
      <c r="F676" s="131" t="str">
        <f aca="false">IF($P676="✓","✓",IF(ISNUMBER($P676),TEXT($P676,"yyyy-mm-dd"),IF($A676="","",IF($D676="Lisbonne","",IF(SUMPRODUCT(('Formation Initiale'!$A$2:$A$999=$A676)*('Formation Initiale'!$R$2:$R$999="Terminé"))&gt;0,"✓",IF(SUMPRODUCT(MAX(('Formation Initiale'!$A$2:$A$999=$A676)*'Formation Initiale'!$G$2:$G$999))&gt;0,TEXT(SUMPRODUCT(MAX(('Formation Initiale'!$A$2:$A$999=$A676)*'Formation Initiale'!$G$2:$G$999)),"yyyy-mm-dd"),""))))))</f>
        <v/>
      </c>
      <c r="G676" s="131" t="str">
        <f aca="false">IF($Q676="✓","✓",IF(ISNUMBER($Q676),TEXT($Q676,"yyyy-mm-dd"),IF($A676="","",IF(SUMPRODUCT(('Agences &amp; Après-vente'!$A$2:$A$1000=$A676)*(('Agences &amp; Après-vente'!$D$2:$D$1000="Agences")+('Agences &amp; Après-vente'!$D$2:$D$1000="Agences et Après-vente"))*('Agences &amp; Après-vente'!$I$2:$I$1000="DONE"))&gt;0,"✓",IF(SUMPRODUCT(MAX(('Agences &amp; Après-vente'!$A$2:$A$1000=$A676)*(('Agences &amp; Après-vente'!$D$2:$D$1000="Agences")+('Agences &amp; Après-vente'!$D$2:$D$1000="Agences et Après-vente"))*'Agences &amp; Après-vente'!$E$2:$E$1000))&gt;0,TEXT(SUMPRODUCT(MAX(('Agences &amp; Après-vente'!$A$2:$A$1000=$A676)*(('Agences &amp; Après-vente'!$D$2:$D$1000="Agences")+('Agences &amp; Après-vente'!$D$2:$D$1000="Agences et Après-vente"))*'Agences &amp; Après-vente'!$E$2:$E$1000)),"yyyy-mm-dd"),"")))))</f>
        <v/>
      </c>
      <c r="H676" s="131" t="str">
        <f aca="false">IF($R676="✓","✓",IF(ISNUMBER($R676),TEXT($R676,"yyyy-mm-dd"),IF($A676="","",IF($D676="Lisbonne","",IF(SUMPRODUCT(('Agences &amp; Après-vente'!$A$2:$A$1000=$A676)*(('Agences &amp; Après-vente'!$D$2:$D$1000="Agences")+('Agences &amp; Après-vente'!$D$2:$D$1000="Agences et Après-vente"))*('Agences &amp; Après-vente'!$I$2:$I$1000="DONE"))&gt;0,"✓",IF(SUMPRODUCT(MAX(('Agences &amp; Après-vente'!$A$2:$A$1000=$A676)*(('Agences &amp; Après-vente'!$D$2:$D$1000="Agences")+('Agences &amp; Après-vente'!$D$2:$D$1000="Agences et Après-vente"))*'Agences &amp; Après-vente'!$E$2:$E$1000))&gt;0,TEXT(SUMPRODUCT(MAX(('Agences &amp; Après-vente'!$A$2:$A$1000=$A676)*(('Agences &amp; Après-vente'!$D$2:$D$1000="Agences")+('Agences &amp; Après-vente'!$D$2:$D$1000="Agences et Après-vente"))*'Agences &amp; Après-vente'!$E$2:$E$1000)),"yyyy-mm-dd"),""))))))</f>
        <v/>
      </c>
      <c r="I676" s="131" t="str">
        <f aca="false">IF($S676="✓","✓",IF(ISNUMBER($S676),TEXT($S676,"yyyy-mm-dd"),IF($A676="","",IF(SUMPRODUCT(('Agences &amp; Après-vente'!$A$2:$A$1000=$A676)*(('Agences &amp; Après-vente'!$D$2:$D$1000="Après-vente")+('Agences &amp; Après-vente'!$D$2:$D$1000="Agences et Après-vente"))*('Agences &amp; Après-vente'!$I$2:$I$1000="DONE"))&gt;0,"✓",IF(SUMPRODUCT(MAX(('Agences &amp; Après-vente'!$A$2:$A$1000=$A676)*(('Agences &amp; Après-vente'!$D$2:$D$1000="Après-vente")+('Agences &amp; Après-vente'!$D$2:$D$1000="Agences et Après-vente"))*'Agences &amp; Après-vente'!$E$2:$E$1000))&gt;0,TEXT(SUMPRODUCT(MAX(('Agences &amp; Après-vente'!$A$2:$A$1000=$A676)*(('Agences &amp; Après-vente'!$D$2:$D$1000="Après-vente")+('Agences &amp; Après-vente'!$D$2:$D$1000="Agences et Après-vente"))*'Agences &amp; Après-vente'!$E$2:$E$1000)),"yyyy-mm-dd"),"")))))</f>
        <v/>
      </c>
      <c r="J676" s="131" t="str">
        <f aca="false">IF($T676="✓","✓",IF(ISNUMBER($T676),TEXT($T676,"yyyy-mm-dd"),IF($A676="","",IF($D676="Lisbonne","",IF(SUMPRODUCT(('Agences &amp; Après-vente'!$A$2:$A$1000=$A676)*(('Agences &amp; Après-vente'!$D$2:$D$1000="Après-vente")+('Agences &amp; Après-vente'!$D$2:$D$1000="Agences et Après-vente"))*('Agences &amp; Après-vente'!$I$2:$I$1000="DONE"))&gt;0,"✓",IF(SUMPRODUCT(MAX(('Agences &amp; Après-vente'!$A$2:$A$1000=$A676)*(('Agences &amp; Après-vente'!$D$2:$D$1000="Après-vente")+('Agences &amp; Après-vente'!$D$2:$D$1000="Agences et Après-vente"))*'Agences &amp; Après-vente'!$E$2:$E$1000))&gt;0,TEXT(SUMPRODUCT(MAX(('Agences &amp; Après-vente'!$A$2:$A$1000=$A676)*(('Agences &amp; Après-vente'!$D$2:$D$1000="Après-vente")+('Agences &amp; Après-vente'!$D$2:$D$1000="Agences et Après-vente"))*'Agences &amp; Après-vente'!$E$2:$E$1000)),"yyyy-mm-dd"),""))))))</f>
        <v/>
      </c>
      <c r="K676" s="131" t="str">
        <f aca="false">IF($U676="✓","✓",IF(ISNUMBER($U676),TEXT($U676,"yyyy-mm-dd"),IF($D676="Lisbonne","",IF($A676="","",IF(SUMPRODUCT((Evermont!$A$2:$A$1000=$A676)*(Evermont!$Q$2:$Q$1000="Terminé"))&gt;0,"✓",IF(SUMPRODUCT(MAX((Evermont!$A$2:$A$1000=$A676)*Evermont!$F$2:$F$1000))&gt;0,TEXT(SUMPRODUCT(MAX((Evermont!$A$2:$A$1000=$A676)*Evermont!$F$2:$F$1000)),"yyyy-mm-dd"),""))))))</f>
        <v/>
      </c>
      <c r="L676" s="131" t="str">
        <f aca="false">IF($A676="","",COUNTIF(E676:K676,"✓"))</f>
        <v/>
      </c>
      <c r="M676" s="131" t="str">
        <f aca="false">IF(B676="","","Active")</f>
        <v/>
      </c>
      <c r="W676" s="120" t="str">
        <f aca="false">IF($A676="","",IF($X676&lt;&gt;"",$X676,IFERROR(INDEX('Formation Initiale'!$B$2:$B$999,MATCH($A676,'Formation Initiale'!$A$2:$A$999,0)),"Général")))</f>
        <v/>
      </c>
    </row>
    <row r="677" customFormat="false" ht="15" hidden="true" customHeight="true" outlineLevel="0" collapsed="false">
      <c r="A677" s="142" t="str">
        <f aca="false">IF(B677="","","TR"&amp;TEXT(ROW()-1,"000"))</f>
        <v/>
      </c>
      <c r="E677" s="130" t="str">
        <f aca="false">IF($O677="✓","✓",IF(ISNUMBER($O677),TEXT($O677,"yyyy-mm-dd"),IF($A677="","",IF(SUMPRODUCT(('Formation Initiale'!$A$2:$A$999=$A677)*('Formation Initiale'!$R$2:$R$999="Terminé"))&gt;0,"✓",IF(SUMPRODUCT(MAX(('Formation Initiale'!$A$2:$A$999=$A677)*'Formation Initiale'!$G$2:$G$999))&gt;0,TEXT(SUMPRODUCT(MAX(('Formation Initiale'!$A$2:$A$999=$A677)*'Formation Initiale'!$G$2:$G$999)),"yyyy-mm-dd"),"")))))</f>
        <v/>
      </c>
      <c r="F677" s="131" t="str">
        <f aca="false">IF($P677="✓","✓",IF(ISNUMBER($P677),TEXT($P677,"yyyy-mm-dd"),IF($A677="","",IF($D677="Lisbonne","",IF(SUMPRODUCT(('Formation Initiale'!$A$2:$A$999=$A677)*('Formation Initiale'!$R$2:$R$999="Terminé"))&gt;0,"✓",IF(SUMPRODUCT(MAX(('Formation Initiale'!$A$2:$A$999=$A677)*'Formation Initiale'!$G$2:$G$999))&gt;0,TEXT(SUMPRODUCT(MAX(('Formation Initiale'!$A$2:$A$999=$A677)*'Formation Initiale'!$G$2:$G$999)),"yyyy-mm-dd"),""))))))</f>
        <v/>
      </c>
      <c r="G677" s="131" t="str">
        <f aca="false">IF($Q677="✓","✓",IF(ISNUMBER($Q677),TEXT($Q677,"yyyy-mm-dd"),IF($A677="","",IF(SUMPRODUCT(('Agences &amp; Après-vente'!$A$2:$A$1000=$A677)*(('Agences &amp; Après-vente'!$D$2:$D$1000="Agences")+('Agences &amp; Après-vente'!$D$2:$D$1000="Agences et Après-vente"))*('Agences &amp; Après-vente'!$I$2:$I$1000="DONE"))&gt;0,"✓",IF(SUMPRODUCT(MAX(('Agences &amp; Après-vente'!$A$2:$A$1000=$A677)*(('Agences &amp; Après-vente'!$D$2:$D$1000="Agences")+('Agences &amp; Après-vente'!$D$2:$D$1000="Agences et Après-vente"))*'Agences &amp; Après-vente'!$E$2:$E$1000))&gt;0,TEXT(SUMPRODUCT(MAX(('Agences &amp; Après-vente'!$A$2:$A$1000=$A677)*(('Agences &amp; Après-vente'!$D$2:$D$1000="Agences")+('Agences &amp; Après-vente'!$D$2:$D$1000="Agences et Après-vente"))*'Agences &amp; Après-vente'!$E$2:$E$1000)),"yyyy-mm-dd"),"")))))</f>
        <v/>
      </c>
      <c r="H677" s="131" t="str">
        <f aca="false">IF($R677="✓","✓",IF(ISNUMBER($R677),TEXT($R677,"yyyy-mm-dd"),IF($A677="","",IF($D677="Lisbonne","",IF(SUMPRODUCT(('Agences &amp; Après-vente'!$A$2:$A$1000=$A677)*(('Agences &amp; Après-vente'!$D$2:$D$1000="Agences")+('Agences &amp; Après-vente'!$D$2:$D$1000="Agences et Après-vente"))*('Agences &amp; Après-vente'!$I$2:$I$1000="DONE"))&gt;0,"✓",IF(SUMPRODUCT(MAX(('Agences &amp; Après-vente'!$A$2:$A$1000=$A677)*(('Agences &amp; Après-vente'!$D$2:$D$1000="Agences")+('Agences &amp; Après-vente'!$D$2:$D$1000="Agences et Après-vente"))*'Agences &amp; Après-vente'!$E$2:$E$1000))&gt;0,TEXT(SUMPRODUCT(MAX(('Agences &amp; Après-vente'!$A$2:$A$1000=$A677)*(('Agences &amp; Après-vente'!$D$2:$D$1000="Agences")+('Agences &amp; Après-vente'!$D$2:$D$1000="Agences et Après-vente"))*'Agences &amp; Après-vente'!$E$2:$E$1000)),"yyyy-mm-dd"),""))))))</f>
        <v/>
      </c>
      <c r="I677" s="131" t="str">
        <f aca="false">IF($S677="✓","✓",IF(ISNUMBER($S677),TEXT($S677,"yyyy-mm-dd"),IF($A677="","",IF(SUMPRODUCT(('Agences &amp; Après-vente'!$A$2:$A$1000=$A677)*(('Agences &amp; Après-vente'!$D$2:$D$1000="Après-vente")+('Agences &amp; Après-vente'!$D$2:$D$1000="Agences et Après-vente"))*('Agences &amp; Après-vente'!$I$2:$I$1000="DONE"))&gt;0,"✓",IF(SUMPRODUCT(MAX(('Agences &amp; Après-vente'!$A$2:$A$1000=$A677)*(('Agences &amp; Après-vente'!$D$2:$D$1000="Après-vente")+('Agences &amp; Après-vente'!$D$2:$D$1000="Agences et Après-vente"))*'Agences &amp; Après-vente'!$E$2:$E$1000))&gt;0,TEXT(SUMPRODUCT(MAX(('Agences &amp; Après-vente'!$A$2:$A$1000=$A677)*(('Agences &amp; Après-vente'!$D$2:$D$1000="Après-vente")+('Agences &amp; Après-vente'!$D$2:$D$1000="Agences et Après-vente"))*'Agences &amp; Après-vente'!$E$2:$E$1000)),"yyyy-mm-dd"),"")))))</f>
        <v/>
      </c>
      <c r="J677" s="131" t="str">
        <f aca="false">IF($T677="✓","✓",IF(ISNUMBER($T677),TEXT($T677,"yyyy-mm-dd"),IF($A677="","",IF($D677="Lisbonne","",IF(SUMPRODUCT(('Agences &amp; Après-vente'!$A$2:$A$1000=$A677)*(('Agences &amp; Après-vente'!$D$2:$D$1000="Après-vente")+('Agences &amp; Après-vente'!$D$2:$D$1000="Agences et Après-vente"))*('Agences &amp; Après-vente'!$I$2:$I$1000="DONE"))&gt;0,"✓",IF(SUMPRODUCT(MAX(('Agences &amp; Après-vente'!$A$2:$A$1000=$A677)*(('Agences &amp; Après-vente'!$D$2:$D$1000="Après-vente")+('Agences &amp; Après-vente'!$D$2:$D$1000="Agences et Après-vente"))*'Agences &amp; Après-vente'!$E$2:$E$1000))&gt;0,TEXT(SUMPRODUCT(MAX(('Agences &amp; Après-vente'!$A$2:$A$1000=$A677)*(('Agences &amp; Après-vente'!$D$2:$D$1000="Après-vente")+('Agences &amp; Après-vente'!$D$2:$D$1000="Agences et Après-vente"))*'Agences &amp; Après-vente'!$E$2:$E$1000)),"yyyy-mm-dd"),""))))))</f>
        <v/>
      </c>
      <c r="K677" s="131" t="str">
        <f aca="false">IF($U677="✓","✓",IF(ISNUMBER($U677),TEXT($U677,"yyyy-mm-dd"),IF($D677="Lisbonne","",IF($A677="","",IF(SUMPRODUCT((Evermont!$A$2:$A$1000=$A677)*(Evermont!$Q$2:$Q$1000="Terminé"))&gt;0,"✓",IF(SUMPRODUCT(MAX((Evermont!$A$2:$A$1000=$A677)*Evermont!$F$2:$F$1000))&gt;0,TEXT(SUMPRODUCT(MAX((Evermont!$A$2:$A$1000=$A677)*Evermont!$F$2:$F$1000)),"yyyy-mm-dd"),""))))))</f>
        <v/>
      </c>
      <c r="L677" s="131" t="str">
        <f aca="false">IF($A677="","",COUNTIF(E677:K677,"✓"))</f>
        <v/>
      </c>
      <c r="M677" s="131" t="str">
        <f aca="false">IF(B677="","","Active")</f>
        <v/>
      </c>
      <c r="W677" s="120" t="str">
        <f aca="false">IF($A677="","",IF($X677&lt;&gt;"",$X677,IFERROR(INDEX('Formation Initiale'!$B$2:$B$999,MATCH($A677,'Formation Initiale'!$A$2:$A$999,0)),"Général")))</f>
        <v/>
      </c>
    </row>
    <row r="678" customFormat="false" ht="15" hidden="true" customHeight="true" outlineLevel="0" collapsed="false">
      <c r="A678" s="142" t="str">
        <f aca="false">IF(B678="","","TR"&amp;TEXT(ROW()-1,"000"))</f>
        <v/>
      </c>
      <c r="E678" s="130" t="str">
        <f aca="false">IF($O678="✓","✓",IF(ISNUMBER($O678),TEXT($O678,"yyyy-mm-dd"),IF($A678="","",IF(SUMPRODUCT(('Formation Initiale'!$A$2:$A$999=$A678)*('Formation Initiale'!$R$2:$R$999="Terminé"))&gt;0,"✓",IF(SUMPRODUCT(MAX(('Formation Initiale'!$A$2:$A$999=$A678)*'Formation Initiale'!$G$2:$G$999))&gt;0,TEXT(SUMPRODUCT(MAX(('Formation Initiale'!$A$2:$A$999=$A678)*'Formation Initiale'!$G$2:$G$999)),"yyyy-mm-dd"),"")))))</f>
        <v/>
      </c>
      <c r="F678" s="131" t="str">
        <f aca="false">IF($P678="✓","✓",IF(ISNUMBER($P678),TEXT($P678,"yyyy-mm-dd"),IF($A678="","",IF($D678="Lisbonne","",IF(SUMPRODUCT(('Formation Initiale'!$A$2:$A$999=$A678)*('Formation Initiale'!$R$2:$R$999="Terminé"))&gt;0,"✓",IF(SUMPRODUCT(MAX(('Formation Initiale'!$A$2:$A$999=$A678)*'Formation Initiale'!$G$2:$G$999))&gt;0,TEXT(SUMPRODUCT(MAX(('Formation Initiale'!$A$2:$A$999=$A678)*'Formation Initiale'!$G$2:$G$999)),"yyyy-mm-dd"),""))))))</f>
        <v/>
      </c>
      <c r="G678" s="131" t="str">
        <f aca="false">IF($Q678="✓","✓",IF(ISNUMBER($Q678),TEXT($Q678,"yyyy-mm-dd"),IF($A678="","",IF(SUMPRODUCT(('Agences &amp; Après-vente'!$A$2:$A$1000=$A678)*(('Agences &amp; Après-vente'!$D$2:$D$1000="Agences")+('Agences &amp; Après-vente'!$D$2:$D$1000="Agences et Après-vente"))*('Agences &amp; Après-vente'!$I$2:$I$1000="DONE"))&gt;0,"✓",IF(SUMPRODUCT(MAX(('Agences &amp; Après-vente'!$A$2:$A$1000=$A678)*(('Agences &amp; Après-vente'!$D$2:$D$1000="Agences")+('Agences &amp; Après-vente'!$D$2:$D$1000="Agences et Après-vente"))*'Agences &amp; Après-vente'!$E$2:$E$1000))&gt;0,TEXT(SUMPRODUCT(MAX(('Agences &amp; Après-vente'!$A$2:$A$1000=$A678)*(('Agences &amp; Après-vente'!$D$2:$D$1000="Agences")+('Agences &amp; Après-vente'!$D$2:$D$1000="Agences et Après-vente"))*'Agences &amp; Après-vente'!$E$2:$E$1000)),"yyyy-mm-dd"),"")))))</f>
        <v/>
      </c>
      <c r="H678" s="131" t="str">
        <f aca="false">IF($R678="✓","✓",IF(ISNUMBER($R678),TEXT($R678,"yyyy-mm-dd"),IF($A678="","",IF($D678="Lisbonne","",IF(SUMPRODUCT(('Agences &amp; Après-vente'!$A$2:$A$1000=$A678)*(('Agences &amp; Après-vente'!$D$2:$D$1000="Agences")+('Agences &amp; Après-vente'!$D$2:$D$1000="Agences et Après-vente"))*('Agences &amp; Après-vente'!$I$2:$I$1000="DONE"))&gt;0,"✓",IF(SUMPRODUCT(MAX(('Agences &amp; Après-vente'!$A$2:$A$1000=$A678)*(('Agences &amp; Après-vente'!$D$2:$D$1000="Agences")+('Agences &amp; Après-vente'!$D$2:$D$1000="Agences et Après-vente"))*'Agences &amp; Après-vente'!$E$2:$E$1000))&gt;0,TEXT(SUMPRODUCT(MAX(('Agences &amp; Après-vente'!$A$2:$A$1000=$A678)*(('Agences &amp; Après-vente'!$D$2:$D$1000="Agences")+('Agences &amp; Après-vente'!$D$2:$D$1000="Agences et Après-vente"))*'Agences &amp; Après-vente'!$E$2:$E$1000)),"yyyy-mm-dd"),""))))))</f>
        <v/>
      </c>
      <c r="I678" s="131" t="str">
        <f aca="false">IF($S678="✓","✓",IF(ISNUMBER($S678),TEXT($S678,"yyyy-mm-dd"),IF($A678="","",IF(SUMPRODUCT(('Agences &amp; Après-vente'!$A$2:$A$1000=$A678)*(('Agences &amp; Après-vente'!$D$2:$D$1000="Après-vente")+('Agences &amp; Après-vente'!$D$2:$D$1000="Agences et Après-vente"))*('Agences &amp; Après-vente'!$I$2:$I$1000="DONE"))&gt;0,"✓",IF(SUMPRODUCT(MAX(('Agences &amp; Après-vente'!$A$2:$A$1000=$A678)*(('Agences &amp; Après-vente'!$D$2:$D$1000="Après-vente")+('Agences &amp; Après-vente'!$D$2:$D$1000="Agences et Après-vente"))*'Agences &amp; Après-vente'!$E$2:$E$1000))&gt;0,TEXT(SUMPRODUCT(MAX(('Agences &amp; Après-vente'!$A$2:$A$1000=$A678)*(('Agences &amp; Après-vente'!$D$2:$D$1000="Après-vente")+('Agences &amp; Après-vente'!$D$2:$D$1000="Agences et Après-vente"))*'Agences &amp; Après-vente'!$E$2:$E$1000)),"yyyy-mm-dd"),"")))))</f>
        <v/>
      </c>
      <c r="J678" s="131" t="str">
        <f aca="false">IF($T678="✓","✓",IF(ISNUMBER($T678),TEXT($T678,"yyyy-mm-dd"),IF($A678="","",IF($D678="Lisbonne","",IF(SUMPRODUCT(('Agences &amp; Après-vente'!$A$2:$A$1000=$A678)*(('Agences &amp; Après-vente'!$D$2:$D$1000="Après-vente")+('Agences &amp; Après-vente'!$D$2:$D$1000="Agences et Après-vente"))*('Agences &amp; Après-vente'!$I$2:$I$1000="DONE"))&gt;0,"✓",IF(SUMPRODUCT(MAX(('Agences &amp; Après-vente'!$A$2:$A$1000=$A678)*(('Agences &amp; Après-vente'!$D$2:$D$1000="Après-vente")+('Agences &amp; Après-vente'!$D$2:$D$1000="Agences et Après-vente"))*'Agences &amp; Après-vente'!$E$2:$E$1000))&gt;0,TEXT(SUMPRODUCT(MAX(('Agences &amp; Après-vente'!$A$2:$A$1000=$A678)*(('Agences &amp; Après-vente'!$D$2:$D$1000="Après-vente")+('Agences &amp; Après-vente'!$D$2:$D$1000="Agences et Après-vente"))*'Agences &amp; Après-vente'!$E$2:$E$1000)),"yyyy-mm-dd"),""))))))</f>
        <v/>
      </c>
      <c r="K678" s="131" t="str">
        <f aca="false">IF($U678="✓","✓",IF(ISNUMBER($U678),TEXT($U678,"yyyy-mm-dd"),IF($D678="Lisbonne","",IF($A678="","",IF(SUMPRODUCT((Evermont!$A$2:$A$1000=$A678)*(Evermont!$Q$2:$Q$1000="Terminé"))&gt;0,"✓",IF(SUMPRODUCT(MAX((Evermont!$A$2:$A$1000=$A678)*Evermont!$F$2:$F$1000))&gt;0,TEXT(SUMPRODUCT(MAX((Evermont!$A$2:$A$1000=$A678)*Evermont!$F$2:$F$1000)),"yyyy-mm-dd"),""))))))</f>
        <v/>
      </c>
      <c r="L678" s="131" t="str">
        <f aca="false">IF($A678="","",COUNTIF(E678:K678,"✓"))</f>
        <v/>
      </c>
      <c r="M678" s="131" t="str">
        <f aca="false">IF(B678="","","Active")</f>
        <v/>
      </c>
      <c r="W678" s="120" t="str">
        <f aca="false">IF($A678="","",IF($X678&lt;&gt;"",$X678,IFERROR(INDEX('Formation Initiale'!$B$2:$B$999,MATCH($A678,'Formation Initiale'!$A$2:$A$999,0)),"Général")))</f>
        <v/>
      </c>
    </row>
    <row r="679" customFormat="false" ht="15" hidden="true" customHeight="true" outlineLevel="0" collapsed="false">
      <c r="A679" s="142" t="str">
        <f aca="false">IF(B679="","","TR"&amp;TEXT(ROW()-1,"000"))</f>
        <v/>
      </c>
      <c r="E679" s="130" t="str">
        <f aca="false">IF($O679="✓","✓",IF(ISNUMBER($O679),TEXT($O679,"yyyy-mm-dd"),IF($A679="","",IF(SUMPRODUCT(('Formation Initiale'!$A$2:$A$999=$A679)*('Formation Initiale'!$R$2:$R$999="Terminé"))&gt;0,"✓",IF(SUMPRODUCT(MAX(('Formation Initiale'!$A$2:$A$999=$A679)*'Formation Initiale'!$G$2:$G$999))&gt;0,TEXT(SUMPRODUCT(MAX(('Formation Initiale'!$A$2:$A$999=$A679)*'Formation Initiale'!$G$2:$G$999)),"yyyy-mm-dd"),"")))))</f>
        <v/>
      </c>
      <c r="F679" s="131" t="str">
        <f aca="false">IF($P679="✓","✓",IF(ISNUMBER($P679),TEXT($P679,"yyyy-mm-dd"),IF($A679="","",IF($D679="Lisbonne","",IF(SUMPRODUCT(('Formation Initiale'!$A$2:$A$999=$A679)*('Formation Initiale'!$R$2:$R$999="Terminé"))&gt;0,"✓",IF(SUMPRODUCT(MAX(('Formation Initiale'!$A$2:$A$999=$A679)*'Formation Initiale'!$G$2:$G$999))&gt;0,TEXT(SUMPRODUCT(MAX(('Formation Initiale'!$A$2:$A$999=$A679)*'Formation Initiale'!$G$2:$G$999)),"yyyy-mm-dd"),""))))))</f>
        <v/>
      </c>
      <c r="G679" s="131" t="str">
        <f aca="false">IF($Q679="✓","✓",IF(ISNUMBER($Q679),TEXT($Q679,"yyyy-mm-dd"),IF($A679="","",IF(SUMPRODUCT(('Agences &amp; Après-vente'!$A$2:$A$1000=$A679)*(('Agences &amp; Après-vente'!$D$2:$D$1000="Agences")+('Agences &amp; Après-vente'!$D$2:$D$1000="Agences et Après-vente"))*('Agences &amp; Après-vente'!$I$2:$I$1000="DONE"))&gt;0,"✓",IF(SUMPRODUCT(MAX(('Agences &amp; Après-vente'!$A$2:$A$1000=$A679)*(('Agences &amp; Après-vente'!$D$2:$D$1000="Agences")+('Agences &amp; Après-vente'!$D$2:$D$1000="Agences et Après-vente"))*'Agences &amp; Après-vente'!$E$2:$E$1000))&gt;0,TEXT(SUMPRODUCT(MAX(('Agences &amp; Après-vente'!$A$2:$A$1000=$A679)*(('Agences &amp; Après-vente'!$D$2:$D$1000="Agences")+('Agences &amp; Après-vente'!$D$2:$D$1000="Agences et Après-vente"))*'Agences &amp; Après-vente'!$E$2:$E$1000)),"yyyy-mm-dd"),"")))))</f>
        <v/>
      </c>
      <c r="H679" s="131" t="str">
        <f aca="false">IF($R679="✓","✓",IF(ISNUMBER($R679),TEXT($R679,"yyyy-mm-dd"),IF($A679="","",IF($D679="Lisbonne","",IF(SUMPRODUCT(('Agences &amp; Après-vente'!$A$2:$A$1000=$A679)*(('Agences &amp; Après-vente'!$D$2:$D$1000="Agences")+('Agences &amp; Après-vente'!$D$2:$D$1000="Agences et Après-vente"))*('Agences &amp; Après-vente'!$I$2:$I$1000="DONE"))&gt;0,"✓",IF(SUMPRODUCT(MAX(('Agences &amp; Après-vente'!$A$2:$A$1000=$A679)*(('Agences &amp; Après-vente'!$D$2:$D$1000="Agences")+('Agences &amp; Après-vente'!$D$2:$D$1000="Agences et Après-vente"))*'Agences &amp; Après-vente'!$E$2:$E$1000))&gt;0,TEXT(SUMPRODUCT(MAX(('Agences &amp; Après-vente'!$A$2:$A$1000=$A679)*(('Agences &amp; Après-vente'!$D$2:$D$1000="Agences")+('Agences &amp; Après-vente'!$D$2:$D$1000="Agences et Après-vente"))*'Agences &amp; Après-vente'!$E$2:$E$1000)),"yyyy-mm-dd"),""))))))</f>
        <v/>
      </c>
      <c r="I679" s="131" t="str">
        <f aca="false">IF($S679="✓","✓",IF(ISNUMBER($S679),TEXT($S679,"yyyy-mm-dd"),IF($A679="","",IF(SUMPRODUCT(('Agences &amp; Après-vente'!$A$2:$A$1000=$A679)*(('Agences &amp; Après-vente'!$D$2:$D$1000="Après-vente")+('Agences &amp; Après-vente'!$D$2:$D$1000="Agences et Après-vente"))*('Agences &amp; Après-vente'!$I$2:$I$1000="DONE"))&gt;0,"✓",IF(SUMPRODUCT(MAX(('Agences &amp; Après-vente'!$A$2:$A$1000=$A679)*(('Agences &amp; Après-vente'!$D$2:$D$1000="Après-vente")+('Agences &amp; Après-vente'!$D$2:$D$1000="Agences et Après-vente"))*'Agences &amp; Après-vente'!$E$2:$E$1000))&gt;0,TEXT(SUMPRODUCT(MAX(('Agences &amp; Après-vente'!$A$2:$A$1000=$A679)*(('Agences &amp; Après-vente'!$D$2:$D$1000="Après-vente")+('Agences &amp; Après-vente'!$D$2:$D$1000="Agences et Après-vente"))*'Agences &amp; Après-vente'!$E$2:$E$1000)),"yyyy-mm-dd"),"")))))</f>
        <v/>
      </c>
      <c r="J679" s="131" t="str">
        <f aca="false">IF($T679="✓","✓",IF(ISNUMBER($T679),TEXT($T679,"yyyy-mm-dd"),IF($A679="","",IF($D679="Lisbonne","",IF(SUMPRODUCT(('Agences &amp; Après-vente'!$A$2:$A$1000=$A679)*(('Agences &amp; Après-vente'!$D$2:$D$1000="Après-vente")+('Agences &amp; Après-vente'!$D$2:$D$1000="Agences et Après-vente"))*('Agences &amp; Après-vente'!$I$2:$I$1000="DONE"))&gt;0,"✓",IF(SUMPRODUCT(MAX(('Agences &amp; Après-vente'!$A$2:$A$1000=$A679)*(('Agences &amp; Après-vente'!$D$2:$D$1000="Après-vente")+('Agences &amp; Après-vente'!$D$2:$D$1000="Agences et Après-vente"))*'Agences &amp; Après-vente'!$E$2:$E$1000))&gt;0,TEXT(SUMPRODUCT(MAX(('Agences &amp; Après-vente'!$A$2:$A$1000=$A679)*(('Agences &amp; Après-vente'!$D$2:$D$1000="Après-vente")+('Agences &amp; Après-vente'!$D$2:$D$1000="Agences et Après-vente"))*'Agences &amp; Après-vente'!$E$2:$E$1000)),"yyyy-mm-dd"),""))))))</f>
        <v/>
      </c>
      <c r="K679" s="131" t="str">
        <f aca="false">IF($U679="✓","✓",IF(ISNUMBER($U679),TEXT($U679,"yyyy-mm-dd"),IF($D679="Lisbonne","",IF($A679="","",IF(SUMPRODUCT((Evermont!$A$2:$A$1000=$A679)*(Evermont!$Q$2:$Q$1000="Terminé"))&gt;0,"✓",IF(SUMPRODUCT(MAX((Evermont!$A$2:$A$1000=$A679)*Evermont!$F$2:$F$1000))&gt;0,TEXT(SUMPRODUCT(MAX((Evermont!$A$2:$A$1000=$A679)*Evermont!$F$2:$F$1000)),"yyyy-mm-dd"),""))))))</f>
        <v/>
      </c>
      <c r="L679" s="131" t="str">
        <f aca="false">IF($A679="","",COUNTIF(E679:K679,"✓"))</f>
        <v/>
      </c>
      <c r="M679" s="131" t="str">
        <f aca="false">IF(B679="","","Active")</f>
        <v/>
      </c>
      <c r="W679" s="120" t="str">
        <f aca="false">IF($A679="","",IF($X679&lt;&gt;"",$X679,IFERROR(INDEX('Formation Initiale'!$B$2:$B$999,MATCH($A679,'Formation Initiale'!$A$2:$A$999,0)),"Général")))</f>
        <v/>
      </c>
    </row>
    <row r="680" customFormat="false" ht="15" hidden="true" customHeight="true" outlineLevel="0" collapsed="false">
      <c r="A680" s="142" t="str">
        <f aca="false">IF(B680="","","TR"&amp;TEXT(ROW()-1,"000"))</f>
        <v/>
      </c>
      <c r="E680" s="130" t="str">
        <f aca="false">IF($O680="✓","✓",IF(ISNUMBER($O680),TEXT($O680,"yyyy-mm-dd"),IF($A680="","",IF(SUMPRODUCT(('Formation Initiale'!$A$2:$A$999=$A680)*('Formation Initiale'!$R$2:$R$999="Terminé"))&gt;0,"✓",IF(SUMPRODUCT(MAX(('Formation Initiale'!$A$2:$A$999=$A680)*'Formation Initiale'!$G$2:$G$999))&gt;0,TEXT(SUMPRODUCT(MAX(('Formation Initiale'!$A$2:$A$999=$A680)*'Formation Initiale'!$G$2:$G$999)),"yyyy-mm-dd"),"")))))</f>
        <v/>
      </c>
      <c r="F680" s="131" t="str">
        <f aca="false">IF($P680="✓","✓",IF(ISNUMBER($P680),TEXT($P680,"yyyy-mm-dd"),IF($A680="","",IF($D680="Lisbonne","",IF(SUMPRODUCT(('Formation Initiale'!$A$2:$A$999=$A680)*('Formation Initiale'!$R$2:$R$999="Terminé"))&gt;0,"✓",IF(SUMPRODUCT(MAX(('Formation Initiale'!$A$2:$A$999=$A680)*'Formation Initiale'!$G$2:$G$999))&gt;0,TEXT(SUMPRODUCT(MAX(('Formation Initiale'!$A$2:$A$999=$A680)*'Formation Initiale'!$G$2:$G$999)),"yyyy-mm-dd"),""))))))</f>
        <v/>
      </c>
      <c r="G680" s="131" t="str">
        <f aca="false">IF($Q680="✓","✓",IF(ISNUMBER($Q680),TEXT($Q680,"yyyy-mm-dd"),IF($A680="","",IF(SUMPRODUCT(('Agences &amp; Après-vente'!$A$2:$A$1000=$A680)*(('Agences &amp; Après-vente'!$D$2:$D$1000="Agences")+('Agences &amp; Après-vente'!$D$2:$D$1000="Agences et Après-vente"))*('Agences &amp; Après-vente'!$I$2:$I$1000="DONE"))&gt;0,"✓",IF(SUMPRODUCT(MAX(('Agences &amp; Après-vente'!$A$2:$A$1000=$A680)*(('Agences &amp; Après-vente'!$D$2:$D$1000="Agences")+('Agences &amp; Après-vente'!$D$2:$D$1000="Agences et Après-vente"))*'Agences &amp; Après-vente'!$E$2:$E$1000))&gt;0,TEXT(SUMPRODUCT(MAX(('Agences &amp; Après-vente'!$A$2:$A$1000=$A680)*(('Agences &amp; Après-vente'!$D$2:$D$1000="Agences")+('Agences &amp; Après-vente'!$D$2:$D$1000="Agences et Après-vente"))*'Agences &amp; Après-vente'!$E$2:$E$1000)),"yyyy-mm-dd"),"")))))</f>
        <v/>
      </c>
      <c r="H680" s="131" t="str">
        <f aca="false">IF($R680="✓","✓",IF(ISNUMBER($R680),TEXT($R680,"yyyy-mm-dd"),IF($A680="","",IF($D680="Lisbonne","",IF(SUMPRODUCT(('Agences &amp; Après-vente'!$A$2:$A$1000=$A680)*(('Agences &amp; Après-vente'!$D$2:$D$1000="Agences")+('Agences &amp; Après-vente'!$D$2:$D$1000="Agences et Après-vente"))*('Agences &amp; Après-vente'!$I$2:$I$1000="DONE"))&gt;0,"✓",IF(SUMPRODUCT(MAX(('Agences &amp; Après-vente'!$A$2:$A$1000=$A680)*(('Agences &amp; Après-vente'!$D$2:$D$1000="Agences")+('Agences &amp; Après-vente'!$D$2:$D$1000="Agences et Après-vente"))*'Agences &amp; Après-vente'!$E$2:$E$1000))&gt;0,TEXT(SUMPRODUCT(MAX(('Agences &amp; Après-vente'!$A$2:$A$1000=$A680)*(('Agences &amp; Après-vente'!$D$2:$D$1000="Agences")+('Agences &amp; Après-vente'!$D$2:$D$1000="Agences et Après-vente"))*'Agences &amp; Après-vente'!$E$2:$E$1000)),"yyyy-mm-dd"),""))))))</f>
        <v/>
      </c>
      <c r="I680" s="131" t="str">
        <f aca="false">IF($S680="✓","✓",IF(ISNUMBER($S680),TEXT($S680,"yyyy-mm-dd"),IF($A680="","",IF(SUMPRODUCT(('Agences &amp; Après-vente'!$A$2:$A$1000=$A680)*(('Agences &amp; Après-vente'!$D$2:$D$1000="Après-vente")+('Agences &amp; Après-vente'!$D$2:$D$1000="Agences et Après-vente"))*('Agences &amp; Après-vente'!$I$2:$I$1000="DONE"))&gt;0,"✓",IF(SUMPRODUCT(MAX(('Agences &amp; Après-vente'!$A$2:$A$1000=$A680)*(('Agences &amp; Après-vente'!$D$2:$D$1000="Après-vente")+('Agences &amp; Après-vente'!$D$2:$D$1000="Agences et Après-vente"))*'Agences &amp; Après-vente'!$E$2:$E$1000))&gt;0,TEXT(SUMPRODUCT(MAX(('Agences &amp; Après-vente'!$A$2:$A$1000=$A680)*(('Agences &amp; Après-vente'!$D$2:$D$1000="Après-vente")+('Agences &amp; Après-vente'!$D$2:$D$1000="Agences et Après-vente"))*'Agences &amp; Après-vente'!$E$2:$E$1000)),"yyyy-mm-dd"),"")))))</f>
        <v/>
      </c>
      <c r="J680" s="131" t="str">
        <f aca="false">IF($T680="✓","✓",IF(ISNUMBER($T680),TEXT($T680,"yyyy-mm-dd"),IF($A680="","",IF($D680="Lisbonne","",IF(SUMPRODUCT(('Agences &amp; Après-vente'!$A$2:$A$1000=$A680)*(('Agences &amp; Après-vente'!$D$2:$D$1000="Après-vente")+('Agences &amp; Après-vente'!$D$2:$D$1000="Agences et Après-vente"))*('Agences &amp; Après-vente'!$I$2:$I$1000="DONE"))&gt;0,"✓",IF(SUMPRODUCT(MAX(('Agences &amp; Après-vente'!$A$2:$A$1000=$A680)*(('Agences &amp; Après-vente'!$D$2:$D$1000="Après-vente")+('Agences &amp; Après-vente'!$D$2:$D$1000="Agences et Après-vente"))*'Agences &amp; Après-vente'!$E$2:$E$1000))&gt;0,TEXT(SUMPRODUCT(MAX(('Agences &amp; Après-vente'!$A$2:$A$1000=$A680)*(('Agences &amp; Après-vente'!$D$2:$D$1000="Après-vente")+('Agences &amp; Après-vente'!$D$2:$D$1000="Agences et Après-vente"))*'Agences &amp; Après-vente'!$E$2:$E$1000)),"yyyy-mm-dd"),""))))))</f>
        <v/>
      </c>
      <c r="K680" s="131" t="str">
        <f aca="false">IF($U680="✓","✓",IF(ISNUMBER($U680),TEXT($U680,"yyyy-mm-dd"),IF($D680="Lisbonne","",IF($A680="","",IF(SUMPRODUCT((Evermont!$A$2:$A$1000=$A680)*(Evermont!$Q$2:$Q$1000="Terminé"))&gt;0,"✓",IF(SUMPRODUCT(MAX((Evermont!$A$2:$A$1000=$A680)*Evermont!$F$2:$F$1000))&gt;0,TEXT(SUMPRODUCT(MAX((Evermont!$A$2:$A$1000=$A680)*Evermont!$F$2:$F$1000)),"yyyy-mm-dd"),""))))))</f>
        <v/>
      </c>
      <c r="L680" s="131" t="str">
        <f aca="false">IF($A680="","",COUNTIF(E680:K680,"✓"))</f>
        <v/>
      </c>
      <c r="M680" s="131" t="str">
        <f aca="false">IF(B680="","","Active")</f>
        <v/>
      </c>
      <c r="W680" s="120" t="str">
        <f aca="false">IF($A680="","",IF($X680&lt;&gt;"",$X680,IFERROR(INDEX('Formation Initiale'!$B$2:$B$999,MATCH($A680,'Formation Initiale'!$A$2:$A$999,0)),"Général")))</f>
        <v/>
      </c>
    </row>
    <row r="681" customFormat="false" ht="15" hidden="true" customHeight="true" outlineLevel="0" collapsed="false">
      <c r="A681" s="142" t="str">
        <f aca="false">IF(B681="","","TR"&amp;TEXT(ROW()-1,"000"))</f>
        <v/>
      </c>
      <c r="E681" s="130" t="str">
        <f aca="false">IF($O681="✓","✓",IF(ISNUMBER($O681),TEXT($O681,"yyyy-mm-dd"),IF($A681="","",IF(SUMPRODUCT(('Formation Initiale'!$A$2:$A$999=$A681)*('Formation Initiale'!$R$2:$R$999="Terminé"))&gt;0,"✓",IF(SUMPRODUCT(MAX(('Formation Initiale'!$A$2:$A$999=$A681)*'Formation Initiale'!$G$2:$G$999))&gt;0,TEXT(SUMPRODUCT(MAX(('Formation Initiale'!$A$2:$A$999=$A681)*'Formation Initiale'!$G$2:$G$999)),"yyyy-mm-dd"),"")))))</f>
        <v/>
      </c>
      <c r="F681" s="131" t="str">
        <f aca="false">IF($P681="✓","✓",IF(ISNUMBER($P681),TEXT($P681,"yyyy-mm-dd"),IF($A681="","",IF($D681="Lisbonne","",IF(SUMPRODUCT(('Formation Initiale'!$A$2:$A$999=$A681)*('Formation Initiale'!$R$2:$R$999="Terminé"))&gt;0,"✓",IF(SUMPRODUCT(MAX(('Formation Initiale'!$A$2:$A$999=$A681)*'Formation Initiale'!$G$2:$G$999))&gt;0,TEXT(SUMPRODUCT(MAX(('Formation Initiale'!$A$2:$A$999=$A681)*'Formation Initiale'!$G$2:$G$999)),"yyyy-mm-dd"),""))))))</f>
        <v/>
      </c>
      <c r="G681" s="131" t="str">
        <f aca="false">IF($Q681="✓","✓",IF(ISNUMBER($Q681),TEXT($Q681,"yyyy-mm-dd"),IF($A681="","",IF(SUMPRODUCT(('Agences &amp; Après-vente'!$A$2:$A$1000=$A681)*(('Agences &amp; Après-vente'!$D$2:$D$1000="Agences")+('Agences &amp; Après-vente'!$D$2:$D$1000="Agences et Après-vente"))*('Agences &amp; Après-vente'!$I$2:$I$1000="DONE"))&gt;0,"✓",IF(SUMPRODUCT(MAX(('Agences &amp; Après-vente'!$A$2:$A$1000=$A681)*(('Agences &amp; Après-vente'!$D$2:$D$1000="Agences")+('Agences &amp; Après-vente'!$D$2:$D$1000="Agences et Après-vente"))*'Agences &amp; Après-vente'!$E$2:$E$1000))&gt;0,TEXT(SUMPRODUCT(MAX(('Agences &amp; Après-vente'!$A$2:$A$1000=$A681)*(('Agences &amp; Après-vente'!$D$2:$D$1000="Agences")+('Agences &amp; Après-vente'!$D$2:$D$1000="Agences et Après-vente"))*'Agences &amp; Après-vente'!$E$2:$E$1000)),"yyyy-mm-dd"),"")))))</f>
        <v/>
      </c>
      <c r="H681" s="131" t="str">
        <f aca="false">IF($R681="✓","✓",IF(ISNUMBER($R681),TEXT($R681,"yyyy-mm-dd"),IF($A681="","",IF($D681="Lisbonne","",IF(SUMPRODUCT(('Agences &amp; Après-vente'!$A$2:$A$1000=$A681)*(('Agences &amp; Après-vente'!$D$2:$D$1000="Agences")+('Agences &amp; Après-vente'!$D$2:$D$1000="Agences et Après-vente"))*('Agences &amp; Après-vente'!$I$2:$I$1000="DONE"))&gt;0,"✓",IF(SUMPRODUCT(MAX(('Agences &amp; Après-vente'!$A$2:$A$1000=$A681)*(('Agences &amp; Après-vente'!$D$2:$D$1000="Agences")+('Agences &amp; Après-vente'!$D$2:$D$1000="Agences et Après-vente"))*'Agences &amp; Après-vente'!$E$2:$E$1000))&gt;0,TEXT(SUMPRODUCT(MAX(('Agences &amp; Après-vente'!$A$2:$A$1000=$A681)*(('Agences &amp; Après-vente'!$D$2:$D$1000="Agences")+('Agences &amp; Après-vente'!$D$2:$D$1000="Agences et Après-vente"))*'Agences &amp; Après-vente'!$E$2:$E$1000)),"yyyy-mm-dd"),""))))))</f>
        <v/>
      </c>
      <c r="I681" s="131" t="str">
        <f aca="false">IF($S681="✓","✓",IF(ISNUMBER($S681),TEXT($S681,"yyyy-mm-dd"),IF($A681="","",IF(SUMPRODUCT(('Agences &amp; Après-vente'!$A$2:$A$1000=$A681)*(('Agences &amp; Après-vente'!$D$2:$D$1000="Après-vente")+('Agences &amp; Après-vente'!$D$2:$D$1000="Agences et Après-vente"))*('Agences &amp; Après-vente'!$I$2:$I$1000="DONE"))&gt;0,"✓",IF(SUMPRODUCT(MAX(('Agences &amp; Après-vente'!$A$2:$A$1000=$A681)*(('Agences &amp; Après-vente'!$D$2:$D$1000="Après-vente")+('Agences &amp; Après-vente'!$D$2:$D$1000="Agences et Après-vente"))*'Agences &amp; Après-vente'!$E$2:$E$1000))&gt;0,TEXT(SUMPRODUCT(MAX(('Agences &amp; Après-vente'!$A$2:$A$1000=$A681)*(('Agences &amp; Après-vente'!$D$2:$D$1000="Après-vente")+('Agences &amp; Après-vente'!$D$2:$D$1000="Agences et Après-vente"))*'Agences &amp; Après-vente'!$E$2:$E$1000)),"yyyy-mm-dd"),"")))))</f>
        <v/>
      </c>
      <c r="J681" s="131" t="str">
        <f aca="false">IF($T681="✓","✓",IF(ISNUMBER($T681),TEXT($T681,"yyyy-mm-dd"),IF($A681="","",IF($D681="Lisbonne","",IF(SUMPRODUCT(('Agences &amp; Après-vente'!$A$2:$A$1000=$A681)*(('Agences &amp; Après-vente'!$D$2:$D$1000="Après-vente")+('Agences &amp; Après-vente'!$D$2:$D$1000="Agences et Après-vente"))*('Agences &amp; Après-vente'!$I$2:$I$1000="DONE"))&gt;0,"✓",IF(SUMPRODUCT(MAX(('Agences &amp; Après-vente'!$A$2:$A$1000=$A681)*(('Agences &amp; Après-vente'!$D$2:$D$1000="Après-vente")+('Agences &amp; Après-vente'!$D$2:$D$1000="Agences et Après-vente"))*'Agences &amp; Après-vente'!$E$2:$E$1000))&gt;0,TEXT(SUMPRODUCT(MAX(('Agences &amp; Après-vente'!$A$2:$A$1000=$A681)*(('Agences &amp; Après-vente'!$D$2:$D$1000="Après-vente")+('Agences &amp; Après-vente'!$D$2:$D$1000="Agences et Après-vente"))*'Agences &amp; Après-vente'!$E$2:$E$1000)),"yyyy-mm-dd"),""))))))</f>
        <v/>
      </c>
      <c r="K681" s="131" t="str">
        <f aca="false">IF($U681="✓","✓",IF(ISNUMBER($U681),TEXT($U681,"yyyy-mm-dd"),IF($D681="Lisbonne","",IF($A681="","",IF(SUMPRODUCT((Evermont!$A$2:$A$1000=$A681)*(Evermont!$Q$2:$Q$1000="Terminé"))&gt;0,"✓",IF(SUMPRODUCT(MAX((Evermont!$A$2:$A$1000=$A681)*Evermont!$F$2:$F$1000))&gt;0,TEXT(SUMPRODUCT(MAX((Evermont!$A$2:$A$1000=$A681)*Evermont!$F$2:$F$1000)),"yyyy-mm-dd"),""))))))</f>
        <v/>
      </c>
      <c r="L681" s="131" t="str">
        <f aca="false">IF($A681="","",COUNTIF(E681:K681,"✓"))</f>
        <v/>
      </c>
      <c r="M681" s="131" t="str">
        <f aca="false">IF(B681="","","Active")</f>
        <v/>
      </c>
      <c r="W681" s="120" t="str">
        <f aca="false">IF($A681="","",IF($X681&lt;&gt;"",$X681,IFERROR(INDEX('Formation Initiale'!$B$2:$B$999,MATCH($A681,'Formation Initiale'!$A$2:$A$999,0)),"Général")))</f>
        <v/>
      </c>
    </row>
    <row r="682" customFormat="false" ht="15" hidden="true" customHeight="true" outlineLevel="0" collapsed="false">
      <c r="A682" s="142" t="str">
        <f aca="false">IF(B682="","","TR"&amp;TEXT(ROW()-1,"000"))</f>
        <v/>
      </c>
      <c r="E682" s="130" t="str">
        <f aca="false">IF($O682="✓","✓",IF(ISNUMBER($O682),TEXT($O682,"yyyy-mm-dd"),IF($A682="","",IF(SUMPRODUCT(('Formation Initiale'!$A$2:$A$999=$A682)*('Formation Initiale'!$R$2:$R$999="Terminé"))&gt;0,"✓",IF(SUMPRODUCT(MAX(('Formation Initiale'!$A$2:$A$999=$A682)*'Formation Initiale'!$G$2:$G$999))&gt;0,TEXT(SUMPRODUCT(MAX(('Formation Initiale'!$A$2:$A$999=$A682)*'Formation Initiale'!$G$2:$G$999)),"yyyy-mm-dd"),"")))))</f>
        <v/>
      </c>
      <c r="F682" s="131" t="str">
        <f aca="false">IF($P682="✓","✓",IF(ISNUMBER($P682),TEXT($P682,"yyyy-mm-dd"),IF($A682="","",IF($D682="Lisbonne","",IF(SUMPRODUCT(('Formation Initiale'!$A$2:$A$999=$A682)*('Formation Initiale'!$R$2:$R$999="Terminé"))&gt;0,"✓",IF(SUMPRODUCT(MAX(('Formation Initiale'!$A$2:$A$999=$A682)*'Formation Initiale'!$G$2:$G$999))&gt;0,TEXT(SUMPRODUCT(MAX(('Formation Initiale'!$A$2:$A$999=$A682)*'Formation Initiale'!$G$2:$G$999)),"yyyy-mm-dd"),""))))))</f>
        <v/>
      </c>
      <c r="G682" s="131" t="str">
        <f aca="false">IF($Q682="✓","✓",IF(ISNUMBER($Q682),TEXT($Q682,"yyyy-mm-dd"),IF($A682="","",IF(SUMPRODUCT(('Agences &amp; Après-vente'!$A$2:$A$1000=$A682)*(('Agences &amp; Après-vente'!$D$2:$D$1000="Agences")+('Agences &amp; Après-vente'!$D$2:$D$1000="Agences et Après-vente"))*('Agences &amp; Après-vente'!$I$2:$I$1000="DONE"))&gt;0,"✓",IF(SUMPRODUCT(MAX(('Agences &amp; Après-vente'!$A$2:$A$1000=$A682)*(('Agences &amp; Après-vente'!$D$2:$D$1000="Agences")+('Agences &amp; Après-vente'!$D$2:$D$1000="Agences et Après-vente"))*'Agences &amp; Après-vente'!$E$2:$E$1000))&gt;0,TEXT(SUMPRODUCT(MAX(('Agences &amp; Après-vente'!$A$2:$A$1000=$A682)*(('Agences &amp; Après-vente'!$D$2:$D$1000="Agences")+('Agences &amp; Après-vente'!$D$2:$D$1000="Agences et Après-vente"))*'Agences &amp; Après-vente'!$E$2:$E$1000)),"yyyy-mm-dd"),"")))))</f>
        <v/>
      </c>
      <c r="H682" s="131" t="str">
        <f aca="false">IF($R682="✓","✓",IF(ISNUMBER($R682),TEXT($R682,"yyyy-mm-dd"),IF($A682="","",IF($D682="Lisbonne","",IF(SUMPRODUCT(('Agences &amp; Après-vente'!$A$2:$A$1000=$A682)*(('Agences &amp; Après-vente'!$D$2:$D$1000="Agences")+('Agences &amp; Après-vente'!$D$2:$D$1000="Agences et Après-vente"))*('Agences &amp; Après-vente'!$I$2:$I$1000="DONE"))&gt;0,"✓",IF(SUMPRODUCT(MAX(('Agences &amp; Après-vente'!$A$2:$A$1000=$A682)*(('Agences &amp; Après-vente'!$D$2:$D$1000="Agences")+('Agences &amp; Après-vente'!$D$2:$D$1000="Agences et Après-vente"))*'Agences &amp; Après-vente'!$E$2:$E$1000))&gt;0,TEXT(SUMPRODUCT(MAX(('Agences &amp; Après-vente'!$A$2:$A$1000=$A682)*(('Agences &amp; Après-vente'!$D$2:$D$1000="Agences")+('Agences &amp; Après-vente'!$D$2:$D$1000="Agences et Après-vente"))*'Agences &amp; Après-vente'!$E$2:$E$1000)),"yyyy-mm-dd"),""))))))</f>
        <v/>
      </c>
      <c r="I682" s="131" t="str">
        <f aca="false">IF($S682="✓","✓",IF(ISNUMBER($S682),TEXT($S682,"yyyy-mm-dd"),IF($A682="","",IF(SUMPRODUCT(('Agences &amp; Après-vente'!$A$2:$A$1000=$A682)*(('Agences &amp; Après-vente'!$D$2:$D$1000="Après-vente")+('Agences &amp; Après-vente'!$D$2:$D$1000="Agences et Après-vente"))*('Agences &amp; Après-vente'!$I$2:$I$1000="DONE"))&gt;0,"✓",IF(SUMPRODUCT(MAX(('Agences &amp; Après-vente'!$A$2:$A$1000=$A682)*(('Agences &amp; Après-vente'!$D$2:$D$1000="Après-vente")+('Agences &amp; Après-vente'!$D$2:$D$1000="Agences et Après-vente"))*'Agences &amp; Après-vente'!$E$2:$E$1000))&gt;0,TEXT(SUMPRODUCT(MAX(('Agences &amp; Après-vente'!$A$2:$A$1000=$A682)*(('Agences &amp; Après-vente'!$D$2:$D$1000="Après-vente")+('Agences &amp; Après-vente'!$D$2:$D$1000="Agences et Après-vente"))*'Agences &amp; Après-vente'!$E$2:$E$1000)),"yyyy-mm-dd"),"")))))</f>
        <v/>
      </c>
      <c r="J682" s="131" t="str">
        <f aca="false">IF($T682="✓","✓",IF(ISNUMBER($T682),TEXT($T682,"yyyy-mm-dd"),IF($A682="","",IF($D682="Lisbonne","",IF(SUMPRODUCT(('Agences &amp; Après-vente'!$A$2:$A$1000=$A682)*(('Agences &amp; Après-vente'!$D$2:$D$1000="Après-vente")+('Agences &amp; Après-vente'!$D$2:$D$1000="Agences et Après-vente"))*('Agences &amp; Après-vente'!$I$2:$I$1000="DONE"))&gt;0,"✓",IF(SUMPRODUCT(MAX(('Agences &amp; Après-vente'!$A$2:$A$1000=$A682)*(('Agences &amp; Après-vente'!$D$2:$D$1000="Après-vente")+('Agences &amp; Après-vente'!$D$2:$D$1000="Agences et Après-vente"))*'Agences &amp; Après-vente'!$E$2:$E$1000))&gt;0,TEXT(SUMPRODUCT(MAX(('Agences &amp; Après-vente'!$A$2:$A$1000=$A682)*(('Agences &amp; Après-vente'!$D$2:$D$1000="Après-vente")+('Agences &amp; Après-vente'!$D$2:$D$1000="Agences et Après-vente"))*'Agences &amp; Après-vente'!$E$2:$E$1000)),"yyyy-mm-dd"),""))))))</f>
        <v/>
      </c>
      <c r="K682" s="131" t="str">
        <f aca="false">IF($U682="✓","✓",IF(ISNUMBER($U682),TEXT($U682,"yyyy-mm-dd"),IF($D682="Lisbonne","",IF($A682="","",IF(SUMPRODUCT((Evermont!$A$2:$A$1000=$A682)*(Evermont!$Q$2:$Q$1000="Terminé"))&gt;0,"✓",IF(SUMPRODUCT(MAX((Evermont!$A$2:$A$1000=$A682)*Evermont!$F$2:$F$1000))&gt;0,TEXT(SUMPRODUCT(MAX((Evermont!$A$2:$A$1000=$A682)*Evermont!$F$2:$F$1000)),"yyyy-mm-dd"),""))))))</f>
        <v/>
      </c>
      <c r="L682" s="131" t="str">
        <f aca="false">IF($A682="","",COUNTIF(E682:K682,"✓"))</f>
        <v/>
      </c>
      <c r="M682" s="131" t="str">
        <f aca="false">IF(B682="","","Active")</f>
        <v/>
      </c>
      <c r="W682" s="120" t="str">
        <f aca="false">IF($A682="","",IF($X682&lt;&gt;"",$X682,IFERROR(INDEX('Formation Initiale'!$B$2:$B$999,MATCH($A682,'Formation Initiale'!$A$2:$A$999,0)),"Général")))</f>
        <v/>
      </c>
    </row>
    <row r="683" customFormat="false" ht="15" hidden="true" customHeight="true" outlineLevel="0" collapsed="false">
      <c r="A683" s="142" t="str">
        <f aca="false">IF(B683="","","TR"&amp;TEXT(ROW()-1,"000"))</f>
        <v/>
      </c>
      <c r="E683" s="130" t="str">
        <f aca="false">IF($O683="✓","✓",IF(ISNUMBER($O683),TEXT($O683,"yyyy-mm-dd"),IF($A683="","",IF(SUMPRODUCT(('Formation Initiale'!$A$2:$A$999=$A683)*('Formation Initiale'!$R$2:$R$999="Terminé"))&gt;0,"✓",IF(SUMPRODUCT(MAX(('Formation Initiale'!$A$2:$A$999=$A683)*'Formation Initiale'!$G$2:$G$999))&gt;0,TEXT(SUMPRODUCT(MAX(('Formation Initiale'!$A$2:$A$999=$A683)*'Formation Initiale'!$G$2:$G$999)),"yyyy-mm-dd"),"")))))</f>
        <v/>
      </c>
      <c r="F683" s="131" t="str">
        <f aca="false">IF($P683="✓","✓",IF(ISNUMBER($P683),TEXT($P683,"yyyy-mm-dd"),IF($A683="","",IF($D683="Lisbonne","",IF(SUMPRODUCT(('Formation Initiale'!$A$2:$A$999=$A683)*('Formation Initiale'!$R$2:$R$999="Terminé"))&gt;0,"✓",IF(SUMPRODUCT(MAX(('Formation Initiale'!$A$2:$A$999=$A683)*'Formation Initiale'!$G$2:$G$999))&gt;0,TEXT(SUMPRODUCT(MAX(('Formation Initiale'!$A$2:$A$999=$A683)*'Formation Initiale'!$G$2:$G$999)),"yyyy-mm-dd"),""))))))</f>
        <v/>
      </c>
      <c r="G683" s="131" t="str">
        <f aca="false">IF($Q683="✓","✓",IF(ISNUMBER($Q683),TEXT($Q683,"yyyy-mm-dd"),IF($A683="","",IF(SUMPRODUCT(('Agences &amp; Après-vente'!$A$2:$A$1000=$A683)*(('Agences &amp; Après-vente'!$D$2:$D$1000="Agences")+('Agences &amp; Après-vente'!$D$2:$D$1000="Agences et Après-vente"))*('Agences &amp; Après-vente'!$I$2:$I$1000="DONE"))&gt;0,"✓",IF(SUMPRODUCT(MAX(('Agences &amp; Après-vente'!$A$2:$A$1000=$A683)*(('Agences &amp; Après-vente'!$D$2:$D$1000="Agences")+('Agences &amp; Après-vente'!$D$2:$D$1000="Agences et Après-vente"))*'Agences &amp; Après-vente'!$E$2:$E$1000))&gt;0,TEXT(SUMPRODUCT(MAX(('Agences &amp; Après-vente'!$A$2:$A$1000=$A683)*(('Agences &amp; Après-vente'!$D$2:$D$1000="Agences")+('Agences &amp; Après-vente'!$D$2:$D$1000="Agences et Après-vente"))*'Agences &amp; Après-vente'!$E$2:$E$1000)),"yyyy-mm-dd"),"")))))</f>
        <v/>
      </c>
      <c r="H683" s="131" t="str">
        <f aca="false">IF($R683="✓","✓",IF(ISNUMBER($R683),TEXT($R683,"yyyy-mm-dd"),IF($A683="","",IF($D683="Lisbonne","",IF(SUMPRODUCT(('Agences &amp; Après-vente'!$A$2:$A$1000=$A683)*(('Agences &amp; Après-vente'!$D$2:$D$1000="Agences")+('Agences &amp; Après-vente'!$D$2:$D$1000="Agences et Après-vente"))*('Agences &amp; Après-vente'!$I$2:$I$1000="DONE"))&gt;0,"✓",IF(SUMPRODUCT(MAX(('Agences &amp; Après-vente'!$A$2:$A$1000=$A683)*(('Agences &amp; Après-vente'!$D$2:$D$1000="Agences")+('Agences &amp; Après-vente'!$D$2:$D$1000="Agences et Après-vente"))*'Agences &amp; Après-vente'!$E$2:$E$1000))&gt;0,TEXT(SUMPRODUCT(MAX(('Agences &amp; Après-vente'!$A$2:$A$1000=$A683)*(('Agences &amp; Après-vente'!$D$2:$D$1000="Agences")+('Agences &amp; Après-vente'!$D$2:$D$1000="Agences et Après-vente"))*'Agences &amp; Après-vente'!$E$2:$E$1000)),"yyyy-mm-dd"),""))))))</f>
        <v/>
      </c>
      <c r="I683" s="131" t="str">
        <f aca="false">IF($S683="✓","✓",IF(ISNUMBER($S683),TEXT($S683,"yyyy-mm-dd"),IF($A683="","",IF(SUMPRODUCT(('Agences &amp; Après-vente'!$A$2:$A$1000=$A683)*(('Agences &amp; Après-vente'!$D$2:$D$1000="Après-vente")+('Agences &amp; Après-vente'!$D$2:$D$1000="Agences et Après-vente"))*('Agences &amp; Après-vente'!$I$2:$I$1000="DONE"))&gt;0,"✓",IF(SUMPRODUCT(MAX(('Agences &amp; Après-vente'!$A$2:$A$1000=$A683)*(('Agences &amp; Après-vente'!$D$2:$D$1000="Après-vente")+('Agences &amp; Après-vente'!$D$2:$D$1000="Agences et Après-vente"))*'Agences &amp; Après-vente'!$E$2:$E$1000))&gt;0,TEXT(SUMPRODUCT(MAX(('Agences &amp; Après-vente'!$A$2:$A$1000=$A683)*(('Agences &amp; Après-vente'!$D$2:$D$1000="Après-vente")+('Agences &amp; Après-vente'!$D$2:$D$1000="Agences et Après-vente"))*'Agences &amp; Après-vente'!$E$2:$E$1000)),"yyyy-mm-dd"),"")))))</f>
        <v/>
      </c>
      <c r="J683" s="131" t="str">
        <f aca="false">IF($T683="✓","✓",IF(ISNUMBER($T683),TEXT($T683,"yyyy-mm-dd"),IF($A683="","",IF($D683="Lisbonne","",IF(SUMPRODUCT(('Agences &amp; Après-vente'!$A$2:$A$1000=$A683)*(('Agences &amp; Après-vente'!$D$2:$D$1000="Après-vente")+('Agences &amp; Après-vente'!$D$2:$D$1000="Agences et Après-vente"))*('Agences &amp; Après-vente'!$I$2:$I$1000="DONE"))&gt;0,"✓",IF(SUMPRODUCT(MAX(('Agences &amp; Après-vente'!$A$2:$A$1000=$A683)*(('Agences &amp; Après-vente'!$D$2:$D$1000="Après-vente")+('Agences &amp; Après-vente'!$D$2:$D$1000="Agences et Après-vente"))*'Agences &amp; Après-vente'!$E$2:$E$1000))&gt;0,TEXT(SUMPRODUCT(MAX(('Agences &amp; Après-vente'!$A$2:$A$1000=$A683)*(('Agences &amp; Après-vente'!$D$2:$D$1000="Après-vente")+('Agences &amp; Après-vente'!$D$2:$D$1000="Agences et Après-vente"))*'Agences &amp; Après-vente'!$E$2:$E$1000)),"yyyy-mm-dd"),""))))))</f>
        <v/>
      </c>
      <c r="K683" s="131" t="str">
        <f aca="false">IF($U683="✓","✓",IF(ISNUMBER($U683),TEXT($U683,"yyyy-mm-dd"),IF($D683="Lisbonne","",IF($A683="","",IF(SUMPRODUCT((Evermont!$A$2:$A$1000=$A683)*(Evermont!$Q$2:$Q$1000="Terminé"))&gt;0,"✓",IF(SUMPRODUCT(MAX((Evermont!$A$2:$A$1000=$A683)*Evermont!$F$2:$F$1000))&gt;0,TEXT(SUMPRODUCT(MAX((Evermont!$A$2:$A$1000=$A683)*Evermont!$F$2:$F$1000)),"yyyy-mm-dd"),""))))))</f>
        <v/>
      </c>
      <c r="L683" s="131" t="str">
        <f aca="false">IF($A683="","",COUNTIF(E683:K683,"✓"))</f>
        <v/>
      </c>
      <c r="M683" s="131" t="str">
        <f aca="false">IF(B683="","","Active")</f>
        <v/>
      </c>
      <c r="W683" s="120" t="str">
        <f aca="false">IF($A683="","",IF($X683&lt;&gt;"",$X683,IFERROR(INDEX('Formation Initiale'!$B$2:$B$999,MATCH($A683,'Formation Initiale'!$A$2:$A$999,0)),"Général")))</f>
        <v/>
      </c>
    </row>
    <row r="684" customFormat="false" ht="15" hidden="true" customHeight="true" outlineLevel="0" collapsed="false">
      <c r="A684" s="142" t="str">
        <f aca="false">IF(B684="","","TR"&amp;TEXT(ROW()-1,"000"))</f>
        <v/>
      </c>
      <c r="E684" s="130" t="str">
        <f aca="false">IF($O684="✓","✓",IF(ISNUMBER($O684),TEXT($O684,"yyyy-mm-dd"),IF($A684="","",IF(SUMPRODUCT(('Formation Initiale'!$A$2:$A$999=$A684)*('Formation Initiale'!$R$2:$R$999="Terminé"))&gt;0,"✓",IF(SUMPRODUCT(MAX(('Formation Initiale'!$A$2:$A$999=$A684)*'Formation Initiale'!$G$2:$G$999))&gt;0,TEXT(SUMPRODUCT(MAX(('Formation Initiale'!$A$2:$A$999=$A684)*'Formation Initiale'!$G$2:$G$999)),"yyyy-mm-dd"),"")))))</f>
        <v/>
      </c>
      <c r="F684" s="131" t="str">
        <f aca="false">IF($P684="✓","✓",IF(ISNUMBER($P684),TEXT($P684,"yyyy-mm-dd"),IF($A684="","",IF($D684="Lisbonne","",IF(SUMPRODUCT(('Formation Initiale'!$A$2:$A$999=$A684)*('Formation Initiale'!$R$2:$R$999="Terminé"))&gt;0,"✓",IF(SUMPRODUCT(MAX(('Formation Initiale'!$A$2:$A$999=$A684)*'Formation Initiale'!$G$2:$G$999))&gt;0,TEXT(SUMPRODUCT(MAX(('Formation Initiale'!$A$2:$A$999=$A684)*'Formation Initiale'!$G$2:$G$999)),"yyyy-mm-dd"),""))))))</f>
        <v/>
      </c>
      <c r="G684" s="131" t="str">
        <f aca="false">IF($Q684="✓","✓",IF(ISNUMBER($Q684),TEXT($Q684,"yyyy-mm-dd"),IF($A684="","",IF(SUMPRODUCT(('Agences &amp; Après-vente'!$A$2:$A$1000=$A684)*(('Agences &amp; Après-vente'!$D$2:$D$1000="Agences")+('Agences &amp; Après-vente'!$D$2:$D$1000="Agences et Après-vente"))*('Agences &amp; Après-vente'!$I$2:$I$1000="DONE"))&gt;0,"✓",IF(SUMPRODUCT(MAX(('Agences &amp; Après-vente'!$A$2:$A$1000=$A684)*(('Agences &amp; Après-vente'!$D$2:$D$1000="Agences")+('Agences &amp; Après-vente'!$D$2:$D$1000="Agences et Après-vente"))*'Agences &amp; Après-vente'!$E$2:$E$1000))&gt;0,TEXT(SUMPRODUCT(MAX(('Agences &amp; Après-vente'!$A$2:$A$1000=$A684)*(('Agences &amp; Après-vente'!$D$2:$D$1000="Agences")+('Agences &amp; Après-vente'!$D$2:$D$1000="Agences et Après-vente"))*'Agences &amp; Après-vente'!$E$2:$E$1000)),"yyyy-mm-dd"),"")))))</f>
        <v/>
      </c>
      <c r="H684" s="131" t="str">
        <f aca="false">IF($R684="✓","✓",IF(ISNUMBER($R684),TEXT($R684,"yyyy-mm-dd"),IF($A684="","",IF($D684="Lisbonne","",IF(SUMPRODUCT(('Agences &amp; Après-vente'!$A$2:$A$1000=$A684)*(('Agences &amp; Après-vente'!$D$2:$D$1000="Agences")+('Agences &amp; Après-vente'!$D$2:$D$1000="Agences et Après-vente"))*('Agences &amp; Après-vente'!$I$2:$I$1000="DONE"))&gt;0,"✓",IF(SUMPRODUCT(MAX(('Agences &amp; Après-vente'!$A$2:$A$1000=$A684)*(('Agences &amp; Après-vente'!$D$2:$D$1000="Agences")+('Agences &amp; Après-vente'!$D$2:$D$1000="Agences et Après-vente"))*'Agences &amp; Après-vente'!$E$2:$E$1000))&gt;0,TEXT(SUMPRODUCT(MAX(('Agences &amp; Après-vente'!$A$2:$A$1000=$A684)*(('Agences &amp; Après-vente'!$D$2:$D$1000="Agences")+('Agences &amp; Après-vente'!$D$2:$D$1000="Agences et Après-vente"))*'Agences &amp; Après-vente'!$E$2:$E$1000)),"yyyy-mm-dd"),""))))))</f>
        <v/>
      </c>
      <c r="I684" s="131" t="str">
        <f aca="false">IF($S684="✓","✓",IF(ISNUMBER($S684),TEXT($S684,"yyyy-mm-dd"),IF($A684="","",IF(SUMPRODUCT(('Agences &amp; Après-vente'!$A$2:$A$1000=$A684)*(('Agences &amp; Après-vente'!$D$2:$D$1000="Après-vente")+('Agences &amp; Après-vente'!$D$2:$D$1000="Agences et Après-vente"))*('Agences &amp; Après-vente'!$I$2:$I$1000="DONE"))&gt;0,"✓",IF(SUMPRODUCT(MAX(('Agences &amp; Après-vente'!$A$2:$A$1000=$A684)*(('Agences &amp; Après-vente'!$D$2:$D$1000="Après-vente")+('Agences &amp; Après-vente'!$D$2:$D$1000="Agences et Après-vente"))*'Agences &amp; Après-vente'!$E$2:$E$1000))&gt;0,TEXT(SUMPRODUCT(MAX(('Agences &amp; Après-vente'!$A$2:$A$1000=$A684)*(('Agences &amp; Après-vente'!$D$2:$D$1000="Après-vente")+('Agences &amp; Après-vente'!$D$2:$D$1000="Agences et Après-vente"))*'Agences &amp; Après-vente'!$E$2:$E$1000)),"yyyy-mm-dd"),"")))))</f>
        <v/>
      </c>
      <c r="J684" s="131" t="str">
        <f aca="false">IF($T684="✓","✓",IF(ISNUMBER($T684),TEXT($T684,"yyyy-mm-dd"),IF($A684="","",IF($D684="Lisbonne","",IF(SUMPRODUCT(('Agences &amp; Après-vente'!$A$2:$A$1000=$A684)*(('Agences &amp; Après-vente'!$D$2:$D$1000="Après-vente")+('Agences &amp; Après-vente'!$D$2:$D$1000="Agences et Après-vente"))*('Agences &amp; Après-vente'!$I$2:$I$1000="DONE"))&gt;0,"✓",IF(SUMPRODUCT(MAX(('Agences &amp; Après-vente'!$A$2:$A$1000=$A684)*(('Agences &amp; Après-vente'!$D$2:$D$1000="Après-vente")+('Agences &amp; Après-vente'!$D$2:$D$1000="Agences et Après-vente"))*'Agences &amp; Après-vente'!$E$2:$E$1000))&gt;0,TEXT(SUMPRODUCT(MAX(('Agences &amp; Après-vente'!$A$2:$A$1000=$A684)*(('Agences &amp; Après-vente'!$D$2:$D$1000="Après-vente")+('Agences &amp; Après-vente'!$D$2:$D$1000="Agences et Après-vente"))*'Agences &amp; Après-vente'!$E$2:$E$1000)),"yyyy-mm-dd"),""))))))</f>
        <v/>
      </c>
      <c r="K684" s="131" t="str">
        <f aca="false">IF($U684="✓","✓",IF(ISNUMBER($U684),TEXT($U684,"yyyy-mm-dd"),IF($D684="Lisbonne","",IF($A684="","",IF(SUMPRODUCT((Evermont!$A$2:$A$1000=$A684)*(Evermont!$Q$2:$Q$1000="Terminé"))&gt;0,"✓",IF(SUMPRODUCT(MAX((Evermont!$A$2:$A$1000=$A684)*Evermont!$F$2:$F$1000))&gt;0,TEXT(SUMPRODUCT(MAX((Evermont!$A$2:$A$1000=$A684)*Evermont!$F$2:$F$1000)),"yyyy-mm-dd"),""))))))</f>
        <v/>
      </c>
      <c r="L684" s="131" t="str">
        <f aca="false">IF($A684="","",COUNTIF(E684:K684,"✓"))</f>
        <v/>
      </c>
      <c r="M684" s="131" t="str">
        <f aca="false">IF(B684="","","Active")</f>
        <v/>
      </c>
      <c r="W684" s="120" t="str">
        <f aca="false">IF($A684="","",IF($X684&lt;&gt;"",$X684,IFERROR(INDEX('Formation Initiale'!$B$2:$B$999,MATCH($A684,'Formation Initiale'!$A$2:$A$999,0)),"Général")))</f>
        <v/>
      </c>
    </row>
    <row r="685" customFormat="false" ht="15" hidden="true" customHeight="true" outlineLevel="0" collapsed="false">
      <c r="A685" s="142" t="str">
        <f aca="false">IF(B685="","","TR"&amp;TEXT(ROW()-1,"000"))</f>
        <v/>
      </c>
      <c r="E685" s="130" t="str">
        <f aca="false">IF($O685="✓","✓",IF(ISNUMBER($O685),TEXT($O685,"yyyy-mm-dd"),IF($A685="","",IF(SUMPRODUCT(('Formation Initiale'!$A$2:$A$999=$A685)*('Formation Initiale'!$R$2:$R$999="Terminé"))&gt;0,"✓",IF(SUMPRODUCT(MAX(('Formation Initiale'!$A$2:$A$999=$A685)*'Formation Initiale'!$G$2:$G$999))&gt;0,TEXT(SUMPRODUCT(MAX(('Formation Initiale'!$A$2:$A$999=$A685)*'Formation Initiale'!$G$2:$G$999)),"yyyy-mm-dd"),"")))))</f>
        <v/>
      </c>
      <c r="F685" s="131" t="str">
        <f aca="false">IF($P685="✓","✓",IF(ISNUMBER($P685),TEXT($P685,"yyyy-mm-dd"),IF($A685="","",IF($D685="Lisbonne","",IF(SUMPRODUCT(('Formation Initiale'!$A$2:$A$999=$A685)*('Formation Initiale'!$R$2:$R$999="Terminé"))&gt;0,"✓",IF(SUMPRODUCT(MAX(('Formation Initiale'!$A$2:$A$999=$A685)*'Formation Initiale'!$G$2:$G$999))&gt;0,TEXT(SUMPRODUCT(MAX(('Formation Initiale'!$A$2:$A$999=$A685)*'Formation Initiale'!$G$2:$G$999)),"yyyy-mm-dd"),""))))))</f>
        <v/>
      </c>
      <c r="G685" s="131" t="str">
        <f aca="false">IF($Q685="✓","✓",IF(ISNUMBER($Q685),TEXT($Q685,"yyyy-mm-dd"),IF($A685="","",IF(SUMPRODUCT(('Agences &amp; Après-vente'!$A$2:$A$1000=$A685)*(('Agences &amp; Après-vente'!$D$2:$D$1000="Agences")+('Agences &amp; Après-vente'!$D$2:$D$1000="Agences et Après-vente"))*('Agences &amp; Après-vente'!$I$2:$I$1000="DONE"))&gt;0,"✓",IF(SUMPRODUCT(MAX(('Agences &amp; Après-vente'!$A$2:$A$1000=$A685)*(('Agences &amp; Après-vente'!$D$2:$D$1000="Agences")+('Agences &amp; Après-vente'!$D$2:$D$1000="Agences et Après-vente"))*'Agences &amp; Après-vente'!$E$2:$E$1000))&gt;0,TEXT(SUMPRODUCT(MAX(('Agences &amp; Après-vente'!$A$2:$A$1000=$A685)*(('Agences &amp; Après-vente'!$D$2:$D$1000="Agences")+('Agences &amp; Après-vente'!$D$2:$D$1000="Agences et Après-vente"))*'Agences &amp; Après-vente'!$E$2:$E$1000)),"yyyy-mm-dd"),"")))))</f>
        <v/>
      </c>
      <c r="H685" s="131" t="str">
        <f aca="false">IF($R685="✓","✓",IF(ISNUMBER($R685),TEXT($R685,"yyyy-mm-dd"),IF($A685="","",IF($D685="Lisbonne","",IF(SUMPRODUCT(('Agences &amp; Après-vente'!$A$2:$A$1000=$A685)*(('Agences &amp; Après-vente'!$D$2:$D$1000="Agences")+('Agences &amp; Après-vente'!$D$2:$D$1000="Agences et Après-vente"))*('Agences &amp; Après-vente'!$I$2:$I$1000="DONE"))&gt;0,"✓",IF(SUMPRODUCT(MAX(('Agences &amp; Après-vente'!$A$2:$A$1000=$A685)*(('Agences &amp; Après-vente'!$D$2:$D$1000="Agences")+('Agences &amp; Après-vente'!$D$2:$D$1000="Agences et Après-vente"))*'Agences &amp; Après-vente'!$E$2:$E$1000))&gt;0,TEXT(SUMPRODUCT(MAX(('Agences &amp; Après-vente'!$A$2:$A$1000=$A685)*(('Agences &amp; Après-vente'!$D$2:$D$1000="Agences")+('Agences &amp; Après-vente'!$D$2:$D$1000="Agences et Après-vente"))*'Agences &amp; Après-vente'!$E$2:$E$1000)),"yyyy-mm-dd"),""))))))</f>
        <v/>
      </c>
      <c r="I685" s="131" t="str">
        <f aca="false">IF($S685="✓","✓",IF(ISNUMBER($S685),TEXT($S685,"yyyy-mm-dd"),IF($A685="","",IF(SUMPRODUCT(('Agences &amp; Après-vente'!$A$2:$A$1000=$A685)*(('Agences &amp; Après-vente'!$D$2:$D$1000="Après-vente")+('Agences &amp; Après-vente'!$D$2:$D$1000="Agences et Après-vente"))*('Agences &amp; Après-vente'!$I$2:$I$1000="DONE"))&gt;0,"✓",IF(SUMPRODUCT(MAX(('Agences &amp; Après-vente'!$A$2:$A$1000=$A685)*(('Agences &amp; Après-vente'!$D$2:$D$1000="Après-vente")+('Agences &amp; Après-vente'!$D$2:$D$1000="Agences et Après-vente"))*'Agences &amp; Après-vente'!$E$2:$E$1000))&gt;0,TEXT(SUMPRODUCT(MAX(('Agences &amp; Après-vente'!$A$2:$A$1000=$A685)*(('Agences &amp; Après-vente'!$D$2:$D$1000="Après-vente")+('Agences &amp; Après-vente'!$D$2:$D$1000="Agences et Après-vente"))*'Agences &amp; Après-vente'!$E$2:$E$1000)),"yyyy-mm-dd"),"")))))</f>
        <v/>
      </c>
      <c r="J685" s="131" t="str">
        <f aca="false">IF($T685="✓","✓",IF(ISNUMBER($T685),TEXT($T685,"yyyy-mm-dd"),IF($A685="","",IF($D685="Lisbonne","",IF(SUMPRODUCT(('Agences &amp; Après-vente'!$A$2:$A$1000=$A685)*(('Agences &amp; Après-vente'!$D$2:$D$1000="Après-vente")+('Agences &amp; Après-vente'!$D$2:$D$1000="Agences et Après-vente"))*('Agences &amp; Après-vente'!$I$2:$I$1000="DONE"))&gt;0,"✓",IF(SUMPRODUCT(MAX(('Agences &amp; Après-vente'!$A$2:$A$1000=$A685)*(('Agences &amp; Après-vente'!$D$2:$D$1000="Après-vente")+('Agences &amp; Après-vente'!$D$2:$D$1000="Agences et Après-vente"))*'Agences &amp; Après-vente'!$E$2:$E$1000))&gt;0,TEXT(SUMPRODUCT(MAX(('Agences &amp; Après-vente'!$A$2:$A$1000=$A685)*(('Agences &amp; Après-vente'!$D$2:$D$1000="Après-vente")+('Agences &amp; Après-vente'!$D$2:$D$1000="Agences et Après-vente"))*'Agences &amp; Après-vente'!$E$2:$E$1000)),"yyyy-mm-dd"),""))))))</f>
        <v/>
      </c>
      <c r="K685" s="131" t="str">
        <f aca="false">IF($U685="✓","✓",IF(ISNUMBER($U685),TEXT($U685,"yyyy-mm-dd"),IF($D685="Lisbonne","",IF($A685="","",IF(SUMPRODUCT((Evermont!$A$2:$A$1000=$A685)*(Evermont!$Q$2:$Q$1000="Terminé"))&gt;0,"✓",IF(SUMPRODUCT(MAX((Evermont!$A$2:$A$1000=$A685)*Evermont!$F$2:$F$1000))&gt;0,TEXT(SUMPRODUCT(MAX((Evermont!$A$2:$A$1000=$A685)*Evermont!$F$2:$F$1000)),"yyyy-mm-dd"),""))))))</f>
        <v/>
      </c>
      <c r="L685" s="131" t="str">
        <f aca="false">IF($A685="","",COUNTIF(E685:K685,"✓"))</f>
        <v/>
      </c>
      <c r="M685" s="131" t="str">
        <f aca="false">IF(B685="","","Active")</f>
        <v/>
      </c>
      <c r="W685" s="120" t="str">
        <f aca="false">IF($A685="","",IF($X685&lt;&gt;"",$X685,IFERROR(INDEX('Formation Initiale'!$B$2:$B$999,MATCH($A685,'Formation Initiale'!$A$2:$A$999,0)),"Général")))</f>
        <v/>
      </c>
    </row>
    <row r="686" customFormat="false" ht="15" hidden="true" customHeight="true" outlineLevel="0" collapsed="false">
      <c r="A686" s="142" t="str">
        <f aca="false">IF(B686="","","TR"&amp;TEXT(ROW()-1,"000"))</f>
        <v/>
      </c>
      <c r="E686" s="130" t="str">
        <f aca="false">IF($O686="✓","✓",IF(ISNUMBER($O686),TEXT($O686,"yyyy-mm-dd"),IF($A686="","",IF(SUMPRODUCT(('Formation Initiale'!$A$2:$A$999=$A686)*('Formation Initiale'!$R$2:$R$999="Terminé"))&gt;0,"✓",IF(SUMPRODUCT(MAX(('Formation Initiale'!$A$2:$A$999=$A686)*'Formation Initiale'!$G$2:$G$999))&gt;0,TEXT(SUMPRODUCT(MAX(('Formation Initiale'!$A$2:$A$999=$A686)*'Formation Initiale'!$G$2:$G$999)),"yyyy-mm-dd"),"")))))</f>
        <v/>
      </c>
      <c r="F686" s="131" t="str">
        <f aca="false">IF($P686="✓","✓",IF(ISNUMBER($P686),TEXT($P686,"yyyy-mm-dd"),IF($A686="","",IF($D686="Lisbonne","",IF(SUMPRODUCT(('Formation Initiale'!$A$2:$A$999=$A686)*('Formation Initiale'!$R$2:$R$999="Terminé"))&gt;0,"✓",IF(SUMPRODUCT(MAX(('Formation Initiale'!$A$2:$A$999=$A686)*'Formation Initiale'!$G$2:$G$999))&gt;0,TEXT(SUMPRODUCT(MAX(('Formation Initiale'!$A$2:$A$999=$A686)*'Formation Initiale'!$G$2:$G$999)),"yyyy-mm-dd"),""))))))</f>
        <v/>
      </c>
      <c r="G686" s="131" t="str">
        <f aca="false">IF($Q686="✓","✓",IF(ISNUMBER($Q686),TEXT($Q686,"yyyy-mm-dd"),IF($A686="","",IF(SUMPRODUCT(('Agences &amp; Après-vente'!$A$2:$A$1000=$A686)*(('Agences &amp; Après-vente'!$D$2:$D$1000="Agences")+('Agences &amp; Après-vente'!$D$2:$D$1000="Agences et Après-vente"))*('Agences &amp; Après-vente'!$I$2:$I$1000="DONE"))&gt;0,"✓",IF(SUMPRODUCT(MAX(('Agences &amp; Après-vente'!$A$2:$A$1000=$A686)*(('Agences &amp; Après-vente'!$D$2:$D$1000="Agences")+('Agences &amp; Après-vente'!$D$2:$D$1000="Agences et Après-vente"))*'Agences &amp; Après-vente'!$E$2:$E$1000))&gt;0,TEXT(SUMPRODUCT(MAX(('Agences &amp; Après-vente'!$A$2:$A$1000=$A686)*(('Agences &amp; Après-vente'!$D$2:$D$1000="Agences")+('Agences &amp; Après-vente'!$D$2:$D$1000="Agences et Après-vente"))*'Agences &amp; Après-vente'!$E$2:$E$1000)),"yyyy-mm-dd"),"")))))</f>
        <v/>
      </c>
      <c r="H686" s="131" t="str">
        <f aca="false">IF($R686="✓","✓",IF(ISNUMBER($R686),TEXT($R686,"yyyy-mm-dd"),IF($A686="","",IF($D686="Lisbonne","",IF(SUMPRODUCT(('Agences &amp; Après-vente'!$A$2:$A$1000=$A686)*(('Agences &amp; Après-vente'!$D$2:$D$1000="Agences")+('Agences &amp; Après-vente'!$D$2:$D$1000="Agences et Après-vente"))*('Agences &amp; Après-vente'!$I$2:$I$1000="DONE"))&gt;0,"✓",IF(SUMPRODUCT(MAX(('Agences &amp; Après-vente'!$A$2:$A$1000=$A686)*(('Agences &amp; Après-vente'!$D$2:$D$1000="Agences")+('Agences &amp; Après-vente'!$D$2:$D$1000="Agences et Après-vente"))*'Agences &amp; Après-vente'!$E$2:$E$1000))&gt;0,TEXT(SUMPRODUCT(MAX(('Agences &amp; Après-vente'!$A$2:$A$1000=$A686)*(('Agences &amp; Après-vente'!$D$2:$D$1000="Agences")+('Agences &amp; Après-vente'!$D$2:$D$1000="Agences et Après-vente"))*'Agences &amp; Après-vente'!$E$2:$E$1000)),"yyyy-mm-dd"),""))))))</f>
        <v/>
      </c>
      <c r="I686" s="131" t="str">
        <f aca="false">IF($S686="✓","✓",IF(ISNUMBER($S686),TEXT($S686,"yyyy-mm-dd"),IF($A686="","",IF(SUMPRODUCT(('Agences &amp; Après-vente'!$A$2:$A$1000=$A686)*(('Agences &amp; Après-vente'!$D$2:$D$1000="Après-vente")+('Agences &amp; Après-vente'!$D$2:$D$1000="Agences et Après-vente"))*('Agences &amp; Après-vente'!$I$2:$I$1000="DONE"))&gt;0,"✓",IF(SUMPRODUCT(MAX(('Agences &amp; Après-vente'!$A$2:$A$1000=$A686)*(('Agences &amp; Après-vente'!$D$2:$D$1000="Après-vente")+('Agences &amp; Après-vente'!$D$2:$D$1000="Agences et Après-vente"))*'Agences &amp; Après-vente'!$E$2:$E$1000))&gt;0,TEXT(SUMPRODUCT(MAX(('Agences &amp; Après-vente'!$A$2:$A$1000=$A686)*(('Agences &amp; Après-vente'!$D$2:$D$1000="Après-vente")+('Agences &amp; Après-vente'!$D$2:$D$1000="Agences et Après-vente"))*'Agences &amp; Après-vente'!$E$2:$E$1000)),"yyyy-mm-dd"),"")))))</f>
        <v/>
      </c>
      <c r="J686" s="131" t="str">
        <f aca="false">IF($T686="✓","✓",IF(ISNUMBER($T686),TEXT($T686,"yyyy-mm-dd"),IF($A686="","",IF($D686="Lisbonne","",IF(SUMPRODUCT(('Agences &amp; Après-vente'!$A$2:$A$1000=$A686)*(('Agences &amp; Après-vente'!$D$2:$D$1000="Après-vente")+('Agences &amp; Après-vente'!$D$2:$D$1000="Agences et Après-vente"))*('Agences &amp; Après-vente'!$I$2:$I$1000="DONE"))&gt;0,"✓",IF(SUMPRODUCT(MAX(('Agences &amp; Après-vente'!$A$2:$A$1000=$A686)*(('Agences &amp; Après-vente'!$D$2:$D$1000="Après-vente")+('Agences &amp; Après-vente'!$D$2:$D$1000="Agences et Après-vente"))*'Agences &amp; Après-vente'!$E$2:$E$1000))&gt;0,TEXT(SUMPRODUCT(MAX(('Agences &amp; Après-vente'!$A$2:$A$1000=$A686)*(('Agences &amp; Après-vente'!$D$2:$D$1000="Après-vente")+('Agences &amp; Après-vente'!$D$2:$D$1000="Agences et Après-vente"))*'Agences &amp; Après-vente'!$E$2:$E$1000)),"yyyy-mm-dd"),""))))))</f>
        <v/>
      </c>
      <c r="K686" s="131" t="str">
        <f aca="false">IF($U686="✓","✓",IF(ISNUMBER($U686),TEXT($U686,"yyyy-mm-dd"),IF($D686="Lisbonne","",IF($A686="","",IF(SUMPRODUCT((Evermont!$A$2:$A$1000=$A686)*(Evermont!$Q$2:$Q$1000="Terminé"))&gt;0,"✓",IF(SUMPRODUCT(MAX((Evermont!$A$2:$A$1000=$A686)*Evermont!$F$2:$F$1000))&gt;0,TEXT(SUMPRODUCT(MAX((Evermont!$A$2:$A$1000=$A686)*Evermont!$F$2:$F$1000)),"yyyy-mm-dd"),""))))))</f>
        <v/>
      </c>
      <c r="L686" s="131" t="str">
        <f aca="false">IF($A686="","",COUNTIF(E686:K686,"✓"))</f>
        <v/>
      </c>
      <c r="M686" s="131" t="str">
        <f aca="false">IF(B686="","","Active")</f>
        <v/>
      </c>
      <c r="W686" s="120" t="str">
        <f aca="false">IF($A686="","",IF($X686&lt;&gt;"",$X686,IFERROR(INDEX('Formation Initiale'!$B$2:$B$999,MATCH($A686,'Formation Initiale'!$A$2:$A$999,0)),"Général")))</f>
        <v/>
      </c>
    </row>
    <row r="687" customFormat="false" ht="15" hidden="true" customHeight="true" outlineLevel="0" collapsed="false">
      <c r="A687" s="142" t="str">
        <f aca="false">IF(B687="","","TR"&amp;TEXT(ROW()-1,"000"))</f>
        <v/>
      </c>
      <c r="E687" s="130" t="str">
        <f aca="false">IF($O687="✓","✓",IF(ISNUMBER($O687),TEXT($O687,"yyyy-mm-dd"),IF($A687="","",IF(SUMPRODUCT(('Formation Initiale'!$A$2:$A$999=$A687)*('Formation Initiale'!$R$2:$R$999="Terminé"))&gt;0,"✓",IF(SUMPRODUCT(MAX(('Formation Initiale'!$A$2:$A$999=$A687)*'Formation Initiale'!$G$2:$G$999))&gt;0,TEXT(SUMPRODUCT(MAX(('Formation Initiale'!$A$2:$A$999=$A687)*'Formation Initiale'!$G$2:$G$999)),"yyyy-mm-dd"),"")))))</f>
        <v/>
      </c>
      <c r="F687" s="131" t="str">
        <f aca="false">IF($P687="✓","✓",IF(ISNUMBER($P687),TEXT($P687,"yyyy-mm-dd"),IF($A687="","",IF($D687="Lisbonne","",IF(SUMPRODUCT(('Formation Initiale'!$A$2:$A$999=$A687)*('Formation Initiale'!$R$2:$R$999="Terminé"))&gt;0,"✓",IF(SUMPRODUCT(MAX(('Formation Initiale'!$A$2:$A$999=$A687)*'Formation Initiale'!$G$2:$G$999))&gt;0,TEXT(SUMPRODUCT(MAX(('Formation Initiale'!$A$2:$A$999=$A687)*'Formation Initiale'!$G$2:$G$999)),"yyyy-mm-dd"),""))))))</f>
        <v/>
      </c>
      <c r="G687" s="131" t="str">
        <f aca="false">IF($Q687="✓","✓",IF(ISNUMBER($Q687),TEXT($Q687,"yyyy-mm-dd"),IF($A687="","",IF(SUMPRODUCT(('Agences &amp; Après-vente'!$A$2:$A$1000=$A687)*(('Agences &amp; Après-vente'!$D$2:$D$1000="Agences")+('Agences &amp; Après-vente'!$D$2:$D$1000="Agences et Après-vente"))*('Agences &amp; Après-vente'!$I$2:$I$1000="DONE"))&gt;0,"✓",IF(SUMPRODUCT(MAX(('Agences &amp; Après-vente'!$A$2:$A$1000=$A687)*(('Agences &amp; Après-vente'!$D$2:$D$1000="Agences")+('Agences &amp; Après-vente'!$D$2:$D$1000="Agences et Après-vente"))*'Agences &amp; Après-vente'!$E$2:$E$1000))&gt;0,TEXT(SUMPRODUCT(MAX(('Agences &amp; Après-vente'!$A$2:$A$1000=$A687)*(('Agences &amp; Après-vente'!$D$2:$D$1000="Agences")+('Agences &amp; Après-vente'!$D$2:$D$1000="Agences et Après-vente"))*'Agences &amp; Après-vente'!$E$2:$E$1000)),"yyyy-mm-dd"),"")))))</f>
        <v/>
      </c>
      <c r="H687" s="131" t="str">
        <f aca="false">IF($R687="✓","✓",IF(ISNUMBER($R687),TEXT($R687,"yyyy-mm-dd"),IF($A687="","",IF($D687="Lisbonne","",IF(SUMPRODUCT(('Agences &amp; Après-vente'!$A$2:$A$1000=$A687)*(('Agences &amp; Après-vente'!$D$2:$D$1000="Agences")+('Agences &amp; Après-vente'!$D$2:$D$1000="Agences et Après-vente"))*('Agences &amp; Après-vente'!$I$2:$I$1000="DONE"))&gt;0,"✓",IF(SUMPRODUCT(MAX(('Agences &amp; Après-vente'!$A$2:$A$1000=$A687)*(('Agences &amp; Après-vente'!$D$2:$D$1000="Agences")+('Agences &amp; Après-vente'!$D$2:$D$1000="Agences et Après-vente"))*'Agences &amp; Après-vente'!$E$2:$E$1000))&gt;0,TEXT(SUMPRODUCT(MAX(('Agences &amp; Après-vente'!$A$2:$A$1000=$A687)*(('Agences &amp; Après-vente'!$D$2:$D$1000="Agences")+('Agences &amp; Après-vente'!$D$2:$D$1000="Agences et Après-vente"))*'Agences &amp; Après-vente'!$E$2:$E$1000)),"yyyy-mm-dd"),""))))))</f>
        <v/>
      </c>
      <c r="I687" s="131" t="str">
        <f aca="false">IF($S687="✓","✓",IF(ISNUMBER($S687),TEXT($S687,"yyyy-mm-dd"),IF($A687="","",IF(SUMPRODUCT(('Agences &amp; Après-vente'!$A$2:$A$1000=$A687)*(('Agences &amp; Après-vente'!$D$2:$D$1000="Après-vente")+('Agences &amp; Après-vente'!$D$2:$D$1000="Agences et Après-vente"))*('Agences &amp; Après-vente'!$I$2:$I$1000="DONE"))&gt;0,"✓",IF(SUMPRODUCT(MAX(('Agences &amp; Après-vente'!$A$2:$A$1000=$A687)*(('Agences &amp; Après-vente'!$D$2:$D$1000="Après-vente")+('Agences &amp; Après-vente'!$D$2:$D$1000="Agences et Après-vente"))*'Agences &amp; Après-vente'!$E$2:$E$1000))&gt;0,TEXT(SUMPRODUCT(MAX(('Agences &amp; Après-vente'!$A$2:$A$1000=$A687)*(('Agences &amp; Après-vente'!$D$2:$D$1000="Après-vente")+('Agences &amp; Après-vente'!$D$2:$D$1000="Agences et Après-vente"))*'Agences &amp; Après-vente'!$E$2:$E$1000)),"yyyy-mm-dd"),"")))))</f>
        <v/>
      </c>
      <c r="J687" s="131" t="str">
        <f aca="false">IF($T687="✓","✓",IF(ISNUMBER($T687),TEXT($T687,"yyyy-mm-dd"),IF($A687="","",IF($D687="Lisbonne","",IF(SUMPRODUCT(('Agences &amp; Après-vente'!$A$2:$A$1000=$A687)*(('Agences &amp; Après-vente'!$D$2:$D$1000="Après-vente")+('Agences &amp; Après-vente'!$D$2:$D$1000="Agences et Après-vente"))*('Agences &amp; Après-vente'!$I$2:$I$1000="DONE"))&gt;0,"✓",IF(SUMPRODUCT(MAX(('Agences &amp; Après-vente'!$A$2:$A$1000=$A687)*(('Agences &amp; Après-vente'!$D$2:$D$1000="Après-vente")+('Agences &amp; Après-vente'!$D$2:$D$1000="Agences et Après-vente"))*'Agences &amp; Après-vente'!$E$2:$E$1000))&gt;0,TEXT(SUMPRODUCT(MAX(('Agences &amp; Après-vente'!$A$2:$A$1000=$A687)*(('Agences &amp; Après-vente'!$D$2:$D$1000="Après-vente")+('Agences &amp; Après-vente'!$D$2:$D$1000="Agences et Après-vente"))*'Agences &amp; Après-vente'!$E$2:$E$1000)),"yyyy-mm-dd"),""))))))</f>
        <v/>
      </c>
      <c r="K687" s="131" t="str">
        <f aca="false">IF($U687="✓","✓",IF(ISNUMBER($U687),TEXT($U687,"yyyy-mm-dd"),IF($D687="Lisbonne","",IF($A687="","",IF(SUMPRODUCT((Evermont!$A$2:$A$1000=$A687)*(Evermont!$Q$2:$Q$1000="Terminé"))&gt;0,"✓",IF(SUMPRODUCT(MAX((Evermont!$A$2:$A$1000=$A687)*Evermont!$F$2:$F$1000))&gt;0,TEXT(SUMPRODUCT(MAX((Evermont!$A$2:$A$1000=$A687)*Evermont!$F$2:$F$1000)),"yyyy-mm-dd"),""))))))</f>
        <v/>
      </c>
      <c r="L687" s="131" t="str">
        <f aca="false">IF($A687="","",COUNTIF(E687:K687,"✓"))</f>
        <v/>
      </c>
      <c r="M687" s="131" t="str">
        <f aca="false">IF(B687="","","Active")</f>
        <v/>
      </c>
      <c r="W687" s="120" t="str">
        <f aca="false">IF($A687="","",IF($X687&lt;&gt;"",$X687,IFERROR(INDEX('Formation Initiale'!$B$2:$B$999,MATCH($A687,'Formation Initiale'!$A$2:$A$999,0)),"Général")))</f>
        <v/>
      </c>
    </row>
    <row r="688" customFormat="false" ht="15" hidden="true" customHeight="true" outlineLevel="0" collapsed="false">
      <c r="A688" s="142" t="str">
        <f aca="false">IF(B688="","","TR"&amp;TEXT(ROW()-1,"000"))</f>
        <v/>
      </c>
      <c r="E688" s="130" t="str">
        <f aca="false">IF($O688="✓","✓",IF(ISNUMBER($O688),TEXT($O688,"yyyy-mm-dd"),IF($A688="","",IF(SUMPRODUCT(('Formation Initiale'!$A$2:$A$999=$A688)*('Formation Initiale'!$R$2:$R$999="Terminé"))&gt;0,"✓",IF(SUMPRODUCT(MAX(('Formation Initiale'!$A$2:$A$999=$A688)*'Formation Initiale'!$G$2:$G$999))&gt;0,TEXT(SUMPRODUCT(MAX(('Formation Initiale'!$A$2:$A$999=$A688)*'Formation Initiale'!$G$2:$G$999)),"yyyy-mm-dd"),"")))))</f>
        <v/>
      </c>
      <c r="F688" s="131" t="str">
        <f aca="false">IF($P688="✓","✓",IF(ISNUMBER($P688),TEXT($P688,"yyyy-mm-dd"),IF($A688="","",IF($D688="Lisbonne","",IF(SUMPRODUCT(('Formation Initiale'!$A$2:$A$999=$A688)*('Formation Initiale'!$R$2:$R$999="Terminé"))&gt;0,"✓",IF(SUMPRODUCT(MAX(('Formation Initiale'!$A$2:$A$999=$A688)*'Formation Initiale'!$G$2:$G$999))&gt;0,TEXT(SUMPRODUCT(MAX(('Formation Initiale'!$A$2:$A$999=$A688)*'Formation Initiale'!$G$2:$G$999)),"yyyy-mm-dd"),""))))))</f>
        <v/>
      </c>
      <c r="G688" s="131" t="str">
        <f aca="false">IF($Q688="✓","✓",IF(ISNUMBER($Q688),TEXT($Q688,"yyyy-mm-dd"),IF($A688="","",IF(SUMPRODUCT(('Agences &amp; Après-vente'!$A$2:$A$1000=$A688)*(('Agences &amp; Après-vente'!$D$2:$D$1000="Agences")+('Agences &amp; Après-vente'!$D$2:$D$1000="Agences et Après-vente"))*('Agences &amp; Après-vente'!$I$2:$I$1000="DONE"))&gt;0,"✓",IF(SUMPRODUCT(MAX(('Agences &amp; Après-vente'!$A$2:$A$1000=$A688)*(('Agences &amp; Après-vente'!$D$2:$D$1000="Agences")+('Agences &amp; Après-vente'!$D$2:$D$1000="Agences et Après-vente"))*'Agences &amp; Après-vente'!$E$2:$E$1000))&gt;0,TEXT(SUMPRODUCT(MAX(('Agences &amp; Après-vente'!$A$2:$A$1000=$A688)*(('Agences &amp; Après-vente'!$D$2:$D$1000="Agences")+('Agences &amp; Après-vente'!$D$2:$D$1000="Agences et Après-vente"))*'Agences &amp; Après-vente'!$E$2:$E$1000)),"yyyy-mm-dd"),"")))))</f>
        <v/>
      </c>
      <c r="H688" s="131" t="str">
        <f aca="false">IF($R688="✓","✓",IF(ISNUMBER($R688),TEXT($R688,"yyyy-mm-dd"),IF($A688="","",IF($D688="Lisbonne","",IF(SUMPRODUCT(('Agences &amp; Après-vente'!$A$2:$A$1000=$A688)*(('Agences &amp; Après-vente'!$D$2:$D$1000="Agences")+('Agences &amp; Après-vente'!$D$2:$D$1000="Agences et Après-vente"))*('Agences &amp; Après-vente'!$I$2:$I$1000="DONE"))&gt;0,"✓",IF(SUMPRODUCT(MAX(('Agences &amp; Après-vente'!$A$2:$A$1000=$A688)*(('Agences &amp; Après-vente'!$D$2:$D$1000="Agences")+('Agences &amp; Après-vente'!$D$2:$D$1000="Agences et Après-vente"))*'Agences &amp; Après-vente'!$E$2:$E$1000))&gt;0,TEXT(SUMPRODUCT(MAX(('Agences &amp; Après-vente'!$A$2:$A$1000=$A688)*(('Agences &amp; Après-vente'!$D$2:$D$1000="Agences")+('Agences &amp; Après-vente'!$D$2:$D$1000="Agences et Après-vente"))*'Agences &amp; Après-vente'!$E$2:$E$1000)),"yyyy-mm-dd"),""))))))</f>
        <v/>
      </c>
      <c r="I688" s="131" t="str">
        <f aca="false">IF($S688="✓","✓",IF(ISNUMBER($S688),TEXT($S688,"yyyy-mm-dd"),IF($A688="","",IF(SUMPRODUCT(('Agences &amp; Après-vente'!$A$2:$A$1000=$A688)*(('Agences &amp; Après-vente'!$D$2:$D$1000="Après-vente")+('Agences &amp; Après-vente'!$D$2:$D$1000="Agences et Après-vente"))*('Agences &amp; Après-vente'!$I$2:$I$1000="DONE"))&gt;0,"✓",IF(SUMPRODUCT(MAX(('Agences &amp; Après-vente'!$A$2:$A$1000=$A688)*(('Agences &amp; Après-vente'!$D$2:$D$1000="Après-vente")+('Agences &amp; Après-vente'!$D$2:$D$1000="Agences et Après-vente"))*'Agences &amp; Après-vente'!$E$2:$E$1000))&gt;0,TEXT(SUMPRODUCT(MAX(('Agences &amp; Après-vente'!$A$2:$A$1000=$A688)*(('Agences &amp; Après-vente'!$D$2:$D$1000="Après-vente")+('Agences &amp; Après-vente'!$D$2:$D$1000="Agences et Après-vente"))*'Agences &amp; Après-vente'!$E$2:$E$1000)),"yyyy-mm-dd"),"")))))</f>
        <v/>
      </c>
      <c r="J688" s="131" t="str">
        <f aca="false">IF($T688="✓","✓",IF(ISNUMBER($T688),TEXT($T688,"yyyy-mm-dd"),IF($A688="","",IF($D688="Lisbonne","",IF(SUMPRODUCT(('Agences &amp; Après-vente'!$A$2:$A$1000=$A688)*(('Agences &amp; Après-vente'!$D$2:$D$1000="Après-vente")+('Agences &amp; Après-vente'!$D$2:$D$1000="Agences et Après-vente"))*('Agences &amp; Après-vente'!$I$2:$I$1000="DONE"))&gt;0,"✓",IF(SUMPRODUCT(MAX(('Agences &amp; Après-vente'!$A$2:$A$1000=$A688)*(('Agences &amp; Après-vente'!$D$2:$D$1000="Après-vente")+('Agences &amp; Après-vente'!$D$2:$D$1000="Agences et Après-vente"))*'Agences &amp; Après-vente'!$E$2:$E$1000))&gt;0,TEXT(SUMPRODUCT(MAX(('Agences &amp; Après-vente'!$A$2:$A$1000=$A688)*(('Agences &amp; Après-vente'!$D$2:$D$1000="Après-vente")+('Agences &amp; Après-vente'!$D$2:$D$1000="Agences et Après-vente"))*'Agences &amp; Après-vente'!$E$2:$E$1000)),"yyyy-mm-dd"),""))))))</f>
        <v/>
      </c>
      <c r="K688" s="131" t="str">
        <f aca="false">IF($U688="✓","✓",IF(ISNUMBER($U688),TEXT($U688,"yyyy-mm-dd"),IF($D688="Lisbonne","",IF($A688="","",IF(SUMPRODUCT((Evermont!$A$2:$A$1000=$A688)*(Evermont!$Q$2:$Q$1000="Terminé"))&gt;0,"✓",IF(SUMPRODUCT(MAX((Evermont!$A$2:$A$1000=$A688)*Evermont!$F$2:$F$1000))&gt;0,TEXT(SUMPRODUCT(MAX((Evermont!$A$2:$A$1000=$A688)*Evermont!$F$2:$F$1000)),"yyyy-mm-dd"),""))))))</f>
        <v/>
      </c>
      <c r="L688" s="131" t="str">
        <f aca="false">IF($A688="","",COUNTIF(E688:K688,"✓"))</f>
        <v/>
      </c>
      <c r="M688" s="131" t="str">
        <f aca="false">IF(B688="","","Active")</f>
        <v/>
      </c>
      <c r="W688" s="120" t="str">
        <f aca="false">IF($A688="","",IF($X688&lt;&gt;"",$X688,IFERROR(INDEX('Formation Initiale'!$B$2:$B$999,MATCH($A688,'Formation Initiale'!$A$2:$A$999,0)),"Général")))</f>
        <v/>
      </c>
    </row>
    <row r="689" customFormat="false" ht="15" hidden="true" customHeight="true" outlineLevel="0" collapsed="false">
      <c r="A689" s="142" t="str">
        <f aca="false">IF(B689="","","TR"&amp;TEXT(ROW()-1,"000"))</f>
        <v/>
      </c>
      <c r="E689" s="130" t="str">
        <f aca="false">IF($O689="✓","✓",IF(ISNUMBER($O689),TEXT($O689,"yyyy-mm-dd"),IF($A689="","",IF(SUMPRODUCT(('Formation Initiale'!$A$2:$A$999=$A689)*('Formation Initiale'!$R$2:$R$999="Terminé"))&gt;0,"✓",IF(SUMPRODUCT(MAX(('Formation Initiale'!$A$2:$A$999=$A689)*'Formation Initiale'!$G$2:$G$999))&gt;0,TEXT(SUMPRODUCT(MAX(('Formation Initiale'!$A$2:$A$999=$A689)*'Formation Initiale'!$G$2:$G$999)),"yyyy-mm-dd"),"")))))</f>
        <v/>
      </c>
      <c r="F689" s="131" t="str">
        <f aca="false">IF($P689="✓","✓",IF(ISNUMBER($P689),TEXT($P689,"yyyy-mm-dd"),IF($A689="","",IF($D689="Lisbonne","",IF(SUMPRODUCT(('Formation Initiale'!$A$2:$A$999=$A689)*('Formation Initiale'!$R$2:$R$999="Terminé"))&gt;0,"✓",IF(SUMPRODUCT(MAX(('Formation Initiale'!$A$2:$A$999=$A689)*'Formation Initiale'!$G$2:$G$999))&gt;0,TEXT(SUMPRODUCT(MAX(('Formation Initiale'!$A$2:$A$999=$A689)*'Formation Initiale'!$G$2:$G$999)),"yyyy-mm-dd"),""))))))</f>
        <v/>
      </c>
      <c r="G689" s="131" t="str">
        <f aca="false">IF($Q689="✓","✓",IF(ISNUMBER($Q689),TEXT($Q689,"yyyy-mm-dd"),IF($A689="","",IF(SUMPRODUCT(('Agences &amp; Après-vente'!$A$2:$A$1000=$A689)*(('Agences &amp; Après-vente'!$D$2:$D$1000="Agences")+('Agences &amp; Après-vente'!$D$2:$D$1000="Agences et Après-vente"))*('Agences &amp; Après-vente'!$I$2:$I$1000="DONE"))&gt;0,"✓",IF(SUMPRODUCT(MAX(('Agences &amp; Après-vente'!$A$2:$A$1000=$A689)*(('Agences &amp; Après-vente'!$D$2:$D$1000="Agences")+('Agences &amp; Après-vente'!$D$2:$D$1000="Agences et Après-vente"))*'Agences &amp; Après-vente'!$E$2:$E$1000))&gt;0,TEXT(SUMPRODUCT(MAX(('Agences &amp; Après-vente'!$A$2:$A$1000=$A689)*(('Agences &amp; Après-vente'!$D$2:$D$1000="Agences")+('Agences &amp; Après-vente'!$D$2:$D$1000="Agences et Après-vente"))*'Agences &amp; Après-vente'!$E$2:$E$1000)),"yyyy-mm-dd"),"")))))</f>
        <v/>
      </c>
      <c r="H689" s="131" t="str">
        <f aca="false">IF($R689="✓","✓",IF(ISNUMBER($R689),TEXT($R689,"yyyy-mm-dd"),IF($A689="","",IF($D689="Lisbonne","",IF(SUMPRODUCT(('Agences &amp; Après-vente'!$A$2:$A$1000=$A689)*(('Agences &amp; Après-vente'!$D$2:$D$1000="Agences")+('Agences &amp; Après-vente'!$D$2:$D$1000="Agences et Après-vente"))*('Agences &amp; Après-vente'!$I$2:$I$1000="DONE"))&gt;0,"✓",IF(SUMPRODUCT(MAX(('Agences &amp; Après-vente'!$A$2:$A$1000=$A689)*(('Agences &amp; Après-vente'!$D$2:$D$1000="Agences")+('Agences &amp; Après-vente'!$D$2:$D$1000="Agences et Après-vente"))*'Agences &amp; Après-vente'!$E$2:$E$1000))&gt;0,TEXT(SUMPRODUCT(MAX(('Agences &amp; Après-vente'!$A$2:$A$1000=$A689)*(('Agences &amp; Après-vente'!$D$2:$D$1000="Agences")+('Agences &amp; Après-vente'!$D$2:$D$1000="Agences et Après-vente"))*'Agences &amp; Après-vente'!$E$2:$E$1000)),"yyyy-mm-dd"),""))))))</f>
        <v/>
      </c>
      <c r="I689" s="131" t="str">
        <f aca="false">IF($S689="✓","✓",IF(ISNUMBER($S689),TEXT($S689,"yyyy-mm-dd"),IF($A689="","",IF(SUMPRODUCT(('Agences &amp; Après-vente'!$A$2:$A$1000=$A689)*(('Agences &amp; Après-vente'!$D$2:$D$1000="Après-vente")+('Agences &amp; Après-vente'!$D$2:$D$1000="Agences et Après-vente"))*('Agences &amp; Après-vente'!$I$2:$I$1000="DONE"))&gt;0,"✓",IF(SUMPRODUCT(MAX(('Agences &amp; Après-vente'!$A$2:$A$1000=$A689)*(('Agences &amp; Après-vente'!$D$2:$D$1000="Après-vente")+('Agences &amp; Après-vente'!$D$2:$D$1000="Agences et Après-vente"))*'Agences &amp; Après-vente'!$E$2:$E$1000))&gt;0,TEXT(SUMPRODUCT(MAX(('Agences &amp; Après-vente'!$A$2:$A$1000=$A689)*(('Agences &amp; Après-vente'!$D$2:$D$1000="Après-vente")+('Agences &amp; Après-vente'!$D$2:$D$1000="Agences et Après-vente"))*'Agences &amp; Après-vente'!$E$2:$E$1000)),"yyyy-mm-dd"),"")))))</f>
        <v/>
      </c>
      <c r="J689" s="131" t="str">
        <f aca="false">IF($T689="✓","✓",IF(ISNUMBER($T689),TEXT($T689,"yyyy-mm-dd"),IF($A689="","",IF($D689="Lisbonne","",IF(SUMPRODUCT(('Agences &amp; Après-vente'!$A$2:$A$1000=$A689)*(('Agences &amp; Après-vente'!$D$2:$D$1000="Après-vente")+('Agences &amp; Après-vente'!$D$2:$D$1000="Agences et Après-vente"))*('Agences &amp; Après-vente'!$I$2:$I$1000="DONE"))&gt;0,"✓",IF(SUMPRODUCT(MAX(('Agences &amp; Après-vente'!$A$2:$A$1000=$A689)*(('Agences &amp; Après-vente'!$D$2:$D$1000="Après-vente")+('Agences &amp; Après-vente'!$D$2:$D$1000="Agences et Après-vente"))*'Agences &amp; Après-vente'!$E$2:$E$1000))&gt;0,TEXT(SUMPRODUCT(MAX(('Agences &amp; Après-vente'!$A$2:$A$1000=$A689)*(('Agences &amp; Après-vente'!$D$2:$D$1000="Après-vente")+('Agences &amp; Après-vente'!$D$2:$D$1000="Agences et Après-vente"))*'Agences &amp; Après-vente'!$E$2:$E$1000)),"yyyy-mm-dd"),""))))))</f>
        <v/>
      </c>
      <c r="K689" s="131" t="str">
        <f aca="false">IF($U689="✓","✓",IF(ISNUMBER($U689),TEXT($U689,"yyyy-mm-dd"),IF($D689="Lisbonne","",IF($A689="","",IF(SUMPRODUCT((Evermont!$A$2:$A$1000=$A689)*(Evermont!$Q$2:$Q$1000="Terminé"))&gt;0,"✓",IF(SUMPRODUCT(MAX((Evermont!$A$2:$A$1000=$A689)*Evermont!$F$2:$F$1000))&gt;0,TEXT(SUMPRODUCT(MAX((Evermont!$A$2:$A$1000=$A689)*Evermont!$F$2:$F$1000)),"yyyy-mm-dd"),""))))))</f>
        <v/>
      </c>
      <c r="L689" s="131" t="str">
        <f aca="false">IF($A689="","",COUNTIF(E689:K689,"✓"))</f>
        <v/>
      </c>
      <c r="M689" s="131" t="str">
        <f aca="false">IF(B689="","","Active")</f>
        <v/>
      </c>
      <c r="W689" s="120" t="str">
        <f aca="false">IF($A689="","",IF($X689&lt;&gt;"",$X689,IFERROR(INDEX('Formation Initiale'!$B$2:$B$999,MATCH($A689,'Formation Initiale'!$A$2:$A$999,0)),"Général")))</f>
        <v/>
      </c>
    </row>
    <row r="690" customFormat="false" ht="15" hidden="true" customHeight="true" outlineLevel="0" collapsed="false">
      <c r="A690" s="142" t="str">
        <f aca="false">IF(B690="","","TR"&amp;TEXT(ROW()-1,"000"))</f>
        <v/>
      </c>
      <c r="E690" s="130" t="str">
        <f aca="false">IF($O690="✓","✓",IF(ISNUMBER($O690),TEXT($O690,"yyyy-mm-dd"),IF($A690="","",IF(SUMPRODUCT(('Formation Initiale'!$A$2:$A$999=$A690)*('Formation Initiale'!$R$2:$R$999="Terminé"))&gt;0,"✓",IF(SUMPRODUCT(MAX(('Formation Initiale'!$A$2:$A$999=$A690)*'Formation Initiale'!$G$2:$G$999))&gt;0,TEXT(SUMPRODUCT(MAX(('Formation Initiale'!$A$2:$A$999=$A690)*'Formation Initiale'!$G$2:$G$999)),"yyyy-mm-dd"),"")))))</f>
        <v/>
      </c>
      <c r="F690" s="131" t="str">
        <f aca="false">IF($P690="✓","✓",IF(ISNUMBER($P690),TEXT($P690,"yyyy-mm-dd"),IF($A690="","",IF($D690="Lisbonne","",IF(SUMPRODUCT(('Formation Initiale'!$A$2:$A$999=$A690)*('Formation Initiale'!$R$2:$R$999="Terminé"))&gt;0,"✓",IF(SUMPRODUCT(MAX(('Formation Initiale'!$A$2:$A$999=$A690)*'Formation Initiale'!$G$2:$G$999))&gt;0,TEXT(SUMPRODUCT(MAX(('Formation Initiale'!$A$2:$A$999=$A690)*'Formation Initiale'!$G$2:$G$999)),"yyyy-mm-dd"),""))))))</f>
        <v/>
      </c>
      <c r="G690" s="131" t="str">
        <f aca="false">IF($Q690="✓","✓",IF(ISNUMBER($Q690),TEXT($Q690,"yyyy-mm-dd"),IF($A690="","",IF(SUMPRODUCT(('Agences &amp; Après-vente'!$A$2:$A$1000=$A690)*(('Agences &amp; Après-vente'!$D$2:$D$1000="Agences")+('Agences &amp; Après-vente'!$D$2:$D$1000="Agences et Après-vente"))*('Agences &amp; Après-vente'!$I$2:$I$1000="DONE"))&gt;0,"✓",IF(SUMPRODUCT(MAX(('Agences &amp; Après-vente'!$A$2:$A$1000=$A690)*(('Agences &amp; Après-vente'!$D$2:$D$1000="Agences")+('Agences &amp; Après-vente'!$D$2:$D$1000="Agences et Après-vente"))*'Agences &amp; Après-vente'!$E$2:$E$1000))&gt;0,TEXT(SUMPRODUCT(MAX(('Agences &amp; Après-vente'!$A$2:$A$1000=$A690)*(('Agences &amp; Après-vente'!$D$2:$D$1000="Agences")+('Agences &amp; Après-vente'!$D$2:$D$1000="Agences et Après-vente"))*'Agences &amp; Après-vente'!$E$2:$E$1000)),"yyyy-mm-dd"),"")))))</f>
        <v/>
      </c>
      <c r="H690" s="131" t="str">
        <f aca="false">IF($R690="✓","✓",IF(ISNUMBER($R690),TEXT($R690,"yyyy-mm-dd"),IF($A690="","",IF($D690="Lisbonne","",IF(SUMPRODUCT(('Agences &amp; Après-vente'!$A$2:$A$1000=$A690)*(('Agences &amp; Après-vente'!$D$2:$D$1000="Agences")+('Agences &amp; Après-vente'!$D$2:$D$1000="Agences et Après-vente"))*('Agences &amp; Après-vente'!$I$2:$I$1000="DONE"))&gt;0,"✓",IF(SUMPRODUCT(MAX(('Agences &amp; Après-vente'!$A$2:$A$1000=$A690)*(('Agences &amp; Après-vente'!$D$2:$D$1000="Agences")+('Agences &amp; Après-vente'!$D$2:$D$1000="Agences et Après-vente"))*'Agences &amp; Après-vente'!$E$2:$E$1000))&gt;0,TEXT(SUMPRODUCT(MAX(('Agences &amp; Après-vente'!$A$2:$A$1000=$A690)*(('Agences &amp; Après-vente'!$D$2:$D$1000="Agences")+('Agences &amp; Après-vente'!$D$2:$D$1000="Agences et Après-vente"))*'Agences &amp; Après-vente'!$E$2:$E$1000)),"yyyy-mm-dd"),""))))))</f>
        <v/>
      </c>
      <c r="I690" s="131" t="str">
        <f aca="false">IF($S690="✓","✓",IF(ISNUMBER($S690),TEXT($S690,"yyyy-mm-dd"),IF($A690="","",IF(SUMPRODUCT(('Agences &amp; Après-vente'!$A$2:$A$1000=$A690)*(('Agences &amp; Après-vente'!$D$2:$D$1000="Après-vente")+('Agences &amp; Après-vente'!$D$2:$D$1000="Agences et Après-vente"))*('Agences &amp; Après-vente'!$I$2:$I$1000="DONE"))&gt;0,"✓",IF(SUMPRODUCT(MAX(('Agences &amp; Après-vente'!$A$2:$A$1000=$A690)*(('Agences &amp; Après-vente'!$D$2:$D$1000="Après-vente")+('Agences &amp; Après-vente'!$D$2:$D$1000="Agences et Après-vente"))*'Agences &amp; Après-vente'!$E$2:$E$1000))&gt;0,TEXT(SUMPRODUCT(MAX(('Agences &amp; Après-vente'!$A$2:$A$1000=$A690)*(('Agences &amp; Après-vente'!$D$2:$D$1000="Après-vente")+('Agences &amp; Après-vente'!$D$2:$D$1000="Agences et Après-vente"))*'Agences &amp; Après-vente'!$E$2:$E$1000)),"yyyy-mm-dd"),"")))))</f>
        <v/>
      </c>
      <c r="J690" s="131" t="str">
        <f aca="false">IF($T690="✓","✓",IF(ISNUMBER($T690),TEXT($T690,"yyyy-mm-dd"),IF($A690="","",IF($D690="Lisbonne","",IF(SUMPRODUCT(('Agences &amp; Après-vente'!$A$2:$A$1000=$A690)*(('Agences &amp; Après-vente'!$D$2:$D$1000="Après-vente")+('Agences &amp; Après-vente'!$D$2:$D$1000="Agences et Après-vente"))*('Agences &amp; Après-vente'!$I$2:$I$1000="DONE"))&gt;0,"✓",IF(SUMPRODUCT(MAX(('Agences &amp; Après-vente'!$A$2:$A$1000=$A690)*(('Agences &amp; Après-vente'!$D$2:$D$1000="Après-vente")+('Agences &amp; Après-vente'!$D$2:$D$1000="Agences et Après-vente"))*'Agences &amp; Après-vente'!$E$2:$E$1000))&gt;0,TEXT(SUMPRODUCT(MAX(('Agences &amp; Après-vente'!$A$2:$A$1000=$A690)*(('Agences &amp; Après-vente'!$D$2:$D$1000="Après-vente")+('Agences &amp; Après-vente'!$D$2:$D$1000="Agences et Après-vente"))*'Agences &amp; Après-vente'!$E$2:$E$1000)),"yyyy-mm-dd"),""))))))</f>
        <v/>
      </c>
      <c r="K690" s="131" t="str">
        <f aca="false">IF($U690="✓","✓",IF(ISNUMBER($U690),TEXT($U690,"yyyy-mm-dd"),IF($D690="Lisbonne","",IF($A690="","",IF(SUMPRODUCT((Evermont!$A$2:$A$1000=$A690)*(Evermont!$Q$2:$Q$1000="Terminé"))&gt;0,"✓",IF(SUMPRODUCT(MAX((Evermont!$A$2:$A$1000=$A690)*Evermont!$F$2:$F$1000))&gt;0,TEXT(SUMPRODUCT(MAX((Evermont!$A$2:$A$1000=$A690)*Evermont!$F$2:$F$1000)),"yyyy-mm-dd"),""))))))</f>
        <v/>
      </c>
      <c r="L690" s="131" t="str">
        <f aca="false">IF($A690="","",COUNTIF(E690:K690,"✓"))</f>
        <v/>
      </c>
      <c r="M690" s="131" t="str">
        <f aca="false">IF(B690="","","Active")</f>
        <v/>
      </c>
      <c r="W690" s="120" t="str">
        <f aca="false">IF($A690="","",IF($X690&lt;&gt;"",$X690,IFERROR(INDEX('Formation Initiale'!$B$2:$B$999,MATCH($A690,'Formation Initiale'!$A$2:$A$999,0)),"Général")))</f>
        <v/>
      </c>
    </row>
    <row r="691" customFormat="false" ht="15" hidden="true" customHeight="true" outlineLevel="0" collapsed="false">
      <c r="A691" s="142" t="str">
        <f aca="false">IF(B691="","","TR"&amp;TEXT(ROW()-1,"000"))</f>
        <v/>
      </c>
      <c r="E691" s="130" t="str">
        <f aca="false">IF($O691="✓","✓",IF(ISNUMBER($O691),TEXT($O691,"yyyy-mm-dd"),IF($A691="","",IF(SUMPRODUCT(('Formation Initiale'!$A$2:$A$999=$A691)*('Formation Initiale'!$R$2:$R$999="Terminé"))&gt;0,"✓",IF(SUMPRODUCT(MAX(('Formation Initiale'!$A$2:$A$999=$A691)*'Formation Initiale'!$G$2:$G$999))&gt;0,TEXT(SUMPRODUCT(MAX(('Formation Initiale'!$A$2:$A$999=$A691)*'Formation Initiale'!$G$2:$G$999)),"yyyy-mm-dd"),"")))))</f>
        <v/>
      </c>
      <c r="F691" s="131" t="str">
        <f aca="false">IF($P691="✓","✓",IF(ISNUMBER($P691),TEXT($P691,"yyyy-mm-dd"),IF($A691="","",IF($D691="Lisbonne","",IF(SUMPRODUCT(('Formation Initiale'!$A$2:$A$999=$A691)*('Formation Initiale'!$R$2:$R$999="Terminé"))&gt;0,"✓",IF(SUMPRODUCT(MAX(('Formation Initiale'!$A$2:$A$999=$A691)*'Formation Initiale'!$G$2:$G$999))&gt;0,TEXT(SUMPRODUCT(MAX(('Formation Initiale'!$A$2:$A$999=$A691)*'Formation Initiale'!$G$2:$G$999)),"yyyy-mm-dd"),""))))))</f>
        <v/>
      </c>
      <c r="G691" s="131" t="str">
        <f aca="false">IF($Q691="✓","✓",IF(ISNUMBER($Q691),TEXT($Q691,"yyyy-mm-dd"),IF($A691="","",IF(SUMPRODUCT(('Agences &amp; Après-vente'!$A$2:$A$1000=$A691)*(('Agences &amp; Après-vente'!$D$2:$D$1000="Agences")+('Agences &amp; Après-vente'!$D$2:$D$1000="Agences et Après-vente"))*('Agences &amp; Après-vente'!$I$2:$I$1000="DONE"))&gt;0,"✓",IF(SUMPRODUCT(MAX(('Agences &amp; Après-vente'!$A$2:$A$1000=$A691)*(('Agences &amp; Après-vente'!$D$2:$D$1000="Agences")+('Agences &amp; Après-vente'!$D$2:$D$1000="Agences et Après-vente"))*'Agences &amp; Après-vente'!$E$2:$E$1000))&gt;0,TEXT(SUMPRODUCT(MAX(('Agences &amp; Après-vente'!$A$2:$A$1000=$A691)*(('Agences &amp; Après-vente'!$D$2:$D$1000="Agences")+('Agences &amp; Après-vente'!$D$2:$D$1000="Agences et Après-vente"))*'Agences &amp; Après-vente'!$E$2:$E$1000)),"yyyy-mm-dd"),"")))))</f>
        <v/>
      </c>
      <c r="H691" s="131" t="str">
        <f aca="false">IF($R691="✓","✓",IF(ISNUMBER($R691),TEXT($R691,"yyyy-mm-dd"),IF($A691="","",IF($D691="Lisbonne","",IF(SUMPRODUCT(('Agences &amp; Après-vente'!$A$2:$A$1000=$A691)*(('Agences &amp; Après-vente'!$D$2:$D$1000="Agences")+('Agences &amp; Après-vente'!$D$2:$D$1000="Agences et Après-vente"))*('Agences &amp; Après-vente'!$I$2:$I$1000="DONE"))&gt;0,"✓",IF(SUMPRODUCT(MAX(('Agences &amp; Après-vente'!$A$2:$A$1000=$A691)*(('Agences &amp; Après-vente'!$D$2:$D$1000="Agences")+('Agences &amp; Après-vente'!$D$2:$D$1000="Agences et Après-vente"))*'Agences &amp; Après-vente'!$E$2:$E$1000))&gt;0,TEXT(SUMPRODUCT(MAX(('Agences &amp; Après-vente'!$A$2:$A$1000=$A691)*(('Agences &amp; Après-vente'!$D$2:$D$1000="Agences")+('Agences &amp; Après-vente'!$D$2:$D$1000="Agences et Après-vente"))*'Agences &amp; Après-vente'!$E$2:$E$1000)),"yyyy-mm-dd"),""))))))</f>
        <v/>
      </c>
      <c r="I691" s="131" t="str">
        <f aca="false">IF($S691="✓","✓",IF(ISNUMBER($S691),TEXT($S691,"yyyy-mm-dd"),IF($A691="","",IF(SUMPRODUCT(('Agences &amp; Après-vente'!$A$2:$A$1000=$A691)*(('Agences &amp; Après-vente'!$D$2:$D$1000="Après-vente")+('Agences &amp; Après-vente'!$D$2:$D$1000="Agences et Après-vente"))*('Agences &amp; Après-vente'!$I$2:$I$1000="DONE"))&gt;0,"✓",IF(SUMPRODUCT(MAX(('Agences &amp; Après-vente'!$A$2:$A$1000=$A691)*(('Agences &amp; Après-vente'!$D$2:$D$1000="Après-vente")+('Agences &amp; Après-vente'!$D$2:$D$1000="Agences et Après-vente"))*'Agences &amp; Après-vente'!$E$2:$E$1000))&gt;0,TEXT(SUMPRODUCT(MAX(('Agences &amp; Après-vente'!$A$2:$A$1000=$A691)*(('Agences &amp; Après-vente'!$D$2:$D$1000="Après-vente")+('Agences &amp; Après-vente'!$D$2:$D$1000="Agences et Après-vente"))*'Agences &amp; Après-vente'!$E$2:$E$1000)),"yyyy-mm-dd"),"")))))</f>
        <v/>
      </c>
      <c r="J691" s="131" t="str">
        <f aca="false">IF($T691="✓","✓",IF(ISNUMBER($T691),TEXT($T691,"yyyy-mm-dd"),IF($A691="","",IF($D691="Lisbonne","",IF(SUMPRODUCT(('Agences &amp; Après-vente'!$A$2:$A$1000=$A691)*(('Agences &amp; Après-vente'!$D$2:$D$1000="Après-vente")+('Agences &amp; Après-vente'!$D$2:$D$1000="Agences et Après-vente"))*('Agences &amp; Après-vente'!$I$2:$I$1000="DONE"))&gt;0,"✓",IF(SUMPRODUCT(MAX(('Agences &amp; Après-vente'!$A$2:$A$1000=$A691)*(('Agences &amp; Après-vente'!$D$2:$D$1000="Après-vente")+('Agences &amp; Après-vente'!$D$2:$D$1000="Agences et Après-vente"))*'Agences &amp; Après-vente'!$E$2:$E$1000))&gt;0,TEXT(SUMPRODUCT(MAX(('Agences &amp; Après-vente'!$A$2:$A$1000=$A691)*(('Agences &amp; Après-vente'!$D$2:$D$1000="Après-vente")+('Agences &amp; Après-vente'!$D$2:$D$1000="Agences et Après-vente"))*'Agences &amp; Après-vente'!$E$2:$E$1000)),"yyyy-mm-dd"),""))))))</f>
        <v/>
      </c>
      <c r="K691" s="131" t="str">
        <f aca="false">IF($U691="✓","✓",IF(ISNUMBER($U691),TEXT($U691,"yyyy-mm-dd"),IF($D691="Lisbonne","",IF($A691="","",IF(SUMPRODUCT((Evermont!$A$2:$A$1000=$A691)*(Evermont!$Q$2:$Q$1000="Terminé"))&gt;0,"✓",IF(SUMPRODUCT(MAX((Evermont!$A$2:$A$1000=$A691)*Evermont!$F$2:$F$1000))&gt;0,TEXT(SUMPRODUCT(MAX((Evermont!$A$2:$A$1000=$A691)*Evermont!$F$2:$F$1000)),"yyyy-mm-dd"),""))))))</f>
        <v/>
      </c>
      <c r="L691" s="131" t="str">
        <f aca="false">IF($A691="","",COUNTIF(E691:K691,"✓"))</f>
        <v/>
      </c>
      <c r="M691" s="131" t="str">
        <f aca="false">IF(B691="","","Active")</f>
        <v/>
      </c>
      <c r="W691" s="120" t="str">
        <f aca="false">IF($A691="","",IF($X691&lt;&gt;"",$X691,IFERROR(INDEX('Formation Initiale'!$B$2:$B$999,MATCH($A691,'Formation Initiale'!$A$2:$A$999,0)),"Général")))</f>
        <v/>
      </c>
    </row>
    <row r="692" customFormat="false" ht="15" hidden="true" customHeight="true" outlineLevel="0" collapsed="false">
      <c r="A692" s="142" t="str">
        <f aca="false">IF(B692="","","TR"&amp;TEXT(ROW()-1,"000"))</f>
        <v/>
      </c>
      <c r="E692" s="130" t="str">
        <f aca="false">IF($O692="✓","✓",IF(ISNUMBER($O692),TEXT($O692,"yyyy-mm-dd"),IF($A692="","",IF(SUMPRODUCT(('Formation Initiale'!$A$2:$A$999=$A692)*('Formation Initiale'!$R$2:$R$999="Terminé"))&gt;0,"✓",IF(SUMPRODUCT(MAX(('Formation Initiale'!$A$2:$A$999=$A692)*'Formation Initiale'!$G$2:$G$999))&gt;0,TEXT(SUMPRODUCT(MAX(('Formation Initiale'!$A$2:$A$999=$A692)*'Formation Initiale'!$G$2:$G$999)),"yyyy-mm-dd"),"")))))</f>
        <v/>
      </c>
      <c r="F692" s="131" t="str">
        <f aca="false">IF($P692="✓","✓",IF(ISNUMBER($P692),TEXT($P692,"yyyy-mm-dd"),IF($A692="","",IF($D692="Lisbonne","",IF(SUMPRODUCT(('Formation Initiale'!$A$2:$A$999=$A692)*('Formation Initiale'!$R$2:$R$999="Terminé"))&gt;0,"✓",IF(SUMPRODUCT(MAX(('Formation Initiale'!$A$2:$A$999=$A692)*'Formation Initiale'!$G$2:$G$999))&gt;0,TEXT(SUMPRODUCT(MAX(('Formation Initiale'!$A$2:$A$999=$A692)*'Formation Initiale'!$G$2:$G$999)),"yyyy-mm-dd"),""))))))</f>
        <v/>
      </c>
      <c r="G692" s="131" t="str">
        <f aca="false">IF($Q692="✓","✓",IF(ISNUMBER($Q692),TEXT($Q692,"yyyy-mm-dd"),IF($A692="","",IF(SUMPRODUCT(('Agences &amp; Après-vente'!$A$2:$A$1000=$A692)*(('Agences &amp; Après-vente'!$D$2:$D$1000="Agences")+('Agences &amp; Après-vente'!$D$2:$D$1000="Agences et Après-vente"))*('Agences &amp; Après-vente'!$I$2:$I$1000="DONE"))&gt;0,"✓",IF(SUMPRODUCT(MAX(('Agences &amp; Après-vente'!$A$2:$A$1000=$A692)*(('Agences &amp; Après-vente'!$D$2:$D$1000="Agences")+('Agences &amp; Après-vente'!$D$2:$D$1000="Agences et Après-vente"))*'Agences &amp; Après-vente'!$E$2:$E$1000))&gt;0,TEXT(SUMPRODUCT(MAX(('Agences &amp; Après-vente'!$A$2:$A$1000=$A692)*(('Agences &amp; Après-vente'!$D$2:$D$1000="Agences")+('Agences &amp; Après-vente'!$D$2:$D$1000="Agences et Après-vente"))*'Agences &amp; Après-vente'!$E$2:$E$1000)),"yyyy-mm-dd"),"")))))</f>
        <v/>
      </c>
      <c r="H692" s="131" t="str">
        <f aca="false">IF($R692="✓","✓",IF(ISNUMBER($R692),TEXT($R692,"yyyy-mm-dd"),IF($A692="","",IF($D692="Lisbonne","",IF(SUMPRODUCT(('Agences &amp; Après-vente'!$A$2:$A$1000=$A692)*(('Agences &amp; Après-vente'!$D$2:$D$1000="Agences")+('Agences &amp; Après-vente'!$D$2:$D$1000="Agences et Après-vente"))*('Agences &amp; Après-vente'!$I$2:$I$1000="DONE"))&gt;0,"✓",IF(SUMPRODUCT(MAX(('Agences &amp; Après-vente'!$A$2:$A$1000=$A692)*(('Agences &amp; Après-vente'!$D$2:$D$1000="Agences")+('Agences &amp; Après-vente'!$D$2:$D$1000="Agences et Après-vente"))*'Agences &amp; Après-vente'!$E$2:$E$1000))&gt;0,TEXT(SUMPRODUCT(MAX(('Agences &amp; Après-vente'!$A$2:$A$1000=$A692)*(('Agences &amp; Après-vente'!$D$2:$D$1000="Agences")+('Agences &amp; Après-vente'!$D$2:$D$1000="Agences et Après-vente"))*'Agences &amp; Après-vente'!$E$2:$E$1000)),"yyyy-mm-dd"),""))))))</f>
        <v/>
      </c>
      <c r="I692" s="131" t="str">
        <f aca="false">IF($S692="✓","✓",IF(ISNUMBER($S692),TEXT($S692,"yyyy-mm-dd"),IF($A692="","",IF(SUMPRODUCT(('Agences &amp; Après-vente'!$A$2:$A$1000=$A692)*(('Agences &amp; Après-vente'!$D$2:$D$1000="Après-vente")+('Agences &amp; Après-vente'!$D$2:$D$1000="Agences et Après-vente"))*('Agences &amp; Après-vente'!$I$2:$I$1000="DONE"))&gt;0,"✓",IF(SUMPRODUCT(MAX(('Agences &amp; Après-vente'!$A$2:$A$1000=$A692)*(('Agences &amp; Après-vente'!$D$2:$D$1000="Après-vente")+('Agences &amp; Après-vente'!$D$2:$D$1000="Agences et Après-vente"))*'Agences &amp; Après-vente'!$E$2:$E$1000))&gt;0,TEXT(SUMPRODUCT(MAX(('Agences &amp; Après-vente'!$A$2:$A$1000=$A692)*(('Agences &amp; Après-vente'!$D$2:$D$1000="Après-vente")+('Agences &amp; Après-vente'!$D$2:$D$1000="Agences et Après-vente"))*'Agences &amp; Après-vente'!$E$2:$E$1000)),"yyyy-mm-dd"),"")))))</f>
        <v/>
      </c>
      <c r="J692" s="131" t="str">
        <f aca="false">IF($T692="✓","✓",IF(ISNUMBER($T692),TEXT($T692,"yyyy-mm-dd"),IF($A692="","",IF($D692="Lisbonne","",IF(SUMPRODUCT(('Agences &amp; Après-vente'!$A$2:$A$1000=$A692)*(('Agences &amp; Après-vente'!$D$2:$D$1000="Après-vente")+('Agences &amp; Après-vente'!$D$2:$D$1000="Agences et Après-vente"))*('Agences &amp; Après-vente'!$I$2:$I$1000="DONE"))&gt;0,"✓",IF(SUMPRODUCT(MAX(('Agences &amp; Après-vente'!$A$2:$A$1000=$A692)*(('Agences &amp; Après-vente'!$D$2:$D$1000="Après-vente")+('Agences &amp; Après-vente'!$D$2:$D$1000="Agences et Après-vente"))*'Agences &amp; Après-vente'!$E$2:$E$1000))&gt;0,TEXT(SUMPRODUCT(MAX(('Agences &amp; Après-vente'!$A$2:$A$1000=$A692)*(('Agences &amp; Après-vente'!$D$2:$D$1000="Après-vente")+('Agences &amp; Après-vente'!$D$2:$D$1000="Agences et Après-vente"))*'Agences &amp; Après-vente'!$E$2:$E$1000)),"yyyy-mm-dd"),""))))))</f>
        <v/>
      </c>
      <c r="K692" s="131" t="str">
        <f aca="false">IF($U692="✓","✓",IF(ISNUMBER($U692),TEXT($U692,"yyyy-mm-dd"),IF($D692="Lisbonne","",IF($A692="","",IF(SUMPRODUCT((Evermont!$A$2:$A$1000=$A692)*(Evermont!$Q$2:$Q$1000="Terminé"))&gt;0,"✓",IF(SUMPRODUCT(MAX((Evermont!$A$2:$A$1000=$A692)*Evermont!$F$2:$F$1000))&gt;0,TEXT(SUMPRODUCT(MAX((Evermont!$A$2:$A$1000=$A692)*Evermont!$F$2:$F$1000)),"yyyy-mm-dd"),""))))))</f>
        <v/>
      </c>
      <c r="L692" s="131" t="str">
        <f aca="false">IF($A692="","",COUNTIF(E692:K692,"✓"))</f>
        <v/>
      </c>
      <c r="M692" s="131" t="str">
        <f aca="false">IF(B692="","","Active")</f>
        <v/>
      </c>
      <c r="W692" s="120" t="str">
        <f aca="false">IF($A692="","",IF($X692&lt;&gt;"",$X692,IFERROR(INDEX('Formation Initiale'!$B$2:$B$999,MATCH($A692,'Formation Initiale'!$A$2:$A$999,0)),"Général")))</f>
        <v/>
      </c>
    </row>
    <row r="693" customFormat="false" ht="15" hidden="true" customHeight="true" outlineLevel="0" collapsed="false">
      <c r="A693" s="142" t="str">
        <f aca="false">IF(B693="","","TR"&amp;TEXT(ROW()-1,"000"))</f>
        <v/>
      </c>
      <c r="E693" s="130" t="str">
        <f aca="false">IF($O693="✓","✓",IF(ISNUMBER($O693),TEXT($O693,"yyyy-mm-dd"),IF($A693="","",IF(SUMPRODUCT(('Formation Initiale'!$A$2:$A$999=$A693)*('Formation Initiale'!$R$2:$R$999="Terminé"))&gt;0,"✓",IF(SUMPRODUCT(MAX(('Formation Initiale'!$A$2:$A$999=$A693)*'Formation Initiale'!$G$2:$G$999))&gt;0,TEXT(SUMPRODUCT(MAX(('Formation Initiale'!$A$2:$A$999=$A693)*'Formation Initiale'!$G$2:$G$999)),"yyyy-mm-dd"),"")))))</f>
        <v/>
      </c>
      <c r="F693" s="131" t="str">
        <f aca="false">IF($P693="✓","✓",IF(ISNUMBER($P693),TEXT($P693,"yyyy-mm-dd"),IF($A693="","",IF($D693="Lisbonne","",IF(SUMPRODUCT(('Formation Initiale'!$A$2:$A$999=$A693)*('Formation Initiale'!$R$2:$R$999="Terminé"))&gt;0,"✓",IF(SUMPRODUCT(MAX(('Formation Initiale'!$A$2:$A$999=$A693)*'Formation Initiale'!$G$2:$G$999))&gt;0,TEXT(SUMPRODUCT(MAX(('Formation Initiale'!$A$2:$A$999=$A693)*'Formation Initiale'!$G$2:$G$999)),"yyyy-mm-dd"),""))))))</f>
        <v/>
      </c>
      <c r="G693" s="131" t="str">
        <f aca="false">IF($Q693="✓","✓",IF(ISNUMBER($Q693),TEXT($Q693,"yyyy-mm-dd"),IF($A693="","",IF(SUMPRODUCT(('Agences &amp; Après-vente'!$A$2:$A$1000=$A693)*(('Agences &amp; Après-vente'!$D$2:$D$1000="Agences")+('Agences &amp; Après-vente'!$D$2:$D$1000="Agences et Après-vente"))*('Agences &amp; Après-vente'!$I$2:$I$1000="DONE"))&gt;0,"✓",IF(SUMPRODUCT(MAX(('Agences &amp; Après-vente'!$A$2:$A$1000=$A693)*(('Agences &amp; Après-vente'!$D$2:$D$1000="Agences")+('Agences &amp; Après-vente'!$D$2:$D$1000="Agences et Après-vente"))*'Agences &amp; Après-vente'!$E$2:$E$1000))&gt;0,TEXT(SUMPRODUCT(MAX(('Agences &amp; Après-vente'!$A$2:$A$1000=$A693)*(('Agences &amp; Après-vente'!$D$2:$D$1000="Agences")+('Agences &amp; Après-vente'!$D$2:$D$1000="Agences et Après-vente"))*'Agences &amp; Après-vente'!$E$2:$E$1000)),"yyyy-mm-dd"),"")))))</f>
        <v/>
      </c>
      <c r="H693" s="131" t="str">
        <f aca="false">IF($R693="✓","✓",IF(ISNUMBER($R693),TEXT($R693,"yyyy-mm-dd"),IF($A693="","",IF($D693="Lisbonne","",IF(SUMPRODUCT(('Agences &amp; Après-vente'!$A$2:$A$1000=$A693)*(('Agences &amp; Après-vente'!$D$2:$D$1000="Agences")+('Agences &amp; Après-vente'!$D$2:$D$1000="Agences et Après-vente"))*('Agences &amp; Après-vente'!$I$2:$I$1000="DONE"))&gt;0,"✓",IF(SUMPRODUCT(MAX(('Agences &amp; Après-vente'!$A$2:$A$1000=$A693)*(('Agences &amp; Après-vente'!$D$2:$D$1000="Agences")+('Agences &amp; Après-vente'!$D$2:$D$1000="Agences et Après-vente"))*'Agences &amp; Après-vente'!$E$2:$E$1000))&gt;0,TEXT(SUMPRODUCT(MAX(('Agences &amp; Après-vente'!$A$2:$A$1000=$A693)*(('Agences &amp; Après-vente'!$D$2:$D$1000="Agences")+('Agences &amp; Après-vente'!$D$2:$D$1000="Agences et Après-vente"))*'Agences &amp; Après-vente'!$E$2:$E$1000)),"yyyy-mm-dd"),""))))))</f>
        <v/>
      </c>
      <c r="I693" s="131" t="str">
        <f aca="false">IF($S693="✓","✓",IF(ISNUMBER($S693),TEXT($S693,"yyyy-mm-dd"),IF($A693="","",IF(SUMPRODUCT(('Agences &amp; Après-vente'!$A$2:$A$1000=$A693)*(('Agences &amp; Après-vente'!$D$2:$D$1000="Après-vente")+('Agences &amp; Après-vente'!$D$2:$D$1000="Agences et Après-vente"))*('Agences &amp; Après-vente'!$I$2:$I$1000="DONE"))&gt;0,"✓",IF(SUMPRODUCT(MAX(('Agences &amp; Après-vente'!$A$2:$A$1000=$A693)*(('Agences &amp; Après-vente'!$D$2:$D$1000="Après-vente")+('Agences &amp; Après-vente'!$D$2:$D$1000="Agences et Après-vente"))*'Agences &amp; Après-vente'!$E$2:$E$1000))&gt;0,TEXT(SUMPRODUCT(MAX(('Agences &amp; Après-vente'!$A$2:$A$1000=$A693)*(('Agences &amp; Après-vente'!$D$2:$D$1000="Après-vente")+('Agences &amp; Après-vente'!$D$2:$D$1000="Agences et Après-vente"))*'Agences &amp; Après-vente'!$E$2:$E$1000)),"yyyy-mm-dd"),"")))))</f>
        <v/>
      </c>
      <c r="J693" s="131" t="str">
        <f aca="false">IF($T693="✓","✓",IF(ISNUMBER($T693),TEXT($T693,"yyyy-mm-dd"),IF($A693="","",IF($D693="Lisbonne","",IF(SUMPRODUCT(('Agences &amp; Après-vente'!$A$2:$A$1000=$A693)*(('Agences &amp; Après-vente'!$D$2:$D$1000="Après-vente")+('Agences &amp; Après-vente'!$D$2:$D$1000="Agences et Après-vente"))*('Agences &amp; Après-vente'!$I$2:$I$1000="DONE"))&gt;0,"✓",IF(SUMPRODUCT(MAX(('Agences &amp; Après-vente'!$A$2:$A$1000=$A693)*(('Agences &amp; Après-vente'!$D$2:$D$1000="Après-vente")+('Agences &amp; Après-vente'!$D$2:$D$1000="Agences et Après-vente"))*'Agences &amp; Après-vente'!$E$2:$E$1000))&gt;0,TEXT(SUMPRODUCT(MAX(('Agences &amp; Après-vente'!$A$2:$A$1000=$A693)*(('Agences &amp; Après-vente'!$D$2:$D$1000="Après-vente")+('Agences &amp; Après-vente'!$D$2:$D$1000="Agences et Après-vente"))*'Agences &amp; Après-vente'!$E$2:$E$1000)),"yyyy-mm-dd"),""))))))</f>
        <v/>
      </c>
      <c r="K693" s="131" t="str">
        <f aca="false">IF($U693="✓","✓",IF(ISNUMBER($U693),TEXT($U693,"yyyy-mm-dd"),IF($D693="Lisbonne","",IF($A693="","",IF(SUMPRODUCT((Evermont!$A$2:$A$1000=$A693)*(Evermont!$Q$2:$Q$1000="Terminé"))&gt;0,"✓",IF(SUMPRODUCT(MAX((Evermont!$A$2:$A$1000=$A693)*Evermont!$F$2:$F$1000))&gt;0,TEXT(SUMPRODUCT(MAX((Evermont!$A$2:$A$1000=$A693)*Evermont!$F$2:$F$1000)),"yyyy-mm-dd"),""))))))</f>
        <v/>
      </c>
      <c r="L693" s="131" t="str">
        <f aca="false">IF($A693="","",COUNTIF(E693:K693,"✓"))</f>
        <v/>
      </c>
      <c r="M693" s="131" t="str">
        <f aca="false">IF(B693="","","Active")</f>
        <v/>
      </c>
      <c r="W693" s="120" t="str">
        <f aca="false">IF($A693="","",IF($X693&lt;&gt;"",$X693,IFERROR(INDEX('Formation Initiale'!$B$2:$B$999,MATCH($A693,'Formation Initiale'!$A$2:$A$999,0)),"Général")))</f>
        <v/>
      </c>
    </row>
    <row r="694" customFormat="false" ht="15" hidden="true" customHeight="true" outlineLevel="0" collapsed="false">
      <c r="A694" s="142" t="str">
        <f aca="false">IF(B694="","","TR"&amp;TEXT(ROW()-1,"000"))</f>
        <v/>
      </c>
      <c r="E694" s="130" t="str">
        <f aca="false">IF($O694="✓","✓",IF(ISNUMBER($O694),TEXT($O694,"yyyy-mm-dd"),IF($A694="","",IF(SUMPRODUCT(('Formation Initiale'!$A$2:$A$999=$A694)*('Formation Initiale'!$R$2:$R$999="Terminé"))&gt;0,"✓",IF(SUMPRODUCT(MAX(('Formation Initiale'!$A$2:$A$999=$A694)*'Formation Initiale'!$G$2:$G$999))&gt;0,TEXT(SUMPRODUCT(MAX(('Formation Initiale'!$A$2:$A$999=$A694)*'Formation Initiale'!$G$2:$G$999)),"yyyy-mm-dd"),"")))))</f>
        <v/>
      </c>
      <c r="F694" s="131" t="str">
        <f aca="false">IF($P694="✓","✓",IF(ISNUMBER($P694),TEXT($P694,"yyyy-mm-dd"),IF($A694="","",IF($D694="Lisbonne","",IF(SUMPRODUCT(('Formation Initiale'!$A$2:$A$999=$A694)*('Formation Initiale'!$R$2:$R$999="Terminé"))&gt;0,"✓",IF(SUMPRODUCT(MAX(('Formation Initiale'!$A$2:$A$999=$A694)*'Formation Initiale'!$G$2:$G$999))&gt;0,TEXT(SUMPRODUCT(MAX(('Formation Initiale'!$A$2:$A$999=$A694)*'Formation Initiale'!$G$2:$G$999)),"yyyy-mm-dd"),""))))))</f>
        <v/>
      </c>
      <c r="G694" s="131" t="str">
        <f aca="false">IF($Q694="✓","✓",IF(ISNUMBER($Q694),TEXT($Q694,"yyyy-mm-dd"),IF($A694="","",IF(SUMPRODUCT(('Agences &amp; Après-vente'!$A$2:$A$1000=$A694)*(('Agences &amp; Après-vente'!$D$2:$D$1000="Agences")+('Agences &amp; Après-vente'!$D$2:$D$1000="Agences et Après-vente"))*('Agences &amp; Après-vente'!$I$2:$I$1000="DONE"))&gt;0,"✓",IF(SUMPRODUCT(MAX(('Agences &amp; Après-vente'!$A$2:$A$1000=$A694)*(('Agences &amp; Après-vente'!$D$2:$D$1000="Agences")+('Agences &amp; Après-vente'!$D$2:$D$1000="Agences et Après-vente"))*'Agences &amp; Après-vente'!$E$2:$E$1000))&gt;0,TEXT(SUMPRODUCT(MAX(('Agences &amp; Après-vente'!$A$2:$A$1000=$A694)*(('Agences &amp; Après-vente'!$D$2:$D$1000="Agences")+('Agences &amp; Après-vente'!$D$2:$D$1000="Agences et Après-vente"))*'Agences &amp; Après-vente'!$E$2:$E$1000)),"yyyy-mm-dd"),"")))))</f>
        <v/>
      </c>
      <c r="H694" s="131" t="str">
        <f aca="false">IF($R694="✓","✓",IF(ISNUMBER($R694),TEXT($R694,"yyyy-mm-dd"),IF($A694="","",IF($D694="Lisbonne","",IF(SUMPRODUCT(('Agences &amp; Après-vente'!$A$2:$A$1000=$A694)*(('Agences &amp; Après-vente'!$D$2:$D$1000="Agences")+('Agences &amp; Après-vente'!$D$2:$D$1000="Agences et Après-vente"))*('Agences &amp; Après-vente'!$I$2:$I$1000="DONE"))&gt;0,"✓",IF(SUMPRODUCT(MAX(('Agences &amp; Après-vente'!$A$2:$A$1000=$A694)*(('Agences &amp; Après-vente'!$D$2:$D$1000="Agences")+('Agences &amp; Après-vente'!$D$2:$D$1000="Agences et Après-vente"))*'Agences &amp; Après-vente'!$E$2:$E$1000))&gt;0,TEXT(SUMPRODUCT(MAX(('Agences &amp; Après-vente'!$A$2:$A$1000=$A694)*(('Agences &amp; Après-vente'!$D$2:$D$1000="Agences")+('Agences &amp; Après-vente'!$D$2:$D$1000="Agences et Après-vente"))*'Agences &amp; Après-vente'!$E$2:$E$1000)),"yyyy-mm-dd"),""))))))</f>
        <v/>
      </c>
      <c r="I694" s="131" t="str">
        <f aca="false">IF($S694="✓","✓",IF(ISNUMBER($S694),TEXT($S694,"yyyy-mm-dd"),IF($A694="","",IF(SUMPRODUCT(('Agences &amp; Après-vente'!$A$2:$A$1000=$A694)*(('Agences &amp; Après-vente'!$D$2:$D$1000="Après-vente")+('Agences &amp; Après-vente'!$D$2:$D$1000="Agences et Après-vente"))*('Agences &amp; Après-vente'!$I$2:$I$1000="DONE"))&gt;0,"✓",IF(SUMPRODUCT(MAX(('Agences &amp; Après-vente'!$A$2:$A$1000=$A694)*(('Agences &amp; Après-vente'!$D$2:$D$1000="Après-vente")+('Agences &amp; Après-vente'!$D$2:$D$1000="Agences et Après-vente"))*'Agences &amp; Après-vente'!$E$2:$E$1000))&gt;0,TEXT(SUMPRODUCT(MAX(('Agences &amp; Après-vente'!$A$2:$A$1000=$A694)*(('Agences &amp; Après-vente'!$D$2:$D$1000="Après-vente")+('Agences &amp; Après-vente'!$D$2:$D$1000="Agences et Après-vente"))*'Agences &amp; Après-vente'!$E$2:$E$1000)),"yyyy-mm-dd"),"")))))</f>
        <v/>
      </c>
      <c r="J694" s="131" t="str">
        <f aca="false">IF($T694="✓","✓",IF(ISNUMBER($T694),TEXT($T694,"yyyy-mm-dd"),IF($A694="","",IF($D694="Lisbonne","",IF(SUMPRODUCT(('Agences &amp; Après-vente'!$A$2:$A$1000=$A694)*(('Agences &amp; Après-vente'!$D$2:$D$1000="Après-vente")+('Agences &amp; Après-vente'!$D$2:$D$1000="Agences et Après-vente"))*('Agences &amp; Après-vente'!$I$2:$I$1000="DONE"))&gt;0,"✓",IF(SUMPRODUCT(MAX(('Agences &amp; Après-vente'!$A$2:$A$1000=$A694)*(('Agences &amp; Après-vente'!$D$2:$D$1000="Après-vente")+('Agences &amp; Après-vente'!$D$2:$D$1000="Agences et Après-vente"))*'Agences &amp; Après-vente'!$E$2:$E$1000))&gt;0,TEXT(SUMPRODUCT(MAX(('Agences &amp; Après-vente'!$A$2:$A$1000=$A694)*(('Agences &amp; Après-vente'!$D$2:$D$1000="Après-vente")+('Agences &amp; Après-vente'!$D$2:$D$1000="Agences et Après-vente"))*'Agences &amp; Après-vente'!$E$2:$E$1000)),"yyyy-mm-dd"),""))))))</f>
        <v/>
      </c>
      <c r="K694" s="131" t="str">
        <f aca="false">IF($U694="✓","✓",IF(ISNUMBER($U694),TEXT($U694,"yyyy-mm-dd"),IF($D694="Lisbonne","",IF($A694="","",IF(SUMPRODUCT((Evermont!$A$2:$A$1000=$A694)*(Evermont!$Q$2:$Q$1000="Terminé"))&gt;0,"✓",IF(SUMPRODUCT(MAX((Evermont!$A$2:$A$1000=$A694)*Evermont!$F$2:$F$1000))&gt;0,TEXT(SUMPRODUCT(MAX((Evermont!$A$2:$A$1000=$A694)*Evermont!$F$2:$F$1000)),"yyyy-mm-dd"),""))))))</f>
        <v/>
      </c>
      <c r="L694" s="131" t="str">
        <f aca="false">IF($A694="","",COUNTIF(E694:K694,"✓"))</f>
        <v/>
      </c>
      <c r="M694" s="131" t="str">
        <f aca="false">IF(B694="","","Active")</f>
        <v/>
      </c>
      <c r="W694" s="120" t="str">
        <f aca="false">IF($A694="","",IF($X694&lt;&gt;"",$X694,IFERROR(INDEX('Formation Initiale'!$B$2:$B$999,MATCH($A694,'Formation Initiale'!$A$2:$A$999,0)),"Général")))</f>
        <v/>
      </c>
    </row>
    <row r="695" customFormat="false" ht="15" hidden="true" customHeight="true" outlineLevel="0" collapsed="false">
      <c r="A695" s="142" t="str">
        <f aca="false">IF(B695="","","TR"&amp;TEXT(ROW()-1,"000"))</f>
        <v/>
      </c>
      <c r="E695" s="130" t="str">
        <f aca="false">IF($O695="✓","✓",IF(ISNUMBER($O695),TEXT($O695,"yyyy-mm-dd"),IF($A695="","",IF(SUMPRODUCT(('Formation Initiale'!$A$2:$A$999=$A695)*('Formation Initiale'!$R$2:$R$999="Terminé"))&gt;0,"✓",IF(SUMPRODUCT(MAX(('Formation Initiale'!$A$2:$A$999=$A695)*'Formation Initiale'!$G$2:$G$999))&gt;0,TEXT(SUMPRODUCT(MAX(('Formation Initiale'!$A$2:$A$999=$A695)*'Formation Initiale'!$G$2:$G$999)),"yyyy-mm-dd"),"")))))</f>
        <v/>
      </c>
      <c r="F695" s="131" t="str">
        <f aca="false">IF($P695="✓","✓",IF(ISNUMBER($P695),TEXT($P695,"yyyy-mm-dd"),IF($A695="","",IF($D695="Lisbonne","",IF(SUMPRODUCT(('Formation Initiale'!$A$2:$A$999=$A695)*('Formation Initiale'!$R$2:$R$999="Terminé"))&gt;0,"✓",IF(SUMPRODUCT(MAX(('Formation Initiale'!$A$2:$A$999=$A695)*'Formation Initiale'!$G$2:$G$999))&gt;0,TEXT(SUMPRODUCT(MAX(('Formation Initiale'!$A$2:$A$999=$A695)*'Formation Initiale'!$G$2:$G$999)),"yyyy-mm-dd"),""))))))</f>
        <v/>
      </c>
      <c r="G695" s="131" t="str">
        <f aca="false">IF($Q695="✓","✓",IF(ISNUMBER($Q695),TEXT($Q695,"yyyy-mm-dd"),IF($A695="","",IF(SUMPRODUCT(('Agences &amp; Après-vente'!$A$2:$A$1000=$A695)*(('Agences &amp; Après-vente'!$D$2:$D$1000="Agences")+('Agences &amp; Après-vente'!$D$2:$D$1000="Agences et Après-vente"))*('Agences &amp; Après-vente'!$I$2:$I$1000="DONE"))&gt;0,"✓",IF(SUMPRODUCT(MAX(('Agences &amp; Après-vente'!$A$2:$A$1000=$A695)*(('Agences &amp; Après-vente'!$D$2:$D$1000="Agences")+('Agences &amp; Après-vente'!$D$2:$D$1000="Agences et Après-vente"))*'Agences &amp; Après-vente'!$E$2:$E$1000))&gt;0,TEXT(SUMPRODUCT(MAX(('Agences &amp; Après-vente'!$A$2:$A$1000=$A695)*(('Agences &amp; Après-vente'!$D$2:$D$1000="Agences")+('Agences &amp; Après-vente'!$D$2:$D$1000="Agences et Après-vente"))*'Agences &amp; Après-vente'!$E$2:$E$1000)),"yyyy-mm-dd"),"")))))</f>
        <v/>
      </c>
      <c r="H695" s="131" t="str">
        <f aca="false">IF($R695="✓","✓",IF(ISNUMBER($R695),TEXT($R695,"yyyy-mm-dd"),IF($A695="","",IF($D695="Lisbonne","",IF(SUMPRODUCT(('Agences &amp; Après-vente'!$A$2:$A$1000=$A695)*(('Agences &amp; Après-vente'!$D$2:$D$1000="Agences")+('Agences &amp; Après-vente'!$D$2:$D$1000="Agences et Après-vente"))*('Agences &amp; Après-vente'!$I$2:$I$1000="DONE"))&gt;0,"✓",IF(SUMPRODUCT(MAX(('Agences &amp; Après-vente'!$A$2:$A$1000=$A695)*(('Agences &amp; Après-vente'!$D$2:$D$1000="Agences")+('Agences &amp; Après-vente'!$D$2:$D$1000="Agences et Après-vente"))*'Agences &amp; Après-vente'!$E$2:$E$1000))&gt;0,TEXT(SUMPRODUCT(MAX(('Agences &amp; Après-vente'!$A$2:$A$1000=$A695)*(('Agences &amp; Après-vente'!$D$2:$D$1000="Agences")+('Agences &amp; Après-vente'!$D$2:$D$1000="Agences et Après-vente"))*'Agences &amp; Après-vente'!$E$2:$E$1000)),"yyyy-mm-dd"),""))))))</f>
        <v/>
      </c>
      <c r="I695" s="131" t="str">
        <f aca="false">IF($S695="✓","✓",IF(ISNUMBER($S695),TEXT($S695,"yyyy-mm-dd"),IF($A695="","",IF(SUMPRODUCT(('Agences &amp; Après-vente'!$A$2:$A$1000=$A695)*(('Agences &amp; Après-vente'!$D$2:$D$1000="Après-vente")+('Agences &amp; Après-vente'!$D$2:$D$1000="Agences et Après-vente"))*('Agences &amp; Après-vente'!$I$2:$I$1000="DONE"))&gt;0,"✓",IF(SUMPRODUCT(MAX(('Agences &amp; Après-vente'!$A$2:$A$1000=$A695)*(('Agences &amp; Après-vente'!$D$2:$D$1000="Après-vente")+('Agences &amp; Après-vente'!$D$2:$D$1000="Agences et Après-vente"))*'Agences &amp; Après-vente'!$E$2:$E$1000))&gt;0,TEXT(SUMPRODUCT(MAX(('Agences &amp; Après-vente'!$A$2:$A$1000=$A695)*(('Agences &amp; Après-vente'!$D$2:$D$1000="Après-vente")+('Agences &amp; Après-vente'!$D$2:$D$1000="Agences et Après-vente"))*'Agences &amp; Après-vente'!$E$2:$E$1000)),"yyyy-mm-dd"),"")))))</f>
        <v/>
      </c>
      <c r="J695" s="131" t="str">
        <f aca="false">IF($T695="✓","✓",IF(ISNUMBER($T695),TEXT($T695,"yyyy-mm-dd"),IF($A695="","",IF($D695="Lisbonne","",IF(SUMPRODUCT(('Agences &amp; Après-vente'!$A$2:$A$1000=$A695)*(('Agences &amp; Après-vente'!$D$2:$D$1000="Après-vente")+('Agences &amp; Après-vente'!$D$2:$D$1000="Agences et Après-vente"))*('Agences &amp; Après-vente'!$I$2:$I$1000="DONE"))&gt;0,"✓",IF(SUMPRODUCT(MAX(('Agences &amp; Après-vente'!$A$2:$A$1000=$A695)*(('Agences &amp; Après-vente'!$D$2:$D$1000="Après-vente")+('Agences &amp; Après-vente'!$D$2:$D$1000="Agences et Après-vente"))*'Agences &amp; Après-vente'!$E$2:$E$1000))&gt;0,TEXT(SUMPRODUCT(MAX(('Agences &amp; Après-vente'!$A$2:$A$1000=$A695)*(('Agences &amp; Après-vente'!$D$2:$D$1000="Après-vente")+('Agences &amp; Après-vente'!$D$2:$D$1000="Agences et Après-vente"))*'Agences &amp; Après-vente'!$E$2:$E$1000)),"yyyy-mm-dd"),""))))))</f>
        <v/>
      </c>
      <c r="K695" s="131" t="str">
        <f aca="false">IF($U695="✓","✓",IF(ISNUMBER($U695),TEXT($U695,"yyyy-mm-dd"),IF($D695="Lisbonne","",IF($A695="","",IF(SUMPRODUCT((Evermont!$A$2:$A$1000=$A695)*(Evermont!$Q$2:$Q$1000="Terminé"))&gt;0,"✓",IF(SUMPRODUCT(MAX((Evermont!$A$2:$A$1000=$A695)*Evermont!$F$2:$F$1000))&gt;0,TEXT(SUMPRODUCT(MAX((Evermont!$A$2:$A$1000=$A695)*Evermont!$F$2:$F$1000)),"yyyy-mm-dd"),""))))))</f>
        <v/>
      </c>
      <c r="L695" s="131" t="str">
        <f aca="false">IF($A695="","",COUNTIF(E695:K695,"✓"))</f>
        <v/>
      </c>
      <c r="M695" s="131" t="str">
        <f aca="false">IF(B695="","","Active")</f>
        <v/>
      </c>
      <c r="W695" s="120" t="str">
        <f aca="false">IF($A695="","",IF($X695&lt;&gt;"",$X695,IFERROR(INDEX('Formation Initiale'!$B$2:$B$999,MATCH($A695,'Formation Initiale'!$A$2:$A$999,0)),"Général")))</f>
        <v/>
      </c>
    </row>
    <row r="696" customFormat="false" ht="15" hidden="true" customHeight="true" outlineLevel="0" collapsed="false">
      <c r="A696" s="142" t="str">
        <f aca="false">IF(B696="","","TR"&amp;TEXT(ROW()-1,"000"))</f>
        <v/>
      </c>
      <c r="E696" s="130" t="str">
        <f aca="false">IF($O696="✓","✓",IF(ISNUMBER($O696),TEXT($O696,"yyyy-mm-dd"),IF($A696="","",IF(SUMPRODUCT(('Formation Initiale'!$A$2:$A$999=$A696)*('Formation Initiale'!$R$2:$R$999="Terminé"))&gt;0,"✓",IF(SUMPRODUCT(MAX(('Formation Initiale'!$A$2:$A$999=$A696)*'Formation Initiale'!$G$2:$G$999))&gt;0,TEXT(SUMPRODUCT(MAX(('Formation Initiale'!$A$2:$A$999=$A696)*'Formation Initiale'!$G$2:$G$999)),"yyyy-mm-dd"),"")))))</f>
        <v/>
      </c>
      <c r="F696" s="131" t="str">
        <f aca="false">IF($P696="✓","✓",IF(ISNUMBER($P696),TEXT($P696,"yyyy-mm-dd"),IF($A696="","",IF($D696="Lisbonne","",IF(SUMPRODUCT(('Formation Initiale'!$A$2:$A$999=$A696)*('Formation Initiale'!$R$2:$R$999="Terminé"))&gt;0,"✓",IF(SUMPRODUCT(MAX(('Formation Initiale'!$A$2:$A$999=$A696)*'Formation Initiale'!$G$2:$G$999))&gt;0,TEXT(SUMPRODUCT(MAX(('Formation Initiale'!$A$2:$A$999=$A696)*'Formation Initiale'!$G$2:$G$999)),"yyyy-mm-dd"),""))))))</f>
        <v/>
      </c>
      <c r="G696" s="131" t="str">
        <f aca="false">IF($Q696="✓","✓",IF(ISNUMBER($Q696),TEXT($Q696,"yyyy-mm-dd"),IF($A696="","",IF(SUMPRODUCT(('Agences &amp; Après-vente'!$A$2:$A$1000=$A696)*(('Agences &amp; Après-vente'!$D$2:$D$1000="Agences")+('Agences &amp; Après-vente'!$D$2:$D$1000="Agences et Après-vente"))*('Agences &amp; Après-vente'!$I$2:$I$1000="DONE"))&gt;0,"✓",IF(SUMPRODUCT(MAX(('Agences &amp; Après-vente'!$A$2:$A$1000=$A696)*(('Agences &amp; Après-vente'!$D$2:$D$1000="Agences")+('Agences &amp; Après-vente'!$D$2:$D$1000="Agences et Après-vente"))*'Agences &amp; Après-vente'!$E$2:$E$1000))&gt;0,TEXT(SUMPRODUCT(MAX(('Agences &amp; Après-vente'!$A$2:$A$1000=$A696)*(('Agences &amp; Après-vente'!$D$2:$D$1000="Agences")+('Agences &amp; Après-vente'!$D$2:$D$1000="Agences et Après-vente"))*'Agences &amp; Après-vente'!$E$2:$E$1000)),"yyyy-mm-dd"),"")))))</f>
        <v/>
      </c>
      <c r="H696" s="131" t="str">
        <f aca="false">IF($R696="✓","✓",IF(ISNUMBER($R696),TEXT($R696,"yyyy-mm-dd"),IF($A696="","",IF($D696="Lisbonne","",IF(SUMPRODUCT(('Agences &amp; Après-vente'!$A$2:$A$1000=$A696)*(('Agences &amp; Après-vente'!$D$2:$D$1000="Agences")+('Agences &amp; Après-vente'!$D$2:$D$1000="Agences et Après-vente"))*('Agences &amp; Après-vente'!$I$2:$I$1000="DONE"))&gt;0,"✓",IF(SUMPRODUCT(MAX(('Agences &amp; Après-vente'!$A$2:$A$1000=$A696)*(('Agences &amp; Après-vente'!$D$2:$D$1000="Agences")+('Agences &amp; Après-vente'!$D$2:$D$1000="Agences et Après-vente"))*'Agences &amp; Après-vente'!$E$2:$E$1000))&gt;0,TEXT(SUMPRODUCT(MAX(('Agences &amp; Après-vente'!$A$2:$A$1000=$A696)*(('Agences &amp; Après-vente'!$D$2:$D$1000="Agences")+('Agences &amp; Après-vente'!$D$2:$D$1000="Agences et Après-vente"))*'Agences &amp; Après-vente'!$E$2:$E$1000)),"yyyy-mm-dd"),""))))))</f>
        <v/>
      </c>
      <c r="I696" s="131" t="str">
        <f aca="false">IF($S696="✓","✓",IF(ISNUMBER($S696),TEXT($S696,"yyyy-mm-dd"),IF($A696="","",IF(SUMPRODUCT(('Agences &amp; Après-vente'!$A$2:$A$1000=$A696)*(('Agences &amp; Après-vente'!$D$2:$D$1000="Après-vente")+('Agences &amp; Après-vente'!$D$2:$D$1000="Agences et Après-vente"))*('Agences &amp; Après-vente'!$I$2:$I$1000="DONE"))&gt;0,"✓",IF(SUMPRODUCT(MAX(('Agences &amp; Après-vente'!$A$2:$A$1000=$A696)*(('Agences &amp; Après-vente'!$D$2:$D$1000="Après-vente")+('Agences &amp; Après-vente'!$D$2:$D$1000="Agences et Après-vente"))*'Agences &amp; Après-vente'!$E$2:$E$1000))&gt;0,TEXT(SUMPRODUCT(MAX(('Agences &amp; Après-vente'!$A$2:$A$1000=$A696)*(('Agences &amp; Après-vente'!$D$2:$D$1000="Après-vente")+('Agences &amp; Après-vente'!$D$2:$D$1000="Agences et Après-vente"))*'Agences &amp; Après-vente'!$E$2:$E$1000)),"yyyy-mm-dd"),"")))))</f>
        <v/>
      </c>
      <c r="J696" s="131" t="str">
        <f aca="false">IF($T696="✓","✓",IF(ISNUMBER($T696),TEXT($T696,"yyyy-mm-dd"),IF($A696="","",IF($D696="Lisbonne","",IF(SUMPRODUCT(('Agences &amp; Après-vente'!$A$2:$A$1000=$A696)*(('Agences &amp; Après-vente'!$D$2:$D$1000="Après-vente")+('Agences &amp; Après-vente'!$D$2:$D$1000="Agences et Après-vente"))*('Agences &amp; Après-vente'!$I$2:$I$1000="DONE"))&gt;0,"✓",IF(SUMPRODUCT(MAX(('Agences &amp; Après-vente'!$A$2:$A$1000=$A696)*(('Agences &amp; Après-vente'!$D$2:$D$1000="Après-vente")+('Agences &amp; Après-vente'!$D$2:$D$1000="Agences et Après-vente"))*'Agences &amp; Après-vente'!$E$2:$E$1000))&gt;0,TEXT(SUMPRODUCT(MAX(('Agences &amp; Après-vente'!$A$2:$A$1000=$A696)*(('Agences &amp; Après-vente'!$D$2:$D$1000="Après-vente")+('Agences &amp; Après-vente'!$D$2:$D$1000="Agences et Après-vente"))*'Agences &amp; Après-vente'!$E$2:$E$1000)),"yyyy-mm-dd"),""))))))</f>
        <v/>
      </c>
      <c r="K696" s="131" t="str">
        <f aca="false">IF($U696="✓","✓",IF(ISNUMBER($U696),TEXT($U696,"yyyy-mm-dd"),IF($D696="Lisbonne","",IF($A696="","",IF(SUMPRODUCT((Evermont!$A$2:$A$1000=$A696)*(Evermont!$Q$2:$Q$1000="Terminé"))&gt;0,"✓",IF(SUMPRODUCT(MAX((Evermont!$A$2:$A$1000=$A696)*Evermont!$F$2:$F$1000))&gt;0,TEXT(SUMPRODUCT(MAX((Evermont!$A$2:$A$1000=$A696)*Evermont!$F$2:$F$1000)),"yyyy-mm-dd"),""))))))</f>
        <v/>
      </c>
      <c r="L696" s="131" t="str">
        <f aca="false">IF($A696="","",COUNTIF(E696:K696,"✓"))</f>
        <v/>
      </c>
      <c r="M696" s="131" t="str">
        <f aca="false">IF(B696="","","Active")</f>
        <v/>
      </c>
      <c r="W696" s="120" t="str">
        <f aca="false">IF($A696="","",IF($X696&lt;&gt;"",$X696,IFERROR(INDEX('Formation Initiale'!$B$2:$B$999,MATCH($A696,'Formation Initiale'!$A$2:$A$999,0)),"Général")))</f>
        <v/>
      </c>
    </row>
    <row r="697" customFormat="false" ht="15" hidden="true" customHeight="true" outlineLevel="0" collapsed="false">
      <c r="A697" s="142" t="str">
        <f aca="false">IF(B697="","","TR"&amp;TEXT(ROW()-1,"000"))</f>
        <v/>
      </c>
      <c r="E697" s="130" t="str">
        <f aca="false">IF($O697="✓","✓",IF(ISNUMBER($O697),TEXT($O697,"yyyy-mm-dd"),IF($A697="","",IF(SUMPRODUCT(('Formation Initiale'!$A$2:$A$999=$A697)*('Formation Initiale'!$R$2:$R$999="Terminé"))&gt;0,"✓",IF(SUMPRODUCT(MAX(('Formation Initiale'!$A$2:$A$999=$A697)*'Formation Initiale'!$G$2:$G$999))&gt;0,TEXT(SUMPRODUCT(MAX(('Formation Initiale'!$A$2:$A$999=$A697)*'Formation Initiale'!$G$2:$G$999)),"yyyy-mm-dd"),"")))))</f>
        <v/>
      </c>
      <c r="F697" s="131" t="str">
        <f aca="false">IF($P697="✓","✓",IF(ISNUMBER($P697),TEXT($P697,"yyyy-mm-dd"),IF($A697="","",IF($D697="Lisbonne","",IF(SUMPRODUCT(('Formation Initiale'!$A$2:$A$999=$A697)*('Formation Initiale'!$R$2:$R$999="Terminé"))&gt;0,"✓",IF(SUMPRODUCT(MAX(('Formation Initiale'!$A$2:$A$999=$A697)*'Formation Initiale'!$G$2:$G$999))&gt;0,TEXT(SUMPRODUCT(MAX(('Formation Initiale'!$A$2:$A$999=$A697)*'Formation Initiale'!$G$2:$G$999)),"yyyy-mm-dd"),""))))))</f>
        <v/>
      </c>
      <c r="G697" s="131" t="str">
        <f aca="false">IF($Q697="✓","✓",IF(ISNUMBER($Q697),TEXT($Q697,"yyyy-mm-dd"),IF($A697="","",IF(SUMPRODUCT(('Agences &amp; Après-vente'!$A$2:$A$1000=$A697)*(('Agences &amp; Après-vente'!$D$2:$D$1000="Agences")+('Agences &amp; Après-vente'!$D$2:$D$1000="Agences et Après-vente"))*('Agences &amp; Après-vente'!$I$2:$I$1000="DONE"))&gt;0,"✓",IF(SUMPRODUCT(MAX(('Agences &amp; Après-vente'!$A$2:$A$1000=$A697)*(('Agences &amp; Après-vente'!$D$2:$D$1000="Agences")+('Agences &amp; Après-vente'!$D$2:$D$1000="Agences et Après-vente"))*'Agences &amp; Après-vente'!$E$2:$E$1000))&gt;0,TEXT(SUMPRODUCT(MAX(('Agences &amp; Après-vente'!$A$2:$A$1000=$A697)*(('Agences &amp; Après-vente'!$D$2:$D$1000="Agences")+('Agences &amp; Après-vente'!$D$2:$D$1000="Agences et Après-vente"))*'Agences &amp; Après-vente'!$E$2:$E$1000)),"yyyy-mm-dd"),"")))))</f>
        <v/>
      </c>
      <c r="H697" s="131" t="str">
        <f aca="false">IF($R697="✓","✓",IF(ISNUMBER($R697),TEXT($R697,"yyyy-mm-dd"),IF($A697="","",IF($D697="Lisbonne","",IF(SUMPRODUCT(('Agences &amp; Après-vente'!$A$2:$A$1000=$A697)*(('Agences &amp; Après-vente'!$D$2:$D$1000="Agences")+('Agences &amp; Après-vente'!$D$2:$D$1000="Agences et Après-vente"))*('Agences &amp; Après-vente'!$I$2:$I$1000="DONE"))&gt;0,"✓",IF(SUMPRODUCT(MAX(('Agences &amp; Après-vente'!$A$2:$A$1000=$A697)*(('Agences &amp; Après-vente'!$D$2:$D$1000="Agences")+('Agences &amp; Après-vente'!$D$2:$D$1000="Agences et Après-vente"))*'Agences &amp; Après-vente'!$E$2:$E$1000))&gt;0,TEXT(SUMPRODUCT(MAX(('Agences &amp; Après-vente'!$A$2:$A$1000=$A697)*(('Agences &amp; Après-vente'!$D$2:$D$1000="Agences")+('Agences &amp; Après-vente'!$D$2:$D$1000="Agences et Après-vente"))*'Agences &amp; Après-vente'!$E$2:$E$1000)),"yyyy-mm-dd"),""))))))</f>
        <v/>
      </c>
      <c r="I697" s="131" t="str">
        <f aca="false">IF($S697="✓","✓",IF(ISNUMBER($S697),TEXT($S697,"yyyy-mm-dd"),IF($A697="","",IF(SUMPRODUCT(('Agences &amp; Après-vente'!$A$2:$A$1000=$A697)*(('Agences &amp; Après-vente'!$D$2:$D$1000="Après-vente")+('Agences &amp; Après-vente'!$D$2:$D$1000="Agences et Après-vente"))*('Agences &amp; Après-vente'!$I$2:$I$1000="DONE"))&gt;0,"✓",IF(SUMPRODUCT(MAX(('Agences &amp; Après-vente'!$A$2:$A$1000=$A697)*(('Agences &amp; Après-vente'!$D$2:$D$1000="Après-vente")+('Agences &amp; Après-vente'!$D$2:$D$1000="Agences et Après-vente"))*'Agences &amp; Après-vente'!$E$2:$E$1000))&gt;0,TEXT(SUMPRODUCT(MAX(('Agences &amp; Après-vente'!$A$2:$A$1000=$A697)*(('Agences &amp; Après-vente'!$D$2:$D$1000="Après-vente")+('Agences &amp; Après-vente'!$D$2:$D$1000="Agences et Après-vente"))*'Agences &amp; Après-vente'!$E$2:$E$1000)),"yyyy-mm-dd"),"")))))</f>
        <v/>
      </c>
      <c r="J697" s="131" t="str">
        <f aca="false">IF($T697="✓","✓",IF(ISNUMBER($T697),TEXT($T697,"yyyy-mm-dd"),IF($A697="","",IF($D697="Lisbonne","",IF(SUMPRODUCT(('Agences &amp; Après-vente'!$A$2:$A$1000=$A697)*(('Agences &amp; Après-vente'!$D$2:$D$1000="Après-vente")+('Agences &amp; Après-vente'!$D$2:$D$1000="Agences et Après-vente"))*('Agences &amp; Après-vente'!$I$2:$I$1000="DONE"))&gt;0,"✓",IF(SUMPRODUCT(MAX(('Agences &amp; Après-vente'!$A$2:$A$1000=$A697)*(('Agences &amp; Après-vente'!$D$2:$D$1000="Après-vente")+('Agences &amp; Après-vente'!$D$2:$D$1000="Agences et Après-vente"))*'Agences &amp; Après-vente'!$E$2:$E$1000))&gt;0,TEXT(SUMPRODUCT(MAX(('Agences &amp; Après-vente'!$A$2:$A$1000=$A697)*(('Agences &amp; Après-vente'!$D$2:$D$1000="Après-vente")+('Agences &amp; Après-vente'!$D$2:$D$1000="Agences et Après-vente"))*'Agences &amp; Après-vente'!$E$2:$E$1000)),"yyyy-mm-dd"),""))))))</f>
        <v/>
      </c>
      <c r="K697" s="131" t="str">
        <f aca="false">IF($U697="✓","✓",IF(ISNUMBER($U697),TEXT($U697,"yyyy-mm-dd"),IF($D697="Lisbonne","",IF($A697="","",IF(SUMPRODUCT((Evermont!$A$2:$A$1000=$A697)*(Evermont!$Q$2:$Q$1000="Terminé"))&gt;0,"✓",IF(SUMPRODUCT(MAX((Evermont!$A$2:$A$1000=$A697)*Evermont!$F$2:$F$1000))&gt;0,TEXT(SUMPRODUCT(MAX((Evermont!$A$2:$A$1000=$A697)*Evermont!$F$2:$F$1000)),"yyyy-mm-dd"),""))))))</f>
        <v/>
      </c>
      <c r="L697" s="131" t="str">
        <f aca="false">IF($A697="","",COUNTIF(E697:K697,"✓"))</f>
        <v/>
      </c>
      <c r="M697" s="131" t="str">
        <f aca="false">IF(B697="","","Active")</f>
        <v/>
      </c>
      <c r="W697" s="120" t="str">
        <f aca="false">IF($A697="","",IF($X697&lt;&gt;"",$X697,IFERROR(INDEX('Formation Initiale'!$B$2:$B$999,MATCH($A697,'Formation Initiale'!$A$2:$A$999,0)),"Général")))</f>
        <v/>
      </c>
    </row>
    <row r="698" customFormat="false" ht="15" hidden="true" customHeight="true" outlineLevel="0" collapsed="false">
      <c r="A698" s="142" t="str">
        <f aca="false">IF(B698="","","TR"&amp;TEXT(ROW()-1,"000"))</f>
        <v/>
      </c>
      <c r="E698" s="130" t="str">
        <f aca="false">IF($O698="✓","✓",IF(ISNUMBER($O698),TEXT($O698,"yyyy-mm-dd"),IF($A698="","",IF(SUMPRODUCT(('Formation Initiale'!$A$2:$A$999=$A698)*('Formation Initiale'!$R$2:$R$999="Terminé"))&gt;0,"✓",IF(SUMPRODUCT(MAX(('Formation Initiale'!$A$2:$A$999=$A698)*'Formation Initiale'!$G$2:$G$999))&gt;0,TEXT(SUMPRODUCT(MAX(('Formation Initiale'!$A$2:$A$999=$A698)*'Formation Initiale'!$G$2:$G$999)),"yyyy-mm-dd"),"")))))</f>
        <v/>
      </c>
      <c r="F698" s="131" t="str">
        <f aca="false">IF($P698="✓","✓",IF(ISNUMBER($P698),TEXT($P698,"yyyy-mm-dd"),IF($A698="","",IF($D698="Lisbonne","",IF(SUMPRODUCT(('Formation Initiale'!$A$2:$A$999=$A698)*('Formation Initiale'!$R$2:$R$999="Terminé"))&gt;0,"✓",IF(SUMPRODUCT(MAX(('Formation Initiale'!$A$2:$A$999=$A698)*'Formation Initiale'!$G$2:$G$999))&gt;0,TEXT(SUMPRODUCT(MAX(('Formation Initiale'!$A$2:$A$999=$A698)*'Formation Initiale'!$G$2:$G$999)),"yyyy-mm-dd"),""))))))</f>
        <v/>
      </c>
      <c r="G698" s="131" t="str">
        <f aca="false">IF($Q698="✓","✓",IF(ISNUMBER($Q698),TEXT($Q698,"yyyy-mm-dd"),IF($A698="","",IF(SUMPRODUCT(('Agences &amp; Après-vente'!$A$2:$A$1000=$A698)*(('Agences &amp; Après-vente'!$D$2:$D$1000="Agences")+('Agences &amp; Après-vente'!$D$2:$D$1000="Agences et Après-vente"))*('Agences &amp; Après-vente'!$I$2:$I$1000="DONE"))&gt;0,"✓",IF(SUMPRODUCT(MAX(('Agences &amp; Après-vente'!$A$2:$A$1000=$A698)*(('Agences &amp; Après-vente'!$D$2:$D$1000="Agences")+('Agences &amp; Après-vente'!$D$2:$D$1000="Agences et Après-vente"))*'Agences &amp; Après-vente'!$E$2:$E$1000))&gt;0,TEXT(SUMPRODUCT(MAX(('Agences &amp; Après-vente'!$A$2:$A$1000=$A698)*(('Agences &amp; Après-vente'!$D$2:$D$1000="Agences")+('Agences &amp; Après-vente'!$D$2:$D$1000="Agences et Après-vente"))*'Agences &amp; Après-vente'!$E$2:$E$1000)),"yyyy-mm-dd"),"")))))</f>
        <v/>
      </c>
      <c r="H698" s="131" t="str">
        <f aca="false">IF($R698="✓","✓",IF(ISNUMBER($R698),TEXT($R698,"yyyy-mm-dd"),IF($A698="","",IF($D698="Lisbonne","",IF(SUMPRODUCT(('Agences &amp; Après-vente'!$A$2:$A$1000=$A698)*(('Agences &amp; Après-vente'!$D$2:$D$1000="Agences")+('Agences &amp; Après-vente'!$D$2:$D$1000="Agences et Après-vente"))*('Agences &amp; Après-vente'!$I$2:$I$1000="DONE"))&gt;0,"✓",IF(SUMPRODUCT(MAX(('Agences &amp; Après-vente'!$A$2:$A$1000=$A698)*(('Agences &amp; Après-vente'!$D$2:$D$1000="Agences")+('Agences &amp; Après-vente'!$D$2:$D$1000="Agences et Après-vente"))*'Agences &amp; Après-vente'!$E$2:$E$1000))&gt;0,TEXT(SUMPRODUCT(MAX(('Agences &amp; Après-vente'!$A$2:$A$1000=$A698)*(('Agences &amp; Après-vente'!$D$2:$D$1000="Agences")+('Agences &amp; Après-vente'!$D$2:$D$1000="Agences et Après-vente"))*'Agences &amp; Après-vente'!$E$2:$E$1000)),"yyyy-mm-dd"),""))))))</f>
        <v/>
      </c>
      <c r="I698" s="131" t="str">
        <f aca="false">IF($S698="✓","✓",IF(ISNUMBER($S698),TEXT($S698,"yyyy-mm-dd"),IF($A698="","",IF(SUMPRODUCT(('Agences &amp; Après-vente'!$A$2:$A$1000=$A698)*(('Agences &amp; Après-vente'!$D$2:$D$1000="Après-vente")+('Agences &amp; Après-vente'!$D$2:$D$1000="Agences et Après-vente"))*('Agences &amp; Après-vente'!$I$2:$I$1000="DONE"))&gt;0,"✓",IF(SUMPRODUCT(MAX(('Agences &amp; Après-vente'!$A$2:$A$1000=$A698)*(('Agences &amp; Après-vente'!$D$2:$D$1000="Après-vente")+('Agences &amp; Après-vente'!$D$2:$D$1000="Agences et Après-vente"))*'Agences &amp; Après-vente'!$E$2:$E$1000))&gt;0,TEXT(SUMPRODUCT(MAX(('Agences &amp; Après-vente'!$A$2:$A$1000=$A698)*(('Agences &amp; Après-vente'!$D$2:$D$1000="Après-vente")+('Agences &amp; Après-vente'!$D$2:$D$1000="Agences et Après-vente"))*'Agences &amp; Après-vente'!$E$2:$E$1000)),"yyyy-mm-dd"),"")))))</f>
        <v/>
      </c>
      <c r="J698" s="131" t="str">
        <f aca="false">IF($T698="✓","✓",IF(ISNUMBER($T698),TEXT($T698,"yyyy-mm-dd"),IF($A698="","",IF($D698="Lisbonne","",IF(SUMPRODUCT(('Agences &amp; Après-vente'!$A$2:$A$1000=$A698)*(('Agences &amp; Après-vente'!$D$2:$D$1000="Après-vente")+('Agences &amp; Après-vente'!$D$2:$D$1000="Agences et Après-vente"))*('Agences &amp; Après-vente'!$I$2:$I$1000="DONE"))&gt;0,"✓",IF(SUMPRODUCT(MAX(('Agences &amp; Après-vente'!$A$2:$A$1000=$A698)*(('Agences &amp; Après-vente'!$D$2:$D$1000="Après-vente")+('Agences &amp; Après-vente'!$D$2:$D$1000="Agences et Après-vente"))*'Agences &amp; Après-vente'!$E$2:$E$1000))&gt;0,TEXT(SUMPRODUCT(MAX(('Agences &amp; Après-vente'!$A$2:$A$1000=$A698)*(('Agences &amp; Après-vente'!$D$2:$D$1000="Après-vente")+('Agences &amp; Après-vente'!$D$2:$D$1000="Agences et Après-vente"))*'Agences &amp; Après-vente'!$E$2:$E$1000)),"yyyy-mm-dd"),""))))))</f>
        <v/>
      </c>
      <c r="K698" s="131" t="str">
        <f aca="false">IF($U698="✓","✓",IF(ISNUMBER($U698),TEXT($U698,"yyyy-mm-dd"),IF($D698="Lisbonne","",IF($A698="","",IF(SUMPRODUCT((Evermont!$A$2:$A$1000=$A698)*(Evermont!$Q$2:$Q$1000="Terminé"))&gt;0,"✓",IF(SUMPRODUCT(MAX((Evermont!$A$2:$A$1000=$A698)*Evermont!$F$2:$F$1000))&gt;0,TEXT(SUMPRODUCT(MAX((Evermont!$A$2:$A$1000=$A698)*Evermont!$F$2:$F$1000)),"yyyy-mm-dd"),""))))))</f>
        <v/>
      </c>
      <c r="L698" s="131" t="str">
        <f aca="false">IF($A698="","",COUNTIF(E698:K698,"✓"))</f>
        <v/>
      </c>
      <c r="M698" s="131" t="str">
        <f aca="false">IF(B698="","","Active")</f>
        <v/>
      </c>
      <c r="W698" s="120" t="str">
        <f aca="false">IF($A698="","",IF($X698&lt;&gt;"",$X698,IFERROR(INDEX('Formation Initiale'!$B$2:$B$999,MATCH($A698,'Formation Initiale'!$A$2:$A$999,0)),"Général")))</f>
        <v/>
      </c>
    </row>
    <row r="699" customFormat="false" ht="15" hidden="true" customHeight="true" outlineLevel="0" collapsed="false">
      <c r="A699" s="142" t="str">
        <f aca="false">IF(B699="","","TR"&amp;TEXT(ROW()-1,"000"))</f>
        <v/>
      </c>
      <c r="E699" s="130" t="str">
        <f aca="false">IF($O699="✓","✓",IF(ISNUMBER($O699),TEXT($O699,"yyyy-mm-dd"),IF($A699="","",IF(SUMPRODUCT(('Formation Initiale'!$A$2:$A$999=$A699)*('Formation Initiale'!$R$2:$R$999="Terminé"))&gt;0,"✓",IF(SUMPRODUCT(MAX(('Formation Initiale'!$A$2:$A$999=$A699)*'Formation Initiale'!$G$2:$G$999))&gt;0,TEXT(SUMPRODUCT(MAX(('Formation Initiale'!$A$2:$A$999=$A699)*'Formation Initiale'!$G$2:$G$999)),"yyyy-mm-dd"),"")))))</f>
        <v/>
      </c>
      <c r="F699" s="131" t="str">
        <f aca="false">IF($P699="✓","✓",IF(ISNUMBER($P699),TEXT($P699,"yyyy-mm-dd"),IF($A699="","",IF($D699="Lisbonne","",IF(SUMPRODUCT(('Formation Initiale'!$A$2:$A$999=$A699)*('Formation Initiale'!$R$2:$R$999="Terminé"))&gt;0,"✓",IF(SUMPRODUCT(MAX(('Formation Initiale'!$A$2:$A$999=$A699)*'Formation Initiale'!$G$2:$G$999))&gt;0,TEXT(SUMPRODUCT(MAX(('Formation Initiale'!$A$2:$A$999=$A699)*'Formation Initiale'!$G$2:$G$999)),"yyyy-mm-dd"),""))))))</f>
        <v/>
      </c>
      <c r="G699" s="131" t="str">
        <f aca="false">IF($Q699="✓","✓",IF(ISNUMBER($Q699),TEXT($Q699,"yyyy-mm-dd"),IF($A699="","",IF(SUMPRODUCT(('Agences &amp; Après-vente'!$A$2:$A$1000=$A699)*(('Agences &amp; Après-vente'!$D$2:$D$1000="Agences")+('Agences &amp; Après-vente'!$D$2:$D$1000="Agences et Après-vente"))*('Agences &amp; Après-vente'!$I$2:$I$1000="DONE"))&gt;0,"✓",IF(SUMPRODUCT(MAX(('Agences &amp; Après-vente'!$A$2:$A$1000=$A699)*(('Agences &amp; Après-vente'!$D$2:$D$1000="Agences")+('Agences &amp; Après-vente'!$D$2:$D$1000="Agences et Après-vente"))*'Agences &amp; Après-vente'!$E$2:$E$1000))&gt;0,TEXT(SUMPRODUCT(MAX(('Agences &amp; Après-vente'!$A$2:$A$1000=$A699)*(('Agences &amp; Après-vente'!$D$2:$D$1000="Agences")+('Agences &amp; Après-vente'!$D$2:$D$1000="Agences et Après-vente"))*'Agences &amp; Après-vente'!$E$2:$E$1000)),"yyyy-mm-dd"),"")))))</f>
        <v/>
      </c>
      <c r="H699" s="131" t="str">
        <f aca="false">IF($R699="✓","✓",IF(ISNUMBER($R699),TEXT($R699,"yyyy-mm-dd"),IF($A699="","",IF($D699="Lisbonne","",IF(SUMPRODUCT(('Agences &amp; Après-vente'!$A$2:$A$1000=$A699)*(('Agences &amp; Après-vente'!$D$2:$D$1000="Agences")+('Agences &amp; Après-vente'!$D$2:$D$1000="Agences et Après-vente"))*('Agences &amp; Après-vente'!$I$2:$I$1000="DONE"))&gt;0,"✓",IF(SUMPRODUCT(MAX(('Agences &amp; Après-vente'!$A$2:$A$1000=$A699)*(('Agences &amp; Après-vente'!$D$2:$D$1000="Agences")+('Agences &amp; Après-vente'!$D$2:$D$1000="Agences et Après-vente"))*'Agences &amp; Après-vente'!$E$2:$E$1000))&gt;0,TEXT(SUMPRODUCT(MAX(('Agences &amp; Après-vente'!$A$2:$A$1000=$A699)*(('Agences &amp; Après-vente'!$D$2:$D$1000="Agences")+('Agences &amp; Après-vente'!$D$2:$D$1000="Agences et Après-vente"))*'Agences &amp; Après-vente'!$E$2:$E$1000)),"yyyy-mm-dd"),""))))))</f>
        <v/>
      </c>
      <c r="I699" s="131" t="str">
        <f aca="false">IF($S699="✓","✓",IF(ISNUMBER($S699),TEXT($S699,"yyyy-mm-dd"),IF($A699="","",IF(SUMPRODUCT(('Agences &amp; Après-vente'!$A$2:$A$1000=$A699)*(('Agences &amp; Après-vente'!$D$2:$D$1000="Après-vente")+('Agences &amp; Après-vente'!$D$2:$D$1000="Agences et Après-vente"))*('Agences &amp; Après-vente'!$I$2:$I$1000="DONE"))&gt;0,"✓",IF(SUMPRODUCT(MAX(('Agences &amp; Après-vente'!$A$2:$A$1000=$A699)*(('Agences &amp; Après-vente'!$D$2:$D$1000="Après-vente")+('Agences &amp; Après-vente'!$D$2:$D$1000="Agences et Après-vente"))*'Agences &amp; Après-vente'!$E$2:$E$1000))&gt;0,TEXT(SUMPRODUCT(MAX(('Agences &amp; Après-vente'!$A$2:$A$1000=$A699)*(('Agences &amp; Après-vente'!$D$2:$D$1000="Après-vente")+('Agences &amp; Après-vente'!$D$2:$D$1000="Agences et Après-vente"))*'Agences &amp; Après-vente'!$E$2:$E$1000)),"yyyy-mm-dd"),"")))))</f>
        <v/>
      </c>
      <c r="J699" s="131" t="str">
        <f aca="false">IF($T699="✓","✓",IF(ISNUMBER($T699),TEXT($T699,"yyyy-mm-dd"),IF($A699="","",IF($D699="Lisbonne","",IF(SUMPRODUCT(('Agences &amp; Après-vente'!$A$2:$A$1000=$A699)*(('Agences &amp; Après-vente'!$D$2:$D$1000="Après-vente")+('Agences &amp; Après-vente'!$D$2:$D$1000="Agences et Après-vente"))*('Agences &amp; Après-vente'!$I$2:$I$1000="DONE"))&gt;0,"✓",IF(SUMPRODUCT(MAX(('Agences &amp; Après-vente'!$A$2:$A$1000=$A699)*(('Agences &amp; Après-vente'!$D$2:$D$1000="Après-vente")+('Agences &amp; Après-vente'!$D$2:$D$1000="Agences et Après-vente"))*'Agences &amp; Après-vente'!$E$2:$E$1000))&gt;0,TEXT(SUMPRODUCT(MAX(('Agences &amp; Après-vente'!$A$2:$A$1000=$A699)*(('Agences &amp; Après-vente'!$D$2:$D$1000="Après-vente")+('Agences &amp; Après-vente'!$D$2:$D$1000="Agences et Après-vente"))*'Agences &amp; Après-vente'!$E$2:$E$1000)),"yyyy-mm-dd"),""))))))</f>
        <v/>
      </c>
      <c r="K699" s="131" t="str">
        <f aca="false">IF($U699="✓","✓",IF(ISNUMBER($U699),TEXT($U699,"yyyy-mm-dd"),IF($D699="Lisbonne","",IF($A699="","",IF(SUMPRODUCT((Evermont!$A$2:$A$1000=$A699)*(Evermont!$Q$2:$Q$1000="Terminé"))&gt;0,"✓",IF(SUMPRODUCT(MAX((Evermont!$A$2:$A$1000=$A699)*Evermont!$F$2:$F$1000))&gt;0,TEXT(SUMPRODUCT(MAX((Evermont!$A$2:$A$1000=$A699)*Evermont!$F$2:$F$1000)),"yyyy-mm-dd"),""))))))</f>
        <v/>
      </c>
      <c r="L699" s="131" t="str">
        <f aca="false">IF($A699="","",COUNTIF(E699:K699,"✓"))</f>
        <v/>
      </c>
      <c r="M699" s="131" t="str">
        <f aca="false">IF(B699="","","Active")</f>
        <v/>
      </c>
      <c r="W699" s="120" t="str">
        <f aca="false">IF($A699="","",IF($X699&lt;&gt;"",$X699,IFERROR(INDEX('Formation Initiale'!$B$2:$B$999,MATCH($A699,'Formation Initiale'!$A$2:$A$999,0)),"Général")))</f>
        <v/>
      </c>
    </row>
    <row r="700" customFormat="false" ht="15" hidden="true" customHeight="true" outlineLevel="0" collapsed="false">
      <c r="A700" s="142" t="str">
        <f aca="false">IF(B700="","","TR"&amp;TEXT(ROW()-1,"000"))</f>
        <v/>
      </c>
      <c r="E700" s="130" t="str">
        <f aca="false">IF($O700="✓","✓",IF(ISNUMBER($O700),TEXT($O700,"yyyy-mm-dd"),IF($A700="","",IF(SUMPRODUCT(('Formation Initiale'!$A$2:$A$999=$A700)*('Formation Initiale'!$R$2:$R$999="Terminé"))&gt;0,"✓",IF(SUMPRODUCT(MAX(('Formation Initiale'!$A$2:$A$999=$A700)*'Formation Initiale'!$G$2:$G$999))&gt;0,TEXT(SUMPRODUCT(MAX(('Formation Initiale'!$A$2:$A$999=$A700)*'Formation Initiale'!$G$2:$G$999)),"yyyy-mm-dd"),"")))))</f>
        <v/>
      </c>
      <c r="F700" s="131" t="str">
        <f aca="false">IF($P700="✓","✓",IF(ISNUMBER($P700),TEXT($P700,"yyyy-mm-dd"),IF($A700="","",IF($D700="Lisbonne","",IF(SUMPRODUCT(('Formation Initiale'!$A$2:$A$999=$A700)*('Formation Initiale'!$R$2:$R$999="Terminé"))&gt;0,"✓",IF(SUMPRODUCT(MAX(('Formation Initiale'!$A$2:$A$999=$A700)*'Formation Initiale'!$G$2:$G$999))&gt;0,TEXT(SUMPRODUCT(MAX(('Formation Initiale'!$A$2:$A$999=$A700)*'Formation Initiale'!$G$2:$G$999)),"yyyy-mm-dd"),""))))))</f>
        <v/>
      </c>
      <c r="G700" s="131" t="str">
        <f aca="false">IF($Q700="✓","✓",IF(ISNUMBER($Q700),TEXT($Q700,"yyyy-mm-dd"),IF($A700="","",IF(SUMPRODUCT(('Agences &amp; Après-vente'!$A$2:$A$1000=$A700)*(('Agences &amp; Après-vente'!$D$2:$D$1000="Agences")+('Agences &amp; Après-vente'!$D$2:$D$1000="Agences et Après-vente"))*('Agences &amp; Après-vente'!$I$2:$I$1000="DONE"))&gt;0,"✓",IF(SUMPRODUCT(MAX(('Agences &amp; Après-vente'!$A$2:$A$1000=$A700)*(('Agences &amp; Après-vente'!$D$2:$D$1000="Agences")+('Agences &amp; Après-vente'!$D$2:$D$1000="Agences et Après-vente"))*'Agences &amp; Après-vente'!$E$2:$E$1000))&gt;0,TEXT(SUMPRODUCT(MAX(('Agences &amp; Après-vente'!$A$2:$A$1000=$A700)*(('Agences &amp; Après-vente'!$D$2:$D$1000="Agences")+('Agences &amp; Après-vente'!$D$2:$D$1000="Agences et Après-vente"))*'Agences &amp; Après-vente'!$E$2:$E$1000)),"yyyy-mm-dd"),"")))))</f>
        <v/>
      </c>
      <c r="H700" s="131" t="str">
        <f aca="false">IF($R700="✓","✓",IF(ISNUMBER($R700),TEXT($R700,"yyyy-mm-dd"),IF($A700="","",IF($D700="Lisbonne","",IF(SUMPRODUCT(('Agences &amp; Après-vente'!$A$2:$A$1000=$A700)*(('Agences &amp; Après-vente'!$D$2:$D$1000="Agences")+('Agences &amp; Après-vente'!$D$2:$D$1000="Agences et Après-vente"))*('Agences &amp; Après-vente'!$I$2:$I$1000="DONE"))&gt;0,"✓",IF(SUMPRODUCT(MAX(('Agences &amp; Après-vente'!$A$2:$A$1000=$A700)*(('Agences &amp; Après-vente'!$D$2:$D$1000="Agences")+('Agences &amp; Après-vente'!$D$2:$D$1000="Agences et Après-vente"))*'Agences &amp; Après-vente'!$E$2:$E$1000))&gt;0,TEXT(SUMPRODUCT(MAX(('Agences &amp; Après-vente'!$A$2:$A$1000=$A700)*(('Agences &amp; Après-vente'!$D$2:$D$1000="Agences")+('Agences &amp; Après-vente'!$D$2:$D$1000="Agences et Après-vente"))*'Agences &amp; Après-vente'!$E$2:$E$1000)),"yyyy-mm-dd"),""))))))</f>
        <v/>
      </c>
      <c r="I700" s="131" t="str">
        <f aca="false">IF($S700="✓","✓",IF(ISNUMBER($S700),TEXT($S700,"yyyy-mm-dd"),IF($A700="","",IF(SUMPRODUCT(('Agences &amp; Après-vente'!$A$2:$A$1000=$A700)*(('Agences &amp; Après-vente'!$D$2:$D$1000="Après-vente")+('Agences &amp; Après-vente'!$D$2:$D$1000="Agences et Après-vente"))*('Agences &amp; Après-vente'!$I$2:$I$1000="DONE"))&gt;0,"✓",IF(SUMPRODUCT(MAX(('Agences &amp; Après-vente'!$A$2:$A$1000=$A700)*(('Agences &amp; Après-vente'!$D$2:$D$1000="Après-vente")+('Agences &amp; Après-vente'!$D$2:$D$1000="Agences et Après-vente"))*'Agences &amp; Après-vente'!$E$2:$E$1000))&gt;0,TEXT(SUMPRODUCT(MAX(('Agences &amp; Après-vente'!$A$2:$A$1000=$A700)*(('Agences &amp; Après-vente'!$D$2:$D$1000="Après-vente")+('Agences &amp; Après-vente'!$D$2:$D$1000="Agences et Après-vente"))*'Agences &amp; Après-vente'!$E$2:$E$1000)),"yyyy-mm-dd"),"")))))</f>
        <v/>
      </c>
      <c r="J700" s="131" t="str">
        <f aca="false">IF($T700="✓","✓",IF(ISNUMBER($T700),TEXT($T700,"yyyy-mm-dd"),IF($A700="","",IF($D700="Lisbonne","",IF(SUMPRODUCT(('Agences &amp; Après-vente'!$A$2:$A$1000=$A700)*(('Agences &amp; Après-vente'!$D$2:$D$1000="Après-vente")+('Agences &amp; Après-vente'!$D$2:$D$1000="Agences et Après-vente"))*('Agences &amp; Après-vente'!$I$2:$I$1000="DONE"))&gt;0,"✓",IF(SUMPRODUCT(MAX(('Agences &amp; Après-vente'!$A$2:$A$1000=$A700)*(('Agences &amp; Après-vente'!$D$2:$D$1000="Après-vente")+('Agences &amp; Après-vente'!$D$2:$D$1000="Agences et Après-vente"))*'Agences &amp; Après-vente'!$E$2:$E$1000))&gt;0,TEXT(SUMPRODUCT(MAX(('Agences &amp; Après-vente'!$A$2:$A$1000=$A700)*(('Agences &amp; Après-vente'!$D$2:$D$1000="Après-vente")+('Agences &amp; Après-vente'!$D$2:$D$1000="Agences et Après-vente"))*'Agences &amp; Après-vente'!$E$2:$E$1000)),"yyyy-mm-dd"),""))))))</f>
        <v/>
      </c>
      <c r="K700" s="131" t="str">
        <f aca="false">IF($U700="✓","✓",IF(ISNUMBER($U700),TEXT($U700,"yyyy-mm-dd"),IF($D700="Lisbonne","",IF($A700="","",IF(SUMPRODUCT((Evermont!$A$2:$A$1000=$A700)*(Evermont!$Q$2:$Q$1000="Terminé"))&gt;0,"✓",IF(SUMPRODUCT(MAX((Evermont!$A$2:$A$1000=$A700)*Evermont!$F$2:$F$1000))&gt;0,TEXT(SUMPRODUCT(MAX((Evermont!$A$2:$A$1000=$A700)*Evermont!$F$2:$F$1000)),"yyyy-mm-dd"),""))))))</f>
        <v/>
      </c>
      <c r="L700" s="131" t="str">
        <f aca="false">IF($A700="","",COUNTIF(E700:K700,"✓"))</f>
        <v/>
      </c>
      <c r="M700" s="131" t="str">
        <f aca="false">IF(B700="","","Active")</f>
        <v/>
      </c>
      <c r="W700" s="120" t="str">
        <f aca="false">IF($A700="","",IF($X700&lt;&gt;"",$X700,IFERROR(INDEX('Formation Initiale'!$B$2:$B$999,MATCH($A700,'Formation Initiale'!$A$2:$A$999,0)),"Général")))</f>
        <v/>
      </c>
    </row>
    <row r="701" customFormat="false" ht="15" hidden="true" customHeight="true" outlineLevel="0" collapsed="false">
      <c r="A701" s="142" t="str">
        <f aca="false">IF(B701="","","TR"&amp;TEXT(ROW()-1,"000"))</f>
        <v/>
      </c>
      <c r="E701" s="130" t="str">
        <f aca="false">IF($O701="✓","✓",IF(ISNUMBER($O701),TEXT($O701,"yyyy-mm-dd"),IF($A701="","",IF(SUMPRODUCT(('Formation Initiale'!$A$2:$A$999=$A701)*('Formation Initiale'!$R$2:$R$999="Terminé"))&gt;0,"✓",IF(SUMPRODUCT(MAX(('Formation Initiale'!$A$2:$A$999=$A701)*'Formation Initiale'!$G$2:$G$999))&gt;0,TEXT(SUMPRODUCT(MAX(('Formation Initiale'!$A$2:$A$999=$A701)*'Formation Initiale'!$G$2:$G$999)),"yyyy-mm-dd"),"")))))</f>
        <v/>
      </c>
      <c r="F701" s="131" t="str">
        <f aca="false">IF($P701="✓","✓",IF(ISNUMBER($P701),TEXT($P701,"yyyy-mm-dd"),IF($A701="","",IF($D701="Lisbonne","",IF(SUMPRODUCT(('Formation Initiale'!$A$2:$A$999=$A701)*('Formation Initiale'!$R$2:$R$999="Terminé"))&gt;0,"✓",IF(SUMPRODUCT(MAX(('Formation Initiale'!$A$2:$A$999=$A701)*'Formation Initiale'!$G$2:$G$999))&gt;0,TEXT(SUMPRODUCT(MAX(('Formation Initiale'!$A$2:$A$999=$A701)*'Formation Initiale'!$G$2:$G$999)),"yyyy-mm-dd"),""))))))</f>
        <v/>
      </c>
      <c r="G701" s="131" t="str">
        <f aca="false">IF($Q701="✓","✓",IF(ISNUMBER($Q701),TEXT($Q701,"yyyy-mm-dd"),IF($A701="","",IF(SUMPRODUCT(('Agences &amp; Après-vente'!$A$2:$A$1000=$A701)*(('Agences &amp; Après-vente'!$D$2:$D$1000="Agences")+('Agences &amp; Après-vente'!$D$2:$D$1000="Agences et Après-vente"))*('Agences &amp; Après-vente'!$I$2:$I$1000="DONE"))&gt;0,"✓",IF(SUMPRODUCT(MAX(('Agences &amp; Après-vente'!$A$2:$A$1000=$A701)*(('Agences &amp; Après-vente'!$D$2:$D$1000="Agences")+('Agences &amp; Après-vente'!$D$2:$D$1000="Agences et Après-vente"))*'Agences &amp; Après-vente'!$E$2:$E$1000))&gt;0,TEXT(SUMPRODUCT(MAX(('Agences &amp; Après-vente'!$A$2:$A$1000=$A701)*(('Agences &amp; Après-vente'!$D$2:$D$1000="Agences")+('Agences &amp; Après-vente'!$D$2:$D$1000="Agences et Après-vente"))*'Agences &amp; Après-vente'!$E$2:$E$1000)),"yyyy-mm-dd"),"")))))</f>
        <v/>
      </c>
      <c r="H701" s="131" t="str">
        <f aca="false">IF($R701="✓","✓",IF(ISNUMBER($R701),TEXT($R701,"yyyy-mm-dd"),IF($A701="","",IF($D701="Lisbonne","",IF(SUMPRODUCT(('Agences &amp; Après-vente'!$A$2:$A$1000=$A701)*(('Agences &amp; Après-vente'!$D$2:$D$1000="Agences")+('Agences &amp; Après-vente'!$D$2:$D$1000="Agences et Après-vente"))*('Agences &amp; Après-vente'!$I$2:$I$1000="DONE"))&gt;0,"✓",IF(SUMPRODUCT(MAX(('Agences &amp; Après-vente'!$A$2:$A$1000=$A701)*(('Agences &amp; Après-vente'!$D$2:$D$1000="Agences")+('Agences &amp; Après-vente'!$D$2:$D$1000="Agences et Après-vente"))*'Agences &amp; Après-vente'!$E$2:$E$1000))&gt;0,TEXT(SUMPRODUCT(MAX(('Agences &amp; Après-vente'!$A$2:$A$1000=$A701)*(('Agences &amp; Après-vente'!$D$2:$D$1000="Agences")+('Agences &amp; Après-vente'!$D$2:$D$1000="Agences et Après-vente"))*'Agences &amp; Après-vente'!$E$2:$E$1000)),"yyyy-mm-dd"),""))))))</f>
        <v/>
      </c>
      <c r="I701" s="131" t="str">
        <f aca="false">IF($S701="✓","✓",IF(ISNUMBER($S701),TEXT($S701,"yyyy-mm-dd"),IF($A701="","",IF(SUMPRODUCT(('Agences &amp; Après-vente'!$A$2:$A$1000=$A701)*(('Agences &amp; Après-vente'!$D$2:$D$1000="Après-vente")+('Agences &amp; Après-vente'!$D$2:$D$1000="Agences et Après-vente"))*('Agences &amp; Après-vente'!$I$2:$I$1000="DONE"))&gt;0,"✓",IF(SUMPRODUCT(MAX(('Agences &amp; Après-vente'!$A$2:$A$1000=$A701)*(('Agences &amp; Après-vente'!$D$2:$D$1000="Après-vente")+('Agences &amp; Après-vente'!$D$2:$D$1000="Agences et Après-vente"))*'Agences &amp; Après-vente'!$E$2:$E$1000))&gt;0,TEXT(SUMPRODUCT(MAX(('Agences &amp; Après-vente'!$A$2:$A$1000=$A701)*(('Agences &amp; Après-vente'!$D$2:$D$1000="Après-vente")+('Agences &amp; Après-vente'!$D$2:$D$1000="Agences et Après-vente"))*'Agences &amp; Après-vente'!$E$2:$E$1000)),"yyyy-mm-dd"),"")))))</f>
        <v/>
      </c>
      <c r="J701" s="131" t="str">
        <f aca="false">IF($T701="✓","✓",IF(ISNUMBER($T701),TEXT($T701,"yyyy-mm-dd"),IF($A701="","",IF($D701="Lisbonne","",IF(SUMPRODUCT(('Agences &amp; Après-vente'!$A$2:$A$1000=$A701)*(('Agences &amp; Après-vente'!$D$2:$D$1000="Après-vente")+('Agences &amp; Après-vente'!$D$2:$D$1000="Agences et Après-vente"))*('Agences &amp; Après-vente'!$I$2:$I$1000="DONE"))&gt;0,"✓",IF(SUMPRODUCT(MAX(('Agences &amp; Après-vente'!$A$2:$A$1000=$A701)*(('Agences &amp; Après-vente'!$D$2:$D$1000="Après-vente")+('Agences &amp; Après-vente'!$D$2:$D$1000="Agences et Après-vente"))*'Agences &amp; Après-vente'!$E$2:$E$1000))&gt;0,TEXT(SUMPRODUCT(MAX(('Agences &amp; Après-vente'!$A$2:$A$1000=$A701)*(('Agences &amp; Après-vente'!$D$2:$D$1000="Après-vente")+('Agences &amp; Après-vente'!$D$2:$D$1000="Agences et Après-vente"))*'Agences &amp; Après-vente'!$E$2:$E$1000)),"yyyy-mm-dd"),""))))))</f>
        <v/>
      </c>
      <c r="K701" s="131" t="str">
        <f aca="false">IF($U701="✓","✓",IF(ISNUMBER($U701),TEXT($U701,"yyyy-mm-dd"),IF($D701="Lisbonne","",IF($A701="","",IF(SUMPRODUCT((Evermont!$A$2:$A$1000=$A701)*(Evermont!$Q$2:$Q$1000="Terminé"))&gt;0,"✓",IF(SUMPRODUCT(MAX((Evermont!$A$2:$A$1000=$A701)*Evermont!$F$2:$F$1000))&gt;0,TEXT(SUMPRODUCT(MAX((Evermont!$A$2:$A$1000=$A701)*Evermont!$F$2:$F$1000)),"yyyy-mm-dd"),""))))))</f>
        <v/>
      </c>
      <c r="L701" s="131" t="str">
        <f aca="false">IF($A701="","",COUNTIF(E701:K701,"✓"))</f>
        <v/>
      </c>
      <c r="M701" s="131" t="str">
        <f aca="false">IF(B701="","","Active")</f>
        <v/>
      </c>
      <c r="W701" s="120" t="str">
        <f aca="false">IF($A701="","",IF($X701&lt;&gt;"",$X701,IFERROR(INDEX('Formation Initiale'!$B$2:$B$999,MATCH($A701,'Formation Initiale'!$A$2:$A$999,0)),"Général")))</f>
        <v/>
      </c>
    </row>
    <row r="702" customFormat="false" ht="15" hidden="true" customHeight="true" outlineLevel="0" collapsed="false">
      <c r="A702" s="142" t="str">
        <f aca="false">IF(B702="","","TR"&amp;TEXT(ROW()-1,"000"))</f>
        <v/>
      </c>
      <c r="E702" s="130" t="str">
        <f aca="false">IF($O702="✓","✓",IF(ISNUMBER($O702),TEXT($O702,"yyyy-mm-dd"),IF($A702="","",IF(SUMPRODUCT(('Formation Initiale'!$A$2:$A$999=$A702)*('Formation Initiale'!$R$2:$R$999="Terminé"))&gt;0,"✓",IF(SUMPRODUCT(MAX(('Formation Initiale'!$A$2:$A$999=$A702)*'Formation Initiale'!$G$2:$G$999))&gt;0,TEXT(SUMPRODUCT(MAX(('Formation Initiale'!$A$2:$A$999=$A702)*'Formation Initiale'!$G$2:$G$999)),"yyyy-mm-dd"),"")))))</f>
        <v/>
      </c>
      <c r="F702" s="131" t="str">
        <f aca="false">IF($P702="✓","✓",IF(ISNUMBER($P702),TEXT($P702,"yyyy-mm-dd"),IF($A702="","",IF($D702="Lisbonne","",IF(SUMPRODUCT(('Formation Initiale'!$A$2:$A$999=$A702)*('Formation Initiale'!$R$2:$R$999="Terminé"))&gt;0,"✓",IF(SUMPRODUCT(MAX(('Formation Initiale'!$A$2:$A$999=$A702)*'Formation Initiale'!$G$2:$G$999))&gt;0,TEXT(SUMPRODUCT(MAX(('Formation Initiale'!$A$2:$A$999=$A702)*'Formation Initiale'!$G$2:$G$999)),"yyyy-mm-dd"),""))))))</f>
        <v/>
      </c>
      <c r="G702" s="131" t="str">
        <f aca="false">IF($Q702="✓","✓",IF(ISNUMBER($Q702),TEXT($Q702,"yyyy-mm-dd"),IF($A702="","",IF(SUMPRODUCT(('Agences &amp; Après-vente'!$A$2:$A$1000=$A702)*(('Agences &amp; Après-vente'!$D$2:$D$1000="Agences")+('Agences &amp; Après-vente'!$D$2:$D$1000="Agences et Après-vente"))*('Agences &amp; Après-vente'!$I$2:$I$1000="DONE"))&gt;0,"✓",IF(SUMPRODUCT(MAX(('Agences &amp; Après-vente'!$A$2:$A$1000=$A702)*(('Agences &amp; Après-vente'!$D$2:$D$1000="Agences")+('Agences &amp; Après-vente'!$D$2:$D$1000="Agences et Après-vente"))*'Agences &amp; Après-vente'!$E$2:$E$1000))&gt;0,TEXT(SUMPRODUCT(MAX(('Agences &amp; Après-vente'!$A$2:$A$1000=$A702)*(('Agences &amp; Après-vente'!$D$2:$D$1000="Agences")+('Agences &amp; Après-vente'!$D$2:$D$1000="Agences et Après-vente"))*'Agences &amp; Après-vente'!$E$2:$E$1000)),"yyyy-mm-dd"),"")))))</f>
        <v/>
      </c>
      <c r="H702" s="131" t="str">
        <f aca="false">IF($R702="✓","✓",IF(ISNUMBER($R702),TEXT($R702,"yyyy-mm-dd"),IF($A702="","",IF($D702="Lisbonne","",IF(SUMPRODUCT(('Agences &amp; Après-vente'!$A$2:$A$1000=$A702)*(('Agences &amp; Après-vente'!$D$2:$D$1000="Agences")+('Agences &amp; Après-vente'!$D$2:$D$1000="Agences et Après-vente"))*('Agences &amp; Après-vente'!$I$2:$I$1000="DONE"))&gt;0,"✓",IF(SUMPRODUCT(MAX(('Agences &amp; Après-vente'!$A$2:$A$1000=$A702)*(('Agences &amp; Après-vente'!$D$2:$D$1000="Agences")+('Agences &amp; Après-vente'!$D$2:$D$1000="Agences et Après-vente"))*'Agences &amp; Après-vente'!$E$2:$E$1000))&gt;0,TEXT(SUMPRODUCT(MAX(('Agences &amp; Après-vente'!$A$2:$A$1000=$A702)*(('Agences &amp; Après-vente'!$D$2:$D$1000="Agences")+('Agences &amp; Après-vente'!$D$2:$D$1000="Agences et Après-vente"))*'Agences &amp; Après-vente'!$E$2:$E$1000)),"yyyy-mm-dd"),""))))))</f>
        <v/>
      </c>
      <c r="I702" s="131" t="str">
        <f aca="false">IF($S702="✓","✓",IF(ISNUMBER($S702),TEXT($S702,"yyyy-mm-dd"),IF($A702="","",IF(SUMPRODUCT(('Agences &amp; Après-vente'!$A$2:$A$1000=$A702)*(('Agences &amp; Après-vente'!$D$2:$D$1000="Après-vente")+('Agences &amp; Après-vente'!$D$2:$D$1000="Agences et Après-vente"))*('Agences &amp; Après-vente'!$I$2:$I$1000="DONE"))&gt;0,"✓",IF(SUMPRODUCT(MAX(('Agences &amp; Après-vente'!$A$2:$A$1000=$A702)*(('Agences &amp; Après-vente'!$D$2:$D$1000="Après-vente")+('Agences &amp; Après-vente'!$D$2:$D$1000="Agences et Après-vente"))*'Agences &amp; Après-vente'!$E$2:$E$1000))&gt;0,TEXT(SUMPRODUCT(MAX(('Agences &amp; Après-vente'!$A$2:$A$1000=$A702)*(('Agences &amp; Après-vente'!$D$2:$D$1000="Après-vente")+('Agences &amp; Après-vente'!$D$2:$D$1000="Agences et Après-vente"))*'Agences &amp; Après-vente'!$E$2:$E$1000)),"yyyy-mm-dd"),"")))))</f>
        <v/>
      </c>
      <c r="J702" s="131" t="str">
        <f aca="false">IF($T702="✓","✓",IF(ISNUMBER($T702),TEXT($T702,"yyyy-mm-dd"),IF($A702="","",IF($D702="Lisbonne","",IF(SUMPRODUCT(('Agences &amp; Après-vente'!$A$2:$A$1000=$A702)*(('Agences &amp; Après-vente'!$D$2:$D$1000="Après-vente")+('Agences &amp; Après-vente'!$D$2:$D$1000="Agences et Après-vente"))*('Agences &amp; Après-vente'!$I$2:$I$1000="DONE"))&gt;0,"✓",IF(SUMPRODUCT(MAX(('Agences &amp; Après-vente'!$A$2:$A$1000=$A702)*(('Agences &amp; Après-vente'!$D$2:$D$1000="Après-vente")+('Agences &amp; Après-vente'!$D$2:$D$1000="Agences et Après-vente"))*'Agences &amp; Après-vente'!$E$2:$E$1000))&gt;0,TEXT(SUMPRODUCT(MAX(('Agences &amp; Après-vente'!$A$2:$A$1000=$A702)*(('Agences &amp; Après-vente'!$D$2:$D$1000="Après-vente")+('Agences &amp; Après-vente'!$D$2:$D$1000="Agences et Après-vente"))*'Agences &amp; Après-vente'!$E$2:$E$1000)),"yyyy-mm-dd"),""))))))</f>
        <v/>
      </c>
      <c r="K702" s="131" t="str">
        <f aca="false">IF($U702="✓","✓",IF(ISNUMBER($U702),TEXT($U702,"yyyy-mm-dd"),IF($D702="Lisbonne","",IF($A702="","",IF(SUMPRODUCT((Evermont!$A$2:$A$1000=$A702)*(Evermont!$Q$2:$Q$1000="Terminé"))&gt;0,"✓",IF(SUMPRODUCT(MAX((Evermont!$A$2:$A$1000=$A702)*Evermont!$F$2:$F$1000))&gt;0,TEXT(SUMPRODUCT(MAX((Evermont!$A$2:$A$1000=$A702)*Evermont!$F$2:$F$1000)),"yyyy-mm-dd"),""))))))</f>
        <v/>
      </c>
      <c r="L702" s="131" t="str">
        <f aca="false">IF($A702="","",COUNTIF(E702:K702,"✓"))</f>
        <v/>
      </c>
      <c r="M702" s="131" t="str">
        <f aca="false">IF(B702="","","Active")</f>
        <v/>
      </c>
      <c r="W702" s="120" t="str">
        <f aca="false">IF($A702="","",IF($X702&lt;&gt;"",$X702,IFERROR(INDEX('Formation Initiale'!$B$2:$B$999,MATCH($A702,'Formation Initiale'!$A$2:$A$999,0)),"Général")))</f>
        <v/>
      </c>
    </row>
    <row r="703" customFormat="false" ht="15" hidden="true" customHeight="true" outlineLevel="0" collapsed="false">
      <c r="A703" s="142" t="str">
        <f aca="false">IF(B703="","","TR"&amp;TEXT(ROW()-1,"000"))</f>
        <v/>
      </c>
      <c r="E703" s="130" t="str">
        <f aca="false">IF($O703="✓","✓",IF(ISNUMBER($O703),TEXT($O703,"yyyy-mm-dd"),IF($A703="","",IF(SUMPRODUCT(('Formation Initiale'!$A$2:$A$999=$A703)*('Formation Initiale'!$R$2:$R$999="Terminé"))&gt;0,"✓",IF(SUMPRODUCT(MAX(('Formation Initiale'!$A$2:$A$999=$A703)*'Formation Initiale'!$G$2:$G$999))&gt;0,TEXT(SUMPRODUCT(MAX(('Formation Initiale'!$A$2:$A$999=$A703)*'Formation Initiale'!$G$2:$G$999)),"yyyy-mm-dd"),"")))))</f>
        <v/>
      </c>
      <c r="F703" s="131" t="str">
        <f aca="false">IF($P703="✓","✓",IF(ISNUMBER($P703),TEXT($P703,"yyyy-mm-dd"),IF($A703="","",IF($D703="Lisbonne","",IF(SUMPRODUCT(('Formation Initiale'!$A$2:$A$999=$A703)*('Formation Initiale'!$R$2:$R$999="Terminé"))&gt;0,"✓",IF(SUMPRODUCT(MAX(('Formation Initiale'!$A$2:$A$999=$A703)*'Formation Initiale'!$G$2:$G$999))&gt;0,TEXT(SUMPRODUCT(MAX(('Formation Initiale'!$A$2:$A$999=$A703)*'Formation Initiale'!$G$2:$G$999)),"yyyy-mm-dd"),""))))))</f>
        <v/>
      </c>
      <c r="G703" s="131" t="str">
        <f aca="false">IF($Q703="✓","✓",IF(ISNUMBER($Q703),TEXT($Q703,"yyyy-mm-dd"),IF($A703="","",IF(SUMPRODUCT(('Agences &amp; Après-vente'!$A$2:$A$1000=$A703)*(('Agences &amp; Après-vente'!$D$2:$D$1000="Agences")+('Agences &amp; Après-vente'!$D$2:$D$1000="Agences et Après-vente"))*('Agences &amp; Après-vente'!$I$2:$I$1000="DONE"))&gt;0,"✓",IF(SUMPRODUCT(MAX(('Agences &amp; Après-vente'!$A$2:$A$1000=$A703)*(('Agences &amp; Après-vente'!$D$2:$D$1000="Agences")+('Agences &amp; Après-vente'!$D$2:$D$1000="Agences et Après-vente"))*'Agences &amp; Après-vente'!$E$2:$E$1000))&gt;0,TEXT(SUMPRODUCT(MAX(('Agences &amp; Après-vente'!$A$2:$A$1000=$A703)*(('Agences &amp; Après-vente'!$D$2:$D$1000="Agences")+('Agences &amp; Après-vente'!$D$2:$D$1000="Agences et Après-vente"))*'Agences &amp; Après-vente'!$E$2:$E$1000)),"yyyy-mm-dd"),"")))))</f>
        <v/>
      </c>
      <c r="H703" s="131" t="str">
        <f aca="false">IF($R703="✓","✓",IF(ISNUMBER($R703),TEXT($R703,"yyyy-mm-dd"),IF($A703="","",IF($D703="Lisbonne","",IF(SUMPRODUCT(('Agences &amp; Après-vente'!$A$2:$A$1000=$A703)*(('Agences &amp; Après-vente'!$D$2:$D$1000="Agences")+('Agences &amp; Après-vente'!$D$2:$D$1000="Agences et Après-vente"))*('Agences &amp; Après-vente'!$I$2:$I$1000="DONE"))&gt;0,"✓",IF(SUMPRODUCT(MAX(('Agences &amp; Après-vente'!$A$2:$A$1000=$A703)*(('Agences &amp; Après-vente'!$D$2:$D$1000="Agences")+('Agences &amp; Après-vente'!$D$2:$D$1000="Agences et Après-vente"))*'Agences &amp; Après-vente'!$E$2:$E$1000))&gt;0,TEXT(SUMPRODUCT(MAX(('Agences &amp; Après-vente'!$A$2:$A$1000=$A703)*(('Agences &amp; Après-vente'!$D$2:$D$1000="Agences")+('Agences &amp; Après-vente'!$D$2:$D$1000="Agences et Après-vente"))*'Agences &amp; Après-vente'!$E$2:$E$1000)),"yyyy-mm-dd"),""))))))</f>
        <v/>
      </c>
      <c r="I703" s="131" t="str">
        <f aca="false">IF($S703="✓","✓",IF(ISNUMBER($S703),TEXT($S703,"yyyy-mm-dd"),IF($A703="","",IF(SUMPRODUCT(('Agences &amp; Après-vente'!$A$2:$A$1000=$A703)*(('Agences &amp; Après-vente'!$D$2:$D$1000="Après-vente")+('Agences &amp; Après-vente'!$D$2:$D$1000="Agences et Après-vente"))*('Agences &amp; Après-vente'!$I$2:$I$1000="DONE"))&gt;0,"✓",IF(SUMPRODUCT(MAX(('Agences &amp; Après-vente'!$A$2:$A$1000=$A703)*(('Agences &amp; Après-vente'!$D$2:$D$1000="Après-vente")+('Agences &amp; Après-vente'!$D$2:$D$1000="Agences et Après-vente"))*'Agences &amp; Après-vente'!$E$2:$E$1000))&gt;0,TEXT(SUMPRODUCT(MAX(('Agences &amp; Après-vente'!$A$2:$A$1000=$A703)*(('Agences &amp; Après-vente'!$D$2:$D$1000="Après-vente")+('Agences &amp; Après-vente'!$D$2:$D$1000="Agences et Après-vente"))*'Agences &amp; Après-vente'!$E$2:$E$1000)),"yyyy-mm-dd"),"")))))</f>
        <v/>
      </c>
      <c r="J703" s="131" t="str">
        <f aca="false">IF($T703="✓","✓",IF(ISNUMBER($T703),TEXT($T703,"yyyy-mm-dd"),IF($A703="","",IF($D703="Lisbonne","",IF(SUMPRODUCT(('Agences &amp; Après-vente'!$A$2:$A$1000=$A703)*(('Agences &amp; Après-vente'!$D$2:$D$1000="Après-vente")+('Agences &amp; Après-vente'!$D$2:$D$1000="Agences et Après-vente"))*('Agences &amp; Après-vente'!$I$2:$I$1000="DONE"))&gt;0,"✓",IF(SUMPRODUCT(MAX(('Agences &amp; Après-vente'!$A$2:$A$1000=$A703)*(('Agences &amp; Après-vente'!$D$2:$D$1000="Après-vente")+('Agences &amp; Après-vente'!$D$2:$D$1000="Agences et Après-vente"))*'Agences &amp; Après-vente'!$E$2:$E$1000))&gt;0,TEXT(SUMPRODUCT(MAX(('Agences &amp; Après-vente'!$A$2:$A$1000=$A703)*(('Agences &amp; Après-vente'!$D$2:$D$1000="Après-vente")+('Agences &amp; Après-vente'!$D$2:$D$1000="Agences et Après-vente"))*'Agences &amp; Après-vente'!$E$2:$E$1000)),"yyyy-mm-dd"),""))))))</f>
        <v/>
      </c>
      <c r="K703" s="131" t="str">
        <f aca="false">IF($U703="✓","✓",IF(ISNUMBER($U703),TEXT($U703,"yyyy-mm-dd"),IF($D703="Lisbonne","",IF($A703="","",IF(SUMPRODUCT((Evermont!$A$2:$A$1000=$A703)*(Evermont!$Q$2:$Q$1000="Terminé"))&gt;0,"✓",IF(SUMPRODUCT(MAX((Evermont!$A$2:$A$1000=$A703)*Evermont!$F$2:$F$1000))&gt;0,TEXT(SUMPRODUCT(MAX((Evermont!$A$2:$A$1000=$A703)*Evermont!$F$2:$F$1000)),"yyyy-mm-dd"),""))))))</f>
        <v/>
      </c>
      <c r="L703" s="131" t="str">
        <f aca="false">IF($A703="","",COUNTIF(E703:K703,"✓"))</f>
        <v/>
      </c>
      <c r="M703" s="131" t="str">
        <f aca="false">IF(B703="","","Active")</f>
        <v/>
      </c>
      <c r="W703" s="120" t="str">
        <f aca="false">IF($A703="","",IF($X703&lt;&gt;"",$X703,IFERROR(INDEX('Formation Initiale'!$B$2:$B$999,MATCH($A703,'Formation Initiale'!$A$2:$A$999,0)),"Général")))</f>
        <v/>
      </c>
    </row>
    <row r="704" customFormat="false" ht="15" hidden="true" customHeight="true" outlineLevel="0" collapsed="false">
      <c r="A704" s="142" t="str">
        <f aca="false">IF(B704="","","TR"&amp;TEXT(ROW()-1,"000"))</f>
        <v/>
      </c>
      <c r="E704" s="130" t="str">
        <f aca="false">IF($O704="✓","✓",IF(ISNUMBER($O704),TEXT($O704,"yyyy-mm-dd"),IF($A704="","",IF(SUMPRODUCT(('Formation Initiale'!$A$2:$A$999=$A704)*('Formation Initiale'!$R$2:$R$999="Terminé"))&gt;0,"✓",IF(SUMPRODUCT(MAX(('Formation Initiale'!$A$2:$A$999=$A704)*'Formation Initiale'!$G$2:$G$999))&gt;0,TEXT(SUMPRODUCT(MAX(('Formation Initiale'!$A$2:$A$999=$A704)*'Formation Initiale'!$G$2:$G$999)),"yyyy-mm-dd"),"")))))</f>
        <v/>
      </c>
      <c r="F704" s="131" t="str">
        <f aca="false">IF($P704="✓","✓",IF(ISNUMBER($P704),TEXT($P704,"yyyy-mm-dd"),IF($A704="","",IF($D704="Lisbonne","",IF(SUMPRODUCT(('Formation Initiale'!$A$2:$A$999=$A704)*('Formation Initiale'!$R$2:$R$999="Terminé"))&gt;0,"✓",IF(SUMPRODUCT(MAX(('Formation Initiale'!$A$2:$A$999=$A704)*'Formation Initiale'!$G$2:$G$999))&gt;0,TEXT(SUMPRODUCT(MAX(('Formation Initiale'!$A$2:$A$999=$A704)*'Formation Initiale'!$G$2:$G$999)),"yyyy-mm-dd"),""))))))</f>
        <v/>
      </c>
      <c r="G704" s="131" t="str">
        <f aca="false">IF($Q704="✓","✓",IF(ISNUMBER($Q704),TEXT($Q704,"yyyy-mm-dd"),IF($A704="","",IF(SUMPRODUCT(('Agences &amp; Après-vente'!$A$2:$A$1000=$A704)*(('Agences &amp; Après-vente'!$D$2:$D$1000="Agences")+('Agences &amp; Après-vente'!$D$2:$D$1000="Agences et Après-vente"))*('Agences &amp; Après-vente'!$I$2:$I$1000="DONE"))&gt;0,"✓",IF(SUMPRODUCT(MAX(('Agences &amp; Après-vente'!$A$2:$A$1000=$A704)*(('Agences &amp; Après-vente'!$D$2:$D$1000="Agences")+('Agences &amp; Après-vente'!$D$2:$D$1000="Agences et Après-vente"))*'Agences &amp; Après-vente'!$E$2:$E$1000))&gt;0,TEXT(SUMPRODUCT(MAX(('Agences &amp; Après-vente'!$A$2:$A$1000=$A704)*(('Agences &amp; Après-vente'!$D$2:$D$1000="Agences")+('Agences &amp; Après-vente'!$D$2:$D$1000="Agences et Après-vente"))*'Agences &amp; Après-vente'!$E$2:$E$1000)),"yyyy-mm-dd"),"")))))</f>
        <v/>
      </c>
      <c r="H704" s="131" t="str">
        <f aca="false">IF($R704="✓","✓",IF(ISNUMBER($R704),TEXT($R704,"yyyy-mm-dd"),IF($A704="","",IF($D704="Lisbonne","",IF(SUMPRODUCT(('Agences &amp; Après-vente'!$A$2:$A$1000=$A704)*(('Agences &amp; Après-vente'!$D$2:$D$1000="Agences")+('Agences &amp; Après-vente'!$D$2:$D$1000="Agences et Après-vente"))*('Agences &amp; Après-vente'!$I$2:$I$1000="DONE"))&gt;0,"✓",IF(SUMPRODUCT(MAX(('Agences &amp; Après-vente'!$A$2:$A$1000=$A704)*(('Agences &amp; Après-vente'!$D$2:$D$1000="Agences")+('Agences &amp; Après-vente'!$D$2:$D$1000="Agences et Après-vente"))*'Agences &amp; Après-vente'!$E$2:$E$1000))&gt;0,TEXT(SUMPRODUCT(MAX(('Agences &amp; Après-vente'!$A$2:$A$1000=$A704)*(('Agences &amp; Après-vente'!$D$2:$D$1000="Agences")+('Agences &amp; Après-vente'!$D$2:$D$1000="Agences et Après-vente"))*'Agences &amp; Après-vente'!$E$2:$E$1000)),"yyyy-mm-dd"),""))))))</f>
        <v/>
      </c>
      <c r="I704" s="131" t="str">
        <f aca="false">IF($S704="✓","✓",IF(ISNUMBER($S704),TEXT($S704,"yyyy-mm-dd"),IF($A704="","",IF(SUMPRODUCT(('Agences &amp; Après-vente'!$A$2:$A$1000=$A704)*(('Agences &amp; Après-vente'!$D$2:$D$1000="Après-vente")+('Agences &amp; Après-vente'!$D$2:$D$1000="Agences et Après-vente"))*('Agences &amp; Après-vente'!$I$2:$I$1000="DONE"))&gt;0,"✓",IF(SUMPRODUCT(MAX(('Agences &amp; Après-vente'!$A$2:$A$1000=$A704)*(('Agences &amp; Après-vente'!$D$2:$D$1000="Après-vente")+('Agences &amp; Après-vente'!$D$2:$D$1000="Agences et Après-vente"))*'Agences &amp; Après-vente'!$E$2:$E$1000))&gt;0,TEXT(SUMPRODUCT(MAX(('Agences &amp; Après-vente'!$A$2:$A$1000=$A704)*(('Agences &amp; Après-vente'!$D$2:$D$1000="Après-vente")+('Agences &amp; Après-vente'!$D$2:$D$1000="Agences et Après-vente"))*'Agences &amp; Après-vente'!$E$2:$E$1000)),"yyyy-mm-dd"),"")))))</f>
        <v/>
      </c>
      <c r="J704" s="131" t="str">
        <f aca="false">IF($T704="✓","✓",IF(ISNUMBER($T704),TEXT($T704,"yyyy-mm-dd"),IF($A704="","",IF($D704="Lisbonne","",IF(SUMPRODUCT(('Agences &amp; Après-vente'!$A$2:$A$1000=$A704)*(('Agences &amp; Après-vente'!$D$2:$D$1000="Après-vente")+('Agences &amp; Après-vente'!$D$2:$D$1000="Agences et Après-vente"))*('Agences &amp; Après-vente'!$I$2:$I$1000="DONE"))&gt;0,"✓",IF(SUMPRODUCT(MAX(('Agences &amp; Après-vente'!$A$2:$A$1000=$A704)*(('Agences &amp; Après-vente'!$D$2:$D$1000="Après-vente")+('Agences &amp; Après-vente'!$D$2:$D$1000="Agences et Après-vente"))*'Agences &amp; Après-vente'!$E$2:$E$1000))&gt;0,TEXT(SUMPRODUCT(MAX(('Agences &amp; Après-vente'!$A$2:$A$1000=$A704)*(('Agences &amp; Après-vente'!$D$2:$D$1000="Après-vente")+('Agences &amp; Après-vente'!$D$2:$D$1000="Agences et Après-vente"))*'Agences &amp; Après-vente'!$E$2:$E$1000)),"yyyy-mm-dd"),""))))))</f>
        <v/>
      </c>
      <c r="K704" s="131" t="str">
        <f aca="false">IF($U704="✓","✓",IF(ISNUMBER($U704),TEXT($U704,"yyyy-mm-dd"),IF($D704="Lisbonne","",IF($A704="","",IF(SUMPRODUCT((Evermont!$A$2:$A$1000=$A704)*(Evermont!$Q$2:$Q$1000="Terminé"))&gt;0,"✓",IF(SUMPRODUCT(MAX((Evermont!$A$2:$A$1000=$A704)*Evermont!$F$2:$F$1000))&gt;0,TEXT(SUMPRODUCT(MAX((Evermont!$A$2:$A$1000=$A704)*Evermont!$F$2:$F$1000)),"yyyy-mm-dd"),""))))))</f>
        <v/>
      </c>
      <c r="L704" s="131" t="str">
        <f aca="false">IF($A704="","",COUNTIF(E704:K704,"✓"))</f>
        <v/>
      </c>
      <c r="M704" s="131" t="str">
        <f aca="false">IF(B704="","","Active")</f>
        <v/>
      </c>
      <c r="W704" s="120" t="str">
        <f aca="false">IF($A704="","",IF($X704&lt;&gt;"",$X704,IFERROR(INDEX('Formation Initiale'!$B$2:$B$999,MATCH($A704,'Formation Initiale'!$A$2:$A$999,0)),"Général")))</f>
        <v/>
      </c>
    </row>
    <row r="705" customFormat="false" ht="15" hidden="true" customHeight="true" outlineLevel="0" collapsed="false">
      <c r="A705" s="142" t="str">
        <f aca="false">IF(B705="","","TR"&amp;TEXT(ROW()-1,"000"))</f>
        <v/>
      </c>
      <c r="E705" s="130" t="str">
        <f aca="false">IF($O705="✓","✓",IF(ISNUMBER($O705),TEXT($O705,"yyyy-mm-dd"),IF($A705="","",IF(SUMPRODUCT(('Formation Initiale'!$A$2:$A$999=$A705)*('Formation Initiale'!$R$2:$R$999="Terminé"))&gt;0,"✓",IF(SUMPRODUCT(MAX(('Formation Initiale'!$A$2:$A$999=$A705)*'Formation Initiale'!$G$2:$G$999))&gt;0,TEXT(SUMPRODUCT(MAX(('Formation Initiale'!$A$2:$A$999=$A705)*'Formation Initiale'!$G$2:$G$999)),"yyyy-mm-dd"),"")))))</f>
        <v/>
      </c>
      <c r="F705" s="131" t="str">
        <f aca="false">IF($P705="✓","✓",IF(ISNUMBER($P705),TEXT($P705,"yyyy-mm-dd"),IF($A705="","",IF($D705="Lisbonne","",IF(SUMPRODUCT(('Formation Initiale'!$A$2:$A$999=$A705)*('Formation Initiale'!$R$2:$R$999="Terminé"))&gt;0,"✓",IF(SUMPRODUCT(MAX(('Formation Initiale'!$A$2:$A$999=$A705)*'Formation Initiale'!$G$2:$G$999))&gt;0,TEXT(SUMPRODUCT(MAX(('Formation Initiale'!$A$2:$A$999=$A705)*'Formation Initiale'!$G$2:$G$999)),"yyyy-mm-dd"),""))))))</f>
        <v/>
      </c>
      <c r="G705" s="131" t="str">
        <f aca="false">IF($Q705="✓","✓",IF(ISNUMBER($Q705),TEXT($Q705,"yyyy-mm-dd"),IF($A705="","",IF(SUMPRODUCT(('Agences &amp; Après-vente'!$A$2:$A$1000=$A705)*(('Agences &amp; Après-vente'!$D$2:$D$1000="Agences")+('Agences &amp; Après-vente'!$D$2:$D$1000="Agences et Après-vente"))*('Agences &amp; Après-vente'!$I$2:$I$1000="DONE"))&gt;0,"✓",IF(SUMPRODUCT(MAX(('Agences &amp; Après-vente'!$A$2:$A$1000=$A705)*(('Agences &amp; Après-vente'!$D$2:$D$1000="Agences")+('Agences &amp; Après-vente'!$D$2:$D$1000="Agences et Après-vente"))*'Agences &amp; Après-vente'!$E$2:$E$1000))&gt;0,TEXT(SUMPRODUCT(MAX(('Agences &amp; Après-vente'!$A$2:$A$1000=$A705)*(('Agences &amp; Après-vente'!$D$2:$D$1000="Agences")+('Agences &amp; Après-vente'!$D$2:$D$1000="Agences et Après-vente"))*'Agences &amp; Après-vente'!$E$2:$E$1000)),"yyyy-mm-dd"),"")))))</f>
        <v/>
      </c>
      <c r="H705" s="131" t="str">
        <f aca="false">IF($R705="✓","✓",IF(ISNUMBER($R705),TEXT($R705,"yyyy-mm-dd"),IF($A705="","",IF($D705="Lisbonne","",IF(SUMPRODUCT(('Agences &amp; Après-vente'!$A$2:$A$1000=$A705)*(('Agences &amp; Après-vente'!$D$2:$D$1000="Agences")+('Agences &amp; Après-vente'!$D$2:$D$1000="Agences et Après-vente"))*('Agences &amp; Après-vente'!$I$2:$I$1000="DONE"))&gt;0,"✓",IF(SUMPRODUCT(MAX(('Agences &amp; Après-vente'!$A$2:$A$1000=$A705)*(('Agences &amp; Après-vente'!$D$2:$D$1000="Agences")+('Agences &amp; Après-vente'!$D$2:$D$1000="Agences et Après-vente"))*'Agences &amp; Après-vente'!$E$2:$E$1000))&gt;0,TEXT(SUMPRODUCT(MAX(('Agences &amp; Après-vente'!$A$2:$A$1000=$A705)*(('Agences &amp; Après-vente'!$D$2:$D$1000="Agences")+('Agences &amp; Après-vente'!$D$2:$D$1000="Agences et Après-vente"))*'Agences &amp; Après-vente'!$E$2:$E$1000)),"yyyy-mm-dd"),""))))))</f>
        <v/>
      </c>
      <c r="I705" s="131" t="str">
        <f aca="false">IF($S705="✓","✓",IF(ISNUMBER($S705),TEXT($S705,"yyyy-mm-dd"),IF($A705="","",IF(SUMPRODUCT(('Agences &amp; Après-vente'!$A$2:$A$1000=$A705)*(('Agences &amp; Après-vente'!$D$2:$D$1000="Après-vente")+('Agences &amp; Après-vente'!$D$2:$D$1000="Agences et Après-vente"))*('Agences &amp; Après-vente'!$I$2:$I$1000="DONE"))&gt;0,"✓",IF(SUMPRODUCT(MAX(('Agences &amp; Après-vente'!$A$2:$A$1000=$A705)*(('Agences &amp; Après-vente'!$D$2:$D$1000="Après-vente")+('Agences &amp; Après-vente'!$D$2:$D$1000="Agences et Après-vente"))*'Agences &amp; Après-vente'!$E$2:$E$1000))&gt;0,TEXT(SUMPRODUCT(MAX(('Agences &amp; Après-vente'!$A$2:$A$1000=$A705)*(('Agences &amp; Après-vente'!$D$2:$D$1000="Après-vente")+('Agences &amp; Après-vente'!$D$2:$D$1000="Agences et Après-vente"))*'Agences &amp; Après-vente'!$E$2:$E$1000)),"yyyy-mm-dd"),"")))))</f>
        <v/>
      </c>
      <c r="J705" s="131" t="str">
        <f aca="false">IF($T705="✓","✓",IF(ISNUMBER($T705),TEXT($T705,"yyyy-mm-dd"),IF($A705="","",IF($D705="Lisbonne","",IF(SUMPRODUCT(('Agences &amp; Après-vente'!$A$2:$A$1000=$A705)*(('Agences &amp; Après-vente'!$D$2:$D$1000="Après-vente")+('Agences &amp; Après-vente'!$D$2:$D$1000="Agences et Après-vente"))*('Agences &amp; Après-vente'!$I$2:$I$1000="DONE"))&gt;0,"✓",IF(SUMPRODUCT(MAX(('Agences &amp; Après-vente'!$A$2:$A$1000=$A705)*(('Agences &amp; Après-vente'!$D$2:$D$1000="Après-vente")+('Agences &amp; Après-vente'!$D$2:$D$1000="Agences et Après-vente"))*'Agences &amp; Après-vente'!$E$2:$E$1000))&gt;0,TEXT(SUMPRODUCT(MAX(('Agences &amp; Après-vente'!$A$2:$A$1000=$A705)*(('Agences &amp; Après-vente'!$D$2:$D$1000="Après-vente")+('Agences &amp; Après-vente'!$D$2:$D$1000="Agences et Après-vente"))*'Agences &amp; Après-vente'!$E$2:$E$1000)),"yyyy-mm-dd"),""))))))</f>
        <v/>
      </c>
      <c r="K705" s="131" t="str">
        <f aca="false">IF($U705="✓","✓",IF(ISNUMBER($U705),TEXT($U705,"yyyy-mm-dd"),IF($D705="Lisbonne","",IF($A705="","",IF(SUMPRODUCT((Evermont!$A$2:$A$1000=$A705)*(Evermont!$Q$2:$Q$1000="Terminé"))&gt;0,"✓",IF(SUMPRODUCT(MAX((Evermont!$A$2:$A$1000=$A705)*Evermont!$F$2:$F$1000))&gt;0,TEXT(SUMPRODUCT(MAX((Evermont!$A$2:$A$1000=$A705)*Evermont!$F$2:$F$1000)),"yyyy-mm-dd"),""))))))</f>
        <v/>
      </c>
      <c r="L705" s="131" t="str">
        <f aca="false">IF($A705="","",COUNTIF(E705:K705,"✓"))</f>
        <v/>
      </c>
      <c r="M705" s="131" t="str">
        <f aca="false">IF(B705="","","Active")</f>
        <v/>
      </c>
      <c r="W705" s="120" t="str">
        <f aca="false">IF($A705="","",IF($X705&lt;&gt;"",$X705,IFERROR(INDEX('Formation Initiale'!$B$2:$B$999,MATCH($A705,'Formation Initiale'!$A$2:$A$999,0)),"Général")))</f>
        <v/>
      </c>
    </row>
    <row r="706" customFormat="false" ht="15" hidden="true" customHeight="true" outlineLevel="0" collapsed="false">
      <c r="A706" s="142" t="str">
        <f aca="false">IF(B706="","","TR"&amp;TEXT(ROW()-1,"000"))</f>
        <v/>
      </c>
      <c r="E706" s="130" t="str">
        <f aca="false">IF($O706="✓","✓",IF(ISNUMBER($O706),TEXT($O706,"yyyy-mm-dd"),IF($A706="","",IF(SUMPRODUCT(('Formation Initiale'!$A$2:$A$999=$A706)*('Formation Initiale'!$R$2:$R$999="Terminé"))&gt;0,"✓",IF(SUMPRODUCT(MAX(('Formation Initiale'!$A$2:$A$999=$A706)*'Formation Initiale'!$G$2:$G$999))&gt;0,TEXT(SUMPRODUCT(MAX(('Formation Initiale'!$A$2:$A$999=$A706)*'Formation Initiale'!$G$2:$G$999)),"yyyy-mm-dd"),"")))))</f>
        <v/>
      </c>
      <c r="F706" s="131" t="str">
        <f aca="false">IF($P706="✓","✓",IF(ISNUMBER($P706),TEXT($P706,"yyyy-mm-dd"),IF($A706="","",IF($D706="Lisbonne","",IF(SUMPRODUCT(('Formation Initiale'!$A$2:$A$999=$A706)*('Formation Initiale'!$R$2:$R$999="Terminé"))&gt;0,"✓",IF(SUMPRODUCT(MAX(('Formation Initiale'!$A$2:$A$999=$A706)*'Formation Initiale'!$G$2:$G$999))&gt;0,TEXT(SUMPRODUCT(MAX(('Formation Initiale'!$A$2:$A$999=$A706)*'Formation Initiale'!$G$2:$G$999)),"yyyy-mm-dd"),""))))))</f>
        <v/>
      </c>
      <c r="G706" s="131" t="str">
        <f aca="false">IF($Q706="✓","✓",IF(ISNUMBER($Q706),TEXT($Q706,"yyyy-mm-dd"),IF($A706="","",IF(SUMPRODUCT(('Agences &amp; Après-vente'!$A$2:$A$1000=$A706)*(('Agences &amp; Après-vente'!$D$2:$D$1000="Agences")+('Agences &amp; Après-vente'!$D$2:$D$1000="Agences et Après-vente"))*('Agences &amp; Après-vente'!$I$2:$I$1000="DONE"))&gt;0,"✓",IF(SUMPRODUCT(MAX(('Agences &amp; Après-vente'!$A$2:$A$1000=$A706)*(('Agences &amp; Après-vente'!$D$2:$D$1000="Agences")+('Agences &amp; Après-vente'!$D$2:$D$1000="Agences et Après-vente"))*'Agences &amp; Après-vente'!$E$2:$E$1000))&gt;0,TEXT(SUMPRODUCT(MAX(('Agences &amp; Après-vente'!$A$2:$A$1000=$A706)*(('Agences &amp; Après-vente'!$D$2:$D$1000="Agences")+('Agences &amp; Après-vente'!$D$2:$D$1000="Agences et Après-vente"))*'Agences &amp; Après-vente'!$E$2:$E$1000)),"yyyy-mm-dd"),"")))))</f>
        <v/>
      </c>
      <c r="H706" s="131" t="str">
        <f aca="false">IF($R706="✓","✓",IF(ISNUMBER($R706),TEXT($R706,"yyyy-mm-dd"),IF($A706="","",IF($D706="Lisbonne","",IF(SUMPRODUCT(('Agences &amp; Après-vente'!$A$2:$A$1000=$A706)*(('Agences &amp; Après-vente'!$D$2:$D$1000="Agences")+('Agences &amp; Après-vente'!$D$2:$D$1000="Agences et Après-vente"))*('Agences &amp; Après-vente'!$I$2:$I$1000="DONE"))&gt;0,"✓",IF(SUMPRODUCT(MAX(('Agences &amp; Après-vente'!$A$2:$A$1000=$A706)*(('Agences &amp; Après-vente'!$D$2:$D$1000="Agences")+('Agences &amp; Après-vente'!$D$2:$D$1000="Agences et Après-vente"))*'Agences &amp; Après-vente'!$E$2:$E$1000))&gt;0,TEXT(SUMPRODUCT(MAX(('Agences &amp; Après-vente'!$A$2:$A$1000=$A706)*(('Agences &amp; Après-vente'!$D$2:$D$1000="Agences")+('Agences &amp; Après-vente'!$D$2:$D$1000="Agences et Après-vente"))*'Agences &amp; Après-vente'!$E$2:$E$1000)),"yyyy-mm-dd"),""))))))</f>
        <v/>
      </c>
      <c r="I706" s="131" t="str">
        <f aca="false">IF($S706="✓","✓",IF(ISNUMBER($S706),TEXT($S706,"yyyy-mm-dd"),IF($A706="","",IF(SUMPRODUCT(('Agences &amp; Après-vente'!$A$2:$A$1000=$A706)*(('Agences &amp; Après-vente'!$D$2:$D$1000="Après-vente")+('Agences &amp; Après-vente'!$D$2:$D$1000="Agences et Après-vente"))*('Agences &amp; Après-vente'!$I$2:$I$1000="DONE"))&gt;0,"✓",IF(SUMPRODUCT(MAX(('Agences &amp; Après-vente'!$A$2:$A$1000=$A706)*(('Agences &amp; Après-vente'!$D$2:$D$1000="Après-vente")+('Agences &amp; Après-vente'!$D$2:$D$1000="Agences et Après-vente"))*'Agences &amp; Après-vente'!$E$2:$E$1000))&gt;0,TEXT(SUMPRODUCT(MAX(('Agences &amp; Après-vente'!$A$2:$A$1000=$A706)*(('Agences &amp; Après-vente'!$D$2:$D$1000="Après-vente")+('Agences &amp; Après-vente'!$D$2:$D$1000="Agences et Après-vente"))*'Agences &amp; Après-vente'!$E$2:$E$1000)),"yyyy-mm-dd"),"")))))</f>
        <v/>
      </c>
      <c r="J706" s="131" t="str">
        <f aca="false">IF($T706="✓","✓",IF(ISNUMBER($T706),TEXT($T706,"yyyy-mm-dd"),IF($A706="","",IF($D706="Lisbonne","",IF(SUMPRODUCT(('Agences &amp; Après-vente'!$A$2:$A$1000=$A706)*(('Agences &amp; Après-vente'!$D$2:$D$1000="Après-vente")+('Agences &amp; Après-vente'!$D$2:$D$1000="Agences et Après-vente"))*('Agences &amp; Après-vente'!$I$2:$I$1000="DONE"))&gt;0,"✓",IF(SUMPRODUCT(MAX(('Agences &amp; Après-vente'!$A$2:$A$1000=$A706)*(('Agences &amp; Après-vente'!$D$2:$D$1000="Après-vente")+('Agences &amp; Après-vente'!$D$2:$D$1000="Agences et Après-vente"))*'Agences &amp; Après-vente'!$E$2:$E$1000))&gt;0,TEXT(SUMPRODUCT(MAX(('Agences &amp; Après-vente'!$A$2:$A$1000=$A706)*(('Agences &amp; Après-vente'!$D$2:$D$1000="Après-vente")+('Agences &amp; Après-vente'!$D$2:$D$1000="Agences et Après-vente"))*'Agences &amp; Après-vente'!$E$2:$E$1000)),"yyyy-mm-dd"),""))))))</f>
        <v/>
      </c>
      <c r="K706" s="131" t="str">
        <f aca="false">IF($U706="✓","✓",IF(ISNUMBER($U706),TEXT($U706,"yyyy-mm-dd"),IF($D706="Lisbonne","",IF($A706="","",IF(SUMPRODUCT((Evermont!$A$2:$A$1000=$A706)*(Evermont!$Q$2:$Q$1000="Terminé"))&gt;0,"✓",IF(SUMPRODUCT(MAX((Evermont!$A$2:$A$1000=$A706)*Evermont!$F$2:$F$1000))&gt;0,TEXT(SUMPRODUCT(MAX((Evermont!$A$2:$A$1000=$A706)*Evermont!$F$2:$F$1000)),"yyyy-mm-dd"),""))))))</f>
        <v/>
      </c>
      <c r="L706" s="131" t="str">
        <f aca="false">IF($A706="","",COUNTIF(E706:K706,"✓"))</f>
        <v/>
      </c>
      <c r="M706" s="131" t="str">
        <f aca="false">IF(B706="","","Active")</f>
        <v/>
      </c>
      <c r="W706" s="120" t="str">
        <f aca="false">IF($A706="","",IF($X706&lt;&gt;"",$X706,IFERROR(INDEX('Formation Initiale'!$B$2:$B$999,MATCH($A706,'Formation Initiale'!$A$2:$A$999,0)),"Général")))</f>
        <v/>
      </c>
    </row>
    <row r="707" customFormat="false" ht="15" hidden="true" customHeight="true" outlineLevel="0" collapsed="false">
      <c r="A707" s="142" t="str">
        <f aca="false">IF(B707="","","TR"&amp;TEXT(ROW()-1,"000"))</f>
        <v/>
      </c>
      <c r="E707" s="130" t="str">
        <f aca="false">IF($O707="✓","✓",IF(ISNUMBER($O707),TEXT($O707,"yyyy-mm-dd"),IF($A707="","",IF(SUMPRODUCT(('Formation Initiale'!$A$2:$A$999=$A707)*('Formation Initiale'!$R$2:$R$999="Terminé"))&gt;0,"✓",IF(SUMPRODUCT(MAX(('Formation Initiale'!$A$2:$A$999=$A707)*'Formation Initiale'!$G$2:$G$999))&gt;0,TEXT(SUMPRODUCT(MAX(('Formation Initiale'!$A$2:$A$999=$A707)*'Formation Initiale'!$G$2:$G$999)),"yyyy-mm-dd"),"")))))</f>
        <v/>
      </c>
      <c r="F707" s="131" t="str">
        <f aca="false">IF($P707="✓","✓",IF(ISNUMBER($P707),TEXT($P707,"yyyy-mm-dd"),IF($A707="","",IF($D707="Lisbonne","",IF(SUMPRODUCT(('Formation Initiale'!$A$2:$A$999=$A707)*('Formation Initiale'!$R$2:$R$999="Terminé"))&gt;0,"✓",IF(SUMPRODUCT(MAX(('Formation Initiale'!$A$2:$A$999=$A707)*'Formation Initiale'!$G$2:$G$999))&gt;0,TEXT(SUMPRODUCT(MAX(('Formation Initiale'!$A$2:$A$999=$A707)*'Formation Initiale'!$G$2:$G$999)),"yyyy-mm-dd"),""))))))</f>
        <v/>
      </c>
      <c r="G707" s="131" t="str">
        <f aca="false">IF($Q707="✓","✓",IF(ISNUMBER($Q707),TEXT($Q707,"yyyy-mm-dd"),IF($A707="","",IF(SUMPRODUCT(('Agences &amp; Après-vente'!$A$2:$A$1000=$A707)*(('Agences &amp; Après-vente'!$D$2:$D$1000="Agences")+('Agences &amp; Après-vente'!$D$2:$D$1000="Agences et Après-vente"))*('Agences &amp; Après-vente'!$I$2:$I$1000="DONE"))&gt;0,"✓",IF(SUMPRODUCT(MAX(('Agences &amp; Après-vente'!$A$2:$A$1000=$A707)*(('Agences &amp; Après-vente'!$D$2:$D$1000="Agences")+('Agences &amp; Après-vente'!$D$2:$D$1000="Agences et Après-vente"))*'Agences &amp; Après-vente'!$E$2:$E$1000))&gt;0,TEXT(SUMPRODUCT(MAX(('Agences &amp; Après-vente'!$A$2:$A$1000=$A707)*(('Agences &amp; Après-vente'!$D$2:$D$1000="Agences")+('Agences &amp; Après-vente'!$D$2:$D$1000="Agences et Après-vente"))*'Agences &amp; Après-vente'!$E$2:$E$1000)),"yyyy-mm-dd"),"")))))</f>
        <v/>
      </c>
      <c r="H707" s="131" t="str">
        <f aca="false">IF($R707="✓","✓",IF(ISNUMBER($R707),TEXT($R707,"yyyy-mm-dd"),IF($A707="","",IF($D707="Lisbonne","",IF(SUMPRODUCT(('Agences &amp; Après-vente'!$A$2:$A$1000=$A707)*(('Agences &amp; Après-vente'!$D$2:$D$1000="Agences")+('Agences &amp; Après-vente'!$D$2:$D$1000="Agences et Après-vente"))*('Agences &amp; Après-vente'!$I$2:$I$1000="DONE"))&gt;0,"✓",IF(SUMPRODUCT(MAX(('Agences &amp; Après-vente'!$A$2:$A$1000=$A707)*(('Agences &amp; Après-vente'!$D$2:$D$1000="Agences")+('Agences &amp; Après-vente'!$D$2:$D$1000="Agences et Après-vente"))*'Agences &amp; Après-vente'!$E$2:$E$1000))&gt;0,TEXT(SUMPRODUCT(MAX(('Agences &amp; Après-vente'!$A$2:$A$1000=$A707)*(('Agences &amp; Après-vente'!$D$2:$D$1000="Agences")+('Agences &amp; Après-vente'!$D$2:$D$1000="Agences et Après-vente"))*'Agences &amp; Après-vente'!$E$2:$E$1000)),"yyyy-mm-dd"),""))))))</f>
        <v/>
      </c>
      <c r="I707" s="131" t="str">
        <f aca="false">IF($S707="✓","✓",IF(ISNUMBER($S707),TEXT($S707,"yyyy-mm-dd"),IF($A707="","",IF(SUMPRODUCT(('Agences &amp; Après-vente'!$A$2:$A$1000=$A707)*(('Agences &amp; Après-vente'!$D$2:$D$1000="Après-vente")+('Agences &amp; Après-vente'!$D$2:$D$1000="Agences et Après-vente"))*('Agences &amp; Après-vente'!$I$2:$I$1000="DONE"))&gt;0,"✓",IF(SUMPRODUCT(MAX(('Agences &amp; Après-vente'!$A$2:$A$1000=$A707)*(('Agences &amp; Après-vente'!$D$2:$D$1000="Après-vente")+('Agences &amp; Après-vente'!$D$2:$D$1000="Agences et Après-vente"))*'Agences &amp; Après-vente'!$E$2:$E$1000))&gt;0,TEXT(SUMPRODUCT(MAX(('Agences &amp; Après-vente'!$A$2:$A$1000=$A707)*(('Agences &amp; Après-vente'!$D$2:$D$1000="Après-vente")+('Agences &amp; Après-vente'!$D$2:$D$1000="Agences et Après-vente"))*'Agences &amp; Après-vente'!$E$2:$E$1000)),"yyyy-mm-dd"),"")))))</f>
        <v/>
      </c>
      <c r="J707" s="131" t="str">
        <f aca="false">IF($T707="✓","✓",IF(ISNUMBER($T707),TEXT($T707,"yyyy-mm-dd"),IF($A707="","",IF($D707="Lisbonne","",IF(SUMPRODUCT(('Agences &amp; Après-vente'!$A$2:$A$1000=$A707)*(('Agences &amp; Après-vente'!$D$2:$D$1000="Après-vente")+('Agences &amp; Après-vente'!$D$2:$D$1000="Agences et Après-vente"))*('Agences &amp; Après-vente'!$I$2:$I$1000="DONE"))&gt;0,"✓",IF(SUMPRODUCT(MAX(('Agences &amp; Après-vente'!$A$2:$A$1000=$A707)*(('Agences &amp; Après-vente'!$D$2:$D$1000="Après-vente")+('Agences &amp; Après-vente'!$D$2:$D$1000="Agences et Après-vente"))*'Agences &amp; Après-vente'!$E$2:$E$1000))&gt;0,TEXT(SUMPRODUCT(MAX(('Agences &amp; Après-vente'!$A$2:$A$1000=$A707)*(('Agences &amp; Après-vente'!$D$2:$D$1000="Après-vente")+('Agences &amp; Après-vente'!$D$2:$D$1000="Agences et Après-vente"))*'Agences &amp; Après-vente'!$E$2:$E$1000)),"yyyy-mm-dd"),""))))))</f>
        <v/>
      </c>
      <c r="K707" s="131" t="str">
        <f aca="false">IF($U707="✓","✓",IF(ISNUMBER($U707),TEXT($U707,"yyyy-mm-dd"),IF($D707="Lisbonne","",IF($A707="","",IF(SUMPRODUCT((Evermont!$A$2:$A$1000=$A707)*(Evermont!$Q$2:$Q$1000="Terminé"))&gt;0,"✓",IF(SUMPRODUCT(MAX((Evermont!$A$2:$A$1000=$A707)*Evermont!$F$2:$F$1000))&gt;0,TEXT(SUMPRODUCT(MAX((Evermont!$A$2:$A$1000=$A707)*Evermont!$F$2:$F$1000)),"yyyy-mm-dd"),""))))))</f>
        <v/>
      </c>
      <c r="L707" s="131" t="str">
        <f aca="false">IF($A707="","",COUNTIF(E707:K707,"✓"))</f>
        <v/>
      </c>
      <c r="M707" s="131" t="str">
        <f aca="false">IF(B707="","","Active")</f>
        <v/>
      </c>
      <c r="W707" s="120" t="str">
        <f aca="false">IF($A707="","",IF($X707&lt;&gt;"",$X707,IFERROR(INDEX('Formation Initiale'!$B$2:$B$999,MATCH($A707,'Formation Initiale'!$A$2:$A$999,0)),"Général")))</f>
        <v/>
      </c>
    </row>
    <row r="708" customFormat="false" ht="15" hidden="true" customHeight="true" outlineLevel="0" collapsed="false">
      <c r="A708" s="142" t="str">
        <f aca="false">IF(B708="","","TR"&amp;TEXT(ROW()-1,"000"))</f>
        <v/>
      </c>
      <c r="E708" s="130" t="str">
        <f aca="false">IF($O708="✓","✓",IF(ISNUMBER($O708),TEXT($O708,"yyyy-mm-dd"),IF($A708="","",IF(SUMPRODUCT(('Formation Initiale'!$A$2:$A$999=$A708)*('Formation Initiale'!$R$2:$R$999="Terminé"))&gt;0,"✓",IF(SUMPRODUCT(MAX(('Formation Initiale'!$A$2:$A$999=$A708)*'Formation Initiale'!$G$2:$G$999))&gt;0,TEXT(SUMPRODUCT(MAX(('Formation Initiale'!$A$2:$A$999=$A708)*'Formation Initiale'!$G$2:$G$999)),"yyyy-mm-dd"),"")))))</f>
        <v/>
      </c>
      <c r="F708" s="131" t="str">
        <f aca="false">IF($P708="✓","✓",IF(ISNUMBER($P708),TEXT($P708,"yyyy-mm-dd"),IF($A708="","",IF($D708="Lisbonne","",IF(SUMPRODUCT(('Formation Initiale'!$A$2:$A$999=$A708)*('Formation Initiale'!$R$2:$R$999="Terminé"))&gt;0,"✓",IF(SUMPRODUCT(MAX(('Formation Initiale'!$A$2:$A$999=$A708)*'Formation Initiale'!$G$2:$G$999))&gt;0,TEXT(SUMPRODUCT(MAX(('Formation Initiale'!$A$2:$A$999=$A708)*'Formation Initiale'!$G$2:$G$999)),"yyyy-mm-dd"),""))))))</f>
        <v/>
      </c>
      <c r="G708" s="131" t="str">
        <f aca="false">IF($Q708="✓","✓",IF(ISNUMBER($Q708),TEXT($Q708,"yyyy-mm-dd"),IF($A708="","",IF(SUMPRODUCT(('Agences &amp; Après-vente'!$A$2:$A$1000=$A708)*(('Agences &amp; Après-vente'!$D$2:$D$1000="Agences")+('Agences &amp; Après-vente'!$D$2:$D$1000="Agences et Après-vente"))*('Agences &amp; Après-vente'!$I$2:$I$1000="DONE"))&gt;0,"✓",IF(SUMPRODUCT(MAX(('Agences &amp; Après-vente'!$A$2:$A$1000=$A708)*(('Agences &amp; Après-vente'!$D$2:$D$1000="Agences")+('Agences &amp; Après-vente'!$D$2:$D$1000="Agences et Après-vente"))*'Agences &amp; Après-vente'!$E$2:$E$1000))&gt;0,TEXT(SUMPRODUCT(MAX(('Agences &amp; Après-vente'!$A$2:$A$1000=$A708)*(('Agences &amp; Après-vente'!$D$2:$D$1000="Agences")+('Agences &amp; Après-vente'!$D$2:$D$1000="Agences et Après-vente"))*'Agences &amp; Après-vente'!$E$2:$E$1000)),"yyyy-mm-dd"),"")))))</f>
        <v/>
      </c>
      <c r="H708" s="131" t="str">
        <f aca="false">IF($R708="✓","✓",IF(ISNUMBER($R708),TEXT($R708,"yyyy-mm-dd"),IF($A708="","",IF($D708="Lisbonne","",IF(SUMPRODUCT(('Agences &amp; Après-vente'!$A$2:$A$1000=$A708)*(('Agences &amp; Après-vente'!$D$2:$D$1000="Agences")+('Agences &amp; Après-vente'!$D$2:$D$1000="Agences et Après-vente"))*('Agences &amp; Après-vente'!$I$2:$I$1000="DONE"))&gt;0,"✓",IF(SUMPRODUCT(MAX(('Agences &amp; Après-vente'!$A$2:$A$1000=$A708)*(('Agences &amp; Après-vente'!$D$2:$D$1000="Agences")+('Agences &amp; Après-vente'!$D$2:$D$1000="Agences et Après-vente"))*'Agences &amp; Après-vente'!$E$2:$E$1000))&gt;0,TEXT(SUMPRODUCT(MAX(('Agences &amp; Après-vente'!$A$2:$A$1000=$A708)*(('Agences &amp; Après-vente'!$D$2:$D$1000="Agences")+('Agences &amp; Après-vente'!$D$2:$D$1000="Agences et Après-vente"))*'Agences &amp; Après-vente'!$E$2:$E$1000)),"yyyy-mm-dd"),""))))))</f>
        <v/>
      </c>
      <c r="I708" s="131" t="str">
        <f aca="false">IF($S708="✓","✓",IF(ISNUMBER($S708),TEXT($S708,"yyyy-mm-dd"),IF($A708="","",IF(SUMPRODUCT(('Agences &amp; Après-vente'!$A$2:$A$1000=$A708)*(('Agences &amp; Après-vente'!$D$2:$D$1000="Après-vente")+('Agences &amp; Après-vente'!$D$2:$D$1000="Agences et Après-vente"))*('Agences &amp; Après-vente'!$I$2:$I$1000="DONE"))&gt;0,"✓",IF(SUMPRODUCT(MAX(('Agences &amp; Après-vente'!$A$2:$A$1000=$A708)*(('Agences &amp; Après-vente'!$D$2:$D$1000="Après-vente")+('Agences &amp; Après-vente'!$D$2:$D$1000="Agences et Après-vente"))*'Agences &amp; Après-vente'!$E$2:$E$1000))&gt;0,TEXT(SUMPRODUCT(MAX(('Agences &amp; Après-vente'!$A$2:$A$1000=$A708)*(('Agences &amp; Après-vente'!$D$2:$D$1000="Après-vente")+('Agences &amp; Après-vente'!$D$2:$D$1000="Agences et Après-vente"))*'Agences &amp; Après-vente'!$E$2:$E$1000)),"yyyy-mm-dd"),"")))))</f>
        <v/>
      </c>
      <c r="J708" s="131" t="str">
        <f aca="false">IF($T708="✓","✓",IF(ISNUMBER($T708),TEXT($T708,"yyyy-mm-dd"),IF($A708="","",IF($D708="Lisbonne","",IF(SUMPRODUCT(('Agences &amp; Après-vente'!$A$2:$A$1000=$A708)*(('Agences &amp; Après-vente'!$D$2:$D$1000="Après-vente")+('Agences &amp; Après-vente'!$D$2:$D$1000="Agences et Après-vente"))*('Agences &amp; Après-vente'!$I$2:$I$1000="DONE"))&gt;0,"✓",IF(SUMPRODUCT(MAX(('Agences &amp; Après-vente'!$A$2:$A$1000=$A708)*(('Agences &amp; Après-vente'!$D$2:$D$1000="Après-vente")+('Agences &amp; Après-vente'!$D$2:$D$1000="Agences et Après-vente"))*'Agences &amp; Après-vente'!$E$2:$E$1000))&gt;0,TEXT(SUMPRODUCT(MAX(('Agences &amp; Après-vente'!$A$2:$A$1000=$A708)*(('Agences &amp; Après-vente'!$D$2:$D$1000="Après-vente")+('Agences &amp; Après-vente'!$D$2:$D$1000="Agences et Après-vente"))*'Agences &amp; Après-vente'!$E$2:$E$1000)),"yyyy-mm-dd"),""))))))</f>
        <v/>
      </c>
      <c r="K708" s="131" t="str">
        <f aca="false">IF($U708="✓","✓",IF(ISNUMBER($U708),TEXT($U708,"yyyy-mm-dd"),IF($D708="Lisbonne","",IF($A708="","",IF(SUMPRODUCT((Evermont!$A$2:$A$1000=$A708)*(Evermont!$Q$2:$Q$1000="Terminé"))&gt;0,"✓",IF(SUMPRODUCT(MAX((Evermont!$A$2:$A$1000=$A708)*Evermont!$F$2:$F$1000))&gt;0,TEXT(SUMPRODUCT(MAX((Evermont!$A$2:$A$1000=$A708)*Evermont!$F$2:$F$1000)),"yyyy-mm-dd"),""))))))</f>
        <v/>
      </c>
      <c r="L708" s="131" t="str">
        <f aca="false">IF($A708="","",COUNTIF(E708:K708,"✓"))</f>
        <v/>
      </c>
      <c r="M708" s="131" t="str">
        <f aca="false">IF(B708="","","Active")</f>
        <v/>
      </c>
      <c r="W708" s="120" t="str">
        <f aca="false">IF($A708="","",IF($X708&lt;&gt;"",$X708,IFERROR(INDEX('Formation Initiale'!$B$2:$B$999,MATCH($A708,'Formation Initiale'!$A$2:$A$999,0)),"Général")))</f>
        <v/>
      </c>
    </row>
    <row r="709" customFormat="false" ht="15" hidden="true" customHeight="true" outlineLevel="0" collapsed="false">
      <c r="A709" s="142" t="str">
        <f aca="false">IF(B709="","","TR"&amp;TEXT(ROW()-1,"000"))</f>
        <v/>
      </c>
      <c r="E709" s="130" t="str">
        <f aca="false">IF($O709="✓","✓",IF(ISNUMBER($O709),TEXT($O709,"yyyy-mm-dd"),IF($A709="","",IF(SUMPRODUCT(('Formation Initiale'!$A$2:$A$999=$A709)*('Formation Initiale'!$R$2:$R$999="Terminé"))&gt;0,"✓",IF(SUMPRODUCT(MAX(('Formation Initiale'!$A$2:$A$999=$A709)*'Formation Initiale'!$G$2:$G$999))&gt;0,TEXT(SUMPRODUCT(MAX(('Formation Initiale'!$A$2:$A$999=$A709)*'Formation Initiale'!$G$2:$G$999)),"yyyy-mm-dd"),"")))))</f>
        <v/>
      </c>
      <c r="F709" s="131" t="str">
        <f aca="false">IF($P709="✓","✓",IF(ISNUMBER($P709),TEXT($P709,"yyyy-mm-dd"),IF($A709="","",IF($D709="Lisbonne","",IF(SUMPRODUCT(('Formation Initiale'!$A$2:$A$999=$A709)*('Formation Initiale'!$R$2:$R$999="Terminé"))&gt;0,"✓",IF(SUMPRODUCT(MAX(('Formation Initiale'!$A$2:$A$999=$A709)*'Formation Initiale'!$G$2:$G$999))&gt;0,TEXT(SUMPRODUCT(MAX(('Formation Initiale'!$A$2:$A$999=$A709)*'Formation Initiale'!$G$2:$G$999)),"yyyy-mm-dd"),""))))))</f>
        <v/>
      </c>
      <c r="G709" s="131" t="str">
        <f aca="false">IF($Q709="✓","✓",IF(ISNUMBER($Q709),TEXT($Q709,"yyyy-mm-dd"),IF($A709="","",IF(SUMPRODUCT(('Agences &amp; Après-vente'!$A$2:$A$1000=$A709)*(('Agences &amp; Après-vente'!$D$2:$D$1000="Agences")+('Agences &amp; Après-vente'!$D$2:$D$1000="Agences et Après-vente"))*('Agences &amp; Après-vente'!$I$2:$I$1000="DONE"))&gt;0,"✓",IF(SUMPRODUCT(MAX(('Agences &amp; Après-vente'!$A$2:$A$1000=$A709)*(('Agences &amp; Après-vente'!$D$2:$D$1000="Agences")+('Agences &amp; Après-vente'!$D$2:$D$1000="Agences et Après-vente"))*'Agences &amp; Après-vente'!$E$2:$E$1000))&gt;0,TEXT(SUMPRODUCT(MAX(('Agences &amp; Après-vente'!$A$2:$A$1000=$A709)*(('Agences &amp; Après-vente'!$D$2:$D$1000="Agences")+('Agences &amp; Après-vente'!$D$2:$D$1000="Agences et Après-vente"))*'Agences &amp; Après-vente'!$E$2:$E$1000)),"yyyy-mm-dd"),"")))))</f>
        <v/>
      </c>
      <c r="H709" s="131" t="str">
        <f aca="false">IF($R709="✓","✓",IF(ISNUMBER($R709),TEXT($R709,"yyyy-mm-dd"),IF($A709="","",IF($D709="Lisbonne","",IF(SUMPRODUCT(('Agences &amp; Après-vente'!$A$2:$A$1000=$A709)*(('Agences &amp; Après-vente'!$D$2:$D$1000="Agences")+('Agences &amp; Après-vente'!$D$2:$D$1000="Agences et Après-vente"))*('Agences &amp; Après-vente'!$I$2:$I$1000="DONE"))&gt;0,"✓",IF(SUMPRODUCT(MAX(('Agences &amp; Après-vente'!$A$2:$A$1000=$A709)*(('Agences &amp; Après-vente'!$D$2:$D$1000="Agences")+('Agences &amp; Après-vente'!$D$2:$D$1000="Agences et Après-vente"))*'Agences &amp; Après-vente'!$E$2:$E$1000))&gt;0,TEXT(SUMPRODUCT(MAX(('Agences &amp; Après-vente'!$A$2:$A$1000=$A709)*(('Agences &amp; Après-vente'!$D$2:$D$1000="Agences")+('Agences &amp; Après-vente'!$D$2:$D$1000="Agences et Après-vente"))*'Agences &amp; Après-vente'!$E$2:$E$1000)),"yyyy-mm-dd"),""))))))</f>
        <v/>
      </c>
      <c r="I709" s="131" t="str">
        <f aca="false">IF($S709="✓","✓",IF(ISNUMBER($S709),TEXT($S709,"yyyy-mm-dd"),IF($A709="","",IF(SUMPRODUCT(('Agences &amp; Après-vente'!$A$2:$A$1000=$A709)*(('Agences &amp; Après-vente'!$D$2:$D$1000="Après-vente")+('Agences &amp; Après-vente'!$D$2:$D$1000="Agences et Après-vente"))*('Agences &amp; Après-vente'!$I$2:$I$1000="DONE"))&gt;0,"✓",IF(SUMPRODUCT(MAX(('Agences &amp; Après-vente'!$A$2:$A$1000=$A709)*(('Agences &amp; Après-vente'!$D$2:$D$1000="Après-vente")+('Agences &amp; Après-vente'!$D$2:$D$1000="Agences et Après-vente"))*'Agences &amp; Après-vente'!$E$2:$E$1000))&gt;0,TEXT(SUMPRODUCT(MAX(('Agences &amp; Après-vente'!$A$2:$A$1000=$A709)*(('Agences &amp; Après-vente'!$D$2:$D$1000="Après-vente")+('Agences &amp; Après-vente'!$D$2:$D$1000="Agences et Après-vente"))*'Agences &amp; Après-vente'!$E$2:$E$1000)),"yyyy-mm-dd"),"")))))</f>
        <v/>
      </c>
      <c r="J709" s="131" t="str">
        <f aca="false">IF($T709="✓","✓",IF(ISNUMBER($T709),TEXT($T709,"yyyy-mm-dd"),IF($A709="","",IF($D709="Lisbonne","",IF(SUMPRODUCT(('Agences &amp; Après-vente'!$A$2:$A$1000=$A709)*(('Agences &amp; Après-vente'!$D$2:$D$1000="Après-vente")+('Agences &amp; Après-vente'!$D$2:$D$1000="Agences et Après-vente"))*('Agences &amp; Après-vente'!$I$2:$I$1000="DONE"))&gt;0,"✓",IF(SUMPRODUCT(MAX(('Agences &amp; Après-vente'!$A$2:$A$1000=$A709)*(('Agences &amp; Après-vente'!$D$2:$D$1000="Après-vente")+('Agences &amp; Après-vente'!$D$2:$D$1000="Agences et Après-vente"))*'Agences &amp; Après-vente'!$E$2:$E$1000))&gt;0,TEXT(SUMPRODUCT(MAX(('Agences &amp; Après-vente'!$A$2:$A$1000=$A709)*(('Agences &amp; Après-vente'!$D$2:$D$1000="Après-vente")+('Agences &amp; Après-vente'!$D$2:$D$1000="Agences et Après-vente"))*'Agences &amp; Après-vente'!$E$2:$E$1000)),"yyyy-mm-dd"),""))))))</f>
        <v/>
      </c>
      <c r="K709" s="131" t="str">
        <f aca="false">IF($U709="✓","✓",IF(ISNUMBER($U709),TEXT($U709,"yyyy-mm-dd"),IF($D709="Lisbonne","",IF($A709="","",IF(SUMPRODUCT((Evermont!$A$2:$A$1000=$A709)*(Evermont!$Q$2:$Q$1000="Terminé"))&gt;0,"✓",IF(SUMPRODUCT(MAX((Evermont!$A$2:$A$1000=$A709)*Evermont!$F$2:$F$1000))&gt;0,TEXT(SUMPRODUCT(MAX((Evermont!$A$2:$A$1000=$A709)*Evermont!$F$2:$F$1000)),"yyyy-mm-dd"),""))))))</f>
        <v/>
      </c>
      <c r="L709" s="131" t="str">
        <f aca="false">IF($A709="","",COUNTIF(E709:K709,"✓"))</f>
        <v/>
      </c>
      <c r="M709" s="131" t="str">
        <f aca="false">IF(B709="","","Active")</f>
        <v/>
      </c>
      <c r="W709" s="120" t="str">
        <f aca="false">IF($A709="","",IF($X709&lt;&gt;"",$X709,IFERROR(INDEX('Formation Initiale'!$B$2:$B$999,MATCH($A709,'Formation Initiale'!$A$2:$A$999,0)),"Général")))</f>
        <v/>
      </c>
    </row>
    <row r="710" customFormat="false" ht="15" hidden="true" customHeight="true" outlineLevel="0" collapsed="false">
      <c r="A710" s="142" t="str">
        <f aca="false">IF(B710="","","TR"&amp;TEXT(ROW()-1,"000"))</f>
        <v/>
      </c>
      <c r="E710" s="130" t="str">
        <f aca="false">IF($O710="✓","✓",IF(ISNUMBER($O710),TEXT($O710,"yyyy-mm-dd"),IF($A710="","",IF(SUMPRODUCT(('Formation Initiale'!$A$2:$A$999=$A710)*('Formation Initiale'!$R$2:$R$999="Terminé"))&gt;0,"✓",IF(SUMPRODUCT(MAX(('Formation Initiale'!$A$2:$A$999=$A710)*'Formation Initiale'!$G$2:$G$999))&gt;0,TEXT(SUMPRODUCT(MAX(('Formation Initiale'!$A$2:$A$999=$A710)*'Formation Initiale'!$G$2:$G$999)),"yyyy-mm-dd"),"")))))</f>
        <v/>
      </c>
      <c r="F710" s="131" t="str">
        <f aca="false">IF($P710="✓","✓",IF(ISNUMBER($P710),TEXT($P710,"yyyy-mm-dd"),IF($A710="","",IF($D710="Lisbonne","",IF(SUMPRODUCT(('Formation Initiale'!$A$2:$A$999=$A710)*('Formation Initiale'!$R$2:$R$999="Terminé"))&gt;0,"✓",IF(SUMPRODUCT(MAX(('Formation Initiale'!$A$2:$A$999=$A710)*'Formation Initiale'!$G$2:$G$999))&gt;0,TEXT(SUMPRODUCT(MAX(('Formation Initiale'!$A$2:$A$999=$A710)*'Formation Initiale'!$G$2:$G$999)),"yyyy-mm-dd"),""))))))</f>
        <v/>
      </c>
      <c r="G710" s="131" t="str">
        <f aca="false">IF($Q710="✓","✓",IF(ISNUMBER($Q710),TEXT($Q710,"yyyy-mm-dd"),IF($A710="","",IF(SUMPRODUCT(('Agences &amp; Après-vente'!$A$2:$A$1000=$A710)*(('Agences &amp; Après-vente'!$D$2:$D$1000="Agences")+('Agences &amp; Après-vente'!$D$2:$D$1000="Agences et Après-vente"))*('Agences &amp; Après-vente'!$I$2:$I$1000="DONE"))&gt;0,"✓",IF(SUMPRODUCT(MAX(('Agences &amp; Après-vente'!$A$2:$A$1000=$A710)*(('Agences &amp; Après-vente'!$D$2:$D$1000="Agences")+('Agences &amp; Après-vente'!$D$2:$D$1000="Agences et Après-vente"))*'Agences &amp; Après-vente'!$E$2:$E$1000))&gt;0,TEXT(SUMPRODUCT(MAX(('Agences &amp; Après-vente'!$A$2:$A$1000=$A710)*(('Agences &amp; Après-vente'!$D$2:$D$1000="Agences")+('Agences &amp; Après-vente'!$D$2:$D$1000="Agences et Après-vente"))*'Agences &amp; Après-vente'!$E$2:$E$1000)),"yyyy-mm-dd"),"")))))</f>
        <v/>
      </c>
      <c r="H710" s="131" t="str">
        <f aca="false">IF($R710="✓","✓",IF(ISNUMBER($R710),TEXT($R710,"yyyy-mm-dd"),IF($A710="","",IF($D710="Lisbonne","",IF(SUMPRODUCT(('Agences &amp; Après-vente'!$A$2:$A$1000=$A710)*(('Agences &amp; Après-vente'!$D$2:$D$1000="Agences")+('Agences &amp; Après-vente'!$D$2:$D$1000="Agences et Après-vente"))*('Agences &amp; Après-vente'!$I$2:$I$1000="DONE"))&gt;0,"✓",IF(SUMPRODUCT(MAX(('Agences &amp; Après-vente'!$A$2:$A$1000=$A710)*(('Agences &amp; Après-vente'!$D$2:$D$1000="Agences")+('Agences &amp; Après-vente'!$D$2:$D$1000="Agences et Après-vente"))*'Agences &amp; Après-vente'!$E$2:$E$1000))&gt;0,TEXT(SUMPRODUCT(MAX(('Agences &amp; Après-vente'!$A$2:$A$1000=$A710)*(('Agences &amp; Après-vente'!$D$2:$D$1000="Agences")+('Agences &amp; Après-vente'!$D$2:$D$1000="Agences et Après-vente"))*'Agences &amp; Après-vente'!$E$2:$E$1000)),"yyyy-mm-dd"),""))))))</f>
        <v/>
      </c>
      <c r="I710" s="131" t="str">
        <f aca="false">IF($S710="✓","✓",IF(ISNUMBER($S710),TEXT($S710,"yyyy-mm-dd"),IF($A710="","",IF(SUMPRODUCT(('Agences &amp; Après-vente'!$A$2:$A$1000=$A710)*(('Agences &amp; Après-vente'!$D$2:$D$1000="Après-vente")+('Agences &amp; Après-vente'!$D$2:$D$1000="Agences et Après-vente"))*('Agences &amp; Après-vente'!$I$2:$I$1000="DONE"))&gt;0,"✓",IF(SUMPRODUCT(MAX(('Agences &amp; Après-vente'!$A$2:$A$1000=$A710)*(('Agences &amp; Après-vente'!$D$2:$D$1000="Après-vente")+('Agences &amp; Après-vente'!$D$2:$D$1000="Agences et Après-vente"))*'Agences &amp; Après-vente'!$E$2:$E$1000))&gt;0,TEXT(SUMPRODUCT(MAX(('Agences &amp; Après-vente'!$A$2:$A$1000=$A710)*(('Agences &amp; Après-vente'!$D$2:$D$1000="Après-vente")+('Agences &amp; Après-vente'!$D$2:$D$1000="Agences et Après-vente"))*'Agences &amp; Après-vente'!$E$2:$E$1000)),"yyyy-mm-dd"),"")))))</f>
        <v/>
      </c>
      <c r="J710" s="131" t="str">
        <f aca="false">IF($T710="✓","✓",IF(ISNUMBER($T710),TEXT($T710,"yyyy-mm-dd"),IF($A710="","",IF($D710="Lisbonne","",IF(SUMPRODUCT(('Agences &amp; Après-vente'!$A$2:$A$1000=$A710)*(('Agences &amp; Après-vente'!$D$2:$D$1000="Après-vente")+('Agences &amp; Après-vente'!$D$2:$D$1000="Agences et Après-vente"))*('Agences &amp; Après-vente'!$I$2:$I$1000="DONE"))&gt;0,"✓",IF(SUMPRODUCT(MAX(('Agences &amp; Après-vente'!$A$2:$A$1000=$A710)*(('Agences &amp; Après-vente'!$D$2:$D$1000="Après-vente")+('Agences &amp; Après-vente'!$D$2:$D$1000="Agences et Après-vente"))*'Agences &amp; Après-vente'!$E$2:$E$1000))&gt;0,TEXT(SUMPRODUCT(MAX(('Agences &amp; Après-vente'!$A$2:$A$1000=$A710)*(('Agences &amp; Après-vente'!$D$2:$D$1000="Après-vente")+('Agences &amp; Après-vente'!$D$2:$D$1000="Agences et Après-vente"))*'Agences &amp; Après-vente'!$E$2:$E$1000)),"yyyy-mm-dd"),""))))))</f>
        <v/>
      </c>
      <c r="K710" s="131" t="str">
        <f aca="false">IF($U710="✓","✓",IF(ISNUMBER($U710),TEXT($U710,"yyyy-mm-dd"),IF($D710="Lisbonne","",IF($A710="","",IF(SUMPRODUCT((Evermont!$A$2:$A$1000=$A710)*(Evermont!$Q$2:$Q$1000="Terminé"))&gt;0,"✓",IF(SUMPRODUCT(MAX((Evermont!$A$2:$A$1000=$A710)*Evermont!$F$2:$F$1000))&gt;0,TEXT(SUMPRODUCT(MAX((Evermont!$A$2:$A$1000=$A710)*Evermont!$F$2:$F$1000)),"yyyy-mm-dd"),""))))))</f>
        <v/>
      </c>
      <c r="L710" s="131" t="str">
        <f aca="false">IF($A710="","",COUNTIF(E710:K710,"✓"))</f>
        <v/>
      </c>
      <c r="M710" s="131" t="str">
        <f aca="false">IF(B710="","","Active")</f>
        <v/>
      </c>
      <c r="W710" s="120" t="str">
        <f aca="false">IF($A710="","",IF($X710&lt;&gt;"",$X710,IFERROR(INDEX('Formation Initiale'!$B$2:$B$999,MATCH($A710,'Formation Initiale'!$A$2:$A$999,0)),"Général")))</f>
        <v/>
      </c>
    </row>
    <row r="711" customFormat="false" ht="15" hidden="true" customHeight="true" outlineLevel="0" collapsed="false">
      <c r="A711" s="142" t="str">
        <f aca="false">IF(B711="","","TR"&amp;TEXT(ROW()-1,"000"))</f>
        <v/>
      </c>
      <c r="E711" s="130" t="str">
        <f aca="false">IF($O711="✓","✓",IF(ISNUMBER($O711),TEXT($O711,"yyyy-mm-dd"),IF($A711="","",IF(SUMPRODUCT(('Formation Initiale'!$A$2:$A$999=$A711)*('Formation Initiale'!$R$2:$R$999="Terminé"))&gt;0,"✓",IF(SUMPRODUCT(MAX(('Formation Initiale'!$A$2:$A$999=$A711)*'Formation Initiale'!$G$2:$G$999))&gt;0,TEXT(SUMPRODUCT(MAX(('Formation Initiale'!$A$2:$A$999=$A711)*'Formation Initiale'!$G$2:$G$999)),"yyyy-mm-dd"),"")))))</f>
        <v/>
      </c>
      <c r="F711" s="131" t="str">
        <f aca="false">IF($P711="✓","✓",IF(ISNUMBER($P711),TEXT($P711,"yyyy-mm-dd"),IF($A711="","",IF($D711="Lisbonne","",IF(SUMPRODUCT(('Formation Initiale'!$A$2:$A$999=$A711)*('Formation Initiale'!$R$2:$R$999="Terminé"))&gt;0,"✓",IF(SUMPRODUCT(MAX(('Formation Initiale'!$A$2:$A$999=$A711)*'Formation Initiale'!$G$2:$G$999))&gt;0,TEXT(SUMPRODUCT(MAX(('Formation Initiale'!$A$2:$A$999=$A711)*'Formation Initiale'!$G$2:$G$999)),"yyyy-mm-dd"),""))))))</f>
        <v/>
      </c>
      <c r="G711" s="131" t="str">
        <f aca="false">IF($Q711="✓","✓",IF(ISNUMBER($Q711),TEXT($Q711,"yyyy-mm-dd"),IF($A711="","",IF(SUMPRODUCT(('Agences &amp; Après-vente'!$A$2:$A$1000=$A711)*(('Agences &amp; Après-vente'!$D$2:$D$1000="Agences")+('Agences &amp; Après-vente'!$D$2:$D$1000="Agences et Après-vente"))*('Agences &amp; Après-vente'!$I$2:$I$1000="DONE"))&gt;0,"✓",IF(SUMPRODUCT(MAX(('Agences &amp; Après-vente'!$A$2:$A$1000=$A711)*(('Agences &amp; Après-vente'!$D$2:$D$1000="Agences")+('Agences &amp; Après-vente'!$D$2:$D$1000="Agences et Après-vente"))*'Agences &amp; Après-vente'!$E$2:$E$1000))&gt;0,TEXT(SUMPRODUCT(MAX(('Agences &amp; Après-vente'!$A$2:$A$1000=$A711)*(('Agences &amp; Après-vente'!$D$2:$D$1000="Agences")+('Agences &amp; Après-vente'!$D$2:$D$1000="Agences et Après-vente"))*'Agences &amp; Après-vente'!$E$2:$E$1000)),"yyyy-mm-dd"),"")))))</f>
        <v/>
      </c>
      <c r="H711" s="131" t="str">
        <f aca="false">IF($R711="✓","✓",IF(ISNUMBER($R711),TEXT($R711,"yyyy-mm-dd"),IF($A711="","",IF($D711="Lisbonne","",IF(SUMPRODUCT(('Agences &amp; Après-vente'!$A$2:$A$1000=$A711)*(('Agences &amp; Après-vente'!$D$2:$D$1000="Agences")+('Agences &amp; Après-vente'!$D$2:$D$1000="Agences et Après-vente"))*('Agences &amp; Après-vente'!$I$2:$I$1000="DONE"))&gt;0,"✓",IF(SUMPRODUCT(MAX(('Agences &amp; Après-vente'!$A$2:$A$1000=$A711)*(('Agences &amp; Après-vente'!$D$2:$D$1000="Agences")+('Agences &amp; Après-vente'!$D$2:$D$1000="Agences et Après-vente"))*'Agences &amp; Après-vente'!$E$2:$E$1000))&gt;0,TEXT(SUMPRODUCT(MAX(('Agences &amp; Après-vente'!$A$2:$A$1000=$A711)*(('Agences &amp; Après-vente'!$D$2:$D$1000="Agences")+('Agences &amp; Après-vente'!$D$2:$D$1000="Agences et Après-vente"))*'Agences &amp; Après-vente'!$E$2:$E$1000)),"yyyy-mm-dd"),""))))))</f>
        <v/>
      </c>
      <c r="I711" s="131" t="str">
        <f aca="false">IF($S711="✓","✓",IF(ISNUMBER($S711),TEXT($S711,"yyyy-mm-dd"),IF($A711="","",IF(SUMPRODUCT(('Agences &amp; Après-vente'!$A$2:$A$1000=$A711)*(('Agences &amp; Après-vente'!$D$2:$D$1000="Après-vente")+('Agences &amp; Après-vente'!$D$2:$D$1000="Agences et Après-vente"))*('Agences &amp; Après-vente'!$I$2:$I$1000="DONE"))&gt;0,"✓",IF(SUMPRODUCT(MAX(('Agences &amp; Après-vente'!$A$2:$A$1000=$A711)*(('Agences &amp; Après-vente'!$D$2:$D$1000="Après-vente")+('Agences &amp; Après-vente'!$D$2:$D$1000="Agences et Après-vente"))*'Agences &amp; Après-vente'!$E$2:$E$1000))&gt;0,TEXT(SUMPRODUCT(MAX(('Agences &amp; Après-vente'!$A$2:$A$1000=$A711)*(('Agences &amp; Après-vente'!$D$2:$D$1000="Après-vente")+('Agences &amp; Après-vente'!$D$2:$D$1000="Agences et Après-vente"))*'Agences &amp; Après-vente'!$E$2:$E$1000)),"yyyy-mm-dd"),"")))))</f>
        <v/>
      </c>
      <c r="J711" s="131" t="str">
        <f aca="false">IF($T711="✓","✓",IF(ISNUMBER($T711),TEXT($T711,"yyyy-mm-dd"),IF($A711="","",IF($D711="Lisbonne","",IF(SUMPRODUCT(('Agences &amp; Après-vente'!$A$2:$A$1000=$A711)*(('Agences &amp; Après-vente'!$D$2:$D$1000="Après-vente")+('Agences &amp; Après-vente'!$D$2:$D$1000="Agences et Après-vente"))*('Agences &amp; Après-vente'!$I$2:$I$1000="DONE"))&gt;0,"✓",IF(SUMPRODUCT(MAX(('Agences &amp; Après-vente'!$A$2:$A$1000=$A711)*(('Agences &amp; Après-vente'!$D$2:$D$1000="Après-vente")+('Agences &amp; Après-vente'!$D$2:$D$1000="Agences et Après-vente"))*'Agences &amp; Après-vente'!$E$2:$E$1000))&gt;0,TEXT(SUMPRODUCT(MAX(('Agences &amp; Après-vente'!$A$2:$A$1000=$A711)*(('Agences &amp; Après-vente'!$D$2:$D$1000="Après-vente")+('Agences &amp; Après-vente'!$D$2:$D$1000="Agences et Après-vente"))*'Agences &amp; Après-vente'!$E$2:$E$1000)),"yyyy-mm-dd"),""))))))</f>
        <v/>
      </c>
      <c r="K711" s="131" t="str">
        <f aca="false">IF($U711="✓","✓",IF(ISNUMBER($U711),TEXT($U711,"yyyy-mm-dd"),IF($D711="Lisbonne","",IF($A711="","",IF(SUMPRODUCT((Evermont!$A$2:$A$1000=$A711)*(Evermont!$Q$2:$Q$1000="Terminé"))&gt;0,"✓",IF(SUMPRODUCT(MAX((Evermont!$A$2:$A$1000=$A711)*Evermont!$F$2:$F$1000))&gt;0,TEXT(SUMPRODUCT(MAX((Evermont!$A$2:$A$1000=$A711)*Evermont!$F$2:$F$1000)),"yyyy-mm-dd"),""))))))</f>
        <v/>
      </c>
      <c r="L711" s="131" t="str">
        <f aca="false">IF($A711="","",COUNTIF(E711:K711,"✓"))</f>
        <v/>
      </c>
      <c r="M711" s="131" t="str">
        <f aca="false">IF(B711="","","Active")</f>
        <v/>
      </c>
      <c r="W711" s="120" t="str">
        <f aca="false">IF($A711="","",IF($X711&lt;&gt;"",$X711,IFERROR(INDEX('Formation Initiale'!$B$2:$B$999,MATCH($A711,'Formation Initiale'!$A$2:$A$999,0)),"Général")))</f>
        <v/>
      </c>
    </row>
    <row r="712" customFormat="false" ht="15" hidden="true" customHeight="true" outlineLevel="0" collapsed="false">
      <c r="A712" s="142" t="str">
        <f aca="false">IF(B712="","","TR"&amp;TEXT(ROW()-1,"000"))</f>
        <v/>
      </c>
      <c r="E712" s="130" t="str">
        <f aca="false">IF($O712="✓","✓",IF(ISNUMBER($O712),TEXT($O712,"yyyy-mm-dd"),IF($A712="","",IF(SUMPRODUCT(('Formation Initiale'!$A$2:$A$999=$A712)*('Formation Initiale'!$R$2:$R$999="Terminé"))&gt;0,"✓",IF(SUMPRODUCT(MAX(('Formation Initiale'!$A$2:$A$999=$A712)*'Formation Initiale'!$G$2:$G$999))&gt;0,TEXT(SUMPRODUCT(MAX(('Formation Initiale'!$A$2:$A$999=$A712)*'Formation Initiale'!$G$2:$G$999)),"yyyy-mm-dd"),"")))))</f>
        <v/>
      </c>
      <c r="F712" s="131" t="str">
        <f aca="false">IF($P712="✓","✓",IF(ISNUMBER($P712),TEXT($P712,"yyyy-mm-dd"),IF($A712="","",IF($D712="Lisbonne","",IF(SUMPRODUCT(('Formation Initiale'!$A$2:$A$999=$A712)*('Formation Initiale'!$R$2:$R$999="Terminé"))&gt;0,"✓",IF(SUMPRODUCT(MAX(('Formation Initiale'!$A$2:$A$999=$A712)*'Formation Initiale'!$G$2:$G$999))&gt;0,TEXT(SUMPRODUCT(MAX(('Formation Initiale'!$A$2:$A$999=$A712)*'Formation Initiale'!$G$2:$G$999)),"yyyy-mm-dd"),""))))))</f>
        <v/>
      </c>
      <c r="G712" s="131" t="str">
        <f aca="false">IF($Q712="✓","✓",IF(ISNUMBER($Q712),TEXT($Q712,"yyyy-mm-dd"),IF($A712="","",IF(SUMPRODUCT(('Agences &amp; Après-vente'!$A$2:$A$1000=$A712)*(('Agences &amp; Après-vente'!$D$2:$D$1000="Agences")+('Agences &amp; Après-vente'!$D$2:$D$1000="Agences et Après-vente"))*('Agences &amp; Après-vente'!$I$2:$I$1000="DONE"))&gt;0,"✓",IF(SUMPRODUCT(MAX(('Agences &amp; Après-vente'!$A$2:$A$1000=$A712)*(('Agences &amp; Après-vente'!$D$2:$D$1000="Agences")+('Agences &amp; Après-vente'!$D$2:$D$1000="Agences et Après-vente"))*'Agences &amp; Après-vente'!$E$2:$E$1000))&gt;0,TEXT(SUMPRODUCT(MAX(('Agences &amp; Après-vente'!$A$2:$A$1000=$A712)*(('Agences &amp; Après-vente'!$D$2:$D$1000="Agences")+('Agences &amp; Après-vente'!$D$2:$D$1000="Agences et Après-vente"))*'Agences &amp; Après-vente'!$E$2:$E$1000)),"yyyy-mm-dd"),"")))))</f>
        <v/>
      </c>
      <c r="H712" s="131" t="str">
        <f aca="false">IF($R712="✓","✓",IF(ISNUMBER($R712),TEXT($R712,"yyyy-mm-dd"),IF($A712="","",IF($D712="Lisbonne","",IF(SUMPRODUCT(('Agences &amp; Après-vente'!$A$2:$A$1000=$A712)*(('Agences &amp; Après-vente'!$D$2:$D$1000="Agences")+('Agences &amp; Après-vente'!$D$2:$D$1000="Agences et Après-vente"))*('Agences &amp; Après-vente'!$I$2:$I$1000="DONE"))&gt;0,"✓",IF(SUMPRODUCT(MAX(('Agences &amp; Après-vente'!$A$2:$A$1000=$A712)*(('Agences &amp; Après-vente'!$D$2:$D$1000="Agences")+('Agences &amp; Après-vente'!$D$2:$D$1000="Agences et Après-vente"))*'Agences &amp; Après-vente'!$E$2:$E$1000))&gt;0,TEXT(SUMPRODUCT(MAX(('Agences &amp; Après-vente'!$A$2:$A$1000=$A712)*(('Agences &amp; Après-vente'!$D$2:$D$1000="Agences")+('Agences &amp; Après-vente'!$D$2:$D$1000="Agences et Après-vente"))*'Agences &amp; Après-vente'!$E$2:$E$1000)),"yyyy-mm-dd"),""))))))</f>
        <v/>
      </c>
      <c r="I712" s="131" t="str">
        <f aca="false">IF($S712="✓","✓",IF(ISNUMBER($S712),TEXT($S712,"yyyy-mm-dd"),IF($A712="","",IF(SUMPRODUCT(('Agences &amp; Après-vente'!$A$2:$A$1000=$A712)*(('Agences &amp; Après-vente'!$D$2:$D$1000="Après-vente")+('Agences &amp; Après-vente'!$D$2:$D$1000="Agences et Après-vente"))*('Agences &amp; Après-vente'!$I$2:$I$1000="DONE"))&gt;0,"✓",IF(SUMPRODUCT(MAX(('Agences &amp; Après-vente'!$A$2:$A$1000=$A712)*(('Agences &amp; Après-vente'!$D$2:$D$1000="Après-vente")+('Agences &amp; Après-vente'!$D$2:$D$1000="Agences et Après-vente"))*'Agences &amp; Après-vente'!$E$2:$E$1000))&gt;0,TEXT(SUMPRODUCT(MAX(('Agences &amp; Après-vente'!$A$2:$A$1000=$A712)*(('Agences &amp; Après-vente'!$D$2:$D$1000="Après-vente")+('Agences &amp; Après-vente'!$D$2:$D$1000="Agences et Après-vente"))*'Agences &amp; Après-vente'!$E$2:$E$1000)),"yyyy-mm-dd"),"")))))</f>
        <v/>
      </c>
      <c r="J712" s="131" t="str">
        <f aca="false">IF($T712="✓","✓",IF(ISNUMBER($T712),TEXT($T712,"yyyy-mm-dd"),IF($A712="","",IF($D712="Lisbonne","",IF(SUMPRODUCT(('Agences &amp; Après-vente'!$A$2:$A$1000=$A712)*(('Agences &amp; Après-vente'!$D$2:$D$1000="Après-vente")+('Agences &amp; Après-vente'!$D$2:$D$1000="Agences et Après-vente"))*('Agences &amp; Après-vente'!$I$2:$I$1000="DONE"))&gt;0,"✓",IF(SUMPRODUCT(MAX(('Agences &amp; Après-vente'!$A$2:$A$1000=$A712)*(('Agences &amp; Après-vente'!$D$2:$D$1000="Après-vente")+('Agences &amp; Après-vente'!$D$2:$D$1000="Agences et Après-vente"))*'Agences &amp; Après-vente'!$E$2:$E$1000))&gt;0,TEXT(SUMPRODUCT(MAX(('Agences &amp; Après-vente'!$A$2:$A$1000=$A712)*(('Agences &amp; Après-vente'!$D$2:$D$1000="Après-vente")+('Agences &amp; Après-vente'!$D$2:$D$1000="Agences et Après-vente"))*'Agences &amp; Après-vente'!$E$2:$E$1000)),"yyyy-mm-dd"),""))))))</f>
        <v/>
      </c>
      <c r="K712" s="131" t="str">
        <f aca="false">IF($U712="✓","✓",IF(ISNUMBER($U712),TEXT($U712,"yyyy-mm-dd"),IF($D712="Lisbonne","",IF($A712="","",IF(SUMPRODUCT((Evermont!$A$2:$A$1000=$A712)*(Evermont!$Q$2:$Q$1000="Terminé"))&gt;0,"✓",IF(SUMPRODUCT(MAX((Evermont!$A$2:$A$1000=$A712)*Evermont!$F$2:$F$1000))&gt;0,TEXT(SUMPRODUCT(MAX((Evermont!$A$2:$A$1000=$A712)*Evermont!$F$2:$F$1000)),"yyyy-mm-dd"),""))))))</f>
        <v/>
      </c>
      <c r="L712" s="131" t="str">
        <f aca="false">IF($A712="","",COUNTIF(E712:K712,"✓"))</f>
        <v/>
      </c>
      <c r="M712" s="131" t="str">
        <f aca="false">IF(B712="","","Active")</f>
        <v/>
      </c>
      <c r="W712" s="120" t="str">
        <f aca="false">IF($A712="","",IF($X712&lt;&gt;"",$X712,IFERROR(INDEX('Formation Initiale'!$B$2:$B$999,MATCH($A712,'Formation Initiale'!$A$2:$A$999,0)),"Général")))</f>
        <v/>
      </c>
    </row>
    <row r="713" customFormat="false" ht="15" hidden="true" customHeight="true" outlineLevel="0" collapsed="false">
      <c r="A713" s="142" t="str">
        <f aca="false">IF(B713="","","TR"&amp;TEXT(ROW()-1,"000"))</f>
        <v/>
      </c>
      <c r="E713" s="130" t="str">
        <f aca="false">IF($O713="✓","✓",IF(ISNUMBER($O713),TEXT($O713,"yyyy-mm-dd"),IF($A713="","",IF(SUMPRODUCT(('Formation Initiale'!$A$2:$A$999=$A713)*('Formation Initiale'!$R$2:$R$999="Terminé"))&gt;0,"✓",IF(SUMPRODUCT(MAX(('Formation Initiale'!$A$2:$A$999=$A713)*'Formation Initiale'!$G$2:$G$999))&gt;0,TEXT(SUMPRODUCT(MAX(('Formation Initiale'!$A$2:$A$999=$A713)*'Formation Initiale'!$G$2:$G$999)),"yyyy-mm-dd"),"")))))</f>
        <v/>
      </c>
      <c r="F713" s="131" t="str">
        <f aca="false">IF($P713="✓","✓",IF(ISNUMBER($P713),TEXT($P713,"yyyy-mm-dd"),IF($A713="","",IF($D713="Lisbonne","",IF(SUMPRODUCT(('Formation Initiale'!$A$2:$A$999=$A713)*('Formation Initiale'!$R$2:$R$999="Terminé"))&gt;0,"✓",IF(SUMPRODUCT(MAX(('Formation Initiale'!$A$2:$A$999=$A713)*'Formation Initiale'!$G$2:$G$999))&gt;0,TEXT(SUMPRODUCT(MAX(('Formation Initiale'!$A$2:$A$999=$A713)*'Formation Initiale'!$G$2:$G$999)),"yyyy-mm-dd"),""))))))</f>
        <v/>
      </c>
      <c r="G713" s="131" t="str">
        <f aca="false">IF($Q713="✓","✓",IF(ISNUMBER($Q713),TEXT($Q713,"yyyy-mm-dd"),IF($A713="","",IF(SUMPRODUCT(('Agences &amp; Après-vente'!$A$2:$A$1000=$A713)*(('Agences &amp; Après-vente'!$D$2:$D$1000="Agences")+('Agences &amp; Après-vente'!$D$2:$D$1000="Agences et Après-vente"))*('Agences &amp; Après-vente'!$I$2:$I$1000="DONE"))&gt;0,"✓",IF(SUMPRODUCT(MAX(('Agences &amp; Après-vente'!$A$2:$A$1000=$A713)*(('Agences &amp; Après-vente'!$D$2:$D$1000="Agences")+('Agences &amp; Après-vente'!$D$2:$D$1000="Agences et Après-vente"))*'Agences &amp; Après-vente'!$E$2:$E$1000))&gt;0,TEXT(SUMPRODUCT(MAX(('Agences &amp; Après-vente'!$A$2:$A$1000=$A713)*(('Agences &amp; Après-vente'!$D$2:$D$1000="Agences")+('Agences &amp; Après-vente'!$D$2:$D$1000="Agences et Après-vente"))*'Agences &amp; Après-vente'!$E$2:$E$1000)),"yyyy-mm-dd"),"")))))</f>
        <v/>
      </c>
      <c r="H713" s="131" t="str">
        <f aca="false">IF($R713="✓","✓",IF(ISNUMBER($R713),TEXT($R713,"yyyy-mm-dd"),IF($A713="","",IF($D713="Lisbonne","",IF(SUMPRODUCT(('Agences &amp; Après-vente'!$A$2:$A$1000=$A713)*(('Agences &amp; Après-vente'!$D$2:$D$1000="Agences")+('Agences &amp; Après-vente'!$D$2:$D$1000="Agences et Après-vente"))*('Agences &amp; Après-vente'!$I$2:$I$1000="DONE"))&gt;0,"✓",IF(SUMPRODUCT(MAX(('Agences &amp; Après-vente'!$A$2:$A$1000=$A713)*(('Agences &amp; Après-vente'!$D$2:$D$1000="Agences")+('Agences &amp; Après-vente'!$D$2:$D$1000="Agences et Après-vente"))*'Agences &amp; Après-vente'!$E$2:$E$1000))&gt;0,TEXT(SUMPRODUCT(MAX(('Agences &amp; Après-vente'!$A$2:$A$1000=$A713)*(('Agences &amp; Après-vente'!$D$2:$D$1000="Agences")+('Agences &amp; Après-vente'!$D$2:$D$1000="Agences et Après-vente"))*'Agences &amp; Après-vente'!$E$2:$E$1000)),"yyyy-mm-dd"),""))))))</f>
        <v/>
      </c>
      <c r="I713" s="131" t="str">
        <f aca="false">IF($S713="✓","✓",IF(ISNUMBER($S713),TEXT($S713,"yyyy-mm-dd"),IF($A713="","",IF(SUMPRODUCT(('Agences &amp; Après-vente'!$A$2:$A$1000=$A713)*(('Agences &amp; Après-vente'!$D$2:$D$1000="Après-vente")+('Agences &amp; Après-vente'!$D$2:$D$1000="Agences et Après-vente"))*('Agences &amp; Après-vente'!$I$2:$I$1000="DONE"))&gt;0,"✓",IF(SUMPRODUCT(MAX(('Agences &amp; Après-vente'!$A$2:$A$1000=$A713)*(('Agences &amp; Après-vente'!$D$2:$D$1000="Après-vente")+('Agences &amp; Après-vente'!$D$2:$D$1000="Agences et Après-vente"))*'Agences &amp; Après-vente'!$E$2:$E$1000))&gt;0,TEXT(SUMPRODUCT(MAX(('Agences &amp; Après-vente'!$A$2:$A$1000=$A713)*(('Agences &amp; Après-vente'!$D$2:$D$1000="Après-vente")+('Agences &amp; Après-vente'!$D$2:$D$1000="Agences et Après-vente"))*'Agences &amp; Après-vente'!$E$2:$E$1000)),"yyyy-mm-dd"),"")))))</f>
        <v/>
      </c>
      <c r="J713" s="131" t="str">
        <f aca="false">IF($T713="✓","✓",IF(ISNUMBER($T713),TEXT($T713,"yyyy-mm-dd"),IF($A713="","",IF($D713="Lisbonne","",IF(SUMPRODUCT(('Agences &amp; Après-vente'!$A$2:$A$1000=$A713)*(('Agences &amp; Après-vente'!$D$2:$D$1000="Après-vente")+('Agences &amp; Après-vente'!$D$2:$D$1000="Agences et Après-vente"))*('Agences &amp; Après-vente'!$I$2:$I$1000="DONE"))&gt;0,"✓",IF(SUMPRODUCT(MAX(('Agences &amp; Après-vente'!$A$2:$A$1000=$A713)*(('Agences &amp; Après-vente'!$D$2:$D$1000="Après-vente")+('Agences &amp; Après-vente'!$D$2:$D$1000="Agences et Après-vente"))*'Agences &amp; Après-vente'!$E$2:$E$1000))&gt;0,TEXT(SUMPRODUCT(MAX(('Agences &amp; Après-vente'!$A$2:$A$1000=$A713)*(('Agences &amp; Après-vente'!$D$2:$D$1000="Après-vente")+('Agences &amp; Après-vente'!$D$2:$D$1000="Agences et Après-vente"))*'Agences &amp; Après-vente'!$E$2:$E$1000)),"yyyy-mm-dd"),""))))))</f>
        <v/>
      </c>
      <c r="K713" s="131" t="str">
        <f aca="false">IF($U713="✓","✓",IF(ISNUMBER($U713),TEXT($U713,"yyyy-mm-dd"),IF($D713="Lisbonne","",IF($A713="","",IF(SUMPRODUCT((Evermont!$A$2:$A$1000=$A713)*(Evermont!$Q$2:$Q$1000="Terminé"))&gt;0,"✓",IF(SUMPRODUCT(MAX((Evermont!$A$2:$A$1000=$A713)*Evermont!$F$2:$F$1000))&gt;0,TEXT(SUMPRODUCT(MAX((Evermont!$A$2:$A$1000=$A713)*Evermont!$F$2:$F$1000)),"yyyy-mm-dd"),""))))))</f>
        <v/>
      </c>
      <c r="L713" s="131" t="str">
        <f aca="false">IF($A713="","",COUNTIF(E713:K713,"✓"))</f>
        <v/>
      </c>
      <c r="M713" s="131" t="str">
        <f aca="false">IF(B713="","","Active")</f>
        <v/>
      </c>
      <c r="W713" s="120" t="str">
        <f aca="false">IF($A713="","",IF($X713&lt;&gt;"",$X713,IFERROR(INDEX('Formation Initiale'!$B$2:$B$999,MATCH($A713,'Formation Initiale'!$A$2:$A$999,0)),"Général")))</f>
        <v/>
      </c>
    </row>
    <row r="714" customFormat="false" ht="15" hidden="true" customHeight="true" outlineLevel="0" collapsed="false">
      <c r="A714" s="142" t="str">
        <f aca="false">IF(B714="","","TR"&amp;TEXT(ROW()-1,"000"))</f>
        <v/>
      </c>
      <c r="E714" s="130" t="str">
        <f aca="false">IF($O714="✓","✓",IF(ISNUMBER($O714),TEXT($O714,"yyyy-mm-dd"),IF($A714="","",IF(SUMPRODUCT(('Formation Initiale'!$A$2:$A$999=$A714)*('Formation Initiale'!$R$2:$R$999="Terminé"))&gt;0,"✓",IF(SUMPRODUCT(MAX(('Formation Initiale'!$A$2:$A$999=$A714)*'Formation Initiale'!$G$2:$G$999))&gt;0,TEXT(SUMPRODUCT(MAX(('Formation Initiale'!$A$2:$A$999=$A714)*'Formation Initiale'!$G$2:$G$999)),"yyyy-mm-dd"),"")))))</f>
        <v/>
      </c>
      <c r="F714" s="131" t="str">
        <f aca="false">IF($P714="✓","✓",IF(ISNUMBER($P714),TEXT($P714,"yyyy-mm-dd"),IF($A714="","",IF($D714="Lisbonne","",IF(SUMPRODUCT(('Formation Initiale'!$A$2:$A$999=$A714)*('Formation Initiale'!$R$2:$R$999="Terminé"))&gt;0,"✓",IF(SUMPRODUCT(MAX(('Formation Initiale'!$A$2:$A$999=$A714)*'Formation Initiale'!$G$2:$G$999))&gt;0,TEXT(SUMPRODUCT(MAX(('Formation Initiale'!$A$2:$A$999=$A714)*'Formation Initiale'!$G$2:$G$999)),"yyyy-mm-dd"),""))))))</f>
        <v/>
      </c>
      <c r="G714" s="131" t="str">
        <f aca="false">IF($Q714="✓","✓",IF(ISNUMBER($Q714),TEXT($Q714,"yyyy-mm-dd"),IF($A714="","",IF(SUMPRODUCT(('Agences &amp; Après-vente'!$A$2:$A$1000=$A714)*(('Agences &amp; Après-vente'!$D$2:$D$1000="Agences")+('Agences &amp; Après-vente'!$D$2:$D$1000="Agences et Après-vente"))*('Agences &amp; Après-vente'!$I$2:$I$1000="DONE"))&gt;0,"✓",IF(SUMPRODUCT(MAX(('Agences &amp; Après-vente'!$A$2:$A$1000=$A714)*(('Agences &amp; Après-vente'!$D$2:$D$1000="Agences")+('Agences &amp; Après-vente'!$D$2:$D$1000="Agences et Après-vente"))*'Agences &amp; Après-vente'!$E$2:$E$1000))&gt;0,TEXT(SUMPRODUCT(MAX(('Agences &amp; Après-vente'!$A$2:$A$1000=$A714)*(('Agences &amp; Après-vente'!$D$2:$D$1000="Agences")+('Agences &amp; Après-vente'!$D$2:$D$1000="Agences et Après-vente"))*'Agences &amp; Après-vente'!$E$2:$E$1000)),"yyyy-mm-dd"),"")))))</f>
        <v/>
      </c>
      <c r="H714" s="131" t="str">
        <f aca="false">IF($R714="✓","✓",IF(ISNUMBER($R714),TEXT($R714,"yyyy-mm-dd"),IF($A714="","",IF($D714="Lisbonne","",IF(SUMPRODUCT(('Agences &amp; Après-vente'!$A$2:$A$1000=$A714)*(('Agences &amp; Après-vente'!$D$2:$D$1000="Agences")+('Agences &amp; Après-vente'!$D$2:$D$1000="Agences et Après-vente"))*('Agences &amp; Après-vente'!$I$2:$I$1000="DONE"))&gt;0,"✓",IF(SUMPRODUCT(MAX(('Agences &amp; Après-vente'!$A$2:$A$1000=$A714)*(('Agences &amp; Après-vente'!$D$2:$D$1000="Agences")+('Agences &amp; Après-vente'!$D$2:$D$1000="Agences et Après-vente"))*'Agences &amp; Après-vente'!$E$2:$E$1000))&gt;0,TEXT(SUMPRODUCT(MAX(('Agences &amp; Après-vente'!$A$2:$A$1000=$A714)*(('Agences &amp; Après-vente'!$D$2:$D$1000="Agences")+('Agences &amp; Après-vente'!$D$2:$D$1000="Agences et Après-vente"))*'Agences &amp; Après-vente'!$E$2:$E$1000)),"yyyy-mm-dd"),""))))))</f>
        <v/>
      </c>
      <c r="I714" s="131" t="str">
        <f aca="false">IF($S714="✓","✓",IF(ISNUMBER($S714),TEXT($S714,"yyyy-mm-dd"),IF($A714="","",IF(SUMPRODUCT(('Agences &amp; Après-vente'!$A$2:$A$1000=$A714)*(('Agences &amp; Après-vente'!$D$2:$D$1000="Après-vente")+('Agences &amp; Après-vente'!$D$2:$D$1000="Agences et Après-vente"))*('Agences &amp; Après-vente'!$I$2:$I$1000="DONE"))&gt;0,"✓",IF(SUMPRODUCT(MAX(('Agences &amp; Après-vente'!$A$2:$A$1000=$A714)*(('Agences &amp; Après-vente'!$D$2:$D$1000="Après-vente")+('Agences &amp; Après-vente'!$D$2:$D$1000="Agences et Après-vente"))*'Agences &amp; Après-vente'!$E$2:$E$1000))&gt;0,TEXT(SUMPRODUCT(MAX(('Agences &amp; Après-vente'!$A$2:$A$1000=$A714)*(('Agences &amp; Après-vente'!$D$2:$D$1000="Après-vente")+('Agences &amp; Après-vente'!$D$2:$D$1000="Agences et Après-vente"))*'Agences &amp; Après-vente'!$E$2:$E$1000)),"yyyy-mm-dd"),"")))))</f>
        <v/>
      </c>
      <c r="J714" s="131" t="str">
        <f aca="false">IF($T714="✓","✓",IF(ISNUMBER($T714),TEXT($T714,"yyyy-mm-dd"),IF($A714="","",IF($D714="Lisbonne","",IF(SUMPRODUCT(('Agences &amp; Après-vente'!$A$2:$A$1000=$A714)*(('Agences &amp; Après-vente'!$D$2:$D$1000="Après-vente")+('Agences &amp; Après-vente'!$D$2:$D$1000="Agences et Après-vente"))*('Agences &amp; Après-vente'!$I$2:$I$1000="DONE"))&gt;0,"✓",IF(SUMPRODUCT(MAX(('Agences &amp; Après-vente'!$A$2:$A$1000=$A714)*(('Agences &amp; Après-vente'!$D$2:$D$1000="Après-vente")+('Agences &amp; Après-vente'!$D$2:$D$1000="Agences et Après-vente"))*'Agences &amp; Après-vente'!$E$2:$E$1000))&gt;0,TEXT(SUMPRODUCT(MAX(('Agences &amp; Après-vente'!$A$2:$A$1000=$A714)*(('Agences &amp; Après-vente'!$D$2:$D$1000="Après-vente")+('Agences &amp; Après-vente'!$D$2:$D$1000="Agences et Après-vente"))*'Agences &amp; Après-vente'!$E$2:$E$1000)),"yyyy-mm-dd"),""))))))</f>
        <v/>
      </c>
      <c r="K714" s="131" t="str">
        <f aca="false">IF($U714="✓","✓",IF(ISNUMBER($U714),TEXT($U714,"yyyy-mm-dd"),IF($D714="Lisbonne","",IF($A714="","",IF(SUMPRODUCT((Evermont!$A$2:$A$1000=$A714)*(Evermont!$Q$2:$Q$1000="Terminé"))&gt;0,"✓",IF(SUMPRODUCT(MAX((Evermont!$A$2:$A$1000=$A714)*Evermont!$F$2:$F$1000))&gt;0,TEXT(SUMPRODUCT(MAX((Evermont!$A$2:$A$1000=$A714)*Evermont!$F$2:$F$1000)),"yyyy-mm-dd"),""))))))</f>
        <v/>
      </c>
      <c r="L714" s="131" t="str">
        <f aca="false">IF($A714="","",COUNTIF(E714:K714,"✓"))</f>
        <v/>
      </c>
      <c r="M714" s="131" t="str">
        <f aca="false">IF(B714="","","Active")</f>
        <v/>
      </c>
      <c r="W714" s="120" t="str">
        <f aca="false">IF($A714="","",IF($X714&lt;&gt;"",$X714,IFERROR(INDEX('Formation Initiale'!$B$2:$B$999,MATCH($A714,'Formation Initiale'!$A$2:$A$999,0)),"Général")))</f>
        <v/>
      </c>
    </row>
    <row r="715" customFormat="false" ht="15" hidden="true" customHeight="true" outlineLevel="0" collapsed="false">
      <c r="A715" s="142" t="str">
        <f aca="false">IF(B715="","","TR"&amp;TEXT(ROW()-1,"000"))</f>
        <v/>
      </c>
      <c r="E715" s="130" t="str">
        <f aca="false">IF($O715="✓","✓",IF(ISNUMBER($O715),TEXT($O715,"yyyy-mm-dd"),IF($A715="","",IF(SUMPRODUCT(('Formation Initiale'!$A$2:$A$999=$A715)*('Formation Initiale'!$R$2:$R$999="Terminé"))&gt;0,"✓",IF(SUMPRODUCT(MAX(('Formation Initiale'!$A$2:$A$999=$A715)*'Formation Initiale'!$G$2:$G$999))&gt;0,TEXT(SUMPRODUCT(MAX(('Formation Initiale'!$A$2:$A$999=$A715)*'Formation Initiale'!$G$2:$G$999)),"yyyy-mm-dd"),"")))))</f>
        <v/>
      </c>
      <c r="F715" s="131" t="str">
        <f aca="false">IF($P715="✓","✓",IF(ISNUMBER($P715),TEXT($P715,"yyyy-mm-dd"),IF($A715="","",IF($D715="Lisbonne","",IF(SUMPRODUCT(('Formation Initiale'!$A$2:$A$999=$A715)*('Formation Initiale'!$R$2:$R$999="Terminé"))&gt;0,"✓",IF(SUMPRODUCT(MAX(('Formation Initiale'!$A$2:$A$999=$A715)*'Formation Initiale'!$G$2:$G$999))&gt;0,TEXT(SUMPRODUCT(MAX(('Formation Initiale'!$A$2:$A$999=$A715)*'Formation Initiale'!$G$2:$G$999)),"yyyy-mm-dd"),""))))))</f>
        <v/>
      </c>
      <c r="G715" s="131" t="str">
        <f aca="false">IF($Q715="✓","✓",IF(ISNUMBER($Q715),TEXT($Q715,"yyyy-mm-dd"),IF($A715="","",IF(SUMPRODUCT(('Agences &amp; Après-vente'!$A$2:$A$1000=$A715)*(('Agences &amp; Après-vente'!$D$2:$D$1000="Agences")+('Agences &amp; Après-vente'!$D$2:$D$1000="Agences et Après-vente"))*('Agences &amp; Après-vente'!$I$2:$I$1000="DONE"))&gt;0,"✓",IF(SUMPRODUCT(MAX(('Agences &amp; Après-vente'!$A$2:$A$1000=$A715)*(('Agences &amp; Après-vente'!$D$2:$D$1000="Agences")+('Agences &amp; Après-vente'!$D$2:$D$1000="Agences et Après-vente"))*'Agences &amp; Après-vente'!$E$2:$E$1000))&gt;0,TEXT(SUMPRODUCT(MAX(('Agences &amp; Après-vente'!$A$2:$A$1000=$A715)*(('Agences &amp; Après-vente'!$D$2:$D$1000="Agences")+('Agences &amp; Après-vente'!$D$2:$D$1000="Agences et Après-vente"))*'Agences &amp; Après-vente'!$E$2:$E$1000)),"yyyy-mm-dd"),"")))))</f>
        <v/>
      </c>
      <c r="H715" s="131" t="str">
        <f aca="false">IF($R715="✓","✓",IF(ISNUMBER($R715),TEXT($R715,"yyyy-mm-dd"),IF($A715="","",IF($D715="Lisbonne","",IF(SUMPRODUCT(('Agences &amp; Après-vente'!$A$2:$A$1000=$A715)*(('Agences &amp; Après-vente'!$D$2:$D$1000="Agences")+('Agences &amp; Après-vente'!$D$2:$D$1000="Agences et Après-vente"))*('Agences &amp; Après-vente'!$I$2:$I$1000="DONE"))&gt;0,"✓",IF(SUMPRODUCT(MAX(('Agences &amp; Après-vente'!$A$2:$A$1000=$A715)*(('Agences &amp; Après-vente'!$D$2:$D$1000="Agences")+('Agences &amp; Après-vente'!$D$2:$D$1000="Agences et Après-vente"))*'Agences &amp; Après-vente'!$E$2:$E$1000))&gt;0,TEXT(SUMPRODUCT(MAX(('Agences &amp; Après-vente'!$A$2:$A$1000=$A715)*(('Agences &amp; Après-vente'!$D$2:$D$1000="Agences")+('Agences &amp; Après-vente'!$D$2:$D$1000="Agences et Après-vente"))*'Agences &amp; Après-vente'!$E$2:$E$1000)),"yyyy-mm-dd"),""))))))</f>
        <v/>
      </c>
      <c r="I715" s="131" t="str">
        <f aca="false">IF($S715="✓","✓",IF(ISNUMBER($S715),TEXT($S715,"yyyy-mm-dd"),IF($A715="","",IF(SUMPRODUCT(('Agences &amp; Après-vente'!$A$2:$A$1000=$A715)*(('Agences &amp; Après-vente'!$D$2:$D$1000="Après-vente")+('Agences &amp; Après-vente'!$D$2:$D$1000="Agences et Après-vente"))*('Agences &amp; Après-vente'!$I$2:$I$1000="DONE"))&gt;0,"✓",IF(SUMPRODUCT(MAX(('Agences &amp; Après-vente'!$A$2:$A$1000=$A715)*(('Agences &amp; Après-vente'!$D$2:$D$1000="Après-vente")+('Agences &amp; Après-vente'!$D$2:$D$1000="Agences et Après-vente"))*'Agences &amp; Après-vente'!$E$2:$E$1000))&gt;0,TEXT(SUMPRODUCT(MAX(('Agences &amp; Après-vente'!$A$2:$A$1000=$A715)*(('Agences &amp; Après-vente'!$D$2:$D$1000="Après-vente")+('Agences &amp; Après-vente'!$D$2:$D$1000="Agences et Après-vente"))*'Agences &amp; Après-vente'!$E$2:$E$1000)),"yyyy-mm-dd"),"")))))</f>
        <v/>
      </c>
      <c r="J715" s="131" t="str">
        <f aca="false">IF($T715="✓","✓",IF(ISNUMBER($T715),TEXT($T715,"yyyy-mm-dd"),IF($A715="","",IF($D715="Lisbonne","",IF(SUMPRODUCT(('Agences &amp; Après-vente'!$A$2:$A$1000=$A715)*(('Agences &amp; Après-vente'!$D$2:$D$1000="Après-vente")+('Agences &amp; Après-vente'!$D$2:$D$1000="Agences et Après-vente"))*('Agences &amp; Après-vente'!$I$2:$I$1000="DONE"))&gt;0,"✓",IF(SUMPRODUCT(MAX(('Agences &amp; Après-vente'!$A$2:$A$1000=$A715)*(('Agences &amp; Après-vente'!$D$2:$D$1000="Après-vente")+('Agences &amp; Après-vente'!$D$2:$D$1000="Agences et Après-vente"))*'Agences &amp; Après-vente'!$E$2:$E$1000))&gt;0,TEXT(SUMPRODUCT(MAX(('Agences &amp; Après-vente'!$A$2:$A$1000=$A715)*(('Agences &amp; Après-vente'!$D$2:$D$1000="Après-vente")+('Agences &amp; Après-vente'!$D$2:$D$1000="Agences et Après-vente"))*'Agences &amp; Après-vente'!$E$2:$E$1000)),"yyyy-mm-dd"),""))))))</f>
        <v/>
      </c>
      <c r="K715" s="131" t="str">
        <f aca="false">IF($U715="✓","✓",IF(ISNUMBER($U715),TEXT($U715,"yyyy-mm-dd"),IF($D715="Lisbonne","",IF($A715="","",IF(SUMPRODUCT((Evermont!$A$2:$A$1000=$A715)*(Evermont!$Q$2:$Q$1000="Terminé"))&gt;0,"✓",IF(SUMPRODUCT(MAX((Evermont!$A$2:$A$1000=$A715)*Evermont!$F$2:$F$1000))&gt;0,TEXT(SUMPRODUCT(MAX((Evermont!$A$2:$A$1000=$A715)*Evermont!$F$2:$F$1000)),"yyyy-mm-dd"),""))))))</f>
        <v/>
      </c>
      <c r="L715" s="131" t="str">
        <f aca="false">IF($A715="","",COUNTIF(E715:K715,"✓"))</f>
        <v/>
      </c>
      <c r="M715" s="131" t="str">
        <f aca="false">IF(B715="","","Active")</f>
        <v/>
      </c>
      <c r="W715" s="120" t="str">
        <f aca="false">IF($A715="","",IF($X715&lt;&gt;"",$X715,IFERROR(INDEX('Formation Initiale'!$B$2:$B$999,MATCH($A715,'Formation Initiale'!$A$2:$A$999,0)),"Général")))</f>
        <v/>
      </c>
    </row>
    <row r="716" customFormat="false" ht="15" hidden="true" customHeight="true" outlineLevel="0" collapsed="false">
      <c r="A716" s="142" t="str">
        <f aca="false">IF(B716="","","TR"&amp;TEXT(ROW()-1,"000"))</f>
        <v/>
      </c>
      <c r="E716" s="130" t="str">
        <f aca="false">IF($O716="✓","✓",IF(ISNUMBER($O716),TEXT($O716,"yyyy-mm-dd"),IF($A716="","",IF(SUMPRODUCT(('Formation Initiale'!$A$2:$A$999=$A716)*('Formation Initiale'!$R$2:$R$999="Terminé"))&gt;0,"✓",IF(SUMPRODUCT(MAX(('Formation Initiale'!$A$2:$A$999=$A716)*'Formation Initiale'!$G$2:$G$999))&gt;0,TEXT(SUMPRODUCT(MAX(('Formation Initiale'!$A$2:$A$999=$A716)*'Formation Initiale'!$G$2:$G$999)),"yyyy-mm-dd"),"")))))</f>
        <v/>
      </c>
      <c r="F716" s="131" t="str">
        <f aca="false">IF($P716="✓","✓",IF(ISNUMBER($P716),TEXT($P716,"yyyy-mm-dd"),IF($A716="","",IF($D716="Lisbonne","",IF(SUMPRODUCT(('Formation Initiale'!$A$2:$A$999=$A716)*('Formation Initiale'!$R$2:$R$999="Terminé"))&gt;0,"✓",IF(SUMPRODUCT(MAX(('Formation Initiale'!$A$2:$A$999=$A716)*'Formation Initiale'!$G$2:$G$999))&gt;0,TEXT(SUMPRODUCT(MAX(('Formation Initiale'!$A$2:$A$999=$A716)*'Formation Initiale'!$G$2:$G$999)),"yyyy-mm-dd"),""))))))</f>
        <v/>
      </c>
      <c r="G716" s="131" t="str">
        <f aca="false">IF($Q716="✓","✓",IF(ISNUMBER($Q716),TEXT($Q716,"yyyy-mm-dd"),IF($A716="","",IF(SUMPRODUCT(('Agences &amp; Après-vente'!$A$2:$A$1000=$A716)*(('Agences &amp; Après-vente'!$D$2:$D$1000="Agences")+('Agences &amp; Après-vente'!$D$2:$D$1000="Agences et Après-vente"))*('Agences &amp; Après-vente'!$I$2:$I$1000="DONE"))&gt;0,"✓",IF(SUMPRODUCT(MAX(('Agences &amp; Après-vente'!$A$2:$A$1000=$A716)*(('Agences &amp; Après-vente'!$D$2:$D$1000="Agences")+('Agences &amp; Après-vente'!$D$2:$D$1000="Agences et Après-vente"))*'Agences &amp; Après-vente'!$E$2:$E$1000))&gt;0,TEXT(SUMPRODUCT(MAX(('Agences &amp; Après-vente'!$A$2:$A$1000=$A716)*(('Agences &amp; Après-vente'!$D$2:$D$1000="Agences")+('Agences &amp; Après-vente'!$D$2:$D$1000="Agences et Après-vente"))*'Agences &amp; Après-vente'!$E$2:$E$1000)),"yyyy-mm-dd"),"")))))</f>
        <v/>
      </c>
      <c r="H716" s="131" t="str">
        <f aca="false">IF($R716="✓","✓",IF(ISNUMBER($R716),TEXT($R716,"yyyy-mm-dd"),IF($A716="","",IF($D716="Lisbonne","",IF(SUMPRODUCT(('Agences &amp; Après-vente'!$A$2:$A$1000=$A716)*(('Agences &amp; Après-vente'!$D$2:$D$1000="Agences")+('Agences &amp; Après-vente'!$D$2:$D$1000="Agences et Après-vente"))*('Agences &amp; Après-vente'!$I$2:$I$1000="DONE"))&gt;0,"✓",IF(SUMPRODUCT(MAX(('Agences &amp; Après-vente'!$A$2:$A$1000=$A716)*(('Agences &amp; Après-vente'!$D$2:$D$1000="Agences")+('Agences &amp; Après-vente'!$D$2:$D$1000="Agences et Après-vente"))*'Agences &amp; Après-vente'!$E$2:$E$1000))&gt;0,TEXT(SUMPRODUCT(MAX(('Agences &amp; Après-vente'!$A$2:$A$1000=$A716)*(('Agences &amp; Après-vente'!$D$2:$D$1000="Agences")+('Agences &amp; Après-vente'!$D$2:$D$1000="Agences et Après-vente"))*'Agences &amp; Après-vente'!$E$2:$E$1000)),"yyyy-mm-dd"),""))))))</f>
        <v/>
      </c>
      <c r="I716" s="131" t="str">
        <f aca="false">IF($S716="✓","✓",IF(ISNUMBER($S716),TEXT($S716,"yyyy-mm-dd"),IF($A716="","",IF(SUMPRODUCT(('Agences &amp; Après-vente'!$A$2:$A$1000=$A716)*(('Agences &amp; Après-vente'!$D$2:$D$1000="Après-vente")+('Agences &amp; Après-vente'!$D$2:$D$1000="Agences et Après-vente"))*('Agences &amp; Après-vente'!$I$2:$I$1000="DONE"))&gt;0,"✓",IF(SUMPRODUCT(MAX(('Agences &amp; Après-vente'!$A$2:$A$1000=$A716)*(('Agences &amp; Après-vente'!$D$2:$D$1000="Après-vente")+('Agences &amp; Après-vente'!$D$2:$D$1000="Agences et Après-vente"))*'Agences &amp; Après-vente'!$E$2:$E$1000))&gt;0,TEXT(SUMPRODUCT(MAX(('Agences &amp; Après-vente'!$A$2:$A$1000=$A716)*(('Agences &amp; Après-vente'!$D$2:$D$1000="Après-vente")+('Agences &amp; Après-vente'!$D$2:$D$1000="Agences et Après-vente"))*'Agences &amp; Après-vente'!$E$2:$E$1000)),"yyyy-mm-dd"),"")))))</f>
        <v/>
      </c>
      <c r="J716" s="131" t="str">
        <f aca="false">IF($T716="✓","✓",IF(ISNUMBER($T716),TEXT($T716,"yyyy-mm-dd"),IF($A716="","",IF($D716="Lisbonne","",IF(SUMPRODUCT(('Agences &amp; Après-vente'!$A$2:$A$1000=$A716)*(('Agences &amp; Après-vente'!$D$2:$D$1000="Après-vente")+('Agences &amp; Après-vente'!$D$2:$D$1000="Agences et Après-vente"))*('Agences &amp; Après-vente'!$I$2:$I$1000="DONE"))&gt;0,"✓",IF(SUMPRODUCT(MAX(('Agences &amp; Après-vente'!$A$2:$A$1000=$A716)*(('Agences &amp; Après-vente'!$D$2:$D$1000="Après-vente")+('Agences &amp; Après-vente'!$D$2:$D$1000="Agences et Après-vente"))*'Agences &amp; Après-vente'!$E$2:$E$1000))&gt;0,TEXT(SUMPRODUCT(MAX(('Agences &amp; Après-vente'!$A$2:$A$1000=$A716)*(('Agences &amp; Après-vente'!$D$2:$D$1000="Après-vente")+('Agences &amp; Après-vente'!$D$2:$D$1000="Agences et Après-vente"))*'Agences &amp; Après-vente'!$E$2:$E$1000)),"yyyy-mm-dd"),""))))))</f>
        <v/>
      </c>
      <c r="K716" s="131" t="str">
        <f aca="false">IF($U716="✓","✓",IF(ISNUMBER($U716),TEXT($U716,"yyyy-mm-dd"),IF($D716="Lisbonne","",IF($A716="","",IF(SUMPRODUCT((Evermont!$A$2:$A$1000=$A716)*(Evermont!$Q$2:$Q$1000="Terminé"))&gt;0,"✓",IF(SUMPRODUCT(MAX((Evermont!$A$2:$A$1000=$A716)*Evermont!$F$2:$F$1000))&gt;0,TEXT(SUMPRODUCT(MAX((Evermont!$A$2:$A$1000=$A716)*Evermont!$F$2:$F$1000)),"yyyy-mm-dd"),""))))))</f>
        <v/>
      </c>
      <c r="L716" s="131" t="str">
        <f aca="false">IF($A716="","",COUNTIF(E716:K716,"✓"))</f>
        <v/>
      </c>
      <c r="M716" s="131" t="str">
        <f aca="false">IF(B716="","","Active")</f>
        <v/>
      </c>
      <c r="W716" s="120" t="str">
        <f aca="false">IF($A716="","",IF($X716&lt;&gt;"",$X716,IFERROR(INDEX('Formation Initiale'!$B$2:$B$999,MATCH($A716,'Formation Initiale'!$A$2:$A$999,0)),"Général")))</f>
        <v/>
      </c>
    </row>
    <row r="717" customFormat="false" ht="15" hidden="true" customHeight="true" outlineLevel="0" collapsed="false">
      <c r="A717" s="142" t="str">
        <f aca="false">IF(B717="","","TR"&amp;TEXT(ROW()-1,"000"))</f>
        <v/>
      </c>
      <c r="E717" s="130" t="str">
        <f aca="false">IF($O717="✓","✓",IF(ISNUMBER($O717),TEXT($O717,"yyyy-mm-dd"),IF($A717="","",IF(SUMPRODUCT(('Formation Initiale'!$A$2:$A$999=$A717)*('Formation Initiale'!$R$2:$R$999="Terminé"))&gt;0,"✓",IF(SUMPRODUCT(MAX(('Formation Initiale'!$A$2:$A$999=$A717)*'Formation Initiale'!$G$2:$G$999))&gt;0,TEXT(SUMPRODUCT(MAX(('Formation Initiale'!$A$2:$A$999=$A717)*'Formation Initiale'!$G$2:$G$999)),"yyyy-mm-dd"),"")))))</f>
        <v/>
      </c>
      <c r="F717" s="131" t="str">
        <f aca="false">IF($P717="✓","✓",IF(ISNUMBER($P717),TEXT($P717,"yyyy-mm-dd"),IF($A717="","",IF($D717="Lisbonne","",IF(SUMPRODUCT(('Formation Initiale'!$A$2:$A$999=$A717)*('Formation Initiale'!$R$2:$R$999="Terminé"))&gt;0,"✓",IF(SUMPRODUCT(MAX(('Formation Initiale'!$A$2:$A$999=$A717)*'Formation Initiale'!$G$2:$G$999))&gt;0,TEXT(SUMPRODUCT(MAX(('Formation Initiale'!$A$2:$A$999=$A717)*'Formation Initiale'!$G$2:$G$999)),"yyyy-mm-dd"),""))))))</f>
        <v/>
      </c>
      <c r="G717" s="131" t="str">
        <f aca="false">IF($Q717="✓","✓",IF(ISNUMBER($Q717),TEXT($Q717,"yyyy-mm-dd"),IF($A717="","",IF(SUMPRODUCT(('Agences &amp; Après-vente'!$A$2:$A$1000=$A717)*(('Agences &amp; Après-vente'!$D$2:$D$1000="Agences")+('Agences &amp; Après-vente'!$D$2:$D$1000="Agences et Après-vente"))*('Agences &amp; Après-vente'!$I$2:$I$1000="DONE"))&gt;0,"✓",IF(SUMPRODUCT(MAX(('Agences &amp; Après-vente'!$A$2:$A$1000=$A717)*(('Agences &amp; Après-vente'!$D$2:$D$1000="Agences")+('Agences &amp; Après-vente'!$D$2:$D$1000="Agences et Après-vente"))*'Agences &amp; Après-vente'!$E$2:$E$1000))&gt;0,TEXT(SUMPRODUCT(MAX(('Agences &amp; Après-vente'!$A$2:$A$1000=$A717)*(('Agences &amp; Après-vente'!$D$2:$D$1000="Agences")+('Agences &amp; Après-vente'!$D$2:$D$1000="Agences et Après-vente"))*'Agences &amp; Après-vente'!$E$2:$E$1000)),"yyyy-mm-dd"),"")))))</f>
        <v/>
      </c>
      <c r="H717" s="131" t="str">
        <f aca="false">IF($R717="✓","✓",IF(ISNUMBER($R717),TEXT($R717,"yyyy-mm-dd"),IF($A717="","",IF($D717="Lisbonne","",IF(SUMPRODUCT(('Agences &amp; Après-vente'!$A$2:$A$1000=$A717)*(('Agences &amp; Après-vente'!$D$2:$D$1000="Agences")+('Agences &amp; Après-vente'!$D$2:$D$1000="Agences et Après-vente"))*('Agences &amp; Après-vente'!$I$2:$I$1000="DONE"))&gt;0,"✓",IF(SUMPRODUCT(MAX(('Agences &amp; Après-vente'!$A$2:$A$1000=$A717)*(('Agences &amp; Après-vente'!$D$2:$D$1000="Agences")+('Agences &amp; Après-vente'!$D$2:$D$1000="Agences et Après-vente"))*'Agences &amp; Après-vente'!$E$2:$E$1000))&gt;0,TEXT(SUMPRODUCT(MAX(('Agences &amp; Après-vente'!$A$2:$A$1000=$A717)*(('Agences &amp; Après-vente'!$D$2:$D$1000="Agences")+('Agences &amp; Après-vente'!$D$2:$D$1000="Agences et Après-vente"))*'Agences &amp; Après-vente'!$E$2:$E$1000)),"yyyy-mm-dd"),""))))))</f>
        <v/>
      </c>
      <c r="I717" s="131" t="str">
        <f aca="false">IF($S717="✓","✓",IF(ISNUMBER($S717),TEXT($S717,"yyyy-mm-dd"),IF($A717="","",IF(SUMPRODUCT(('Agences &amp; Après-vente'!$A$2:$A$1000=$A717)*(('Agences &amp; Après-vente'!$D$2:$D$1000="Après-vente")+('Agences &amp; Après-vente'!$D$2:$D$1000="Agences et Après-vente"))*('Agences &amp; Après-vente'!$I$2:$I$1000="DONE"))&gt;0,"✓",IF(SUMPRODUCT(MAX(('Agences &amp; Après-vente'!$A$2:$A$1000=$A717)*(('Agences &amp; Après-vente'!$D$2:$D$1000="Après-vente")+('Agences &amp; Après-vente'!$D$2:$D$1000="Agences et Après-vente"))*'Agences &amp; Après-vente'!$E$2:$E$1000))&gt;0,TEXT(SUMPRODUCT(MAX(('Agences &amp; Après-vente'!$A$2:$A$1000=$A717)*(('Agences &amp; Après-vente'!$D$2:$D$1000="Après-vente")+('Agences &amp; Après-vente'!$D$2:$D$1000="Agences et Après-vente"))*'Agences &amp; Après-vente'!$E$2:$E$1000)),"yyyy-mm-dd"),"")))))</f>
        <v/>
      </c>
      <c r="J717" s="131" t="str">
        <f aca="false">IF($T717="✓","✓",IF(ISNUMBER($T717),TEXT($T717,"yyyy-mm-dd"),IF($A717="","",IF($D717="Lisbonne","",IF(SUMPRODUCT(('Agences &amp; Après-vente'!$A$2:$A$1000=$A717)*(('Agences &amp; Après-vente'!$D$2:$D$1000="Après-vente")+('Agences &amp; Après-vente'!$D$2:$D$1000="Agences et Après-vente"))*('Agences &amp; Après-vente'!$I$2:$I$1000="DONE"))&gt;0,"✓",IF(SUMPRODUCT(MAX(('Agences &amp; Après-vente'!$A$2:$A$1000=$A717)*(('Agences &amp; Après-vente'!$D$2:$D$1000="Après-vente")+('Agences &amp; Après-vente'!$D$2:$D$1000="Agences et Après-vente"))*'Agences &amp; Après-vente'!$E$2:$E$1000))&gt;0,TEXT(SUMPRODUCT(MAX(('Agences &amp; Après-vente'!$A$2:$A$1000=$A717)*(('Agences &amp; Après-vente'!$D$2:$D$1000="Après-vente")+('Agences &amp; Après-vente'!$D$2:$D$1000="Agences et Après-vente"))*'Agences &amp; Après-vente'!$E$2:$E$1000)),"yyyy-mm-dd"),""))))))</f>
        <v/>
      </c>
      <c r="K717" s="131" t="str">
        <f aca="false">IF($U717="✓","✓",IF(ISNUMBER($U717),TEXT($U717,"yyyy-mm-dd"),IF($D717="Lisbonne","",IF($A717="","",IF(SUMPRODUCT((Evermont!$A$2:$A$1000=$A717)*(Evermont!$Q$2:$Q$1000="Terminé"))&gt;0,"✓",IF(SUMPRODUCT(MAX((Evermont!$A$2:$A$1000=$A717)*Evermont!$F$2:$F$1000))&gt;0,TEXT(SUMPRODUCT(MAX((Evermont!$A$2:$A$1000=$A717)*Evermont!$F$2:$F$1000)),"yyyy-mm-dd"),""))))))</f>
        <v/>
      </c>
      <c r="L717" s="131" t="str">
        <f aca="false">IF($A717="","",COUNTIF(E717:K717,"✓"))</f>
        <v/>
      </c>
      <c r="M717" s="131" t="str">
        <f aca="false">IF(B717="","","Active")</f>
        <v/>
      </c>
      <c r="W717" s="120" t="str">
        <f aca="false">IF($A717="","",IF($X717&lt;&gt;"",$X717,IFERROR(INDEX('Formation Initiale'!$B$2:$B$999,MATCH($A717,'Formation Initiale'!$A$2:$A$999,0)),"Général")))</f>
        <v/>
      </c>
    </row>
    <row r="718" customFormat="false" ht="15" hidden="true" customHeight="true" outlineLevel="0" collapsed="false">
      <c r="A718" s="142" t="str">
        <f aca="false">IF(B718="","","TR"&amp;TEXT(ROW()-1,"000"))</f>
        <v/>
      </c>
      <c r="E718" s="130" t="str">
        <f aca="false">IF($O718="✓","✓",IF(ISNUMBER($O718),TEXT($O718,"yyyy-mm-dd"),IF($A718="","",IF(SUMPRODUCT(('Formation Initiale'!$A$2:$A$999=$A718)*('Formation Initiale'!$R$2:$R$999="Terminé"))&gt;0,"✓",IF(SUMPRODUCT(MAX(('Formation Initiale'!$A$2:$A$999=$A718)*'Formation Initiale'!$G$2:$G$999))&gt;0,TEXT(SUMPRODUCT(MAX(('Formation Initiale'!$A$2:$A$999=$A718)*'Formation Initiale'!$G$2:$G$999)),"yyyy-mm-dd"),"")))))</f>
        <v/>
      </c>
      <c r="F718" s="131" t="str">
        <f aca="false">IF($P718="✓","✓",IF(ISNUMBER($P718),TEXT($P718,"yyyy-mm-dd"),IF($A718="","",IF($D718="Lisbonne","",IF(SUMPRODUCT(('Formation Initiale'!$A$2:$A$999=$A718)*('Formation Initiale'!$R$2:$R$999="Terminé"))&gt;0,"✓",IF(SUMPRODUCT(MAX(('Formation Initiale'!$A$2:$A$999=$A718)*'Formation Initiale'!$G$2:$G$999))&gt;0,TEXT(SUMPRODUCT(MAX(('Formation Initiale'!$A$2:$A$999=$A718)*'Formation Initiale'!$G$2:$G$999)),"yyyy-mm-dd"),""))))))</f>
        <v/>
      </c>
      <c r="G718" s="131" t="str">
        <f aca="false">IF($Q718="✓","✓",IF(ISNUMBER($Q718),TEXT($Q718,"yyyy-mm-dd"),IF($A718="","",IF(SUMPRODUCT(('Agences &amp; Après-vente'!$A$2:$A$1000=$A718)*(('Agences &amp; Après-vente'!$D$2:$D$1000="Agences")+('Agences &amp; Après-vente'!$D$2:$D$1000="Agences et Après-vente"))*('Agences &amp; Après-vente'!$I$2:$I$1000="DONE"))&gt;0,"✓",IF(SUMPRODUCT(MAX(('Agences &amp; Après-vente'!$A$2:$A$1000=$A718)*(('Agences &amp; Après-vente'!$D$2:$D$1000="Agences")+('Agences &amp; Après-vente'!$D$2:$D$1000="Agences et Après-vente"))*'Agences &amp; Après-vente'!$E$2:$E$1000))&gt;0,TEXT(SUMPRODUCT(MAX(('Agences &amp; Après-vente'!$A$2:$A$1000=$A718)*(('Agences &amp; Après-vente'!$D$2:$D$1000="Agences")+('Agences &amp; Après-vente'!$D$2:$D$1000="Agences et Après-vente"))*'Agences &amp; Après-vente'!$E$2:$E$1000)),"yyyy-mm-dd"),"")))))</f>
        <v/>
      </c>
      <c r="H718" s="131" t="str">
        <f aca="false">IF($R718="✓","✓",IF(ISNUMBER($R718),TEXT($R718,"yyyy-mm-dd"),IF($A718="","",IF($D718="Lisbonne","",IF(SUMPRODUCT(('Agences &amp; Après-vente'!$A$2:$A$1000=$A718)*(('Agences &amp; Après-vente'!$D$2:$D$1000="Agences")+('Agences &amp; Après-vente'!$D$2:$D$1000="Agences et Après-vente"))*('Agences &amp; Après-vente'!$I$2:$I$1000="DONE"))&gt;0,"✓",IF(SUMPRODUCT(MAX(('Agences &amp; Après-vente'!$A$2:$A$1000=$A718)*(('Agences &amp; Après-vente'!$D$2:$D$1000="Agences")+('Agences &amp; Après-vente'!$D$2:$D$1000="Agences et Après-vente"))*'Agences &amp; Après-vente'!$E$2:$E$1000))&gt;0,TEXT(SUMPRODUCT(MAX(('Agences &amp; Après-vente'!$A$2:$A$1000=$A718)*(('Agences &amp; Après-vente'!$D$2:$D$1000="Agences")+('Agences &amp; Après-vente'!$D$2:$D$1000="Agences et Après-vente"))*'Agences &amp; Après-vente'!$E$2:$E$1000)),"yyyy-mm-dd"),""))))))</f>
        <v/>
      </c>
      <c r="I718" s="131" t="str">
        <f aca="false">IF($S718="✓","✓",IF(ISNUMBER($S718),TEXT($S718,"yyyy-mm-dd"),IF($A718="","",IF(SUMPRODUCT(('Agences &amp; Après-vente'!$A$2:$A$1000=$A718)*(('Agences &amp; Après-vente'!$D$2:$D$1000="Après-vente")+('Agences &amp; Après-vente'!$D$2:$D$1000="Agences et Après-vente"))*('Agences &amp; Après-vente'!$I$2:$I$1000="DONE"))&gt;0,"✓",IF(SUMPRODUCT(MAX(('Agences &amp; Après-vente'!$A$2:$A$1000=$A718)*(('Agences &amp; Après-vente'!$D$2:$D$1000="Après-vente")+('Agences &amp; Après-vente'!$D$2:$D$1000="Agences et Après-vente"))*'Agences &amp; Après-vente'!$E$2:$E$1000))&gt;0,TEXT(SUMPRODUCT(MAX(('Agences &amp; Après-vente'!$A$2:$A$1000=$A718)*(('Agences &amp; Après-vente'!$D$2:$D$1000="Après-vente")+('Agences &amp; Après-vente'!$D$2:$D$1000="Agences et Après-vente"))*'Agences &amp; Après-vente'!$E$2:$E$1000)),"yyyy-mm-dd"),"")))))</f>
        <v/>
      </c>
      <c r="J718" s="131" t="str">
        <f aca="false">IF($T718="✓","✓",IF(ISNUMBER($T718),TEXT($T718,"yyyy-mm-dd"),IF($A718="","",IF($D718="Lisbonne","",IF(SUMPRODUCT(('Agences &amp; Après-vente'!$A$2:$A$1000=$A718)*(('Agences &amp; Après-vente'!$D$2:$D$1000="Après-vente")+('Agences &amp; Après-vente'!$D$2:$D$1000="Agences et Après-vente"))*('Agences &amp; Après-vente'!$I$2:$I$1000="DONE"))&gt;0,"✓",IF(SUMPRODUCT(MAX(('Agences &amp; Après-vente'!$A$2:$A$1000=$A718)*(('Agences &amp; Après-vente'!$D$2:$D$1000="Après-vente")+('Agences &amp; Après-vente'!$D$2:$D$1000="Agences et Après-vente"))*'Agences &amp; Après-vente'!$E$2:$E$1000))&gt;0,TEXT(SUMPRODUCT(MAX(('Agences &amp; Après-vente'!$A$2:$A$1000=$A718)*(('Agences &amp; Après-vente'!$D$2:$D$1000="Après-vente")+('Agences &amp; Après-vente'!$D$2:$D$1000="Agences et Après-vente"))*'Agences &amp; Après-vente'!$E$2:$E$1000)),"yyyy-mm-dd"),""))))))</f>
        <v/>
      </c>
      <c r="K718" s="131" t="str">
        <f aca="false">IF($U718="✓","✓",IF(ISNUMBER($U718),TEXT($U718,"yyyy-mm-dd"),IF($D718="Lisbonne","",IF($A718="","",IF(SUMPRODUCT((Evermont!$A$2:$A$1000=$A718)*(Evermont!$Q$2:$Q$1000="Terminé"))&gt;0,"✓",IF(SUMPRODUCT(MAX((Evermont!$A$2:$A$1000=$A718)*Evermont!$F$2:$F$1000))&gt;0,TEXT(SUMPRODUCT(MAX((Evermont!$A$2:$A$1000=$A718)*Evermont!$F$2:$F$1000)),"yyyy-mm-dd"),""))))))</f>
        <v/>
      </c>
      <c r="L718" s="131" t="str">
        <f aca="false">IF($A718="","",COUNTIF(E718:K718,"✓"))</f>
        <v/>
      </c>
      <c r="M718" s="131" t="str">
        <f aca="false">IF(B718="","","Active")</f>
        <v/>
      </c>
      <c r="W718" s="120" t="str">
        <f aca="false">IF($A718="","",IF($X718&lt;&gt;"",$X718,IFERROR(INDEX('Formation Initiale'!$B$2:$B$999,MATCH($A718,'Formation Initiale'!$A$2:$A$999,0)),"Général")))</f>
        <v/>
      </c>
    </row>
    <row r="719" customFormat="false" ht="15" hidden="true" customHeight="true" outlineLevel="0" collapsed="false">
      <c r="A719" s="142" t="str">
        <f aca="false">IF(B719="","","TR"&amp;TEXT(ROW()-1,"000"))</f>
        <v/>
      </c>
      <c r="E719" s="130" t="str">
        <f aca="false">IF($O719="✓","✓",IF(ISNUMBER($O719),TEXT($O719,"yyyy-mm-dd"),IF($A719="","",IF(SUMPRODUCT(('Formation Initiale'!$A$2:$A$999=$A719)*('Formation Initiale'!$R$2:$R$999="Terminé"))&gt;0,"✓",IF(SUMPRODUCT(MAX(('Formation Initiale'!$A$2:$A$999=$A719)*'Formation Initiale'!$G$2:$G$999))&gt;0,TEXT(SUMPRODUCT(MAX(('Formation Initiale'!$A$2:$A$999=$A719)*'Formation Initiale'!$G$2:$G$999)),"yyyy-mm-dd"),"")))))</f>
        <v/>
      </c>
      <c r="F719" s="131" t="str">
        <f aca="false">IF($P719="✓","✓",IF(ISNUMBER($P719),TEXT($P719,"yyyy-mm-dd"),IF($A719="","",IF($D719="Lisbonne","",IF(SUMPRODUCT(('Formation Initiale'!$A$2:$A$999=$A719)*('Formation Initiale'!$R$2:$R$999="Terminé"))&gt;0,"✓",IF(SUMPRODUCT(MAX(('Formation Initiale'!$A$2:$A$999=$A719)*'Formation Initiale'!$G$2:$G$999))&gt;0,TEXT(SUMPRODUCT(MAX(('Formation Initiale'!$A$2:$A$999=$A719)*'Formation Initiale'!$G$2:$G$999)),"yyyy-mm-dd"),""))))))</f>
        <v/>
      </c>
      <c r="G719" s="131" t="str">
        <f aca="false">IF($Q719="✓","✓",IF(ISNUMBER($Q719),TEXT($Q719,"yyyy-mm-dd"),IF($A719="","",IF(SUMPRODUCT(('Agences &amp; Après-vente'!$A$2:$A$1000=$A719)*(('Agences &amp; Après-vente'!$D$2:$D$1000="Agences")+('Agences &amp; Après-vente'!$D$2:$D$1000="Agences et Après-vente"))*('Agences &amp; Après-vente'!$I$2:$I$1000="DONE"))&gt;0,"✓",IF(SUMPRODUCT(MAX(('Agences &amp; Après-vente'!$A$2:$A$1000=$A719)*(('Agences &amp; Après-vente'!$D$2:$D$1000="Agences")+('Agences &amp; Après-vente'!$D$2:$D$1000="Agences et Après-vente"))*'Agences &amp; Après-vente'!$E$2:$E$1000))&gt;0,TEXT(SUMPRODUCT(MAX(('Agences &amp; Après-vente'!$A$2:$A$1000=$A719)*(('Agences &amp; Après-vente'!$D$2:$D$1000="Agences")+('Agences &amp; Après-vente'!$D$2:$D$1000="Agences et Après-vente"))*'Agences &amp; Après-vente'!$E$2:$E$1000)),"yyyy-mm-dd"),"")))))</f>
        <v/>
      </c>
      <c r="H719" s="131" t="str">
        <f aca="false">IF($R719="✓","✓",IF(ISNUMBER($R719),TEXT($R719,"yyyy-mm-dd"),IF($A719="","",IF($D719="Lisbonne","",IF(SUMPRODUCT(('Agences &amp; Après-vente'!$A$2:$A$1000=$A719)*(('Agences &amp; Après-vente'!$D$2:$D$1000="Agences")+('Agences &amp; Après-vente'!$D$2:$D$1000="Agences et Après-vente"))*('Agences &amp; Après-vente'!$I$2:$I$1000="DONE"))&gt;0,"✓",IF(SUMPRODUCT(MAX(('Agences &amp; Après-vente'!$A$2:$A$1000=$A719)*(('Agences &amp; Après-vente'!$D$2:$D$1000="Agences")+('Agences &amp; Après-vente'!$D$2:$D$1000="Agences et Après-vente"))*'Agences &amp; Après-vente'!$E$2:$E$1000))&gt;0,TEXT(SUMPRODUCT(MAX(('Agences &amp; Après-vente'!$A$2:$A$1000=$A719)*(('Agences &amp; Après-vente'!$D$2:$D$1000="Agences")+('Agences &amp; Après-vente'!$D$2:$D$1000="Agences et Après-vente"))*'Agences &amp; Après-vente'!$E$2:$E$1000)),"yyyy-mm-dd"),""))))))</f>
        <v/>
      </c>
      <c r="I719" s="131" t="str">
        <f aca="false">IF($S719="✓","✓",IF(ISNUMBER($S719),TEXT($S719,"yyyy-mm-dd"),IF($A719="","",IF(SUMPRODUCT(('Agences &amp; Après-vente'!$A$2:$A$1000=$A719)*(('Agences &amp; Après-vente'!$D$2:$D$1000="Après-vente")+('Agences &amp; Après-vente'!$D$2:$D$1000="Agences et Après-vente"))*('Agences &amp; Après-vente'!$I$2:$I$1000="DONE"))&gt;0,"✓",IF(SUMPRODUCT(MAX(('Agences &amp; Après-vente'!$A$2:$A$1000=$A719)*(('Agences &amp; Après-vente'!$D$2:$D$1000="Après-vente")+('Agences &amp; Après-vente'!$D$2:$D$1000="Agences et Après-vente"))*'Agences &amp; Après-vente'!$E$2:$E$1000))&gt;0,TEXT(SUMPRODUCT(MAX(('Agences &amp; Après-vente'!$A$2:$A$1000=$A719)*(('Agences &amp; Après-vente'!$D$2:$D$1000="Après-vente")+('Agences &amp; Après-vente'!$D$2:$D$1000="Agences et Après-vente"))*'Agences &amp; Après-vente'!$E$2:$E$1000)),"yyyy-mm-dd"),"")))))</f>
        <v/>
      </c>
      <c r="J719" s="131" t="str">
        <f aca="false">IF($T719="✓","✓",IF(ISNUMBER($T719),TEXT($T719,"yyyy-mm-dd"),IF($A719="","",IF($D719="Lisbonne","",IF(SUMPRODUCT(('Agences &amp; Après-vente'!$A$2:$A$1000=$A719)*(('Agences &amp; Après-vente'!$D$2:$D$1000="Après-vente")+('Agences &amp; Après-vente'!$D$2:$D$1000="Agences et Après-vente"))*('Agences &amp; Après-vente'!$I$2:$I$1000="DONE"))&gt;0,"✓",IF(SUMPRODUCT(MAX(('Agences &amp; Après-vente'!$A$2:$A$1000=$A719)*(('Agences &amp; Après-vente'!$D$2:$D$1000="Après-vente")+('Agences &amp; Après-vente'!$D$2:$D$1000="Agences et Après-vente"))*'Agences &amp; Après-vente'!$E$2:$E$1000))&gt;0,TEXT(SUMPRODUCT(MAX(('Agences &amp; Après-vente'!$A$2:$A$1000=$A719)*(('Agences &amp; Après-vente'!$D$2:$D$1000="Après-vente")+('Agences &amp; Après-vente'!$D$2:$D$1000="Agences et Après-vente"))*'Agences &amp; Après-vente'!$E$2:$E$1000)),"yyyy-mm-dd"),""))))))</f>
        <v/>
      </c>
      <c r="K719" s="131" t="str">
        <f aca="false">IF($U719="✓","✓",IF(ISNUMBER($U719),TEXT($U719,"yyyy-mm-dd"),IF($D719="Lisbonne","",IF($A719="","",IF(SUMPRODUCT((Evermont!$A$2:$A$1000=$A719)*(Evermont!$Q$2:$Q$1000="Terminé"))&gt;0,"✓",IF(SUMPRODUCT(MAX((Evermont!$A$2:$A$1000=$A719)*Evermont!$F$2:$F$1000))&gt;0,TEXT(SUMPRODUCT(MAX((Evermont!$A$2:$A$1000=$A719)*Evermont!$F$2:$F$1000)),"yyyy-mm-dd"),""))))))</f>
        <v/>
      </c>
      <c r="L719" s="131" t="str">
        <f aca="false">IF($A719="","",COUNTIF(E719:K719,"✓"))</f>
        <v/>
      </c>
      <c r="M719" s="131" t="str">
        <f aca="false">IF(B719="","","Active")</f>
        <v/>
      </c>
      <c r="W719" s="120" t="str">
        <f aca="false">IF($A719="","",IF($X719&lt;&gt;"",$X719,IFERROR(INDEX('Formation Initiale'!$B$2:$B$999,MATCH($A719,'Formation Initiale'!$A$2:$A$999,0)),"Général")))</f>
        <v/>
      </c>
    </row>
    <row r="720" customFormat="false" ht="15" hidden="true" customHeight="true" outlineLevel="0" collapsed="false">
      <c r="A720" s="142" t="str">
        <f aca="false">IF(B720="","","TR"&amp;TEXT(ROW()-1,"000"))</f>
        <v/>
      </c>
      <c r="E720" s="130" t="str">
        <f aca="false">IF($O720="✓","✓",IF(ISNUMBER($O720),TEXT($O720,"yyyy-mm-dd"),IF($A720="","",IF(SUMPRODUCT(('Formation Initiale'!$A$2:$A$999=$A720)*('Formation Initiale'!$R$2:$R$999="Terminé"))&gt;0,"✓",IF(SUMPRODUCT(MAX(('Formation Initiale'!$A$2:$A$999=$A720)*'Formation Initiale'!$G$2:$G$999))&gt;0,TEXT(SUMPRODUCT(MAX(('Formation Initiale'!$A$2:$A$999=$A720)*'Formation Initiale'!$G$2:$G$999)),"yyyy-mm-dd"),"")))))</f>
        <v/>
      </c>
      <c r="F720" s="131" t="str">
        <f aca="false">IF($P720="✓","✓",IF(ISNUMBER($P720),TEXT($P720,"yyyy-mm-dd"),IF($A720="","",IF($D720="Lisbonne","",IF(SUMPRODUCT(('Formation Initiale'!$A$2:$A$999=$A720)*('Formation Initiale'!$R$2:$R$999="Terminé"))&gt;0,"✓",IF(SUMPRODUCT(MAX(('Formation Initiale'!$A$2:$A$999=$A720)*'Formation Initiale'!$G$2:$G$999))&gt;0,TEXT(SUMPRODUCT(MAX(('Formation Initiale'!$A$2:$A$999=$A720)*'Formation Initiale'!$G$2:$G$999)),"yyyy-mm-dd"),""))))))</f>
        <v/>
      </c>
      <c r="G720" s="131" t="str">
        <f aca="false">IF($Q720="✓","✓",IF(ISNUMBER($Q720),TEXT($Q720,"yyyy-mm-dd"),IF($A720="","",IF(SUMPRODUCT(('Agences &amp; Après-vente'!$A$2:$A$1000=$A720)*(('Agences &amp; Après-vente'!$D$2:$D$1000="Agences")+('Agences &amp; Après-vente'!$D$2:$D$1000="Agences et Après-vente"))*('Agences &amp; Après-vente'!$I$2:$I$1000="DONE"))&gt;0,"✓",IF(SUMPRODUCT(MAX(('Agences &amp; Après-vente'!$A$2:$A$1000=$A720)*(('Agences &amp; Après-vente'!$D$2:$D$1000="Agences")+('Agences &amp; Après-vente'!$D$2:$D$1000="Agences et Après-vente"))*'Agences &amp; Après-vente'!$E$2:$E$1000))&gt;0,TEXT(SUMPRODUCT(MAX(('Agences &amp; Après-vente'!$A$2:$A$1000=$A720)*(('Agences &amp; Après-vente'!$D$2:$D$1000="Agences")+('Agences &amp; Après-vente'!$D$2:$D$1000="Agences et Après-vente"))*'Agences &amp; Après-vente'!$E$2:$E$1000)),"yyyy-mm-dd"),"")))))</f>
        <v/>
      </c>
      <c r="H720" s="131" t="str">
        <f aca="false">IF($R720="✓","✓",IF(ISNUMBER($R720),TEXT($R720,"yyyy-mm-dd"),IF($A720="","",IF($D720="Lisbonne","",IF(SUMPRODUCT(('Agences &amp; Après-vente'!$A$2:$A$1000=$A720)*(('Agences &amp; Après-vente'!$D$2:$D$1000="Agences")+('Agences &amp; Après-vente'!$D$2:$D$1000="Agences et Après-vente"))*('Agences &amp; Après-vente'!$I$2:$I$1000="DONE"))&gt;0,"✓",IF(SUMPRODUCT(MAX(('Agences &amp; Après-vente'!$A$2:$A$1000=$A720)*(('Agences &amp; Après-vente'!$D$2:$D$1000="Agences")+('Agences &amp; Après-vente'!$D$2:$D$1000="Agences et Après-vente"))*'Agences &amp; Après-vente'!$E$2:$E$1000))&gt;0,TEXT(SUMPRODUCT(MAX(('Agences &amp; Après-vente'!$A$2:$A$1000=$A720)*(('Agences &amp; Après-vente'!$D$2:$D$1000="Agences")+('Agences &amp; Après-vente'!$D$2:$D$1000="Agences et Après-vente"))*'Agences &amp; Après-vente'!$E$2:$E$1000)),"yyyy-mm-dd"),""))))))</f>
        <v/>
      </c>
      <c r="I720" s="131" t="str">
        <f aca="false">IF($S720="✓","✓",IF(ISNUMBER($S720),TEXT($S720,"yyyy-mm-dd"),IF($A720="","",IF(SUMPRODUCT(('Agences &amp; Après-vente'!$A$2:$A$1000=$A720)*(('Agences &amp; Après-vente'!$D$2:$D$1000="Après-vente")+('Agences &amp; Après-vente'!$D$2:$D$1000="Agences et Après-vente"))*('Agences &amp; Après-vente'!$I$2:$I$1000="DONE"))&gt;0,"✓",IF(SUMPRODUCT(MAX(('Agences &amp; Après-vente'!$A$2:$A$1000=$A720)*(('Agences &amp; Après-vente'!$D$2:$D$1000="Après-vente")+('Agences &amp; Après-vente'!$D$2:$D$1000="Agences et Après-vente"))*'Agences &amp; Après-vente'!$E$2:$E$1000))&gt;0,TEXT(SUMPRODUCT(MAX(('Agences &amp; Après-vente'!$A$2:$A$1000=$A720)*(('Agences &amp; Après-vente'!$D$2:$D$1000="Après-vente")+('Agences &amp; Après-vente'!$D$2:$D$1000="Agences et Après-vente"))*'Agences &amp; Après-vente'!$E$2:$E$1000)),"yyyy-mm-dd"),"")))))</f>
        <v/>
      </c>
      <c r="J720" s="131" t="str">
        <f aca="false">IF($T720="✓","✓",IF(ISNUMBER($T720),TEXT($T720,"yyyy-mm-dd"),IF($A720="","",IF($D720="Lisbonne","",IF(SUMPRODUCT(('Agences &amp; Après-vente'!$A$2:$A$1000=$A720)*(('Agences &amp; Après-vente'!$D$2:$D$1000="Après-vente")+('Agences &amp; Après-vente'!$D$2:$D$1000="Agences et Après-vente"))*('Agences &amp; Après-vente'!$I$2:$I$1000="DONE"))&gt;0,"✓",IF(SUMPRODUCT(MAX(('Agences &amp; Après-vente'!$A$2:$A$1000=$A720)*(('Agences &amp; Après-vente'!$D$2:$D$1000="Après-vente")+('Agences &amp; Après-vente'!$D$2:$D$1000="Agences et Après-vente"))*'Agences &amp; Après-vente'!$E$2:$E$1000))&gt;0,TEXT(SUMPRODUCT(MAX(('Agences &amp; Après-vente'!$A$2:$A$1000=$A720)*(('Agences &amp; Après-vente'!$D$2:$D$1000="Après-vente")+('Agences &amp; Après-vente'!$D$2:$D$1000="Agences et Après-vente"))*'Agences &amp; Après-vente'!$E$2:$E$1000)),"yyyy-mm-dd"),""))))))</f>
        <v/>
      </c>
      <c r="K720" s="131" t="str">
        <f aca="false">IF($U720="✓","✓",IF(ISNUMBER($U720),TEXT($U720,"yyyy-mm-dd"),IF($D720="Lisbonne","",IF($A720="","",IF(SUMPRODUCT((Evermont!$A$2:$A$1000=$A720)*(Evermont!$Q$2:$Q$1000="Terminé"))&gt;0,"✓",IF(SUMPRODUCT(MAX((Evermont!$A$2:$A$1000=$A720)*Evermont!$F$2:$F$1000))&gt;0,TEXT(SUMPRODUCT(MAX((Evermont!$A$2:$A$1000=$A720)*Evermont!$F$2:$F$1000)),"yyyy-mm-dd"),""))))))</f>
        <v/>
      </c>
      <c r="L720" s="131" t="str">
        <f aca="false">IF($A720="","",COUNTIF(E720:K720,"✓"))</f>
        <v/>
      </c>
      <c r="M720" s="131" t="str">
        <f aca="false">IF(B720="","","Active")</f>
        <v/>
      </c>
      <c r="W720" s="120" t="str">
        <f aca="false">IF($A720="","",IF($X720&lt;&gt;"",$X720,IFERROR(INDEX('Formation Initiale'!$B$2:$B$999,MATCH($A720,'Formation Initiale'!$A$2:$A$999,0)),"Général")))</f>
        <v/>
      </c>
    </row>
    <row r="721" customFormat="false" ht="15" hidden="true" customHeight="true" outlineLevel="0" collapsed="false">
      <c r="A721" s="142" t="str">
        <f aca="false">IF(B721="","","TR"&amp;TEXT(ROW()-1,"000"))</f>
        <v/>
      </c>
      <c r="E721" s="130" t="str">
        <f aca="false">IF($O721="✓","✓",IF(ISNUMBER($O721),TEXT($O721,"yyyy-mm-dd"),IF($A721="","",IF(SUMPRODUCT(('Formation Initiale'!$A$2:$A$999=$A721)*('Formation Initiale'!$R$2:$R$999="Terminé"))&gt;0,"✓",IF(SUMPRODUCT(MAX(('Formation Initiale'!$A$2:$A$999=$A721)*'Formation Initiale'!$G$2:$G$999))&gt;0,TEXT(SUMPRODUCT(MAX(('Formation Initiale'!$A$2:$A$999=$A721)*'Formation Initiale'!$G$2:$G$999)),"yyyy-mm-dd"),"")))))</f>
        <v/>
      </c>
      <c r="F721" s="131" t="str">
        <f aca="false">IF($P721="✓","✓",IF(ISNUMBER($P721),TEXT($P721,"yyyy-mm-dd"),IF($A721="","",IF($D721="Lisbonne","",IF(SUMPRODUCT(('Formation Initiale'!$A$2:$A$999=$A721)*('Formation Initiale'!$R$2:$R$999="Terminé"))&gt;0,"✓",IF(SUMPRODUCT(MAX(('Formation Initiale'!$A$2:$A$999=$A721)*'Formation Initiale'!$G$2:$G$999))&gt;0,TEXT(SUMPRODUCT(MAX(('Formation Initiale'!$A$2:$A$999=$A721)*'Formation Initiale'!$G$2:$G$999)),"yyyy-mm-dd"),""))))))</f>
        <v/>
      </c>
      <c r="G721" s="131" t="str">
        <f aca="false">IF($Q721="✓","✓",IF(ISNUMBER($Q721),TEXT($Q721,"yyyy-mm-dd"),IF($A721="","",IF(SUMPRODUCT(('Agences &amp; Après-vente'!$A$2:$A$1000=$A721)*(('Agences &amp; Après-vente'!$D$2:$D$1000="Agences")+('Agences &amp; Après-vente'!$D$2:$D$1000="Agences et Après-vente"))*('Agences &amp; Après-vente'!$I$2:$I$1000="DONE"))&gt;0,"✓",IF(SUMPRODUCT(MAX(('Agences &amp; Après-vente'!$A$2:$A$1000=$A721)*(('Agences &amp; Après-vente'!$D$2:$D$1000="Agences")+('Agences &amp; Après-vente'!$D$2:$D$1000="Agences et Après-vente"))*'Agences &amp; Après-vente'!$E$2:$E$1000))&gt;0,TEXT(SUMPRODUCT(MAX(('Agences &amp; Après-vente'!$A$2:$A$1000=$A721)*(('Agences &amp; Après-vente'!$D$2:$D$1000="Agences")+('Agences &amp; Après-vente'!$D$2:$D$1000="Agences et Après-vente"))*'Agences &amp; Après-vente'!$E$2:$E$1000)),"yyyy-mm-dd"),"")))))</f>
        <v/>
      </c>
      <c r="H721" s="131" t="str">
        <f aca="false">IF($R721="✓","✓",IF(ISNUMBER($R721),TEXT($R721,"yyyy-mm-dd"),IF($A721="","",IF($D721="Lisbonne","",IF(SUMPRODUCT(('Agences &amp; Après-vente'!$A$2:$A$1000=$A721)*(('Agences &amp; Après-vente'!$D$2:$D$1000="Agences")+('Agences &amp; Après-vente'!$D$2:$D$1000="Agences et Après-vente"))*('Agences &amp; Après-vente'!$I$2:$I$1000="DONE"))&gt;0,"✓",IF(SUMPRODUCT(MAX(('Agences &amp; Après-vente'!$A$2:$A$1000=$A721)*(('Agences &amp; Après-vente'!$D$2:$D$1000="Agences")+('Agences &amp; Après-vente'!$D$2:$D$1000="Agences et Après-vente"))*'Agences &amp; Après-vente'!$E$2:$E$1000))&gt;0,TEXT(SUMPRODUCT(MAX(('Agences &amp; Après-vente'!$A$2:$A$1000=$A721)*(('Agences &amp; Après-vente'!$D$2:$D$1000="Agences")+('Agences &amp; Après-vente'!$D$2:$D$1000="Agences et Après-vente"))*'Agences &amp; Après-vente'!$E$2:$E$1000)),"yyyy-mm-dd"),""))))))</f>
        <v/>
      </c>
      <c r="I721" s="131" t="str">
        <f aca="false">IF($S721="✓","✓",IF(ISNUMBER($S721),TEXT($S721,"yyyy-mm-dd"),IF($A721="","",IF(SUMPRODUCT(('Agences &amp; Après-vente'!$A$2:$A$1000=$A721)*(('Agences &amp; Après-vente'!$D$2:$D$1000="Après-vente")+('Agences &amp; Après-vente'!$D$2:$D$1000="Agences et Après-vente"))*('Agences &amp; Après-vente'!$I$2:$I$1000="DONE"))&gt;0,"✓",IF(SUMPRODUCT(MAX(('Agences &amp; Après-vente'!$A$2:$A$1000=$A721)*(('Agences &amp; Après-vente'!$D$2:$D$1000="Après-vente")+('Agences &amp; Après-vente'!$D$2:$D$1000="Agences et Après-vente"))*'Agences &amp; Après-vente'!$E$2:$E$1000))&gt;0,TEXT(SUMPRODUCT(MAX(('Agences &amp; Après-vente'!$A$2:$A$1000=$A721)*(('Agences &amp; Après-vente'!$D$2:$D$1000="Après-vente")+('Agences &amp; Après-vente'!$D$2:$D$1000="Agences et Après-vente"))*'Agences &amp; Après-vente'!$E$2:$E$1000)),"yyyy-mm-dd"),"")))))</f>
        <v/>
      </c>
      <c r="J721" s="131" t="str">
        <f aca="false">IF($T721="✓","✓",IF(ISNUMBER($T721),TEXT($T721,"yyyy-mm-dd"),IF($A721="","",IF($D721="Lisbonne","",IF(SUMPRODUCT(('Agences &amp; Après-vente'!$A$2:$A$1000=$A721)*(('Agences &amp; Après-vente'!$D$2:$D$1000="Après-vente")+('Agences &amp; Après-vente'!$D$2:$D$1000="Agences et Après-vente"))*('Agences &amp; Après-vente'!$I$2:$I$1000="DONE"))&gt;0,"✓",IF(SUMPRODUCT(MAX(('Agences &amp; Après-vente'!$A$2:$A$1000=$A721)*(('Agences &amp; Après-vente'!$D$2:$D$1000="Après-vente")+('Agences &amp; Après-vente'!$D$2:$D$1000="Agences et Après-vente"))*'Agences &amp; Après-vente'!$E$2:$E$1000))&gt;0,TEXT(SUMPRODUCT(MAX(('Agences &amp; Après-vente'!$A$2:$A$1000=$A721)*(('Agences &amp; Après-vente'!$D$2:$D$1000="Après-vente")+('Agences &amp; Après-vente'!$D$2:$D$1000="Agences et Après-vente"))*'Agences &amp; Après-vente'!$E$2:$E$1000)),"yyyy-mm-dd"),""))))))</f>
        <v/>
      </c>
      <c r="K721" s="131" t="str">
        <f aca="false">IF($U721="✓","✓",IF(ISNUMBER($U721),TEXT($U721,"yyyy-mm-dd"),IF($D721="Lisbonne","",IF($A721="","",IF(SUMPRODUCT((Evermont!$A$2:$A$1000=$A721)*(Evermont!$Q$2:$Q$1000="Terminé"))&gt;0,"✓",IF(SUMPRODUCT(MAX((Evermont!$A$2:$A$1000=$A721)*Evermont!$F$2:$F$1000))&gt;0,TEXT(SUMPRODUCT(MAX((Evermont!$A$2:$A$1000=$A721)*Evermont!$F$2:$F$1000)),"yyyy-mm-dd"),""))))))</f>
        <v/>
      </c>
      <c r="L721" s="131" t="str">
        <f aca="false">IF($A721="","",COUNTIF(E721:K721,"✓"))</f>
        <v/>
      </c>
      <c r="M721" s="131" t="str">
        <f aca="false">IF(B721="","","Active")</f>
        <v/>
      </c>
      <c r="W721" s="120" t="str">
        <f aca="false">IF($A721="","",IF($X721&lt;&gt;"",$X721,IFERROR(INDEX('Formation Initiale'!$B$2:$B$999,MATCH($A721,'Formation Initiale'!$A$2:$A$999,0)),"Général")))</f>
        <v/>
      </c>
    </row>
    <row r="722" customFormat="false" ht="15" hidden="true" customHeight="true" outlineLevel="0" collapsed="false">
      <c r="A722" s="142" t="str">
        <f aca="false">IF(B722="","","TR"&amp;TEXT(ROW()-1,"000"))</f>
        <v/>
      </c>
      <c r="E722" s="130" t="str">
        <f aca="false">IF($O722="✓","✓",IF(ISNUMBER($O722),TEXT($O722,"yyyy-mm-dd"),IF($A722="","",IF(SUMPRODUCT(('Formation Initiale'!$A$2:$A$999=$A722)*('Formation Initiale'!$R$2:$R$999="Terminé"))&gt;0,"✓",IF(SUMPRODUCT(MAX(('Formation Initiale'!$A$2:$A$999=$A722)*'Formation Initiale'!$G$2:$G$999))&gt;0,TEXT(SUMPRODUCT(MAX(('Formation Initiale'!$A$2:$A$999=$A722)*'Formation Initiale'!$G$2:$G$999)),"yyyy-mm-dd"),"")))))</f>
        <v/>
      </c>
      <c r="F722" s="131" t="str">
        <f aca="false">IF($P722="✓","✓",IF(ISNUMBER($P722),TEXT($P722,"yyyy-mm-dd"),IF($A722="","",IF($D722="Lisbonne","",IF(SUMPRODUCT(('Formation Initiale'!$A$2:$A$999=$A722)*('Formation Initiale'!$R$2:$R$999="Terminé"))&gt;0,"✓",IF(SUMPRODUCT(MAX(('Formation Initiale'!$A$2:$A$999=$A722)*'Formation Initiale'!$G$2:$G$999))&gt;0,TEXT(SUMPRODUCT(MAX(('Formation Initiale'!$A$2:$A$999=$A722)*'Formation Initiale'!$G$2:$G$999)),"yyyy-mm-dd"),""))))))</f>
        <v/>
      </c>
      <c r="G722" s="131" t="str">
        <f aca="false">IF($Q722="✓","✓",IF(ISNUMBER($Q722),TEXT($Q722,"yyyy-mm-dd"),IF($A722="","",IF(SUMPRODUCT(('Agences &amp; Après-vente'!$A$2:$A$1000=$A722)*(('Agences &amp; Après-vente'!$D$2:$D$1000="Agences")+('Agences &amp; Après-vente'!$D$2:$D$1000="Agences et Après-vente"))*('Agences &amp; Après-vente'!$I$2:$I$1000="DONE"))&gt;0,"✓",IF(SUMPRODUCT(MAX(('Agences &amp; Après-vente'!$A$2:$A$1000=$A722)*(('Agences &amp; Après-vente'!$D$2:$D$1000="Agences")+('Agences &amp; Après-vente'!$D$2:$D$1000="Agences et Après-vente"))*'Agences &amp; Après-vente'!$E$2:$E$1000))&gt;0,TEXT(SUMPRODUCT(MAX(('Agences &amp; Après-vente'!$A$2:$A$1000=$A722)*(('Agences &amp; Après-vente'!$D$2:$D$1000="Agences")+('Agences &amp; Après-vente'!$D$2:$D$1000="Agences et Après-vente"))*'Agences &amp; Après-vente'!$E$2:$E$1000)),"yyyy-mm-dd"),"")))))</f>
        <v/>
      </c>
      <c r="H722" s="131" t="str">
        <f aca="false">IF($R722="✓","✓",IF(ISNUMBER($R722),TEXT($R722,"yyyy-mm-dd"),IF($A722="","",IF($D722="Lisbonne","",IF(SUMPRODUCT(('Agences &amp; Après-vente'!$A$2:$A$1000=$A722)*(('Agences &amp; Après-vente'!$D$2:$D$1000="Agences")+('Agences &amp; Après-vente'!$D$2:$D$1000="Agences et Après-vente"))*('Agences &amp; Après-vente'!$I$2:$I$1000="DONE"))&gt;0,"✓",IF(SUMPRODUCT(MAX(('Agences &amp; Après-vente'!$A$2:$A$1000=$A722)*(('Agences &amp; Après-vente'!$D$2:$D$1000="Agences")+('Agences &amp; Après-vente'!$D$2:$D$1000="Agences et Après-vente"))*'Agences &amp; Après-vente'!$E$2:$E$1000))&gt;0,TEXT(SUMPRODUCT(MAX(('Agences &amp; Après-vente'!$A$2:$A$1000=$A722)*(('Agences &amp; Après-vente'!$D$2:$D$1000="Agences")+('Agences &amp; Après-vente'!$D$2:$D$1000="Agences et Après-vente"))*'Agences &amp; Après-vente'!$E$2:$E$1000)),"yyyy-mm-dd"),""))))))</f>
        <v/>
      </c>
      <c r="I722" s="131" t="str">
        <f aca="false">IF($S722="✓","✓",IF(ISNUMBER($S722),TEXT($S722,"yyyy-mm-dd"),IF($A722="","",IF(SUMPRODUCT(('Agences &amp; Après-vente'!$A$2:$A$1000=$A722)*(('Agences &amp; Après-vente'!$D$2:$D$1000="Après-vente")+('Agences &amp; Après-vente'!$D$2:$D$1000="Agences et Après-vente"))*('Agences &amp; Après-vente'!$I$2:$I$1000="DONE"))&gt;0,"✓",IF(SUMPRODUCT(MAX(('Agences &amp; Après-vente'!$A$2:$A$1000=$A722)*(('Agences &amp; Après-vente'!$D$2:$D$1000="Après-vente")+('Agences &amp; Après-vente'!$D$2:$D$1000="Agences et Après-vente"))*'Agences &amp; Après-vente'!$E$2:$E$1000))&gt;0,TEXT(SUMPRODUCT(MAX(('Agences &amp; Après-vente'!$A$2:$A$1000=$A722)*(('Agences &amp; Après-vente'!$D$2:$D$1000="Après-vente")+('Agences &amp; Après-vente'!$D$2:$D$1000="Agences et Après-vente"))*'Agences &amp; Après-vente'!$E$2:$E$1000)),"yyyy-mm-dd"),"")))))</f>
        <v/>
      </c>
      <c r="J722" s="131" t="str">
        <f aca="false">IF($T722="✓","✓",IF(ISNUMBER($T722),TEXT($T722,"yyyy-mm-dd"),IF($A722="","",IF($D722="Lisbonne","",IF(SUMPRODUCT(('Agences &amp; Après-vente'!$A$2:$A$1000=$A722)*(('Agences &amp; Après-vente'!$D$2:$D$1000="Après-vente")+('Agences &amp; Après-vente'!$D$2:$D$1000="Agences et Après-vente"))*('Agences &amp; Après-vente'!$I$2:$I$1000="DONE"))&gt;0,"✓",IF(SUMPRODUCT(MAX(('Agences &amp; Après-vente'!$A$2:$A$1000=$A722)*(('Agences &amp; Après-vente'!$D$2:$D$1000="Après-vente")+('Agences &amp; Après-vente'!$D$2:$D$1000="Agences et Après-vente"))*'Agences &amp; Après-vente'!$E$2:$E$1000))&gt;0,TEXT(SUMPRODUCT(MAX(('Agences &amp; Après-vente'!$A$2:$A$1000=$A722)*(('Agences &amp; Après-vente'!$D$2:$D$1000="Après-vente")+('Agences &amp; Après-vente'!$D$2:$D$1000="Agences et Après-vente"))*'Agences &amp; Après-vente'!$E$2:$E$1000)),"yyyy-mm-dd"),""))))))</f>
        <v/>
      </c>
      <c r="K722" s="131" t="str">
        <f aca="false">IF($U722="✓","✓",IF(ISNUMBER($U722),TEXT($U722,"yyyy-mm-dd"),IF($D722="Lisbonne","",IF($A722="","",IF(SUMPRODUCT((Evermont!$A$2:$A$1000=$A722)*(Evermont!$Q$2:$Q$1000="Terminé"))&gt;0,"✓",IF(SUMPRODUCT(MAX((Evermont!$A$2:$A$1000=$A722)*Evermont!$F$2:$F$1000))&gt;0,TEXT(SUMPRODUCT(MAX((Evermont!$A$2:$A$1000=$A722)*Evermont!$F$2:$F$1000)),"yyyy-mm-dd"),""))))))</f>
        <v/>
      </c>
      <c r="L722" s="131" t="str">
        <f aca="false">IF($A722="","",COUNTIF(E722:K722,"✓"))</f>
        <v/>
      </c>
      <c r="M722" s="131" t="str">
        <f aca="false">IF(B722="","","Active")</f>
        <v/>
      </c>
      <c r="W722" s="120" t="str">
        <f aca="false">IF($A722="","",IF($X722&lt;&gt;"",$X722,IFERROR(INDEX('Formation Initiale'!$B$2:$B$999,MATCH($A722,'Formation Initiale'!$A$2:$A$999,0)),"Général")))</f>
        <v/>
      </c>
    </row>
    <row r="723" customFormat="false" ht="15" hidden="true" customHeight="true" outlineLevel="0" collapsed="false">
      <c r="A723" s="142" t="str">
        <f aca="false">IF(B723="","","TR"&amp;TEXT(ROW()-1,"000"))</f>
        <v/>
      </c>
      <c r="E723" s="130" t="str">
        <f aca="false">IF($O723="✓","✓",IF(ISNUMBER($O723),TEXT($O723,"yyyy-mm-dd"),IF($A723="","",IF(SUMPRODUCT(('Formation Initiale'!$A$2:$A$999=$A723)*('Formation Initiale'!$R$2:$R$999="Terminé"))&gt;0,"✓",IF(SUMPRODUCT(MAX(('Formation Initiale'!$A$2:$A$999=$A723)*'Formation Initiale'!$G$2:$G$999))&gt;0,TEXT(SUMPRODUCT(MAX(('Formation Initiale'!$A$2:$A$999=$A723)*'Formation Initiale'!$G$2:$G$999)),"yyyy-mm-dd"),"")))))</f>
        <v/>
      </c>
      <c r="F723" s="131" t="str">
        <f aca="false">IF($P723="✓","✓",IF(ISNUMBER($P723),TEXT($P723,"yyyy-mm-dd"),IF($A723="","",IF($D723="Lisbonne","",IF(SUMPRODUCT(('Formation Initiale'!$A$2:$A$999=$A723)*('Formation Initiale'!$R$2:$R$999="Terminé"))&gt;0,"✓",IF(SUMPRODUCT(MAX(('Formation Initiale'!$A$2:$A$999=$A723)*'Formation Initiale'!$G$2:$G$999))&gt;0,TEXT(SUMPRODUCT(MAX(('Formation Initiale'!$A$2:$A$999=$A723)*'Formation Initiale'!$G$2:$G$999)),"yyyy-mm-dd"),""))))))</f>
        <v/>
      </c>
      <c r="G723" s="131" t="str">
        <f aca="false">IF($Q723="✓","✓",IF(ISNUMBER($Q723),TEXT($Q723,"yyyy-mm-dd"),IF($A723="","",IF(SUMPRODUCT(('Agences &amp; Après-vente'!$A$2:$A$1000=$A723)*(('Agences &amp; Après-vente'!$D$2:$D$1000="Agences")+('Agences &amp; Après-vente'!$D$2:$D$1000="Agences et Après-vente"))*('Agences &amp; Après-vente'!$I$2:$I$1000="DONE"))&gt;0,"✓",IF(SUMPRODUCT(MAX(('Agences &amp; Après-vente'!$A$2:$A$1000=$A723)*(('Agences &amp; Après-vente'!$D$2:$D$1000="Agences")+('Agences &amp; Après-vente'!$D$2:$D$1000="Agences et Après-vente"))*'Agences &amp; Après-vente'!$E$2:$E$1000))&gt;0,TEXT(SUMPRODUCT(MAX(('Agences &amp; Après-vente'!$A$2:$A$1000=$A723)*(('Agences &amp; Après-vente'!$D$2:$D$1000="Agences")+('Agences &amp; Après-vente'!$D$2:$D$1000="Agences et Après-vente"))*'Agences &amp; Après-vente'!$E$2:$E$1000)),"yyyy-mm-dd"),"")))))</f>
        <v/>
      </c>
      <c r="H723" s="131" t="str">
        <f aca="false">IF($R723="✓","✓",IF(ISNUMBER($R723),TEXT($R723,"yyyy-mm-dd"),IF($A723="","",IF($D723="Lisbonne","",IF(SUMPRODUCT(('Agences &amp; Après-vente'!$A$2:$A$1000=$A723)*(('Agences &amp; Après-vente'!$D$2:$D$1000="Agences")+('Agences &amp; Après-vente'!$D$2:$D$1000="Agences et Après-vente"))*('Agences &amp; Après-vente'!$I$2:$I$1000="DONE"))&gt;0,"✓",IF(SUMPRODUCT(MAX(('Agences &amp; Après-vente'!$A$2:$A$1000=$A723)*(('Agences &amp; Après-vente'!$D$2:$D$1000="Agences")+('Agences &amp; Après-vente'!$D$2:$D$1000="Agences et Après-vente"))*'Agences &amp; Après-vente'!$E$2:$E$1000))&gt;0,TEXT(SUMPRODUCT(MAX(('Agences &amp; Après-vente'!$A$2:$A$1000=$A723)*(('Agences &amp; Après-vente'!$D$2:$D$1000="Agences")+('Agences &amp; Après-vente'!$D$2:$D$1000="Agences et Après-vente"))*'Agences &amp; Après-vente'!$E$2:$E$1000)),"yyyy-mm-dd"),""))))))</f>
        <v/>
      </c>
      <c r="I723" s="131" t="str">
        <f aca="false">IF($S723="✓","✓",IF(ISNUMBER($S723),TEXT($S723,"yyyy-mm-dd"),IF($A723="","",IF(SUMPRODUCT(('Agences &amp; Après-vente'!$A$2:$A$1000=$A723)*(('Agences &amp; Après-vente'!$D$2:$D$1000="Après-vente")+('Agences &amp; Après-vente'!$D$2:$D$1000="Agences et Après-vente"))*('Agences &amp; Après-vente'!$I$2:$I$1000="DONE"))&gt;0,"✓",IF(SUMPRODUCT(MAX(('Agences &amp; Après-vente'!$A$2:$A$1000=$A723)*(('Agences &amp; Après-vente'!$D$2:$D$1000="Après-vente")+('Agences &amp; Après-vente'!$D$2:$D$1000="Agences et Après-vente"))*'Agences &amp; Après-vente'!$E$2:$E$1000))&gt;0,TEXT(SUMPRODUCT(MAX(('Agences &amp; Après-vente'!$A$2:$A$1000=$A723)*(('Agences &amp; Après-vente'!$D$2:$D$1000="Après-vente")+('Agences &amp; Après-vente'!$D$2:$D$1000="Agences et Après-vente"))*'Agences &amp; Après-vente'!$E$2:$E$1000)),"yyyy-mm-dd"),"")))))</f>
        <v/>
      </c>
      <c r="J723" s="131" t="str">
        <f aca="false">IF($T723="✓","✓",IF(ISNUMBER($T723),TEXT($T723,"yyyy-mm-dd"),IF($A723="","",IF($D723="Lisbonne","",IF(SUMPRODUCT(('Agences &amp; Après-vente'!$A$2:$A$1000=$A723)*(('Agences &amp; Après-vente'!$D$2:$D$1000="Après-vente")+('Agences &amp; Après-vente'!$D$2:$D$1000="Agences et Après-vente"))*('Agences &amp; Après-vente'!$I$2:$I$1000="DONE"))&gt;0,"✓",IF(SUMPRODUCT(MAX(('Agences &amp; Après-vente'!$A$2:$A$1000=$A723)*(('Agences &amp; Après-vente'!$D$2:$D$1000="Après-vente")+('Agences &amp; Après-vente'!$D$2:$D$1000="Agences et Après-vente"))*'Agences &amp; Après-vente'!$E$2:$E$1000))&gt;0,TEXT(SUMPRODUCT(MAX(('Agences &amp; Après-vente'!$A$2:$A$1000=$A723)*(('Agences &amp; Après-vente'!$D$2:$D$1000="Après-vente")+('Agences &amp; Après-vente'!$D$2:$D$1000="Agences et Après-vente"))*'Agences &amp; Après-vente'!$E$2:$E$1000)),"yyyy-mm-dd"),""))))))</f>
        <v/>
      </c>
      <c r="K723" s="131" t="str">
        <f aca="false">IF($U723="✓","✓",IF(ISNUMBER($U723),TEXT($U723,"yyyy-mm-dd"),IF($D723="Lisbonne","",IF($A723="","",IF(SUMPRODUCT((Evermont!$A$2:$A$1000=$A723)*(Evermont!$Q$2:$Q$1000="Terminé"))&gt;0,"✓",IF(SUMPRODUCT(MAX((Evermont!$A$2:$A$1000=$A723)*Evermont!$F$2:$F$1000))&gt;0,TEXT(SUMPRODUCT(MAX((Evermont!$A$2:$A$1000=$A723)*Evermont!$F$2:$F$1000)),"yyyy-mm-dd"),""))))))</f>
        <v/>
      </c>
      <c r="L723" s="131" t="str">
        <f aca="false">IF($A723="","",COUNTIF(E723:K723,"✓"))</f>
        <v/>
      </c>
      <c r="M723" s="131" t="str">
        <f aca="false">IF(B723="","","Active")</f>
        <v/>
      </c>
      <c r="W723" s="120" t="str">
        <f aca="false">IF($A723="","",IF($X723&lt;&gt;"",$X723,IFERROR(INDEX('Formation Initiale'!$B$2:$B$999,MATCH($A723,'Formation Initiale'!$A$2:$A$999,0)),"Général")))</f>
        <v/>
      </c>
    </row>
    <row r="724" customFormat="false" ht="15" hidden="true" customHeight="true" outlineLevel="0" collapsed="false">
      <c r="A724" s="142" t="str">
        <f aca="false">IF(B724="","","TR"&amp;TEXT(ROW()-1,"000"))</f>
        <v/>
      </c>
      <c r="E724" s="130" t="str">
        <f aca="false">IF($O724="✓","✓",IF(ISNUMBER($O724),TEXT($O724,"yyyy-mm-dd"),IF($A724="","",IF(SUMPRODUCT(('Formation Initiale'!$A$2:$A$999=$A724)*('Formation Initiale'!$R$2:$R$999="Terminé"))&gt;0,"✓",IF(SUMPRODUCT(MAX(('Formation Initiale'!$A$2:$A$999=$A724)*'Formation Initiale'!$G$2:$G$999))&gt;0,TEXT(SUMPRODUCT(MAX(('Formation Initiale'!$A$2:$A$999=$A724)*'Formation Initiale'!$G$2:$G$999)),"yyyy-mm-dd"),"")))))</f>
        <v/>
      </c>
      <c r="F724" s="131" t="str">
        <f aca="false">IF($P724="✓","✓",IF(ISNUMBER($P724),TEXT($P724,"yyyy-mm-dd"),IF($A724="","",IF($D724="Lisbonne","",IF(SUMPRODUCT(('Formation Initiale'!$A$2:$A$999=$A724)*('Formation Initiale'!$R$2:$R$999="Terminé"))&gt;0,"✓",IF(SUMPRODUCT(MAX(('Formation Initiale'!$A$2:$A$999=$A724)*'Formation Initiale'!$G$2:$G$999))&gt;0,TEXT(SUMPRODUCT(MAX(('Formation Initiale'!$A$2:$A$999=$A724)*'Formation Initiale'!$G$2:$G$999)),"yyyy-mm-dd"),""))))))</f>
        <v/>
      </c>
      <c r="G724" s="131" t="str">
        <f aca="false">IF($Q724="✓","✓",IF(ISNUMBER($Q724),TEXT($Q724,"yyyy-mm-dd"),IF($A724="","",IF(SUMPRODUCT(('Agences &amp; Après-vente'!$A$2:$A$1000=$A724)*(('Agences &amp; Après-vente'!$D$2:$D$1000="Agences")+('Agences &amp; Après-vente'!$D$2:$D$1000="Agences et Après-vente"))*('Agences &amp; Après-vente'!$I$2:$I$1000="DONE"))&gt;0,"✓",IF(SUMPRODUCT(MAX(('Agences &amp; Après-vente'!$A$2:$A$1000=$A724)*(('Agences &amp; Après-vente'!$D$2:$D$1000="Agences")+('Agences &amp; Après-vente'!$D$2:$D$1000="Agences et Après-vente"))*'Agences &amp; Après-vente'!$E$2:$E$1000))&gt;0,TEXT(SUMPRODUCT(MAX(('Agences &amp; Après-vente'!$A$2:$A$1000=$A724)*(('Agences &amp; Après-vente'!$D$2:$D$1000="Agences")+('Agences &amp; Après-vente'!$D$2:$D$1000="Agences et Après-vente"))*'Agences &amp; Après-vente'!$E$2:$E$1000)),"yyyy-mm-dd"),"")))))</f>
        <v/>
      </c>
      <c r="H724" s="131" t="str">
        <f aca="false">IF($R724="✓","✓",IF(ISNUMBER($R724),TEXT($R724,"yyyy-mm-dd"),IF($A724="","",IF($D724="Lisbonne","",IF(SUMPRODUCT(('Agences &amp; Après-vente'!$A$2:$A$1000=$A724)*(('Agences &amp; Après-vente'!$D$2:$D$1000="Agences")+('Agences &amp; Après-vente'!$D$2:$D$1000="Agences et Après-vente"))*('Agences &amp; Après-vente'!$I$2:$I$1000="DONE"))&gt;0,"✓",IF(SUMPRODUCT(MAX(('Agences &amp; Après-vente'!$A$2:$A$1000=$A724)*(('Agences &amp; Après-vente'!$D$2:$D$1000="Agences")+('Agences &amp; Après-vente'!$D$2:$D$1000="Agences et Après-vente"))*'Agences &amp; Après-vente'!$E$2:$E$1000))&gt;0,TEXT(SUMPRODUCT(MAX(('Agences &amp; Après-vente'!$A$2:$A$1000=$A724)*(('Agences &amp; Après-vente'!$D$2:$D$1000="Agences")+('Agences &amp; Après-vente'!$D$2:$D$1000="Agences et Après-vente"))*'Agences &amp; Après-vente'!$E$2:$E$1000)),"yyyy-mm-dd"),""))))))</f>
        <v/>
      </c>
      <c r="I724" s="131" t="str">
        <f aca="false">IF($S724="✓","✓",IF(ISNUMBER($S724),TEXT($S724,"yyyy-mm-dd"),IF($A724="","",IF(SUMPRODUCT(('Agences &amp; Après-vente'!$A$2:$A$1000=$A724)*(('Agences &amp; Après-vente'!$D$2:$D$1000="Après-vente")+('Agences &amp; Après-vente'!$D$2:$D$1000="Agences et Après-vente"))*('Agences &amp; Après-vente'!$I$2:$I$1000="DONE"))&gt;0,"✓",IF(SUMPRODUCT(MAX(('Agences &amp; Après-vente'!$A$2:$A$1000=$A724)*(('Agences &amp; Après-vente'!$D$2:$D$1000="Après-vente")+('Agences &amp; Après-vente'!$D$2:$D$1000="Agences et Après-vente"))*'Agences &amp; Après-vente'!$E$2:$E$1000))&gt;0,TEXT(SUMPRODUCT(MAX(('Agences &amp; Après-vente'!$A$2:$A$1000=$A724)*(('Agences &amp; Après-vente'!$D$2:$D$1000="Après-vente")+('Agences &amp; Après-vente'!$D$2:$D$1000="Agences et Après-vente"))*'Agences &amp; Après-vente'!$E$2:$E$1000)),"yyyy-mm-dd"),"")))))</f>
        <v/>
      </c>
      <c r="J724" s="131" t="str">
        <f aca="false">IF($T724="✓","✓",IF(ISNUMBER($T724),TEXT($T724,"yyyy-mm-dd"),IF($A724="","",IF($D724="Lisbonne","",IF(SUMPRODUCT(('Agences &amp; Après-vente'!$A$2:$A$1000=$A724)*(('Agences &amp; Après-vente'!$D$2:$D$1000="Après-vente")+('Agences &amp; Après-vente'!$D$2:$D$1000="Agences et Après-vente"))*('Agences &amp; Après-vente'!$I$2:$I$1000="DONE"))&gt;0,"✓",IF(SUMPRODUCT(MAX(('Agences &amp; Après-vente'!$A$2:$A$1000=$A724)*(('Agences &amp; Après-vente'!$D$2:$D$1000="Après-vente")+('Agences &amp; Après-vente'!$D$2:$D$1000="Agences et Après-vente"))*'Agences &amp; Après-vente'!$E$2:$E$1000))&gt;0,TEXT(SUMPRODUCT(MAX(('Agences &amp; Après-vente'!$A$2:$A$1000=$A724)*(('Agences &amp; Après-vente'!$D$2:$D$1000="Après-vente")+('Agences &amp; Après-vente'!$D$2:$D$1000="Agences et Après-vente"))*'Agences &amp; Après-vente'!$E$2:$E$1000)),"yyyy-mm-dd"),""))))))</f>
        <v/>
      </c>
      <c r="K724" s="131" t="str">
        <f aca="false">IF($U724="✓","✓",IF(ISNUMBER($U724),TEXT($U724,"yyyy-mm-dd"),IF($D724="Lisbonne","",IF($A724="","",IF(SUMPRODUCT((Evermont!$A$2:$A$1000=$A724)*(Evermont!$Q$2:$Q$1000="Terminé"))&gt;0,"✓",IF(SUMPRODUCT(MAX((Evermont!$A$2:$A$1000=$A724)*Evermont!$F$2:$F$1000))&gt;0,TEXT(SUMPRODUCT(MAX((Evermont!$A$2:$A$1000=$A724)*Evermont!$F$2:$F$1000)),"yyyy-mm-dd"),""))))))</f>
        <v/>
      </c>
      <c r="L724" s="131" t="str">
        <f aca="false">IF($A724="","",COUNTIF(E724:K724,"✓"))</f>
        <v/>
      </c>
      <c r="M724" s="131" t="str">
        <f aca="false">IF(B724="","","Active")</f>
        <v/>
      </c>
      <c r="W724" s="120" t="str">
        <f aca="false">IF($A724="","",IF($X724&lt;&gt;"",$X724,IFERROR(INDEX('Formation Initiale'!$B$2:$B$999,MATCH($A724,'Formation Initiale'!$A$2:$A$999,0)),"Général")))</f>
        <v/>
      </c>
    </row>
    <row r="725" customFormat="false" ht="15" hidden="true" customHeight="true" outlineLevel="0" collapsed="false">
      <c r="A725" s="142" t="str">
        <f aca="false">IF(B725="","","TR"&amp;TEXT(ROW()-1,"000"))</f>
        <v/>
      </c>
      <c r="E725" s="130" t="str">
        <f aca="false">IF($O725="✓","✓",IF(ISNUMBER($O725),TEXT($O725,"yyyy-mm-dd"),IF($A725="","",IF(SUMPRODUCT(('Formation Initiale'!$A$2:$A$999=$A725)*('Formation Initiale'!$R$2:$R$999="Terminé"))&gt;0,"✓",IF(SUMPRODUCT(MAX(('Formation Initiale'!$A$2:$A$999=$A725)*'Formation Initiale'!$G$2:$G$999))&gt;0,TEXT(SUMPRODUCT(MAX(('Formation Initiale'!$A$2:$A$999=$A725)*'Formation Initiale'!$G$2:$G$999)),"yyyy-mm-dd"),"")))))</f>
        <v/>
      </c>
      <c r="F725" s="131" t="str">
        <f aca="false">IF($P725="✓","✓",IF(ISNUMBER($P725),TEXT($P725,"yyyy-mm-dd"),IF($A725="","",IF($D725="Lisbonne","",IF(SUMPRODUCT(('Formation Initiale'!$A$2:$A$999=$A725)*('Formation Initiale'!$R$2:$R$999="Terminé"))&gt;0,"✓",IF(SUMPRODUCT(MAX(('Formation Initiale'!$A$2:$A$999=$A725)*'Formation Initiale'!$G$2:$G$999))&gt;0,TEXT(SUMPRODUCT(MAX(('Formation Initiale'!$A$2:$A$999=$A725)*'Formation Initiale'!$G$2:$G$999)),"yyyy-mm-dd"),""))))))</f>
        <v/>
      </c>
      <c r="G725" s="131" t="str">
        <f aca="false">IF($Q725="✓","✓",IF(ISNUMBER($Q725),TEXT($Q725,"yyyy-mm-dd"),IF($A725="","",IF(SUMPRODUCT(('Agences &amp; Après-vente'!$A$2:$A$1000=$A725)*(('Agences &amp; Après-vente'!$D$2:$D$1000="Agences")+('Agences &amp; Après-vente'!$D$2:$D$1000="Agences et Après-vente"))*('Agences &amp; Après-vente'!$I$2:$I$1000="DONE"))&gt;0,"✓",IF(SUMPRODUCT(MAX(('Agences &amp; Après-vente'!$A$2:$A$1000=$A725)*(('Agences &amp; Après-vente'!$D$2:$D$1000="Agences")+('Agences &amp; Après-vente'!$D$2:$D$1000="Agences et Après-vente"))*'Agences &amp; Après-vente'!$E$2:$E$1000))&gt;0,TEXT(SUMPRODUCT(MAX(('Agences &amp; Après-vente'!$A$2:$A$1000=$A725)*(('Agences &amp; Après-vente'!$D$2:$D$1000="Agences")+('Agences &amp; Après-vente'!$D$2:$D$1000="Agences et Après-vente"))*'Agences &amp; Après-vente'!$E$2:$E$1000)),"yyyy-mm-dd"),"")))))</f>
        <v/>
      </c>
      <c r="H725" s="131" t="str">
        <f aca="false">IF($R725="✓","✓",IF(ISNUMBER($R725),TEXT($R725,"yyyy-mm-dd"),IF($A725="","",IF($D725="Lisbonne","",IF(SUMPRODUCT(('Agences &amp; Après-vente'!$A$2:$A$1000=$A725)*(('Agences &amp; Après-vente'!$D$2:$D$1000="Agences")+('Agences &amp; Après-vente'!$D$2:$D$1000="Agences et Après-vente"))*('Agences &amp; Après-vente'!$I$2:$I$1000="DONE"))&gt;0,"✓",IF(SUMPRODUCT(MAX(('Agences &amp; Après-vente'!$A$2:$A$1000=$A725)*(('Agences &amp; Après-vente'!$D$2:$D$1000="Agences")+('Agences &amp; Après-vente'!$D$2:$D$1000="Agences et Après-vente"))*'Agences &amp; Après-vente'!$E$2:$E$1000))&gt;0,TEXT(SUMPRODUCT(MAX(('Agences &amp; Après-vente'!$A$2:$A$1000=$A725)*(('Agences &amp; Après-vente'!$D$2:$D$1000="Agences")+('Agences &amp; Après-vente'!$D$2:$D$1000="Agences et Après-vente"))*'Agences &amp; Après-vente'!$E$2:$E$1000)),"yyyy-mm-dd"),""))))))</f>
        <v/>
      </c>
      <c r="I725" s="131" t="str">
        <f aca="false">IF($S725="✓","✓",IF(ISNUMBER($S725),TEXT($S725,"yyyy-mm-dd"),IF($A725="","",IF(SUMPRODUCT(('Agences &amp; Après-vente'!$A$2:$A$1000=$A725)*(('Agences &amp; Après-vente'!$D$2:$D$1000="Après-vente")+('Agences &amp; Après-vente'!$D$2:$D$1000="Agences et Après-vente"))*('Agences &amp; Après-vente'!$I$2:$I$1000="DONE"))&gt;0,"✓",IF(SUMPRODUCT(MAX(('Agences &amp; Après-vente'!$A$2:$A$1000=$A725)*(('Agences &amp; Après-vente'!$D$2:$D$1000="Après-vente")+('Agences &amp; Après-vente'!$D$2:$D$1000="Agences et Après-vente"))*'Agences &amp; Après-vente'!$E$2:$E$1000))&gt;0,TEXT(SUMPRODUCT(MAX(('Agences &amp; Après-vente'!$A$2:$A$1000=$A725)*(('Agences &amp; Après-vente'!$D$2:$D$1000="Après-vente")+('Agences &amp; Après-vente'!$D$2:$D$1000="Agences et Après-vente"))*'Agences &amp; Après-vente'!$E$2:$E$1000)),"yyyy-mm-dd"),"")))))</f>
        <v/>
      </c>
      <c r="J725" s="131" t="str">
        <f aca="false">IF($T725="✓","✓",IF(ISNUMBER($T725),TEXT($T725,"yyyy-mm-dd"),IF($A725="","",IF($D725="Lisbonne","",IF(SUMPRODUCT(('Agences &amp; Après-vente'!$A$2:$A$1000=$A725)*(('Agences &amp; Après-vente'!$D$2:$D$1000="Après-vente")+('Agences &amp; Après-vente'!$D$2:$D$1000="Agences et Après-vente"))*('Agences &amp; Après-vente'!$I$2:$I$1000="DONE"))&gt;0,"✓",IF(SUMPRODUCT(MAX(('Agences &amp; Après-vente'!$A$2:$A$1000=$A725)*(('Agences &amp; Après-vente'!$D$2:$D$1000="Après-vente")+('Agences &amp; Après-vente'!$D$2:$D$1000="Agences et Après-vente"))*'Agences &amp; Après-vente'!$E$2:$E$1000))&gt;0,TEXT(SUMPRODUCT(MAX(('Agences &amp; Après-vente'!$A$2:$A$1000=$A725)*(('Agences &amp; Après-vente'!$D$2:$D$1000="Après-vente")+('Agences &amp; Après-vente'!$D$2:$D$1000="Agences et Après-vente"))*'Agences &amp; Après-vente'!$E$2:$E$1000)),"yyyy-mm-dd"),""))))))</f>
        <v/>
      </c>
      <c r="K725" s="131" t="str">
        <f aca="false">IF($U725="✓","✓",IF(ISNUMBER($U725),TEXT($U725,"yyyy-mm-dd"),IF($D725="Lisbonne","",IF($A725="","",IF(SUMPRODUCT((Evermont!$A$2:$A$1000=$A725)*(Evermont!$Q$2:$Q$1000="Terminé"))&gt;0,"✓",IF(SUMPRODUCT(MAX((Evermont!$A$2:$A$1000=$A725)*Evermont!$F$2:$F$1000))&gt;0,TEXT(SUMPRODUCT(MAX((Evermont!$A$2:$A$1000=$A725)*Evermont!$F$2:$F$1000)),"yyyy-mm-dd"),""))))))</f>
        <v/>
      </c>
      <c r="L725" s="131" t="str">
        <f aca="false">IF($A725="","",COUNTIF(E725:K725,"✓"))</f>
        <v/>
      </c>
      <c r="M725" s="131" t="str">
        <f aca="false">IF(B725="","","Active")</f>
        <v/>
      </c>
      <c r="W725" s="120" t="str">
        <f aca="false">IF($A725="","",IF($X725&lt;&gt;"",$X725,IFERROR(INDEX('Formation Initiale'!$B$2:$B$999,MATCH($A725,'Formation Initiale'!$A$2:$A$999,0)),"Général")))</f>
        <v/>
      </c>
    </row>
    <row r="726" customFormat="false" ht="15" hidden="true" customHeight="true" outlineLevel="0" collapsed="false">
      <c r="A726" s="142" t="str">
        <f aca="false">IF(B726="","","TR"&amp;TEXT(ROW()-1,"000"))</f>
        <v/>
      </c>
      <c r="E726" s="130" t="str">
        <f aca="false">IF($O726="✓","✓",IF(ISNUMBER($O726),TEXT($O726,"yyyy-mm-dd"),IF($A726="","",IF(SUMPRODUCT(('Formation Initiale'!$A$2:$A$999=$A726)*('Formation Initiale'!$R$2:$R$999="Terminé"))&gt;0,"✓",IF(SUMPRODUCT(MAX(('Formation Initiale'!$A$2:$A$999=$A726)*'Formation Initiale'!$G$2:$G$999))&gt;0,TEXT(SUMPRODUCT(MAX(('Formation Initiale'!$A$2:$A$999=$A726)*'Formation Initiale'!$G$2:$G$999)),"yyyy-mm-dd"),"")))))</f>
        <v/>
      </c>
      <c r="F726" s="131" t="str">
        <f aca="false">IF($P726="✓","✓",IF(ISNUMBER($P726),TEXT($P726,"yyyy-mm-dd"),IF($A726="","",IF($D726="Lisbonne","",IF(SUMPRODUCT(('Formation Initiale'!$A$2:$A$999=$A726)*('Formation Initiale'!$R$2:$R$999="Terminé"))&gt;0,"✓",IF(SUMPRODUCT(MAX(('Formation Initiale'!$A$2:$A$999=$A726)*'Formation Initiale'!$G$2:$G$999))&gt;0,TEXT(SUMPRODUCT(MAX(('Formation Initiale'!$A$2:$A$999=$A726)*'Formation Initiale'!$G$2:$G$999)),"yyyy-mm-dd"),""))))))</f>
        <v/>
      </c>
      <c r="G726" s="131" t="str">
        <f aca="false">IF($Q726="✓","✓",IF(ISNUMBER($Q726),TEXT($Q726,"yyyy-mm-dd"),IF($A726="","",IF(SUMPRODUCT(('Agences &amp; Après-vente'!$A$2:$A$1000=$A726)*(('Agences &amp; Après-vente'!$D$2:$D$1000="Agences")+('Agences &amp; Après-vente'!$D$2:$D$1000="Agences et Après-vente"))*('Agences &amp; Après-vente'!$I$2:$I$1000="DONE"))&gt;0,"✓",IF(SUMPRODUCT(MAX(('Agences &amp; Après-vente'!$A$2:$A$1000=$A726)*(('Agences &amp; Après-vente'!$D$2:$D$1000="Agences")+('Agences &amp; Après-vente'!$D$2:$D$1000="Agences et Après-vente"))*'Agences &amp; Après-vente'!$E$2:$E$1000))&gt;0,TEXT(SUMPRODUCT(MAX(('Agences &amp; Après-vente'!$A$2:$A$1000=$A726)*(('Agences &amp; Après-vente'!$D$2:$D$1000="Agences")+('Agences &amp; Après-vente'!$D$2:$D$1000="Agences et Après-vente"))*'Agences &amp; Après-vente'!$E$2:$E$1000)),"yyyy-mm-dd"),"")))))</f>
        <v/>
      </c>
      <c r="H726" s="131" t="str">
        <f aca="false">IF($R726="✓","✓",IF(ISNUMBER($R726),TEXT($R726,"yyyy-mm-dd"),IF($A726="","",IF($D726="Lisbonne","",IF(SUMPRODUCT(('Agences &amp; Après-vente'!$A$2:$A$1000=$A726)*(('Agences &amp; Après-vente'!$D$2:$D$1000="Agences")+('Agences &amp; Après-vente'!$D$2:$D$1000="Agences et Après-vente"))*('Agences &amp; Après-vente'!$I$2:$I$1000="DONE"))&gt;0,"✓",IF(SUMPRODUCT(MAX(('Agences &amp; Après-vente'!$A$2:$A$1000=$A726)*(('Agences &amp; Après-vente'!$D$2:$D$1000="Agences")+('Agences &amp; Après-vente'!$D$2:$D$1000="Agences et Après-vente"))*'Agences &amp; Après-vente'!$E$2:$E$1000))&gt;0,TEXT(SUMPRODUCT(MAX(('Agences &amp; Après-vente'!$A$2:$A$1000=$A726)*(('Agences &amp; Après-vente'!$D$2:$D$1000="Agences")+('Agences &amp; Après-vente'!$D$2:$D$1000="Agences et Après-vente"))*'Agences &amp; Après-vente'!$E$2:$E$1000)),"yyyy-mm-dd"),""))))))</f>
        <v/>
      </c>
      <c r="I726" s="131" t="str">
        <f aca="false">IF($S726="✓","✓",IF(ISNUMBER($S726),TEXT($S726,"yyyy-mm-dd"),IF($A726="","",IF(SUMPRODUCT(('Agences &amp; Après-vente'!$A$2:$A$1000=$A726)*(('Agences &amp; Après-vente'!$D$2:$D$1000="Après-vente")+('Agences &amp; Après-vente'!$D$2:$D$1000="Agences et Après-vente"))*('Agences &amp; Après-vente'!$I$2:$I$1000="DONE"))&gt;0,"✓",IF(SUMPRODUCT(MAX(('Agences &amp; Après-vente'!$A$2:$A$1000=$A726)*(('Agences &amp; Après-vente'!$D$2:$D$1000="Après-vente")+('Agences &amp; Après-vente'!$D$2:$D$1000="Agences et Après-vente"))*'Agences &amp; Après-vente'!$E$2:$E$1000))&gt;0,TEXT(SUMPRODUCT(MAX(('Agences &amp; Après-vente'!$A$2:$A$1000=$A726)*(('Agences &amp; Après-vente'!$D$2:$D$1000="Après-vente")+('Agences &amp; Après-vente'!$D$2:$D$1000="Agences et Après-vente"))*'Agences &amp; Après-vente'!$E$2:$E$1000)),"yyyy-mm-dd"),"")))))</f>
        <v/>
      </c>
      <c r="J726" s="131" t="str">
        <f aca="false">IF($T726="✓","✓",IF(ISNUMBER($T726),TEXT($T726,"yyyy-mm-dd"),IF($A726="","",IF($D726="Lisbonne","",IF(SUMPRODUCT(('Agences &amp; Après-vente'!$A$2:$A$1000=$A726)*(('Agences &amp; Après-vente'!$D$2:$D$1000="Après-vente")+('Agences &amp; Après-vente'!$D$2:$D$1000="Agences et Après-vente"))*('Agences &amp; Après-vente'!$I$2:$I$1000="DONE"))&gt;0,"✓",IF(SUMPRODUCT(MAX(('Agences &amp; Après-vente'!$A$2:$A$1000=$A726)*(('Agences &amp; Après-vente'!$D$2:$D$1000="Après-vente")+('Agences &amp; Après-vente'!$D$2:$D$1000="Agences et Après-vente"))*'Agences &amp; Après-vente'!$E$2:$E$1000))&gt;0,TEXT(SUMPRODUCT(MAX(('Agences &amp; Après-vente'!$A$2:$A$1000=$A726)*(('Agences &amp; Après-vente'!$D$2:$D$1000="Après-vente")+('Agences &amp; Après-vente'!$D$2:$D$1000="Agences et Après-vente"))*'Agences &amp; Après-vente'!$E$2:$E$1000)),"yyyy-mm-dd"),""))))))</f>
        <v/>
      </c>
      <c r="K726" s="131" t="str">
        <f aca="false">IF($U726="✓","✓",IF(ISNUMBER($U726),TEXT($U726,"yyyy-mm-dd"),IF($D726="Lisbonne","",IF($A726="","",IF(SUMPRODUCT((Evermont!$A$2:$A$1000=$A726)*(Evermont!$Q$2:$Q$1000="Terminé"))&gt;0,"✓",IF(SUMPRODUCT(MAX((Evermont!$A$2:$A$1000=$A726)*Evermont!$F$2:$F$1000))&gt;0,TEXT(SUMPRODUCT(MAX((Evermont!$A$2:$A$1000=$A726)*Evermont!$F$2:$F$1000)),"yyyy-mm-dd"),""))))))</f>
        <v/>
      </c>
      <c r="L726" s="131" t="str">
        <f aca="false">IF($A726="","",COUNTIF(E726:K726,"✓"))</f>
        <v/>
      </c>
      <c r="M726" s="131" t="str">
        <f aca="false">IF(B726="","","Active")</f>
        <v/>
      </c>
      <c r="W726" s="120" t="str">
        <f aca="false">IF($A726="","",IF($X726&lt;&gt;"",$X726,IFERROR(INDEX('Formation Initiale'!$B$2:$B$999,MATCH($A726,'Formation Initiale'!$A$2:$A$999,0)),"Général")))</f>
        <v/>
      </c>
    </row>
    <row r="727" customFormat="false" ht="15" hidden="true" customHeight="true" outlineLevel="0" collapsed="false">
      <c r="A727" s="142" t="str">
        <f aca="false">IF(B727="","","TR"&amp;TEXT(ROW()-1,"000"))</f>
        <v/>
      </c>
      <c r="E727" s="130" t="str">
        <f aca="false">IF($O727="✓","✓",IF(ISNUMBER($O727),TEXT($O727,"yyyy-mm-dd"),IF($A727="","",IF(SUMPRODUCT(('Formation Initiale'!$A$2:$A$999=$A727)*('Formation Initiale'!$R$2:$R$999="Terminé"))&gt;0,"✓",IF(SUMPRODUCT(MAX(('Formation Initiale'!$A$2:$A$999=$A727)*'Formation Initiale'!$G$2:$G$999))&gt;0,TEXT(SUMPRODUCT(MAX(('Formation Initiale'!$A$2:$A$999=$A727)*'Formation Initiale'!$G$2:$G$999)),"yyyy-mm-dd"),"")))))</f>
        <v/>
      </c>
      <c r="F727" s="131" t="str">
        <f aca="false">IF($P727="✓","✓",IF(ISNUMBER($P727),TEXT($P727,"yyyy-mm-dd"),IF($A727="","",IF($D727="Lisbonne","",IF(SUMPRODUCT(('Formation Initiale'!$A$2:$A$999=$A727)*('Formation Initiale'!$R$2:$R$999="Terminé"))&gt;0,"✓",IF(SUMPRODUCT(MAX(('Formation Initiale'!$A$2:$A$999=$A727)*'Formation Initiale'!$G$2:$G$999))&gt;0,TEXT(SUMPRODUCT(MAX(('Formation Initiale'!$A$2:$A$999=$A727)*'Formation Initiale'!$G$2:$G$999)),"yyyy-mm-dd"),""))))))</f>
        <v/>
      </c>
      <c r="G727" s="131" t="str">
        <f aca="false">IF($Q727="✓","✓",IF(ISNUMBER($Q727),TEXT($Q727,"yyyy-mm-dd"),IF($A727="","",IF(SUMPRODUCT(('Agences &amp; Après-vente'!$A$2:$A$1000=$A727)*(('Agences &amp; Après-vente'!$D$2:$D$1000="Agences")+('Agences &amp; Après-vente'!$D$2:$D$1000="Agences et Après-vente"))*('Agences &amp; Après-vente'!$I$2:$I$1000="DONE"))&gt;0,"✓",IF(SUMPRODUCT(MAX(('Agences &amp; Après-vente'!$A$2:$A$1000=$A727)*(('Agences &amp; Après-vente'!$D$2:$D$1000="Agences")+('Agences &amp; Après-vente'!$D$2:$D$1000="Agences et Après-vente"))*'Agences &amp; Après-vente'!$E$2:$E$1000))&gt;0,TEXT(SUMPRODUCT(MAX(('Agences &amp; Après-vente'!$A$2:$A$1000=$A727)*(('Agences &amp; Après-vente'!$D$2:$D$1000="Agences")+('Agences &amp; Après-vente'!$D$2:$D$1000="Agences et Après-vente"))*'Agences &amp; Après-vente'!$E$2:$E$1000)),"yyyy-mm-dd"),"")))))</f>
        <v/>
      </c>
      <c r="H727" s="131" t="str">
        <f aca="false">IF($R727="✓","✓",IF(ISNUMBER($R727),TEXT($R727,"yyyy-mm-dd"),IF($A727="","",IF($D727="Lisbonne","",IF(SUMPRODUCT(('Agences &amp; Après-vente'!$A$2:$A$1000=$A727)*(('Agences &amp; Après-vente'!$D$2:$D$1000="Agences")+('Agences &amp; Après-vente'!$D$2:$D$1000="Agences et Après-vente"))*('Agences &amp; Après-vente'!$I$2:$I$1000="DONE"))&gt;0,"✓",IF(SUMPRODUCT(MAX(('Agences &amp; Après-vente'!$A$2:$A$1000=$A727)*(('Agences &amp; Après-vente'!$D$2:$D$1000="Agences")+('Agences &amp; Après-vente'!$D$2:$D$1000="Agences et Après-vente"))*'Agences &amp; Après-vente'!$E$2:$E$1000))&gt;0,TEXT(SUMPRODUCT(MAX(('Agences &amp; Après-vente'!$A$2:$A$1000=$A727)*(('Agences &amp; Après-vente'!$D$2:$D$1000="Agences")+('Agences &amp; Après-vente'!$D$2:$D$1000="Agences et Après-vente"))*'Agences &amp; Après-vente'!$E$2:$E$1000)),"yyyy-mm-dd"),""))))))</f>
        <v/>
      </c>
      <c r="I727" s="131" t="str">
        <f aca="false">IF($S727="✓","✓",IF(ISNUMBER($S727),TEXT($S727,"yyyy-mm-dd"),IF($A727="","",IF(SUMPRODUCT(('Agences &amp; Après-vente'!$A$2:$A$1000=$A727)*(('Agences &amp; Après-vente'!$D$2:$D$1000="Après-vente")+('Agences &amp; Après-vente'!$D$2:$D$1000="Agences et Après-vente"))*('Agences &amp; Après-vente'!$I$2:$I$1000="DONE"))&gt;0,"✓",IF(SUMPRODUCT(MAX(('Agences &amp; Après-vente'!$A$2:$A$1000=$A727)*(('Agences &amp; Après-vente'!$D$2:$D$1000="Après-vente")+('Agences &amp; Après-vente'!$D$2:$D$1000="Agences et Après-vente"))*'Agences &amp; Après-vente'!$E$2:$E$1000))&gt;0,TEXT(SUMPRODUCT(MAX(('Agences &amp; Après-vente'!$A$2:$A$1000=$A727)*(('Agences &amp; Après-vente'!$D$2:$D$1000="Après-vente")+('Agences &amp; Après-vente'!$D$2:$D$1000="Agences et Après-vente"))*'Agences &amp; Après-vente'!$E$2:$E$1000)),"yyyy-mm-dd"),"")))))</f>
        <v/>
      </c>
      <c r="J727" s="131" t="str">
        <f aca="false">IF($T727="✓","✓",IF(ISNUMBER($T727),TEXT($T727,"yyyy-mm-dd"),IF($A727="","",IF($D727="Lisbonne","",IF(SUMPRODUCT(('Agences &amp; Après-vente'!$A$2:$A$1000=$A727)*(('Agences &amp; Après-vente'!$D$2:$D$1000="Après-vente")+('Agences &amp; Après-vente'!$D$2:$D$1000="Agences et Après-vente"))*('Agences &amp; Après-vente'!$I$2:$I$1000="DONE"))&gt;0,"✓",IF(SUMPRODUCT(MAX(('Agences &amp; Après-vente'!$A$2:$A$1000=$A727)*(('Agences &amp; Après-vente'!$D$2:$D$1000="Après-vente")+('Agences &amp; Après-vente'!$D$2:$D$1000="Agences et Après-vente"))*'Agences &amp; Après-vente'!$E$2:$E$1000))&gt;0,TEXT(SUMPRODUCT(MAX(('Agences &amp; Après-vente'!$A$2:$A$1000=$A727)*(('Agences &amp; Après-vente'!$D$2:$D$1000="Après-vente")+('Agences &amp; Après-vente'!$D$2:$D$1000="Agences et Après-vente"))*'Agences &amp; Après-vente'!$E$2:$E$1000)),"yyyy-mm-dd"),""))))))</f>
        <v/>
      </c>
      <c r="K727" s="131" t="str">
        <f aca="false">IF($U727="✓","✓",IF(ISNUMBER($U727),TEXT($U727,"yyyy-mm-dd"),IF($D727="Lisbonne","",IF($A727="","",IF(SUMPRODUCT((Evermont!$A$2:$A$1000=$A727)*(Evermont!$Q$2:$Q$1000="Terminé"))&gt;0,"✓",IF(SUMPRODUCT(MAX((Evermont!$A$2:$A$1000=$A727)*Evermont!$F$2:$F$1000))&gt;0,TEXT(SUMPRODUCT(MAX((Evermont!$A$2:$A$1000=$A727)*Evermont!$F$2:$F$1000)),"yyyy-mm-dd"),""))))))</f>
        <v/>
      </c>
      <c r="L727" s="131" t="str">
        <f aca="false">IF($A727="","",COUNTIF(E727:K727,"✓"))</f>
        <v/>
      </c>
      <c r="M727" s="131" t="str">
        <f aca="false">IF(B727="","","Active")</f>
        <v/>
      </c>
      <c r="W727" s="120" t="str">
        <f aca="false">IF($A727="","",IF($X727&lt;&gt;"",$X727,IFERROR(INDEX('Formation Initiale'!$B$2:$B$999,MATCH($A727,'Formation Initiale'!$A$2:$A$999,0)),"Général")))</f>
        <v/>
      </c>
    </row>
    <row r="728" customFormat="false" ht="15" hidden="true" customHeight="true" outlineLevel="0" collapsed="false">
      <c r="A728" s="142" t="str">
        <f aca="false">IF(B728="","","TR"&amp;TEXT(ROW()-1,"000"))</f>
        <v/>
      </c>
      <c r="E728" s="130" t="str">
        <f aca="false">IF($O728="✓","✓",IF(ISNUMBER($O728),TEXT($O728,"yyyy-mm-dd"),IF($A728="","",IF(SUMPRODUCT(('Formation Initiale'!$A$2:$A$999=$A728)*('Formation Initiale'!$R$2:$R$999="Terminé"))&gt;0,"✓",IF(SUMPRODUCT(MAX(('Formation Initiale'!$A$2:$A$999=$A728)*'Formation Initiale'!$G$2:$G$999))&gt;0,TEXT(SUMPRODUCT(MAX(('Formation Initiale'!$A$2:$A$999=$A728)*'Formation Initiale'!$G$2:$G$999)),"yyyy-mm-dd"),"")))))</f>
        <v/>
      </c>
      <c r="F728" s="131" t="str">
        <f aca="false">IF($P728="✓","✓",IF(ISNUMBER($P728),TEXT($P728,"yyyy-mm-dd"),IF($A728="","",IF($D728="Lisbonne","",IF(SUMPRODUCT(('Formation Initiale'!$A$2:$A$999=$A728)*('Formation Initiale'!$R$2:$R$999="Terminé"))&gt;0,"✓",IF(SUMPRODUCT(MAX(('Formation Initiale'!$A$2:$A$999=$A728)*'Formation Initiale'!$G$2:$G$999))&gt;0,TEXT(SUMPRODUCT(MAX(('Formation Initiale'!$A$2:$A$999=$A728)*'Formation Initiale'!$G$2:$G$999)),"yyyy-mm-dd"),""))))))</f>
        <v/>
      </c>
      <c r="G728" s="131" t="str">
        <f aca="false">IF($Q728="✓","✓",IF(ISNUMBER($Q728),TEXT($Q728,"yyyy-mm-dd"),IF($A728="","",IF(SUMPRODUCT(('Agences &amp; Après-vente'!$A$2:$A$1000=$A728)*(('Agences &amp; Après-vente'!$D$2:$D$1000="Agences")+('Agences &amp; Après-vente'!$D$2:$D$1000="Agences et Après-vente"))*('Agences &amp; Après-vente'!$I$2:$I$1000="DONE"))&gt;0,"✓",IF(SUMPRODUCT(MAX(('Agences &amp; Après-vente'!$A$2:$A$1000=$A728)*(('Agences &amp; Après-vente'!$D$2:$D$1000="Agences")+('Agences &amp; Après-vente'!$D$2:$D$1000="Agences et Après-vente"))*'Agences &amp; Après-vente'!$E$2:$E$1000))&gt;0,TEXT(SUMPRODUCT(MAX(('Agences &amp; Après-vente'!$A$2:$A$1000=$A728)*(('Agences &amp; Après-vente'!$D$2:$D$1000="Agences")+('Agences &amp; Après-vente'!$D$2:$D$1000="Agences et Après-vente"))*'Agences &amp; Après-vente'!$E$2:$E$1000)),"yyyy-mm-dd"),"")))))</f>
        <v/>
      </c>
      <c r="H728" s="131" t="str">
        <f aca="false">IF($R728="✓","✓",IF(ISNUMBER($R728),TEXT($R728,"yyyy-mm-dd"),IF($A728="","",IF($D728="Lisbonne","",IF(SUMPRODUCT(('Agences &amp; Après-vente'!$A$2:$A$1000=$A728)*(('Agences &amp; Après-vente'!$D$2:$D$1000="Agences")+('Agences &amp; Après-vente'!$D$2:$D$1000="Agences et Après-vente"))*('Agences &amp; Après-vente'!$I$2:$I$1000="DONE"))&gt;0,"✓",IF(SUMPRODUCT(MAX(('Agences &amp; Après-vente'!$A$2:$A$1000=$A728)*(('Agences &amp; Après-vente'!$D$2:$D$1000="Agences")+('Agences &amp; Après-vente'!$D$2:$D$1000="Agences et Après-vente"))*'Agences &amp; Après-vente'!$E$2:$E$1000))&gt;0,TEXT(SUMPRODUCT(MAX(('Agences &amp; Après-vente'!$A$2:$A$1000=$A728)*(('Agences &amp; Après-vente'!$D$2:$D$1000="Agences")+('Agences &amp; Après-vente'!$D$2:$D$1000="Agences et Après-vente"))*'Agences &amp; Après-vente'!$E$2:$E$1000)),"yyyy-mm-dd"),""))))))</f>
        <v/>
      </c>
      <c r="I728" s="131" t="str">
        <f aca="false">IF($S728="✓","✓",IF(ISNUMBER($S728),TEXT($S728,"yyyy-mm-dd"),IF($A728="","",IF(SUMPRODUCT(('Agences &amp; Après-vente'!$A$2:$A$1000=$A728)*(('Agences &amp; Après-vente'!$D$2:$D$1000="Après-vente")+('Agences &amp; Après-vente'!$D$2:$D$1000="Agences et Après-vente"))*('Agences &amp; Après-vente'!$I$2:$I$1000="DONE"))&gt;0,"✓",IF(SUMPRODUCT(MAX(('Agences &amp; Après-vente'!$A$2:$A$1000=$A728)*(('Agences &amp; Après-vente'!$D$2:$D$1000="Après-vente")+('Agences &amp; Après-vente'!$D$2:$D$1000="Agences et Après-vente"))*'Agences &amp; Après-vente'!$E$2:$E$1000))&gt;0,TEXT(SUMPRODUCT(MAX(('Agences &amp; Après-vente'!$A$2:$A$1000=$A728)*(('Agences &amp; Après-vente'!$D$2:$D$1000="Après-vente")+('Agences &amp; Après-vente'!$D$2:$D$1000="Agences et Après-vente"))*'Agences &amp; Après-vente'!$E$2:$E$1000)),"yyyy-mm-dd"),"")))))</f>
        <v/>
      </c>
      <c r="J728" s="131" t="str">
        <f aca="false">IF($T728="✓","✓",IF(ISNUMBER($T728),TEXT($T728,"yyyy-mm-dd"),IF($A728="","",IF($D728="Lisbonne","",IF(SUMPRODUCT(('Agences &amp; Après-vente'!$A$2:$A$1000=$A728)*(('Agences &amp; Après-vente'!$D$2:$D$1000="Après-vente")+('Agences &amp; Après-vente'!$D$2:$D$1000="Agences et Après-vente"))*('Agences &amp; Après-vente'!$I$2:$I$1000="DONE"))&gt;0,"✓",IF(SUMPRODUCT(MAX(('Agences &amp; Après-vente'!$A$2:$A$1000=$A728)*(('Agences &amp; Après-vente'!$D$2:$D$1000="Après-vente")+('Agences &amp; Après-vente'!$D$2:$D$1000="Agences et Après-vente"))*'Agences &amp; Après-vente'!$E$2:$E$1000))&gt;0,TEXT(SUMPRODUCT(MAX(('Agences &amp; Après-vente'!$A$2:$A$1000=$A728)*(('Agences &amp; Après-vente'!$D$2:$D$1000="Après-vente")+('Agences &amp; Après-vente'!$D$2:$D$1000="Agences et Après-vente"))*'Agences &amp; Après-vente'!$E$2:$E$1000)),"yyyy-mm-dd"),""))))))</f>
        <v/>
      </c>
      <c r="K728" s="131" t="str">
        <f aca="false">IF($U728="✓","✓",IF(ISNUMBER($U728),TEXT($U728,"yyyy-mm-dd"),IF($D728="Lisbonne","",IF($A728="","",IF(SUMPRODUCT((Evermont!$A$2:$A$1000=$A728)*(Evermont!$Q$2:$Q$1000="Terminé"))&gt;0,"✓",IF(SUMPRODUCT(MAX((Evermont!$A$2:$A$1000=$A728)*Evermont!$F$2:$F$1000))&gt;0,TEXT(SUMPRODUCT(MAX((Evermont!$A$2:$A$1000=$A728)*Evermont!$F$2:$F$1000)),"yyyy-mm-dd"),""))))))</f>
        <v/>
      </c>
      <c r="L728" s="131" t="str">
        <f aca="false">IF($A728="","",COUNTIF(E728:K728,"✓"))</f>
        <v/>
      </c>
      <c r="M728" s="131" t="str">
        <f aca="false">IF(B728="","","Active")</f>
        <v/>
      </c>
      <c r="W728" s="120" t="str">
        <f aca="false">IF($A728="","",IF($X728&lt;&gt;"",$X728,IFERROR(INDEX('Formation Initiale'!$B$2:$B$999,MATCH($A728,'Formation Initiale'!$A$2:$A$999,0)),"Général")))</f>
        <v/>
      </c>
    </row>
    <row r="729" customFormat="false" ht="15" hidden="true" customHeight="true" outlineLevel="0" collapsed="false">
      <c r="A729" s="142" t="str">
        <f aca="false">IF(B729="","","TR"&amp;TEXT(ROW()-1,"000"))</f>
        <v/>
      </c>
      <c r="E729" s="130" t="str">
        <f aca="false">IF($O729="✓","✓",IF(ISNUMBER($O729),TEXT($O729,"yyyy-mm-dd"),IF($A729="","",IF(SUMPRODUCT(('Formation Initiale'!$A$2:$A$999=$A729)*('Formation Initiale'!$R$2:$R$999="Terminé"))&gt;0,"✓",IF(SUMPRODUCT(MAX(('Formation Initiale'!$A$2:$A$999=$A729)*'Formation Initiale'!$G$2:$G$999))&gt;0,TEXT(SUMPRODUCT(MAX(('Formation Initiale'!$A$2:$A$999=$A729)*'Formation Initiale'!$G$2:$G$999)),"yyyy-mm-dd"),"")))))</f>
        <v/>
      </c>
      <c r="F729" s="131" t="str">
        <f aca="false">IF($P729="✓","✓",IF(ISNUMBER($P729),TEXT($P729,"yyyy-mm-dd"),IF($A729="","",IF($D729="Lisbonne","",IF(SUMPRODUCT(('Formation Initiale'!$A$2:$A$999=$A729)*('Formation Initiale'!$R$2:$R$999="Terminé"))&gt;0,"✓",IF(SUMPRODUCT(MAX(('Formation Initiale'!$A$2:$A$999=$A729)*'Formation Initiale'!$G$2:$G$999))&gt;0,TEXT(SUMPRODUCT(MAX(('Formation Initiale'!$A$2:$A$999=$A729)*'Formation Initiale'!$G$2:$G$999)),"yyyy-mm-dd"),""))))))</f>
        <v/>
      </c>
      <c r="G729" s="131" t="str">
        <f aca="false">IF($Q729="✓","✓",IF(ISNUMBER($Q729),TEXT($Q729,"yyyy-mm-dd"),IF($A729="","",IF(SUMPRODUCT(('Agences &amp; Après-vente'!$A$2:$A$1000=$A729)*(('Agences &amp; Après-vente'!$D$2:$D$1000="Agences")+('Agences &amp; Après-vente'!$D$2:$D$1000="Agences et Après-vente"))*('Agences &amp; Après-vente'!$I$2:$I$1000="DONE"))&gt;0,"✓",IF(SUMPRODUCT(MAX(('Agences &amp; Après-vente'!$A$2:$A$1000=$A729)*(('Agences &amp; Après-vente'!$D$2:$D$1000="Agences")+('Agences &amp; Après-vente'!$D$2:$D$1000="Agences et Après-vente"))*'Agences &amp; Après-vente'!$E$2:$E$1000))&gt;0,TEXT(SUMPRODUCT(MAX(('Agences &amp; Après-vente'!$A$2:$A$1000=$A729)*(('Agences &amp; Après-vente'!$D$2:$D$1000="Agences")+('Agences &amp; Après-vente'!$D$2:$D$1000="Agences et Après-vente"))*'Agences &amp; Après-vente'!$E$2:$E$1000)),"yyyy-mm-dd"),"")))))</f>
        <v/>
      </c>
      <c r="H729" s="131" t="str">
        <f aca="false">IF($R729="✓","✓",IF(ISNUMBER($R729),TEXT($R729,"yyyy-mm-dd"),IF($A729="","",IF($D729="Lisbonne","",IF(SUMPRODUCT(('Agences &amp; Après-vente'!$A$2:$A$1000=$A729)*(('Agences &amp; Après-vente'!$D$2:$D$1000="Agences")+('Agences &amp; Après-vente'!$D$2:$D$1000="Agences et Après-vente"))*('Agences &amp; Après-vente'!$I$2:$I$1000="DONE"))&gt;0,"✓",IF(SUMPRODUCT(MAX(('Agences &amp; Après-vente'!$A$2:$A$1000=$A729)*(('Agences &amp; Après-vente'!$D$2:$D$1000="Agences")+('Agences &amp; Après-vente'!$D$2:$D$1000="Agences et Après-vente"))*'Agences &amp; Après-vente'!$E$2:$E$1000))&gt;0,TEXT(SUMPRODUCT(MAX(('Agences &amp; Après-vente'!$A$2:$A$1000=$A729)*(('Agences &amp; Après-vente'!$D$2:$D$1000="Agences")+('Agences &amp; Après-vente'!$D$2:$D$1000="Agences et Après-vente"))*'Agences &amp; Après-vente'!$E$2:$E$1000)),"yyyy-mm-dd"),""))))))</f>
        <v/>
      </c>
      <c r="I729" s="131" t="str">
        <f aca="false">IF($S729="✓","✓",IF(ISNUMBER($S729),TEXT($S729,"yyyy-mm-dd"),IF($A729="","",IF(SUMPRODUCT(('Agences &amp; Après-vente'!$A$2:$A$1000=$A729)*(('Agences &amp; Après-vente'!$D$2:$D$1000="Après-vente")+('Agences &amp; Après-vente'!$D$2:$D$1000="Agences et Après-vente"))*('Agences &amp; Après-vente'!$I$2:$I$1000="DONE"))&gt;0,"✓",IF(SUMPRODUCT(MAX(('Agences &amp; Après-vente'!$A$2:$A$1000=$A729)*(('Agences &amp; Après-vente'!$D$2:$D$1000="Après-vente")+('Agences &amp; Après-vente'!$D$2:$D$1000="Agences et Après-vente"))*'Agences &amp; Après-vente'!$E$2:$E$1000))&gt;0,TEXT(SUMPRODUCT(MAX(('Agences &amp; Après-vente'!$A$2:$A$1000=$A729)*(('Agences &amp; Après-vente'!$D$2:$D$1000="Après-vente")+('Agences &amp; Après-vente'!$D$2:$D$1000="Agences et Après-vente"))*'Agences &amp; Après-vente'!$E$2:$E$1000)),"yyyy-mm-dd"),"")))))</f>
        <v/>
      </c>
      <c r="J729" s="131" t="str">
        <f aca="false">IF($T729="✓","✓",IF(ISNUMBER($T729),TEXT($T729,"yyyy-mm-dd"),IF($A729="","",IF($D729="Lisbonne","",IF(SUMPRODUCT(('Agences &amp; Après-vente'!$A$2:$A$1000=$A729)*(('Agences &amp; Après-vente'!$D$2:$D$1000="Après-vente")+('Agences &amp; Après-vente'!$D$2:$D$1000="Agences et Après-vente"))*('Agences &amp; Après-vente'!$I$2:$I$1000="DONE"))&gt;0,"✓",IF(SUMPRODUCT(MAX(('Agences &amp; Après-vente'!$A$2:$A$1000=$A729)*(('Agences &amp; Après-vente'!$D$2:$D$1000="Après-vente")+('Agences &amp; Après-vente'!$D$2:$D$1000="Agences et Après-vente"))*'Agences &amp; Après-vente'!$E$2:$E$1000))&gt;0,TEXT(SUMPRODUCT(MAX(('Agences &amp; Après-vente'!$A$2:$A$1000=$A729)*(('Agences &amp; Après-vente'!$D$2:$D$1000="Après-vente")+('Agences &amp; Après-vente'!$D$2:$D$1000="Agences et Après-vente"))*'Agences &amp; Après-vente'!$E$2:$E$1000)),"yyyy-mm-dd"),""))))))</f>
        <v/>
      </c>
      <c r="K729" s="131" t="str">
        <f aca="false">IF($U729="✓","✓",IF(ISNUMBER($U729),TEXT($U729,"yyyy-mm-dd"),IF($D729="Lisbonne","",IF($A729="","",IF(SUMPRODUCT((Evermont!$A$2:$A$1000=$A729)*(Evermont!$Q$2:$Q$1000="Terminé"))&gt;0,"✓",IF(SUMPRODUCT(MAX((Evermont!$A$2:$A$1000=$A729)*Evermont!$F$2:$F$1000))&gt;0,TEXT(SUMPRODUCT(MAX((Evermont!$A$2:$A$1000=$A729)*Evermont!$F$2:$F$1000)),"yyyy-mm-dd"),""))))))</f>
        <v/>
      </c>
      <c r="L729" s="131" t="str">
        <f aca="false">IF($A729="","",COUNTIF(E729:K729,"✓"))</f>
        <v/>
      </c>
      <c r="M729" s="131" t="str">
        <f aca="false">IF(B729="","","Active")</f>
        <v/>
      </c>
      <c r="W729" s="120" t="str">
        <f aca="false">IF($A729="","",IF($X729&lt;&gt;"",$X729,IFERROR(INDEX('Formation Initiale'!$B$2:$B$999,MATCH($A729,'Formation Initiale'!$A$2:$A$999,0)),"Général")))</f>
        <v/>
      </c>
    </row>
    <row r="730" customFormat="false" ht="15" hidden="true" customHeight="true" outlineLevel="0" collapsed="false">
      <c r="A730" s="142" t="str">
        <f aca="false">IF(B730="","","TR"&amp;TEXT(ROW()-1,"000"))</f>
        <v/>
      </c>
      <c r="E730" s="130" t="str">
        <f aca="false">IF($O730="✓","✓",IF(ISNUMBER($O730),TEXT($O730,"yyyy-mm-dd"),IF($A730="","",IF(SUMPRODUCT(('Formation Initiale'!$A$2:$A$999=$A730)*('Formation Initiale'!$R$2:$R$999="Terminé"))&gt;0,"✓",IF(SUMPRODUCT(MAX(('Formation Initiale'!$A$2:$A$999=$A730)*'Formation Initiale'!$G$2:$G$999))&gt;0,TEXT(SUMPRODUCT(MAX(('Formation Initiale'!$A$2:$A$999=$A730)*'Formation Initiale'!$G$2:$G$999)),"yyyy-mm-dd"),"")))))</f>
        <v/>
      </c>
      <c r="F730" s="131" t="str">
        <f aca="false">IF($P730="✓","✓",IF(ISNUMBER($P730),TEXT($P730,"yyyy-mm-dd"),IF($A730="","",IF($D730="Lisbonne","",IF(SUMPRODUCT(('Formation Initiale'!$A$2:$A$999=$A730)*('Formation Initiale'!$R$2:$R$999="Terminé"))&gt;0,"✓",IF(SUMPRODUCT(MAX(('Formation Initiale'!$A$2:$A$999=$A730)*'Formation Initiale'!$G$2:$G$999))&gt;0,TEXT(SUMPRODUCT(MAX(('Formation Initiale'!$A$2:$A$999=$A730)*'Formation Initiale'!$G$2:$G$999)),"yyyy-mm-dd"),""))))))</f>
        <v/>
      </c>
      <c r="G730" s="131" t="str">
        <f aca="false">IF($Q730="✓","✓",IF(ISNUMBER($Q730),TEXT($Q730,"yyyy-mm-dd"),IF($A730="","",IF(SUMPRODUCT(('Agences &amp; Après-vente'!$A$2:$A$1000=$A730)*(('Agences &amp; Après-vente'!$D$2:$D$1000="Agences")+('Agences &amp; Après-vente'!$D$2:$D$1000="Agences et Après-vente"))*('Agences &amp; Après-vente'!$I$2:$I$1000="DONE"))&gt;0,"✓",IF(SUMPRODUCT(MAX(('Agences &amp; Après-vente'!$A$2:$A$1000=$A730)*(('Agences &amp; Après-vente'!$D$2:$D$1000="Agences")+('Agences &amp; Après-vente'!$D$2:$D$1000="Agences et Après-vente"))*'Agences &amp; Après-vente'!$E$2:$E$1000))&gt;0,TEXT(SUMPRODUCT(MAX(('Agences &amp; Après-vente'!$A$2:$A$1000=$A730)*(('Agences &amp; Après-vente'!$D$2:$D$1000="Agences")+('Agences &amp; Après-vente'!$D$2:$D$1000="Agences et Après-vente"))*'Agences &amp; Après-vente'!$E$2:$E$1000)),"yyyy-mm-dd"),"")))))</f>
        <v/>
      </c>
      <c r="H730" s="131" t="str">
        <f aca="false">IF($R730="✓","✓",IF(ISNUMBER($R730),TEXT($R730,"yyyy-mm-dd"),IF($A730="","",IF($D730="Lisbonne","",IF(SUMPRODUCT(('Agences &amp; Après-vente'!$A$2:$A$1000=$A730)*(('Agences &amp; Après-vente'!$D$2:$D$1000="Agences")+('Agences &amp; Après-vente'!$D$2:$D$1000="Agences et Après-vente"))*('Agences &amp; Après-vente'!$I$2:$I$1000="DONE"))&gt;0,"✓",IF(SUMPRODUCT(MAX(('Agences &amp; Après-vente'!$A$2:$A$1000=$A730)*(('Agences &amp; Après-vente'!$D$2:$D$1000="Agences")+('Agences &amp; Après-vente'!$D$2:$D$1000="Agences et Après-vente"))*'Agences &amp; Après-vente'!$E$2:$E$1000))&gt;0,TEXT(SUMPRODUCT(MAX(('Agences &amp; Après-vente'!$A$2:$A$1000=$A730)*(('Agences &amp; Après-vente'!$D$2:$D$1000="Agences")+('Agences &amp; Après-vente'!$D$2:$D$1000="Agences et Après-vente"))*'Agences &amp; Après-vente'!$E$2:$E$1000)),"yyyy-mm-dd"),""))))))</f>
        <v/>
      </c>
      <c r="I730" s="131" t="str">
        <f aca="false">IF($S730="✓","✓",IF(ISNUMBER($S730),TEXT($S730,"yyyy-mm-dd"),IF($A730="","",IF(SUMPRODUCT(('Agences &amp; Après-vente'!$A$2:$A$1000=$A730)*(('Agences &amp; Après-vente'!$D$2:$D$1000="Après-vente")+('Agences &amp; Après-vente'!$D$2:$D$1000="Agences et Après-vente"))*('Agences &amp; Après-vente'!$I$2:$I$1000="DONE"))&gt;0,"✓",IF(SUMPRODUCT(MAX(('Agences &amp; Après-vente'!$A$2:$A$1000=$A730)*(('Agences &amp; Après-vente'!$D$2:$D$1000="Après-vente")+('Agences &amp; Après-vente'!$D$2:$D$1000="Agences et Après-vente"))*'Agences &amp; Après-vente'!$E$2:$E$1000))&gt;0,TEXT(SUMPRODUCT(MAX(('Agences &amp; Après-vente'!$A$2:$A$1000=$A730)*(('Agences &amp; Après-vente'!$D$2:$D$1000="Après-vente")+('Agences &amp; Après-vente'!$D$2:$D$1000="Agences et Après-vente"))*'Agences &amp; Après-vente'!$E$2:$E$1000)),"yyyy-mm-dd"),"")))))</f>
        <v/>
      </c>
      <c r="J730" s="131" t="str">
        <f aca="false">IF($T730="✓","✓",IF(ISNUMBER($T730),TEXT($T730,"yyyy-mm-dd"),IF($A730="","",IF($D730="Lisbonne","",IF(SUMPRODUCT(('Agences &amp; Après-vente'!$A$2:$A$1000=$A730)*(('Agences &amp; Après-vente'!$D$2:$D$1000="Après-vente")+('Agences &amp; Après-vente'!$D$2:$D$1000="Agences et Après-vente"))*('Agences &amp; Après-vente'!$I$2:$I$1000="DONE"))&gt;0,"✓",IF(SUMPRODUCT(MAX(('Agences &amp; Après-vente'!$A$2:$A$1000=$A730)*(('Agences &amp; Après-vente'!$D$2:$D$1000="Après-vente")+('Agences &amp; Après-vente'!$D$2:$D$1000="Agences et Après-vente"))*'Agences &amp; Après-vente'!$E$2:$E$1000))&gt;0,TEXT(SUMPRODUCT(MAX(('Agences &amp; Après-vente'!$A$2:$A$1000=$A730)*(('Agences &amp; Après-vente'!$D$2:$D$1000="Après-vente")+('Agences &amp; Après-vente'!$D$2:$D$1000="Agences et Après-vente"))*'Agences &amp; Après-vente'!$E$2:$E$1000)),"yyyy-mm-dd"),""))))))</f>
        <v/>
      </c>
      <c r="K730" s="131" t="str">
        <f aca="false">IF($U730="✓","✓",IF(ISNUMBER($U730),TEXT($U730,"yyyy-mm-dd"),IF($D730="Lisbonne","",IF($A730="","",IF(SUMPRODUCT((Evermont!$A$2:$A$1000=$A730)*(Evermont!$Q$2:$Q$1000="Terminé"))&gt;0,"✓",IF(SUMPRODUCT(MAX((Evermont!$A$2:$A$1000=$A730)*Evermont!$F$2:$F$1000))&gt;0,TEXT(SUMPRODUCT(MAX((Evermont!$A$2:$A$1000=$A730)*Evermont!$F$2:$F$1000)),"yyyy-mm-dd"),""))))))</f>
        <v/>
      </c>
      <c r="L730" s="131" t="str">
        <f aca="false">IF($A730="","",COUNTIF(E730:K730,"✓"))</f>
        <v/>
      </c>
      <c r="M730" s="131" t="str">
        <f aca="false">IF(B730="","","Active")</f>
        <v/>
      </c>
      <c r="W730" s="120" t="str">
        <f aca="false">IF($A730="","",IF($X730&lt;&gt;"",$X730,IFERROR(INDEX('Formation Initiale'!$B$2:$B$999,MATCH($A730,'Formation Initiale'!$A$2:$A$999,0)),"Général")))</f>
        <v/>
      </c>
    </row>
    <row r="731" customFormat="false" ht="15" hidden="true" customHeight="true" outlineLevel="0" collapsed="false">
      <c r="A731" s="142" t="str">
        <f aca="false">IF(B731="","","TR"&amp;TEXT(ROW()-1,"000"))</f>
        <v/>
      </c>
      <c r="E731" s="130" t="str">
        <f aca="false">IF($O731="✓","✓",IF(ISNUMBER($O731),TEXT($O731,"yyyy-mm-dd"),IF($A731="","",IF(SUMPRODUCT(('Formation Initiale'!$A$2:$A$999=$A731)*('Formation Initiale'!$R$2:$R$999="Terminé"))&gt;0,"✓",IF(SUMPRODUCT(MAX(('Formation Initiale'!$A$2:$A$999=$A731)*'Formation Initiale'!$G$2:$G$999))&gt;0,TEXT(SUMPRODUCT(MAX(('Formation Initiale'!$A$2:$A$999=$A731)*'Formation Initiale'!$G$2:$G$999)),"yyyy-mm-dd"),"")))))</f>
        <v/>
      </c>
      <c r="F731" s="131" t="str">
        <f aca="false">IF($P731="✓","✓",IF(ISNUMBER($P731),TEXT($P731,"yyyy-mm-dd"),IF($A731="","",IF($D731="Lisbonne","",IF(SUMPRODUCT(('Formation Initiale'!$A$2:$A$999=$A731)*('Formation Initiale'!$R$2:$R$999="Terminé"))&gt;0,"✓",IF(SUMPRODUCT(MAX(('Formation Initiale'!$A$2:$A$999=$A731)*'Formation Initiale'!$G$2:$G$999))&gt;0,TEXT(SUMPRODUCT(MAX(('Formation Initiale'!$A$2:$A$999=$A731)*'Formation Initiale'!$G$2:$G$999)),"yyyy-mm-dd"),""))))))</f>
        <v/>
      </c>
      <c r="G731" s="131" t="str">
        <f aca="false">IF($Q731="✓","✓",IF(ISNUMBER($Q731),TEXT($Q731,"yyyy-mm-dd"),IF($A731="","",IF(SUMPRODUCT(('Agences &amp; Après-vente'!$A$2:$A$1000=$A731)*(('Agences &amp; Après-vente'!$D$2:$D$1000="Agences")+('Agences &amp; Après-vente'!$D$2:$D$1000="Agences et Après-vente"))*('Agences &amp; Après-vente'!$I$2:$I$1000="DONE"))&gt;0,"✓",IF(SUMPRODUCT(MAX(('Agences &amp; Après-vente'!$A$2:$A$1000=$A731)*(('Agences &amp; Après-vente'!$D$2:$D$1000="Agences")+('Agences &amp; Après-vente'!$D$2:$D$1000="Agences et Après-vente"))*'Agences &amp; Après-vente'!$E$2:$E$1000))&gt;0,TEXT(SUMPRODUCT(MAX(('Agences &amp; Après-vente'!$A$2:$A$1000=$A731)*(('Agences &amp; Après-vente'!$D$2:$D$1000="Agences")+('Agences &amp; Après-vente'!$D$2:$D$1000="Agences et Après-vente"))*'Agences &amp; Après-vente'!$E$2:$E$1000)),"yyyy-mm-dd"),"")))))</f>
        <v/>
      </c>
      <c r="H731" s="131" t="str">
        <f aca="false">IF($R731="✓","✓",IF(ISNUMBER($R731),TEXT($R731,"yyyy-mm-dd"),IF($A731="","",IF($D731="Lisbonne","",IF(SUMPRODUCT(('Agences &amp; Après-vente'!$A$2:$A$1000=$A731)*(('Agences &amp; Après-vente'!$D$2:$D$1000="Agences")+('Agences &amp; Après-vente'!$D$2:$D$1000="Agences et Après-vente"))*('Agences &amp; Après-vente'!$I$2:$I$1000="DONE"))&gt;0,"✓",IF(SUMPRODUCT(MAX(('Agences &amp; Après-vente'!$A$2:$A$1000=$A731)*(('Agences &amp; Après-vente'!$D$2:$D$1000="Agences")+('Agences &amp; Après-vente'!$D$2:$D$1000="Agences et Après-vente"))*'Agences &amp; Après-vente'!$E$2:$E$1000))&gt;0,TEXT(SUMPRODUCT(MAX(('Agences &amp; Après-vente'!$A$2:$A$1000=$A731)*(('Agences &amp; Après-vente'!$D$2:$D$1000="Agences")+('Agences &amp; Après-vente'!$D$2:$D$1000="Agences et Après-vente"))*'Agences &amp; Après-vente'!$E$2:$E$1000)),"yyyy-mm-dd"),""))))))</f>
        <v/>
      </c>
      <c r="I731" s="131" t="str">
        <f aca="false">IF($S731="✓","✓",IF(ISNUMBER($S731),TEXT($S731,"yyyy-mm-dd"),IF($A731="","",IF(SUMPRODUCT(('Agences &amp; Après-vente'!$A$2:$A$1000=$A731)*(('Agences &amp; Après-vente'!$D$2:$D$1000="Après-vente")+('Agences &amp; Après-vente'!$D$2:$D$1000="Agences et Après-vente"))*('Agences &amp; Après-vente'!$I$2:$I$1000="DONE"))&gt;0,"✓",IF(SUMPRODUCT(MAX(('Agences &amp; Après-vente'!$A$2:$A$1000=$A731)*(('Agences &amp; Après-vente'!$D$2:$D$1000="Après-vente")+('Agences &amp; Après-vente'!$D$2:$D$1000="Agences et Après-vente"))*'Agences &amp; Après-vente'!$E$2:$E$1000))&gt;0,TEXT(SUMPRODUCT(MAX(('Agences &amp; Après-vente'!$A$2:$A$1000=$A731)*(('Agences &amp; Après-vente'!$D$2:$D$1000="Après-vente")+('Agences &amp; Après-vente'!$D$2:$D$1000="Agences et Après-vente"))*'Agences &amp; Après-vente'!$E$2:$E$1000)),"yyyy-mm-dd"),"")))))</f>
        <v/>
      </c>
      <c r="J731" s="131" t="str">
        <f aca="false">IF($T731="✓","✓",IF(ISNUMBER($T731),TEXT($T731,"yyyy-mm-dd"),IF($A731="","",IF($D731="Lisbonne","",IF(SUMPRODUCT(('Agences &amp; Après-vente'!$A$2:$A$1000=$A731)*(('Agences &amp; Après-vente'!$D$2:$D$1000="Après-vente")+('Agences &amp; Après-vente'!$D$2:$D$1000="Agences et Après-vente"))*('Agences &amp; Après-vente'!$I$2:$I$1000="DONE"))&gt;0,"✓",IF(SUMPRODUCT(MAX(('Agences &amp; Après-vente'!$A$2:$A$1000=$A731)*(('Agences &amp; Après-vente'!$D$2:$D$1000="Après-vente")+('Agences &amp; Après-vente'!$D$2:$D$1000="Agences et Après-vente"))*'Agences &amp; Après-vente'!$E$2:$E$1000))&gt;0,TEXT(SUMPRODUCT(MAX(('Agences &amp; Après-vente'!$A$2:$A$1000=$A731)*(('Agences &amp; Après-vente'!$D$2:$D$1000="Après-vente")+('Agences &amp; Après-vente'!$D$2:$D$1000="Agences et Après-vente"))*'Agences &amp; Après-vente'!$E$2:$E$1000)),"yyyy-mm-dd"),""))))))</f>
        <v/>
      </c>
      <c r="K731" s="131" t="str">
        <f aca="false">IF($U731="✓","✓",IF(ISNUMBER($U731),TEXT($U731,"yyyy-mm-dd"),IF($D731="Lisbonne","",IF($A731="","",IF(SUMPRODUCT((Evermont!$A$2:$A$1000=$A731)*(Evermont!$Q$2:$Q$1000="Terminé"))&gt;0,"✓",IF(SUMPRODUCT(MAX((Evermont!$A$2:$A$1000=$A731)*Evermont!$F$2:$F$1000))&gt;0,TEXT(SUMPRODUCT(MAX((Evermont!$A$2:$A$1000=$A731)*Evermont!$F$2:$F$1000)),"yyyy-mm-dd"),""))))))</f>
        <v/>
      </c>
      <c r="L731" s="131" t="str">
        <f aca="false">IF($A731="","",COUNTIF(E731:K731,"✓"))</f>
        <v/>
      </c>
      <c r="M731" s="131" t="str">
        <f aca="false">IF(B731="","","Active")</f>
        <v/>
      </c>
      <c r="W731" s="120" t="str">
        <f aca="false">IF($A731="","",IF($X731&lt;&gt;"",$X731,IFERROR(INDEX('Formation Initiale'!$B$2:$B$999,MATCH($A731,'Formation Initiale'!$A$2:$A$999,0)),"Général")))</f>
        <v/>
      </c>
    </row>
    <row r="732" customFormat="false" ht="15" hidden="true" customHeight="true" outlineLevel="0" collapsed="false">
      <c r="A732" s="142" t="str">
        <f aca="false">IF(B732="","","TR"&amp;TEXT(ROW()-1,"000"))</f>
        <v/>
      </c>
      <c r="E732" s="130" t="str">
        <f aca="false">IF($O732="✓","✓",IF(ISNUMBER($O732),TEXT($O732,"yyyy-mm-dd"),IF($A732="","",IF(SUMPRODUCT(('Formation Initiale'!$A$2:$A$999=$A732)*('Formation Initiale'!$R$2:$R$999="Terminé"))&gt;0,"✓",IF(SUMPRODUCT(MAX(('Formation Initiale'!$A$2:$A$999=$A732)*'Formation Initiale'!$G$2:$G$999))&gt;0,TEXT(SUMPRODUCT(MAX(('Formation Initiale'!$A$2:$A$999=$A732)*'Formation Initiale'!$G$2:$G$999)),"yyyy-mm-dd"),"")))))</f>
        <v/>
      </c>
      <c r="F732" s="131" t="str">
        <f aca="false">IF($P732="✓","✓",IF(ISNUMBER($P732),TEXT($P732,"yyyy-mm-dd"),IF($A732="","",IF($D732="Lisbonne","",IF(SUMPRODUCT(('Formation Initiale'!$A$2:$A$999=$A732)*('Formation Initiale'!$R$2:$R$999="Terminé"))&gt;0,"✓",IF(SUMPRODUCT(MAX(('Formation Initiale'!$A$2:$A$999=$A732)*'Formation Initiale'!$G$2:$G$999))&gt;0,TEXT(SUMPRODUCT(MAX(('Formation Initiale'!$A$2:$A$999=$A732)*'Formation Initiale'!$G$2:$G$999)),"yyyy-mm-dd"),""))))))</f>
        <v/>
      </c>
      <c r="G732" s="131" t="str">
        <f aca="false">IF($Q732="✓","✓",IF(ISNUMBER($Q732),TEXT($Q732,"yyyy-mm-dd"),IF($A732="","",IF(SUMPRODUCT(('Agences &amp; Après-vente'!$A$2:$A$1000=$A732)*(('Agences &amp; Après-vente'!$D$2:$D$1000="Agences")+('Agences &amp; Après-vente'!$D$2:$D$1000="Agences et Après-vente"))*('Agences &amp; Après-vente'!$I$2:$I$1000="DONE"))&gt;0,"✓",IF(SUMPRODUCT(MAX(('Agences &amp; Après-vente'!$A$2:$A$1000=$A732)*(('Agences &amp; Après-vente'!$D$2:$D$1000="Agences")+('Agences &amp; Après-vente'!$D$2:$D$1000="Agences et Après-vente"))*'Agences &amp; Après-vente'!$E$2:$E$1000))&gt;0,TEXT(SUMPRODUCT(MAX(('Agences &amp; Après-vente'!$A$2:$A$1000=$A732)*(('Agences &amp; Après-vente'!$D$2:$D$1000="Agences")+('Agences &amp; Après-vente'!$D$2:$D$1000="Agences et Après-vente"))*'Agences &amp; Après-vente'!$E$2:$E$1000)),"yyyy-mm-dd"),"")))))</f>
        <v/>
      </c>
      <c r="H732" s="131" t="str">
        <f aca="false">IF($R732="✓","✓",IF(ISNUMBER($R732),TEXT($R732,"yyyy-mm-dd"),IF($A732="","",IF($D732="Lisbonne","",IF(SUMPRODUCT(('Agences &amp; Après-vente'!$A$2:$A$1000=$A732)*(('Agences &amp; Après-vente'!$D$2:$D$1000="Agences")+('Agences &amp; Après-vente'!$D$2:$D$1000="Agences et Après-vente"))*('Agences &amp; Après-vente'!$I$2:$I$1000="DONE"))&gt;0,"✓",IF(SUMPRODUCT(MAX(('Agences &amp; Après-vente'!$A$2:$A$1000=$A732)*(('Agences &amp; Après-vente'!$D$2:$D$1000="Agences")+('Agences &amp; Après-vente'!$D$2:$D$1000="Agences et Après-vente"))*'Agences &amp; Après-vente'!$E$2:$E$1000))&gt;0,TEXT(SUMPRODUCT(MAX(('Agences &amp; Après-vente'!$A$2:$A$1000=$A732)*(('Agences &amp; Après-vente'!$D$2:$D$1000="Agences")+('Agences &amp; Après-vente'!$D$2:$D$1000="Agences et Après-vente"))*'Agences &amp; Après-vente'!$E$2:$E$1000)),"yyyy-mm-dd"),""))))))</f>
        <v/>
      </c>
      <c r="I732" s="131" t="str">
        <f aca="false">IF($S732="✓","✓",IF(ISNUMBER($S732),TEXT($S732,"yyyy-mm-dd"),IF($A732="","",IF(SUMPRODUCT(('Agences &amp; Après-vente'!$A$2:$A$1000=$A732)*(('Agences &amp; Après-vente'!$D$2:$D$1000="Après-vente")+('Agences &amp; Après-vente'!$D$2:$D$1000="Agences et Après-vente"))*('Agences &amp; Après-vente'!$I$2:$I$1000="DONE"))&gt;0,"✓",IF(SUMPRODUCT(MAX(('Agences &amp; Après-vente'!$A$2:$A$1000=$A732)*(('Agences &amp; Après-vente'!$D$2:$D$1000="Après-vente")+('Agences &amp; Après-vente'!$D$2:$D$1000="Agences et Après-vente"))*'Agences &amp; Après-vente'!$E$2:$E$1000))&gt;0,TEXT(SUMPRODUCT(MAX(('Agences &amp; Après-vente'!$A$2:$A$1000=$A732)*(('Agences &amp; Après-vente'!$D$2:$D$1000="Après-vente")+('Agences &amp; Après-vente'!$D$2:$D$1000="Agences et Après-vente"))*'Agences &amp; Après-vente'!$E$2:$E$1000)),"yyyy-mm-dd"),"")))))</f>
        <v/>
      </c>
      <c r="J732" s="131" t="str">
        <f aca="false">IF($T732="✓","✓",IF(ISNUMBER($T732),TEXT($T732,"yyyy-mm-dd"),IF($A732="","",IF($D732="Lisbonne","",IF(SUMPRODUCT(('Agences &amp; Après-vente'!$A$2:$A$1000=$A732)*(('Agences &amp; Après-vente'!$D$2:$D$1000="Après-vente")+('Agences &amp; Après-vente'!$D$2:$D$1000="Agences et Après-vente"))*('Agences &amp; Après-vente'!$I$2:$I$1000="DONE"))&gt;0,"✓",IF(SUMPRODUCT(MAX(('Agences &amp; Après-vente'!$A$2:$A$1000=$A732)*(('Agences &amp; Après-vente'!$D$2:$D$1000="Après-vente")+('Agences &amp; Après-vente'!$D$2:$D$1000="Agences et Après-vente"))*'Agences &amp; Après-vente'!$E$2:$E$1000))&gt;0,TEXT(SUMPRODUCT(MAX(('Agences &amp; Après-vente'!$A$2:$A$1000=$A732)*(('Agences &amp; Après-vente'!$D$2:$D$1000="Après-vente")+('Agences &amp; Après-vente'!$D$2:$D$1000="Agences et Après-vente"))*'Agences &amp; Après-vente'!$E$2:$E$1000)),"yyyy-mm-dd"),""))))))</f>
        <v/>
      </c>
      <c r="K732" s="131" t="str">
        <f aca="false">IF($U732="✓","✓",IF(ISNUMBER($U732),TEXT($U732,"yyyy-mm-dd"),IF($D732="Lisbonne","",IF($A732="","",IF(SUMPRODUCT((Evermont!$A$2:$A$1000=$A732)*(Evermont!$Q$2:$Q$1000="Terminé"))&gt;0,"✓",IF(SUMPRODUCT(MAX((Evermont!$A$2:$A$1000=$A732)*Evermont!$F$2:$F$1000))&gt;0,TEXT(SUMPRODUCT(MAX((Evermont!$A$2:$A$1000=$A732)*Evermont!$F$2:$F$1000)),"yyyy-mm-dd"),""))))))</f>
        <v/>
      </c>
      <c r="L732" s="131" t="str">
        <f aca="false">IF($A732="","",COUNTIF(E732:K732,"✓"))</f>
        <v/>
      </c>
      <c r="M732" s="131" t="str">
        <f aca="false">IF(B732="","","Active")</f>
        <v/>
      </c>
      <c r="W732" s="120" t="str">
        <f aca="false">IF($A732="","",IF($X732&lt;&gt;"",$X732,IFERROR(INDEX('Formation Initiale'!$B$2:$B$999,MATCH($A732,'Formation Initiale'!$A$2:$A$999,0)),"Général")))</f>
        <v/>
      </c>
    </row>
    <row r="733" customFormat="false" ht="15" hidden="true" customHeight="true" outlineLevel="0" collapsed="false">
      <c r="A733" s="142" t="str">
        <f aca="false">IF(B733="","","TR"&amp;TEXT(ROW()-1,"000"))</f>
        <v/>
      </c>
      <c r="E733" s="130" t="str">
        <f aca="false">IF($O733="✓","✓",IF(ISNUMBER($O733),TEXT($O733,"yyyy-mm-dd"),IF($A733="","",IF(SUMPRODUCT(('Formation Initiale'!$A$2:$A$999=$A733)*('Formation Initiale'!$R$2:$R$999="Terminé"))&gt;0,"✓",IF(SUMPRODUCT(MAX(('Formation Initiale'!$A$2:$A$999=$A733)*'Formation Initiale'!$G$2:$G$999))&gt;0,TEXT(SUMPRODUCT(MAX(('Formation Initiale'!$A$2:$A$999=$A733)*'Formation Initiale'!$G$2:$G$999)),"yyyy-mm-dd"),"")))))</f>
        <v/>
      </c>
      <c r="F733" s="131" t="str">
        <f aca="false">IF($P733="✓","✓",IF(ISNUMBER($P733),TEXT($P733,"yyyy-mm-dd"),IF($A733="","",IF($D733="Lisbonne","",IF(SUMPRODUCT(('Formation Initiale'!$A$2:$A$999=$A733)*('Formation Initiale'!$R$2:$R$999="Terminé"))&gt;0,"✓",IF(SUMPRODUCT(MAX(('Formation Initiale'!$A$2:$A$999=$A733)*'Formation Initiale'!$G$2:$G$999))&gt;0,TEXT(SUMPRODUCT(MAX(('Formation Initiale'!$A$2:$A$999=$A733)*'Formation Initiale'!$G$2:$G$999)),"yyyy-mm-dd"),""))))))</f>
        <v/>
      </c>
      <c r="G733" s="131" t="str">
        <f aca="false">IF($Q733="✓","✓",IF(ISNUMBER($Q733),TEXT($Q733,"yyyy-mm-dd"),IF($A733="","",IF(SUMPRODUCT(('Agences &amp; Après-vente'!$A$2:$A$1000=$A733)*(('Agences &amp; Après-vente'!$D$2:$D$1000="Agences")+('Agences &amp; Après-vente'!$D$2:$D$1000="Agences et Après-vente"))*('Agences &amp; Après-vente'!$I$2:$I$1000="DONE"))&gt;0,"✓",IF(SUMPRODUCT(MAX(('Agences &amp; Après-vente'!$A$2:$A$1000=$A733)*(('Agences &amp; Après-vente'!$D$2:$D$1000="Agences")+('Agences &amp; Après-vente'!$D$2:$D$1000="Agences et Après-vente"))*'Agences &amp; Après-vente'!$E$2:$E$1000))&gt;0,TEXT(SUMPRODUCT(MAX(('Agences &amp; Après-vente'!$A$2:$A$1000=$A733)*(('Agences &amp; Après-vente'!$D$2:$D$1000="Agences")+('Agences &amp; Après-vente'!$D$2:$D$1000="Agences et Après-vente"))*'Agences &amp; Après-vente'!$E$2:$E$1000)),"yyyy-mm-dd"),"")))))</f>
        <v/>
      </c>
      <c r="H733" s="131" t="str">
        <f aca="false">IF($R733="✓","✓",IF(ISNUMBER($R733),TEXT($R733,"yyyy-mm-dd"),IF($A733="","",IF($D733="Lisbonne","",IF(SUMPRODUCT(('Agences &amp; Après-vente'!$A$2:$A$1000=$A733)*(('Agences &amp; Après-vente'!$D$2:$D$1000="Agences")+('Agences &amp; Après-vente'!$D$2:$D$1000="Agences et Après-vente"))*('Agences &amp; Après-vente'!$I$2:$I$1000="DONE"))&gt;0,"✓",IF(SUMPRODUCT(MAX(('Agences &amp; Après-vente'!$A$2:$A$1000=$A733)*(('Agences &amp; Après-vente'!$D$2:$D$1000="Agences")+('Agences &amp; Après-vente'!$D$2:$D$1000="Agences et Après-vente"))*'Agences &amp; Après-vente'!$E$2:$E$1000))&gt;0,TEXT(SUMPRODUCT(MAX(('Agences &amp; Après-vente'!$A$2:$A$1000=$A733)*(('Agences &amp; Après-vente'!$D$2:$D$1000="Agences")+('Agences &amp; Après-vente'!$D$2:$D$1000="Agences et Après-vente"))*'Agences &amp; Après-vente'!$E$2:$E$1000)),"yyyy-mm-dd"),""))))))</f>
        <v/>
      </c>
      <c r="I733" s="131" t="str">
        <f aca="false">IF($S733="✓","✓",IF(ISNUMBER($S733),TEXT($S733,"yyyy-mm-dd"),IF($A733="","",IF(SUMPRODUCT(('Agences &amp; Après-vente'!$A$2:$A$1000=$A733)*(('Agences &amp; Après-vente'!$D$2:$D$1000="Après-vente")+('Agences &amp; Après-vente'!$D$2:$D$1000="Agences et Après-vente"))*('Agences &amp; Après-vente'!$I$2:$I$1000="DONE"))&gt;0,"✓",IF(SUMPRODUCT(MAX(('Agences &amp; Après-vente'!$A$2:$A$1000=$A733)*(('Agences &amp; Après-vente'!$D$2:$D$1000="Après-vente")+('Agences &amp; Après-vente'!$D$2:$D$1000="Agences et Après-vente"))*'Agences &amp; Après-vente'!$E$2:$E$1000))&gt;0,TEXT(SUMPRODUCT(MAX(('Agences &amp; Après-vente'!$A$2:$A$1000=$A733)*(('Agences &amp; Après-vente'!$D$2:$D$1000="Après-vente")+('Agences &amp; Après-vente'!$D$2:$D$1000="Agences et Après-vente"))*'Agences &amp; Après-vente'!$E$2:$E$1000)),"yyyy-mm-dd"),"")))))</f>
        <v/>
      </c>
      <c r="J733" s="131" t="str">
        <f aca="false">IF($T733="✓","✓",IF(ISNUMBER($T733),TEXT($T733,"yyyy-mm-dd"),IF($A733="","",IF($D733="Lisbonne","",IF(SUMPRODUCT(('Agences &amp; Après-vente'!$A$2:$A$1000=$A733)*(('Agences &amp; Après-vente'!$D$2:$D$1000="Après-vente")+('Agences &amp; Après-vente'!$D$2:$D$1000="Agences et Après-vente"))*('Agences &amp; Après-vente'!$I$2:$I$1000="DONE"))&gt;0,"✓",IF(SUMPRODUCT(MAX(('Agences &amp; Après-vente'!$A$2:$A$1000=$A733)*(('Agences &amp; Après-vente'!$D$2:$D$1000="Après-vente")+('Agences &amp; Après-vente'!$D$2:$D$1000="Agences et Après-vente"))*'Agences &amp; Après-vente'!$E$2:$E$1000))&gt;0,TEXT(SUMPRODUCT(MAX(('Agences &amp; Après-vente'!$A$2:$A$1000=$A733)*(('Agences &amp; Après-vente'!$D$2:$D$1000="Après-vente")+('Agences &amp; Après-vente'!$D$2:$D$1000="Agences et Après-vente"))*'Agences &amp; Après-vente'!$E$2:$E$1000)),"yyyy-mm-dd"),""))))))</f>
        <v/>
      </c>
      <c r="K733" s="131" t="str">
        <f aca="false">IF($U733="✓","✓",IF(ISNUMBER($U733),TEXT($U733,"yyyy-mm-dd"),IF($D733="Lisbonne","",IF($A733="","",IF(SUMPRODUCT((Evermont!$A$2:$A$1000=$A733)*(Evermont!$Q$2:$Q$1000="Terminé"))&gt;0,"✓",IF(SUMPRODUCT(MAX((Evermont!$A$2:$A$1000=$A733)*Evermont!$F$2:$F$1000))&gt;0,TEXT(SUMPRODUCT(MAX((Evermont!$A$2:$A$1000=$A733)*Evermont!$F$2:$F$1000)),"yyyy-mm-dd"),""))))))</f>
        <v/>
      </c>
      <c r="L733" s="131" t="str">
        <f aca="false">IF($A733="","",COUNTIF(E733:K733,"✓"))</f>
        <v/>
      </c>
      <c r="M733" s="131" t="str">
        <f aca="false">IF(B733="","","Active")</f>
        <v/>
      </c>
      <c r="W733" s="120" t="str">
        <f aca="false">IF($A733="","",IF($X733&lt;&gt;"",$X733,IFERROR(INDEX('Formation Initiale'!$B$2:$B$999,MATCH($A733,'Formation Initiale'!$A$2:$A$999,0)),"Général")))</f>
        <v/>
      </c>
    </row>
    <row r="734" customFormat="false" ht="15" hidden="true" customHeight="true" outlineLevel="0" collapsed="false">
      <c r="A734" s="142" t="str">
        <f aca="false">IF(B734="","","TR"&amp;TEXT(ROW()-1,"000"))</f>
        <v/>
      </c>
      <c r="E734" s="130" t="str">
        <f aca="false">IF($O734="✓","✓",IF(ISNUMBER($O734),TEXT($O734,"yyyy-mm-dd"),IF($A734="","",IF(SUMPRODUCT(('Formation Initiale'!$A$2:$A$999=$A734)*('Formation Initiale'!$R$2:$R$999="Terminé"))&gt;0,"✓",IF(SUMPRODUCT(MAX(('Formation Initiale'!$A$2:$A$999=$A734)*'Formation Initiale'!$G$2:$G$999))&gt;0,TEXT(SUMPRODUCT(MAX(('Formation Initiale'!$A$2:$A$999=$A734)*'Formation Initiale'!$G$2:$G$999)),"yyyy-mm-dd"),"")))))</f>
        <v/>
      </c>
      <c r="F734" s="131" t="str">
        <f aca="false">IF($P734="✓","✓",IF(ISNUMBER($P734),TEXT($P734,"yyyy-mm-dd"),IF($A734="","",IF($D734="Lisbonne","",IF(SUMPRODUCT(('Formation Initiale'!$A$2:$A$999=$A734)*('Formation Initiale'!$R$2:$R$999="Terminé"))&gt;0,"✓",IF(SUMPRODUCT(MAX(('Formation Initiale'!$A$2:$A$999=$A734)*'Formation Initiale'!$G$2:$G$999))&gt;0,TEXT(SUMPRODUCT(MAX(('Formation Initiale'!$A$2:$A$999=$A734)*'Formation Initiale'!$G$2:$G$999)),"yyyy-mm-dd"),""))))))</f>
        <v/>
      </c>
      <c r="G734" s="131" t="str">
        <f aca="false">IF($Q734="✓","✓",IF(ISNUMBER($Q734),TEXT($Q734,"yyyy-mm-dd"),IF($A734="","",IF(SUMPRODUCT(('Agences &amp; Après-vente'!$A$2:$A$1000=$A734)*(('Agences &amp; Après-vente'!$D$2:$D$1000="Agences")+('Agences &amp; Après-vente'!$D$2:$D$1000="Agences et Après-vente"))*('Agences &amp; Après-vente'!$I$2:$I$1000="DONE"))&gt;0,"✓",IF(SUMPRODUCT(MAX(('Agences &amp; Après-vente'!$A$2:$A$1000=$A734)*(('Agences &amp; Après-vente'!$D$2:$D$1000="Agences")+('Agences &amp; Après-vente'!$D$2:$D$1000="Agences et Après-vente"))*'Agences &amp; Après-vente'!$E$2:$E$1000))&gt;0,TEXT(SUMPRODUCT(MAX(('Agences &amp; Après-vente'!$A$2:$A$1000=$A734)*(('Agences &amp; Après-vente'!$D$2:$D$1000="Agences")+('Agences &amp; Après-vente'!$D$2:$D$1000="Agences et Après-vente"))*'Agences &amp; Après-vente'!$E$2:$E$1000)),"yyyy-mm-dd"),"")))))</f>
        <v/>
      </c>
      <c r="H734" s="131" t="str">
        <f aca="false">IF($R734="✓","✓",IF(ISNUMBER($R734),TEXT($R734,"yyyy-mm-dd"),IF($A734="","",IF($D734="Lisbonne","",IF(SUMPRODUCT(('Agences &amp; Après-vente'!$A$2:$A$1000=$A734)*(('Agences &amp; Après-vente'!$D$2:$D$1000="Agences")+('Agences &amp; Après-vente'!$D$2:$D$1000="Agences et Après-vente"))*('Agences &amp; Après-vente'!$I$2:$I$1000="DONE"))&gt;0,"✓",IF(SUMPRODUCT(MAX(('Agences &amp; Après-vente'!$A$2:$A$1000=$A734)*(('Agences &amp; Après-vente'!$D$2:$D$1000="Agences")+('Agences &amp; Après-vente'!$D$2:$D$1000="Agences et Après-vente"))*'Agences &amp; Après-vente'!$E$2:$E$1000))&gt;0,TEXT(SUMPRODUCT(MAX(('Agences &amp; Après-vente'!$A$2:$A$1000=$A734)*(('Agences &amp; Après-vente'!$D$2:$D$1000="Agences")+('Agences &amp; Après-vente'!$D$2:$D$1000="Agences et Après-vente"))*'Agences &amp; Après-vente'!$E$2:$E$1000)),"yyyy-mm-dd"),""))))))</f>
        <v/>
      </c>
      <c r="I734" s="131" t="str">
        <f aca="false">IF($S734="✓","✓",IF(ISNUMBER($S734),TEXT($S734,"yyyy-mm-dd"),IF($A734="","",IF(SUMPRODUCT(('Agences &amp; Après-vente'!$A$2:$A$1000=$A734)*(('Agences &amp; Après-vente'!$D$2:$D$1000="Après-vente")+('Agences &amp; Après-vente'!$D$2:$D$1000="Agences et Après-vente"))*('Agences &amp; Après-vente'!$I$2:$I$1000="DONE"))&gt;0,"✓",IF(SUMPRODUCT(MAX(('Agences &amp; Après-vente'!$A$2:$A$1000=$A734)*(('Agences &amp; Après-vente'!$D$2:$D$1000="Après-vente")+('Agences &amp; Après-vente'!$D$2:$D$1000="Agences et Après-vente"))*'Agences &amp; Après-vente'!$E$2:$E$1000))&gt;0,TEXT(SUMPRODUCT(MAX(('Agences &amp; Après-vente'!$A$2:$A$1000=$A734)*(('Agences &amp; Après-vente'!$D$2:$D$1000="Après-vente")+('Agences &amp; Après-vente'!$D$2:$D$1000="Agences et Après-vente"))*'Agences &amp; Après-vente'!$E$2:$E$1000)),"yyyy-mm-dd"),"")))))</f>
        <v/>
      </c>
      <c r="J734" s="131" t="str">
        <f aca="false">IF($T734="✓","✓",IF(ISNUMBER($T734),TEXT($T734,"yyyy-mm-dd"),IF($A734="","",IF($D734="Lisbonne","",IF(SUMPRODUCT(('Agences &amp; Après-vente'!$A$2:$A$1000=$A734)*(('Agences &amp; Après-vente'!$D$2:$D$1000="Après-vente")+('Agences &amp; Après-vente'!$D$2:$D$1000="Agences et Après-vente"))*('Agences &amp; Après-vente'!$I$2:$I$1000="DONE"))&gt;0,"✓",IF(SUMPRODUCT(MAX(('Agences &amp; Après-vente'!$A$2:$A$1000=$A734)*(('Agences &amp; Après-vente'!$D$2:$D$1000="Après-vente")+('Agences &amp; Après-vente'!$D$2:$D$1000="Agences et Après-vente"))*'Agences &amp; Après-vente'!$E$2:$E$1000))&gt;0,TEXT(SUMPRODUCT(MAX(('Agences &amp; Après-vente'!$A$2:$A$1000=$A734)*(('Agences &amp; Après-vente'!$D$2:$D$1000="Après-vente")+('Agences &amp; Après-vente'!$D$2:$D$1000="Agences et Après-vente"))*'Agences &amp; Après-vente'!$E$2:$E$1000)),"yyyy-mm-dd"),""))))))</f>
        <v/>
      </c>
      <c r="K734" s="131" t="str">
        <f aca="false">IF($U734="✓","✓",IF(ISNUMBER($U734),TEXT($U734,"yyyy-mm-dd"),IF($D734="Lisbonne","",IF($A734="","",IF(SUMPRODUCT((Evermont!$A$2:$A$1000=$A734)*(Evermont!$Q$2:$Q$1000="Terminé"))&gt;0,"✓",IF(SUMPRODUCT(MAX((Evermont!$A$2:$A$1000=$A734)*Evermont!$F$2:$F$1000))&gt;0,TEXT(SUMPRODUCT(MAX((Evermont!$A$2:$A$1000=$A734)*Evermont!$F$2:$F$1000)),"yyyy-mm-dd"),""))))))</f>
        <v/>
      </c>
      <c r="L734" s="131" t="str">
        <f aca="false">IF($A734="","",COUNTIF(E734:K734,"✓"))</f>
        <v/>
      </c>
      <c r="M734" s="131" t="str">
        <f aca="false">IF(B734="","","Active")</f>
        <v/>
      </c>
      <c r="W734" s="120" t="str">
        <f aca="false">IF($A734="","",IF($X734&lt;&gt;"",$X734,IFERROR(INDEX('Formation Initiale'!$B$2:$B$999,MATCH($A734,'Formation Initiale'!$A$2:$A$999,0)),"Général")))</f>
        <v/>
      </c>
    </row>
    <row r="735" customFormat="false" ht="15" hidden="true" customHeight="true" outlineLevel="0" collapsed="false">
      <c r="A735" s="142" t="str">
        <f aca="false">IF(B735="","","TR"&amp;TEXT(ROW()-1,"000"))</f>
        <v/>
      </c>
      <c r="E735" s="130" t="str">
        <f aca="false">IF($O735="✓","✓",IF(ISNUMBER($O735),TEXT($O735,"yyyy-mm-dd"),IF($A735="","",IF(SUMPRODUCT(('Formation Initiale'!$A$2:$A$999=$A735)*('Formation Initiale'!$R$2:$R$999="Terminé"))&gt;0,"✓",IF(SUMPRODUCT(MAX(('Formation Initiale'!$A$2:$A$999=$A735)*'Formation Initiale'!$G$2:$G$999))&gt;0,TEXT(SUMPRODUCT(MAX(('Formation Initiale'!$A$2:$A$999=$A735)*'Formation Initiale'!$G$2:$G$999)),"yyyy-mm-dd"),"")))))</f>
        <v/>
      </c>
      <c r="F735" s="131" t="str">
        <f aca="false">IF($P735="✓","✓",IF(ISNUMBER($P735),TEXT($P735,"yyyy-mm-dd"),IF($A735="","",IF($D735="Lisbonne","",IF(SUMPRODUCT(('Formation Initiale'!$A$2:$A$999=$A735)*('Formation Initiale'!$R$2:$R$999="Terminé"))&gt;0,"✓",IF(SUMPRODUCT(MAX(('Formation Initiale'!$A$2:$A$999=$A735)*'Formation Initiale'!$G$2:$G$999))&gt;0,TEXT(SUMPRODUCT(MAX(('Formation Initiale'!$A$2:$A$999=$A735)*'Formation Initiale'!$G$2:$G$999)),"yyyy-mm-dd"),""))))))</f>
        <v/>
      </c>
      <c r="G735" s="131" t="str">
        <f aca="false">IF($Q735="✓","✓",IF(ISNUMBER($Q735),TEXT($Q735,"yyyy-mm-dd"),IF($A735="","",IF(SUMPRODUCT(('Agences &amp; Après-vente'!$A$2:$A$1000=$A735)*(('Agences &amp; Après-vente'!$D$2:$D$1000="Agences")+('Agences &amp; Après-vente'!$D$2:$D$1000="Agences et Après-vente"))*('Agences &amp; Après-vente'!$I$2:$I$1000="DONE"))&gt;0,"✓",IF(SUMPRODUCT(MAX(('Agences &amp; Après-vente'!$A$2:$A$1000=$A735)*(('Agences &amp; Après-vente'!$D$2:$D$1000="Agences")+('Agences &amp; Après-vente'!$D$2:$D$1000="Agences et Après-vente"))*'Agences &amp; Après-vente'!$E$2:$E$1000))&gt;0,TEXT(SUMPRODUCT(MAX(('Agences &amp; Après-vente'!$A$2:$A$1000=$A735)*(('Agences &amp; Après-vente'!$D$2:$D$1000="Agences")+('Agences &amp; Après-vente'!$D$2:$D$1000="Agences et Après-vente"))*'Agences &amp; Après-vente'!$E$2:$E$1000)),"yyyy-mm-dd"),"")))))</f>
        <v/>
      </c>
      <c r="H735" s="131" t="str">
        <f aca="false">IF($R735="✓","✓",IF(ISNUMBER($R735),TEXT($R735,"yyyy-mm-dd"),IF($A735="","",IF($D735="Lisbonne","",IF(SUMPRODUCT(('Agences &amp; Après-vente'!$A$2:$A$1000=$A735)*(('Agences &amp; Après-vente'!$D$2:$D$1000="Agences")+('Agences &amp; Après-vente'!$D$2:$D$1000="Agences et Après-vente"))*('Agences &amp; Après-vente'!$I$2:$I$1000="DONE"))&gt;0,"✓",IF(SUMPRODUCT(MAX(('Agences &amp; Après-vente'!$A$2:$A$1000=$A735)*(('Agences &amp; Après-vente'!$D$2:$D$1000="Agences")+('Agences &amp; Après-vente'!$D$2:$D$1000="Agences et Après-vente"))*'Agences &amp; Après-vente'!$E$2:$E$1000))&gt;0,TEXT(SUMPRODUCT(MAX(('Agences &amp; Après-vente'!$A$2:$A$1000=$A735)*(('Agences &amp; Après-vente'!$D$2:$D$1000="Agences")+('Agences &amp; Après-vente'!$D$2:$D$1000="Agences et Après-vente"))*'Agences &amp; Après-vente'!$E$2:$E$1000)),"yyyy-mm-dd"),""))))))</f>
        <v/>
      </c>
      <c r="I735" s="131" t="str">
        <f aca="false">IF($S735="✓","✓",IF(ISNUMBER($S735),TEXT($S735,"yyyy-mm-dd"),IF($A735="","",IF(SUMPRODUCT(('Agences &amp; Après-vente'!$A$2:$A$1000=$A735)*(('Agences &amp; Après-vente'!$D$2:$D$1000="Après-vente")+('Agences &amp; Après-vente'!$D$2:$D$1000="Agences et Après-vente"))*('Agences &amp; Après-vente'!$I$2:$I$1000="DONE"))&gt;0,"✓",IF(SUMPRODUCT(MAX(('Agences &amp; Après-vente'!$A$2:$A$1000=$A735)*(('Agences &amp; Après-vente'!$D$2:$D$1000="Après-vente")+('Agences &amp; Après-vente'!$D$2:$D$1000="Agences et Après-vente"))*'Agences &amp; Après-vente'!$E$2:$E$1000))&gt;0,TEXT(SUMPRODUCT(MAX(('Agences &amp; Après-vente'!$A$2:$A$1000=$A735)*(('Agences &amp; Après-vente'!$D$2:$D$1000="Après-vente")+('Agences &amp; Après-vente'!$D$2:$D$1000="Agences et Après-vente"))*'Agences &amp; Après-vente'!$E$2:$E$1000)),"yyyy-mm-dd"),"")))))</f>
        <v/>
      </c>
      <c r="J735" s="131" t="str">
        <f aca="false">IF($T735="✓","✓",IF(ISNUMBER($T735),TEXT($T735,"yyyy-mm-dd"),IF($A735="","",IF($D735="Lisbonne","",IF(SUMPRODUCT(('Agences &amp; Après-vente'!$A$2:$A$1000=$A735)*(('Agences &amp; Après-vente'!$D$2:$D$1000="Après-vente")+('Agences &amp; Après-vente'!$D$2:$D$1000="Agences et Après-vente"))*('Agences &amp; Après-vente'!$I$2:$I$1000="DONE"))&gt;0,"✓",IF(SUMPRODUCT(MAX(('Agences &amp; Après-vente'!$A$2:$A$1000=$A735)*(('Agences &amp; Après-vente'!$D$2:$D$1000="Après-vente")+('Agences &amp; Après-vente'!$D$2:$D$1000="Agences et Après-vente"))*'Agences &amp; Après-vente'!$E$2:$E$1000))&gt;0,TEXT(SUMPRODUCT(MAX(('Agences &amp; Après-vente'!$A$2:$A$1000=$A735)*(('Agences &amp; Après-vente'!$D$2:$D$1000="Après-vente")+('Agences &amp; Après-vente'!$D$2:$D$1000="Agences et Après-vente"))*'Agences &amp; Après-vente'!$E$2:$E$1000)),"yyyy-mm-dd"),""))))))</f>
        <v/>
      </c>
      <c r="K735" s="131" t="str">
        <f aca="false">IF($U735="✓","✓",IF(ISNUMBER($U735),TEXT($U735,"yyyy-mm-dd"),IF($D735="Lisbonne","",IF($A735="","",IF(SUMPRODUCT((Evermont!$A$2:$A$1000=$A735)*(Evermont!$Q$2:$Q$1000="Terminé"))&gt;0,"✓",IF(SUMPRODUCT(MAX((Evermont!$A$2:$A$1000=$A735)*Evermont!$F$2:$F$1000))&gt;0,TEXT(SUMPRODUCT(MAX((Evermont!$A$2:$A$1000=$A735)*Evermont!$F$2:$F$1000)),"yyyy-mm-dd"),""))))))</f>
        <v/>
      </c>
      <c r="L735" s="131" t="str">
        <f aca="false">IF($A735="","",COUNTIF(E735:K735,"✓"))</f>
        <v/>
      </c>
      <c r="M735" s="131" t="str">
        <f aca="false">IF(B735="","","Active")</f>
        <v/>
      </c>
      <c r="W735" s="120" t="str">
        <f aca="false">IF($A735="","",IF($X735&lt;&gt;"",$X735,IFERROR(INDEX('Formation Initiale'!$B$2:$B$999,MATCH($A735,'Formation Initiale'!$A$2:$A$999,0)),"Général")))</f>
        <v/>
      </c>
    </row>
    <row r="736" customFormat="false" ht="15" hidden="true" customHeight="true" outlineLevel="0" collapsed="false">
      <c r="A736" s="142" t="str">
        <f aca="false">IF(B736="","","TR"&amp;TEXT(ROW()-1,"000"))</f>
        <v/>
      </c>
      <c r="E736" s="130" t="str">
        <f aca="false">IF($O736="✓","✓",IF(ISNUMBER($O736),TEXT($O736,"yyyy-mm-dd"),IF($A736="","",IF(SUMPRODUCT(('Formation Initiale'!$A$2:$A$999=$A736)*('Formation Initiale'!$R$2:$R$999="Terminé"))&gt;0,"✓",IF(SUMPRODUCT(MAX(('Formation Initiale'!$A$2:$A$999=$A736)*'Formation Initiale'!$G$2:$G$999))&gt;0,TEXT(SUMPRODUCT(MAX(('Formation Initiale'!$A$2:$A$999=$A736)*'Formation Initiale'!$G$2:$G$999)),"yyyy-mm-dd"),"")))))</f>
        <v/>
      </c>
      <c r="F736" s="131" t="str">
        <f aca="false">IF($P736="✓","✓",IF(ISNUMBER($P736),TEXT($P736,"yyyy-mm-dd"),IF($A736="","",IF($D736="Lisbonne","",IF(SUMPRODUCT(('Formation Initiale'!$A$2:$A$999=$A736)*('Formation Initiale'!$R$2:$R$999="Terminé"))&gt;0,"✓",IF(SUMPRODUCT(MAX(('Formation Initiale'!$A$2:$A$999=$A736)*'Formation Initiale'!$G$2:$G$999))&gt;0,TEXT(SUMPRODUCT(MAX(('Formation Initiale'!$A$2:$A$999=$A736)*'Formation Initiale'!$G$2:$G$999)),"yyyy-mm-dd"),""))))))</f>
        <v/>
      </c>
      <c r="G736" s="131" t="str">
        <f aca="false">IF($Q736="✓","✓",IF(ISNUMBER($Q736),TEXT($Q736,"yyyy-mm-dd"),IF($A736="","",IF(SUMPRODUCT(('Agences &amp; Après-vente'!$A$2:$A$1000=$A736)*(('Agences &amp; Après-vente'!$D$2:$D$1000="Agences")+('Agences &amp; Après-vente'!$D$2:$D$1000="Agences et Après-vente"))*('Agences &amp; Après-vente'!$I$2:$I$1000="DONE"))&gt;0,"✓",IF(SUMPRODUCT(MAX(('Agences &amp; Après-vente'!$A$2:$A$1000=$A736)*(('Agences &amp; Après-vente'!$D$2:$D$1000="Agences")+('Agences &amp; Après-vente'!$D$2:$D$1000="Agences et Après-vente"))*'Agences &amp; Après-vente'!$E$2:$E$1000))&gt;0,TEXT(SUMPRODUCT(MAX(('Agences &amp; Après-vente'!$A$2:$A$1000=$A736)*(('Agences &amp; Après-vente'!$D$2:$D$1000="Agences")+('Agences &amp; Après-vente'!$D$2:$D$1000="Agences et Après-vente"))*'Agences &amp; Après-vente'!$E$2:$E$1000)),"yyyy-mm-dd"),"")))))</f>
        <v/>
      </c>
      <c r="H736" s="131" t="str">
        <f aca="false">IF($R736="✓","✓",IF(ISNUMBER($R736),TEXT($R736,"yyyy-mm-dd"),IF($A736="","",IF($D736="Lisbonne","",IF(SUMPRODUCT(('Agences &amp; Après-vente'!$A$2:$A$1000=$A736)*(('Agences &amp; Après-vente'!$D$2:$D$1000="Agences")+('Agences &amp; Après-vente'!$D$2:$D$1000="Agences et Après-vente"))*('Agences &amp; Après-vente'!$I$2:$I$1000="DONE"))&gt;0,"✓",IF(SUMPRODUCT(MAX(('Agences &amp; Après-vente'!$A$2:$A$1000=$A736)*(('Agences &amp; Après-vente'!$D$2:$D$1000="Agences")+('Agences &amp; Après-vente'!$D$2:$D$1000="Agences et Après-vente"))*'Agences &amp; Après-vente'!$E$2:$E$1000))&gt;0,TEXT(SUMPRODUCT(MAX(('Agences &amp; Après-vente'!$A$2:$A$1000=$A736)*(('Agences &amp; Après-vente'!$D$2:$D$1000="Agences")+('Agences &amp; Après-vente'!$D$2:$D$1000="Agences et Après-vente"))*'Agences &amp; Après-vente'!$E$2:$E$1000)),"yyyy-mm-dd"),""))))))</f>
        <v/>
      </c>
      <c r="I736" s="131" t="str">
        <f aca="false">IF($S736="✓","✓",IF(ISNUMBER($S736),TEXT($S736,"yyyy-mm-dd"),IF($A736="","",IF(SUMPRODUCT(('Agences &amp; Après-vente'!$A$2:$A$1000=$A736)*(('Agences &amp; Après-vente'!$D$2:$D$1000="Après-vente")+('Agences &amp; Après-vente'!$D$2:$D$1000="Agences et Après-vente"))*('Agences &amp; Après-vente'!$I$2:$I$1000="DONE"))&gt;0,"✓",IF(SUMPRODUCT(MAX(('Agences &amp; Après-vente'!$A$2:$A$1000=$A736)*(('Agences &amp; Après-vente'!$D$2:$D$1000="Après-vente")+('Agences &amp; Après-vente'!$D$2:$D$1000="Agences et Après-vente"))*'Agences &amp; Après-vente'!$E$2:$E$1000))&gt;0,TEXT(SUMPRODUCT(MAX(('Agences &amp; Après-vente'!$A$2:$A$1000=$A736)*(('Agences &amp; Après-vente'!$D$2:$D$1000="Après-vente")+('Agences &amp; Après-vente'!$D$2:$D$1000="Agences et Après-vente"))*'Agences &amp; Après-vente'!$E$2:$E$1000)),"yyyy-mm-dd"),"")))))</f>
        <v/>
      </c>
      <c r="J736" s="131" t="str">
        <f aca="false">IF($T736="✓","✓",IF(ISNUMBER($T736),TEXT($T736,"yyyy-mm-dd"),IF($A736="","",IF($D736="Lisbonne","",IF(SUMPRODUCT(('Agences &amp; Après-vente'!$A$2:$A$1000=$A736)*(('Agences &amp; Après-vente'!$D$2:$D$1000="Après-vente")+('Agences &amp; Après-vente'!$D$2:$D$1000="Agences et Après-vente"))*('Agences &amp; Après-vente'!$I$2:$I$1000="DONE"))&gt;0,"✓",IF(SUMPRODUCT(MAX(('Agences &amp; Après-vente'!$A$2:$A$1000=$A736)*(('Agences &amp; Après-vente'!$D$2:$D$1000="Après-vente")+('Agences &amp; Après-vente'!$D$2:$D$1000="Agences et Après-vente"))*'Agences &amp; Après-vente'!$E$2:$E$1000))&gt;0,TEXT(SUMPRODUCT(MAX(('Agences &amp; Après-vente'!$A$2:$A$1000=$A736)*(('Agences &amp; Après-vente'!$D$2:$D$1000="Après-vente")+('Agences &amp; Après-vente'!$D$2:$D$1000="Agences et Après-vente"))*'Agences &amp; Après-vente'!$E$2:$E$1000)),"yyyy-mm-dd"),""))))))</f>
        <v/>
      </c>
      <c r="K736" s="131" t="str">
        <f aca="false">IF($U736="✓","✓",IF(ISNUMBER($U736),TEXT($U736,"yyyy-mm-dd"),IF($D736="Lisbonne","",IF($A736="","",IF(SUMPRODUCT((Evermont!$A$2:$A$1000=$A736)*(Evermont!$Q$2:$Q$1000="Terminé"))&gt;0,"✓",IF(SUMPRODUCT(MAX((Evermont!$A$2:$A$1000=$A736)*Evermont!$F$2:$F$1000))&gt;0,TEXT(SUMPRODUCT(MAX((Evermont!$A$2:$A$1000=$A736)*Evermont!$F$2:$F$1000)),"yyyy-mm-dd"),""))))))</f>
        <v/>
      </c>
      <c r="L736" s="131" t="str">
        <f aca="false">IF($A736="","",COUNTIF(E736:K736,"✓"))</f>
        <v/>
      </c>
      <c r="M736" s="131" t="str">
        <f aca="false">IF(B736="","","Active")</f>
        <v/>
      </c>
      <c r="W736" s="120" t="str">
        <f aca="false">IF($A736="","",IF($X736&lt;&gt;"",$X736,IFERROR(INDEX('Formation Initiale'!$B$2:$B$999,MATCH($A736,'Formation Initiale'!$A$2:$A$999,0)),"Général")))</f>
        <v/>
      </c>
    </row>
    <row r="737" customFormat="false" ht="15" hidden="true" customHeight="true" outlineLevel="0" collapsed="false">
      <c r="A737" s="142" t="str">
        <f aca="false">IF(B737="","","TR"&amp;TEXT(ROW()-1,"000"))</f>
        <v/>
      </c>
      <c r="E737" s="130" t="str">
        <f aca="false">IF($O737="✓","✓",IF(ISNUMBER($O737),TEXT($O737,"yyyy-mm-dd"),IF($A737="","",IF(SUMPRODUCT(('Formation Initiale'!$A$2:$A$999=$A737)*('Formation Initiale'!$R$2:$R$999="Terminé"))&gt;0,"✓",IF(SUMPRODUCT(MAX(('Formation Initiale'!$A$2:$A$999=$A737)*'Formation Initiale'!$G$2:$G$999))&gt;0,TEXT(SUMPRODUCT(MAX(('Formation Initiale'!$A$2:$A$999=$A737)*'Formation Initiale'!$G$2:$G$999)),"yyyy-mm-dd"),"")))))</f>
        <v/>
      </c>
      <c r="F737" s="131" t="str">
        <f aca="false">IF($P737="✓","✓",IF(ISNUMBER($P737),TEXT($P737,"yyyy-mm-dd"),IF($A737="","",IF($D737="Lisbonne","",IF(SUMPRODUCT(('Formation Initiale'!$A$2:$A$999=$A737)*('Formation Initiale'!$R$2:$R$999="Terminé"))&gt;0,"✓",IF(SUMPRODUCT(MAX(('Formation Initiale'!$A$2:$A$999=$A737)*'Formation Initiale'!$G$2:$G$999))&gt;0,TEXT(SUMPRODUCT(MAX(('Formation Initiale'!$A$2:$A$999=$A737)*'Formation Initiale'!$G$2:$G$999)),"yyyy-mm-dd"),""))))))</f>
        <v/>
      </c>
      <c r="G737" s="131" t="str">
        <f aca="false">IF($Q737="✓","✓",IF(ISNUMBER($Q737),TEXT($Q737,"yyyy-mm-dd"),IF($A737="","",IF(SUMPRODUCT(('Agences &amp; Après-vente'!$A$2:$A$1000=$A737)*(('Agences &amp; Après-vente'!$D$2:$D$1000="Agences")+('Agences &amp; Après-vente'!$D$2:$D$1000="Agences et Après-vente"))*('Agences &amp; Après-vente'!$I$2:$I$1000="DONE"))&gt;0,"✓",IF(SUMPRODUCT(MAX(('Agences &amp; Après-vente'!$A$2:$A$1000=$A737)*(('Agences &amp; Après-vente'!$D$2:$D$1000="Agences")+('Agences &amp; Après-vente'!$D$2:$D$1000="Agences et Après-vente"))*'Agences &amp; Après-vente'!$E$2:$E$1000))&gt;0,TEXT(SUMPRODUCT(MAX(('Agences &amp; Après-vente'!$A$2:$A$1000=$A737)*(('Agences &amp; Après-vente'!$D$2:$D$1000="Agences")+('Agences &amp; Après-vente'!$D$2:$D$1000="Agences et Après-vente"))*'Agences &amp; Après-vente'!$E$2:$E$1000)),"yyyy-mm-dd"),"")))))</f>
        <v/>
      </c>
      <c r="H737" s="131" t="str">
        <f aca="false">IF($R737="✓","✓",IF(ISNUMBER($R737),TEXT($R737,"yyyy-mm-dd"),IF($A737="","",IF($D737="Lisbonne","",IF(SUMPRODUCT(('Agences &amp; Après-vente'!$A$2:$A$1000=$A737)*(('Agences &amp; Après-vente'!$D$2:$D$1000="Agences")+('Agences &amp; Après-vente'!$D$2:$D$1000="Agences et Après-vente"))*('Agences &amp; Après-vente'!$I$2:$I$1000="DONE"))&gt;0,"✓",IF(SUMPRODUCT(MAX(('Agences &amp; Après-vente'!$A$2:$A$1000=$A737)*(('Agences &amp; Après-vente'!$D$2:$D$1000="Agences")+('Agences &amp; Après-vente'!$D$2:$D$1000="Agences et Après-vente"))*'Agences &amp; Après-vente'!$E$2:$E$1000))&gt;0,TEXT(SUMPRODUCT(MAX(('Agences &amp; Après-vente'!$A$2:$A$1000=$A737)*(('Agences &amp; Après-vente'!$D$2:$D$1000="Agences")+('Agences &amp; Après-vente'!$D$2:$D$1000="Agences et Après-vente"))*'Agences &amp; Après-vente'!$E$2:$E$1000)),"yyyy-mm-dd"),""))))))</f>
        <v/>
      </c>
      <c r="I737" s="131" t="str">
        <f aca="false">IF($S737="✓","✓",IF(ISNUMBER($S737),TEXT($S737,"yyyy-mm-dd"),IF($A737="","",IF(SUMPRODUCT(('Agences &amp; Après-vente'!$A$2:$A$1000=$A737)*(('Agences &amp; Après-vente'!$D$2:$D$1000="Après-vente")+('Agences &amp; Après-vente'!$D$2:$D$1000="Agences et Après-vente"))*('Agences &amp; Après-vente'!$I$2:$I$1000="DONE"))&gt;0,"✓",IF(SUMPRODUCT(MAX(('Agences &amp; Après-vente'!$A$2:$A$1000=$A737)*(('Agences &amp; Après-vente'!$D$2:$D$1000="Après-vente")+('Agences &amp; Après-vente'!$D$2:$D$1000="Agences et Après-vente"))*'Agences &amp; Après-vente'!$E$2:$E$1000))&gt;0,TEXT(SUMPRODUCT(MAX(('Agences &amp; Après-vente'!$A$2:$A$1000=$A737)*(('Agences &amp; Après-vente'!$D$2:$D$1000="Après-vente")+('Agences &amp; Après-vente'!$D$2:$D$1000="Agences et Après-vente"))*'Agences &amp; Après-vente'!$E$2:$E$1000)),"yyyy-mm-dd"),"")))))</f>
        <v/>
      </c>
      <c r="J737" s="131" t="str">
        <f aca="false">IF($T737="✓","✓",IF(ISNUMBER($T737),TEXT($T737,"yyyy-mm-dd"),IF($A737="","",IF($D737="Lisbonne","",IF(SUMPRODUCT(('Agences &amp; Après-vente'!$A$2:$A$1000=$A737)*(('Agences &amp; Après-vente'!$D$2:$D$1000="Après-vente")+('Agences &amp; Après-vente'!$D$2:$D$1000="Agences et Après-vente"))*('Agences &amp; Après-vente'!$I$2:$I$1000="DONE"))&gt;0,"✓",IF(SUMPRODUCT(MAX(('Agences &amp; Après-vente'!$A$2:$A$1000=$A737)*(('Agences &amp; Après-vente'!$D$2:$D$1000="Après-vente")+('Agences &amp; Après-vente'!$D$2:$D$1000="Agences et Après-vente"))*'Agences &amp; Après-vente'!$E$2:$E$1000))&gt;0,TEXT(SUMPRODUCT(MAX(('Agences &amp; Après-vente'!$A$2:$A$1000=$A737)*(('Agences &amp; Après-vente'!$D$2:$D$1000="Après-vente")+('Agences &amp; Après-vente'!$D$2:$D$1000="Agences et Après-vente"))*'Agences &amp; Après-vente'!$E$2:$E$1000)),"yyyy-mm-dd"),""))))))</f>
        <v/>
      </c>
      <c r="K737" s="131" t="str">
        <f aca="false">IF($U737="✓","✓",IF(ISNUMBER($U737),TEXT($U737,"yyyy-mm-dd"),IF($D737="Lisbonne","",IF($A737="","",IF(SUMPRODUCT((Evermont!$A$2:$A$1000=$A737)*(Evermont!$Q$2:$Q$1000="Terminé"))&gt;0,"✓",IF(SUMPRODUCT(MAX((Evermont!$A$2:$A$1000=$A737)*Evermont!$F$2:$F$1000))&gt;0,TEXT(SUMPRODUCT(MAX((Evermont!$A$2:$A$1000=$A737)*Evermont!$F$2:$F$1000)),"yyyy-mm-dd"),""))))))</f>
        <v/>
      </c>
      <c r="L737" s="131" t="str">
        <f aca="false">IF($A737="","",COUNTIF(E737:K737,"✓"))</f>
        <v/>
      </c>
      <c r="M737" s="131" t="str">
        <f aca="false">IF(B737="","","Active")</f>
        <v/>
      </c>
      <c r="W737" s="120" t="str">
        <f aca="false">IF($A737="","",IF($X737&lt;&gt;"",$X737,IFERROR(INDEX('Formation Initiale'!$B$2:$B$999,MATCH($A737,'Formation Initiale'!$A$2:$A$999,0)),"Général")))</f>
        <v/>
      </c>
    </row>
    <row r="738" customFormat="false" ht="15" hidden="true" customHeight="true" outlineLevel="0" collapsed="false">
      <c r="A738" s="142" t="str">
        <f aca="false">IF(B738="","","TR"&amp;TEXT(ROW()-1,"000"))</f>
        <v/>
      </c>
      <c r="E738" s="130" t="str">
        <f aca="false">IF($O738="✓","✓",IF(ISNUMBER($O738),TEXT($O738,"yyyy-mm-dd"),IF($A738="","",IF(SUMPRODUCT(('Formation Initiale'!$A$2:$A$999=$A738)*('Formation Initiale'!$R$2:$R$999="Terminé"))&gt;0,"✓",IF(SUMPRODUCT(MAX(('Formation Initiale'!$A$2:$A$999=$A738)*'Formation Initiale'!$G$2:$G$999))&gt;0,TEXT(SUMPRODUCT(MAX(('Formation Initiale'!$A$2:$A$999=$A738)*'Formation Initiale'!$G$2:$G$999)),"yyyy-mm-dd"),"")))))</f>
        <v/>
      </c>
      <c r="F738" s="131" t="str">
        <f aca="false">IF($P738="✓","✓",IF(ISNUMBER($P738),TEXT($P738,"yyyy-mm-dd"),IF($A738="","",IF($D738="Lisbonne","",IF(SUMPRODUCT(('Formation Initiale'!$A$2:$A$999=$A738)*('Formation Initiale'!$R$2:$R$999="Terminé"))&gt;0,"✓",IF(SUMPRODUCT(MAX(('Formation Initiale'!$A$2:$A$999=$A738)*'Formation Initiale'!$G$2:$G$999))&gt;0,TEXT(SUMPRODUCT(MAX(('Formation Initiale'!$A$2:$A$999=$A738)*'Formation Initiale'!$G$2:$G$999)),"yyyy-mm-dd"),""))))))</f>
        <v/>
      </c>
      <c r="G738" s="131" t="str">
        <f aca="false">IF($Q738="✓","✓",IF(ISNUMBER($Q738),TEXT($Q738,"yyyy-mm-dd"),IF($A738="","",IF(SUMPRODUCT(('Agences &amp; Après-vente'!$A$2:$A$1000=$A738)*(('Agences &amp; Après-vente'!$D$2:$D$1000="Agences")+('Agences &amp; Après-vente'!$D$2:$D$1000="Agences et Après-vente"))*('Agences &amp; Après-vente'!$I$2:$I$1000="DONE"))&gt;0,"✓",IF(SUMPRODUCT(MAX(('Agences &amp; Après-vente'!$A$2:$A$1000=$A738)*(('Agences &amp; Après-vente'!$D$2:$D$1000="Agences")+('Agences &amp; Après-vente'!$D$2:$D$1000="Agences et Après-vente"))*'Agences &amp; Après-vente'!$E$2:$E$1000))&gt;0,TEXT(SUMPRODUCT(MAX(('Agences &amp; Après-vente'!$A$2:$A$1000=$A738)*(('Agences &amp; Après-vente'!$D$2:$D$1000="Agences")+('Agences &amp; Après-vente'!$D$2:$D$1000="Agences et Après-vente"))*'Agences &amp; Après-vente'!$E$2:$E$1000)),"yyyy-mm-dd"),"")))))</f>
        <v/>
      </c>
      <c r="H738" s="131" t="str">
        <f aca="false">IF($R738="✓","✓",IF(ISNUMBER($R738),TEXT($R738,"yyyy-mm-dd"),IF($A738="","",IF($D738="Lisbonne","",IF(SUMPRODUCT(('Agences &amp; Après-vente'!$A$2:$A$1000=$A738)*(('Agences &amp; Après-vente'!$D$2:$D$1000="Agences")+('Agences &amp; Après-vente'!$D$2:$D$1000="Agences et Après-vente"))*('Agences &amp; Après-vente'!$I$2:$I$1000="DONE"))&gt;0,"✓",IF(SUMPRODUCT(MAX(('Agences &amp; Après-vente'!$A$2:$A$1000=$A738)*(('Agences &amp; Après-vente'!$D$2:$D$1000="Agences")+('Agences &amp; Après-vente'!$D$2:$D$1000="Agences et Après-vente"))*'Agences &amp; Après-vente'!$E$2:$E$1000))&gt;0,TEXT(SUMPRODUCT(MAX(('Agences &amp; Après-vente'!$A$2:$A$1000=$A738)*(('Agences &amp; Après-vente'!$D$2:$D$1000="Agences")+('Agences &amp; Après-vente'!$D$2:$D$1000="Agences et Après-vente"))*'Agences &amp; Après-vente'!$E$2:$E$1000)),"yyyy-mm-dd"),""))))))</f>
        <v/>
      </c>
      <c r="I738" s="131" t="str">
        <f aca="false">IF($S738="✓","✓",IF(ISNUMBER($S738),TEXT($S738,"yyyy-mm-dd"),IF($A738="","",IF(SUMPRODUCT(('Agences &amp; Après-vente'!$A$2:$A$1000=$A738)*(('Agences &amp; Après-vente'!$D$2:$D$1000="Après-vente")+('Agences &amp; Après-vente'!$D$2:$D$1000="Agences et Après-vente"))*('Agences &amp; Après-vente'!$I$2:$I$1000="DONE"))&gt;0,"✓",IF(SUMPRODUCT(MAX(('Agences &amp; Après-vente'!$A$2:$A$1000=$A738)*(('Agences &amp; Après-vente'!$D$2:$D$1000="Après-vente")+('Agences &amp; Après-vente'!$D$2:$D$1000="Agences et Après-vente"))*'Agences &amp; Après-vente'!$E$2:$E$1000))&gt;0,TEXT(SUMPRODUCT(MAX(('Agences &amp; Après-vente'!$A$2:$A$1000=$A738)*(('Agences &amp; Après-vente'!$D$2:$D$1000="Après-vente")+('Agences &amp; Après-vente'!$D$2:$D$1000="Agences et Après-vente"))*'Agences &amp; Après-vente'!$E$2:$E$1000)),"yyyy-mm-dd"),"")))))</f>
        <v/>
      </c>
      <c r="J738" s="131" t="str">
        <f aca="false">IF($T738="✓","✓",IF(ISNUMBER($T738),TEXT($T738,"yyyy-mm-dd"),IF($A738="","",IF($D738="Lisbonne","",IF(SUMPRODUCT(('Agences &amp; Après-vente'!$A$2:$A$1000=$A738)*(('Agences &amp; Après-vente'!$D$2:$D$1000="Après-vente")+('Agences &amp; Après-vente'!$D$2:$D$1000="Agences et Après-vente"))*('Agences &amp; Après-vente'!$I$2:$I$1000="DONE"))&gt;0,"✓",IF(SUMPRODUCT(MAX(('Agences &amp; Après-vente'!$A$2:$A$1000=$A738)*(('Agences &amp; Après-vente'!$D$2:$D$1000="Après-vente")+('Agences &amp; Après-vente'!$D$2:$D$1000="Agences et Après-vente"))*'Agences &amp; Après-vente'!$E$2:$E$1000))&gt;0,TEXT(SUMPRODUCT(MAX(('Agences &amp; Après-vente'!$A$2:$A$1000=$A738)*(('Agences &amp; Après-vente'!$D$2:$D$1000="Après-vente")+('Agences &amp; Après-vente'!$D$2:$D$1000="Agences et Après-vente"))*'Agences &amp; Après-vente'!$E$2:$E$1000)),"yyyy-mm-dd"),""))))))</f>
        <v/>
      </c>
      <c r="K738" s="131" t="str">
        <f aca="false">IF($U738="✓","✓",IF(ISNUMBER($U738),TEXT($U738,"yyyy-mm-dd"),IF($D738="Lisbonne","",IF($A738="","",IF(SUMPRODUCT((Evermont!$A$2:$A$1000=$A738)*(Evermont!$Q$2:$Q$1000="Terminé"))&gt;0,"✓",IF(SUMPRODUCT(MAX((Evermont!$A$2:$A$1000=$A738)*Evermont!$F$2:$F$1000))&gt;0,TEXT(SUMPRODUCT(MAX((Evermont!$A$2:$A$1000=$A738)*Evermont!$F$2:$F$1000)),"yyyy-mm-dd"),""))))))</f>
        <v/>
      </c>
      <c r="L738" s="131" t="str">
        <f aca="false">IF($A738="","",COUNTIF(E738:K738,"✓"))</f>
        <v/>
      </c>
      <c r="M738" s="131" t="str">
        <f aca="false">IF(B738="","","Active")</f>
        <v/>
      </c>
      <c r="W738" s="120" t="str">
        <f aca="false">IF($A738="","",IF($X738&lt;&gt;"",$X738,IFERROR(INDEX('Formation Initiale'!$B$2:$B$999,MATCH($A738,'Formation Initiale'!$A$2:$A$999,0)),"Général")))</f>
        <v/>
      </c>
    </row>
    <row r="739" customFormat="false" ht="15" hidden="true" customHeight="true" outlineLevel="0" collapsed="false">
      <c r="A739" s="142" t="str">
        <f aca="false">IF(B739="","","TR"&amp;TEXT(ROW()-1,"000"))</f>
        <v/>
      </c>
      <c r="E739" s="130" t="str">
        <f aca="false">IF($O739="✓","✓",IF(ISNUMBER($O739),TEXT($O739,"yyyy-mm-dd"),IF($A739="","",IF(SUMPRODUCT(('Formation Initiale'!$A$2:$A$999=$A739)*('Formation Initiale'!$R$2:$R$999="Terminé"))&gt;0,"✓",IF(SUMPRODUCT(MAX(('Formation Initiale'!$A$2:$A$999=$A739)*'Formation Initiale'!$G$2:$G$999))&gt;0,TEXT(SUMPRODUCT(MAX(('Formation Initiale'!$A$2:$A$999=$A739)*'Formation Initiale'!$G$2:$G$999)),"yyyy-mm-dd"),"")))))</f>
        <v/>
      </c>
      <c r="F739" s="131" t="str">
        <f aca="false">IF($P739="✓","✓",IF(ISNUMBER($P739),TEXT($P739,"yyyy-mm-dd"),IF($A739="","",IF($D739="Lisbonne","",IF(SUMPRODUCT(('Formation Initiale'!$A$2:$A$999=$A739)*('Formation Initiale'!$R$2:$R$999="Terminé"))&gt;0,"✓",IF(SUMPRODUCT(MAX(('Formation Initiale'!$A$2:$A$999=$A739)*'Formation Initiale'!$G$2:$G$999))&gt;0,TEXT(SUMPRODUCT(MAX(('Formation Initiale'!$A$2:$A$999=$A739)*'Formation Initiale'!$G$2:$G$999)),"yyyy-mm-dd"),""))))))</f>
        <v/>
      </c>
      <c r="G739" s="131" t="str">
        <f aca="false">IF($Q739="✓","✓",IF(ISNUMBER($Q739),TEXT($Q739,"yyyy-mm-dd"),IF($A739="","",IF(SUMPRODUCT(('Agences &amp; Après-vente'!$A$2:$A$1000=$A739)*(('Agences &amp; Après-vente'!$D$2:$D$1000="Agences")+('Agences &amp; Après-vente'!$D$2:$D$1000="Agences et Après-vente"))*('Agences &amp; Après-vente'!$I$2:$I$1000="DONE"))&gt;0,"✓",IF(SUMPRODUCT(MAX(('Agences &amp; Après-vente'!$A$2:$A$1000=$A739)*(('Agences &amp; Après-vente'!$D$2:$D$1000="Agences")+('Agences &amp; Après-vente'!$D$2:$D$1000="Agences et Après-vente"))*'Agences &amp; Après-vente'!$E$2:$E$1000))&gt;0,TEXT(SUMPRODUCT(MAX(('Agences &amp; Après-vente'!$A$2:$A$1000=$A739)*(('Agences &amp; Après-vente'!$D$2:$D$1000="Agences")+('Agences &amp; Après-vente'!$D$2:$D$1000="Agences et Après-vente"))*'Agences &amp; Après-vente'!$E$2:$E$1000)),"yyyy-mm-dd"),"")))))</f>
        <v/>
      </c>
      <c r="H739" s="131" t="str">
        <f aca="false">IF($R739="✓","✓",IF(ISNUMBER($R739),TEXT($R739,"yyyy-mm-dd"),IF($A739="","",IF($D739="Lisbonne","",IF(SUMPRODUCT(('Agences &amp; Après-vente'!$A$2:$A$1000=$A739)*(('Agences &amp; Après-vente'!$D$2:$D$1000="Agences")+('Agences &amp; Après-vente'!$D$2:$D$1000="Agences et Après-vente"))*('Agences &amp; Après-vente'!$I$2:$I$1000="DONE"))&gt;0,"✓",IF(SUMPRODUCT(MAX(('Agences &amp; Après-vente'!$A$2:$A$1000=$A739)*(('Agences &amp; Après-vente'!$D$2:$D$1000="Agences")+('Agences &amp; Après-vente'!$D$2:$D$1000="Agences et Après-vente"))*'Agences &amp; Après-vente'!$E$2:$E$1000))&gt;0,TEXT(SUMPRODUCT(MAX(('Agences &amp; Après-vente'!$A$2:$A$1000=$A739)*(('Agences &amp; Après-vente'!$D$2:$D$1000="Agences")+('Agences &amp; Après-vente'!$D$2:$D$1000="Agences et Après-vente"))*'Agences &amp; Après-vente'!$E$2:$E$1000)),"yyyy-mm-dd"),""))))))</f>
        <v/>
      </c>
      <c r="I739" s="131" t="str">
        <f aca="false">IF($S739="✓","✓",IF(ISNUMBER($S739),TEXT($S739,"yyyy-mm-dd"),IF($A739="","",IF(SUMPRODUCT(('Agences &amp; Après-vente'!$A$2:$A$1000=$A739)*(('Agences &amp; Après-vente'!$D$2:$D$1000="Après-vente")+('Agences &amp; Après-vente'!$D$2:$D$1000="Agences et Après-vente"))*('Agences &amp; Après-vente'!$I$2:$I$1000="DONE"))&gt;0,"✓",IF(SUMPRODUCT(MAX(('Agences &amp; Après-vente'!$A$2:$A$1000=$A739)*(('Agences &amp; Après-vente'!$D$2:$D$1000="Après-vente")+('Agences &amp; Après-vente'!$D$2:$D$1000="Agences et Après-vente"))*'Agences &amp; Après-vente'!$E$2:$E$1000))&gt;0,TEXT(SUMPRODUCT(MAX(('Agences &amp; Après-vente'!$A$2:$A$1000=$A739)*(('Agences &amp; Après-vente'!$D$2:$D$1000="Après-vente")+('Agences &amp; Après-vente'!$D$2:$D$1000="Agences et Après-vente"))*'Agences &amp; Après-vente'!$E$2:$E$1000)),"yyyy-mm-dd"),"")))))</f>
        <v/>
      </c>
      <c r="J739" s="131" t="str">
        <f aca="false">IF($T739="✓","✓",IF(ISNUMBER($T739),TEXT($T739,"yyyy-mm-dd"),IF($A739="","",IF($D739="Lisbonne","",IF(SUMPRODUCT(('Agences &amp; Après-vente'!$A$2:$A$1000=$A739)*(('Agences &amp; Après-vente'!$D$2:$D$1000="Après-vente")+('Agences &amp; Après-vente'!$D$2:$D$1000="Agences et Après-vente"))*('Agences &amp; Après-vente'!$I$2:$I$1000="DONE"))&gt;0,"✓",IF(SUMPRODUCT(MAX(('Agences &amp; Après-vente'!$A$2:$A$1000=$A739)*(('Agences &amp; Après-vente'!$D$2:$D$1000="Après-vente")+('Agences &amp; Après-vente'!$D$2:$D$1000="Agences et Après-vente"))*'Agences &amp; Après-vente'!$E$2:$E$1000))&gt;0,TEXT(SUMPRODUCT(MAX(('Agences &amp; Après-vente'!$A$2:$A$1000=$A739)*(('Agences &amp; Après-vente'!$D$2:$D$1000="Après-vente")+('Agences &amp; Après-vente'!$D$2:$D$1000="Agences et Après-vente"))*'Agences &amp; Après-vente'!$E$2:$E$1000)),"yyyy-mm-dd"),""))))))</f>
        <v/>
      </c>
      <c r="K739" s="131" t="str">
        <f aca="false">IF($U739="✓","✓",IF(ISNUMBER($U739),TEXT($U739,"yyyy-mm-dd"),IF($D739="Lisbonne","",IF($A739="","",IF(SUMPRODUCT((Evermont!$A$2:$A$1000=$A739)*(Evermont!$Q$2:$Q$1000="Terminé"))&gt;0,"✓",IF(SUMPRODUCT(MAX((Evermont!$A$2:$A$1000=$A739)*Evermont!$F$2:$F$1000))&gt;0,TEXT(SUMPRODUCT(MAX((Evermont!$A$2:$A$1000=$A739)*Evermont!$F$2:$F$1000)),"yyyy-mm-dd"),""))))))</f>
        <v/>
      </c>
      <c r="L739" s="131" t="str">
        <f aca="false">IF($A739="","",COUNTIF(E739:K739,"✓"))</f>
        <v/>
      </c>
      <c r="M739" s="131" t="str">
        <f aca="false">IF(B739="","","Active")</f>
        <v/>
      </c>
      <c r="W739" s="120" t="str">
        <f aca="false">IF($A739="","",IF($X739&lt;&gt;"",$X739,IFERROR(INDEX('Formation Initiale'!$B$2:$B$999,MATCH($A739,'Formation Initiale'!$A$2:$A$999,0)),"Général")))</f>
        <v/>
      </c>
    </row>
    <row r="740" customFormat="false" ht="15" hidden="true" customHeight="true" outlineLevel="0" collapsed="false">
      <c r="A740" s="142" t="str">
        <f aca="false">IF(B740="","","TR"&amp;TEXT(ROW()-1,"000"))</f>
        <v/>
      </c>
      <c r="E740" s="130" t="str">
        <f aca="false">IF($O740="✓","✓",IF(ISNUMBER($O740),TEXT($O740,"yyyy-mm-dd"),IF($A740="","",IF(SUMPRODUCT(('Formation Initiale'!$A$2:$A$999=$A740)*('Formation Initiale'!$R$2:$R$999="Terminé"))&gt;0,"✓",IF(SUMPRODUCT(MAX(('Formation Initiale'!$A$2:$A$999=$A740)*'Formation Initiale'!$G$2:$G$999))&gt;0,TEXT(SUMPRODUCT(MAX(('Formation Initiale'!$A$2:$A$999=$A740)*'Formation Initiale'!$G$2:$G$999)),"yyyy-mm-dd"),"")))))</f>
        <v/>
      </c>
      <c r="F740" s="131" t="str">
        <f aca="false">IF($P740="✓","✓",IF(ISNUMBER($P740),TEXT($P740,"yyyy-mm-dd"),IF($A740="","",IF($D740="Lisbonne","",IF(SUMPRODUCT(('Formation Initiale'!$A$2:$A$999=$A740)*('Formation Initiale'!$R$2:$R$999="Terminé"))&gt;0,"✓",IF(SUMPRODUCT(MAX(('Formation Initiale'!$A$2:$A$999=$A740)*'Formation Initiale'!$G$2:$G$999))&gt;0,TEXT(SUMPRODUCT(MAX(('Formation Initiale'!$A$2:$A$999=$A740)*'Formation Initiale'!$G$2:$G$999)),"yyyy-mm-dd"),""))))))</f>
        <v/>
      </c>
      <c r="G740" s="131" t="str">
        <f aca="false">IF($Q740="✓","✓",IF(ISNUMBER($Q740),TEXT($Q740,"yyyy-mm-dd"),IF($A740="","",IF(SUMPRODUCT(('Agences &amp; Après-vente'!$A$2:$A$1000=$A740)*(('Agences &amp; Après-vente'!$D$2:$D$1000="Agences")+('Agences &amp; Après-vente'!$D$2:$D$1000="Agences et Après-vente"))*('Agences &amp; Après-vente'!$I$2:$I$1000="DONE"))&gt;0,"✓",IF(SUMPRODUCT(MAX(('Agences &amp; Après-vente'!$A$2:$A$1000=$A740)*(('Agences &amp; Après-vente'!$D$2:$D$1000="Agences")+('Agences &amp; Après-vente'!$D$2:$D$1000="Agences et Après-vente"))*'Agences &amp; Après-vente'!$E$2:$E$1000))&gt;0,TEXT(SUMPRODUCT(MAX(('Agences &amp; Après-vente'!$A$2:$A$1000=$A740)*(('Agences &amp; Après-vente'!$D$2:$D$1000="Agences")+('Agences &amp; Après-vente'!$D$2:$D$1000="Agences et Après-vente"))*'Agences &amp; Après-vente'!$E$2:$E$1000)),"yyyy-mm-dd"),"")))))</f>
        <v/>
      </c>
      <c r="H740" s="131" t="str">
        <f aca="false">IF($R740="✓","✓",IF(ISNUMBER($R740),TEXT($R740,"yyyy-mm-dd"),IF($A740="","",IF($D740="Lisbonne","",IF(SUMPRODUCT(('Agences &amp; Après-vente'!$A$2:$A$1000=$A740)*(('Agences &amp; Après-vente'!$D$2:$D$1000="Agences")+('Agences &amp; Après-vente'!$D$2:$D$1000="Agences et Après-vente"))*('Agences &amp; Après-vente'!$I$2:$I$1000="DONE"))&gt;0,"✓",IF(SUMPRODUCT(MAX(('Agences &amp; Après-vente'!$A$2:$A$1000=$A740)*(('Agences &amp; Après-vente'!$D$2:$D$1000="Agences")+('Agences &amp; Après-vente'!$D$2:$D$1000="Agences et Après-vente"))*'Agences &amp; Après-vente'!$E$2:$E$1000))&gt;0,TEXT(SUMPRODUCT(MAX(('Agences &amp; Après-vente'!$A$2:$A$1000=$A740)*(('Agences &amp; Après-vente'!$D$2:$D$1000="Agences")+('Agences &amp; Après-vente'!$D$2:$D$1000="Agences et Après-vente"))*'Agences &amp; Après-vente'!$E$2:$E$1000)),"yyyy-mm-dd"),""))))))</f>
        <v/>
      </c>
      <c r="I740" s="131" t="str">
        <f aca="false">IF($S740="✓","✓",IF(ISNUMBER($S740),TEXT($S740,"yyyy-mm-dd"),IF($A740="","",IF(SUMPRODUCT(('Agences &amp; Après-vente'!$A$2:$A$1000=$A740)*(('Agences &amp; Après-vente'!$D$2:$D$1000="Après-vente")+('Agences &amp; Après-vente'!$D$2:$D$1000="Agences et Après-vente"))*('Agences &amp; Après-vente'!$I$2:$I$1000="DONE"))&gt;0,"✓",IF(SUMPRODUCT(MAX(('Agences &amp; Après-vente'!$A$2:$A$1000=$A740)*(('Agences &amp; Après-vente'!$D$2:$D$1000="Après-vente")+('Agences &amp; Après-vente'!$D$2:$D$1000="Agences et Après-vente"))*'Agences &amp; Après-vente'!$E$2:$E$1000))&gt;0,TEXT(SUMPRODUCT(MAX(('Agences &amp; Après-vente'!$A$2:$A$1000=$A740)*(('Agences &amp; Après-vente'!$D$2:$D$1000="Après-vente")+('Agences &amp; Après-vente'!$D$2:$D$1000="Agences et Après-vente"))*'Agences &amp; Après-vente'!$E$2:$E$1000)),"yyyy-mm-dd"),"")))))</f>
        <v/>
      </c>
      <c r="J740" s="131" t="str">
        <f aca="false">IF($T740="✓","✓",IF(ISNUMBER($T740),TEXT($T740,"yyyy-mm-dd"),IF($A740="","",IF($D740="Lisbonne","",IF(SUMPRODUCT(('Agences &amp; Après-vente'!$A$2:$A$1000=$A740)*(('Agences &amp; Après-vente'!$D$2:$D$1000="Après-vente")+('Agences &amp; Après-vente'!$D$2:$D$1000="Agences et Après-vente"))*('Agences &amp; Après-vente'!$I$2:$I$1000="DONE"))&gt;0,"✓",IF(SUMPRODUCT(MAX(('Agences &amp; Après-vente'!$A$2:$A$1000=$A740)*(('Agences &amp; Après-vente'!$D$2:$D$1000="Après-vente")+('Agences &amp; Après-vente'!$D$2:$D$1000="Agences et Après-vente"))*'Agences &amp; Après-vente'!$E$2:$E$1000))&gt;0,TEXT(SUMPRODUCT(MAX(('Agences &amp; Après-vente'!$A$2:$A$1000=$A740)*(('Agences &amp; Après-vente'!$D$2:$D$1000="Après-vente")+('Agences &amp; Après-vente'!$D$2:$D$1000="Agences et Après-vente"))*'Agences &amp; Après-vente'!$E$2:$E$1000)),"yyyy-mm-dd"),""))))))</f>
        <v/>
      </c>
      <c r="K740" s="131" t="str">
        <f aca="false">IF($U740="✓","✓",IF(ISNUMBER($U740),TEXT($U740,"yyyy-mm-dd"),IF($D740="Lisbonne","",IF($A740="","",IF(SUMPRODUCT((Evermont!$A$2:$A$1000=$A740)*(Evermont!$Q$2:$Q$1000="Terminé"))&gt;0,"✓",IF(SUMPRODUCT(MAX((Evermont!$A$2:$A$1000=$A740)*Evermont!$F$2:$F$1000))&gt;0,TEXT(SUMPRODUCT(MAX((Evermont!$A$2:$A$1000=$A740)*Evermont!$F$2:$F$1000)),"yyyy-mm-dd"),""))))))</f>
        <v/>
      </c>
      <c r="L740" s="131" t="str">
        <f aca="false">IF($A740="","",COUNTIF(E740:K740,"✓"))</f>
        <v/>
      </c>
      <c r="M740" s="131" t="str">
        <f aca="false">IF(B740="","","Active")</f>
        <v/>
      </c>
      <c r="W740" s="120" t="str">
        <f aca="false">IF($A740="","",IF($X740&lt;&gt;"",$X740,IFERROR(INDEX('Formation Initiale'!$B$2:$B$999,MATCH($A740,'Formation Initiale'!$A$2:$A$999,0)),"Général")))</f>
        <v/>
      </c>
    </row>
    <row r="741" customFormat="false" ht="15" hidden="true" customHeight="true" outlineLevel="0" collapsed="false">
      <c r="A741" s="142" t="str">
        <f aca="false">IF(B741="","","TR"&amp;TEXT(ROW()-1,"000"))</f>
        <v/>
      </c>
      <c r="E741" s="130" t="str">
        <f aca="false">IF($O741="✓","✓",IF(ISNUMBER($O741),TEXT($O741,"yyyy-mm-dd"),IF($A741="","",IF(SUMPRODUCT(('Formation Initiale'!$A$2:$A$999=$A741)*('Formation Initiale'!$R$2:$R$999="Terminé"))&gt;0,"✓",IF(SUMPRODUCT(MAX(('Formation Initiale'!$A$2:$A$999=$A741)*'Formation Initiale'!$G$2:$G$999))&gt;0,TEXT(SUMPRODUCT(MAX(('Formation Initiale'!$A$2:$A$999=$A741)*'Formation Initiale'!$G$2:$G$999)),"yyyy-mm-dd"),"")))))</f>
        <v/>
      </c>
      <c r="F741" s="131" t="str">
        <f aca="false">IF($P741="✓","✓",IF(ISNUMBER($P741),TEXT($P741,"yyyy-mm-dd"),IF($A741="","",IF($D741="Lisbonne","",IF(SUMPRODUCT(('Formation Initiale'!$A$2:$A$999=$A741)*('Formation Initiale'!$R$2:$R$999="Terminé"))&gt;0,"✓",IF(SUMPRODUCT(MAX(('Formation Initiale'!$A$2:$A$999=$A741)*'Formation Initiale'!$G$2:$G$999))&gt;0,TEXT(SUMPRODUCT(MAX(('Formation Initiale'!$A$2:$A$999=$A741)*'Formation Initiale'!$G$2:$G$999)),"yyyy-mm-dd"),""))))))</f>
        <v/>
      </c>
      <c r="G741" s="131" t="str">
        <f aca="false">IF($Q741="✓","✓",IF(ISNUMBER($Q741),TEXT($Q741,"yyyy-mm-dd"),IF($A741="","",IF(SUMPRODUCT(('Agences &amp; Après-vente'!$A$2:$A$1000=$A741)*(('Agences &amp; Après-vente'!$D$2:$D$1000="Agences")+('Agences &amp; Après-vente'!$D$2:$D$1000="Agences et Après-vente"))*('Agences &amp; Après-vente'!$I$2:$I$1000="DONE"))&gt;0,"✓",IF(SUMPRODUCT(MAX(('Agences &amp; Après-vente'!$A$2:$A$1000=$A741)*(('Agences &amp; Après-vente'!$D$2:$D$1000="Agences")+('Agences &amp; Après-vente'!$D$2:$D$1000="Agences et Après-vente"))*'Agences &amp; Après-vente'!$E$2:$E$1000))&gt;0,TEXT(SUMPRODUCT(MAX(('Agences &amp; Après-vente'!$A$2:$A$1000=$A741)*(('Agences &amp; Après-vente'!$D$2:$D$1000="Agences")+('Agences &amp; Après-vente'!$D$2:$D$1000="Agences et Après-vente"))*'Agences &amp; Après-vente'!$E$2:$E$1000)),"yyyy-mm-dd"),"")))))</f>
        <v/>
      </c>
      <c r="H741" s="131" t="str">
        <f aca="false">IF($R741="✓","✓",IF(ISNUMBER($R741),TEXT($R741,"yyyy-mm-dd"),IF($A741="","",IF($D741="Lisbonne","",IF(SUMPRODUCT(('Agences &amp; Après-vente'!$A$2:$A$1000=$A741)*(('Agences &amp; Après-vente'!$D$2:$D$1000="Agences")+('Agences &amp; Après-vente'!$D$2:$D$1000="Agences et Après-vente"))*('Agences &amp; Après-vente'!$I$2:$I$1000="DONE"))&gt;0,"✓",IF(SUMPRODUCT(MAX(('Agences &amp; Après-vente'!$A$2:$A$1000=$A741)*(('Agences &amp; Après-vente'!$D$2:$D$1000="Agences")+('Agences &amp; Après-vente'!$D$2:$D$1000="Agences et Après-vente"))*'Agences &amp; Après-vente'!$E$2:$E$1000))&gt;0,TEXT(SUMPRODUCT(MAX(('Agences &amp; Après-vente'!$A$2:$A$1000=$A741)*(('Agences &amp; Après-vente'!$D$2:$D$1000="Agences")+('Agences &amp; Après-vente'!$D$2:$D$1000="Agences et Après-vente"))*'Agences &amp; Après-vente'!$E$2:$E$1000)),"yyyy-mm-dd"),""))))))</f>
        <v/>
      </c>
      <c r="I741" s="131" t="str">
        <f aca="false">IF($S741="✓","✓",IF(ISNUMBER($S741),TEXT($S741,"yyyy-mm-dd"),IF($A741="","",IF(SUMPRODUCT(('Agences &amp; Après-vente'!$A$2:$A$1000=$A741)*(('Agences &amp; Après-vente'!$D$2:$D$1000="Après-vente")+('Agences &amp; Après-vente'!$D$2:$D$1000="Agences et Après-vente"))*('Agences &amp; Après-vente'!$I$2:$I$1000="DONE"))&gt;0,"✓",IF(SUMPRODUCT(MAX(('Agences &amp; Après-vente'!$A$2:$A$1000=$A741)*(('Agences &amp; Après-vente'!$D$2:$D$1000="Après-vente")+('Agences &amp; Après-vente'!$D$2:$D$1000="Agences et Après-vente"))*'Agences &amp; Après-vente'!$E$2:$E$1000))&gt;0,TEXT(SUMPRODUCT(MAX(('Agences &amp; Après-vente'!$A$2:$A$1000=$A741)*(('Agences &amp; Après-vente'!$D$2:$D$1000="Après-vente")+('Agences &amp; Après-vente'!$D$2:$D$1000="Agences et Après-vente"))*'Agences &amp; Après-vente'!$E$2:$E$1000)),"yyyy-mm-dd"),"")))))</f>
        <v/>
      </c>
      <c r="J741" s="131" t="str">
        <f aca="false">IF($T741="✓","✓",IF(ISNUMBER($T741),TEXT($T741,"yyyy-mm-dd"),IF($A741="","",IF($D741="Lisbonne","",IF(SUMPRODUCT(('Agences &amp; Après-vente'!$A$2:$A$1000=$A741)*(('Agences &amp; Après-vente'!$D$2:$D$1000="Après-vente")+('Agences &amp; Après-vente'!$D$2:$D$1000="Agences et Après-vente"))*('Agences &amp; Après-vente'!$I$2:$I$1000="DONE"))&gt;0,"✓",IF(SUMPRODUCT(MAX(('Agences &amp; Après-vente'!$A$2:$A$1000=$A741)*(('Agences &amp; Après-vente'!$D$2:$D$1000="Après-vente")+('Agences &amp; Après-vente'!$D$2:$D$1000="Agences et Après-vente"))*'Agences &amp; Après-vente'!$E$2:$E$1000))&gt;0,TEXT(SUMPRODUCT(MAX(('Agences &amp; Après-vente'!$A$2:$A$1000=$A741)*(('Agences &amp; Après-vente'!$D$2:$D$1000="Après-vente")+('Agences &amp; Après-vente'!$D$2:$D$1000="Agences et Après-vente"))*'Agences &amp; Après-vente'!$E$2:$E$1000)),"yyyy-mm-dd"),""))))))</f>
        <v/>
      </c>
      <c r="K741" s="131" t="str">
        <f aca="false">IF($U741="✓","✓",IF(ISNUMBER($U741),TEXT($U741,"yyyy-mm-dd"),IF($D741="Lisbonne","",IF($A741="","",IF(SUMPRODUCT((Evermont!$A$2:$A$1000=$A741)*(Evermont!$Q$2:$Q$1000="Terminé"))&gt;0,"✓",IF(SUMPRODUCT(MAX((Evermont!$A$2:$A$1000=$A741)*Evermont!$F$2:$F$1000))&gt;0,TEXT(SUMPRODUCT(MAX((Evermont!$A$2:$A$1000=$A741)*Evermont!$F$2:$F$1000)),"yyyy-mm-dd"),""))))))</f>
        <v/>
      </c>
      <c r="L741" s="131" t="str">
        <f aca="false">IF($A741="","",COUNTIF(E741:K741,"✓"))</f>
        <v/>
      </c>
      <c r="M741" s="131" t="str">
        <f aca="false">IF(B741="","","Active")</f>
        <v/>
      </c>
      <c r="W741" s="120" t="str">
        <f aca="false">IF($A741="","",IF($X741&lt;&gt;"",$X741,IFERROR(INDEX('Formation Initiale'!$B$2:$B$999,MATCH($A741,'Formation Initiale'!$A$2:$A$999,0)),"Général")))</f>
        <v/>
      </c>
    </row>
    <row r="742" customFormat="false" ht="15" hidden="true" customHeight="true" outlineLevel="0" collapsed="false">
      <c r="A742" s="142" t="str">
        <f aca="false">IF(B742="","","TR"&amp;TEXT(ROW()-1,"000"))</f>
        <v/>
      </c>
      <c r="E742" s="130" t="str">
        <f aca="false">IF($O742="✓","✓",IF(ISNUMBER($O742),TEXT($O742,"yyyy-mm-dd"),IF($A742="","",IF(SUMPRODUCT(('Formation Initiale'!$A$2:$A$999=$A742)*('Formation Initiale'!$R$2:$R$999="Terminé"))&gt;0,"✓",IF(SUMPRODUCT(MAX(('Formation Initiale'!$A$2:$A$999=$A742)*'Formation Initiale'!$G$2:$G$999))&gt;0,TEXT(SUMPRODUCT(MAX(('Formation Initiale'!$A$2:$A$999=$A742)*'Formation Initiale'!$G$2:$G$999)),"yyyy-mm-dd"),"")))))</f>
        <v/>
      </c>
      <c r="F742" s="131" t="str">
        <f aca="false">IF($P742="✓","✓",IF(ISNUMBER($P742),TEXT($P742,"yyyy-mm-dd"),IF($A742="","",IF($D742="Lisbonne","",IF(SUMPRODUCT(('Formation Initiale'!$A$2:$A$999=$A742)*('Formation Initiale'!$R$2:$R$999="Terminé"))&gt;0,"✓",IF(SUMPRODUCT(MAX(('Formation Initiale'!$A$2:$A$999=$A742)*'Formation Initiale'!$G$2:$G$999))&gt;0,TEXT(SUMPRODUCT(MAX(('Formation Initiale'!$A$2:$A$999=$A742)*'Formation Initiale'!$G$2:$G$999)),"yyyy-mm-dd"),""))))))</f>
        <v/>
      </c>
      <c r="G742" s="131" t="str">
        <f aca="false">IF($Q742="✓","✓",IF(ISNUMBER($Q742),TEXT($Q742,"yyyy-mm-dd"),IF($A742="","",IF(SUMPRODUCT(('Agences &amp; Après-vente'!$A$2:$A$1000=$A742)*(('Agences &amp; Après-vente'!$D$2:$D$1000="Agences")+('Agences &amp; Après-vente'!$D$2:$D$1000="Agences et Après-vente"))*('Agences &amp; Après-vente'!$I$2:$I$1000="DONE"))&gt;0,"✓",IF(SUMPRODUCT(MAX(('Agences &amp; Après-vente'!$A$2:$A$1000=$A742)*(('Agences &amp; Après-vente'!$D$2:$D$1000="Agences")+('Agences &amp; Après-vente'!$D$2:$D$1000="Agences et Après-vente"))*'Agences &amp; Après-vente'!$E$2:$E$1000))&gt;0,TEXT(SUMPRODUCT(MAX(('Agences &amp; Après-vente'!$A$2:$A$1000=$A742)*(('Agences &amp; Après-vente'!$D$2:$D$1000="Agences")+('Agences &amp; Après-vente'!$D$2:$D$1000="Agences et Après-vente"))*'Agences &amp; Après-vente'!$E$2:$E$1000)),"yyyy-mm-dd"),"")))))</f>
        <v/>
      </c>
      <c r="H742" s="131" t="str">
        <f aca="false">IF($R742="✓","✓",IF(ISNUMBER($R742),TEXT($R742,"yyyy-mm-dd"),IF($A742="","",IF($D742="Lisbonne","",IF(SUMPRODUCT(('Agences &amp; Après-vente'!$A$2:$A$1000=$A742)*(('Agences &amp; Après-vente'!$D$2:$D$1000="Agences")+('Agences &amp; Après-vente'!$D$2:$D$1000="Agences et Après-vente"))*('Agences &amp; Après-vente'!$I$2:$I$1000="DONE"))&gt;0,"✓",IF(SUMPRODUCT(MAX(('Agences &amp; Après-vente'!$A$2:$A$1000=$A742)*(('Agences &amp; Après-vente'!$D$2:$D$1000="Agences")+('Agences &amp; Après-vente'!$D$2:$D$1000="Agences et Après-vente"))*'Agences &amp; Après-vente'!$E$2:$E$1000))&gt;0,TEXT(SUMPRODUCT(MAX(('Agences &amp; Après-vente'!$A$2:$A$1000=$A742)*(('Agences &amp; Après-vente'!$D$2:$D$1000="Agences")+('Agences &amp; Après-vente'!$D$2:$D$1000="Agences et Après-vente"))*'Agences &amp; Après-vente'!$E$2:$E$1000)),"yyyy-mm-dd"),""))))))</f>
        <v/>
      </c>
      <c r="I742" s="131" t="str">
        <f aca="false">IF($S742="✓","✓",IF(ISNUMBER($S742),TEXT($S742,"yyyy-mm-dd"),IF($A742="","",IF(SUMPRODUCT(('Agences &amp; Après-vente'!$A$2:$A$1000=$A742)*(('Agences &amp; Après-vente'!$D$2:$D$1000="Après-vente")+('Agences &amp; Après-vente'!$D$2:$D$1000="Agences et Après-vente"))*('Agences &amp; Après-vente'!$I$2:$I$1000="DONE"))&gt;0,"✓",IF(SUMPRODUCT(MAX(('Agences &amp; Après-vente'!$A$2:$A$1000=$A742)*(('Agences &amp; Après-vente'!$D$2:$D$1000="Après-vente")+('Agences &amp; Après-vente'!$D$2:$D$1000="Agences et Après-vente"))*'Agences &amp; Après-vente'!$E$2:$E$1000))&gt;0,TEXT(SUMPRODUCT(MAX(('Agences &amp; Après-vente'!$A$2:$A$1000=$A742)*(('Agences &amp; Après-vente'!$D$2:$D$1000="Après-vente")+('Agences &amp; Après-vente'!$D$2:$D$1000="Agences et Après-vente"))*'Agences &amp; Après-vente'!$E$2:$E$1000)),"yyyy-mm-dd"),"")))))</f>
        <v/>
      </c>
      <c r="J742" s="131" t="str">
        <f aca="false">IF($T742="✓","✓",IF(ISNUMBER($T742),TEXT($T742,"yyyy-mm-dd"),IF($A742="","",IF($D742="Lisbonne","",IF(SUMPRODUCT(('Agences &amp; Après-vente'!$A$2:$A$1000=$A742)*(('Agences &amp; Après-vente'!$D$2:$D$1000="Après-vente")+('Agences &amp; Après-vente'!$D$2:$D$1000="Agences et Après-vente"))*('Agences &amp; Après-vente'!$I$2:$I$1000="DONE"))&gt;0,"✓",IF(SUMPRODUCT(MAX(('Agences &amp; Après-vente'!$A$2:$A$1000=$A742)*(('Agences &amp; Après-vente'!$D$2:$D$1000="Après-vente")+('Agences &amp; Après-vente'!$D$2:$D$1000="Agences et Après-vente"))*'Agences &amp; Après-vente'!$E$2:$E$1000))&gt;0,TEXT(SUMPRODUCT(MAX(('Agences &amp; Après-vente'!$A$2:$A$1000=$A742)*(('Agences &amp; Après-vente'!$D$2:$D$1000="Après-vente")+('Agences &amp; Après-vente'!$D$2:$D$1000="Agences et Après-vente"))*'Agences &amp; Après-vente'!$E$2:$E$1000)),"yyyy-mm-dd"),""))))))</f>
        <v/>
      </c>
      <c r="K742" s="131" t="str">
        <f aca="false">IF($U742="✓","✓",IF(ISNUMBER($U742),TEXT($U742,"yyyy-mm-dd"),IF($D742="Lisbonne","",IF($A742="","",IF(SUMPRODUCT((Evermont!$A$2:$A$1000=$A742)*(Evermont!$Q$2:$Q$1000="Terminé"))&gt;0,"✓",IF(SUMPRODUCT(MAX((Evermont!$A$2:$A$1000=$A742)*Evermont!$F$2:$F$1000))&gt;0,TEXT(SUMPRODUCT(MAX((Evermont!$A$2:$A$1000=$A742)*Evermont!$F$2:$F$1000)),"yyyy-mm-dd"),""))))))</f>
        <v/>
      </c>
      <c r="L742" s="131" t="str">
        <f aca="false">IF($A742="","",COUNTIF(E742:K742,"✓"))</f>
        <v/>
      </c>
      <c r="M742" s="131" t="str">
        <f aca="false">IF(B742="","","Active")</f>
        <v/>
      </c>
      <c r="W742" s="120" t="str">
        <f aca="false">IF($A742="","",IF($X742&lt;&gt;"",$X742,IFERROR(INDEX('Formation Initiale'!$B$2:$B$999,MATCH($A742,'Formation Initiale'!$A$2:$A$999,0)),"Général")))</f>
        <v/>
      </c>
    </row>
    <row r="743" customFormat="false" ht="15" hidden="true" customHeight="true" outlineLevel="0" collapsed="false">
      <c r="A743" s="142" t="str">
        <f aca="false">IF(B743="","","TR"&amp;TEXT(ROW()-1,"000"))</f>
        <v/>
      </c>
      <c r="E743" s="130" t="str">
        <f aca="false">IF($O743="✓","✓",IF(ISNUMBER($O743),TEXT($O743,"yyyy-mm-dd"),IF($A743="","",IF(SUMPRODUCT(('Formation Initiale'!$A$2:$A$999=$A743)*('Formation Initiale'!$R$2:$R$999="Terminé"))&gt;0,"✓",IF(SUMPRODUCT(MAX(('Formation Initiale'!$A$2:$A$999=$A743)*'Formation Initiale'!$G$2:$G$999))&gt;0,TEXT(SUMPRODUCT(MAX(('Formation Initiale'!$A$2:$A$999=$A743)*'Formation Initiale'!$G$2:$G$999)),"yyyy-mm-dd"),"")))))</f>
        <v/>
      </c>
      <c r="F743" s="131" t="str">
        <f aca="false">IF($P743="✓","✓",IF(ISNUMBER($P743),TEXT($P743,"yyyy-mm-dd"),IF($A743="","",IF($D743="Lisbonne","",IF(SUMPRODUCT(('Formation Initiale'!$A$2:$A$999=$A743)*('Formation Initiale'!$R$2:$R$999="Terminé"))&gt;0,"✓",IF(SUMPRODUCT(MAX(('Formation Initiale'!$A$2:$A$999=$A743)*'Formation Initiale'!$G$2:$G$999))&gt;0,TEXT(SUMPRODUCT(MAX(('Formation Initiale'!$A$2:$A$999=$A743)*'Formation Initiale'!$G$2:$G$999)),"yyyy-mm-dd"),""))))))</f>
        <v/>
      </c>
      <c r="G743" s="131" t="str">
        <f aca="false">IF($Q743="✓","✓",IF(ISNUMBER($Q743),TEXT($Q743,"yyyy-mm-dd"),IF($A743="","",IF(SUMPRODUCT(('Agences &amp; Après-vente'!$A$2:$A$1000=$A743)*(('Agences &amp; Après-vente'!$D$2:$D$1000="Agences")+('Agences &amp; Après-vente'!$D$2:$D$1000="Agences et Après-vente"))*('Agences &amp; Après-vente'!$I$2:$I$1000="DONE"))&gt;0,"✓",IF(SUMPRODUCT(MAX(('Agences &amp; Après-vente'!$A$2:$A$1000=$A743)*(('Agences &amp; Après-vente'!$D$2:$D$1000="Agences")+('Agences &amp; Après-vente'!$D$2:$D$1000="Agences et Après-vente"))*'Agences &amp; Après-vente'!$E$2:$E$1000))&gt;0,TEXT(SUMPRODUCT(MAX(('Agences &amp; Après-vente'!$A$2:$A$1000=$A743)*(('Agences &amp; Après-vente'!$D$2:$D$1000="Agences")+('Agences &amp; Après-vente'!$D$2:$D$1000="Agences et Après-vente"))*'Agences &amp; Après-vente'!$E$2:$E$1000)),"yyyy-mm-dd"),"")))))</f>
        <v/>
      </c>
      <c r="H743" s="131" t="str">
        <f aca="false">IF($R743="✓","✓",IF(ISNUMBER($R743),TEXT($R743,"yyyy-mm-dd"),IF($A743="","",IF($D743="Lisbonne","",IF(SUMPRODUCT(('Agences &amp; Après-vente'!$A$2:$A$1000=$A743)*(('Agences &amp; Après-vente'!$D$2:$D$1000="Agences")+('Agences &amp; Après-vente'!$D$2:$D$1000="Agences et Après-vente"))*('Agences &amp; Après-vente'!$I$2:$I$1000="DONE"))&gt;0,"✓",IF(SUMPRODUCT(MAX(('Agences &amp; Après-vente'!$A$2:$A$1000=$A743)*(('Agences &amp; Après-vente'!$D$2:$D$1000="Agences")+('Agences &amp; Après-vente'!$D$2:$D$1000="Agences et Après-vente"))*'Agences &amp; Après-vente'!$E$2:$E$1000))&gt;0,TEXT(SUMPRODUCT(MAX(('Agences &amp; Après-vente'!$A$2:$A$1000=$A743)*(('Agences &amp; Après-vente'!$D$2:$D$1000="Agences")+('Agences &amp; Après-vente'!$D$2:$D$1000="Agences et Après-vente"))*'Agences &amp; Après-vente'!$E$2:$E$1000)),"yyyy-mm-dd"),""))))))</f>
        <v/>
      </c>
      <c r="I743" s="131" t="str">
        <f aca="false">IF($S743="✓","✓",IF(ISNUMBER($S743),TEXT($S743,"yyyy-mm-dd"),IF($A743="","",IF(SUMPRODUCT(('Agences &amp; Après-vente'!$A$2:$A$1000=$A743)*(('Agences &amp; Après-vente'!$D$2:$D$1000="Après-vente")+('Agences &amp; Après-vente'!$D$2:$D$1000="Agences et Après-vente"))*('Agences &amp; Après-vente'!$I$2:$I$1000="DONE"))&gt;0,"✓",IF(SUMPRODUCT(MAX(('Agences &amp; Après-vente'!$A$2:$A$1000=$A743)*(('Agences &amp; Après-vente'!$D$2:$D$1000="Après-vente")+('Agences &amp; Après-vente'!$D$2:$D$1000="Agences et Après-vente"))*'Agences &amp; Après-vente'!$E$2:$E$1000))&gt;0,TEXT(SUMPRODUCT(MAX(('Agences &amp; Après-vente'!$A$2:$A$1000=$A743)*(('Agences &amp; Après-vente'!$D$2:$D$1000="Après-vente")+('Agences &amp; Après-vente'!$D$2:$D$1000="Agences et Après-vente"))*'Agences &amp; Après-vente'!$E$2:$E$1000)),"yyyy-mm-dd"),"")))))</f>
        <v/>
      </c>
      <c r="J743" s="131" t="str">
        <f aca="false">IF($T743="✓","✓",IF(ISNUMBER($T743),TEXT($T743,"yyyy-mm-dd"),IF($A743="","",IF($D743="Lisbonne","",IF(SUMPRODUCT(('Agences &amp; Après-vente'!$A$2:$A$1000=$A743)*(('Agences &amp; Après-vente'!$D$2:$D$1000="Après-vente")+('Agences &amp; Après-vente'!$D$2:$D$1000="Agences et Après-vente"))*('Agences &amp; Après-vente'!$I$2:$I$1000="DONE"))&gt;0,"✓",IF(SUMPRODUCT(MAX(('Agences &amp; Après-vente'!$A$2:$A$1000=$A743)*(('Agences &amp; Après-vente'!$D$2:$D$1000="Après-vente")+('Agences &amp; Après-vente'!$D$2:$D$1000="Agences et Après-vente"))*'Agences &amp; Après-vente'!$E$2:$E$1000))&gt;0,TEXT(SUMPRODUCT(MAX(('Agences &amp; Après-vente'!$A$2:$A$1000=$A743)*(('Agences &amp; Après-vente'!$D$2:$D$1000="Après-vente")+('Agences &amp; Après-vente'!$D$2:$D$1000="Agences et Après-vente"))*'Agences &amp; Après-vente'!$E$2:$E$1000)),"yyyy-mm-dd"),""))))))</f>
        <v/>
      </c>
      <c r="K743" s="131" t="str">
        <f aca="false">IF($U743="✓","✓",IF(ISNUMBER($U743),TEXT($U743,"yyyy-mm-dd"),IF($D743="Lisbonne","",IF($A743="","",IF(SUMPRODUCT((Evermont!$A$2:$A$1000=$A743)*(Evermont!$Q$2:$Q$1000="Terminé"))&gt;0,"✓",IF(SUMPRODUCT(MAX((Evermont!$A$2:$A$1000=$A743)*Evermont!$F$2:$F$1000))&gt;0,TEXT(SUMPRODUCT(MAX((Evermont!$A$2:$A$1000=$A743)*Evermont!$F$2:$F$1000)),"yyyy-mm-dd"),""))))))</f>
        <v/>
      </c>
      <c r="L743" s="131" t="str">
        <f aca="false">IF($A743="","",COUNTIF(E743:K743,"✓"))</f>
        <v/>
      </c>
      <c r="M743" s="131" t="str">
        <f aca="false">IF(B743="","","Active")</f>
        <v/>
      </c>
      <c r="W743" s="120" t="str">
        <f aca="false">IF($A743="","",IF($X743&lt;&gt;"",$X743,IFERROR(INDEX('Formation Initiale'!$B$2:$B$999,MATCH($A743,'Formation Initiale'!$A$2:$A$999,0)),"Général")))</f>
        <v/>
      </c>
    </row>
    <row r="744" customFormat="false" ht="15" hidden="true" customHeight="true" outlineLevel="0" collapsed="false">
      <c r="A744" s="142" t="str">
        <f aca="false">IF(B744="","","TR"&amp;TEXT(ROW()-1,"000"))</f>
        <v/>
      </c>
      <c r="E744" s="130" t="str">
        <f aca="false">IF($O744="✓","✓",IF(ISNUMBER($O744),TEXT($O744,"yyyy-mm-dd"),IF($A744="","",IF(SUMPRODUCT(('Formation Initiale'!$A$2:$A$999=$A744)*('Formation Initiale'!$R$2:$R$999="Terminé"))&gt;0,"✓",IF(SUMPRODUCT(MAX(('Formation Initiale'!$A$2:$A$999=$A744)*'Formation Initiale'!$G$2:$G$999))&gt;0,TEXT(SUMPRODUCT(MAX(('Formation Initiale'!$A$2:$A$999=$A744)*'Formation Initiale'!$G$2:$G$999)),"yyyy-mm-dd"),"")))))</f>
        <v/>
      </c>
      <c r="F744" s="131" t="str">
        <f aca="false">IF($P744="✓","✓",IF(ISNUMBER($P744),TEXT($P744,"yyyy-mm-dd"),IF($A744="","",IF($D744="Lisbonne","",IF(SUMPRODUCT(('Formation Initiale'!$A$2:$A$999=$A744)*('Formation Initiale'!$R$2:$R$999="Terminé"))&gt;0,"✓",IF(SUMPRODUCT(MAX(('Formation Initiale'!$A$2:$A$999=$A744)*'Formation Initiale'!$G$2:$G$999))&gt;0,TEXT(SUMPRODUCT(MAX(('Formation Initiale'!$A$2:$A$999=$A744)*'Formation Initiale'!$G$2:$G$999)),"yyyy-mm-dd"),""))))))</f>
        <v/>
      </c>
      <c r="G744" s="131" t="str">
        <f aca="false">IF($Q744="✓","✓",IF(ISNUMBER($Q744),TEXT($Q744,"yyyy-mm-dd"),IF($A744="","",IF(SUMPRODUCT(('Agences &amp; Après-vente'!$A$2:$A$1000=$A744)*(('Agences &amp; Après-vente'!$D$2:$D$1000="Agences")+('Agences &amp; Après-vente'!$D$2:$D$1000="Agences et Après-vente"))*('Agences &amp; Après-vente'!$I$2:$I$1000="DONE"))&gt;0,"✓",IF(SUMPRODUCT(MAX(('Agences &amp; Après-vente'!$A$2:$A$1000=$A744)*(('Agences &amp; Après-vente'!$D$2:$D$1000="Agences")+('Agences &amp; Après-vente'!$D$2:$D$1000="Agences et Après-vente"))*'Agences &amp; Après-vente'!$E$2:$E$1000))&gt;0,TEXT(SUMPRODUCT(MAX(('Agences &amp; Après-vente'!$A$2:$A$1000=$A744)*(('Agences &amp; Après-vente'!$D$2:$D$1000="Agences")+('Agences &amp; Après-vente'!$D$2:$D$1000="Agences et Après-vente"))*'Agences &amp; Après-vente'!$E$2:$E$1000)),"yyyy-mm-dd"),"")))))</f>
        <v/>
      </c>
      <c r="H744" s="131" t="str">
        <f aca="false">IF($R744="✓","✓",IF(ISNUMBER($R744),TEXT($R744,"yyyy-mm-dd"),IF($A744="","",IF($D744="Lisbonne","",IF(SUMPRODUCT(('Agences &amp; Après-vente'!$A$2:$A$1000=$A744)*(('Agences &amp; Après-vente'!$D$2:$D$1000="Agences")+('Agences &amp; Après-vente'!$D$2:$D$1000="Agences et Après-vente"))*('Agences &amp; Après-vente'!$I$2:$I$1000="DONE"))&gt;0,"✓",IF(SUMPRODUCT(MAX(('Agences &amp; Après-vente'!$A$2:$A$1000=$A744)*(('Agences &amp; Après-vente'!$D$2:$D$1000="Agences")+('Agences &amp; Après-vente'!$D$2:$D$1000="Agences et Après-vente"))*'Agences &amp; Après-vente'!$E$2:$E$1000))&gt;0,TEXT(SUMPRODUCT(MAX(('Agences &amp; Après-vente'!$A$2:$A$1000=$A744)*(('Agences &amp; Après-vente'!$D$2:$D$1000="Agences")+('Agences &amp; Après-vente'!$D$2:$D$1000="Agences et Après-vente"))*'Agences &amp; Après-vente'!$E$2:$E$1000)),"yyyy-mm-dd"),""))))))</f>
        <v/>
      </c>
      <c r="I744" s="131" t="str">
        <f aca="false">IF($S744="✓","✓",IF(ISNUMBER($S744),TEXT($S744,"yyyy-mm-dd"),IF($A744="","",IF(SUMPRODUCT(('Agences &amp; Après-vente'!$A$2:$A$1000=$A744)*(('Agences &amp; Après-vente'!$D$2:$D$1000="Après-vente")+('Agences &amp; Après-vente'!$D$2:$D$1000="Agences et Après-vente"))*('Agences &amp; Après-vente'!$I$2:$I$1000="DONE"))&gt;0,"✓",IF(SUMPRODUCT(MAX(('Agences &amp; Après-vente'!$A$2:$A$1000=$A744)*(('Agences &amp; Après-vente'!$D$2:$D$1000="Après-vente")+('Agences &amp; Après-vente'!$D$2:$D$1000="Agences et Après-vente"))*'Agences &amp; Après-vente'!$E$2:$E$1000))&gt;0,TEXT(SUMPRODUCT(MAX(('Agences &amp; Après-vente'!$A$2:$A$1000=$A744)*(('Agences &amp; Après-vente'!$D$2:$D$1000="Après-vente")+('Agences &amp; Après-vente'!$D$2:$D$1000="Agences et Après-vente"))*'Agences &amp; Après-vente'!$E$2:$E$1000)),"yyyy-mm-dd"),"")))))</f>
        <v/>
      </c>
      <c r="J744" s="131" t="str">
        <f aca="false">IF($T744="✓","✓",IF(ISNUMBER($T744),TEXT($T744,"yyyy-mm-dd"),IF($A744="","",IF($D744="Lisbonne","",IF(SUMPRODUCT(('Agences &amp; Après-vente'!$A$2:$A$1000=$A744)*(('Agences &amp; Après-vente'!$D$2:$D$1000="Après-vente")+('Agences &amp; Après-vente'!$D$2:$D$1000="Agences et Après-vente"))*('Agences &amp; Après-vente'!$I$2:$I$1000="DONE"))&gt;0,"✓",IF(SUMPRODUCT(MAX(('Agences &amp; Après-vente'!$A$2:$A$1000=$A744)*(('Agences &amp; Après-vente'!$D$2:$D$1000="Après-vente")+('Agences &amp; Après-vente'!$D$2:$D$1000="Agences et Après-vente"))*'Agences &amp; Après-vente'!$E$2:$E$1000))&gt;0,TEXT(SUMPRODUCT(MAX(('Agences &amp; Après-vente'!$A$2:$A$1000=$A744)*(('Agences &amp; Après-vente'!$D$2:$D$1000="Après-vente")+('Agences &amp; Après-vente'!$D$2:$D$1000="Agences et Après-vente"))*'Agences &amp; Après-vente'!$E$2:$E$1000)),"yyyy-mm-dd"),""))))))</f>
        <v/>
      </c>
      <c r="K744" s="131" t="str">
        <f aca="false">IF($U744="✓","✓",IF(ISNUMBER($U744),TEXT($U744,"yyyy-mm-dd"),IF($D744="Lisbonne","",IF($A744="","",IF(SUMPRODUCT((Evermont!$A$2:$A$1000=$A744)*(Evermont!$Q$2:$Q$1000="Terminé"))&gt;0,"✓",IF(SUMPRODUCT(MAX((Evermont!$A$2:$A$1000=$A744)*Evermont!$F$2:$F$1000))&gt;0,TEXT(SUMPRODUCT(MAX((Evermont!$A$2:$A$1000=$A744)*Evermont!$F$2:$F$1000)),"yyyy-mm-dd"),""))))))</f>
        <v/>
      </c>
      <c r="L744" s="131" t="str">
        <f aca="false">IF($A744="","",COUNTIF(E744:K744,"✓"))</f>
        <v/>
      </c>
      <c r="M744" s="131" t="str">
        <f aca="false">IF(B744="","","Active")</f>
        <v/>
      </c>
      <c r="W744" s="120" t="str">
        <f aca="false">IF($A744="","",IF($X744&lt;&gt;"",$X744,IFERROR(INDEX('Formation Initiale'!$B$2:$B$999,MATCH($A744,'Formation Initiale'!$A$2:$A$999,0)),"Général")))</f>
        <v/>
      </c>
    </row>
    <row r="745" customFormat="false" ht="15" hidden="true" customHeight="true" outlineLevel="0" collapsed="false">
      <c r="A745" s="142" t="str">
        <f aca="false">IF(B745="","","TR"&amp;TEXT(ROW()-1,"000"))</f>
        <v/>
      </c>
      <c r="E745" s="130" t="str">
        <f aca="false">IF($O745="✓","✓",IF(ISNUMBER($O745),TEXT($O745,"yyyy-mm-dd"),IF($A745="","",IF(SUMPRODUCT(('Formation Initiale'!$A$2:$A$999=$A745)*('Formation Initiale'!$R$2:$R$999="Terminé"))&gt;0,"✓",IF(SUMPRODUCT(MAX(('Formation Initiale'!$A$2:$A$999=$A745)*'Formation Initiale'!$G$2:$G$999))&gt;0,TEXT(SUMPRODUCT(MAX(('Formation Initiale'!$A$2:$A$999=$A745)*'Formation Initiale'!$G$2:$G$999)),"yyyy-mm-dd"),"")))))</f>
        <v/>
      </c>
      <c r="F745" s="131" t="str">
        <f aca="false">IF($P745="✓","✓",IF(ISNUMBER($P745),TEXT($P745,"yyyy-mm-dd"),IF($A745="","",IF($D745="Lisbonne","",IF(SUMPRODUCT(('Formation Initiale'!$A$2:$A$999=$A745)*('Formation Initiale'!$R$2:$R$999="Terminé"))&gt;0,"✓",IF(SUMPRODUCT(MAX(('Formation Initiale'!$A$2:$A$999=$A745)*'Formation Initiale'!$G$2:$G$999))&gt;0,TEXT(SUMPRODUCT(MAX(('Formation Initiale'!$A$2:$A$999=$A745)*'Formation Initiale'!$G$2:$G$999)),"yyyy-mm-dd"),""))))))</f>
        <v/>
      </c>
      <c r="G745" s="131" t="str">
        <f aca="false">IF($Q745="✓","✓",IF(ISNUMBER($Q745),TEXT($Q745,"yyyy-mm-dd"),IF($A745="","",IF(SUMPRODUCT(('Agences &amp; Après-vente'!$A$2:$A$1000=$A745)*(('Agences &amp; Après-vente'!$D$2:$D$1000="Agences")+('Agences &amp; Après-vente'!$D$2:$D$1000="Agences et Après-vente"))*('Agences &amp; Après-vente'!$I$2:$I$1000="DONE"))&gt;0,"✓",IF(SUMPRODUCT(MAX(('Agences &amp; Après-vente'!$A$2:$A$1000=$A745)*(('Agences &amp; Après-vente'!$D$2:$D$1000="Agences")+('Agences &amp; Après-vente'!$D$2:$D$1000="Agences et Après-vente"))*'Agences &amp; Après-vente'!$E$2:$E$1000))&gt;0,TEXT(SUMPRODUCT(MAX(('Agences &amp; Après-vente'!$A$2:$A$1000=$A745)*(('Agences &amp; Après-vente'!$D$2:$D$1000="Agences")+('Agences &amp; Après-vente'!$D$2:$D$1000="Agences et Après-vente"))*'Agences &amp; Après-vente'!$E$2:$E$1000)),"yyyy-mm-dd"),"")))))</f>
        <v/>
      </c>
      <c r="H745" s="131" t="str">
        <f aca="false">IF($R745="✓","✓",IF(ISNUMBER($R745),TEXT($R745,"yyyy-mm-dd"),IF($A745="","",IF($D745="Lisbonne","",IF(SUMPRODUCT(('Agences &amp; Après-vente'!$A$2:$A$1000=$A745)*(('Agences &amp; Après-vente'!$D$2:$D$1000="Agences")+('Agences &amp; Après-vente'!$D$2:$D$1000="Agences et Après-vente"))*('Agences &amp; Après-vente'!$I$2:$I$1000="DONE"))&gt;0,"✓",IF(SUMPRODUCT(MAX(('Agences &amp; Après-vente'!$A$2:$A$1000=$A745)*(('Agences &amp; Après-vente'!$D$2:$D$1000="Agences")+('Agences &amp; Après-vente'!$D$2:$D$1000="Agences et Après-vente"))*'Agences &amp; Après-vente'!$E$2:$E$1000))&gt;0,TEXT(SUMPRODUCT(MAX(('Agences &amp; Après-vente'!$A$2:$A$1000=$A745)*(('Agences &amp; Après-vente'!$D$2:$D$1000="Agences")+('Agences &amp; Après-vente'!$D$2:$D$1000="Agences et Après-vente"))*'Agences &amp; Après-vente'!$E$2:$E$1000)),"yyyy-mm-dd"),""))))))</f>
        <v/>
      </c>
      <c r="I745" s="131" t="str">
        <f aca="false">IF($S745="✓","✓",IF(ISNUMBER($S745),TEXT($S745,"yyyy-mm-dd"),IF($A745="","",IF(SUMPRODUCT(('Agences &amp; Après-vente'!$A$2:$A$1000=$A745)*(('Agences &amp; Après-vente'!$D$2:$D$1000="Après-vente")+('Agences &amp; Après-vente'!$D$2:$D$1000="Agences et Après-vente"))*('Agences &amp; Après-vente'!$I$2:$I$1000="DONE"))&gt;0,"✓",IF(SUMPRODUCT(MAX(('Agences &amp; Après-vente'!$A$2:$A$1000=$A745)*(('Agences &amp; Après-vente'!$D$2:$D$1000="Après-vente")+('Agences &amp; Après-vente'!$D$2:$D$1000="Agences et Après-vente"))*'Agences &amp; Après-vente'!$E$2:$E$1000))&gt;0,TEXT(SUMPRODUCT(MAX(('Agences &amp; Après-vente'!$A$2:$A$1000=$A745)*(('Agences &amp; Après-vente'!$D$2:$D$1000="Après-vente")+('Agences &amp; Après-vente'!$D$2:$D$1000="Agences et Après-vente"))*'Agences &amp; Après-vente'!$E$2:$E$1000)),"yyyy-mm-dd"),"")))))</f>
        <v/>
      </c>
      <c r="J745" s="131" t="str">
        <f aca="false">IF($T745="✓","✓",IF(ISNUMBER($T745),TEXT($T745,"yyyy-mm-dd"),IF($A745="","",IF($D745="Lisbonne","",IF(SUMPRODUCT(('Agences &amp; Après-vente'!$A$2:$A$1000=$A745)*(('Agences &amp; Après-vente'!$D$2:$D$1000="Après-vente")+('Agences &amp; Après-vente'!$D$2:$D$1000="Agences et Après-vente"))*('Agences &amp; Après-vente'!$I$2:$I$1000="DONE"))&gt;0,"✓",IF(SUMPRODUCT(MAX(('Agences &amp; Après-vente'!$A$2:$A$1000=$A745)*(('Agences &amp; Après-vente'!$D$2:$D$1000="Après-vente")+('Agences &amp; Après-vente'!$D$2:$D$1000="Agences et Après-vente"))*'Agences &amp; Après-vente'!$E$2:$E$1000))&gt;0,TEXT(SUMPRODUCT(MAX(('Agences &amp; Après-vente'!$A$2:$A$1000=$A745)*(('Agences &amp; Après-vente'!$D$2:$D$1000="Après-vente")+('Agences &amp; Après-vente'!$D$2:$D$1000="Agences et Après-vente"))*'Agences &amp; Après-vente'!$E$2:$E$1000)),"yyyy-mm-dd"),""))))))</f>
        <v/>
      </c>
      <c r="K745" s="131" t="str">
        <f aca="false">IF($U745="✓","✓",IF(ISNUMBER($U745),TEXT($U745,"yyyy-mm-dd"),IF($D745="Lisbonne","",IF($A745="","",IF(SUMPRODUCT((Evermont!$A$2:$A$1000=$A745)*(Evermont!$Q$2:$Q$1000="Terminé"))&gt;0,"✓",IF(SUMPRODUCT(MAX((Evermont!$A$2:$A$1000=$A745)*Evermont!$F$2:$F$1000))&gt;0,TEXT(SUMPRODUCT(MAX((Evermont!$A$2:$A$1000=$A745)*Evermont!$F$2:$F$1000)),"yyyy-mm-dd"),""))))))</f>
        <v/>
      </c>
      <c r="L745" s="131" t="str">
        <f aca="false">IF($A745="","",COUNTIF(E745:K745,"✓"))</f>
        <v/>
      </c>
      <c r="M745" s="131" t="str">
        <f aca="false">IF(B745="","","Active")</f>
        <v/>
      </c>
      <c r="W745" s="120" t="str">
        <f aca="false">IF($A745="","",IF($X745&lt;&gt;"",$X745,IFERROR(INDEX('Formation Initiale'!$B$2:$B$999,MATCH($A745,'Formation Initiale'!$A$2:$A$999,0)),"Général")))</f>
        <v/>
      </c>
    </row>
    <row r="746" customFormat="false" ht="15" hidden="true" customHeight="true" outlineLevel="0" collapsed="false">
      <c r="A746" s="142" t="str">
        <f aca="false">IF(B746="","","TR"&amp;TEXT(ROW()-1,"000"))</f>
        <v/>
      </c>
      <c r="E746" s="130" t="str">
        <f aca="false">IF($O746="✓","✓",IF(ISNUMBER($O746),TEXT($O746,"yyyy-mm-dd"),IF($A746="","",IF(SUMPRODUCT(('Formation Initiale'!$A$2:$A$999=$A746)*('Formation Initiale'!$R$2:$R$999="Terminé"))&gt;0,"✓",IF(SUMPRODUCT(MAX(('Formation Initiale'!$A$2:$A$999=$A746)*'Formation Initiale'!$G$2:$G$999))&gt;0,TEXT(SUMPRODUCT(MAX(('Formation Initiale'!$A$2:$A$999=$A746)*'Formation Initiale'!$G$2:$G$999)),"yyyy-mm-dd"),"")))))</f>
        <v/>
      </c>
      <c r="F746" s="131" t="str">
        <f aca="false">IF($P746="✓","✓",IF(ISNUMBER($P746),TEXT($P746,"yyyy-mm-dd"),IF($A746="","",IF($D746="Lisbonne","",IF(SUMPRODUCT(('Formation Initiale'!$A$2:$A$999=$A746)*('Formation Initiale'!$R$2:$R$999="Terminé"))&gt;0,"✓",IF(SUMPRODUCT(MAX(('Formation Initiale'!$A$2:$A$999=$A746)*'Formation Initiale'!$G$2:$G$999))&gt;0,TEXT(SUMPRODUCT(MAX(('Formation Initiale'!$A$2:$A$999=$A746)*'Formation Initiale'!$G$2:$G$999)),"yyyy-mm-dd"),""))))))</f>
        <v/>
      </c>
      <c r="G746" s="131" t="str">
        <f aca="false">IF($Q746="✓","✓",IF(ISNUMBER($Q746),TEXT($Q746,"yyyy-mm-dd"),IF($A746="","",IF(SUMPRODUCT(('Agences &amp; Après-vente'!$A$2:$A$1000=$A746)*(('Agences &amp; Après-vente'!$D$2:$D$1000="Agences")+('Agences &amp; Après-vente'!$D$2:$D$1000="Agences et Après-vente"))*('Agences &amp; Après-vente'!$I$2:$I$1000="DONE"))&gt;0,"✓",IF(SUMPRODUCT(MAX(('Agences &amp; Après-vente'!$A$2:$A$1000=$A746)*(('Agences &amp; Après-vente'!$D$2:$D$1000="Agences")+('Agences &amp; Après-vente'!$D$2:$D$1000="Agences et Après-vente"))*'Agences &amp; Après-vente'!$E$2:$E$1000))&gt;0,TEXT(SUMPRODUCT(MAX(('Agences &amp; Après-vente'!$A$2:$A$1000=$A746)*(('Agences &amp; Après-vente'!$D$2:$D$1000="Agences")+('Agences &amp; Après-vente'!$D$2:$D$1000="Agences et Après-vente"))*'Agences &amp; Après-vente'!$E$2:$E$1000)),"yyyy-mm-dd"),"")))))</f>
        <v/>
      </c>
      <c r="H746" s="131" t="str">
        <f aca="false">IF($R746="✓","✓",IF(ISNUMBER($R746),TEXT($R746,"yyyy-mm-dd"),IF($A746="","",IF($D746="Lisbonne","",IF(SUMPRODUCT(('Agences &amp; Après-vente'!$A$2:$A$1000=$A746)*(('Agences &amp; Après-vente'!$D$2:$D$1000="Agences")+('Agences &amp; Après-vente'!$D$2:$D$1000="Agences et Après-vente"))*('Agences &amp; Après-vente'!$I$2:$I$1000="DONE"))&gt;0,"✓",IF(SUMPRODUCT(MAX(('Agences &amp; Après-vente'!$A$2:$A$1000=$A746)*(('Agences &amp; Après-vente'!$D$2:$D$1000="Agences")+('Agences &amp; Après-vente'!$D$2:$D$1000="Agences et Après-vente"))*'Agences &amp; Après-vente'!$E$2:$E$1000))&gt;0,TEXT(SUMPRODUCT(MAX(('Agences &amp; Après-vente'!$A$2:$A$1000=$A746)*(('Agences &amp; Après-vente'!$D$2:$D$1000="Agences")+('Agences &amp; Après-vente'!$D$2:$D$1000="Agences et Après-vente"))*'Agences &amp; Après-vente'!$E$2:$E$1000)),"yyyy-mm-dd"),""))))))</f>
        <v/>
      </c>
      <c r="I746" s="131" t="str">
        <f aca="false">IF($S746="✓","✓",IF(ISNUMBER($S746),TEXT($S746,"yyyy-mm-dd"),IF($A746="","",IF(SUMPRODUCT(('Agences &amp; Après-vente'!$A$2:$A$1000=$A746)*(('Agences &amp; Après-vente'!$D$2:$D$1000="Après-vente")+('Agences &amp; Après-vente'!$D$2:$D$1000="Agences et Après-vente"))*('Agences &amp; Après-vente'!$I$2:$I$1000="DONE"))&gt;0,"✓",IF(SUMPRODUCT(MAX(('Agences &amp; Après-vente'!$A$2:$A$1000=$A746)*(('Agences &amp; Après-vente'!$D$2:$D$1000="Après-vente")+('Agences &amp; Après-vente'!$D$2:$D$1000="Agences et Après-vente"))*'Agences &amp; Après-vente'!$E$2:$E$1000))&gt;0,TEXT(SUMPRODUCT(MAX(('Agences &amp; Après-vente'!$A$2:$A$1000=$A746)*(('Agences &amp; Après-vente'!$D$2:$D$1000="Après-vente")+('Agences &amp; Après-vente'!$D$2:$D$1000="Agences et Après-vente"))*'Agences &amp; Après-vente'!$E$2:$E$1000)),"yyyy-mm-dd"),"")))))</f>
        <v/>
      </c>
      <c r="J746" s="131" t="str">
        <f aca="false">IF($T746="✓","✓",IF(ISNUMBER($T746),TEXT($T746,"yyyy-mm-dd"),IF($A746="","",IF($D746="Lisbonne","",IF(SUMPRODUCT(('Agences &amp; Après-vente'!$A$2:$A$1000=$A746)*(('Agences &amp; Après-vente'!$D$2:$D$1000="Après-vente")+('Agences &amp; Après-vente'!$D$2:$D$1000="Agences et Après-vente"))*('Agences &amp; Après-vente'!$I$2:$I$1000="DONE"))&gt;0,"✓",IF(SUMPRODUCT(MAX(('Agences &amp; Après-vente'!$A$2:$A$1000=$A746)*(('Agences &amp; Après-vente'!$D$2:$D$1000="Après-vente")+('Agences &amp; Après-vente'!$D$2:$D$1000="Agences et Après-vente"))*'Agences &amp; Après-vente'!$E$2:$E$1000))&gt;0,TEXT(SUMPRODUCT(MAX(('Agences &amp; Après-vente'!$A$2:$A$1000=$A746)*(('Agences &amp; Après-vente'!$D$2:$D$1000="Après-vente")+('Agences &amp; Après-vente'!$D$2:$D$1000="Agences et Après-vente"))*'Agences &amp; Après-vente'!$E$2:$E$1000)),"yyyy-mm-dd"),""))))))</f>
        <v/>
      </c>
      <c r="K746" s="131" t="str">
        <f aca="false">IF($U746="✓","✓",IF(ISNUMBER($U746),TEXT($U746,"yyyy-mm-dd"),IF($D746="Lisbonne","",IF($A746="","",IF(SUMPRODUCT((Evermont!$A$2:$A$1000=$A746)*(Evermont!$Q$2:$Q$1000="Terminé"))&gt;0,"✓",IF(SUMPRODUCT(MAX((Evermont!$A$2:$A$1000=$A746)*Evermont!$F$2:$F$1000))&gt;0,TEXT(SUMPRODUCT(MAX((Evermont!$A$2:$A$1000=$A746)*Evermont!$F$2:$F$1000)),"yyyy-mm-dd"),""))))))</f>
        <v/>
      </c>
      <c r="L746" s="131" t="str">
        <f aca="false">IF($A746="","",COUNTIF(E746:K746,"✓"))</f>
        <v/>
      </c>
      <c r="M746" s="131" t="str">
        <f aca="false">IF(B746="","","Active")</f>
        <v/>
      </c>
      <c r="W746" s="120" t="str">
        <f aca="false">IF($A746="","",IF($X746&lt;&gt;"",$X746,IFERROR(INDEX('Formation Initiale'!$B$2:$B$999,MATCH($A746,'Formation Initiale'!$A$2:$A$999,0)),"Général")))</f>
        <v/>
      </c>
    </row>
    <row r="747" customFormat="false" ht="15" hidden="true" customHeight="true" outlineLevel="0" collapsed="false">
      <c r="A747" s="142" t="str">
        <f aca="false">IF(B747="","","TR"&amp;TEXT(ROW()-1,"000"))</f>
        <v/>
      </c>
      <c r="E747" s="130" t="str">
        <f aca="false">IF($O747="✓","✓",IF(ISNUMBER($O747),TEXT($O747,"yyyy-mm-dd"),IF($A747="","",IF(SUMPRODUCT(('Formation Initiale'!$A$2:$A$999=$A747)*('Formation Initiale'!$R$2:$R$999="Terminé"))&gt;0,"✓",IF(SUMPRODUCT(MAX(('Formation Initiale'!$A$2:$A$999=$A747)*'Formation Initiale'!$G$2:$G$999))&gt;0,TEXT(SUMPRODUCT(MAX(('Formation Initiale'!$A$2:$A$999=$A747)*'Formation Initiale'!$G$2:$G$999)),"yyyy-mm-dd"),"")))))</f>
        <v/>
      </c>
      <c r="F747" s="131" t="str">
        <f aca="false">IF($P747="✓","✓",IF(ISNUMBER($P747),TEXT($P747,"yyyy-mm-dd"),IF($A747="","",IF($D747="Lisbonne","",IF(SUMPRODUCT(('Formation Initiale'!$A$2:$A$999=$A747)*('Formation Initiale'!$R$2:$R$999="Terminé"))&gt;0,"✓",IF(SUMPRODUCT(MAX(('Formation Initiale'!$A$2:$A$999=$A747)*'Formation Initiale'!$G$2:$G$999))&gt;0,TEXT(SUMPRODUCT(MAX(('Formation Initiale'!$A$2:$A$999=$A747)*'Formation Initiale'!$G$2:$G$999)),"yyyy-mm-dd"),""))))))</f>
        <v/>
      </c>
      <c r="G747" s="131" t="str">
        <f aca="false">IF($Q747="✓","✓",IF(ISNUMBER($Q747),TEXT($Q747,"yyyy-mm-dd"),IF($A747="","",IF(SUMPRODUCT(('Agences &amp; Après-vente'!$A$2:$A$1000=$A747)*(('Agences &amp; Après-vente'!$D$2:$D$1000="Agences")+('Agences &amp; Après-vente'!$D$2:$D$1000="Agences et Après-vente"))*('Agences &amp; Après-vente'!$I$2:$I$1000="DONE"))&gt;0,"✓",IF(SUMPRODUCT(MAX(('Agences &amp; Après-vente'!$A$2:$A$1000=$A747)*(('Agences &amp; Après-vente'!$D$2:$D$1000="Agences")+('Agences &amp; Après-vente'!$D$2:$D$1000="Agences et Après-vente"))*'Agences &amp; Après-vente'!$E$2:$E$1000))&gt;0,TEXT(SUMPRODUCT(MAX(('Agences &amp; Après-vente'!$A$2:$A$1000=$A747)*(('Agences &amp; Après-vente'!$D$2:$D$1000="Agences")+('Agences &amp; Après-vente'!$D$2:$D$1000="Agences et Après-vente"))*'Agences &amp; Après-vente'!$E$2:$E$1000)),"yyyy-mm-dd"),"")))))</f>
        <v/>
      </c>
      <c r="H747" s="131" t="str">
        <f aca="false">IF($R747="✓","✓",IF(ISNUMBER($R747),TEXT($R747,"yyyy-mm-dd"),IF($A747="","",IF($D747="Lisbonne","",IF(SUMPRODUCT(('Agences &amp; Après-vente'!$A$2:$A$1000=$A747)*(('Agences &amp; Après-vente'!$D$2:$D$1000="Agences")+('Agences &amp; Après-vente'!$D$2:$D$1000="Agences et Après-vente"))*('Agences &amp; Après-vente'!$I$2:$I$1000="DONE"))&gt;0,"✓",IF(SUMPRODUCT(MAX(('Agences &amp; Après-vente'!$A$2:$A$1000=$A747)*(('Agences &amp; Après-vente'!$D$2:$D$1000="Agences")+('Agences &amp; Après-vente'!$D$2:$D$1000="Agences et Après-vente"))*'Agences &amp; Après-vente'!$E$2:$E$1000))&gt;0,TEXT(SUMPRODUCT(MAX(('Agences &amp; Après-vente'!$A$2:$A$1000=$A747)*(('Agences &amp; Après-vente'!$D$2:$D$1000="Agences")+('Agences &amp; Après-vente'!$D$2:$D$1000="Agences et Après-vente"))*'Agences &amp; Après-vente'!$E$2:$E$1000)),"yyyy-mm-dd"),""))))))</f>
        <v/>
      </c>
      <c r="I747" s="131" t="str">
        <f aca="false">IF($S747="✓","✓",IF(ISNUMBER($S747),TEXT($S747,"yyyy-mm-dd"),IF($A747="","",IF(SUMPRODUCT(('Agences &amp; Après-vente'!$A$2:$A$1000=$A747)*(('Agences &amp; Après-vente'!$D$2:$D$1000="Après-vente")+('Agences &amp; Après-vente'!$D$2:$D$1000="Agences et Après-vente"))*('Agences &amp; Après-vente'!$I$2:$I$1000="DONE"))&gt;0,"✓",IF(SUMPRODUCT(MAX(('Agences &amp; Après-vente'!$A$2:$A$1000=$A747)*(('Agences &amp; Après-vente'!$D$2:$D$1000="Après-vente")+('Agences &amp; Après-vente'!$D$2:$D$1000="Agences et Après-vente"))*'Agences &amp; Après-vente'!$E$2:$E$1000))&gt;0,TEXT(SUMPRODUCT(MAX(('Agences &amp; Après-vente'!$A$2:$A$1000=$A747)*(('Agences &amp; Après-vente'!$D$2:$D$1000="Après-vente")+('Agences &amp; Après-vente'!$D$2:$D$1000="Agences et Après-vente"))*'Agences &amp; Après-vente'!$E$2:$E$1000)),"yyyy-mm-dd"),"")))))</f>
        <v/>
      </c>
      <c r="J747" s="131" t="str">
        <f aca="false">IF($T747="✓","✓",IF(ISNUMBER($T747),TEXT($T747,"yyyy-mm-dd"),IF($A747="","",IF($D747="Lisbonne","",IF(SUMPRODUCT(('Agences &amp; Après-vente'!$A$2:$A$1000=$A747)*(('Agences &amp; Après-vente'!$D$2:$D$1000="Après-vente")+('Agences &amp; Après-vente'!$D$2:$D$1000="Agences et Après-vente"))*('Agences &amp; Après-vente'!$I$2:$I$1000="DONE"))&gt;0,"✓",IF(SUMPRODUCT(MAX(('Agences &amp; Après-vente'!$A$2:$A$1000=$A747)*(('Agences &amp; Après-vente'!$D$2:$D$1000="Après-vente")+('Agences &amp; Après-vente'!$D$2:$D$1000="Agences et Après-vente"))*'Agences &amp; Après-vente'!$E$2:$E$1000))&gt;0,TEXT(SUMPRODUCT(MAX(('Agences &amp; Après-vente'!$A$2:$A$1000=$A747)*(('Agences &amp; Après-vente'!$D$2:$D$1000="Après-vente")+('Agences &amp; Après-vente'!$D$2:$D$1000="Agences et Après-vente"))*'Agences &amp; Après-vente'!$E$2:$E$1000)),"yyyy-mm-dd"),""))))))</f>
        <v/>
      </c>
      <c r="K747" s="131" t="str">
        <f aca="false">IF($U747="✓","✓",IF(ISNUMBER($U747),TEXT($U747,"yyyy-mm-dd"),IF($D747="Lisbonne","",IF($A747="","",IF(SUMPRODUCT((Evermont!$A$2:$A$1000=$A747)*(Evermont!$Q$2:$Q$1000="Terminé"))&gt;0,"✓",IF(SUMPRODUCT(MAX((Evermont!$A$2:$A$1000=$A747)*Evermont!$F$2:$F$1000))&gt;0,TEXT(SUMPRODUCT(MAX((Evermont!$A$2:$A$1000=$A747)*Evermont!$F$2:$F$1000)),"yyyy-mm-dd"),""))))))</f>
        <v/>
      </c>
      <c r="L747" s="131" t="str">
        <f aca="false">IF($A747="","",COUNTIF(E747:K747,"✓"))</f>
        <v/>
      </c>
      <c r="M747" s="131" t="str">
        <f aca="false">IF(B747="","","Active")</f>
        <v/>
      </c>
      <c r="W747" s="120" t="str">
        <f aca="false">IF($A747="","",IF($X747&lt;&gt;"",$X747,IFERROR(INDEX('Formation Initiale'!$B$2:$B$999,MATCH($A747,'Formation Initiale'!$A$2:$A$999,0)),"Général")))</f>
        <v/>
      </c>
    </row>
    <row r="748" customFormat="false" ht="15" hidden="true" customHeight="true" outlineLevel="0" collapsed="false">
      <c r="A748" s="142" t="str">
        <f aca="false">IF(B748="","","TR"&amp;TEXT(ROW()-1,"000"))</f>
        <v/>
      </c>
      <c r="E748" s="130" t="str">
        <f aca="false">IF($O748="✓","✓",IF(ISNUMBER($O748),TEXT($O748,"yyyy-mm-dd"),IF($A748="","",IF(SUMPRODUCT(('Formation Initiale'!$A$2:$A$999=$A748)*('Formation Initiale'!$R$2:$R$999="Terminé"))&gt;0,"✓",IF(SUMPRODUCT(MAX(('Formation Initiale'!$A$2:$A$999=$A748)*'Formation Initiale'!$G$2:$G$999))&gt;0,TEXT(SUMPRODUCT(MAX(('Formation Initiale'!$A$2:$A$999=$A748)*'Formation Initiale'!$G$2:$G$999)),"yyyy-mm-dd"),"")))))</f>
        <v/>
      </c>
      <c r="F748" s="131" t="str">
        <f aca="false">IF($P748="✓","✓",IF(ISNUMBER($P748),TEXT($P748,"yyyy-mm-dd"),IF($A748="","",IF($D748="Lisbonne","",IF(SUMPRODUCT(('Formation Initiale'!$A$2:$A$999=$A748)*('Formation Initiale'!$R$2:$R$999="Terminé"))&gt;0,"✓",IF(SUMPRODUCT(MAX(('Formation Initiale'!$A$2:$A$999=$A748)*'Formation Initiale'!$G$2:$G$999))&gt;0,TEXT(SUMPRODUCT(MAX(('Formation Initiale'!$A$2:$A$999=$A748)*'Formation Initiale'!$G$2:$G$999)),"yyyy-mm-dd"),""))))))</f>
        <v/>
      </c>
      <c r="G748" s="131" t="str">
        <f aca="false">IF($Q748="✓","✓",IF(ISNUMBER($Q748),TEXT($Q748,"yyyy-mm-dd"),IF($A748="","",IF(SUMPRODUCT(('Agences &amp; Après-vente'!$A$2:$A$1000=$A748)*(('Agences &amp; Après-vente'!$D$2:$D$1000="Agences")+('Agences &amp; Après-vente'!$D$2:$D$1000="Agences et Après-vente"))*('Agences &amp; Après-vente'!$I$2:$I$1000="DONE"))&gt;0,"✓",IF(SUMPRODUCT(MAX(('Agences &amp; Après-vente'!$A$2:$A$1000=$A748)*(('Agences &amp; Après-vente'!$D$2:$D$1000="Agences")+('Agences &amp; Après-vente'!$D$2:$D$1000="Agences et Après-vente"))*'Agences &amp; Après-vente'!$E$2:$E$1000))&gt;0,TEXT(SUMPRODUCT(MAX(('Agences &amp; Après-vente'!$A$2:$A$1000=$A748)*(('Agences &amp; Après-vente'!$D$2:$D$1000="Agences")+('Agences &amp; Après-vente'!$D$2:$D$1000="Agences et Après-vente"))*'Agences &amp; Après-vente'!$E$2:$E$1000)),"yyyy-mm-dd"),"")))))</f>
        <v/>
      </c>
      <c r="H748" s="131" t="str">
        <f aca="false">IF($R748="✓","✓",IF(ISNUMBER($R748),TEXT($R748,"yyyy-mm-dd"),IF($A748="","",IF($D748="Lisbonne","",IF(SUMPRODUCT(('Agences &amp; Après-vente'!$A$2:$A$1000=$A748)*(('Agences &amp; Après-vente'!$D$2:$D$1000="Agences")+('Agences &amp; Après-vente'!$D$2:$D$1000="Agences et Après-vente"))*('Agences &amp; Après-vente'!$I$2:$I$1000="DONE"))&gt;0,"✓",IF(SUMPRODUCT(MAX(('Agences &amp; Après-vente'!$A$2:$A$1000=$A748)*(('Agences &amp; Après-vente'!$D$2:$D$1000="Agences")+('Agences &amp; Après-vente'!$D$2:$D$1000="Agences et Après-vente"))*'Agences &amp; Après-vente'!$E$2:$E$1000))&gt;0,TEXT(SUMPRODUCT(MAX(('Agences &amp; Après-vente'!$A$2:$A$1000=$A748)*(('Agences &amp; Après-vente'!$D$2:$D$1000="Agences")+('Agences &amp; Après-vente'!$D$2:$D$1000="Agences et Après-vente"))*'Agences &amp; Après-vente'!$E$2:$E$1000)),"yyyy-mm-dd"),""))))))</f>
        <v/>
      </c>
      <c r="I748" s="131" t="str">
        <f aca="false">IF($S748="✓","✓",IF(ISNUMBER($S748),TEXT($S748,"yyyy-mm-dd"),IF($A748="","",IF(SUMPRODUCT(('Agences &amp; Après-vente'!$A$2:$A$1000=$A748)*(('Agences &amp; Après-vente'!$D$2:$D$1000="Après-vente")+('Agences &amp; Après-vente'!$D$2:$D$1000="Agences et Après-vente"))*('Agences &amp; Après-vente'!$I$2:$I$1000="DONE"))&gt;0,"✓",IF(SUMPRODUCT(MAX(('Agences &amp; Après-vente'!$A$2:$A$1000=$A748)*(('Agences &amp; Après-vente'!$D$2:$D$1000="Après-vente")+('Agences &amp; Après-vente'!$D$2:$D$1000="Agences et Après-vente"))*'Agences &amp; Après-vente'!$E$2:$E$1000))&gt;0,TEXT(SUMPRODUCT(MAX(('Agences &amp; Après-vente'!$A$2:$A$1000=$A748)*(('Agences &amp; Après-vente'!$D$2:$D$1000="Après-vente")+('Agences &amp; Après-vente'!$D$2:$D$1000="Agences et Après-vente"))*'Agences &amp; Après-vente'!$E$2:$E$1000)),"yyyy-mm-dd"),"")))))</f>
        <v/>
      </c>
      <c r="J748" s="131" t="str">
        <f aca="false">IF($T748="✓","✓",IF(ISNUMBER($T748),TEXT($T748,"yyyy-mm-dd"),IF($A748="","",IF($D748="Lisbonne","",IF(SUMPRODUCT(('Agences &amp; Après-vente'!$A$2:$A$1000=$A748)*(('Agences &amp; Après-vente'!$D$2:$D$1000="Après-vente")+('Agences &amp; Après-vente'!$D$2:$D$1000="Agences et Après-vente"))*('Agences &amp; Après-vente'!$I$2:$I$1000="DONE"))&gt;0,"✓",IF(SUMPRODUCT(MAX(('Agences &amp; Après-vente'!$A$2:$A$1000=$A748)*(('Agences &amp; Après-vente'!$D$2:$D$1000="Après-vente")+('Agences &amp; Après-vente'!$D$2:$D$1000="Agences et Après-vente"))*'Agences &amp; Après-vente'!$E$2:$E$1000))&gt;0,TEXT(SUMPRODUCT(MAX(('Agences &amp; Après-vente'!$A$2:$A$1000=$A748)*(('Agences &amp; Après-vente'!$D$2:$D$1000="Après-vente")+('Agences &amp; Après-vente'!$D$2:$D$1000="Agences et Après-vente"))*'Agences &amp; Après-vente'!$E$2:$E$1000)),"yyyy-mm-dd"),""))))))</f>
        <v/>
      </c>
      <c r="K748" s="131" t="str">
        <f aca="false">IF($U748="✓","✓",IF(ISNUMBER($U748),TEXT($U748,"yyyy-mm-dd"),IF($D748="Lisbonne","",IF($A748="","",IF(SUMPRODUCT((Evermont!$A$2:$A$1000=$A748)*(Evermont!$Q$2:$Q$1000="Terminé"))&gt;0,"✓",IF(SUMPRODUCT(MAX((Evermont!$A$2:$A$1000=$A748)*Evermont!$F$2:$F$1000))&gt;0,TEXT(SUMPRODUCT(MAX((Evermont!$A$2:$A$1000=$A748)*Evermont!$F$2:$F$1000)),"yyyy-mm-dd"),""))))))</f>
        <v/>
      </c>
      <c r="L748" s="131" t="str">
        <f aca="false">IF($A748="","",COUNTIF(E748:K748,"✓"))</f>
        <v/>
      </c>
      <c r="M748" s="131" t="str">
        <f aca="false">IF(B748="","","Active")</f>
        <v/>
      </c>
      <c r="W748" s="120" t="str">
        <f aca="false">IF($A748="","",IF($X748&lt;&gt;"",$X748,IFERROR(INDEX('Formation Initiale'!$B$2:$B$999,MATCH($A748,'Formation Initiale'!$A$2:$A$999,0)),"Général")))</f>
        <v/>
      </c>
    </row>
    <row r="749" customFormat="false" ht="15" hidden="true" customHeight="true" outlineLevel="0" collapsed="false">
      <c r="A749" s="142" t="str">
        <f aca="false">IF(B749="","","TR"&amp;TEXT(ROW()-1,"000"))</f>
        <v/>
      </c>
      <c r="E749" s="130" t="str">
        <f aca="false">IF($O749="✓","✓",IF(ISNUMBER($O749),TEXT($O749,"yyyy-mm-dd"),IF($A749="","",IF(SUMPRODUCT(('Formation Initiale'!$A$2:$A$999=$A749)*('Formation Initiale'!$R$2:$R$999="Terminé"))&gt;0,"✓",IF(SUMPRODUCT(MAX(('Formation Initiale'!$A$2:$A$999=$A749)*'Formation Initiale'!$G$2:$G$999))&gt;0,TEXT(SUMPRODUCT(MAX(('Formation Initiale'!$A$2:$A$999=$A749)*'Formation Initiale'!$G$2:$G$999)),"yyyy-mm-dd"),"")))))</f>
        <v/>
      </c>
      <c r="F749" s="131" t="str">
        <f aca="false">IF($P749="✓","✓",IF(ISNUMBER($P749),TEXT($P749,"yyyy-mm-dd"),IF($A749="","",IF($D749="Lisbonne","",IF(SUMPRODUCT(('Formation Initiale'!$A$2:$A$999=$A749)*('Formation Initiale'!$R$2:$R$999="Terminé"))&gt;0,"✓",IF(SUMPRODUCT(MAX(('Formation Initiale'!$A$2:$A$999=$A749)*'Formation Initiale'!$G$2:$G$999))&gt;0,TEXT(SUMPRODUCT(MAX(('Formation Initiale'!$A$2:$A$999=$A749)*'Formation Initiale'!$G$2:$G$999)),"yyyy-mm-dd"),""))))))</f>
        <v/>
      </c>
      <c r="G749" s="131" t="str">
        <f aca="false">IF($Q749="✓","✓",IF(ISNUMBER($Q749),TEXT($Q749,"yyyy-mm-dd"),IF($A749="","",IF(SUMPRODUCT(('Agences &amp; Après-vente'!$A$2:$A$1000=$A749)*(('Agences &amp; Après-vente'!$D$2:$D$1000="Agences")+('Agences &amp; Après-vente'!$D$2:$D$1000="Agences et Après-vente"))*('Agences &amp; Après-vente'!$I$2:$I$1000="DONE"))&gt;0,"✓",IF(SUMPRODUCT(MAX(('Agences &amp; Après-vente'!$A$2:$A$1000=$A749)*(('Agences &amp; Après-vente'!$D$2:$D$1000="Agences")+('Agences &amp; Après-vente'!$D$2:$D$1000="Agences et Après-vente"))*'Agences &amp; Après-vente'!$E$2:$E$1000))&gt;0,TEXT(SUMPRODUCT(MAX(('Agences &amp; Après-vente'!$A$2:$A$1000=$A749)*(('Agences &amp; Après-vente'!$D$2:$D$1000="Agences")+('Agences &amp; Après-vente'!$D$2:$D$1000="Agences et Après-vente"))*'Agences &amp; Après-vente'!$E$2:$E$1000)),"yyyy-mm-dd"),"")))))</f>
        <v/>
      </c>
      <c r="H749" s="131" t="str">
        <f aca="false">IF($R749="✓","✓",IF(ISNUMBER($R749),TEXT($R749,"yyyy-mm-dd"),IF($A749="","",IF($D749="Lisbonne","",IF(SUMPRODUCT(('Agences &amp; Après-vente'!$A$2:$A$1000=$A749)*(('Agences &amp; Après-vente'!$D$2:$D$1000="Agences")+('Agences &amp; Après-vente'!$D$2:$D$1000="Agences et Après-vente"))*('Agences &amp; Après-vente'!$I$2:$I$1000="DONE"))&gt;0,"✓",IF(SUMPRODUCT(MAX(('Agences &amp; Après-vente'!$A$2:$A$1000=$A749)*(('Agences &amp; Après-vente'!$D$2:$D$1000="Agences")+('Agences &amp; Après-vente'!$D$2:$D$1000="Agences et Après-vente"))*'Agences &amp; Après-vente'!$E$2:$E$1000))&gt;0,TEXT(SUMPRODUCT(MAX(('Agences &amp; Après-vente'!$A$2:$A$1000=$A749)*(('Agences &amp; Après-vente'!$D$2:$D$1000="Agences")+('Agences &amp; Après-vente'!$D$2:$D$1000="Agences et Après-vente"))*'Agences &amp; Après-vente'!$E$2:$E$1000)),"yyyy-mm-dd"),""))))))</f>
        <v/>
      </c>
      <c r="I749" s="131" t="str">
        <f aca="false">IF($S749="✓","✓",IF(ISNUMBER($S749),TEXT($S749,"yyyy-mm-dd"),IF($A749="","",IF(SUMPRODUCT(('Agences &amp; Après-vente'!$A$2:$A$1000=$A749)*(('Agences &amp; Après-vente'!$D$2:$D$1000="Après-vente")+('Agences &amp; Après-vente'!$D$2:$D$1000="Agences et Après-vente"))*('Agences &amp; Après-vente'!$I$2:$I$1000="DONE"))&gt;0,"✓",IF(SUMPRODUCT(MAX(('Agences &amp; Après-vente'!$A$2:$A$1000=$A749)*(('Agences &amp; Après-vente'!$D$2:$D$1000="Après-vente")+('Agences &amp; Après-vente'!$D$2:$D$1000="Agences et Après-vente"))*'Agences &amp; Après-vente'!$E$2:$E$1000))&gt;0,TEXT(SUMPRODUCT(MAX(('Agences &amp; Après-vente'!$A$2:$A$1000=$A749)*(('Agences &amp; Après-vente'!$D$2:$D$1000="Après-vente")+('Agences &amp; Après-vente'!$D$2:$D$1000="Agences et Après-vente"))*'Agences &amp; Après-vente'!$E$2:$E$1000)),"yyyy-mm-dd"),"")))))</f>
        <v/>
      </c>
      <c r="J749" s="131" t="str">
        <f aca="false">IF($T749="✓","✓",IF(ISNUMBER($T749),TEXT($T749,"yyyy-mm-dd"),IF($A749="","",IF($D749="Lisbonne","",IF(SUMPRODUCT(('Agences &amp; Après-vente'!$A$2:$A$1000=$A749)*(('Agences &amp; Après-vente'!$D$2:$D$1000="Après-vente")+('Agences &amp; Après-vente'!$D$2:$D$1000="Agences et Après-vente"))*('Agences &amp; Après-vente'!$I$2:$I$1000="DONE"))&gt;0,"✓",IF(SUMPRODUCT(MAX(('Agences &amp; Après-vente'!$A$2:$A$1000=$A749)*(('Agences &amp; Après-vente'!$D$2:$D$1000="Après-vente")+('Agences &amp; Après-vente'!$D$2:$D$1000="Agences et Après-vente"))*'Agences &amp; Après-vente'!$E$2:$E$1000))&gt;0,TEXT(SUMPRODUCT(MAX(('Agences &amp; Après-vente'!$A$2:$A$1000=$A749)*(('Agences &amp; Après-vente'!$D$2:$D$1000="Après-vente")+('Agences &amp; Après-vente'!$D$2:$D$1000="Agences et Après-vente"))*'Agences &amp; Après-vente'!$E$2:$E$1000)),"yyyy-mm-dd"),""))))))</f>
        <v/>
      </c>
      <c r="K749" s="131" t="str">
        <f aca="false">IF($U749="✓","✓",IF(ISNUMBER($U749),TEXT($U749,"yyyy-mm-dd"),IF($D749="Lisbonne","",IF($A749="","",IF(SUMPRODUCT((Evermont!$A$2:$A$1000=$A749)*(Evermont!$Q$2:$Q$1000="Terminé"))&gt;0,"✓",IF(SUMPRODUCT(MAX((Evermont!$A$2:$A$1000=$A749)*Evermont!$F$2:$F$1000))&gt;0,TEXT(SUMPRODUCT(MAX((Evermont!$A$2:$A$1000=$A749)*Evermont!$F$2:$F$1000)),"yyyy-mm-dd"),""))))))</f>
        <v/>
      </c>
      <c r="L749" s="131" t="str">
        <f aca="false">IF($A749="","",COUNTIF(E749:K749,"✓"))</f>
        <v/>
      </c>
      <c r="M749" s="131" t="str">
        <f aca="false">IF(B749="","","Active")</f>
        <v/>
      </c>
      <c r="W749" s="120" t="str">
        <f aca="false">IF($A749="","",IF($X749&lt;&gt;"",$X749,IFERROR(INDEX('Formation Initiale'!$B$2:$B$999,MATCH($A749,'Formation Initiale'!$A$2:$A$999,0)),"Général")))</f>
        <v/>
      </c>
    </row>
    <row r="750" customFormat="false" ht="15" hidden="true" customHeight="true" outlineLevel="0" collapsed="false">
      <c r="A750" s="142" t="str">
        <f aca="false">IF(B750="","","TR"&amp;TEXT(ROW()-1,"000"))</f>
        <v/>
      </c>
      <c r="E750" s="130" t="str">
        <f aca="false">IF($O750="✓","✓",IF(ISNUMBER($O750),TEXT($O750,"yyyy-mm-dd"),IF($A750="","",IF(SUMPRODUCT(('Formation Initiale'!$A$2:$A$999=$A750)*('Formation Initiale'!$R$2:$R$999="Terminé"))&gt;0,"✓",IF(SUMPRODUCT(MAX(('Formation Initiale'!$A$2:$A$999=$A750)*'Formation Initiale'!$G$2:$G$999))&gt;0,TEXT(SUMPRODUCT(MAX(('Formation Initiale'!$A$2:$A$999=$A750)*'Formation Initiale'!$G$2:$G$999)),"yyyy-mm-dd"),"")))))</f>
        <v/>
      </c>
      <c r="F750" s="131" t="str">
        <f aca="false">IF($P750="✓","✓",IF(ISNUMBER($P750),TEXT($P750,"yyyy-mm-dd"),IF($A750="","",IF($D750="Lisbonne","",IF(SUMPRODUCT(('Formation Initiale'!$A$2:$A$999=$A750)*('Formation Initiale'!$R$2:$R$999="Terminé"))&gt;0,"✓",IF(SUMPRODUCT(MAX(('Formation Initiale'!$A$2:$A$999=$A750)*'Formation Initiale'!$G$2:$G$999))&gt;0,TEXT(SUMPRODUCT(MAX(('Formation Initiale'!$A$2:$A$999=$A750)*'Formation Initiale'!$G$2:$G$999)),"yyyy-mm-dd"),""))))))</f>
        <v/>
      </c>
      <c r="G750" s="131" t="str">
        <f aca="false">IF($Q750="✓","✓",IF(ISNUMBER($Q750),TEXT($Q750,"yyyy-mm-dd"),IF($A750="","",IF(SUMPRODUCT(('Agences &amp; Après-vente'!$A$2:$A$1000=$A750)*(('Agences &amp; Après-vente'!$D$2:$D$1000="Agences")+('Agences &amp; Après-vente'!$D$2:$D$1000="Agences et Après-vente"))*('Agences &amp; Après-vente'!$I$2:$I$1000="DONE"))&gt;0,"✓",IF(SUMPRODUCT(MAX(('Agences &amp; Après-vente'!$A$2:$A$1000=$A750)*(('Agences &amp; Après-vente'!$D$2:$D$1000="Agences")+('Agences &amp; Après-vente'!$D$2:$D$1000="Agences et Après-vente"))*'Agences &amp; Après-vente'!$E$2:$E$1000))&gt;0,TEXT(SUMPRODUCT(MAX(('Agences &amp; Après-vente'!$A$2:$A$1000=$A750)*(('Agences &amp; Après-vente'!$D$2:$D$1000="Agences")+('Agences &amp; Après-vente'!$D$2:$D$1000="Agences et Après-vente"))*'Agences &amp; Après-vente'!$E$2:$E$1000)),"yyyy-mm-dd"),"")))))</f>
        <v/>
      </c>
      <c r="H750" s="131" t="str">
        <f aca="false">IF($R750="✓","✓",IF(ISNUMBER($R750),TEXT($R750,"yyyy-mm-dd"),IF($A750="","",IF($D750="Lisbonne","",IF(SUMPRODUCT(('Agences &amp; Après-vente'!$A$2:$A$1000=$A750)*(('Agences &amp; Après-vente'!$D$2:$D$1000="Agences")+('Agences &amp; Après-vente'!$D$2:$D$1000="Agences et Après-vente"))*('Agences &amp; Après-vente'!$I$2:$I$1000="DONE"))&gt;0,"✓",IF(SUMPRODUCT(MAX(('Agences &amp; Après-vente'!$A$2:$A$1000=$A750)*(('Agences &amp; Après-vente'!$D$2:$D$1000="Agences")+('Agences &amp; Après-vente'!$D$2:$D$1000="Agences et Après-vente"))*'Agences &amp; Après-vente'!$E$2:$E$1000))&gt;0,TEXT(SUMPRODUCT(MAX(('Agences &amp; Après-vente'!$A$2:$A$1000=$A750)*(('Agences &amp; Après-vente'!$D$2:$D$1000="Agences")+('Agences &amp; Après-vente'!$D$2:$D$1000="Agences et Après-vente"))*'Agences &amp; Après-vente'!$E$2:$E$1000)),"yyyy-mm-dd"),""))))))</f>
        <v/>
      </c>
      <c r="I750" s="131" t="str">
        <f aca="false">IF($S750="✓","✓",IF(ISNUMBER($S750),TEXT($S750,"yyyy-mm-dd"),IF($A750="","",IF(SUMPRODUCT(('Agences &amp; Après-vente'!$A$2:$A$1000=$A750)*(('Agences &amp; Après-vente'!$D$2:$D$1000="Après-vente")+('Agences &amp; Après-vente'!$D$2:$D$1000="Agences et Après-vente"))*('Agences &amp; Après-vente'!$I$2:$I$1000="DONE"))&gt;0,"✓",IF(SUMPRODUCT(MAX(('Agences &amp; Après-vente'!$A$2:$A$1000=$A750)*(('Agences &amp; Après-vente'!$D$2:$D$1000="Après-vente")+('Agences &amp; Après-vente'!$D$2:$D$1000="Agences et Après-vente"))*'Agences &amp; Après-vente'!$E$2:$E$1000))&gt;0,TEXT(SUMPRODUCT(MAX(('Agences &amp; Après-vente'!$A$2:$A$1000=$A750)*(('Agences &amp; Après-vente'!$D$2:$D$1000="Après-vente")+('Agences &amp; Après-vente'!$D$2:$D$1000="Agences et Après-vente"))*'Agences &amp; Après-vente'!$E$2:$E$1000)),"yyyy-mm-dd"),"")))))</f>
        <v/>
      </c>
      <c r="J750" s="131" t="str">
        <f aca="false">IF($T750="✓","✓",IF(ISNUMBER($T750),TEXT($T750,"yyyy-mm-dd"),IF($A750="","",IF($D750="Lisbonne","",IF(SUMPRODUCT(('Agences &amp; Après-vente'!$A$2:$A$1000=$A750)*(('Agences &amp; Après-vente'!$D$2:$D$1000="Après-vente")+('Agences &amp; Après-vente'!$D$2:$D$1000="Agences et Après-vente"))*('Agences &amp; Après-vente'!$I$2:$I$1000="DONE"))&gt;0,"✓",IF(SUMPRODUCT(MAX(('Agences &amp; Après-vente'!$A$2:$A$1000=$A750)*(('Agences &amp; Après-vente'!$D$2:$D$1000="Après-vente")+('Agences &amp; Après-vente'!$D$2:$D$1000="Agences et Après-vente"))*'Agences &amp; Après-vente'!$E$2:$E$1000))&gt;0,TEXT(SUMPRODUCT(MAX(('Agences &amp; Après-vente'!$A$2:$A$1000=$A750)*(('Agences &amp; Après-vente'!$D$2:$D$1000="Après-vente")+('Agences &amp; Après-vente'!$D$2:$D$1000="Agences et Après-vente"))*'Agences &amp; Après-vente'!$E$2:$E$1000)),"yyyy-mm-dd"),""))))))</f>
        <v/>
      </c>
      <c r="K750" s="131" t="str">
        <f aca="false">IF($U750="✓","✓",IF(ISNUMBER($U750),TEXT($U750,"yyyy-mm-dd"),IF($D750="Lisbonne","",IF($A750="","",IF(SUMPRODUCT((Evermont!$A$2:$A$1000=$A750)*(Evermont!$Q$2:$Q$1000="Terminé"))&gt;0,"✓",IF(SUMPRODUCT(MAX((Evermont!$A$2:$A$1000=$A750)*Evermont!$F$2:$F$1000))&gt;0,TEXT(SUMPRODUCT(MAX((Evermont!$A$2:$A$1000=$A750)*Evermont!$F$2:$F$1000)),"yyyy-mm-dd"),""))))))</f>
        <v/>
      </c>
      <c r="L750" s="131" t="str">
        <f aca="false">IF($A750="","",COUNTIF(E750:K750,"✓"))</f>
        <v/>
      </c>
      <c r="M750" s="131" t="str">
        <f aca="false">IF(B750="","","Active")</f>
        <v/>
      </c>
      <c r="W750" s="120" t="str">
        <f aca="false">IF($A750="","",IF($X750&lt;&gt;"",$X750,IFERROR(INDEX('Formation Initiale'!$B$2:$B$999,MATCH($A750,'Formation Initiale'!$A$2:$A$999,0)),"Général")))</f>
        <v/>
      </c>
    </row>
    <row r="751" customFormat="false" ht="15" hidden="true" customHeight="true" outlineLevel="0" collapsed="false">
      <c r="A751" s="142" t="str">
        <f aca="false">IF(B751="","","TR"&amp;TEXT(ROW()-1,"000"))</f>
        <v/>
      </c>
      <c r="E751" s="130" t="str">
        <f aca="false">IF($O751="✓","✓",IF(ISNUMBER($O751),TEXT($O751,"yyyy-mm-dd"),IF($A751="","",IF(SUMPRODUCT(('Formation Initiale'!$A$2:$A$999=$A751)*('Formation Initiale'!$R$2:$R$999="Terminé"))&gt;0,"✓",IF(SUMPRODUCT(MAX(('Formation Initiale'!$A$2:$A$999=$A751)*'Formation Initiale'!$G$2:$G$999))&gt;0,TEXT(SUMPRODUCT(MAX(('Formation Initiale'!$A$2:$A$999=$A751)*'Formation Initiale'!$G$2:$G$999)),"yyyy-mm-dd"),"")))))</f>
        <v/>
      </c>
      <c r="F751" s="131" t="str">
        <f aca="false">IF($P751="✓","✓",IF(ISNUMBER($P751),TEXT($P751,"yyyy-mm-dd"),IF($A751="","",IF($D751="Lisbonne","",IF(SUMPRODUCT(('Formation Initiale'!$A$2:$A$999=$A751)*('Formation Initiale'!$R$2:$R$999="Terminé"))&gt;0,"✓",IF(SUMPRODUCT(MAX(('Formation Initiale'!$A$2:$A$999=$A751)*'Formation Initiale'!$G$2:$G$999))&gt;0,TEXT(SUMPRODUCT(MAX(('Formation Initiale'!$A$2:$A$999=$A751)*'Formation Initiale'!$G$2:$G$999)),"yyyy-mm-dd"),""))))))</f>
        <v/>
      </c>
      <c r="G751" s="131" t="str">
        <f aca="false">IF($Q751="✓","✓",IF(ISNUMBER($Q751),TEXT($Q751,"yyyy-mm-dd"),IF($A751="","",IF(SUMPRODUCT(('Agences &amp; Après-vente'!$A$2:$A$1000=$A751)*(('Agences &amp; Après-vente'!$D$2:$D$1000="Agences")+('Agences &amp; Après-vente'!$D$2:$D$1000="Agences et Après-vente"))*('Agences &amp; Après-vente'!$I$2:$I$1000="DONE"))&gt;0,"✓",IF(SUMPRODUCT(MAX(('Agences &amp; Après-vente'!$A$2:$A$1000=$A751)*(('Agences &amp; Après-vente'!$D$2:$D$1000="Agences")+('Agences &amp; Après-vente'!$D$2:$D$1000="Agences et Après-vente"))*'Agences &amp; Après-vente'!$E$2:$E$1000))&gt;0,TEXT(SUMPRODUCT(MAX(('Agences &amp; Après-vente'!$A$2:$A$1000=$A751)*(('Agences &amp; Après-vente'!$D$2:$D$1000="Agences")+('Agences &amp; Après-vente'!$D$2:$D$1000="Agences et Après-vente"))*'Agences &amp; Après-vente'!$E$2:$E$1000)),"yyyy-mm-dd"),"")))))</f>
        <v/>
      </c>
      <c r="H751" s="131" t="str">
        <f aca="false">IF($R751="✓","✓",IF(ISNUMBER($R751),TEXT($R751,"yyyy-mm-dd"),IF($A751="","",IF($D751="Lisbonne","",IF(SUMPRODUCT(('Agences &amp; Après-vente'!$A$2:$A$1000=$A751)*(('Agences &amp; Après-vente'!$D$2:$D$1000="Agences")+('Agences &amp; Après-vente'!$D$2:$D$1000="Agences et Après-vente"))*('Agences &amp; Après-vente'!$I$2:$I$1000="DONE"))&gt;0,"✓",IF(SUMPRODUCT(MAX(('Agences &amp; Après-vente'!$A$2:$A$1000=$A751)*(('Agences &amp; Après-vente'!$D$2:$D$1000="Agences")+('Agences &amp; Après-vente'!$D$2:$D$1000="Agences et Après-vente"))*'Agences &amp; Après-vente'!$E$2:$E$1000))&gt;0,TEXT(SUMPRODUCT(MAX(('Agences &amp; Après-vente'!$A$2:$A$1000=$A751)*(('Agences &amp; Après-vente'!$D$2:$D$1000="Agences")+('Agences &amp; Après-vente'!$D$2:$D$1000="Agences et Après-vente"))*'Agences &amp; Après-vente'!$E$2:$E$1000)),"yyyy-mm-dd"),""))))))</f>
        <v/>
      </c>
      <c r="I751" s="131" t="str">
        <f aca="false">IF($S751="✓","✓",IF(ISNUMBER($S751),TEXT($S751,"yyyy-mm-dd"),IF($A751="","",IF(SUMPRODUCT(('Agences &amp; Après-vente'!$A$2:$A$1000=$A751)*(('Agences &amp; Après-vente'!$D$2:$D$1000="Après-vente")+('Agences &amp; Après-vente'!$D$2:$D$1000="Agences et Après-vente"))*('Agences &amp; Après-vente'!$I$2:$I$1000="DONE"))&gt;0,"✓",IF(SUMPRODUCT(MAX(('Agences &amp; Après-vente'!$A$2:$A$1000=$A751)*(('Agences &amp; Après-vente'!$D$2:$D$1000="Après-vente")+('Agences &amp; Après-vente'!$D$2:$D$1000="Agences et Après-vente"))*'Agences &amp; Après-vente'!$E$2:$E$1000))&gt;0,TEXT(SUMPRODUCT(MAX(('Agences &amp; Après-vente'!$A$2:$A$1000=$A751)*(('Agences &amp; Après-vente'!$D$2:$D$1000="Après-vente")+('Agences &amp; Après-vente'!$D$2:$D$1000="Agences et Après-vente"))*'Agences &amp; Après-vente'!$E$2:$E$1000)),"yyyy-mm-dd"),"")))))</f>
        <v/>
      </c>
      <c r="J751" s="131" t="str">
        <f aca="false">IF($T751="✓","✓",IF(ISNUMBER($T751),TEXT($T751,"yyyy-mm-dd"),IF($A751="","",IF($D751="Lisbonne","",IF(SUMPRODUCT(('Agences &amp; Après-vente'!$A$2:$A$1000=$A751)*(('Agences &amp; Après-vente'!$D$2:$D$1000="Après-vente")+('Agences &amp; Après-vente'!$D$2:$D$1000="Agences et Après-vente"))*('Agences &amp; Après-vente'!$I$2:$I$1000="DONE"))&gt;0,"✓",IF(SUMPRODUCT(MAX(('Agences &amp; Après-vente'!$A$2:$A$1000=$A751)*(('Agences &amp; Après-vente'!$D$2:$D$1000="Après-vente")+('Agences &amp; Après-vente'!$D$2:$D$1000="Agences et Après-vente"))*'Agences &amp; Après-vente'!$E$2:$E$1000))&gt;0,TEXT(SUMPRODUCT(MAX(('Agences &amp; Après-vente'!$A$2:$A$1000=$A751)*(('Agences &amp; Après-vente'!$D$2:$D$1000="Après-vente")+('Agences &amp; Après-vente'!$D$2:$D$1000="Agences et Après-vente"))*'Agences &amp; Après-vente'!$E$2:$E$1000)),"yyyy-mm-dd"),""))))))</f>
        <v/>
      </c>
      <c r="K751" s="131" t="str">
        <f aca="false">IF($U751="✓","✓",IF(ISNUMBER($U751),TEXT($U751,"yyyy-mm-dd"),IF($D751="Lisbonne","",IF($A751="","",IF(SUMPRODUCT((Evermont!$A$2:$A$1000=$A751)*(Evermont!$Q$2:$Q$1000="Terminé"))&gt;0,"✓",IF(SUMPRODUCT(MAX((Evermont!$A$2:$A$1000=$A751)*Evermont!$F$2:$F$1000))&gt;0,TEXT(SUMPRODUCT(MAX((Evermont!$A$2:$A$1000=$A751)*Evermont!$F$2:$F$1000)),"yyyy-mm-dd"),""))))))</f>
        <v/>
      </c>
      <c r="L751" s="131" t="str">
        <f aca="false">IF($A751="","",COUNTIF(E751:K751,"✓"))</f>
        <v/>
      </c>
      <c r="M751" s="131" t="str">
        <f aca="false">IF(B751="","","Active")</f>
        <v/>
      </c>
      <c r="W751" s="120" t="str">
        <f aca="false">IF($A751="","",IF($X751&lt;&gt;"",$X751,IFERROR(INDEX('Formation Initiale'!$B$2:$B$999,MATCH($A751,'Formation Initiale'!$A$2:$A$999,0)),"Général")))</f>
        <v/>
      </c>
    </row>
    <row r="752" customFormat="false" ht="15" hidden="true" customHeight="true" outlineLevel="0" collapsed="false">
      <c r="A752" s="142" t="str">
        <f aca="false">IF(B752="","","TR"&amp;TEXT(ROW()-1,"000"))</f>
        <v/>
      </c>
      <c r="E752" s="130" t="str">
        <f aca="false">IF($O752="✓","✓",IF(ISNUMBER($O752),TEXT($O752,"yyyy-mm-dd"),IF($A752="","",IF(SUMPRODUCT(('Formation Initiale'!$A$2:$A$999=$A752)*('Formation Initiale'!$R$2:$R$999="Terminé"))&gt;0,"✓",IF(SUMPRODUCT(MAX(('Formation Initiale'!$A$2:$A$999=$A752)*'Formation Initiale'!$G$2:$G$999))&gt;0,TEXT(SUMPRODUCT(MAX(('Formation Initiale'!$A$2:$A$999=$A752)*'Formation Initiale'!$G$2:$G$999)),"yyyy-mm-dd"),"")))))</f>
        <v/>
      </c>
      <c r="F752" s="131" t="str">
        <f aca="false">IF($P752="✓","✓",IF(ISNUMBER($P752),TEXT($P752,"yyyy-mm-dd"),IF($A752="","",IF($D752="Lisbonne","",IF(SUMPRODUCT(('Formation Initiale'!$A$2:$A$999=$A752)*('Formation Initiale'!$R$2:$R$999="Terminé"))&gt;0,"✓",IF(SUMPRODUCT(MAX(('Formation Initiale'!$A$2:$A$999=$A752)*'Formation Initiale'!$G$2:$G$999))&gt;0,TEXT(SUMPRODUCT(MAX(('Formation Initiale'!$A$2:$A$999=$A752)*'Formation Initiale'!$G$2:$G$999)),"yyyy-mm-dd"),""))))))</f>
        <v/>
      </c>
      <c r="G752" s="131" t="str">
        <f aca="false">IF($Q752="✓","✓",IF(ISNUMBER($Q752),TEXT($Q752,"yyyy-mm-dd"),IF($A752="","",IF(SUMPRODUCT(('Agences &amp; Après-vente'!$A$2:$A$1000=$A752)*(('Agences &amp; Après-vente'!$D$2:$D$1000="Agences")+('Agences &amp; Après-vente'!$D$2:$D$1000="Agences et Après-vente"))*('Agences &amp; Après-vente'!$I$2:$I$1000="DONE"))&gt;0,"✓",IF(SUMPRODUCT(MAX(('Agences &amp; Après-vente'!$A$2:$A$1000=$A752)*(('Agences &amp; Après-vente'!$D$2:$D$1000="Agences")+('Agences &amp; Après-vente'!$D$2:$D$1000="Agences et Après-vente"))*'Agences &amp; Après-vente'!$E$2:$E$1000))&gt;0,TEXT(SUMPRODUCT(MAX(('Agences &amp; Après-vente'!$A$2:$A$1000=$A752)*(('Agences &amp; Après-vente'!$D$2:$D$1000="Agences")+('Agences &amp; Après-vente'!$D$2:$D$1000="Agences et Après-vente"))*'Agences &amp; Après-vente'!$E$2:$E$1000)),"yyyy-mm-dd"),"")))))</f>
        <v/>
      </c>
      <c r="H752" s="131" t="str">
        <f aca="false">IF($R752="✓","✓",IF(ISNUMBER($R752),TEXT($R752,"yyyy-mm-dd"),IF($A752="","",IF($D752="Lisbonne","",IF(SUMPRODUCT(('Agences &amp; Après-vente'!$A$2:$A$1000=$A752)*(('Agences &amp; Après-vente'!$D$2:$D$1000="Agences")+('Agences &amp; Après-vente'!$D$2:$D$1000="Agences et Après-vente"))*('Agences &amp; Après-vente'!$I$2:$I$1000="DONE"))&gt;0,"✓",IF(SUMPRODUCT(MAX(('Agences &amp; Après-vente'!$A$2:$A$1000=$A752)*(('Agences &amp; Après-vente'!$D$2:$D$1000="Agences")+('Agences &amp; Après-vente'!$D$2:$D$1000="Agences et Après-vente"))*'Agences &amp; Après-vente'!$E$2:$E$1000))&gt;0,TEXT(SUMPRODUCT(MAX(('Agences &amp; Après-vente'!$A$2:$A$1000=$A752)*(('Agences &amp; Après-vente'!$D$2:$D$1000="Agences")+('Agences &amp; Après-vente'!$D$2:$D$1000="Agences et Après-vente"))*'Agences &amp; Après-vente'!$E$2:$E$1000)),"yyyy-mm-dd"),""))))))</f>
        <v/>
      </c>
      <c r="I752" s="131" t="str">
        <f aca="false">IF($S752="✓","✓",IF(ISNUMBER($S752),TEXT($S752,"yyyy-mm-dd"),IF($A752="","",IF(SUMPRODUCT(('Agences &amp; Après-vente'!$A$2:$A$1000=$A752)*(('Agences &amp; Après-vente'!$D$2:$D$1000="Après-vente")+('Agences &amp; Après-vente'!$D$2:$D$1000="Agences et Après-vente"))*('Agences &amp; Après-vente'!$I$2:$I$1000="DONE"))&gt;0,"✓",IF(SUMPRODUCT(MAX(('Agences &amp; Après-vente'!$A$2:$A$1000=$A752)*(('Agences &amp; Après-vente'!$D$2:$D$1000="Après-vente")+('Agences &amp; Après-vente'!$D$2:$D$1000="Agences et Après-vente"))*'Agences &amp; Après-vente'!$E$2:$E$1000))&gt;0,TEXT(SUMPRODUCT(MAX(('Agences &amp; Après-vente'!$A$2:$A$1000=$A752)*(('Agences &amp; Après-vente'!$D$2:$D$1000="Après-vente")+('Agences &amp; Après-vente'!$D$2:$D$1000="Agences et Après-vente"))*'Agences &amp; Après-vente'!$E$2:$E$1000)),"yyyy-mm-dd"),"")))))</f>
        <v/>
      </c>
      <c r="J752" s="131" t="str">
        <f aca="false">IF($T752="✓","✓",IF(ISNUMBER($T752),TEXT($T752,"yyyy-mm-dd"),IF($A752="","",IF($D752="Lisbonne","",IF(SUMPRODUCT(('Agences &amp; Après-vente'!$A$2:$A$1000=$A752)*(('Agences &amp; Après-vente'!$D$2:$D$1000="Après-vente")+('Agences &amp; Après-vente'!$D$2:$D$1000="Agences et Après-vente"))*('Agences &amp; Après-vente'!$I$2:$I$1000="DONE"))&gt;0,"✓",IF(SUMPRODUCT(MAX(('Agences &amp; Après-vente'!$A$2:$A$1000=$A752)*(('Agences &amp; Après-vente'!$D$2:$D$1000="Après-vente")+('Agences &amp; Après-vente'!$D$2:$D$1000="Agences et Après-vente"))*'Agences &amp; Après-vente'!$E$2:$E$1000))&gt;0,TEXT(SUMPRODUCT(MAX(('Agences &amp; Après-vente'!$A$2:$A$1000=$A752)*(('Agences &amp; Après-vente'!$D$2:$D$1000="Après-vente")+('Agences &amp; Après-vente'!$D$2:$D$1000="Agences et Après-vente"))*'Agences &amp; Après-vente'!$E$2:$E$1000)),"yyyy-mm-dd"),""))))))</f>
        <v/>
      </c>
      <c r="K752" s="131" t="str">
        <f aca="false">IF($U752="✓","✓",IF(ISNUMBER($U752),TEXT($U752,"yyyy-mm-dd"),IF($D752="Lisbonne","",IF($A752="","",IF(SUMPRODUCT((Evermont!$A$2:$A$1000=$A752)*(Evermont!$Q$2:$Q$1000="Terminé"))&gt;0,"✓",IF(SUMPRODUCT(MAX((Evermont!$A$2:$A$1000=$A752)*Evermont!$F$2:$F$1000))&gt;0,TEXT(SUMPRODUCT(MAX((Evermont!$A$2:$A$1000=$A752)*Evermont!$F$2:$F$1000)),"yyyy-mm-dd"),""))))))</f>
        <v/>
      </c>
      <c r="L752" s="131" t="str">
        <f aca="false">IF($A752="","",COUNTIF(E752:K752,"✓"))</f>
        <v/>
      </c>
      <c r="M752" s="131" t="str">
        <f aca="false">IF(B752="","","Active")</f>
        <v/>
      </c>
      <c r="W752" s="120" t="str">
        <f aca="false">IF($A752="","",IF($X752&lt;&gt;"",$X752,IFERROR(INDEX('Formation Initiale'!$B$2:$B$999,MATCH($A752,'Formation Initiale'!$A$2:$A$999,0)),"Général")))</f>
        <v/>
      </c>
    </row>
    <row r="753" customFormat="false" ht="15" hidden="true" customHeight="true" outlineLevel="0" collapsed="false">
      <c r="A753" s="142" t="str">
        <f aca="false">IF(B753="","","TR"&amp;TEXT(ROW()-1,"000"))</f>
        <v/>
      </c>
      <c r="E753" s="130" t="str">
        <f aca="false">IF($O753="✓","✓",IF(ISNUMBER($O753),TEXT($O753,"yyyy-mm-dd"),IF($A753="","",IF(SUMPRODUCT(('Formation Initiale'!$A$2:$A$999=$A753)*('Formation Initiale'!$R$2:$R$999="Terminé"))&gt;0,"✓",IF(SUMPRODUCT(MAX(('Formation Initiale'!$A$2:$A$999=$A753)*'Formation Initiale'!$G$2:$G$999))&gt;0,TEXT(SUMPRODUCT(MAX(('Formation Initiale'!$A$2:$A$999=$A753)*'Formation Initiale'!$G$2:$G$999)),"yyyy-mm-dd"),"")))))</f>
        <v/>
      </c>
      <c r="F753" s="131" t="str">
        <f aca="false">IF($P753="✓","✓",IF(ISNUMBER($P753),TEXT($P753,"yyyy-mm-dd"),IF($A753="","",IF($D753="Lisbonne","",IF(SUMPRODUCT(('Formation Initiale'!$A$2:$A$999=$A753)*('Formation Initiale'!$R$2:$R$999="Terminé"))&gt;0,"✓",IF(SUMPRODUCT(MAX(('Formation Initiale'!$A$2:$A$999=$A753)*'Formation Initiale'!$G$2:$G$999))&gt;0,TEXT(SUMPRODUCT(MAX(('Formation Initiale'!$A$2:$A$999=$A753)*'Formation Initiale'!$G$2:$G$999)),"yyyy-mm-dd"),""))))))</f>
        <v/>
      </c>
      <c r="G753" s="131" t="str">
        <f aca="false">IF($Q753="✓","✓",IF(ISNUMBER($Q753),TEXT($Q753,"yyyy-mm-dd"),IF($A753="","",IF(SUMPRODUCT(('Agences &amp; Après-vente'!$A$2:$A$1000=$A753)*(('Agences &amp; Après-vente'!$D$2:$D$1000="Agences")+('Agences &amp; Après-vente'!$D$2:$D$1000="Agences et Après-vente"))*('Agences &amp; Après-vente'!$I$2:$I$1000="DONE"))&gt;0,"✓",IF(SUMPRODUCT(MAX(('Agences &amp; Après-vente'!$A$2:$A$1000=$A753)*(('Agences &amp; Après-vente'!$D$2:$D$1000="Agences")+('Agences &amp; Après-vente'!$D$2:$D$1000="Agences et Après-vente"))*'Agences &amp; Après-vente'!$E$2:$E$1000))&gt;0,TEXT(SUMPRODUCT(MAX(('Agences &amp; Après-vente'!$A$2:$A$1000=$A753)*(('Agences &amp; Après-vente'!$D$2:$D$1000="Agences")+('Agences &amp; Après-vente'!$D$2:$D$1000="Agences et Après-vente"))*'Agences &amp; Après-vente'!$E$2:$E$1000)),"yyyy-mm-dd"),"")))))</f>
        <v/>
      </c>
      <c r="H753" s="131" t="str">
        <f aca="false">IF($R753="✓","✓",IF(ISNUMBER($R753),TEXT($R753,"yyyy-mm-dd"),IF($A753="","",IF($D753="Lisbonne","",IF(SUMPRODUCT(('Agences &amp; Après-vente'!$A$2:$A$1000=$A753)*(('Agences &amp; Après-vente'!$D$2:$D$1000="Agences")+('Agences &amp; Après-vente'!$D$2:$D$1000="Agences et Après-vente"))*('Agences &amp; Après-vente'!$I$2:$I$1000="DONE"))&gt;0,"✓",IF(SUMPRODUCT(MAX(('Agences &amp; Après-vente'!$A$2:$A$1000=$A753)*(('Agences &amp; Après-vente'!$D$2:$D$1000="Agences")+('Agences &amp; Après-vente'!$D$2:$D$1000="Agences et Après-vente"))*'Agences &amp; Après-vente'!$E$2:$E$1000))&gt;0,TEXT(SUMPRODUCT(MAX(('Agences &amp; Après-vente'!$A$2:$A$1000=$A753)*(('Agences &amp; Après-vente'!$D$2:$D$1000="Agences")+('Agences &amp; Après-vente'!$D$2:$D$1000="Agences et Après-vente"))*'Agences &amp; Après-vente'!$E$2:$E$1000)),"yyyy-mm-dd"),""))))))</f>
        <v/>
      </c>
      <c r="I753" s="131" t="str">
        <f aca="false">IF($S753="✓","✓",IF(ISNUMBER($S753),TEXT($S753,"yyyy-mm-dd"),IF($A753="","",IF(SUMPRODUCT(('Agences &amp; Après-vente'!$A$2:$A$1000=$A753)*(('Agences &amp; Après-vente'!$D$2:$D$1000="Après-vente")+('Agences &amp; Après-vente'!$D$2:$D$1000="Agences et Après-vente"))*('Agences &amp; Après-vente'!$I$2:$I$1000="DONE"))&gt;0,"✓",IF(SUMPRODUCT(MAX(('Agences &amp; Après-vente'!$A$2:$A$1000=$A753)*(('Agences &amp; Après-vente'!$D$2:$D$1000="Après-vente")+('Agences &amp; Après-vente'!$D$2:$D$1000="Agences et Après-vente"))*'Agences &amp; Après-vente'!$E$2:$E$1000))&gt;0,TEXT(SUMPRODUCT(MAX(('Agences &amp; Après-vente'!$A$2:$A$1000=$A753)*(('Agences &amp; Après-vente'!$D$2:$D$1000="Après-vente")+('Agences &amp; Après-vente'!$D$2:$D$1000="Agences et Après-vente"))*'Agences &amp; Après-vente'!$E$2:$E$1000)),"yyyy-mm-dd"),"")))))</f>
        <v/>
      </c>
      <c r="J753" s="131" t="str">
        <f aca="false">IF($T753="✓","✓",IF(ISNUMBER($T753),TEXT($T753,"yyyy-mm-dd"),IF($A753="","",IF($D753="Lisbonne","",IF(SUMPRODUCT(('Agences &amp; Après-vente'!$A$2:$A$1000=$A753)*(('Agences &amp; Après-vente'!$D$2:$D$1000="Après-vente")+('Agences &amp; Après-vente'!$D$2:$D$1000="Agences et Après-vente"))*('Agences &amp; Après-vente'!$I$2:$I$1000="DONE"))&gt;0,"✓",IF(SUMPRODUCT(MAX(('Agences &amp; Après-vente'!$A$2:$A$1000=$A753)*(('Agences &amp; Après-vente'!$D$2:$D$1000="Après-vente")+('Agences &amp; Après-vente'!$D$2:$D$1000="Agences et Après-vente"))*'Agences &amp; Après-vente'!$E$2:$E$1000))&gt;0,TEXT(SUMPRODUCT(MAX(('Agences &amp; Après-vente'!$A$2:$A$1000=$A753)*(('Agences &amp; Après-vente'!$D$2:$D$1000="Après-vente")+('Agences &amp; Après-vente'!$D$2:$D$1000="Agences et Après-vente"))*'Agences &amp; Après-vente'!$E$2:$E$1000)),"yyyy-mm-dd"),""))))))</f>
        <v/>
      </c>
      <c r="K753" s="131" t="str">
        <f aca="false">IF($U753="✓","✓",IF(ISNUMBER($U753),TEXT($U753,"yyyy-mm-dd"),IF($D753="Lisbonne","",IF($A753="","",IF(SUMPRODUCT((Evermont!$A$2:$A$1000=$A753)*(Evermont!$Q$2:$Q$1000="Terminé"))&gt;0,"✓",IF(SUMPRODUCT(MAX((Evermont!$A$2:$A$1000=$A753)*Evermont!$F$2:$F$1000))&gt;0,TEXT(SUMPRODUCT(MAX((Evermont!$A$2:$A$1000=$A753)*Evermont!$F$2:$F$1000)),"yyyy-mm-dd"),""))))))</f>
        <v/>
      </c>
      <c r="L753" s="131" t="str">
        <f aca="false">IF($A753="","",COUNTIF(E753:K753,"✓"))</f>
        <v/>
      </c>
      <c r="M753" s="131" t="str">
        <f aca="false">IF(B753="","","Active")</f>
        <v/>
      </c>
      <c r="W753" s="120" t="str">
        <f aca="false">IF($A753="","",IF($X753&lt;&gt;"",$X753,IFERROR(INDEX('Formation Initiale'!$B$2:$B$999,MATCH($A753,'Formation Initiale'!$A$2:$A$999,0)),"Général")))</f>
        <v/>
      </c>
    </row>
    <row r="754" customFormat="false" ht="15" hidden="true" customHeight="true" outlineLevel="0" collapsed="false">
      <c r="A754" s="142" t="str">
        <f aca="false">IF(B754="","","TR"&amp;TEXT(ROW()-1,"000"))</f>
        <v/>
      </c>
      <c r="E754" s="130" t="str">
        <f aca="false">IF($O754="✓","✓",IF(ISNUMBER($O754),TEXT($O754,"yyyy-mm-dd"),IF($A754="","",IF(SUMPRODUCT(('Formation Initiale'!$A$2:$A$999=$A754)*('Formation Initiale'!$R$2:$R$999="Terminé"))&gt;0,"✓",IF(SUMPRODUCT(MAX(('Formation Initiale'!$A$2:$A$999=$A754)*'Formation Initiale'!$G$2:$G$999))&gt;0,TEXT(SUMPRODUCT(MAX(('Formation Initiale'!$A$2:$A$999=$A754)*'Formation Initiale'!$G$2:$G$999)),"yyyy-mm-dd"),"")))))</f>
        <v/>
      </c>
      <c r="F754" s="131" t="str">
        <f aca="false">IF($P754="✓","✓",IF(ISNUMBER($P754),TEXT($P754,"yyyy-mm-dd"),IF($A754="","",IF($D754="Lisbonne","",IF(SUMPRODUCT(('Formation Initiale'!$A$2:$A$999=$A754)*('Formation Initiale'!$R$2:$R$999="Terminé"))&gt;0,"✓",IF(SUMPRODUCT(MAX(('Formation Initiale'!$A$2:$A$999=$A754)*'Formation Initiale'!$G$2:$G$999))&gt;0,TEXT(SUMPRODUCT(MAX(('Formation Initiale'!$A$2:$A$999=$A754)*'Formation Initiale'!$G$2:$G$999)),"yyyy-mm-dd"),""))))))</f>
        <v/>
      </c>
      <c r="G754" s="131" t="str">
        <f aca="false">IF($Q754="✓","✓",IF(ISNUMBER($Q754),TEXT($Q754,"yyyy-mm-dd"),IF($A754="","",IF(SUMPRODUCT(('Agences &amp; Après-vente'!$A$2:$A$1000=$A754)*(('Agences &amp; Après-vente'!$D$2:$D$1000="Agences")+('Agences &amp; Après-vente'!$D$2:$D$1000="Agences et Après-vente"))*('Agences &amp; Après-vente'!$I$2:$I$1000="DONE"))&gt;0,"✓",IF(SUMPRODUCT(MAX(('Agences &amp; Après-vente'!$A$2:$A$1000=$A754)*(('Agences &amp; Après-vente'!$D$2:$D$1000="Agences")+('Agences &amp; Après-vente'!$D$2:$D$1000="Agences et Après-vente"))*'Agences &amp; Après-vente'!$E$2:$E$1000))&gt;0,TEXT(SUMPRODUCT(MAX(('Agences &amp; Après-vente'!$A$2:$A$1000=$A754)*(('Agences &amp; Après-vente'!$D$2:$D$1000="Agences")+('Agences &amp; Après-vente'!$D$2:$D$1000="Agences et Après-vente"))*'Agences &amp; Après-vente'!$E$2:$E$1000)),"yyyy-mm-dd"),"")))))</f>
        <v/>
      </c>
      <c r="H754" s="131" t="str">
        <f aca="false">IF($R754="✓","✓",IF(ISNUMBER($R754),TEXT($R754,"yyyy-mm-dd"),IF($A754="","",IF($D754="Lisbonne","",IF(SUMPRODUCT(('Agences &amp; Après-vente'!$A$2:$A$1000=$A754)*(('Agences &amp; Après-vente'!$D$2:$D$1000="Agences")+('Agences &amp; Après-vente'!$D$2:$D$1000="Agences et Après-vente"))*('Agences &amp; Après-vente'!$I$2:$I$1000="DONE"))&gt;0,"✓",IF(SUMPRODUCT(MAX(('Agences &amp; Après-vente'!$A$2:$A$1000=$A754)*(('Agences &amp; Après-vente'!$D$2:$D$1000="Agences")+('Agences &amp; Après-vente'!$D$2:$D$1000="Agences et Après-vente"))*'Agences &amp; Après-vente'!$E$2:$E$1000))&gt;0,TEXT(SUMPRODUCT(MAX(('Agences &amp; Après-vente'!$A$2:$A$1000=$A754)*(('Agences &amp; Après-vente'!$D$2:$D$1000="Agences")+('Agences &amp; Après-vente'!$D$2:$D$1000="Agences et Après-vente"))*'Agences &amp; Après-vente'!$E$2:$E$1000)),"yyyy-mm-dd"),""))))))</f>
        <v/>
      </c>
      <c r="I754" s="131" t="str">
        <f aca="false">IF($S754="✓","✓",IF(ISNUMBER($S754),TEXT($S754,"yyyy-mm-dd"),IF($A754="","",IF(SUMPRODUCT(('Agences &amp; Après-vente'!$A$2:$A$1000=$A754)*(('Agences &amp; Après-vente'!$D$2:$D$1000="Après-vente")+('Agences &amp; Après-vente'!$D$2:$D$1000="Agences et Après-vente"))*('Agences &amp; Après-vente'!$I$2:$I$1000="DONE"))&gt;0,"✓",IF(SUMPRODUCT(MAX(('Agences &amp; Après-vente'!$A$2:$A$1000=$A754)*(('Agences &amp; Après-vente'!$D$2:$D$1000="Après-vente")+('Agences &amp; Après-vente'!$D$2:$D$1000="Agences et Après-vente"))*'Agences &amp; Après-vente'!$E$2:$E$1000))&gt;0,TEXT(SUMPRODUCT(MAX(('Agences &amp; Après-vente'!$A$2:$A$1000=$A754)*(('Agences &amp; Après-vente'!$D$2:$D$1000="Après-vente")+('Agences &amp; Après-vente'!$D$2:$D$1000="Agences et Après-vente"))*'Agences &amp; Après-vente'!$E$2:$E$1000)),"yyyy-mm-dd"),"")))))</f>
        <v/>
      </c>
      <c r="J754" s="131" t="str">
        <f aca="false">IF($T754="✓","✓",IF(ISNUMBER($T754),TEXT($T754,"yyyy-mm-dd"),IF($A754="","",IF($D754="Lisbonne","",IF(SUMPRODUCT(('Agences &amp; Après-vente'!$A$2:$A$1000=$A754)*(('Agences &amp; Après-vente'!$D$2:$D$1000="Après-vente")+('Agences &amp; Après-vente'!$D$2:$D$1000="Agences et Après-vente"))*('Agences &amp; Après-vente'!$I$2:$I$1000="DONE"))&gt;0,"✓",IF(SUMPRODUCT(MAX(('Agences &amp; Après-vente'!$A$2:$A$1000=$A754)*(('Agences &amp; Après-vente'!$D$2:$D$1000="Après-vente")+('Agences &amp; Après-vente'!$D$2:$D$1000="Agences et Après-vente"))*'Agences &amp; Après-vente'!$E$2:$E$1000))&gt;0,TEXT(SUMPRODUCT(MAX(('Agences &amp; Après-vente'!$A$2:$A$1000=$A754)*(('Agences &amp; Après-vente'!$D$2:$D$1000="Après-vente")+('Agences &amp; Après-vente'!$D$2:$D$1000="Agences et Après-vente"))*'Agences &amp; Après-vente'!$E$2:$E$1000)),"yyyy-mm-dd"),""))))))</f>
        <v/>
      </c>
      <c r="K754" s="131" t="str">
        <f aca="false">IF($U754="✓","✓",IF(ISNUMBER($U754),TEXT($U754,"yyyy-mm-dd"),IF($D754="Lisbonne","",IF($A754="","",IF(SUMPRODUCT((Evermont!$A$2:$A$1000=$A754)*(Evermont!$Q$2:$Q$1000="Terminé"))&gt;0,"✓",IF(SUMPRODUCT(MAX((Evermont!$A$2:$A$1000=$A754)*Evermont!$F$2:$F$1000))&gt;0,TEXT(SUMPRODUCT(MAX((Evermont!$A$2:$A$1000=$A754)*Evermont!$F$2:$F$1000)),"yyyy-mm-dd"),""))))))</f>
        <v/>
      </c>
      <c r="L754" s="131" t="str">
        <f aca="false">IF($A754="","",COUNTIF(E754:K754,"✓"))</f>
        <v/>
      </c>
      <c r="M754" s="131" t="str">
        <f aca="false">IF(B754="","","Active")</f>
        <v/>
      </c>
      <c r="W754" s="120" t="str">
        <f aca="false">IF($A754="","",IF($X754&lt;&gt;"",$X754,IFERROR(INDEX('Formation Initiale'!$B$2:$B$999,MATCH($A754,'Formation Initiale'!$A$2:$A$999,0)),"Général")))</f>
        <v/>
      </c>
    </row>
    <row r="755" customFormat="false" ht="15" hidden="true" customHeight="true" outlineLevel="0" collapsed="false">
      <c r="A755" s="142" t="str">
        <f aca="false">IF(B755="","","TR"&amp;TEXT(ROW()-1,"000"))</f>
        <v/>
      </c>
      <c r="E755" s="130" t="str">
        <f aca="false">IF($O755="✓","✓",IF(ISNUMBER($O755),TEXT($O755,"yyyy-mm-dd"),IF($A755="","",IF(SUMPRODUCT(('Formation Initiale'!$A$2:$A$999=$A755)*('Formation Initiale'!$R$2:$R$999="Terminé"))&gt;0,"✓",IF(SUMPRODUCT(MAX(('Formation Initiale'!$A$2:$A$999=$A755)*'Formation Initiale'!$G$2:$G$999))&gt;0,TEXT(SUMPRODUCT(MAX(('Formation Initiale'!$A$2:$A$999=$A755)*'Formation Initiale'!$G$2:$G$999)),"yyyy-mm-dd"),"")))))</f>
        <v/>
      </c>
      <c r="F755" s="131" t="str">
        <f aca="false">IF($P755="✓","✓",IF(ISNUMBER($P755),TEXT($P755,"yyyy-mm-dd"),IF($A755="","",IF($D755="Lisbonne","",IF(SUMPRODUCT(('Formation Initiale'!$A$2:$A$999=$A755)*('Formation Initiale'!$R$2:$R$999="Terminé"))&gt;0,"✓",IF(SUMPRODUCT(MAX(('Formation Initiale'!$A$2:$A$999=$A755)*'Formation Initiale'!$G$2:$G$999))&gt;0,TEXT(SUMPRODUCT(MAX(('Formation Initiale'!$A$2:$A$999=$A755)*'Formation Initiale'!$G$2:$G$999)),"yyyy-mm-dd"),""))))))</f>
        <v/>
      </c>
      <c r="G755" s="131" t="str">
        <f aca="false">IF($Q755="✓","✓",IF(ISNUMBER($Q755),TEXT($Q755,"yyyy-mm-dd"),IF($A755="","",IF(SUMPRODUCT(('Agences &amp; Après-vente'!$A$2:$A$1000=$A755)*(('Agences &amp; Après-vente'!$D$2:$D$1000="Agences")+('Agences &amp; Après-vente'!$D$2:$D$1000="Agences et Après-vente"))*('Agences &amp; Après-vente'!$I$2:$I$1000="DONE"))&gt;0,"✓",IF(SUMPRODUCT(MAX(('Agences &amp; Après-vente'!$A$2:$A$1000=$A755)*(('Agences &amp; Après-vente'!$D$2:$D$1000="Agences")+('Agences &amp; Après-vente'!$D$2:$D$1000="Agences et Après-vente"))*'Agences &amp; Après-vente'!$E$2:$E$1000))&gt;0,TEXT(SUMPRODUCT(MAX(('Agences &amp; Après-vente'!$A$2:$A$1000=$A755)*(('Agences &amp; Après-vente'!$D$2:$D$1000="Agences")+('Agences &amp; Après-vente'!$D$2:$D$1000="Agences et Après-vente"))*'Agences &amp; Après-vente'!$E$2:$E$1000)),"yyyy-mm-dd"),"")))))</f>
        <v/>
      </c>
      <c r="H755" s="131" t="str">
        <f aca="false">IF($R755="✓","✓",IF(ISNUMBER($R755),TEXT($R755,"yyyy-mm-dd"),IF($A755="","",IF($D755="Lisbonne","",IF(SUMPRODUCT(('Agences &amp; Après-vente'!$A$2:$A$1000=$A755)*(('Agences &amp; Après-vente'!$D$2:$D$1000="Agences")+('Agences &amp; Après-vente'!$D$2:$D$1000="Agences et Après-vente"))*('Agences &amp; Après-vente'!$I$2:$I$1000="DONE"))&gt;0,"✓",IF(SUMPRODUCT(MAX(('Agences &amp; Après-vente'!$A$2:$A$1000=$A755)*(('Agences &amp; Après-vente'!$D$2:$D$1000="Agences")+('Agences &amp; Après-vente'!$D$2:$D$1000="Agences et Après-vente"))*'Agences &amp; Après-vente'!$E$2:$E$1000))&gt;0,TEXT(SUMPRODUCT(MAX(('Agences &amp; Après-vente'!$A$2:$A$1000=$A755)*(('Agences &amp; Après-vente'!$D$2:$D$1000="Agences")+('Agences &amp; Après-vente'!$D$2:$D$1000="Agences et Après-vente"))*'Agences &amp; Après-vente'!$E$2:$E$1000)),"yyyy-mm-dd"),""))))))</f>
        <v/>
      </c>
      <c r="I755" s="131" t="str">
        <f aca="false">IF($S755="✓","✓",IF(ISNUMBER($S755),TEXT($S755,"yyyy-mm-dd"),IF($A755="","",IF(SUMPRODUCT(('Agences &amp; Après-vente'!$A$2:$A$1000=$A755)*(('Agences &amp; Après-vente'!$D$2:$D$1000="Après-vente")+('Agences &amp; Après-vente'!$D$2:$D$1000="Agences et Après-vente"))*('Agences &amp; Après-vente'!$I$2:$I$1000="DONE"))&gt;0,"✓",IF(SUMPRODUCT(MAX(('Agences &amp; Après-vente'!$A$2:$A$1000=$A755)*(('Agences &amp; Après-vente'!$D$2:$D$1000="Après-vente")+('Agences &amp; Après-vente'!$D$2:$D$1000="Agences et Après-vente"))*'Agences &amp; Après-vente'!$E$2:$E$1000))&gt;0,TEXT(SUMPRODUCT(MAX(('Agences &amp; Après-vente'!$A$2:$A$1000=$A755)*(('Agences &amp; Après-vente'!$D$2:$D$1000="Après-vente")+('Agences &amp; Après-vente'!$D$2:$D$1000="Agences et Après-vente"))*'Agences &amp; Après-vente'!$E$2:$E$1000)),"yyyy-mm-dd"),"")))))</f>
        <v/>
      </c>
      <c r="J755" s="131" t="str">
        <f aca="false">IF($T755="✓","✓",IF(ISNUMBER($T755),TEXT($T755,"yyyy-mm-dd"),IF($A755="","",IF($D755="Lisbonne","",IF(SUMPRODUCT(('Agences &amp; Après-vente'!$A$2:$A$1000=$A755)*(('Agences &amp; Après-vente'!$D$2:$D$1000="Après-vente")+('Agences &amp; Après-vente'!$D$2:$D$1000="Agences et Après-vente"))*('Agences &amp; Après-vente'!$I$2:$I$1000="DONE"))&gt;0,"✓",IF(SUMPRODUCT(MAX(('Agences &amp; Après-vente'!$A$2:$A$1000=$A755)*(('Agences &amp; Après-vente'!$D$2:$D$1000="Après-vente")+('Agences &amp; Après-vente'!$D$2:$D$1000="Agences et Après-vente"))*'Agences &amp; Après-vente'!$E$2:$E$1000))&gt;0,TEXT(SUMPRODUCT(MAX(('Agences &amp; Après-vente'!$A$2:$A$1000=$A755)*(('Agences &amp; Après-vente'!$D$2:$D$1000="Après-vente")+('Agences &amp; Après-vente'!$D$2:$D$1000="Agences et Après-vente"))*'Agences &amp; Après-vente'!$E$2:$E$1000)),"yyyy-mm-dd"),""))))))</f>
        <v/>
      </c>
      <c r="K755" s="131" t="str">
        <f aca="false">IF($U755="✓","✓",IF(ISNUMBER($U755),TEXT($U755,"yyyy-mm-dd"),IF($D755="Lisbonne","",IF($A755="","",IF(SUMPRODUCT((Evermont!$A$2:$A$1000=$A755)*(Evermont!$Q$2:$Q$1000="Terminé"))&gt;0,"✓",IF(SUMPRODUCT(MAX((Evermont!$A$2:$A$1000=$A755)*Evermont!$F$2:$F$1000))&gt;0,TEXT(SUMPRODUCT(MAX((Evermont!$A$2:$A$1000=$A755)*Evermont!$F$2:$F$1000)),"yyyy-mm-dd"),""))))))</f>
        <v/>
      </c>
      <c r="L755" s="131" t="str">
        <f aca="false">IF($A755="","",COUNTIF(E755:K755,"✓"))</f>
        <v/>
      </c>
      <c r="M755" s="131" t="str">
        <f aca="false">IF(B755="","","Active")</f>
        <v/>
      </c>
      <c r="W755" s="120" t="str">
        <f aca="false">IF($A755="","",IF($X755&lt;&gt;"",$X755,IFERROR(INDEX('Formation Initiale'!$B$2:$B$999,MATCH($A755,'Formation Initiale'!$A$2:$A$999,0)),"Général")))</f>
        <v/>
      </c>
    </row>
    <row r="756" customFormat="false" ht="15" hidden="true" customHeight="true" outlineLevel="0" collapsed="false">
      <c r="A756" s="142" t="str">
        <f aca="false">IF(B756="","","TR"&amp;TEXT(ROW()-1,"000"))</f>
        <v/>
      </c>
      <c r="E756" s="130" t="str">
        <f aca="false">IF($O756="✓","✓",IF(ISNUMBER($O756),TEXT($O756,"yyyy-mm-dd"),IF($A756="","",IF(SUMPRODUCT(('Formation Initiale'!$A$2:$A$999=$A756)*('Formation Initiale'!$R$2:$R$999="Terminé"))&gt;0,"✓",IF(SUMPRODUCT(MAX(('Formation Initiale'!$A$2:$A$999=$A756)*'Formation Initiale'!$G$2:$G$999))&gt;0,TEXT(SUMPRODUCT(MAX(('Formation Initiale'!$A$2:$A$999=$A756)*'Formation Initiale'!$G$2:$G$999)),"yyyy-mm-dd"),"")))))</f>
        <v/>
      </c>
      <c r="F756" s="131" t="str">
        <f aca="false">IF($P756="✓","✓",IF(ISNUMBER($P756),TEXT($P756,"yyyy-mm-dd"),IF($A756="","",IF($D756="Lisbonne","",IF(SUMPRODUCT(('Formation Initiale'!$A$2:$A$999=$A756)*('Formation Initiale'!$R$2:$R$999="Terminé"))&gt;0,"✓",IF(SUMPRODUCT(MAX(('Formation Initiale'!$A$2:$A$999=$A756)*'Formation Initiale'!$G$2:$G$999))&gt;0,TEXT(SUMPRODUCT(MAX(('Formation Initiale'!$A$2:$A$999=$A756)*'Formation Initiale'!$G$2:$G$999)),"yyyy-mm-dd"),""))))))</f>
        <v/>
      </c>
      <c r="G756" s="131" t="str">
        <f aca="false">IF($Q756="✓","✓",IF(ISNUMBER($Q756),TEXT($Q756,"yyyy-mm-dd"),IF($A756="","",IF(SUMPRODUCT(('Agences &amp; Après-vente'!$A$2:$A$1000=$A756)*(('Agences &amp; Après-vente'!$D$2:$D$1000="Agences")+('Agences &amp; Après-vente'!$D$2:$D$1000="Agences et Après-vente"))*('Agences &amp; Après-vente'!$I$2:$I$1000="DONE"))&gt;0,"✓",IF(SUMPRODUCT(MAX(('Agences &amp; Après-vente'!$A$2:$A$1000=$A756)*(('Agences &amp; Après-vente'!$D$2:$D$1000="Agences")+('Agences &amp; Après-vente'!$D$2:$D$1000="Agences et Après-vente"))*'Agences &amp; Après-vente'!$E$2:$E$1000))&gt;0,TEXT(SUMPRODUCT(MAX(('Agences &amp; Après-vente'!$A$2:$A$1000=$A756)*(('Agences &amp; Après-vente'!$D$2:$D$1000="Agences")+('Agences &amp; Après-vente'!$D$2:$D$1000="Agences et Après-vente"))*'Agences &amp; Après-vente'!$E$2:$E$1000)),"yyyy-mm-dd"),"")))))</f>
        <v/>
      </c>
      <c r="H756" s="131" t="str">
        <f aca="false">IF($R756="✓","✓",IF(ISNUMBER($R756),TEXT($R756,"yyyy-mm-dd"),IF($A756="","",IF($D756="Lisbonne","",IF(SUMPRODUCT(('Agences &amp; Après-vente'!$A$2:$A$1000=$A756)*(('Agences &amp; Après-vente'!$D$2:$D$1000="Agences")+('Agences &amp; Après-vente'!$D$2:$D$1000="Agences et Après-vente"))*('Agences &amp; Après-vente'!$I$2:$I$1000="DONE"))&gt;0,"✓",IF(SUMPRODUCT(MAX(('Agences &amp; Après-vente'!$A$2:$A$1000=$A756)*(('Agences &amp; Après-vente'!$D$2:$D$1000="Agences")+('Agences &amp; Après-vente'!$D$2:$D$1000="Agences et Après-vente"))*'Agences &amp; Après-vente'!$E$2:$E$1000))&gt;0,TEXT(SUMPRODUCT(MAX(('Agences &amp; Après-vente'!$A$2:$A$1000=$A756)*(('Agences &amp; Après-vente'!$D$2:$D$1000="Agences")+('Agences &amp; Après-vente'!$D$2:$D$1000="Agences et Après-vente"))*'Agences &amp; Après-vente'!$E$2:$E$1000)),"yyyy-mm-dd"),""))))))</f>
        <v/>
      </c>
      <c r="I756" s="131" t="str">
        <f aca="false">IF($S756="✓","✓",IF(ISNUMBER($S756),TEXT($S756,"yyyy-mm-dd"),IF($A756="","",IF(SUMPRODUCT(('Agences &amp; Après-vente'!$A$2:$A$1000=$A756)*(('Agences &amp; Après-vente'!$D$2:$D$1000="Après-vente")+('Agences &amp; Après-vente'!$D$2:$D$1000="Agences et Après-vente"))*('Agences &amp; Après-vente'!$I$2:$I$1000="DONE"))&gt;0,"✓",IF(SUMPRODUCT(MAX(('Agences &amp; Après-vente'!$A$2:$A$1000=$A756)*(('Agences &amp; Après-vente'!$D$2:$D$1000="Après-vente")+('Agences &amp; Après-vente'!$D$2:$D$1000="Agences et Après-vente"))*'Agences &amp; Après-vente'!$E$2:$E$1000))&gt;0,TEXT(SUMPRODUCT(MAX(('Agences &amp; Après-vente'!$A$2:$A$1000=$A756)*(('Agences &amp; Après-vente'!$D$2:$D$1000="Après-vente")+('Agences &amp; Après-vente'!$D$2:$D$1000="Agences et Après-vente"))*'Agences &amp; Après-vente'!$E$2:$E$1000)),"yyyy-mm-dd"),"")))))</f>
        <v/>
      </c>
      <c r="J756" s="131" t="str">
        <f aca="false">IF($T756="✓","✓",IF(ISNUMBER($T756),TEXT($T756,"yyyy-mm-dd"),IF($A756="","",IF($D756="Lisbonne","",IF(SUMPRODUCT(('Agences &amp; Après-vente'!$A$2:$A$1000=$A756)*(('Agences &amp; Après-vente'!$D$2:$D$1000="Après-vente")+('Agences &amp; Après-vente'!$D$2:$D$1000="Agences et Après-vente"))*('Agences &amp; Après-vente'!$I$2:$I$1000="DONE"))&gt;0,"✓",IF(SUMPRODUCT(MAX(('Agences &amp; Après-vente'!$A$2:$A$1000=$A756)*(('Agences &amp; Après-vente'!$D$2:$D$1000="Après-vente")+('Agences &amp; Après-vente'!$D$2:$D$1000="Agences et Après-vente"))*'Agences &amp; Après-vente'!$E$2:$E$1000))&gt;0,TEXT(SUMPRODUCT(MAX(('Agences &amp; Après-vente'!$A$2:$A$1000=$A756)*(('Agences &amp; Après-vente'!$D$2:$D$1000="Après-vente")+('Agences &amp; Après-vente'!$D$2:$D$1000="Agences et Après-vente"))*'Agences &amp; Après-vente'!$E$2:$E$1000)),"yyyy-mm-dd"),""))))))</f>
        <v/>
      </c>
      <c r="K756" s="131" t="str">
        <f aca="false">IF($U756="✓","✓",IF(ISNUMBER($U756),TEXT($U756,"yyyy-mm-dd"),IF($D756="Lisbonne","",IF($A756="","",IF(SUMPRODUCT((Evermont!$A$2:$A$1000=$A756)*(Evermont!$Q$2:$Q$1000="Terminé"))&gt;0,"✓",IF(SUMPRODUCT(MAX((Evermont!$A$2:$A$1000=$A756)*Evermont!$F$2:$F$1000))&gt;0,TEXT(SUMPRODUCT(MAX((Evermont!$A$2:$A$1000=$A756)*Evermont!$F$2:$F$1000)),"yyyy-mm-dd"),""))))))</f>
        <v/>
      </c>
      <c r="L756" s="131" t="str">
        <f aca="false">IF($A756="","",COUNTIF(E756:K756,"✓"))</f>
        <v/>
      </c>
      <c r="M756" s="131" t="str">
        <f aca="false">IF(B756="","","Active")</f>
        <v/>
      </c>
      <c r="W756" s="120" t="str">
        <f aca="false">IF($A756="","",IF($X756&lt;&gt;"",$X756,IFERROR(INDEX('Formation Initiale'!$B$2:$B$999,MATCH($A756,'Formation Initiale'!$A$2:$A$999,0)),"Général")))</f>
        <v/>
      </c>
    </row>
    <row r="757" customFormat="false" ht="15" hidden="true" customHeight="true" outlineLevel="0" collapsed="false">
      <c r="A757" s="142" t="str">
        <f aca="false">IF(B757="","","TR"&amp;TEXT(ROW()-1,"000"))</f>
        <v/>
      </c>
      <c r="E757" s="130" t="str">
        <f aca="false">IF($O757="✓","✓",IF(ISNUMBER($O757),TEXT($O757,"yyyy-mm-dd"),IF($A757="","",IF(SUMPRODUCT(('Formation Initiale'!$A$2:$A$999=$A757)*('Formation Initiale'!$R$2:$R$999="Terminé"))&gt;0,"✓",IF(SUMPRODUCT(MAX(('Formation Initiale'!$A$2:$A$999=$A757)*'Formation Initiale'!$G$2:$G$999))&gt;0,TEXT(SUMPRODUCT(MAX(('Formation Initiale'!$A$2:$A$999=$A757)*'Formation Initiale'!$G$2:$G$999)),"yyyy-mm-dd"),"")))))</f>
        <v/>
      </c>
      <c r="F757" s="131" t="str">
        <f aca="false">IF($P757="✓","✓",IF(ISNUMBER($P757),TEXT($P757,"yyyy-mm-dd"),IF($A757="","",IF($D757="Lisbonne","",IF(SUMPRODUCT(('Formation Initiale'!$A$2:$A$999=$A757)*('Formation Initiale'!$R$2:$R$999="Terminé"))&gt;0,"✓",IF(SUMPRODUCT(MAX(('Formation Initiale'!$A$2:$A$999=$A757)*'Formation Initiale'!$G$2:$G$999))&gt;0,TEXT(SUMPRODUCT(MAX(('Formation Initiale'!$A$2:$A$999=$A757)*'Formation Initiale'!$G$2:$G$999)),"yyyy-mm-dd"),""))))))</f>
        <v/>
      </c>
      <c r="G757" s="131" t="str">
        <f aca="false">IF($Q757="✓","✓",IF(ISNUMBER($Q757),TEXT($Q757,"yyyy-mm-dd"),IF($A757="","",IF(SUMPRODUCT(('Agences &amp; Après-vente'!$A$2:$A$1000=$A757)*(('Agences &amp; Après-vente'!$D$2:$D$1000="Agences")+('Agences &amp; Après-vente'!$D$2:$D$1000="Agences et Après-vente"))*('Agences &amp; Après-vente'!$I$2:$I$1000="DONE"))&gt;0,"✓",IF(SUMPRODUCT(MAX(('Agences &amp; Après-vente'!$A$2:$A$1000=$A757)*(('Agences &amp; Après-vente'!$D$2:$D$1000="Agences")+('Agences &amp; Après-vente'!$D$2:$D$1000="Agences et Après-vente"))*'Agences &amp; Après-vente'!$E$2:$E$1000))&gt;0,TEXT(SUMPRODUCT(MAX(('Agences &amp; Après-vente'!$A$2:$A$1000=$A757)*(('Agences &amp; Après-vente'!$D$2:$D$1000="Agences")+('Agences &amp; Après-vente'!$D$2:$D$1000="Agences et Après-vente"))*'Agences &amp; Après-vente'!$E$2:$E$1000)),"yyyy-mm-dd"),"")))))</f>
        <v/>
      </c>
      <c r="H757" s="131" t="str">
        <f aca="false">IF($R757="✓","✓",IF(ISNUMBER($R757),TEXT($R757,"yyyy-mm-dd"),IF($A757="","",IF($D757="Lisbonne","",IF(SUMPRODUCT(('Agences &amp; Après-vente'!$A$2:$A$1000=$A757)*(('Agences &amp; Après-vente'!$D$2:$D$1000="Agences")+('Agences &amp; Après-vente'!$D$2:$D$1000="Agences et Après-vente"))*('Agences &amp; Après-vente'!$I$2:$I$1000="DONE"))&gt;0,"✓",IF(SUMPRODUCT(MAX(('Agences &amp; Après-vente'!$A$2:$A$1000=$A757)*(('Agences &amp; Après-vente'!$D$2:$D$1000="Agences")+('Agences &amp; Après-vente'!$D$2:$D$1000="Agences et Après-vente"))*'Agences &amp; Après-vente'!$E$2:$E$1000))&gt;0,TEXT(SUMPRODUCT(MAX(('Agences &amp; Après-vente'!$A$2:$A$1000=$A757)*(('Agences &amp; Après-vente'!$D$2:$D$1000="Agences")+('Agences &amp; Après-vente'!$D$2:$D$1000="Agences et Après-vente"))*'Agences &amp; Après-vente'!$E$2:$E$1000)),"yyyy-mm-dd"),""))))))</f>
        <v/>
      </c>
      <c r="I757" s="131" t="str">
        <f aca="false">IF($S757="✓","✓",IF(ISNUMBER($S757),TEXT($S757,"yyyy-mm-dd"),IF($A757="","",IF(SUMPRODUCT(('Agences &amp; Après-vente'!$A$2:$A$1000=$A757)*(('Agences &amp; Après-vente'!$D$2:$D$1000="Après-vente")+('Agences &amp; Après-vente'!$D$2:$D$1000="Agences et Après-vente"))*('Agences &amp; Après-vente'!$I$2:$I$1000="DONE"))&gt;0,"✓",IF(SUMPRODUCT(MAX(('Agences &amp; Après-vente'!$A$2:$A$1000=$A757)*(('Agences &amp; Après-vente'!$D$2:$D$1000="Après-vente")+('Agences &amp; Après-vente'!$D$2:$D$1000="Agences et Après-vente"))*'Agences &amp; Après-vente'!$E$2:$E$1000))&gt;0,TEXT(SUMPRODUCT(MAX(('Agences &amp; Après-vente'!$A$2:$A$1000=$A757)*(('Agences &amp; Après-vente'!$D$2:$D$1000="Après-vente")+('Agences &amp; Après-vente'!$D$2:$D$1000="Agences et Après-vente"))*'Agences &amp; Après-vente'!$E$2:$E$1000)),"yyyy-mm-dd"),"")))))</f>
        <v/>
      </c>
      <c r="J757" s="131" t="str">
        <f aca="false">IF($T757="✓","✓",IF(ISNUMBER($T757),TEXT($T757,"yyyy-mm-dd"),IF($A757="","",IF($D757="Lisbonne","",IF(SUMPRODUCT(('Agences &amp; Après-vente'!$A$2:$A$1000=$A757)*(('Agences &amp; Après-vente'!$D$2:$D$1000="Après-vente")+('Agences &amp; Après-vente'!$D$2:$D$1000="Agences et Après-vente"))*('Agences &amp; Après-vente'!$I$2:$I$1000="DONE"))&gt;0,"✓",IF(SUMPRODUCT(MAX(('Agences &amp; Après-vente'!$A$2:$A$1000=$A757)*(('Agences &amp; Après-vente'!$D$2:$D$1000="Après-vente")+('Agences &amp; Après-vente'!$D$2:$D$1000="Agences et Après-vente"))*'Agences &amp; Après-vente'!$E$2:$E$1000))&gt;0,TEXT(SUMPRODUCT(MAX(('Agences &amp; Après-vente'!$A$2:$A$1000=$A757)*(('Agences &amp; Après-vente'!$D$2:$D$1000="Après-vente")+('Agences &amp; Après-vente'!$D$2:$D$1000="Agences et Après-vente"))*'Agences &amp; Après-vente'!$E$2:$E$1000)),"yyyy-mm-dd"),""))))))</f>
        <v/>
      </c>
      <c r="K757" s="131" t="str">
        <f aca="false">IF($U757="✓","✓",IF(ISNUMBER($U757),TEXT($U757,"yyyy-mm-dd"),IF($D757="Lisbonne","",IF($A757="","",IF(SUMPRODUCT((Evermont!$A$2:$A$1000=$A757)*(Evermont!$Q$2:$Q$1000="Terminé"))&gt;0,"✓",IF(SUMPRODUCT(MAX((Evermont!$A$2:$A$1000=$A757)*Evermont!$F$2:$F$1000))&gt;0,TEXT(SUMPRODUCT(MAX((Evermont!$A$2:$A$1000=$A757)*Evermont!$F$2:$F$1000)),"yyyy-mm-dd"),""))))))</f>
        <v/>
      </c>
      <c r="L757" s="131" t="str">
        <f aca="false">IF($A757="","",COUNTIF(E757:K757,"✓"))</f>
        <v/>
      </c>
      <c r="M757" s="131" t="str">
        <f aca="false">IF(B757="","","Active")</f>
        <v/>
      </c>
      <c r="W757" s="120" t="str">
        <f aca="false">IF($A757="","",IF($X757&lt;&gt;"",$X757,IFERROR(INDEX('Formation Initiale'!$B$2:$B$999,MATCH($A757,'Formation Initiale'!$A$2:$A$999,0)),"Général")))</f>
        <v/>
      </c>
    </row>
    <row r="758" customFormat="false" ht="15" hidden="true" customHeight="true" outlineLevel="0" collapsed="false">
      <c r="A758" s="142" t="str">
        <f aca="false">IF(B758="","","TR"&amp;TEXT(ROW()-1,"000"))</f>
        <v/>
      </c>
      <c r="E758" s="130" t="str">
        <f aca="false">IF($O758="✓","✓",IF(ISNUMBER($O758),TEXT($O758,"yyyy-mm-dd"),IF($A758="","",IF(SUMPRODUCT(('Formation Initiale'!$A$2:$A$999=$A758)*('Formation Initiale'!$R$2:$R$999="Terminé"))&gt;0,"✓",IF(SUMPRODUCT(MAX(('Formation Initiale'!$A$2:$A$999=$A758)*'Formation Initiale'!$G$2:$G$999))&gt;0,TEXT(SUMPRODUCT(MAX(('Formation Initiale'!$A$2:$A$999=$A758)*'Formation Initiale'!$G$2:$G$999)),"yyyy-mm-dd"),"")))))</f>
        <v/>
      </c>
      <c r="F758" s="131" t="str">
        <f aca="false">IF($P758="✓","✓",IF(ISNUMBER($P758),TEXT($P758,"yyyy-mm-dd"),IF($A758="","",IF($D758="Lisbonne","",IF(SUMPRODUCT(('Formation Initiale'!$A$2:$A$999=$A758)*('Formation Initiale'!$R$2:$R$999="Terminé"))&gt;0,"✓",IF(SUMPRODUCT(MAX(('Formation Initiale'!$A$2:$A$999=$A758)*'Formation Initiale'!$G$2:$G$999))&gt;0,TEXT(SUMPRODUCT(MAX(('Formation Initiale'!$A$2:$A$999=$A758)*'Formation Initiale'!$G$2:$G$999)),"yyyy-mm-dd"),""))))))</f>
        <v/>
      </c>
      <c r="G758" s="131" t="str">
        <f aca="false">IF($Q758="✓","✓",IF(ISNUMBER($Q758),TEXT($Q758,"yyyy-mm-dd"),IF($A758="","",IF(SUMPRODUCT(('Agences &amp; Après-vente'!$A$2:$A$1000=$A758)*(('Agences &amp; Après-vente'!$D$2:$D$1000="Agences")+('Agences &amp; Après-vente'!$D$2:$D$1000="Agences et Après-vente"))*('Agences &amp; Après-vente'!$I$2:$I$1000="DONE"))&gt;0,"✓",IF(SUMPRODUCT(MAX(('Agences &amp; Après-vente'!$A$2:$A$1000=$A758)*(('Agences &amp; Après-vente'!$D$2:$D$1000="Agences")+('Agences &amp; Après-vente'!$D$2:$D$1000="Agences et Après-vente"))*'Agences &amp; Après-vente'!$E$2:$E$1000))&gt;0,TEXT(SUMPRODUCT(MAX(('Agences &amp; Après-vente'!$A$2:$A$1000=$A758)*(('Agences &amp; Après-vente'!$D$2:$D$1000="Agences")+('Agences &amp; Après-vente'!$D$2:$D$1000="Agences et Après-vente"))*'Agences &amp; Après-vente'!$E$2:$E$1000)),"yyyy-mm-dd"),"")))))</f>
        <v/>
      </c>
      <c r="H758" s="131" t="str">
        <f aca="false">IF($R758="✓","✓",IF(ISNUMBER($R758),TEXT($R758,"yyyy-mm-dd"),IF($A758="","",IF($D758="Lisbonne","",IF(SUMPRODUCT(('Agences &amp; Après-vente'!$A$2:$A$1000=$A758)*(('Agences &amp; Après-vente'!$D$2:$D$1000="Agences")+('Agences &amp; Après-vente'!$D$2:$D$1000="Agences et Après-vente"))*('Agences &amp; Après-vente'!$I$2:$I$1000="DONE"))&gt;0,"✓",IF(SUMPRODUCT(MAX(('Agences &amp; Après-vente'!$A$2:$A$1000=$A758)*(('Agences &amp; Après-vente'!$D$2:$D$1000="Agences")+('Agences &amp; Après-vente'!$D$2:$D$1000="Agences et Après-vente"))*'Agences &amp; Après-vente'!$E$2:$E$1000))&gt;0,TEXT(SUMPRODUCT(MAX(('Agences &amp; Après-vente'!$A$2:$A$1000=$A758)*(('Agences &amp; Après-vente'!$D$2:$D$1000="Agences")+('Agences &amp; Après-vente'!$D$2:$D$1000="Agences et Après-vente"))*'Agences &amp; Après-vente'!$E$2:$E$1000)),"yyyy-mm-dd"),""))))))</f>
        <v/>
      </c>
      <c r="I758" s="131" t="str">
        <f aca="false">IF($S758="✓","✓",IF(ISNUMBER($S758),TEXT($S758,"yyyy-mm-dd"),IF($A758="","",IF(SUMPRODUCT(('Agences &amp; Après-vente'!$A$2:$A$1000=$A758)*(('Agences &amp; Après-vente'!$D$2:$D$1000="Après-vente")+('Agences &amp; Après-vente'!$D$2:$D$1000="Agences et Après-vente"))*('Agences &amp; Après-vente'!$I$2:$I$1000="DONE"))&gt;0,"✓",IF(SUMPRODUCT(MAX(('Agences &amp; Après-vente'!$A$2:$A$1000=$A758)*(('Agences &amp; Après-vente'!$D$2:$D$1000="Après-vente")+('Agences &amp; Après-vente'!$D$2:$D$1000="Agences et Après-vente"))*'Agences &amp; Après-vente'!$E$2:$E$1000))&gt;0,TEXT(SUMPRODUCT(MAX(('Agences &amp; Après-vente'!$A$2:$A$1000=$A758)*(('Agences &amp; Après-vente'!$D$2:$D$1000="Après-vente")+('Agences &amp; Après-vente'!$D$2:$D$1000="Agences et Après-vente"))*'Agences &amp; Après-vente'!$E$2:$E$1000)),"yyyy-mm-dd"),"")))))</f>
        <v/>
      </c>
      <c r="J758" s="131" t="str">
        <f aca="false">IF($T758="✓","✓",IF(ISNUMBER($T758),TEXT($T758,"yyyy-mm-dd"),IF($A758="","",IF($D758="Lisbonne","",IF(SUMPRODUCT(('Agences &amp; Après-vente'!$A$2:$A$1000=$A758)*(('Agences &amp; Après-vente'!$D$2:$D$1000="Après-vente")+('Agences &amp; Après-vente'!$D$2:$D$1000="Agences et Après-vente"))*('Agences &amp; Après-vente'!$I$2:$I$1000="DONE"))&gt;0,"✓",IF(SUMPRODUCT(MAX(('Agences &amp; Après-vente'!$A$2:$A$1000=$A758)*(('Agences &amp; Après-vente'!$D$2:$D$1000="Après-vente")+('Agences &amp; Après-vente'!$D$2:$D$1000="Agences et Après-vente"))*'Agences &amp; Après-vente'!$E$2:$E$1000))&gt;0,TEXT(SUMPRODUCT(MAX(('Agences &amp; Après-vente'!$A$2:$A$1000=$A758)*(('Agences &amp; Après-vente'!$D$2:$D$1000="Après-vente")+('Agences &amp; Après-vente'!$D$2:$D$1000="Agences et Après-vente"))*'Agences &amp; Après-vente'!$E$2:$E$1000)),"yyyy-mm-dd"),""))))))</f>
        <v/>
      </c>
      <c r="K758" s="131" t="str">
        <f aca="false">IF($U758="✓","✓",IF(ISNUMBER($U758),TEXT($U758,"yyyy-mm-dd"),IF($D758="Lisbonne","",IF($A758="","",IF(SUMPRODUCT((Evermont!$A$2:$A$1000=$A758)*(Evermont!$Q$2:$Q$1000="Terminé"))&gt;0,"✓",IF(SUMPRODUCT(MAX((Evermont!$A$2:$A$1000=$A758)*Evermont!$F$2:$F$1000))&gt;0,TEXT(SUMPRODUCT(MAX((Evermont!$A$2:$A$1000=$A758)*Evermont!$F$2:$F$1000)),"yyyy-mm-dd"),""))))))</f>
        <v/>
      </c>
      <c r="L758" s="131" t="str">
        <f aca="false">IF($A758="","",COUNTIF(E758:K758,"✓"))</f>
        <v/>
      </c>
      <c r="M758" s="131" t="str">
        <f aca="false">IF(B758="","","Active")</f>
        <v/>
      </c>
      <c r="W758" s="120" t="str">
        <f aca="false">IF($A758="","",IF($X758&lt;&gt;"",$X758,IFERROR(INDEX('Formation Initiale'!$B$2:$B$999,MATCH($A758,'Formation Initiale'!$A$2:$A$999,0)),"Général")))</f>
        <v/>
      </c>
    </row>
    <row r="759" customFormat="false" ht="15" hidden="true" customHeight="true" outlineLevel="0" collapsed="false">
      <c r="A759" s="142" t="str">
        <f aca="false">IF(B759="","","TR"&amp;TEXT(ROW()-1,"000"))</f>
        <v/>
      </c>
      <c r="E759" s="130" t="str">
        <f aca="false">IF($O759="✓","✓",IF(ISNUMBER($O759),TEXT($O759,"yyyy-mm-dd"),IF($A759="","",IF(SUMPRODUCT(('Formation Initiale'!$A$2:$A$999=$A759)*('Formation Initiale'!$R$2:$R$999="Terminé"))&gt;0,"✓",IF(SUMPRODUCT(MAX(('Formation Initiale'!$A$2:$A$999=$A759)*'Formation Initiale'!$G$2:$G$999))&gt;0,TEXT(SUMPRODUCT(MAX(('Formation Initiale'!$A$2:$A$999=$A759)*'Formation Initiale'!$G$2:$G$999)),"yyyy-mm-dd"),"")))))</f>
        <v/>
      </c>
      <c r="F759" s="131" t="str">
        <f aca="false">IF($P759="✓","✓",IF(ISNUMBER($P759),TEXT($P759,"yyyy-mm-dd"),IF($A759="","",IF($D759="Lisbonne","",IF(SUMPRODUCT(('Formation Initiale'!$A$2:$A$999=$A759)*('Formation Initiale'!$R$2:$R$999="Terminé"))&gt;0,"✓",IF(SUMPRODUCT(MAX(('Formation Initiale'!$A$2:$A$999=$A759)*'Formation Initiale'!$G$2:$G$999))&gt;0,TEXT(SUMPRODUCT(MAX(('Formation Initiale'!$A$2:$A$999=$A759)*'Formation Initiale'!$G$2:$G$999)),"yyyy-mm-dd"),""))))))</f>
        <v/>
      </c>
      <c r="G759" s="131" t="str">
        <f aca="false">IF($Q759="✓","✓",IF(ISNUMBER($Q759),TEXT($Q759,"yyyy-mm-dd"),IF($A759="","",IF(SUMPRODUCT(('Agences &amp; Après-vente'!$A$2:$A$1000=$A759)*(('Agences &amp; Après-vente'!$D$2:$D$1000="Agences")+('Agences &amp; Après-vente'!$D$2:$D$1000="Agences et Après-vente"))*('Agences &amp; Après-vente'!$I$2:$I$1000="DONE"))&gt;0,"✓",IF(SUMPRODUCT(MAX(('Agences &amp; Après-vente'!$A$2:$A$1000=$A759)*(('Agences &amp; Après-vente'!$D$2:$D$1000="Agences")+('Agences &amp; Après-vente'!$D$2:$D$1000="Agences et Après-vente"))*'Agences &amp; Après-vente'!$E$2:$E$1000))&gt;0,TEXT(SUMPRODUCT(MAX(('Agences &amp; Après-vente'!$A$2:$A$1000=$A759)*(('Agences &amp; Après-vente'!$D$2:$D$1000="Agences")+('Agences &amp; Après-vente'!$D$2:$D$1000="Agences et Après-vente"))*'Agences &amp; Après-vente'!$E$2:$E$1000)),"yyyy-mm-dd"),"")))))</f>
        <v/>
      </c>
      <c r="H759" s="131" t="str">
        <f aca="false">IF($R759="✓","✓",IF(ISNUMBER($R759),TEXT($R759,"yyyy-mm-dd"),IF($A759="","",IF($D759="Lisbonne","",IF(SUMPRODUCT(('Agences &amp; Après-vente'!$A$2:$A$1000=$A759)*(('Agences &amp; Après-vente'!$D$2:$D$1000="Agences")+('Agences &amp; Après-vente'!$D$2:$D$1000="Agences et Après-vente"))*('Agences &amp; Après-vente'!$I$2:$I$1000="DONE"))&gt;0,"✓",IF(SUMPRODUCT(MAX(('Agences &amp; Après-vente'!$A$2:$A$1000=$A759)*(('Agences &amp; Après-vente'!$D$2:$D$1000="Agences")+('Agences &amp; Après-vente'!$D$2:$D$1000="Agences et Après-vente"))*'Agences &amp; Après-vente'!$E$2:$E$1000))&gt;0,TEXT(SUMPRODUCT(MAX(('Agences &amp; Après-vente'!$A$2:$A$1000=$A759)*(('Agences &amp; Après-vente'!$D$2:$D$1000="Agences")+('Agences &amp; Après-vente'!$D$2:$D$1000="Agences et Après-vente"))*'Agences &amp; Après-vente'!$E$2:$E$1000)),"yyyy-mm-dd"),""))))))</f>
        <v/>
      </c>
      <c r="I759" s="131" t="str">
        <f aca="false">IF($S759="✓","✓",IF(ISNUMBER($S759),TEXT($S759,"yyyy-mm-dd"),IF($A759="","",IF(SUMPRODUCT(('Agences &amp; Après-vente'!$A$2:$A$1000=$A759)*(('Agences &amp; Après-vente'!$D$2:$D$1000="Après-vente")+('Agences &amp; Après-vente'!$D$2:$D$1000="Agences et Après-vente"))*('Agences &amp; Après-vente'!$I$2:$I$1000="DONE"))&gt;0,"✓",IF(SUMPRODUCT(MAX(('Agences &amp; Après-vente'!$A$2:$A$1000=$A759)*(('Agences &amp; Après-vente'!$D$2:$D$1000="Après-vente")+('Agences &amp; Après-vente'!$D$2:$D$1000="Agences et Après-vente"))*'Agences &amp; Après-vente'!$E$2:$E$1000))&gt;0,TEXT(SUMPRODUCT(MAX(('Agences &amp; Après-vente'!$A$2:$A$1000=$A759)*(('Agences &amp; Après-vente'!$D$2:$D$1000="Après-vente")+('Agences &amp; Après-vente'!$D$2:$D$1000="Agences et Après-vente"))*'Agences &amp; Après-vente'!$E$2:$E$1000)),"yyyy-mm-dd"),"")))))</f>
        <v/>
      </c>
      <c r="J759" s="131" t="str">
        <f aca="false">IF($T759="✓","✓",IF(ISNUMBER($T759),TEXT($T759,"yyyy-mm-dd"),IF($A759="","",IF($D759="Lisbonne","",IF(SUMPRODUCT(('Agences &amp; Après-vente'!$A$2:$A$1000=$A759)*(('Agences &amp; Après-vente'!$D$2:$D$1000="Après-vente")+('Agences &amp; Après-vente'!$D$2:$D$1000="Agences et Après-vente"))*('Agences &amp; Après-vente'!$I$2:$I$1000="DONE"))&gt;0,"✓",IF(SUMPRODUCT(MAX(('Agences &amp; Après-vente'!$A$2:$A$1000=$A759)*(('Agences &amp; Après-vente'!$D$2:$D$1000="Après-vente")+('Agences &amp; Après-vente'!$D$2:$D$1000="Agences et Après-vente"))*'Agences &amp; Après-vente'!$E$2:$E$1000))&gt;0,TEXT(SUMPRODUCT(MAX(('Agences &amp; Après-vente'!$A$2:$A$1000=$A759)*(('Agences &amp; Après-vente'!$D$2:$D$1000="Après-vente")+('Agences &amp; Après-vente'!$D$2:$D$1000="Agences et Après-vente"))*'Agences &amp; Après-vente'!$E$2:$E$1000)),"yyyy-mm-dd"),""))))))</f>
        <v/>
      </c>
      <c r="K759" s="131" t="str">
        <f aca="false">IF($U759="✓","✓",IF(ISNUMBER($U759),TEXT($U759,"yyyy-mm-dd"),IF($D759="Lisbonne","",IF($A759="","",IF(SUMPRODUCT((Evermont!$A$2:$A$1000=$A759)*(Evermont!$Q$2:$Q$1000="Terminé"))&gt;0,"✓",IF(SUMPRODUCT(MAX((Evermont!$A$2:$A$1000=$A759)*Evermont!$F$2:$F$1000))&gt;0,TEXT(SUMPRODUCT(MAX((Evermont!$A$2:$A$1000=$A759)*Evermont!$F$2:$F$1000)),"yyyy-mm-dd"),""))))))</f>
        <v/>
      </c>
      <c r="L759" s="131" t="str">
        <f aca="false">IF($A759="","",COUNTIF(E759:K759,"✓"))</f>
        <v/>
      </c>
      <c r="M759" s="131" t="str">
        <f aca="false">IF(B759="","","Active")</f>
        <v/>
      </c>
      <c r="W759" s="120" t="str">
        <f aca="false">IF($A759="","",IF($X759&lt;&gt;"",$X759,IFERROR(INDEX('Formation Initiale'!$B$2:$B$999,MATCH($A759,'Formation Initiale'!$A$2:$A$999,0)),"Général")))</f>
        <v/>
      </c>
    </row>
    <row r="760" customFormat="false" ht="15" hidden="true" customHeight="true" outlineLevel="0" collapsed="false">
      <c r="A760" s="142" t="str">
        <f aca="false">IF(B760="","","TR"&amp;TEXT(ROW()-1,"000"))</f>
        <v/>
      </c>
      <c r="E760" s="130" t="str">
        <f aca="false">IF($O760="✓","✓",IF(ISNUMBER($O760),TEXT($O760,"yyyy-mm-dd"),IF($A760="","",IF(SUMPRODUCT(('Formation Initiale'!$A$2:$A$999=$A760)*('Formation Initiale'!$R$2:$R$999="Terminé"))&gt;0,"✓",IF(SUMPRODUCT(MAX(('Formation Initiale'!$A$2:$A$999=$A760)*'Formation Initiale'!$G$2:$G$999))&gt;0,TEXT(SUMPRODUCT(MAX(('Formation Initiale'!$A$2:$A$999=$A760)*'Formation Initiale'!$G$2:$G$999)),"yyyy-mm-dd"),"")))))</f>
        <v/>
      </c>
      <c r="F760" s="131" t="str">
        <f aca="false">IF($P760="✓","✓",IF(ISNUMBER($P760),TEXT($P760,"yyyy-mm-dd"),IF($A760="","",IF($D760="Lisbonne","",IF(SUMPRODUCT(('Formation Initiale'!$A$2:$A$999=$A760)*('Formation Initiale'!$R$2:$R$999="Terminé"))&gt;0,"✓",IF(SUMPRODUCT(MAX(('Formation Initiale'!$A$2:$A$999=$A760)*'Formation Initiale'!$G$2:$G$999))&gt;0,TEXT(SUMPRODUCT(MAX(('Formation Initiale'!$A$2:$A$999=$A760)*'Formation Initiale'!$G$2:$G$999)),"yyyy-mm-dd"),""))))))</f>
        <v/>
      </c>
      <c r="G760" s="131" t="str">
        <f aca="false">IF($Q760="✓","✓",IF(ISNUMBER($Q760),TEXT($Q760,"yyyy-mm-dd"),IF($A760="","",IF(SUMPRODUCT(('Agences &amp; Après-vente'!$A$2:$A$1000=$A760)*(('Agences &amp; Après-vente'!$D$2:$D$1000="Agences")+('Agences &amp; Après-vente'!$D$2:$D$1000="Agences et Après-vente"))*('Agences &amp; Après-vente'!$I$2:$I$1000="DONE"))&gt;0,"✓",IF(SUMPRODUCT(MAX(('Agences &amp; Après-vente'!$A$2:$A$1000=$A760)*(('Agences &amp; Après-vente'!$D$2:$D$1000="Agences")+('Agences &amp; Après-vente'!$D$2:$D$1000="Agences et Après-vente"))*'Agences &amp; Après-vente'!$E$2:$E$1000))&gt;0,TEXT(SUMPRODUCT(MAX(('Agences &amp; Après-vente'!$A$2:$A$1000=$A760)*(('Agences &amp; Après-vente'!$D$2:$D$1000="Agences")+('Agences &amp; Après-vente'!$D$2:$D$1000="Agences et Après-vente"))*'Agences &amp; Après-vente'!$E$2:$E$1000)),"yyyy-mm-dd"),"")))))</f>
        <v/>
      </c>
      <c r="H760" s="131" t="str">
        <f aca="false">IF($R760="✓","✓",IF(ISNUMBER($R760),TEXT($R760,"yyyy-mm-dd"),IF($A760="","",IF($D760="Lisbonne","",IF(SUMPRODUCT(('Agences &amp; Après-vente'!$A$2:$A$1000=$A760)*(('Agences &amp; Après-vente'!$D$2:$D$1000="Agences")+('Agences &amp; Après-vente'!$D$2:$D$1000="Agences et Après-vente"))*('Agences &amp; Après-vente'!$I$2:$I$1000="DONE"))&gt;0,"✓",IF(SUMPRODUCT(MAX(('Agences &amp; Après-vente'!$A$2:$A$1000=$A760)*(('Agences &amp; Après-vente'!$D$2:$D$1000="Agences")+('Agences &amp; Après-vente'!$D$2:$D$1000="Agences et Après-vente"))*'Agences &amp; Après-vente'!$E$2:$E$1000))&gt;0,TEXT(SUMPRODUCT(MAX(('Agences &amp; Après-vente'!$A$2:$A$1000=$A760)*(('Agences &amp; Après-vente'!$D$2:$D$1000="Agences")+('Agences &amp; Après-vente'!$D$2:$D$1000="Agences et Après-vente"))*'Agences &amp; Après-vente'!$E$2:$E$1000)),"yyyy-mm-dd"),""))))))</f>
        <v/>
      </c>
      <c r="I760" s="131" t="str">
        <f aca="false">IF($S760="✓","✓",IF(ISNUMBER($S760),TEXT($S760,"yyyy-mm-dd"),IF($A760="","",IF(SUMPRODUCT(('Agences &amp; Après-vente'!$A$2:$A$1000=$A760)*(('Agences &amp; Après-vente'!$D$2:$D$1000="Après-vente")+('Agences &amp; Après-vente'!$D$2:$D$1000="Agences et Après-vente"))*('Agences &amp; Après-vente'!$I$2:$I$1000="DONE"))&gt;0,"✓",IF(SUMPRODUCT(MAX(('Agences &amp; Après-vente'!$A$2:$A$1000=$A760)*(('Agences &amp; Après-vente'!$D$2:$D$1000="Après-vente")+('Agences &amp; Après-vente'!$D$2:$D$1000="Agences et Après-vente"))*'Agences &amp; Après-vente'!$E$2:$E$1000))&gt;0,TEXT(SUMPRODUCT(MAX(('Agences &amp; Après-vente'!$A$2:$A$1000=$A760)*(('Agences &amp; Après-vente'!$D$2:$D$1000="Après-vente")+('Agences &amp; Après-vente'!$D$2:$D$1000="Agences et Après-vente"))*'Agences &amp; Après-vente'!$E$2:$E$1000)),"yyyy-mm-dd"),"")))))</f>
        <v/>
      </c>
      <c r="J760" s="131" t="str">
        <f aca="false">IF($T760="✓","✓",IF(ISNUMBER($T760),TEXT($T760,"yyyy-mm-dd"),IF($A760="","",IF($D760="Lisbonne","",IF(SUMPRODUCT(('Agences &amp; Après-vente'!$A$2:$A$1000=$A760)*(('Agences &amp; Après-vente'!$D$2:$D$1000="Après-vente")+('Agences &amp; Après-vente'!$D$2:$D$1000="Agences et Après-vente"))*('Agences &amp; Après-vente'!$I$2:$I$1000="DONE"))&gt;0,"✓",IF(SUMPRODUCT(MAX(('Agences &amp; Après-vente'!$A$2:$A$1000=$A760)*(('Agences &amp; Après-vente'!$D$2:$D$1000="Après-vente")+('Agences &amp; Après-vente'!$D$2:$D$1000="Agences et Après-vente"))*'Agences &amp; Après-vente'!$E$2:$E$1000))&gt;0,TEXT(SUMPRODUCT(MAX(('Agences &amp; Après-vente'!$A$2:$A$1000=$A760)*(('Agences &amp; Après-vente'!$D$2:$D$1000="Après-vente")+('Agences &amp; Après-vente'!$D$2:$D$1000="Agences et Après-vente"))*'Agences &amp; Après-vente'!$E$2:$E$1000)),"yyyy-mm-dd"),""))))))</f>
        <v/>
      </c>
      <c r="K760" s="131" t="str">
        <f aca="false">IF($U760="✓","✓",IF(ISNUMBER($U760),TEXT($U760,"yyyy-mm-dd"),IF($D760="Lisbonne","",IF($A760="","",IF(SUMPRODUCT((Evermont!$A$2:$A$1000=$A760)*(Evermont!$Q$2:$Q$1000="Terminé"))&gt;0,"✓",IF(SUMPRODUCT(MAX((Evermont!$A$2:$A$1000=$A760)*Evermont!$F$2:$F$1000))&gt;0,TEXT(SUMPRODUCT(MAX((Evermont!$A$2:$A$1000=$A760)*Evermont!$F$2:$F$1000)),"yyyy-mm-dd"),""))))))</f>
        <v/>
      </c>
      <c r="L760" s="131" t="str">
        <f aca="false">IF($A760="","",COUNTIF(E760:K760,"✓"))</f>
        <v/>
      </c>
      <c r="M760" s="131" t="str">
        <f aca="false">IF(B760="","","Active")</f>
        <v/>
      </c>
      <c r="W760" s="120" t="str">
        <f aca="false">IF($A760="","",IF($X760&lt;&gt;"",$X760,IFERROR(INDEX('Formation Initiale'!$B$2:$B$999,MATCH($A760,'Formation Initiale'!$A$2:$A$999,0)),"Général")))</f>
        <v/>
      </c>
    </row>
    <row r="761" customFormat="false" ht="15" hidden="true" customHeight="true" outlineLevel="0" collapsed="false">
      <c r="A761" s="142" t="str">
        <f aca="false">IF(B761="","","TR"&amp;TEXT(ROW()-1,"000"))</f>
        <v/>
      </c>
      <c r="E761" s="130" t="str">
        <f aca="false">IF($O761="✓","✓",IF(ISNUMBER($O761),TEXT($O761,"yyyy-mm-dd"),IF($A761="","",IF(SUMPRODUCT(('Formation Initiale'!$A$2:$A$999=$A761)*('Formation Initiale'!$R$2:$R$999="Terminé"))&gt;0,"✓",IF(SUMPRODUCT(MAX(('Formation Initiale'!$A$2:$A$999=$A761)*'Formation Initiale'!$G$2:$G$999))&gt;0,TEXT(SUMPRODUCT(MAX(('Formation Initiale'!$A$2:$A$999=$A761)*'Formation Initiale'!$G$2:$G$999)),"yyyy-mm-dd"),"")))))</f>
        <v/>
      </c>
      <c r="F761" s="131" t="str">
        <f aca="false">IF($P761="✓","✓",IF(ISNUMBER($P761),TEXT($P761,"yyyy-mm-dd"),IF($A761="","",IF($D761="Lisbonne","",IF(SUMPRODUCT(('Formation Initiale'!$A$2:$A$999=$A761)*('Formation Initiale'!$R$2:$R$999="Terminé"))&gt;0,"✓",IF(SUMPRODUCT(MAX(('Formation Initiale'!$A$2:$A$999=$A761)*'Formation Initiale'!$G$2:$G$999))&gt;0,TEXT(SUMPRODUCT(MAX(('Formation Initiale'!$A$2:$A$999=$A761)*'Formation Initiale'!$G$2:$G$999)),"yyyy-mm-dd"),""))))))</f>
        <v/>
      </c>
      <c r="G761" s="131" t="str">
        <f aca="false">IF($Q761="✓","✓",IF(ISNUMBER($Q761),TEXT($Q761,"yyyy-mm-dd"),IF($A761="","",IF(SUMPRODUCT(('Agences &amp; Après-vente'!$A$2:$A$1000=$A761)*(('Agences &amp; Après-vente'!$D$2:$D$1000="Agences")+('Agences &amp; Après-vente'!$D$2:$D$1000="Agences et Après-vente"))*('Agences &amp; Après-vente'!$I$2:$I$1000="DONE"))&gt;0,"✓",IF(SUMPRODUCT(MAX(('Agences &amp; Après-vente'!$A$2:$A$1000=$A761)*(('Agences &amp; Après-vente'!$D$2:$D$1000="Agences")+('Agences &amp; Après-vente'!$D$2:$D$1000="Agences et Après-vente"))*'Agences &amp; Après-vente'!$E$2:$E$1000))&gt;0,TEXT(SUMPRODUCT(MAX(('Agences &amp; Après-vente'!$A$2:$A$1000=$A761)*(('Agences &amp; Après-vente'!$D$2:$D$1000="Agences")+('Agences &amp; Après-vente'!$D$2:$D$1000="Agences et Après-vente"))*'Agences &amp; Après-vente'!$E$2:$E$1000)),"yyyy-mm-dd"),"")))))</f>
        <v/>
      </c>
      <c r="H761" s="131" t="str">
        <f aca="false">IF($R761="✓","✓",IF(ISNUMBER($R761),TEXT($R761,"yyyy-mm-dd"),IF($A761="","",IF($D761="Lisbonne","",IF(SUMPRODUCT(('Agences &amp; Après-vente'!$A$2:$A$1000=$A761)*(('Agences &amp; Après-vente'!$D$2:$D$1000="Agences")+('Agences &amp; Après-vente'!$D$2:$D$1000="Agences et Après-vente"))*('Agences &amp; Après-vente'!$I$2:$I$1000="DONE"))&gt;0,"✓",IF(SUMPRODUCT(MAX(('Agences &amp; Après-vente'!$A$2:$A$1000=$A761)*(('Agences &amp; Après-vente'!$D$2:$D$1000="Agences")+('Agences &amp; Après-vente'!$D$2:$D$1000="Agences et Après-vente"))*'Agences &amp; Après-vente'!$E$2:$E$1000))&gt;0,TEXT(SUMPRODUCT(MAX(('Agences &amp; Après-vente'!$A$2:$A$1000=$A761)*(('Agences &amp; Après-vente'!$D$2:$D$1000="Agences")+('Agences &amp; Après-vente'!$D$2:$D$1000="Agences et Après-vente"))*'Agences &amp; Après-vente'!$E$2:$E$1000)),"yyyy-mm-dd"),""))))))</f>
        <v/>
      </c>
      <c r="I761" s="131" t="str">
        <f aca="false">IF($S761="✓","✓",IF(ISNUMBER($S761),TEXT($S761,"yyyy-mm-dd"),IF($A761="","",IF(SUMPRODUCT(('Agences &amp; Après-vente'!$A$2:$A$1000=$A761)*(('Agences &amp; Après-vente'!$D$2:$D$1000="Après-vente")+('Agences &amp; Après-vente'!$D$2:$D$1000="Agences et Après-vente"))*('Agences &amp; Après-vente'!$I$2:$I$1000="DONE"))&gt;0,"✓",IF(SUMPRODUCT(MAX(('Agences &amp; Après-vente'!$A$2:$A$1000=$A761)*(('Agences &amp; Après-vente'!$D$2:$D$1000="Après-vente")+('Agences &amp; Après-vente'!$D$2:$D$1000="Agences et Après-vente"))*'Agences &amp; Après-vente'!$E$2:$E$1000))&gt;0,TEXT(SUMPRODUCT(MAX(('Agences &amp; Après-vente'!$A$2:$A$1000=$A761)*(('Agences &amp; Après-vente'!$D$2:$D$1000="Après-vente")+('Agences &amp; Après-vente'!$D$2:$D$1000="Agences et Après-vente"))*'Agences &amp; Après-vente'!$E$2:$E$1000)),"yyyy-mm-dd"),"")))))</f>
        <v/>
      </c>
      <c r="J761" s="131" t="str">
        <f aca="false">IF($T761="✓","✓",IF(ISNUMBER($T761),TEXT($T761,"yyyy-mm-dd"),IF($A761="","",IF($D761="Lisbonne","",IF(SUMPRODUCT(('Agences &amp; Après-vente'!$A$2:$A$1000=$A761)*(('Agences &amp; Après-vente'!$D$2:$D$1000="Après-vente")+('Agences &amp; Après-vente'!$D$2:$D$1000="Agences et Après-vente"))*('Agences &amp; Après-vente'!$I$2:$I$1000="DONE"))&gt;0,"✓",IF(SUMPRODUCT(MAX(('Agences &amp; Après-vente'!$A$2:$A$1000=$A761)*(('Agences &amp; Après-vente'!$D$2:$D$1000="Après-vente")+('Agences &amp; Après-vente'!$D$2:$D$1000="Agences et Après-vente"))*'Agences &amp; Après-vente'!$E$2:$E$1000))&gt;0,TEXT(SUMPRODUCT(MAX(('Agences &amp; Après-vente'!$A$2:$A$1000=$A761)*(('Agences &amp; Après-vente'!$D$2:$D$1000="Après-vente")+('Agences &amp; Après-vente'!$D$2:$D$1000="Agences et Après-vente"))*'Agences &amp; Après-vente'!$E$2:$E$1000)),"yyyy-mm-dd"),""))))))</f>
        <v/>
      </c>
      <c r="K761" s="131" t="str">
        <f aca="false">IF($U761="✓","✓",IF(ISNUMBER($U761),TEXT($U761,"yyyy-mm-dd"),IF($D761="Lisbonne","",IF($A761="","",IF(SUMPRODUCT((Evermont!$A$2:$A$1000=$A761)*(Evermont!$Q$2:$Q$1000="Terminé"))&gt;0,"✓",IF(SUMPRODUCT(MAX((Evermont!$A$2:$A$1000=$A761)*Evermont!$F$2:$F$1000))&gt;0,TEXT(SUMPRODUCT(MAX((Evermont!$A$2:$A$1000=$A761)*Evermont!$F$2:$F$1000)),"yyyy-mm-dd"),""))))))</f>
        <v/>
      </c>
      <c r="L761" s="131" t="str">
        <f aca="false">IF($A761="","",COUNTIF(E761:K761,"✓"))</f>
        <v/>
      </c>
      <c r="M761" s="131" t="str">
        <f aca="false">IF(B761="","","Active")</f>
        <v/>
      </c>
      <c r="W761" s="120" t="str">
        <f aca="false">IF($A761="","",IF($X761&lt;&gt;"",$X761,IFERROR(INDEX('Formation Initiale'!$B$2:$B$999,MATCH($A761,'Formation Initiale'!$A$2:$A$999,0)),"Général")))</f>
        <v/>
      </c>
    </row>
    <row r="762" customFormat="false" ht="15" hidden="true" customHeight="true" outlineLevel="0" collapsed="false">
      <c r="A762" s="142" t="str">
        <f aca="false">IF(B762="","","TR"&amp;TEXT(ROW()-1,"000"))</f>
        <v/>
      </c>
      <c r="E762" s="130" t="str">
        <f aca="false">IF($O762="✓","✓",IF(ISNUMBER($O762),TEXT($O762,"yyyy-mm-dd"),IF($A762="","",IF(SUMPRODUCT(('Formation Initiale'!$A$2:$A$999=$A762)*('Formation Initiale'!$R$2:$R$999="Terminé"))&gt;0,"✓",IF(SUMPRODUCT(MAX(('Formation Initiale'!$A$2:$A$999=$A762)*'Formation Initiale'!$G$2:$G$999))&gt;0,TEXT(SUMPRODUCT(MAX(('Formation Initiale'!$A$2:$A$999=$A762)*'Formation Initiale'!$G$2:$G$999)),"yyyy-mm-dd"),"")))))</f>
        <v/>
      </c>
      <c r="F762" s="131" t="str">
        <f aca="false">IF($P762="✓","✓",IF(ISNUMBER($P762),TEXT($P762,"yyyy-mm-dd"),IF($A762="","",IF($D762="Lisbonne","",IF(SUMPRODUCT(('Formation Initiale'!$A$2:$A$999=$A762)*('Formation Initiale'!$R$2:$R$999="Terminé"))&gt;0,"✓",IF(SUMPRODUCT(MAX(('Formation Initiale'!$A$2:$A$999=$A762)*'Formation Initiale'!$G$2:$G$999))&gt;0,TEXT(SUMPRODUCT(MAX(('Formation Initiale'!$A$2:$A$999=$A762)*'Formation Initiale'!$G$2:$G$999)),"yyyy-mm-dd"),""))))))</f>
        <v/>
      </c>
      <c r="G762" s="131" t="str">
        <f aca="false">IF($Q762="✓","✓",IF(ISNUMBER($Q762),TEXT($Q762,"yyyy-mm-dd"),IF($A762="","",IF(SUMPRODUCT(('Agences &amp; Après-vente'!$A$2:$A$1000=$A762)*(('Agences &amp; Après-vente'!$D$2:$D$1000="Agences")+('Agences &amp; Après-vente'!$D$2:$D$1000="Agences et Après-vente"))*('Agences &amp; Après-vente'!$I$2:$I$1000="DONE"))&gt;0,"✓",IF(SUMPRODUCT(MAX(('Agences &amp; Après-vente'!$A$2:$A$1000=$A762)*(('Agences &amp; Après-vente'!$D$2:$D$1000="Agences")+('Agences &amp; Après-vente'!$D$2:$D$1000="Agences et Après-vente"))*'Agences &amp; Après-vente'!$E$2:$E$1000))&gt;0,TEXT(SUMPRODUCT(MAX(('Agences &amp; Après-vente'!$A$2:$A$1000=$A762)*(('Agences &amp; Après-vente'!$D$2:$D$1000="Agences")+('Agences &amp; Après-vente'!$D$2:$D$1000="Agences et Après-vente"))*'Agences &amp; Après-vente'!$E$2:$E$1000)),"yyyy-mm-dd"),"")))))</f>
        <v/>
      </c>
      <c r="H762" s="131" t="str">
        <f aca="false">IF($R762="✓","✓",IF(ISNUMBER($R762),TEXT($R762,"yyyy-mm-dd"),IF($A762="","",IF($D762="Lisbonne","",IF(SUMPRODUCT(('Agences &amp; Après-vente'!$A$2:$A$1000=$A762)*(('Agences &amp; Après-vente'!$D$2:$D$1000="Agences")+('Agences &amp; Après-vente'!$D$2:$D$1000="Agences et Après-vente"))*('Agences &amp; Après-vente'!$I$2:$I$1000="DONE"))&gt;0,"✓",IF(SUMPRODUCT(MAX(('Agences &amp; Après-vente'!$A$2:$A$1000=$A762)*(('Agences &amp; Après-vente'!$D$2:$D$1000="Agences")+('Agences &amp; Après-vente'!$D$2:$D$1000="Agences et Après-vente"))*'Agences &amp; Après-vente'!$E$2:$E$1000))&gt;0,TEXT(SUMPRODUCT(MAX(('Agences &amp; Après-vente'!$A$2:$A$1000=$A762)*(('Agences &amp; Après-vente'!$D$2:$D$1000="Agences")+('Agences &amp; Après-vente'!$D$2:$D$1000="Agences et Après-vente"))*'Agences &amp; Après-vente'!$E$2:$E$1000)),"yyyy-mm-dd"),""))))))</f>
        <v/>
      </c>
      <c r="I762" s="131" t="str">
        <f aca="false">IF($S762="✓","✓",IF(ISNUMBER($S762),TEXT($S762,"yyyy-mm-dd"),IF($A762="","",IF(SUMPRODUCT(('Agences &amp; Après-vente'!$A$2:$A$1000=$A762)*(('Agences &amp; Après-vente'!$D$2:$D$1000="Après-vente")+('Agences &amp; Après-vente'!$D$2:$D$1000="Agences et Après-vente"))*('Agences &amp; Après-vente'!$I$2:$I$1000="DONE"))&gt;0,"✓",IF(SUMPRODUCT(MAX(('Agences &amp; Après-vente'!$A$2:$A$1000=$A762)*(('Agences &amp; Après-vente'!$D$2:$D$1000="Après-vente")+('Agences &amp; Après-vente'!$D$2:$D$1000="Agences et Après-vente"))*'Agences &amp; Après-vente'!$E$2:$E$1000))&gt;0,TEXT(SUMPRODUCT(MAX(('Agences &amp; Après-vente'!$A$2:$A$1000=$A762)*(('Agences &amp; Après-vente'!$D$2:$D$1000="Après-vente")+('Agences &amp; Après-vente'!$D$2:$D$1000="Agences et Après-vente"))*'Agences &amp; Après-vente'!$E$2:$E$1000)),"yyyy-mm-dd"),"")))))</f>
        <v/>
      </c>
      <c r="J762" s="131" t="str">
        <f aca="false">IF($T762="✓","✓",IF(ISNUMBER($T762),TEXT($T762,"yyyy-mm-dd"),IF($A762="","",IF($D762="Lisbonne","",IF(SUMPRODUCT(('Agences &amp; Après-vente'!$A$2:$A$1000=$A762)*(('Agences &amp; Après-vente'!$D$2:$D$1000="Après-vente")+('Agences &amp; Après-vente'!$D$2:$D$1000="Agences et Après-vente"))*('Agences &amp; Après-vente'!$I$2:$I$1000="DONE"))&gt;0,"✓",IF(SUMPRODUCT(MAX(('Agences &amp; Après-vente'!$A$2:$A$1000=$A762)*(('Agences &amp; Après-vente'!$D$2:$D$1000="Après-vente")+('Agences &amp; Après-vente'!$D$2:$D$1000="Agences et Après-vente"))*'Agences &amp; Après-vente'!$E$2:$E$1000))&gt;0,TEXT(SUMPRODUCT(MAX(('Agences &amp; Après-vente'!$A$2:$A$1000=$A762)*(('Agences &amp; Après-vente'!$D$2:$D$1000="Après-vente")+('Agences &amp; Après-vente'!$D$2:$D$1000="Agences et Après-vente"))*'Agences &amp; Après-vente'!$E$2:$E$1000)),"yyyy-mm-dd"),""))))))</f>
        <v/>
      </c>
      <c r="K762" s="131" t="str">
        <f aca="false">IF($U762="✓","✓",IF(ISNUMBER($U762),TEXT($U762,"yyyy-mm-dd"),IF($D762="Lisbonne","",IF($A762="","",IF(SUMPRODUCT((Evermont!$A$2:$A$1000=$A762)*(Evermont!$Q$2:$Q$1000="Terminé"))&gt;0,"✓",IF(SUMPRODUCT(MAX((Evermont!$A$2:$A$1000=$A762)*Evermont!$F$2:$F$1000))&gt;0,TEXT(SUMPRODUCT(MAX((Evermont!$A$2:$A$1000=$A762)*Evermont!$F$2:$F$1000)),"yyyy-mm-dd"),""))))))</f>
        <v/>
      </c>
      <c r="L762" s="131" t="str">
        <f aca="false">IF($A762="","",COUNTIF(E762:K762,"✓"))</f>
        <v/>
      </c>
      <c r="M762" s="131" t="str">
        <f aca="false">IF(B762="","","Active")</f>
        <v/>
      </c>
      <c r="W762" s="120" t="str">
        <f aca="false">IF($A762="","",IF($X762&lt;&gt;"",$X762,IFERROR(INDEX('Formation Initiale'!$B$2:$B$999,MATCH($A762,'Formation Initiale'!$A$2:$A$999,0)),"Général")))</f>
        <v/>
      </c>
    </row>
    <row r="763" customFormat="false" ht="15" hidden="true" customHeight="true" outlineLevel="0" collapsed="false">
      <c r="A763" s="142" t="str">
        <f aca="false">IF(B763="","","TR"&amp;TEXT(ROW()-1,"000"))</f>
        <v/>
      </c>
      <c r="E763" s="130" t="str">
        <f aca="false">IF($O763="✓","✓",IF(ISNUMBER($O763),TEXT($O763,"yyyy-mm-dd"),IF($A763="","",IF(SUMPRODUCT(('Formation Initiale'!$A$2:$A$999=$A763)*('Formation Initiale'!$R$2:$R$999="Terminé"))&gt;0,"✓",IF(SUMPRODUCT(MAX(('Formation Initiale'!$A$2:$A$999=$A763)*'Formation Initiale'!$G$2:$G$999))&gt;0,TEXT(SUMPRODUCT(MAX(('Formation Initiale'!$A$2:$A$999=$A763)*'Formation Initiale'!$G$2:$G$999)),"yyyy-mm-dd"),"")))))</f>
        <v/>
      </c>
      <c r="F763" s="131" t="str">
        <f aca="false">IF($P763="✓","✓",IF(ISNUMBER($P763),TEXT($P763,"yyyy-mm-dd"),IF($A763="","",IF($D763="Lisbonne","",IF(SUMPRODUCT(('Formation Initiale'!$A$2:$A$999=$A763)*('Formation Initiale'!$R$2:$R$999="Terminé"))&gt;0,"✓",IF(SUMPRODUCT(MAX(('Formation Initiale'!$A$2:$A$999=$A763)*'Formation Initiale'!$G$2:$G$999))&gt;0,TEXT(SUMPRODUCT(MAX(('Formation Initiale'!$A$2:$A$999=$A763)*'Formation Initiale'!$G$2:$G$999)),"yyyy-mm-dd"),""))))))</f>
        <v/>
      </c>
      <c r="G763" s="131" t="str">
        <f aca="false">IF($Q763="✓","✓",IF(ISNUMBER($Q763),TEXT($Q763,"yyyy-mm-dd"),IF($A763="","",IF(SUMPRODUCT(('Agences &amp; Après-vente'!$A$2:$A$1000=$A763)*(('Agences &amp; Après-vente'!$D$2:$D$1000="Agences")+('Agences &amp; Après-vente'!$D$2:$D$1000="Agences et Après-vente"))*('Agences &amp; Après-vente'!$I$2:$I$1000="DONE"))&gt;0,"✓",IF(SUMPRODUCT(MAX(('Agences &amp; Après-vente'!$A$2:$A$1000=$A763)*(('Agences &amp; Après-vente'!$D$2:$D$1000="Agences")+('Agences &amp; Après-vente'!$D$2:$D$1000="Agences et Après-vente"))*'Agences &amp; Après-vente'!$E$2:$E$1000))&gt;0,TEXT(SUMPRODUCT(MAX(('Agences &amp; Après-vente'!$A$2:$A$1000=$A763)*(('Agences &amp; Après-vente'!$D$2:$D$1000="Agences")+('Agences &amp; Après-vente'!$D$2:$D$1000="Agences et Après-vente"))*'Agences &amp; Après-vente'!$E$2:$E$1000)),"yyyy-mm-dd"),"")))))</f>
        <v/>
      </c>
      <c r="H763" s="131" t="str">
        <f aca="false">IF($R763="✓","✓",IF(ISNUMBER($R763),TEXT($R763,"yyyy-mm-dd"),IF($A763="","",IF($D763="Lisbonne","",IF(SUMPRODUCT(('Agences &amp; Après-vente'!$A$2:$A$1000=$A763)*(('Agences &amp; Après-vente'!$D$2:$D$1000="Agences")+('Agences &amp; Après-vente'!$D$2:$D$1000="Agences et Après-vente"))*('Agences &amp; Après-vente'!$I$2:$I$1000="DONE"))&gt;0,"✓",IF(SUMPRODUCT(MAX(('Agences &amp; Après-vente'!$A$2:$A$1000=$A763)*(('Agences &amp; Après-vente'!$D$2:$D$1000="Agences")+('Agences &amp; Après-vente'!$D$2:$D$1000="Agences et Après-vente"))*'Agences &amp; Après-vente'!$E$2:$E$1000))&gt;0,TEXT(SUMPRODUCT(MAX(('Agences &amp; Après-vente'!$A$2:$A$1000=$A763)*(('Agences &amp; Après-vente'!$D$2:$D$1000="Agences")+('Agences &amp; Après-vente'!$D$2:$D$1000="Agences et Après-vente"))*'Agences &amp; Après-vente'!$E$2:$E$1000)),"yyyy-mm-dd"),""))))))</f>
        <v/>
      </c>
      <c r="I763" s="131" t="str">
        <f aca="false">IF($S763="✓","✓",IF(ISNUMBER($S763),TEXT($S763,"yyyy-mm-dd"),IF($A763="","",IF(SUMPRODUCT(('Agences &amp; Après-vente'!$A$2:$A$1000=$A763)*(('Agences &amp; Après-vente'!$D$2:$D$1000="Après-vente")+('Agences &amp; Après-vente'!$D$2:$D$1000="Agences et Après-vente"))*('Agences &amp; Après-vente'!$I$2:$I$1000="DONE"))&gt;0,"✓",IF(SUMPRODUCT(MAX(('Agences &amp; Après-vente'!$A$2:$A$1000=$A763)*(('Agences &amp; Après-vente'!$D$2:$D$1000="Après-vente")+('Agences &amp; Après-vente'!$D$2:$D$1000="Agences et Après-vente"))*'Agences &amp; Après-vente'!$E$2:$E$1000))&gt;0,TEXT(SUMPRODUCT(MAX(('Agences &amp; Après-vente'!$A$2:$A$1000=$A763)*(('Agences &amp; Après-vente'!$D$2:$D$1000="Après-vente")+('Agences &amp; Après-vente'!$D$2:$D$1000="Agences et Après-vente"))*'Agences &amp; Après-vente'!$E$2:$E$1000)),"yyyy-mm-dd"),"")))))</f>
        <v/>
      </c>
      <c r="J763" s="131" t="str">
        <f aca="false">IF($T763="✓","✓",IF(ISNUMBER($T763),TEXT($T763,"yyyy-mm-dd"),IF($A763="","",IF($D763="Lisbonne","",IF(SUMPRODUCT(('Agences &amp; Après-vente'!$A$2:$A$1000=$A763)*(('Agences &amp; Après-vente'!$D$2:$D$1000="Après-vente")+('Agences &amp; Après-vente'!$D$2:$D$1000="Agences et Après-vente"))*('Agences &amp; Après-vente'!$I$2:$I$1000="DONE"))&gt;0,"✓",IF(SUMPRODUCT(MAX(('Agences &amp; Après-vente'!$A$2:$A$1000=$A763)*(('Agences &amp; Après-vente'!$D$2:$D$1000="Après-vente")+('Agences &amp; Après-vente'!$D$2:$D$1000="Agences et Après-vente"))*'Agences &amp; Après-vente'!$E$2:$E$1000))&gt;0,TEXT(SUMPRODUCT(MAX(('Agences &amp; Après-vente'!$A$2:$A$1000=$A763)*(('Agences &amp; Après-vente'!$D$2:$D$1000="Après-vente")+('Agences &amp; Après-vente'!$D$2:$D$1000="Agences et Après-vente"))*'Agences &amp; Après-vente'!$E$2:$E$1000)),"yyyy-mm-dd"),""))))))</f>
        <v/>
      </c>
      <c r="K763" s="131" t="str">
        <f aca="false">IF($U763="✓","✓",IF(ISNUMBER($U763),TEXT($U763,"yyyy-mm-dd"),IF($D763="Lisbonne","",IF($A763="","",IF(SUMPRODUCT((Evermont!$A$2:$A$1000=$A763)*(Evermont!$Q$2:$Q$1000="Terminé"))&gt;0,"✓",IF(SUMPRODUCT(MAX((Evermont!$A$2:$A$1000=$A763)*Evermont!$F$2:$F$1000))&gt;0,TEXT(SUMPRODUCT(MAX((Evermont!$A$2:$A$1000=$A763)*Evermont!$F$2:$F$1000)),"yyyy-mm-dd"),""))))))</f>
        <v/>
      </c>
      <c r="L763" s="131" t="str">
        <f aca="false">IF($A763="","",COUNTIF(E763:K763,"✓"))</f>
        <v/>
      </c>
      <c r="M763" s="131" t="str">
        <f aca="false">IF(B763="","","Active")</f>
        <v/>
      </c>
      <c r="W763" s="120" t="str">
        <f aca="false">IF($A763="","",IF($X763&lt;&gt;"",$X763,IFERROR(INDEX('Formation Initiale'!$B$2:$B$999,MATCH($A763,'Formation Initiale'!$A$2:$A$999,0)),"Général")))</f>
        <v/>
      </c>
    </row>
    <row r="764" customFormat="false" ht="15" hidden="true" customHeight="true" outlineLevel="0" collapsed="false">
      <c r="A764" s="142" t="str">
        <f aca="false">IF(B764="","","TR"&amp;TEXT(ROW()-1,"000"))</f>
        <v/>
      </c>
      <c r="E764" s="130" t="str">
        <f aca="false">IF($O764="✓","✓",IF(ISNUMBER($O764),TEXT($O764,"yyyy-mm-dd"),IF($A764="","",IF(SUMPRODUCT(('Formation Initiale'!$A$2:$A$999=$A764)*('Formation Initiale'!$R$2:$R$999="Terminé"))&gt;0,"✓",IF(SUMPRODUCT(MAX(('Formation Initiale'!$A$2:$A$999=$A764)*'Formation Initiale'!$G$2:$G$999))&gt;0,TEXT(SUMPRODUCT(MAX(('Formation Initiale'!$A$2:$A$999=$A764)*'Formation Initiale'!$G$2:$G$999)),"yyyy-mm-dd"),"")))))</f>
        <v/>
      </c>
      <c r="F764" s="131" t="str">
        <f aca="false">IF($P764="✓","✓",IF(ISNUMBER($P764),TEXT($P764,"yyyy-mm-dd"),IF($A764="","",IF($D764="Lisbonne","",IF(SUMPRODUCT(('Formation Initiale'!$A$2:$A$999=$A764)*('Formation Initiale'!$R$2:$R$999="Terminé"))&gt;0,"✓",IF(SUMPRODUCT(MAX(('Formation Initiale'!$A$2:$A$999=$A764)*'Formation Initiale'!$G$2:$G$999))&gt;0,TEXT(SUMPRODUCT(MAX(('Formation Initiale'!$A$2:$A$999=$A764)*'Formation Initiale'!$G$2:$G$999)),"yyyy-mm-dd"),""))))))</f>
        <v/>
      </c>
      <c r="G764" s="131" t="str">
        <f aca="false">IF($Q764="✓","✓",IF(ISNUMBER($Q764),TEXT($Q764,"yyyy-mm-dd"),IF($A764="","",IF(SUMPRODUCT(('Agences &amp; Après-vente'!$A$2:$A$1000=$A764)*(('Agences &amp; Après-vente'!$D$2:$D$1000="Agences")+('Agences &amp; Après-vente'!$D$2:$D$1000="Agences et Après-vente"))*('Agences &amp; Après-vente'!$I$2:$I$1000="DONE"))&gt;0,"✓",IF(SUMPRODUCT(MAX(('Agences &amp; Après-vente'!$A$2:$A$1000=$A764)*(('Agences &amp; Après-vente'!$D$2:$D$1000="Agences")+('Agences &amp; Après-vente'!$D$2:$D$1000="Agences et Après-vente"))*'Agences &amp; Après-vente'!$E$2:$E$1000))&gt;0,TEXT(SUMPRODUCT(MAX(('Agences &amp; Après-vente'!$A$2:$A$1000=$A764)*(('Agences &amp; Après-vente'!$D$2:$D$1000="Agences")+('Agences &amp; Après-vente'!$D$2:$D$1000="Agences et Après-vente"))*'Agences &amp; Après-vente'!$E$2:$E$1000)),"yyyy-mm-dd"),"")))))</f>
        <v/>
      </c>
      <c r="H764" s="131" t="str">
        <f aca="false">IF($R764="✓","✓",IF(ISNUMBER($R764),TEXT($R764,"yyyy-mm-dd"),IF($A764="","",IF($D764="Lisbonne","",IF(SUMPRODUCT(('Agences &amp; Après-vente'!$A$2:$A$1000=$A764)*(('Agences &amp; Après-vente'!$D$2:$D$1000="Agences")+('Agences &amp; Après-vente'!$D$2:$D$1000="Agences et Après-vente"))*('Agences &amp; Après-vente'!$I$2:$I$1000="DONE"))&gt;0,"✓",IF(SUMPRODUCT(MAX(('Agences &amp; Après-vente'!$A$2:$A$1000=$A764)*(('Agences &amp; Après-vente'!$D$2:$D$1000="Agences")+('Agences &amp; Après-vente'!$D$2:$D$1000="Agences et Après-vente"))*'Agences &amp; Après-vente'!$E$2:$E$1000))&gt;0,TEXT(SUMPRODUCT(MAX(('Agences &amp; Après-vente'!$A$2:$A$1000=$A764)*(('Agences &amp; Après-vente'!$D$2:$D$1000="Agences")+('Agences &amp; Après-vente'!$D$2:$D$1000="Agences et Après-vente"))*'Agences &amp; Après-vente'!$E$2:$E$1000)),"yyyy-mm-dd"),""))))))</f>
        <v/>
      </c>
      <c r="I764" s="131" t="str">
        <f aca="false">IF($S764="✓","✓",IF(ISNUMBER($S764),TEXT($S764,"yyyy-mm-dd"),IF($A764="","",IF(SUMPRODUCT(('Agences &amp; Après-vente'!$A$2:$A$1000=$A764)*(('Agences &amp; Après-vente'!$D$2:$D$1000="Après-vente")+('Agences &amp; Après-vente'!$D$2:$D$1000="Agences et Après-vente"))*('Agences &amp; Après-vente'!$I$2:$I$1000="DONE"))&gt;0,"✓",IF(SUMPRODUCT(MAX(('Agences &amp; Après-vente'!$A$2:$A$1000=$A764)*(('Agences &amp; Après-vente'!$D$2:$D$1000="Après-vente")+('Agences &amp; Après-vente'!$D$2:$D$1000="Agences et Après-vente"))*'Agences &amp; Après-vente'!$E$2:$E$1000))&gt;0,TEXT(SUMPRODUCT(MAX(('Agences &amp; Après-vente'!$A$2:$A$1000=$A764)*(('Agences &amp; Après-vente'!$D$2:$D$1000="Après-vente")+('Agences &amp; Après-vente'!$D$2:$D$1000="Agences et Après-vente"))*'Agences &amp; Après-vente'!$E$2:$E$1000)),"yyyy-mm-dd"),"")))))</f>
        <v/>
      </c>
      <c r="J764" s="131" t="str">
        <f aca="false">IF($T764="✓","✓",IF(ISNUMBER($T764),TEXT($T764,"yyyy-mm-dd"),IF($A764="","",IF($D764="Lisbonne","",IF(SUMPRODUCT(('Agences &amp; Après-vente'!$A$2:$A$1000=$A764)*(('Agences &amp; Après-vente'!$D$2:$D$1000="Après-vente")+('Agences &amp; Après-vente'!$D$2:$D$1000="Agences et Après-vente"))*('Agences &amp; Après-vente'!$I$2:$I$1000="DONE"))&gt;0,"✓",IF(SUMPRODUCT(MAX(('Agences &amp; Après-vente'!$A$2:$A$1000=$A764)*(('Agences &amp; Après-vente'!$D$2:$D$1000="Après-vente")+('Agences &amp; Après-vente'!$D$2:$D$1000="Agences et Après-vente"))*'Agences &amp; Après-vente'!$E$2:$E$1000))&gt;0,TEXT(SUMPRODUCT(MAX(('Agences &amp; Après-vente'!$A$2:$A$1000=$A764)*(('Agences &amp; Après-vente'!$D$2:$D$1000="Après-vente")+('Agences &amp; Après-vente'!$D$2:$D$1000="Agences et Après-vente"))*'Agences &amp; Après-vente'!$E$2:$E$1000)),"yyyy-mm-dd"),""))))))</f>
        <v/>
      </c>
      <c r="K764" s="131" t="str">
        <f aca="false">IF($U764="✓","✓",IF(ISNUMBER($U764),TEXT($U764,"yyyy-mm-dd"),IF($D764="Lisbonne","",IF($A764="","",IF(SUMPRODUCT((Evermont!$A$2:$A$1000=$A764)*(Evermont!$Q$2:$Q$1000="Terminé"))&gt;0,"✓",IF(SUMPRODUCT(MAX((Evermont!$A$2:$A$1000=$A764)*Evermont!$F$2:$F$1000))&gt;0,TEXT(SUMPRODUCT(MAX((Evermont!$A$2:$A$1000=$A764)*Evermont!$F$2:$F$1000)),"yyyy-mm-dd"),""))))))</f>
        <v/>
      </c>
      <c r="L764" s="131" t="str">
        <f aca="false">IF($A764="","",COUNTIF(E764:K764,"✓"))</f>
        <v/>
      </c>
      <c r="M764" s="131" t="str">
        <f aca="false">IF(B764="","","Active")</f>
        <v/>
      </c>
      <c r="W764" s="120" t="str">
        <f aca="false">IF($A764="","",IF($X764&lt;&gt;"",$X764,IFERROR(INDEX('Formation Initiale'!$B$2:$B$999,MATCH($A764,'Formation Initiale'!$A$2:$A$999,0)),"Général")))</f>
        <v/>
      </c>
    </row>
    <row r="765" customFormat="false" ht="15" hidden="true" customHeight="true" outlineLevel="0" collapsed="false">
      <c r="A765" s="142" t="str">
        <f aca="false">IF(B765="","","TR"&amp;TEXT(ROW()-1,"000"))</f>
        <v/>
      </c>
      <c r="E765" s="130" t="str">
        <f aca="false">IF($O765="✓","✓",IF(ISNUMBER($O765),TEXT($O765,"yyyy-mm-dd"),IF($A765="","",IF(SUMPRODUCT(('Formation Initiale'!$A$2:$A$999=$A765)*('Formation Initiale'!$R$2:$R$999="Terminé"))&gt;0,"✓",IF(SUMPRODUCT(MAX(('Formation Initiale'!$A$2:$A$999=$A765)*'Formation Initiale'!$G$2:$G$999))&gt;0,TEXT(SUMPRODUCT(MAX(('Formation Initiale'!$A$2:$A$999=$A765)*'Formation Initiale'!$G$2:$G$999)),"yyyy-mm-dd"),"")))))</f>
        <v/>
      </c>
      <c r="F765" s="131" t="str">
        <f aca="false">IF($P765="✓","✓",IF(ISNUMBER($P765),TEXT($P765,"yyyy-mm-dd"),IF($A765="","",IF($D765="Lisbonne","",IF(SUMPRODUCT(('Formation Initiale'!$A$2:$A$999=$A765)*('Formation Initiale'!$R$2:$R$999="Terminé"))&gt;0,"✓",IF(SUMPRODUCT(MAX(('Formation Initiale'!$A$2:$A$999=$A765)*'Formation Initiale'!$G$2:$G$999))&gt;0,TEXT(SUMPRODUCT(MAX(('Formation Initiale'!$A$2:$A$999=$A765)*'Formation Initiale'!$G$2:$G$999)),"yyyy-mm-dd"),""))))))</f>
        <v/>
      </c>
      <c r="G765" s="131" t="str">
        <f aca="false">IF($Q765="✓","✓",IF(ISNUMBER($Q765),TEXT($Q765,"yyyy-mm-dd"),IF($A765="","",IF(SUMPRODUCT(('Agences &amp; Après-vente'!$A$2:$A$1000=$A765)*(('Agences &amp; Après-vente'!$D$2:$D$1000="Agences")+('Agences &amp; Après-vente'!$D$2:$D$1000="Agences et Après-vente"))*('Agences &amp; Après-vente'!$I$2:$I$1000="DONE"))&gt;0,"✓",IF(SUMPRODUCT(MAX(('Agences &amp; Après-vente'!$A$2:$A$1000=$A765)*(('Agences &amp; Après-vente'!$D$2:$D$1000="Agences")+('Agences &amp; Après-vente'!$D$2:$D$1000="Agences et Après-vente"))*'Agences &amp; Après-vente'!$E$2:$E$1000))&gt;0,TEXT(SUMPRODUCT(MAX(('Agences &amp; Après-vente'!$A$2:$A$1000=$A765)*(('Agences &amp; Après-vente'!$D$2:$D$1000="Agences")+('Agences &amp; Après-vente'!$D$2:$D$1000="Agences et Après-vente"))*'Agences &amp; Après-vente'!$E$2:$E$1000)),"yyyy-mm-dd"),"")))))</f>
        <v/>
      </c>
      <c r="H765" s="131" t="str">
        <f aca="false">IF($R765="✓","✓",IF(ISNUMBER($R765),TEXT($R765,"yyyy-mm-dd"),IF($A765="","",IF($D765="Lisbonne","",IF(SUMPRODUCT(('Agences &amp; Après-vente'!$A$2:$A$1000=$A765)*(('Agences &amp; Après-vente'!$D$2:$D$1000="Agences")+('Agences &amp; Après-vente'!$D$2:$D$1000="Agences et Après-vente"))*('Agences &amp; Après-vente'!$I$2:$I$1000="DONE"))&gt;0,"✓",IF(SUMPRODUCT(MAX(('Agences &amp; Après-vente'!$A$2:$A$1000=$A765)*(('Agences &amp; Après-vente'!$D$2:$D$1000="Agences")+('Agences &amp; Après-vente'!$D$2:$D$1000="Agences et Après-vente"))*'Agences &amp; Après-vente'!$E$2:$E$1000))&gt;0,TEXT(SUMPRODUCT(MAX(('Agences &amp; Après-vente'!$A$2:$A$1000=$A765)*(('Agences &amp; Après-vente'!$D$2:$D$1000="Agences")+('Agences &amp; Après-vente'!$D$2:$D$1000="Agences et Après-vente"))*'Agences &amp; Après-vente'!$E$2:$E$1000)),"yyyy-mm-dd"),""))))))</f>
        <v/>
      </c>
      <c r="I765" s="131" t="str">
        <f aca="false">IF($S765="✓","✓",IF(ISNUMBER($S765),TEXT($S765,"yyyy-mm-dd"),IF($A765="","",IF(SUMPRODUCT(('Agences &amp; Après-vente'!$A$2:$A$1000=$A765)*(('Agences &amp; Après-vente'!$D$2:$D$1000="Après-vente")+('Agences &amp; Après-vente'!$D$2:$D$1000="Agences et Après-vente"))*('Agences &amp; Après-vente'!$I$2:$I$1000="DONE"))&gt;0,"✓",IF(SUMPRODUCT(MAX(('Agences &amp; Après-vente'!$A$2:$A$1000=$A765)*(('Agences &amp; Après-vente'!$D$2:$D$1000="Après-vente")+('Agences &amp; Après-vente'!$D$2:$D$1000="Agences et Après-vente"))*'Agences &amp; Après-vente'!$E$2:$E$1000))&gt;0,TEXT(SUMPRODUCT(MAX(('Agences &amp; Après-vente'!$A$2:$A$1000=$A765)*(('Agences &amp; Après-vente'!$D$2:$D$1000="Après-vente")+('Agences &amp; Après-vente'!$D$2:$D$1000="Agences et Après-vente"))*'Agences &amp; Après-vente'!$E$2:$E$1000)),"yyyy-mm-dd"),"")))))</f>
        <v/>
      </c>
      <c r="J765" s="131" t="str">
        <f aca="false">IF($T765="✓","✓",IF(ISNUMBER($T765),TEXT($T765,"yyyy-mm-dd"),IF($A765="","",IF($D765="Lisbonne","",IF(SUMPRODUCT(('Agences &amp; Après-vente'!$A$2:$A$1000=$A765)*(('Agences &amp; Après-vente'!$D$2:$D$1000="Après-vente")+('Agences &amp; Après-vente'!$D$2:$D$1000="Agences et Après-vente"))*('Agences &amp; Après-vente'!$I$2:$I$1000="DONE"))&gt;0,"✓",IF(SUMPRODUCT(MAX(('Agences &amp; Après-vente'!$A$2:$A$1000=$A765)*(('Agences &amp; Après-vente'!$D$2:$D$1000="Après-vente")+('Agences &amp; Après-vente'!$D$2:$D$1000="Agences et Après-vente"))*'Agences &amp; Après-vente'!$E$2:$E$1000))&gt;0,TEXT(SUMPRODUCT(MAX(('Agences &amp; Après-vente'!$A$2:$A$1000=$A765)*(('Agences &amp; Après-vente'!$D$2:$D$1000="Après-vente")+('Agences &amp; Après-vente'!$D$2:$D$1000="Agences et Après-vente"))*'Agences &amp; Après-vente'!$E$2:$E$1000)),"yyyy-mm-dd"),""))))))</f>
        <v/>
      </c>
      <c r="K765" s="131" t="str">
        <f aca="false">IF($U765="✓","✓",IF(ISNUMBER($U765),TEXT($U765,"yyyy-mm-dd"),IF($D765="Lisbonne","",IF($A765="","",IF(SUMPRODUCT((Evermont!$A$2:$A$1000=$A765)*(Evermont!$Q$2:$Q$1000="Terminé"))&gt;0,"✓",IF(SUMPRODUCT(MAX((Evermont!$A$2:$A$1000=$A765)*Evermont!$F$2:$F$1000))&gt;0,TEXT(SUMPRODUCT(MAX((Evermont!$A$2:$A$1000=$A765)*Evermont!$F$2:$F$1000)),"yyyy-mm-dd"),""))))))</f>
        <v/>
      </c>
      <c r="L765" s="131" t="str">
        <f aca="false">IF($A765="","",COUNTIF(E765:K765,"✓"))</f>
        <v/>
      </c>
      <c r="M765" s="131" t="str">
        <f aca="false">IF(B765="","","Active")</f>
        <v/>
      </c>
      <c r="W765" s="120" t="str">
        <f aca="false">IF($A765="","",IF($X765&lt;&gt;"",$X765,IFERROR(INDEX('Formation Initiale'!$B$2:$B$999,MATCH($A765,'Formation Initiale'!$A$2:$A$999,0)),"Général")))</f>
        <v/>
      </c>
    </row>
    <row r="766" customFormat="false" ht="15" hidden="true" customHeight="true" outlineLevel="0" collapsed="false">
      <c r="A766" s="142" t="str">
        <f aca="false">IF(B766="","","TR"&amp;TEXT(ROW()-1,"000"))</f>
        <v/>
      </c>
      <c r="E766" s="130" t="str">
        <f aca="false">IF($O766="✓","✓",IF(ISNUMBER($O766),TEXT($O766,"yyyy-mm-dd"),IF($A766="","",IF(SUMPRODUCT(('Formation Initiale'!$A$2:$A$999=$A766)*('Formation Initiale'!$R$2:$R$999="Terminé"))&gt;0,"✓",IF(SUMPRODUCT(MAX(('Formation Initiale'!$A$2:$A$999=$A766)*'Formation Initiale'!$G$2:$G$999))&gt;0,TEXT(SUMPRODUCT(MAX(('Formation Initiale'!$A$2:$A$999=$A766)*'Formation Initiale'!$G$2:$G$999)),"yyyy-mm-dd"),"")))))</f>
        <v/>
      </c>
      <c r="F766" s="131" t="str">
        <f aca="false">IF($P766="✓","✓",IF(ISNUMBER($P766),TEXT($P766,"yyyy-mm-dd"),IF($A766="","",IF($D766="Lisbonne","",IF(SUMPRODUCT(('Formation Initiale'!$A$2:$A$999=$A766)*('Formation Initiale'!$R$2:$R$999="Terminé"))&gt;0,"✓",IF(SUMPRODUCT(MAX(('Formation Initiale'!$A$2:$A$999=$A766)*'Formation Initiale'!$G$2:$G$999))&gt;0,TEXT(SUMPRODUCT(MAX(('Formation Initiale'!$A$2:$A$999=$A766)*'Formation Initiale'!$G$2:$G$999)),"yyyy-mm-dd"),""))))))</f>
        <v/>
      </c>
      <c r="G766" s="131" t="str">
        <f aca="false">IF($Q766="✓","✓",IF(ISNUMBER($Q766),TEXT($Q766,"yyyy-mm-dd"),IF($A766="","",IF(SUMPRODUCT(('Agences &amp; Après-vente'!$A$2:$A$1000=$A766)*(('Agences &amp; Après-vente'!$D$2:$D$1000="Agences")+('Agences &amp; Après-vente'!$D$2:$D$1000="Agences et Après-vente"))*('Agences &amp; Après-vente'!$I$2:$I$1000="DONE"))&gt;0,"✓",IF(SUMPRODUCT(MAX(('Agences &amp; Après-vente'!$A$2:$A$1000=$A766)*(('Agences &amp; Après-vente'!$D$2:$D$1000="Agences")+('Agences &amp; Après-vente'!$D$2:$D$1000="Agences et Après-vente"))*'Agences &amp; Après-vente'!$E$2:$E$1000))&gt;0,TEXT(SUMPRODUCT(MAX(('Agences &amp; Après-vente'!$A$2:$A$1000=$A766)*(('Agences &amp; Après-vente'!$D$2:$D$1000="Agences")+('Agences &amp; Après-vente'!$D$2:$D$1000="Agences et Après-vente"))*'Agences &amp; Après-vente'!$E$2:$E$1000)),"yyyy-mm-dd"),"")))))</f>
        <v/>
      </c>
      <c r="H766" s="131" t="str">
        <f aca="false">IF($R766="✓","✓",IF(ISNUMBER($R766),TEXT($R766,"yyyy-mm-dd"),IF($A766="","",IF($D766="Lisbonne","",IF(SUMPRODUCT(('Agences &amp; Après-vente'!$A$2:$A$1000=$A766)*(('Agences &amp; Après-vente'!$D$2:$D$1000="Agences")+('Agences &amp; Après-vente'!$D$2:$D$1000="Agences et Après-vente"))*('Agences &amp; Après-vente'!$I$2:$I$1000="DONE"))&gt;0,"✓",IF(SUMPRODUCT(MAX(('Agences &amp; Après-vente'!$A$2:$A$1000=$A766)*(('Agences &amp; Après-vente'!$D$2:$D$1000="Agences")+('Agences &amp; Après-vente'!$D$2:$D$1000="Agences et Après-vente"))*'Agences &amp; Après-vente'!$E$2:$E$1000))&gt;0,TEXT(SUMPRODUCT(MAX(('Agences &amp; Après-vente'!$A$2:$A$1000=$A766)*(('Agences &amp; Après-vente'!$D$2:$D$1000="Agences")+('Agences &amp; Après-vente'!$D$2:$D$1000="Agences et Après-vente"))*'Agences &amp; Après-vente'!$E$2:$E$1000)),"yyyy-mm-dd"),""))))))</f>
        <v/>
      </c>
      <c r="I766" s="131" t="str">
        <f aca="false">IF($S766="✓","✓",IF(ISNUMBER($S766),TEXT($S766,"yyyy-mm-dd"),IF($A766="","",IF(SUMPRODUCT(('Agences &amp; Après-vente'!$A$2:$A$1000=$A766)*(('Agences &amp; Après-vente'!$D$2:$D$1000="Après-vente")+('Agences &amp; Après-vente'!$D$2:$D$1000="Agences et Après-vente"))*('Agences &amp; Après-vente'!$I$2:$I$1000="DONE"))&gt;0,"✓",IF(SUMPRODUCT(MAX(('Agences &amp; Après-vente'!$A$2:$A$1000=$A766)*(('Agences &amp; Après-vente'!$D$2:$D$1000="Après-vente")+('Agences &amp; Après-vente'!$D$2:$D$1000="Agences et Après-vente"))*'Agences &amp; Après-vente'!$E$2:$E$1000))&gt;0,TEXT(SUMPRODUCT(MAX(('Agences &amp; Après-vente'!$A$2:$A$1000=$A766)*(('Agences &amp; Après-vente'!$D$2:$D$1000="Après-vente")+('Agences &amp; Après-vente'!$D$2:$D$1000="Agences et Après-vente"))*'Agences &amp; Après-vente'!$E$2:$E$1000)),"yyyy-mm-dd"),"")))))</f>
        <v/>
      </c>
      <c r="J766" s="131" t="str">
        <f aca="false">IF($T766="✓","✓",IF(ISNUMBER($T766),TEXT($T766,"yyyy-mm-dd"),IF($A766="","",IF($D766="Lisbonne","",IF(SUMPRODUCT(('Agences &amp; Après-vente'!$A$2:$A$1000=$A766)*(('Agences &amp; Après-vente'!$D$2:$D$1000="Après-vente")+('Agences &amp; Après-vente'!$D$2:$D$1000="Agences et Après-vente"))*('Agences &amp; Après-vente'!$I$2:$I$1000="DONE"))&gt;0,"✓",IF(SUMPRODUCT(MAX(('Agences &amp; Après-vente'!$A$2:$A$1000=$A766)*(('Agences &amp; Après-vente'!$D$2:$D$1000="Après-vente")+('Agences &amp; Après-vente'!$D$2:$D$1000="Agences et Après-vente"))*'Agences &amp; Après-vente'!$E$2:$E$1000))&gt;0,TEXT(SUMPRODUCT(MAX(('Agences &amp; Après-vente'!$A$2:$A$1000=$A766)*(('Agences &amp; Après-vente'!$D$2:$D$1000="Après-vente")+('Agences &amp; Après-vente'!$D$2:$D$1000="Agences et Après-vente"))*'Agences &amp; Après-vente'!$E$2:$E$1000)),"yyyy-mm-dd"),""))))))</f>
        <v/>
      </c>
      <c r="K766" s="131" t="str">
        <f aca="false">IF($U766="✓","✓",IF(ISNUMBER($U766),TEXT($U766,"yyyy-mm-dd"),IF($D766="Lisbonne","",IF($A766="","",IF(SUMPRODUCT((Evermont!$A$2:$A$1000=$A766)*(Evermont!$Q$2:$Q$1000="Terminé"))&gt;0,"✓",IF(SUMPRODUCT(MAX((Evermont!$A$2:$A$1000=$A766)*Evermont!$F$2:$F$1000))&gt;0,TEXT(SUMPRODUCT(MAX((Evermont!$A$2:$A$1000=$A766)*Evermont!$F$2:$F$1000)),"yyyy-mm-dd"),""))))))</f>
        <v/>
      </c>
      <c r="L766" s="131" t="str">
        <f aca="false">IF($A766="","",COUNTIF(E766:K766,"✓"))</f>
        <v/>
      </c>
      <c r="M766" s="131" t="str">
        <f aca="false">IF(B766="","","Active")</f>
        <v/>
      </c>
      <c r="W766" s="120" t="str">
        <f aca="false">IF($A766="","",IF($X766&lt;&gt;"",$X766,IFERROR(INDEX('Formation Initiale'!$B$2:$B$999,MATCH($A766,'Formation Initiale'!$A$2:$A$999,0)),"Général")))</f>
        <v/>
      </c>
    </row>
    <row r="767" customFormat="false" ht="15" hidden="true" customHeight="true" outlineLevel="0" collapsed="false">
      <c r="A767" s="142" t="str">
        <f aca="false">IF(B767="","","TR"&amp;TEXT(ROW()-1,"000"))</f>
        <v/>
      </c>
      <c r="E767" s="130" t="str">
        <f aca="false">IF($O767="✓","✓",IF(ISNUMBER($O767),TEXT($O767,"yyyy-mm-dd"),IF($A767="","",IF(SUMPRODUCT(('Formation Initiale'!$A$2:$A$999=$A767)*('Formation Initiale'!$R$2:$R$999="Terminé"))&gt;0,"✓",IF(SUMPRODUCT(MAX(('Formation Initiale'!$A$2:$A$999=$A767)*'Formation Initiale'!$G$2:$G$999))&gt;0,TEXT(SUMPRODUCT(MAX(('Formation Initiale'!$A$2:$A$999=$A767)*'Formation Initiale'!$G$2:$G$999)),"yyyy-mm-dd"),"")))))</f>
        <v/>
      </c>
      <c r="F767" s="131" t="str">
        <f aca="false">IF($P767="✓","✓",IF(ISNUMBER($P767),TEXT($P767,"yyyy-mm-dd"),IF($A767="","",IF($D767="Lisbonne","",IF(SUMPRODUCT(('Formation Initiale'!$A$2:$A$999=$A767)*('Formation Initiale'!$R$2:$R$999="Terminé"))&gt;0,"✓",IF(SUMPRODUCT(MAX(('Formation Initiale'!$A$2:$A$999=$A767)*'Formation Initiale'!$G$2:$G$999))&gt;0,TEXT(SUMPRODUCT(MAX(('Formation Initiale'!$A$2:$A$999=$A767)*'Formation Initiale'!$G$2:$G$999)),"yyyy-mm-dd"),""))))))</f>
        <v/>
      </c>
      <c r="G767" s="131" t="str">
        <f aca="false">IF($Q767="✓","✓",IF(ISNUMBER($Q767),TEXT($Q767,"yyyy-mm-dd"),IF($A767="","",IF(SUMPRODUCT(('Agences &amp; Après-vente'!$A$2:$A$1000=$A767)*(('Agences &amp; Après-vente'!$D$2:$D$1000="Agences")+('Agences &amp; Après-vente'!$D$2:$D$1000="Agences et Après-vente"))*('Agences &amp; Après-vente'!$I$2:$I$1000="DONE"))&gt;0,"✓",IF(SUMPRODUCT(MAX(('Agences &amp; Après-vente'!$A$2:$A$1000=$A767)*(('Agences &amp; Après-vente'!$D$2:$D$1000="Agences")+('Agences &amp; Après-vente'!$D$2:$D$1000="Agences et Après-vente"))*'Agences &amp; Après-vente'!$E$2:$E$1000))&gt;0,TEXT(SUMPRODUCT(MAX(('Agences &amp; Après-vente'!$A$2:$A$1000=$A767)*(('Agences &amp; Après-vente'!$D$2:$D$1000="Agences")+('Agences &amp; Après-vente'!$D$2:$D$1000="Agences et Après-vente"))*'Agences &amp; Après-vente'!$E$2:$E$1000)),"yyyy-mm-dd"),"")))))</f>
        <v/>
      </c>
      <c r="H767" s="131" t="str">
        <f aca="false">IF($R767="✓","✓",IF(ISNUMBER($R767),TEXT($R767,"yyyy-mm-dd"),IF($A767="","",IF($D767="Lisbonne","",IF(SUMPRODUCT(('Agences &amp; Après-vente'!$A$2:$A$1000=$A767)*(('Agences &amp; Après-vente'!$D$2:$D$1000="Agences")+('Agences &amp; Après-vente'!$D$2:$D$1000="Agences et Après-vente"))*('Agences &amp; Après-vente'!$I$2:$I$1000="DONE"))&gt;0,"✓",IF(SUMPRODUCT(MAX(('Agences &amp; Après-vente'!$A$2:$A$1000=$A767)*(('Agences &amp; Après-vente'!$D$2:$D$1000="Agences")+('Agences &amp; Après-vente'!$D$2:$D$1000="Agences et Après-vente"))*'Agences &amp; Après-vente'!$E$2:$E$1000))&gt;0,TEXT(SUMPRODUCT(MAX(('Agences &amp; Après-vente'!$A$2:$A$1000=$A767)*(('Agences &amp; Après-vente'!$D$2:$D$1000="Agences")+('Agences &amp; Après-vente'!$D$2:$D$1000="Agences et Après-vente"))*'Agences &amp; Après-vente'!$E$2:$E$1000)),"yyyy-mm-dd"),""))))))</f>
        <v/>
      </c>
      <c r="I767" s="131" t="str">
        <f aca="false">IF($S767="✓","✓",IF(ISNUMBER($S767),TEXT($S767,"yyyy-mm-dd"),IF($A767="","",IF(SUMPRODUCT(('Agences &amp; Après-vente'!$A$2:$A$1000=$A767)*(('Agences &amp; Après-vente'!$D$2:$D$1000="Après-vente")+('Agences &amp; Après-vente'!$D$2:$D$1000="Agences et Après-vente"))*('Agences &amp; Après-vente'!$I$2:$I$1000="DONE"))&gt;0,"✓",IF(SUMPRODUCT(MAX(('Agences &amp; Après-vente'!$A$2:$A$1000=$A767)*(('Agences &amp; Après-vente'!$D$2:$D$1000="Après-vente")+('Agences &amp; Après-vente'!$D$2:$D$1000="Agences et Après-vente"))*'Agences &amp; Après-vente'!$E$2:$E$1000))&gt;0,TEXT(SUMPRODUCT(MAX(('Agences &amp; Après-vente'!$A$2:$A$1000=$A767)*(('Agences &amp; Après-vente'!$D$2:$D$1000="Après-vente")+('Agences &amp; Après-vente'!$D$2:$D$1000="Agences et Après-vente"))*'Agences &amp; Après-vente'!$E$2:$E$1000)),"yyyy-mm-dd"),"")))))</f>
        <v/>
      </c>
      <c r="J767" s="131" t="str">
        <f aca="false">IF($T767="✓","✓",IF(ISNUMBER($T767),TEXT($T767,"yyyy-mm-dd"),IF($A767="","",IF($D767="Lisbonne","",IF(SUMPRODUCT(('Agences &amp; Après-vente'!$A$2:$A$1000=$A767)*(('Agences &amp; Après-vente'!$D$2:$D$1000="Après-vente")+('Agences &amp; Après-vente'!$D$2:$D$1000="Agences et Après-vente"))*('Agences &amp; Après-vente'!$I$2:$I$1000="DONE"))&gt;0,"✓",IF(SUMPRODUCT(MAX(('Agences &amp; Après-vente'!$A$2:$A$1000=$A767)*(('Agences &amp; Après-vente'!$D$2:$D$1000="Après-vente")+('Agences &amp; Après-vente'!$D$2:$D$1000="Agences et Après-vente"))*'Agences &amp; Après-vente'!$E$2:$E$1000))&gt;0,TEXT(SUMPRODUCT(MAX(('Agences &amp; Après-vente'!$A$2:$A$1000=$A767)*(('Agences &amp; Après-vente'!$D$2:$D$1000="Après-vente")+('Agences &amp; Après-vente'!$D$2:$D$1000="Agences et Après-vente"))*'Agences &amp; Après-vente'!$E$2:$E$1000)),"yyyy-mm-dd"),""))))))</f>
        <v/>
      </c>
      <c r="K767" s="131" t="str">
        <f aca="false">IF($U767="✓","✓",IF(ISNUMBER($U767),TEXT($U767,"yyyy-mm-dd"),IF($D767="Lisbonne","",IF($A767="","",IF(SUMPRODUCT((Evermont!$A$2:$A$1000=$A767)*(Evermont!$Q$2:$Q$1000="Terminé"))&gt;0,"✓",IF(SUMPRODUCT(MAX((Evermont!$A$2:$A$1000=$A767)*Evermont!$F$2:$F$1000))&gt;0,TEXT(SUMPRODUCT(MAX((Evermont!$A$2:$A$1000=$A767)*Evermont!$F$2:$F$1000)),"yyyy-mm-dd"),""))))))</f>
        <v/>
      </c>
      <c r="L767" s="131" t="str">
        <f aca="false">IF($A767="","",COUNTIF(E767:K767,"✓"))</f>
        <v/>
      </c>
      <c r="M767" s="131" t="str">
        <f aca="false">IF(B767="","","Active")</f>
        <v/>
      </c>
      <c r="W767" s="120" t="str">
        <f aca="false">IF($A767="","",IF($X767&lt;&gt;"",$X767,IFERROR(INDEX('Formation Initiale'!$B$2:$B$999,MATCH($A767,'Formation Initiale'!$A$2:$A$999,0)),"Général")))</f>
        <v/>
      </c>
    </row>
    <row r="768" customFormat="false" ht="15" hidden="true" customHeight="true" outlineLevel="0" collapsed="false">
      <c r="A768" s="142" t="str">
        <f aca="false">IF(B768="","","TR"&amp;TEXT(ROW()-1,"000"))</f>
        <v/>
      </c>
      <c r="E768" s="130" t="str">
        <f aca="false">IF($O768="✓","✓",IF(ISNUMBER($O768),TEXT($O768,"yyyy-mm-dd"),IF($A768="","",IF(SUMPRODUCT(('Formation Initiale'!$A$2:$A$999=$A768)*('Formation Initiale'!$R$2:$R$999="Terminé"))&gt;0,"✓",IF(SUMPRODUCT(MAX(('Formation Initiale'!$A$2:$A$999=$A768)*'Formation Initiale'!$G$2:$G$999))&gt;0,TEXT(SUMPRODUCT(MAX(('Formation Initiale'!$A$2:$A$999=$A768)*'Formation Initiale'!$G$2:$G$999)),"yyyy-mm-dd"),"")))))</f>
        <v/>
      </c>
      <c r="F768" s="131" t="str">
        <f aca="false">IF($P768="✓","✓",IF(ISNUMBER($P768),TEXT($P768,"yyyy-mm-dd"),IF($A768="","",IF($D768="Lisbonne","",IF(SUMPRODUCT(('Formation Initiale'!$A$2:$A$999=$A768)*('Formation Initiale'!$R$2:$R$999="Terminé"))&gt;0,"✓",IF(SUMPRODUCT(MAX(('Formation Initiale'!$A$2:$A$999=$A768)*'Formation Initiale'!$G$2:$G$999))&gt;0,TEXT(SUMPRODUCT(MAX(('Formation Initiale'!$A$2:$A$999=$A768)*'Formation Initiale'!$G$2:$G$999)),"yyyy-mm-dd"),""))))))</f>
        <v/>
      </c>
      <c r="G768" s="131" t="str">
        <f aca="false">IF($Q768="✓","✓",IF(ISNUMBER($Q768),TEXT($Q768,"yyyy-mm-dd"),IF($A768="","",IF(SUMPRODUCT(('Agences &amp; Après-vente'!$A$2:$A$1000=$A768)*(('Agences &amp; Après-vente'!$D$2:$D$1000="Agences")+('Agences &amp; Après-vente'!$D$2:$D$1000="Agences et Après-vente"))*('Agences &amp; Après-vente'!$I$2:$I$1000="DONE"))&gt;0,"✓",IF(SUMPRODUCT(MAX(('Agences &amp; Après-vente'!$A$2:$A$1000=$A768)*(('Agences &amp; Après-vente'!$D$2:$D$1000="Agences")+('Agences &amp; Après-vente'!$D$2:$D$1000="Agences et Après-vente"))*'Agences &amp; Après-vente'!$E$2:$E$1000))&gt;0,TEXT(SUMPRODUCT(MAX(('Agences &amp; Après-vente'!$A$2:$A$1000=$A768)*(('Agences &amp; Après-vente'!$D$2:$D$1000="Agences")+('Agences &amp; Après-vente'!$D$2:$D$1000="Agences et Après-vente"))*'Agences &amp; Après-vente'!$E$2:$E$1000)),"yyyy-mm-dd"),"")))))</f>
        <v/>
      </c>
      <c r="H768" s="131" t="str">
        <f aca="false">IF($R768="✓","✓",IF(ISNUMBER($R768),TEXT($R768,"yyyy-mm-dd"),IF($A768="","",IF($D768="Lisbonne","",IF(SUMPRODUCT(('Agences &amp; Après-vente'!$A$2:$A$1000=$A768)*(('Agences &amp; Après-vente'!$D$2:$D$1000="Agences")+('Agences &amp; Après-vente'!$D$2:$D$1000="Agences et Après-vente"))*('Agences &amp; Après-vente'!$I$2:$I$1000="DONE"))&gt;0,"✓",IF(SUMPRODUCT(MAX(('Agences &amp; Après-vente'!$A$2:$A$1000=$A768)*(('Agences &amp; Après-vente'!$D$2:$D$1000="Agences")+('Agences &amp; Après-vente'!$D$2:$D$1000="Agences et Après-vente"))*'Agences &amp; Après-vente'!$E$2:$E$1000))&gt;0,TEXT(SUMPRODUCT(MAX(('Agences &amp; Après-vente'!$A$2:$A$1000=$A768)*(('Agences &amp; Après-vente'!$D$2:$D$1000="Agences")+('Agences &amp; Après-vente'!$D$2:$D$1000="Agences et Après-vente"))*'Agences &amp; Après-vente'!$E$2:$E$1000)),"yyyy-mm-dd"),""))))))</f>
        <v/>
      </c>
      <c r="I768" s="131" t="str">
        <f aca="false">IF($S768="✓","✓",IF(ISNUMBER($S768),TEXT($S768,"yyyy-mm-dd"),IF($A768="","",IF(SUMPRODUCT(('Agences &amp; Après-vente'!$A$2:$A$1000=$A768)*(('Agences &amp; Après-vente'!$D$2:$D$1000="Après-vente")+('Agences &amp; Après-vente'!$D$2:$D$1000="Agences et Après-vente"))*('Agences &amp; Après-vente'!$I$2:$I$1000="DONE"))&gt;0,"✓",IF(SUMPRODUCT(MAX(('Agences &amp; Après-vente'!$A$2:$A$1000=$A768)*(('Agences &amp; Après-vente'!$D$2:$D$1000="Après-vente")+('Agences &amp; Après-vente'!$D$2:$D$1000="Agences et Après-vente"))*'Agences &amp; Après-vente'!$E$2:$E$1000))&gt;0,TEXT(SUMPRODUCT(MAX(('Agences &amp; Après-vente'!$A$2:$A$1000=$A768)*(('Agences &amp; Après-vente'!$D$2:$D$1000="Après-vente")+('Agences &amp; Après-vente'!$D$2:$D$1000="Agences et Après-vente"))*'Agences &amp; Après-vente'!$E$2:$E$1000)),"yyyy-mm-dd"),"")))))</f>
        <v/>
      </c>
      <c r="J768" s="131" t="str">
        <f aca="false">IF($T768="✓","✓",IF(ISNUMBER($T768),TEXT($T768,"yyyy-mm-dd"),IF($A768="","",IF($D768="Lisbonne","",IF(SUMPRODUCT(('Agences &amp; Après-vente'!$A$2:$A$1000=$A768)*(('Agences &amp; Après-vente'!$D$2:$D$1000="Après-vente")+('Agences &amp; Après-vente'!$D$2:$D$1000="Agences et Après-vente"))*('Agences &amp; Après-vente'!$I$2:$I$1000="DONE"))&gt;0,"✓",IF(SUMPRODUCT(MAX(('Agences &amp; Après-vente'!$A$2:$A$1000=$A768)*(('Agences &amp; Après-vente'!$D$2:$D$1000="Après-vente")+('Agences &amp; Après-vente'!$D$2:$D$1000="Agences et Après-vente"))*'Agences &amp; Après-vente'!$E$2:$E$1000))&gt;0,TEXT(SUMPRODUCT(MAX(('Agences &amp; Après-vente'!$A$2:$A$1000=$A768)*(('Agences &amp; Après-vente'!$D$2:$D$1000="Après-vente")+('Agences &amp; Après-vente'!$D$2:$D$1000="Agences et Après-vente"))*'Agences &amp; Après-vente'!$E$2:$E$1000)),"yyyy-mm-dd"),""))))))</f>
        <v/>
      </c>
      <c r="K768" s="131" t="str">
        <f aca="false">IF($U768="✓","✓",IF(ISNUMBER($U768),TEXT($U768,"yyyy-mm-dd"),IF($D768="Lisbonne","",IF($A768="","",IF(SUMPRODUCT((Evermont!$A$2:$A$1000=$A768)*(Evermont!$Q$2:$Q$1000="Terminé"))&gt;0,"✓",IF(SUMPRODUCT(MAX((Evermont!$A$2:$A$1000=$A768)*Evermont!$F$2:$F$1000))&gt;0,TEXT(SUMPRODUCT(MAX((Evermont!$A$2:$A$1000=$A768)*Evermont!$F$2:$F$1000)),"yyyy-mm-dd"),""))))))</f>
        <v/>
      </c>
      <c r="L768" s="131" t="str">
        <f aca="false">IF($A768="","",COUNTIF(E768:K768,"✓"))</f>
        <v/>
      </c>
      <c r="M768" s="131" t="str">
        <f aca="false">IF(B768="","","Active")</f>
        <v/>
      </c>
      <c r="W768" s="120" t="str">
        <f aca="false">IF($A768="","",IF($X768&lt;&gt;"",$X768,IFERROR(INDEX('Formation Initiale'!$B$2:$B$999,MATCH($A768,'Formation Initiale'!$A$2:$A$999,0)),"Général")))</f>
        <v/>
      </c>
    </row>
    <row r="769" customFormat="false" ht="15" hidden="true" customHeight="true" outlineLevel="0" collapsed="false">
      <c r="A769" s="142" t="str">
        <f aca="false">IF(B769="","","TR"&amp;TEXT(ROW()-1,"000"))</f>
        <v/>
      </c>
      <c r="E769" s="130" t="str">
        <f aca="false">IF($O769="✓","✓",IF(ISNUMBER($O769),TEXT($O769,"yyyy-mm-dd"),IF($A769="","",IF(SUMPRODUCT(('Formation Initiale'!$A$2:$A$999=$A769)*('Formation Initiale'!$R$2:$R$999="Terminé"))&gt;0,"✓",IF(SUMPRODUCT(MAX(('Formation Initiale'!$A$2:$A$999=$A769)*'Formation Initiale'!$G$2:$G$999))&gt;0,TEXT(SUMPRODUCT(MAX(('Formation Initiale'!$A$2:$A$999=$A769)*'Formation Initiale'!$G$2:$G$999)),"yyyy-mm-dd"),"")))))</f>
        <v/>
      </c>
      <c r="F769" s="131" t="str">
        <f aca="false">IF($P769="✓","✓",IF(ISNUMBER($P769),TEXT($P769,"yyyy-mm-dd"),IF($A769="","",IF($D769="Lisbonne","",IF(SUMPRODUCT(('Formation Initiale'!$A$2:$A$999=$A769)*('Formation Initiale'!$R$2:$R$999="Terminé"))&gt;0,"✓",IF(SUMPRODUCT(MAX(('Formation Initiale'!$A$2:$A$999=$A769)*'Formation Initiale'!$G$2:$G$999))&gt;0,TEXT(SUMPRODUCT(MAX(('Formation Initiale'!$A$2:$A$999=$A769)*'Formation Initiale'!$G$2:$G$999)),"yyyy-mm-dd"),""))))))</f>
        <v/>
      </c>
      <c r="G769" s="131" t="str">
        <f aca="false">IF($Q769="✓","✓",IF(ISNUMBER($Q769),TEXT($Q769,"yyyy-mm-dd"),IF($A769="","",IF(SUMPRODUCT(('Agences &amp; Après-vente'!$A$2:$A$1000=$A769)*(('Agences &amp; Après-vente'!$D$2:$D$1000="Agences")+('Agences &amp; Après-vente'!$D$2:$D$1000="Agences et Après-vente"))*('Agences &amp; Après-vente'!$I$2:$I$1000="DONE"))&gt;0,"✓",IF(SUMPRODUCT(MAX(('Agences &amp; Après-vente'!$A$2:$A$1000=$A769)*(('Agences &amp; Après-vente'!$D$2:$D$1000="Agences")+('Agences &amp; Après-vente'!$D$2:$D$1000="Agences et Après-vente"))*'Agences &amp; Après-vente'!$E$2:$E$1000))&gt;0,TEXT(SUMPRODUCT(MAX(('Agences &amp; Après-vente'!$A$2:$A$1000=$A769)*(('Agences &amp; Après-vente'!$D$2:$D$1000="Agences")+('Agences &amp; Après-vente'!$D$2:$D$1000="Agences et Après-vente"))*'Agences &amp; Après-vente'!$E$2:$E$1000)),"yyyy-mm-dd"),"")))))</f>
        <v/>
      </c>
      <c r="H769" s="131" t="str">
        <f aca="false">IF($R769="✓","✓",IF(ISNUMBER($R769),TEXT($R769,"yyyy-mm-dd"),IF($A769="","",IF($D769="Lisbonne","",IF(SUMPRODUCT(('Agences &amp; Après-vente'!$A$2:$A$1000=$A769)*(('Agences &amp; Après-vente'!$D$2:$D$1000="Agences")+('Agences &amp; Après-vente'!$D$2:$D$1000="Agences et Après-vente"))*('Agences &amp; Après-vente'!$I$2:$I$1000="DONE"))&gt;0,"✓",IF(SUMPRODUCT(MAX(('Agences &amp; Après-vente'!$A$2:$A$1000=$A769)*(('Agences &amp; Après-vente'!$D$2:$D$1000="Agences")+('Agences &amp; Après-vente'!$D$2:$D$1000="Agences et Après-vente"))*'Agences &amp; Après-vente'!$E$2:$E$1000))&gt;0,TEXT(SUMPRODUCT(MAX(('Agences &amp; Après-vente'!$A$2:$A$1000=$A769)*(('Agences &amp; Après-vente'!$D$2:$D$1000="Agences")+('Agences &amp; Après-vente'!$D$2:$D$1000="Agences et Après-vente"))*'Agences &amp; Après-vente'!$E$2:$E$1000)),"yyyy-mm-dd"),""))))))</f>
        <v/>
      </c>
      <c r="I769" s="131" t="str">
        <f aca="false">IF($S769="✓","✓",IF(ISNUMBER($S769),TEXT($S769,"yyyy-mm-dd"),IF($A769="","",IF(SUMPRODUCT(('Agences &amp; Après-vente'!$A$2:$A$1000=$A769)*(('Agences &amp; Après-vente'!$D$2:$D$1000="Après-vente")+('Agences &amp; Après-vente'!$D$2:$D$1000="Agences et Après-vente"))*('Agences &amp; Après-vente'!$I$2:$I$1000="DONE"))&gt;0,"✓",IF(SUMPRODUCT(MAX(('Agences &amp; Après-vente'!$A$2:$A$1000=$A769)*(('Agences &amp; Après-vente'!$D$2:$D$1000="Après-vente")+('Agences &amp; Après-vente'!$D$2:$D$1000="Agences et Après-vente"))*'Agences &amp; Après-vente'!$E$2:$E$1000))&gt;0,TEXT(SUMPRODUCT(MAX(('Agences &amp; Après-vente'!$A$2:$A$1000=$A769)*(('Agences &amp; Après-vente'!$D$2:$D$1000="Après-vente")+('Agences &amp; Après-vente'!$D$2:$D$1000="Agences et Après-vente"))*'Agences &amp; Après-vente'!$E$2:$E$1000)),"yyyy-mm-dd"),"")))))</f>
        <v/>
      </c>
      <c r="J769" s="131" t="str">
        <f aca="false">IF($T769="✓","✓",IF(ISNUMBER($T769),TEXT($T769,"yyyy-mm-dd"),IF($A769="","",IF($D769="Lisbonne","",IF(SUMPRODUCT(('Agences &amp; Après-vente'!$A$2:$A$1000=$A769)*(('Agences &amp; Après-vente'!$D$2:$D$1000="Après-vente")+('Agences &amp; Après-vente'!$D$2:$D$1000="Agences et Après-vente"))*('Agences &amp; Après-vente'!$I$2:$I$1000="DONE"))&gt;0,"✓",IF(SUMPRODUCT(MAX(('Agences &amp; Après-vente'!$A$2:$A$1000=$A769)*(('Agences &amp; Après-vente'!$D$2:$D$1000="Après-vente")+('Agences &amp; Après-vente'!$D$2:$D$1000="Agences et Après-vente"))*'Agences &amp; Après-vente'!$E$2:$E$1000))&gt;0,TEXT(SUMPRODUCT(MAX(('Agences &amp; Après-vente'!$A$2:$A$1000=$A769)*(('Agences &amp; Après-vente'!$D$2:$D$1000="Après-vente")+('Agences &amp; Après-vente'!$D$2:$D$1000="Agences et Après-vente"))*'Agences &amp; Après-vente'!$E$2:$E$1000)),"yyyy-mm-dd"),""))))))</f>
        <v/>
      </c>
      <c r="K769" s="131" t="str">
        <f aca="false">IF($U769="✓","✓",IF(ISNUMBER($U769),TEXT($U769,"yyyy-mm-dd"),IF($D769="Lisbonne","",IF($A769="","",IF(SUMPRODUCT((Evermont!$A$2:$A$1000=$A769)*(Evermont!$Q$2:$Q$1000="Terminé"))&gt;0,"✓",IF(SUMPRODUCT(MAX((Evermont!$A$2:$A$1000=$A769)*Evermont!$F$2:$F$1000))&gt;0,TEXT(SUMPRODUCT(MAX((Evermont!$A$2:$A$1000=$A769)*Evermont!$F$2:$F$1000)),"yyyy-mm-dd"),""))))))</f>
        <v/>
      </c>
      <c r="L769" s="131" t="str">
        <f aca="false">IF($A769="","",COUNTIF(E769:K769,"✓"))</f>
        <v/>
      </c>
      <c r="M769" s="131" t="str">
        <f aca="false">IF(B769="","","Active")</f>
        <v/>
      </c>
      <c r="W769" s="120" t="str">
        <f aca="false">IF($A769="","",IF($X769&lt;&gt;"",$X769,IFERROR(INDEX('Formation Initiale'!$B$2:$B$999,MATCH($A769,'Formation Initiale'!$A$2:$A$999,0)),"Général")))</f>
        <v/>
      </c>
    </row>
    <row r="770" customFormat="false" ht="15" hidden="true" customHeight="true" outlineLevel="0" collapsed="false">
      <c r="A770" s="142" t="str">
        <f aca="false">IF(B770="","","TR"&amp;TEXT(ROW()-1,"000"))</f>
        <v/>
      </c>
      <c r="E770" s="130" t="str">
        <f aca="false">IF($O770="✓","✓",IF(ISNUMBER($O770),TEXT($O770,"yyyy-mm-dd"),IF($A770="","",IF(SUMPRODUCT(('Formation Initiale'!$A$2:$A$999=$A770)*('Formation Initiale'!$R$2:$R$999="Terminé"))&gt;0,"✓",IF(SUMPRODUCT(MAX(('Formation Initiale'!$A$2:$A$999=$A770)*'Formation Initiale'!$G$2:$G$999))&gt;0,TEXT(SUMPRODUCT(MAX(('Formation Initiale'!$A$2:$A$999=$A770)*'Formation Initiale'!$G$2:$G$999)),"yyyy-mm-dd"),"")))))</f>
        <v/>
      </c>
      <c r="F770" s="131" t="str">
        <f aca="false">IF($P770="✓","✓",IF(ISNUMBER($P770),TEXT($P770,"yyyy-mm-dd"),IF($A770="","",IF($D770="Lisbonne","",IF(SUMPRODUCT(('Formation Initiale'!$A$2:$A$999=$A770)*('Formation Initiale'!$R$2:$R$999="Terminé"))&gt;0,"✓",IF(SUMPRODUCT(MAX(('Formation Initiale'!$A$2:$A$999=$A770)*'Formation Initiale'!$G$2:$G$999))&gt;0,TEXT(SUMPRODUCT(MAX(('Formation Initiale'!$A$2:$A$999=$A770)*'Formation Initiale'!$G$2:$G$999)),"yyyy-mm-dd"),""))))))</f>
        <v/>
      </c>
      <c r="G770" s="131" t="str">
        <f aca="false">IF($Q770="✓","✓",IF(ISNUMBER($Q770),TEXT($Q770,"yyyy-mm-dd"),IF($A770="","",IF(SUMPRODUCT(('Agences &amp; Après-vente'!$A$2:$A$1000=$A770)*(('Agences &amp; Après-vente'!$D$2:$D$1000="Agences")+('Agences &amp; Après-vente'!$D$2:$D$1000="Agences et Après-vente"))*('Agences &amp; Après-vente'!$I$2:$I$1000="DONE"))&gt;0,"✓",IF(SUMPRODUCT(MAX(('Agences &amp; Après-vente'!$A$2:$A$1000=$A770)*(('Agences &amp; Après-vente'!$D$2:$D$1000="Agences")+('Agences &amp; Après-vente'!$D$2:$D$1000="Agences et Après-vente"))*'Agences &amp; Après-vente'!$E$2:$E$1000))&gt;0,TEXT(SUMPRODUCT(MAX(('Agences &amp; Après-vente'!$A$2:$A$1000=$A770)*(('Agences &amp; Après-vente'!$D$2:$D$1000="Agences")+('Agences &amp; Après-vente'!$D$2:$D$1000="Agences et Après-vente"))*'Agences &amp; Après-vente'!$E$2:$E$1000)),"yyyy-mm-dd"),"")))))</f>
        <v/>
      </c>
      <c r="H770" s="131" t="str">
        <f aca="false">IF($R770="✓","✓",IF(ISNUMBER($R770),TEXT($R770,"yyyy-mm-dd"),IF($A770="","",IF($D770="Lisbonne","",IF(SUMPRODUCT(('Agences &amp; Après-vente'!$A$2:$A$1000=$A770)*(('Agences &amp; Après-vente'!$D$2:$D$1000="Agences")+('Agences &amp; Après-vente'!$D$2:$D$1000="Agences et Après-vente"))*('Agences &amp; Après-vente'!$I$2:$I$1000="DONE"))&gt;0,"✓",IF(SUMPRODUCT(MAX(('Agences &amp; Après-vente'!$A$2:$A$1000=$A770)*(('Agences &amp; Après-vente'!$D$2:$D$1000="Agences")+('Agences &amp; Après-vente'!$D$2:$D$1000="Agences et Après-vente"))*'Agences &amp; Après-vente'!$E$2:$E$1000))&gt;0,TEXT(SUMPRODUCT(MAX(('Agences &amp; Après-vente'!$A$2:$A$1000=$A770)*(('Agences &amp; Après-vente'!$D$2:$D$1000="Agences")+('Agences &amp; Après-vente'!$D$2:$D$1000="Agences et Après-vente"))*'Agences &amp; Après-vente'!$E$2:$E$1000)),"yyyy-mm-dd"),""))))))</f>
        <v/>
      </c>
      <c r="I770" s="131" t="str">
        <f aca="false">IF($S770="✓","✓",IF(ISNUMBER($S770),TEXT($S770,"yyyy-mm-dd"),IF($A770="","",IF(SUMPRODUCT(('Agences &amp; Après-vente'!$A$2:$A$1000=$A770)*(('Agences &amp; Après-vente'!$D$2:$D$1000="Après-vente")+('Agences &amp; Après-vente'!$D$2:$D$1000="Agences et Après-vente"))*('Agences &amp; Après-vente'!$I$2:$I$1000="DONE"))&gt;0,"✓",IF(SUMPRODUCT(MAX(('Agences &amp; Après-vente'!$A$2:$A$1000=$A770)*(('Agences &amp; Après-vente'!$D$2:$D$1000="Après-vente")+('Agences &amp; Après-vente'!$D$2:$D$1000="Agences et Après-vente"))*'Agences &amp; Après-vente'!$E$2:$E$1000))&gt;0,TEXT(SUMPRODUCT(MAX(('Agences &amp; Après-vente'!$A$2:$A$1000=$A770)*(('Agences &amp; Après-vente'!$D$2:$D$1000="Après-vente")+('Agences &amp; Après-vente'!$D$2:$D$1000="Agences et Après-vente"))*'Agences &amp; Après-vente'!$E$2:$E$1000)),"yyyy-mm-dd"),"")))))</f>
        <v/>
      </c>
      <c r="J770" s="131" t="str">
        <f aca="false">IF($T770="✓","✓",IF(ISNUMBER($T770),TEXT($T770,"yyyy-mm-dd"),IF($A770="","",IF($D770="Lisbonne","",IF(SUMPRODUCT(('Agences &amp; Après-vente'!$A$2:$A$1000=$A770)*(('Agences &amp; Après-vente'!$D$2:$D$1000="Après-vente")+('Agences &amp; Après-vente'!$D$2:$D$1000="Agences et Après-vente"))*('Agences &amp; Après-vente'!$I$2:$I$1000="DONE"))&gt;0,"✓",IF(SUMPRODUCT(MAX(('Agences &amp; Après-vente'!$A$2:$A$1000=$A770)*(('Agences &amp; Après-vente'!$D$2:$D$1000="Après-vente")+('Agences &amp; Après-vente'!$D$2:$D$1000="Agences et Après-vente"))*'Agences &amp; Après-vente'!$E$2:$E$1000))&gt;0,TEXT(SUMPRODUCT(MAX(('Agences &amp; Après-vente'!$A$2:$A$1000=$A770)*(('Agences &amp; Après-vente'!$D$2:$D$1000="Après-vente")+('Agences &amp; Après-vente'!$D$2:$D$1000="Agences et Après-vente"))*'Agences &amp; Après-vente'!$E$2:$E$1000)),"yyyy-mm-dd"),""))))))</f>
        <v/>
      </c>
      <c r="K770" s="131" t="str">
        <f aca="false">IF($U770="✓","✓",IF(ISNUMBER($U770),TEXT($U770,"yyyy-mm-dd"),IF($D770="Lisbonne","",IF($A770="","",IF(SUMPRODUCT((Evermont!$A$2:$A$1000=$A770)*(Evermont!$Q$2:$Q$1000="Terminé"))&gt;0,"✓",IF(SUMPRODUCT(MAX((Evermont!$A$2:$A$1000=$A770)*Evermont!$F$2:$F$1000))&gt;0,TEXT(SUMPRODUCT(MAX((Evermont!$A$2:$A$1000=$A770)*Evermont!$F$2:$F$1000)),"yyyy-mm-dd"),""))))))</f>
        <v/>
      </c>
      <c r="L770" s="131" t="str">
        <f aca="false">IF($A770="","",COUNTIF(E770:K770,"✓"))</f>
        <v/>
      </c>
      <c r="M770" s="131" t="str">
        <f aca="false">IF(B770="","","Active")</f>
        <v/>
      </c>
      <c r="W770" s="120" t="str">
        <f aca="false">IF($A770="","",IF($X770&lt;&gt;"",$X770,IFERROR(INDEX('Formation Initiale'!$B$2:$B$999,MATCH($A770,'Formation Initiale'!$A$2:$A$999,0)),"Général")))</f>
        <v/>
      </c>
    </row>
    <row r="771" customFormat="false" ht="15" hidden="true" customHeight="true" outlineLevel="0" collapsed="false">
      <c r="A771" s="142" t="str">
        <f aca="false">IF(B771="","","TR"&amp;TEXT(ROW()-1,"000"))</f>
        <v/>
      </c>
      <c r="E771" s="130" t="str">
        <f aca="false">IF($O771="✓","✓",IF(ISNUMBER($O771),TEXT($O771,"yyyy-mm-dd"),IF($A771="","",IF(SUMPRODUCT(('Formation Initiale'!$A$2:$A$999=$A771)*('Formation Initiale'!$R$2:$R$999="Terminé"))&gt;0,"✓",IF(SUMPRODUCT(MAX(('Formation Initiale'!$A$2:$A$999=$A771)*'Formation Initiale'!$G$2:$G$999))&gt;0,TEXT(SUMPRODUCT(MAX(('Formation Initiale'!$A$2:$A$999=$A771)*'Formation Initiale'!$G$2:$G$999)),"yyyy-mm-dd"),"")))))</f>
        <v/>
      </c>
      <c r="F771" s="131" t="str">
        <f aca="false">IF($P771="✓","✓",IF(ISNUMBER($P771),TEXT($P771,"yyyy-mm-dd"),IF($A771="","",IF($D771="Lisbonne","",IF(SUMPRODUCT(('Formation Initiale'!$A$2:$A$999=$A771)*('Formation Initiale'!$R$2:$R$999="Terminé"))&gt;0,"✓",IF(SUMPRODUCT(MAX(('Formation Initiale'!$A$2:$A$999=$A771)*'Formation Initiale'!$G$2:$G$999))&gt;0,TEXT(SUMPRODUCT(MAX(('Formation Initiale'!$A$2:$A$999=$A771)*'Formation Initiale'!$G$2:$G$999)),"yyyy-mm-dd"),""))))))</f>
        <v/>
      </c>
      <c r="G771" s="131" t="str">
        <f aca="false">IF($Q771="✓","✓",IF(ISNUMBER($Q771),TEXT($Q771,"yyyy-mm-dd"),IF($A771="","",IF(SUMPRODUCT(('Agences &amp; Après-vente'!$A$2:$A$1000=$A771)*(('Agences &amp; Après-vente'!$D$2:$D$1000="Agences")+('Agences &amp; Après-vente'!$D$2:$D$1000="Agences et Après-vente"))*('Agences &amp; Après-vente'!$I$2:$I$1000="DONE"))&gt;0,"✓",IF(SUMPRODUCT(MAX(('Agences &amp; Après-vente'!$A$2:$A$1000=$A771)*(('Agences &amp; Après-vente'!$D$2:$D$1000="Agences")+('Agences &amp; Après-vente'!$D$2:$D$1000="Agences et Après-vente"))*'Agences &amp; Après-vente'!$E$2:$E$1000))&gt;0,TEXT(SUMPRODUCT(MAX(('Agences &amp; Après-vente'!$A$2:$A$1000=$A771)*(('Agences &amp; Après-vente'!$D$2:$D$1000="Agences")+('Agences &amp; Après-vente'!$D$2:$D$1000="Agences et Après-vente"))*'Agences &amp; Après-vente'!$E$2:$E$1000)),"yyyy-mm-dd"),"")))))</f>
        <v/>
      </c>
      <c r="H771" s="131" t="str">
        <f aca="false">IF($R771="✓","✓",IF(ISNUMBER($R771),TEXT($R771,"yyyy-mm-dd"),IF($A771="","",IF($D771="Lisbonne","",IF(SUMPRODUCT(('Agences &amp; Après-vente'!$A$2:$A$1000=$A771)*(('Agences &amp; Après-vente'!$D$2:$D$1000="Agences")+('Agences &amp; Après-vente'!$D$2:$D$1000="Agences et Après-vente"))*('Agences &amp; Après-vente'!$I$2:$I$1000="DONE"))&gt;0,"✓",IF(SUMPRODUCT(MAX(('Agences &amp; Après-vente'!$A$2:$A$1000=$A771)*(('Agences &amp; Après-vente'!$D$2:$D$1000="Agences")+('Agences &amp; Après-vente'!$D$2:$D$1000="Agences et Après-vente"))*'Agences &amp; Après-vente'!$E$2:$E$1000))&gt;0,TEXT(SUMPRODUCT(MAX(('Agences &amp; Après-vente'!$A$2:$A$1000=$A771)*(('Agences &amp; Après-vente'!$D$2:$D$1000="Agences")+('Agences &amp; Après-vente'!$D$2:$D$1000="Agences et Après-vente"))*'Agences &amp; Après-vente'!$E$2:$E$1000)),"yyyy-mm-dd"),""))))))</f>
        <v/>
      </c>
      <c r="I771" s="131" t="str">
        <f aca="false">IF($S771="✓","✓",IF(ISNUMBER($S771),TEXT($S771,"yyyy-mm-dd"),IF($A771="","",IF(SUMPRODUCT(('Agences &amp; Après-vente'!$A$2:$A$1000=$A771)*(('Agences &amp; Après-vente'!$D$2:$D$1000="Après-vente")+('Agences &amp; Après-vente'!$D$2:$D$1000="Agences et Après-vente"))*('Agences &amp; Après-vente'!$I$2:$I$1000="DONE"))&gt;0,"✓",IF(SUMPRODUCT(MAX(('Agences &amp; Après-vente'!$A$2:$A$1000=$A771)*(('Agences &amp; Après-vente'!$D$2:$D$1000="Après-vente")+('Agences &amp; Après-vente'!$D$2:$D$1000="Agences et Après-vente"))*'Agences &amp; Après-vente'!$E$2:$E$1000))&gt;0,TEXT(SUMPRODUCT(MAX(('Agences &amp; Après-vente'!$A$2:$A$1000=$A771)*(('Agences &amp; Après-vente'!$D$2:$D$1000="Après-vente")+('Agences &amp; Après-vente'!$D$2:$D$1000="Agences et Après-vente"))*'Agences &amp; Après-vente'!$E$2:$E$1000)),"yyyy-mm-dd"),"")))))</f>
        <v/>
      </c>
      <c r="J771" s="131" t="str">
        <f aca="false">IF($T771="✓","✓",IF(ISNUMBER($T771),TEXT($T771,"yyyy-mm-dd"),IF($A771="","",IF($D771="Lisbonne","",IF(SUMPRODUCT(('Agences &amp; Après-vente'!$A$2:$A$1000=$A771)*(('Agences &amp; Après-vente'!$D$2:$D$1000="Après-vente")+('Agences &amp; Après-vente'!$D$2:$D$1000="Agences et Après-vente"))*('Agences &amp; Après-vente'!$I$2:$I$1000="DONE"))&gt;0,"✓",IF(SUMPRODUCT(MAX(('Agences &amp; Après-vente'!$A$2:$A$1000=$A771)*(('Agences &amp; Après-vente'!$D$2:$D$1000="Après-vente")+('Agences &amp; Après-vente'!$D$2:$D$1000="Agences et Après-vente"))*'Agences &amp; Après-vente'!$E$2:$E$1000))&gt;0,TEXT(SUMPRODUCT(MAX(('Agences &amp; Après-vente'!$A$2:$A$1000=$A771)*(('Agences &amp; Après-vente'!$D$2:$D$1000="Après-vente")+('Agences &amp; Après-vente'!$D$2:$D$1000="Agences et Après-vente"))*'Agences &amp; Après-vente'!$E$2:$E$1000)),"yyyy-mm-dd"),""))))))</f>
        <v/>
      </c>
      <c r="K771" s="131" t="str">
        <f aca="false">IF($U771="✓","✓",IF(ISNUMBER($U771),TEXT($U771,"yyyy-mm-dd"),IF($D771="Lisbonne","",IF($A771="","",IF(SUMPRODUCT((Evermont!$A$2:$A$1000=$A771)*(Evermont!$Q$2:$Q$1000="Terminé"))&gt;0,"✓",IF(SUMPRODUCT(MAX((Evermont!$A$2:$A$1000=$A771)*Evermont!$F$2:$F$1000))&gt;0,TEXT(SUMPRODUCT(MAX((Evermont!$A$2:$A$1000=$A771)*Evermont!$F$2:$F$1000)),"yyyy-mm-dd"),""))))))</f>
        <v/>
      </c>
      <c r="L771" s="131" t="str">
        <f aca="false">IF($A771="","",COUNTIF(E771:K771,"✓"))</f>
        <v/>
      </c>
      <c r="M771" s="131" t="str">
        <f aca="false">IF(B771="","","Active")</f>
        <v/>
      </c>
      <c r="W771" s="120" t="str">
        <f aca="false">IF($A771="","",IF($X771&lt;&gt;"",$X771,IFERROR(INDEX('Formation Initiale'!$B$2:$B$999,MATCH($A771,'Formation Initiale'!$A$2:$A$999,0)),"Général")))</f>
        <v/>
      </c>
    </row>
    <row r="772" customFormat="false" ht="15" hidden="true" customHeight="true" outlineLevel="0" collapsed="false">
      <c r="A772" s="142" t="str">
        <f aca="false">IF(B772="","","TR"&amp;TEXT(ROW()-1,"000"))</f>
        <v/>
      </c>
      <c r="E772" s="130" t="str">
        <f aca="false">IF($O772="✓","✓",IF(ISNUMBER($O772),TEXT($O772,"yyyy-mm-dd"),IF($A772="","",IF(SUMPRODUCT(('Formation Initiale'!$A$2:$A$999=$A772)*('Formation Initiale'!$R$2:$R$999="Terminé"))&gt;0,"✓",IF(SUMPRODUCT(MAX(('Formation Initiale'!$A$2:$A$999=$A772)*'Formation Initiale'!$G$2:$G$999))&gt;0,TEXT(SUMPRODUCT(MAX(('Formation Initiale'!$A$2:$A$999=$A772)*'Formation Initiale'!$G$2:$G$999)),"yyyy-mm-dd"),"")))))</f>
        <v/>
      </c>
      <c r="F772" s="131" t="str">
        <f aca="false">IF($P772="✓","✓",IF(ISNUMBER($P772),TEXT($P772,"yyyy-mm-dd"),IF($A772="","",IF($D772="Lisbonne","",IF(SUMPRODUCT(('Formation Initiale'!$A$2:$A$999=$A772)*('Formation Initiale'!$R$2:$R$999="Terminé"))&gt;0,"✓",IF(SUMPRODUCT(MAX(('Formation Initiale'!$A$2:$A$999=$A772)*'Formation Initiale'!$G$2:$G$999))&gt;0,TEXT(SUMPRODUCT(MAX(('Formation Initiale'!$A$2:$A$999=$A772)*'Formation Initiale'!$G$2:$G$999)),"yyyy-mm-dd"),""))))))</f>
        <v/>
      </c>
      <c r="G772" s="131" t="str">
        <f aca="false">IF($Q772="✓","✓",IF(ISNUMBER($Q772),TEXT($Q772,"yyyy-mm-dd"),IF($A772="","",IF(SUMPRODUCT(('Agences &amp; Après-vente'!$A$2:$A$1000=$A772)*(('Agences &amp; Après-vente'!$D$2:$D$1000="Agences")+('Agences &amp; Après-vente'!$D$2:$D$1000="Agences et Après-vente"))*('Agences &amp; Après-vente'!$I$2:$I$1000="DONE"))&gt;0,"✓",IF(SUMPRODUCT(MAX(('Agences &amp; Après-vente'!$A$2:$A$1000=$A772)*(('Agences &amp; Après-vente'!$D$2:$D$1000="Agences")+('Agences &amp; Après-vente'!$D$2:$D$1000="Agences et Après-vente"))*'Agences &amp; Après-vente'!$E$2:$E$1000))&gt;0,TEXT(SUMPRODUCT(MAX(('Agences &amp; Après-vente'!$A$2:$A$1000=$A772)*(('Agences &amp; Après-vente'!$D$2:$D$1000="Agences")+('Agences &amp; Après-vente'!$D$2:$D$1000="Agences et Après-vente"))*'Agences &amp; Après-vente'!$E$2:$E$1000)),"yyyy-mm-dd"),"")))))</f>
        <v/>
      </c>
      <c r="H772" s="131" t="str">
        <f aca="false">IF($R772="✓","✓",IF(ISNUMBER($R772),TEXT($R772,"yyyy-mm-dd"),IF($A772="","",IF($D772="Lisbonne","",IF(SUMPRODUCT(('Agences &amp; Après-vente'!$A$2:$A$1000=$A772)*(('Agences &amp; Après-vente'!$D$2:$D$1000="Agences")+('Agences &amp; Après-vente'!$D$2:$D$1000="Agences et Après-vente"))*('Agences &amp; Après-vente'!$I$2:$I$1000="DONE"))&gt;0,"✓",IF(SUMPRODUCT(MAX(('Agences &amp; Après-vente'!$A$2:$A$1000=$A772)*(('Agences &amp; Après-vente'!$D$2:$D$1000="Agences")+('Agences &amp; Après-vente'!$D$2:$D$1000="Agences et Après-vente"))*'Agences &amp; Après-vente'!$E$2:$E$1000))&gt;0,TEXT(SUMPRODUCT(MAX(('Agences &amp; Après-vente'!$A$2:$A$1000=$A772)*(('Agences &amp; Après-vente'!$D$2:$D$1000="Agences")+('Agences &amp; Après-vente'!$D$2:$D$1000="Agences et Après-vente"))*'Agences &amp; Après-vente'!$E$2:$E$1000)),"yyyy-mm-dd"),""))))))</f>
        <v/>
      </c>
      <c r="I772" s="131" t="str">
        <f aca="false">IF($S772="✓","✓",IF(ISNUMBER($S772),TEXT($S772,"yyyy-mm-dd"),IF($A772="","",IF(SUMPRODUCT(('Agences &amp; Après-vente'!$A$2:$A$1000=$A772)*(('Agences &amp; Après-vente'!$D$2:$D$1000="Après-vente")+('Agences &amp; Après-vente'!$D$2:$D$1000="Agences et Après-vente"))*('Agences &amp; Après-vente'!$I$2:$I$1000="DONE"))&gt;0,"✓",IF(SUMPRODUCT(MAX(('Agences &amp; Après-vente'!$A$2:$A$1000=$A772)*(('Agences &amp; Après-vente'!$D$2:$D$1000="Après-vente")+('Agences &amp; Après-vente'!$D$2:$D$1000="Agences et Après-vente"))*'Agences &amp; Après-vente'!$E$2:$E$1000))&gt;0,TEXT(SUMPRODUCT(MAX(('Agences &amp; Après-vente'!$A$2:$A$1000=$A772)*(('Agences &amp; Après-vente'!$D$2:$D$1000="Après-vente")+('Agences &amp; Après-vente'!$D$2:$D$1000="Agences et Après-vente"))*'Agences &amp; Après-vente'!$E$2:$E$1000)),"yyyy-mm-dd"),"")))))</f>
        <v/>
      </c>
      <c r="J772" s="131" t="str">
        <f aca="false">IF($T772="✓","✓",IF(ISNUMBER($T772),TEXT($T772,"yyyy-mm-dd"),IF($A772="","",IF($D772="Lisbonne","",IF(SUMPRODUCT(('Agences &amp; Après-vente'!$A$2:$A$1000=$A772)*(('Agences &amp; Après-vente'!$D$2:$D$1000="Après-vente")+('Agences &amp; Après-vente'!$D$2:$D$1000="Agences et Après-vente"))*('Agences &amp; Après-vente'!$I$2:$I$1000="DONE"))&gt;0,"✓",IF(SUMPRODUCT(MAX(('Agences &amp; Après-vente'!$A$2:$A$1000=$A772)*(('Agences &amp; Après-vente'!$D$2:$D$1000="Après-vente")+('Agences &amp; Après-vente'!$D$2:$D$1000="Agences et Après-vente"))*'Agences &amp; Après-vente'!$E$2:$E$1000))&gt;0,TEXT(SUMPRODUCT(MAX(('Agences &amp; Après-vente'!$A$2:$A$1000=$A772)*(('Agences &amp; Après-vente'!$D$2:$D$1000="Après-vente")+('Agences &amp; Après-vente'!$D$2:$D$1000="Agences et Après-vente"))*'Agences &amp; Après-vente'!$E$2:$E$1000)),"yyyy-mm-dd"),""))))))</f>
        <v/>
      </c>
      <c r="K772" s="131" t="str">
        <f aca="false">IF($U772="✓","✓",IF(ISNUMBER($U772),TEXT($U772,"yyyy-mm-dd"),IF($D772="Lisbonne","",IF($A772="","",IF(SUMPRODUCT((Evermont!$A$2:$A$1000=$A772)*(Evermont!$Q$2:$Q$1000="Terminé"))&gt;0,"✓",IF(SUMPRODUCT(MAX((Evermont!$A$2:$A$1000=$A772)*Evermont!$F$2:$F$1000))&gt;0,TEXT(SUMPRODUCT(MAX((Evermont!$A$2:$A$1000=$A772)*Evermont!$F$2:$F$1000)),"yyyy-mm-dd"),""))))))</f>
        <v/>
      </c>
      <c r="L772" s="131" t="str">
        <f aca="false">IF($A772="","",COUNTIF(E772:K772,"✓"))</f>
        <v/>
      </c>
      <c r="M772" s="131" t="str">
        <f aca="false">IF(B772="","","Active")</f>
        <v/>
      </c>
      <c r="W772" s="120" t="str">
        <f aca="false">IF($A772="","",IF($X772&lt;&gt;"",$X772,IFERROR(INDEX('Formation Initiale'!$B$2:$B$999,MATCH($A772,'Formation Initiale'!$A$2:$A$999,0)),"Général")))</f>
        <v/>
      </c>
    </row>
    <row r="773" customFormat="false" ht="15" hidden="true" customHeight="true" outlineLevel="0" collapsed="false">
      <c r="A773" s="142" t="str">
        <f aca="false">IF(B773="","","TR"&amp;TEXT(ROW()-1,"000"))</f>
        <v/>
      </c>
      <c r="E773" s="130" t="str">
        <f aca="false">IF($O773="✓","✓",IF(ISNUMBER($O773),TEXT($O773,"yyyy-mm-dd"),IF($A773="","",IF(SUMPRODUCT(('Formation Initiale'!$A$2:$A$999=$A773)*('Formation Initiale'!$R$2:$R$999="Terminé"))&gt;0,"✓",IF(SUMPRODUCT(MAX(('Formation Initiale'!$A$2:$A$999=$A773)*'Formation Initiale'!$G$2:$G$999))&gt;0,TEXT(SUMPRODUCT(MAX(('Formation Initiale'!$A$2:$A$999=$A773)*'Formation Initiale'!$G$2:$G$999)),"yyyy-mm-dd"),"")))))</f>
        <v/>
      </c>
      <c r="F773" s="131" t="str">
        <f aca="false">IF($P773="✓","✓",IF(ISNUMBER($P773),TEXT($P773,"yyyy-mm-dd"),IF($A773="","",IF($D773="Lisbonne","",IF(SUMPRODUCT(('Formation Initiale'!$A$2:$A$999=$A773)*('Formation Initiale'!$R$2:$R$999="Terminé"))&gt;0,"✓",IF(SUMPRODUCT(MAX(('Formation Initiale'!$A$2:$A$999=$A773)*'Formation Initiale'!$G$2:$G$999))&gt;0,TEXT(SUMPRODUCT(MAX(('Formation Initiale'!$A$2:$A$999=$A773)*'Formation Initiale'!$G$2:$G$999)),"yyyy-mm-dd"),""))))))</f>
        <v/>
      </c>
      <c r="G773" s="131" t="str">
        <f aca="false">IF($Q773="✓","✓",IF(ISNUMBER($Q773),TEXT($Q773,"yyyy-mm-dd"),IF($A773="","",IF(SUMPRODUCT(('Agences &amp; Après-vente'!$A$2:$A$1000=$A773)*(('Agences &amp; Après-vente'!$D$2:$D$1000="Agences")+('Agences &amp; Après-vente'!$D$2:$D$1000="Agences et Après-vente"))*('Agences &amp; Après-vente'!$I$2:$I$1000="DONE"))&gt;0,"✓",IF(SUMPRODUCT(MAX(('Agences &amp; Après-vente'!$A$2:$A$1000=$A773)*(('Agences &amp; Après-vente'!$D$2:$D$1000="Agences")+('Agences &amp; Après-vente'!$D$2:$D$1000="Agences et Après-vente"))*'Agences &amp; Après-vente'!$E$2:$E$1000))&gt;0,TEXT(SUMPRODUCT(MAX(('Agences &amp; Après-vente'!$A$2:$A$1000=$A773)*(('Agences &amp; Après-vente'!$D$2:$D$1000="Agences")+('Agences &amp; Après-vente'!$D$2:$D$1000="Agences et Après-vente"))*'Agences &amp; Après-vente'!$E$2:$E$1000)),"yyyy-mm-dd"),"")))))</f>
        <v/>
      </c>
      <c r="H773" s="131" t="str">
        <f aca="false">IF($R773="✓","✓",IF(ISNUMBER($R773),TEXT($R773,"yyyy-mm-dd"),IF($A773="","",IF($D773="Lisbonne","",IF(SUMPRODUCT(('Agences &amp; Après-vente'!$A$2:$A$1000=$A773)*(('Agences &amp; Après-vente'!$D$2:$D$1000="Agences")+('Agences &amp; Après-vente'!$D$2:$D$1000="Agences et Après-vente"))*('Agences &amp; Après-vente'!$I$2:$I$1000="DONE"))&gt;0,"✓",IF(SUMPRODUCT(MAX(('Agences &amp; Après-vente'!$A$2:$A$1000=$A773)*(('Agences &amp; Après-vente'!$D$2:$D$1000="Agences")+('Agences &amp; Après-vente'!$D$2:$D$1000="Agences et Après-vente"))*'Agences &amp; Après-vente'!$E$2:$E$1000))&gt;0,TEXT(SUMPRODUCT(MAX(('Agences &amp; Après-vente'!$A$2:$A$1000=$A773)*(('Agences &amp; Après-vente'!$D$2:$D$1000="Agences")+('Agences &amp; Après-vente'!$D$2:$D$1000="Agences et Après-vente"))*'Agences &amp; Après-vente'!$E$2:$E$1000)),"yyyy-mm-dd"),""))))))</f>
        <v/>
      </c>
      <c r="I773" s="131" t="str">
        <f aca="false">IF($S773="✓","✓",IF(ISNUMBER($S773),TEXT($S773,"yyyy-mm-dd"),IF($A773="","",IF(SUMPRODUCT(('Agences &amp; Après-vente'!$A$2:$A$1000=$A773)*(('Agences &amp; Après-vente'!$D$2:$D$1000="Après-vente")+('Agences &amp; Après-vente'!$D$2:$D$1000="Agences et Après-vente"))*('Agences &amp; Après-vente'!$I$2:$I$1000="DONE"))&gt;0,"✓",IF(SUMPRODUCT(MAX(('Agences &amp; Après-vente'!$A$2:$A$1000=$A773)*(('Agences &amp; Après-vente'!$D$2:$D$1000="Après-vente")+('Agences &amp; Après-vente'!$D$2:$D$1000="Agences et Après-vente"))*'Agences &amp; Après-vente'!$E$2:$E$1000))&gt;0,TEXT(SUMPRODUCT(MAX(('Agences &amp; Après-vente'!$A$2:$A$1000=$A773)*(('Agences &amp; Après-vente'!$D$2:$D$1000="Après-vente")+('Agences &amp; Après-vente'!$D$2:$D$1000="Agences et Après-vente"))*'Agences &amp; Après-vente'!$E$2:$E$1000)),"yyyy-mm-dd"),"")))))</f>
        <v/>
      </c>
      <c r="J773" s="131" t="str">
        <f aca="false">IF($T773="✓","✓",IF(ISNUMBER($T773),TEXT($T773,"yyyy-mm-dd"),IF($A773="","",IF($D773="Lisbonne","",IF(SUMPRODUCT(('Agences &amp; Après-vente'!$A$2:$A$1000=$A773)*(('Agences &amp; Après-vente'!$D$2:$D$1000="Après-vente")+('Agences &amp; Après-vente'!$D$2:$D$1000="Agences et Après-vente"))*('Agences &amp; Après-vente'!$I$2:$I$1000="DONE"))&gt;0,"✓",IF(SUMPRODUCT(MAX(('Agences &amp; Après-vente'!$A$2:$A$1000=$A773)*(('Agences &amp; Après-vente'!$D$2:$D$1000="Après-vente")+('Agences &amp; Après-vente'!$D$2:$D$1000="Agences et Après-vente"))*'Agences &amp; Après-vente'!$E$2:$E$1000))&gt;0,TEXT(SUMPRODUCT(MAX(('Agences &amp; Après-vente'!$A$2:$A$1000=$A773)*(('Agences &amp; Après-vente'!$D$2:$D$1000="Après-vente")+('Agences &amp; Après-vente'!$D$2:$D$1000="Agences et Après-vente"))*'Agences &amp; Après-vente'!$E$2:$E$1000)),"yyyy-mm-dd"),""))))))</f>
        <v/>
      </c>
      <c r="K773" s="131" t="str">
        <f aca="false">IF($U773="✓","✓",IF(ISNUMBER($U773),TEXT($U773,"yyyy-mm-dd"),IF($D773="Lisbonne","",IF($A773="","",IF(SUMPRODUCT((Evermont!$A$2:$A$1000=$A773)*(Evermont!$Q$2:$Q$1000="Terminé"))&gt;0,"✓",IF(SUMPRODUCT(MAX((Evermont!$A$2:$A$1000=$A773)*Evermont!$F$2:$F$1000))&gt;0,TEXT(SUMPRODUCT(MAX((Evermont!$A$2:$A$1000=$A773)*Evermont!$F$2:$F$1000)),"yyyy-mm-dd"),""))))))</f>
        <v/>
      </c>
      <c r="L773" s="131" t="str">
        <f aca="false">IF($A773="","",COUNTIF(E773:K773,"✓"))</f>
        <v/>
      </c>
      <c r="M773" s="131" t="str">
        <f aca="false">IF(B773="","","Active")</f>
        <v/>
      </c>
      <c r="W773" s="120" t="str">
        <f aca="false">IF($A773="","",IF($X773&lt;&gt;"",$X773,IFERROR(INDEX('Formation Initiale'!$B$2:$B$999,MATCH($A773,'Formation Initiale'!$A$2:$A$999,0)),"Général")))</f>
        <v/>
      </c>
    </row>
    <row r="774" customFormat="false" ht="15" hidden="true" customHeight="true" outlineLevel="0" collapsed="false">
      <c r="A774" s="142" t="str">
        <f aca="false">IF(B774="","","TR"&amp;TEXT(ROW()-1,"000"))</f>
        <v/>
      </c>
      <c r="E774" s="130" t="str">
        <f aca="false">IF($O774="✓","✓",IF(ISNUMBER($O774),TEXT($O774,"yyyy-mm-dd"),IF($A774="","",IF(SUMPRODUCT(('Formation Initiale'!$A$2:$A$999=$A774)*('Formation Initiale'!$R$2:$R$999="Terminé"))&gt;0,"✓",IF(SUMPRODUCT(MAX(('Formation Initiale'!$A$2:$A$999=$A774)*'Formation Initiale'!$G$2:$G$999))&gt;0,TEXT(SUMPRODUCT(MAX(('Formation Initiale'!$A$2:$A$999=$A774)*'Formation Initiale'!$G$2:$G$999)),"yyyy-mm-dd"),"")))))</f>
        <v/>
      </c>
      <c r="F774" s="131" t="str">
        <f aca="false">IF($P774="✓","✓",IF(ISNUMBER($P774),TEXT($P774,"yyyy-mm-dd"),IF($A774="","",IF($D774="Lisbonne","",IF(SUMPRODUCT(('Formation Initiale'!$A$2:$A$999=$A774)*('Formation Initiale'!$R$2:$R$999="Terminé"))&gt;0,"✓",IF(SUMPRODUCT(MAX(('Formation Initiale'!$A$2:$A$999=$A774)*'Formation Initiale'!$G$2:$G$999))&gt;0,TEXT(SUMPRODUCT(MAX(('Formation Initiale'!$A$2:$A$999=$A774)*'Formation Initiale'!$G$2:$G$999)),"yyyy-mm-dd"),""))))))</f>
        <v/>
      </c>
      <c r="G774" s="131" t="str">
        <f aca="false">IF($Q774="✓","✓",IF(ISNUMBER($Q774),TEXT($Q774,"yyyy-mm-dd"),IF($A774="","",IF(SUMPRODUCT(('Agences &amp; Après-vente'!$A$2:$A$1000=$A774)*(('Agences &amp; Après-vente'!$D$2:$D$1000="Agences")+('Agences &amp; Après-vente'!$D$2:$D$1000="Agences et Après-vente"))*('Agences &amp; Après-vente'!$I$2:$I$1000="DONE"))&gt;0,"✓",IF(SUMPRODUCT(MAX(('Agences &amp; Après-vente'!$A$2:$A$1000=$A774)*(('Agences &amp; Après-vente'!$D$2:$D$1000="Agences")+('Agences &amp; Après-vente'!$D$2:$D$1000="Agences et Après-vente"))*'Agences &amp; Après-vente'!$E$2:$E$1000))&gt;0,TEXT(SUMPRODUCT(MAX(('Agences &amp; Après-vente'!$A$2:$A$1000=$A774)*(('Agences &amp; Après-vente'!$D$2:$D$1000="Agences")+('Agences &amp; Après-vente'!$D$2:$D$1000="Agences et Après-vente"))*'Agences &amp; Après-vente'!$E$2:$E$1000)),"yyyy-mm-dd"),"")))))</f>
        <v/>
      </c>
      <c r="H774" s="131" t="str">
        <f aca="false">IF($R774="✓","✓",IF(ISNUMBER($R774),TEXT($R774,"yyyy-mm-dd"),IF($A774="","",IF($D774="Lisbonne","",IF(SUMPRODUCT(('Agences &amp; Après-vente'!$A$2:$A$1000=$A774)*(('Agences &amp; Après-vente'!$D$2:$D$1000="Agences")+('Agences &amp; Après-vente'!$D$2:$D$1000="Agences et Après-vente"))*('Agences &amp; Après-vente'!$I$2:$I$1000="DONE"))&gt;0,"✓",IF(SUMPRODUCT(MAX(('Agences &amp; Après-vente'!$A$2:$A$1000=$A774)*(('Agences &amp; Après-vente'!$D$2:$D$1000="Agences")+('Agences &amp; Après-vente'!$D$2:$D$1000="Agences et Après-vente"))*'Agences &amp; Après-vente'!$E$2:$E$1000))&gt;0,TEXT(SUMPRODUCT(MAX(('Agences &amp; Après-vente'!$A$2:$A$1000=$A774)*(('Agences &amp; Après-vente'!$D$2:$D$1000="Agences")+('Agences &amp; Après-vente'!$D$2:$D$1000="Agences et Après-vente"))*'Agences &amp; Après-vente'!$E$2:$E$1000)),"yyyy-mm-dd"),""))))))</f>
        <v/>
      </c>
      <c r="I774" s="131" t="str">
        <f aca="false">IF($S774="✓","✓",IF(ISNUMBER($S774),TEXT($S774,"yyyy-mm-dd"),IF($A774="","",IF(SUMPRODUCT(('Agences &amp; Après-vente'!$A$2:$A$1000=$A774)*(('Agences &amp; Après-vente'!$D$2:$D$1000="Après-vente")+('Agences &amp; Après-vente'!$D$2:$D$1000="Agences et Après-vente"))*('Agences &amp; Après-vente'!$I$2:$I$1000="DONE"))&gt;0,"✓",IF(SUMPRODUCT(MAX(('Agences &amp; Après-vente'!$A$2:$A$1000=$A774)*(('Agences &amp; Après-vente'!$D$2:$D$1000="Après-vente")+('Agences &amp; Après-vente'!$D$2:$D$1000="Agences et Après-vente"))*'Agences &amp; Après-vente'!$E$2:$E$1000))&gt;0,TEXT(SUMPRODUCT(MAX(('Agences &amp; Après-vente'!$A$2:$A$1000=$A774)*(('Agences &amp; Après-vente'!$D$2:$D$1000="Après-vente")+('Agences &amp; Après-vente'!$D$2:$D$1000="Agences et Après-vente"))*'Agences &amp; Après-vente'!$E$2:$E$1000)),"yyyy-mm-dd"),"")))))</f>
        <v/>
      </c>
      <c r="J774" s="131" t="str">
        <f aca="false">IF($T774="✓","✓",IF(ISNUMBER($T774),TEXT($T774,"yyyy-mm-dd"),IF($A774="","",IF($D774="Lisbonne","",IF(SUMPRODUCT(('Agences &amp; Après-vente'!$A$2:$A$1000=$A774)*(('Agences &amp; Après-vente'!$D$2:$D$1000="Après-vente")+('Agences &amp; Après-vente'!$D$2:$D$1000="Agences et Après-vente"))*('Agences &amp; Après-vente'!$I$2:$I$1000="DONE"))&gt;0,"✓",IF(SUMPRODUCT(MAX(('Agences &amp; Après-vente'!$A$2:$A$1000=$A774)*(('Agences &amp; Après-vente'!$D$2:$D$1000="Après-vente")+('Agences &amp; Après-vente'!$D$2:$D$1000="Agences et Après-vente"))*'Agences &amp; Après-vente'!$E$2:$E$1000))&gt;0,TEXT(SUMPRODUCT(MAX(('Agences &amp; Après-vente'!$A$2:$A$1000=$A774)*(('Agences &amp; Après-vente'!$D$2:$D$1000="Après-vente")+('Agences &amp; Après-vente'!$D$2:$D$1000="Agences et Après-vente"))*'Agences &amp; Après-vente'!$E$2:$E$1000)),"yyyy-mm-dd"),""))))))</f>
        <v/>
      </c>
      <c r="K774" s="131" t="str">
        <f aca="false">IF($U774="✓","✓",IF(ISNUMBER($U774),TEXT($U774,"yyyy-mm-dd"),IF($D774="Lisbonne","",IF($A774="","",IF(SUMPRODUCT((Evermont!$A$2:$A$1000=$A774)*(Evermont!$Q$2:$Q$1000="Terminé"))&gt;0,"✓",IF(SUMPRODUCT(MAX((Evermont!$A$2:$A$1000=$A774)*Evermont!$F$2:$F$1000))&gt;0,TEXT(SUMPRODUCT(MAX((Evermont!$A$2:$A$1000=$A774)*Evermont!$F$2:$F$1000)),"yyyy-mm-dd"),""))))))</f>
        <v/>
      </c>
      <c r="L774" s="131" t="str">
        <f aca="false">IF($A774="","",COUNTIF(E774:K774,"✓"))</f>
        <v/>
      </c>
      <c r="M774" s="131" t="str">
        <f aca="false">IF(B774="","","Active")</f>
        <v/>
      </c>
      <c r="W774" s="120" t="str">
        <f aca="false">IF($A774="","",IF($X774&lt;&gt;"",$X774,IFERROR(INDEX('Formation Initiale'!$B$2:$B$999,MATCH($A774,'Formation Initiale'!$A$2:$A$999,0)),"Général")))</f>
        <v/>
      </c>
    </row>
    <row r="775" customFormat="false" ht="15" hidden="true" customHeight="true" outlineLevel="0" collapsed="false">
      <c r="A775" s="142" t="str">
        <f aca="false">IF(B775="","","TR"&amp;TEXT(ROW()-1,"000"))</f>
        <v/>
      </c>
      <c r="E775" s="130" t="str">
        <f aca="false">IF($O775="✓","✓",IF(ISNUMBER($O775),TEXT($O775,"yyyy-mm-dd"),IF($A775="","",IF(SUMPRODUCT(('Formation Initiale'!$A$2:$A$999=$A775)*('Formation Initiale'!$R$2:$R$999="Terminé"))&gt;0,"✓",IF(SUMPRODUCT(MAX(('Formation Initiale'!$A$2:$A$999=$A775)*'Formation Initiale'!$G$2:$G$999))&gt;0,TEXT(SUMPRODUCT(MAX(('Formation Initiale'!$A$2:$A$999=$A775)*'Formation Initiale'!$G$2:$G$999)),"yyyy-mm-dd"),"")))))</f>
        <v/>
      </c>
      <c r="F775" s="131" t="str">
        <f aca="false">IF($P775="✓","✓",IF(ISNUMBER($P775),TEXT($P775,"yyyy-mm-dd"),IF($A775="","",IF($D775="Lisbonne","",IF(SUMPRODUCT(('Formation Initiale'!$A$2:$A$999=$A775)*('Formation Initiale'!$R$2:$R$999="Terminé"))&gt;0,"✓",IF(SUMPRODUCT(MAX(('Formation Initiale'!$A$2:$A$999=$A775)*'Formation Initiale'!$G$2:$G$999))&gt;0,TEXT(SUMPRODUCT(MAX(('Formation Initiale'!$A$2:$A$999=$A775)*'Formation Initiale'!$G$2:$G$999)),"yyyy-mm-dd"),""))))))</f>
        <v/>
      </c>
      <c r="G775" s="131" t="str">
        <f aca="false">IF($Q775="✓","✓",IF(ISNUMBER($Q775),TEXT($Q775,"yyyy-mm-dd"),IF($A775="","",IF(SUMPRODUCT(('Agences &amp; Après-vente'!$A$2:$A$1000=$A775)*(('Agences &amp; Après-vente'!$D$2:$D$1000="Agences")+('Agences &amp; Après-vente'!$D$2:$D$1000="Agences et Après-vente"))*('Agences &amp; Après-vente'!$I$2:$I$1000="DONE"))&gt;0,"✓",IF(SUMPRODUCT(MAX(('Agences &amp; Après-vente'!$A$2:$A$1000=$A775)*(('Agences &amp; Après-vente'!$D$2:$D$1000="Agences")+('Agences &amp; Après-vente'!$D$2:$D$1000="Agences et Après-vente"))*'Agences &amp; Après-vente'!$E$2:$E$1000))&gt;0,TEXT(SUMPRODUCT(MAX(('Agences &amp; Après-vente'!$A$2:$A$1000=$A775)*(('Agences &amp; Après-vente'!$D$2:$D$1000="Agences")+('Agences &amp; Après-vente'!$D$2:$D$1000="Agences et Après-vente"))*'Agences &amp; Après-vente'!$E$2:$E$1000)),"yyyy-mm-dd"),"")))))</f>
        <v/>
      </c>
      <c r="H775" s="131" t="str">
        <f aca="false">IF($R775="✓","✓",IF(ISNUMBER($R775),TEXT($R775,"yyyy-mm-dd"),IF($A775="","",IF($D775="Lisbonne","",IF(SUMPRODUCT(('Agences &amp; Après-vente'!$A$2:$A$1000=$A775)*(('Agences &amp; Après-vente'!$D$2:$D$1000="Agences")+('Agences &amp; Après-vente'!$D$2:$D$1000="Agences et Après-vente"))*('Agences &amp; Après-vente'!$I$2:$I$1000="DONE"))&gt;0,"✓",IF(SUMPRODUCT(MAX(('Agences &amp; Après-vente'!$A$2:$A$1000=$A775)*(('Agences &amp; Après-vente'!$D$2:$D$1000="Agences")+('Agences &amp; Après-vente'!$D$2:$D$1000="Agences et Après-vente"))*'Agences &amp; Après-vente'!$E$2:$E$1000))&gt;0,TEXT(SUMPRODUCT(MAX(('Agences &amp; Après-vente'!$A$2:$A$1000=$A775)*(('Agences &amp; Après-vente'!$D$2:$D$1000="Agences")+('Agences &amp; Après-vente'!$D$2:$D$1000="Agences et Après-vente"))*'Agences &amp; Après-vente'!$E$2:$E$1000)),"yyyy-mm-dd"),""))))))</f>
        <v/>
      </c>
      <c r="I775" s="131" t="str">
        <f aca="false">IF($S775="✓","✓",IF(ISNUMBER($S775),TEXT($S775,"yyyy-mm-dd"),IF($A775="","",IF(SUMPRODUCT(('Agences &amp; Après-vente'!$A$2:$A$1000=$A775)*(('Agences &amp; Après-vente'!$D$2:$D$1000="Après-vente")+('Agences &amp; Après-vente'!$D$2:$D$1000="Agences et Après-vente"))*('Agences &amp; Après-vente'!$I$2:$I$1000="DONE"))&gt;0,"✓",IF(SUMPRODUCT(MAX(('Agences &amp; Après-vente'!$A$2:$A$1000=$A775)*(('Agences &amp; Après-vente'!$D$2:$D$1000="Après-vente")+('Agences &amp; Après-vente'!$D$2:$D$1000="Agences et Après-vente"))*'Agences &amp; Après-vente'!$E$2:$E$1000))&gt;0,TEXT(SUMPRODUCT(MAX(('Agences &amp; Après-vente'!$A$2:$A$1000=$A775)*(('Agences &amp; Après-vente'!$D$2:$D$1000="Après-vente")+('Agences &amp; Après-vente'!$D$2:$D$1000="Agences et Après-vente"))*'Agences &amp; Après-vente'!$E$2:$E$1000)),"yyyy-mm-dd"),"")))))</f>
        <v/>
      </c>
      <c r="J775" s="131" t="str">
        <f aca="false">IF($T775="✓","✓",IF(ISNUMBER($T775),TEXT($T775,"yyyy-mm-dd"),IF($A775="","",IF($D775="Lisbonne","",IF(SUMPRODUCT(('Agences &amp; Après-vente'!$A$2:$A$1000=$A775)*(('Agences &amp; Après-vente'!$D$2:$D$1000="Après-vente")+('Agences &amp; Après-vente'!$D$2:$D$1000="Agences et Après-vente"))*('Agences &amp; Après-vente'!$I$2:$I$1000="DONE"))&gt;0,"✓",IF(SUMPRODUCT(MAX(('Agences &amp; Après-vente'!$A$2:$A$1000=$A775)*(('Agences &amp; Après-vente'!$D$2:$D$1000="Après-vente")+('Agences &amp; Après-vente'!$D$2:$D$1000="Agences et Après-vente"))*'Agences &amp; Après-vente'!$E$2:$E$1000))&gt;0,TEXT(SUMPRODUCT(MAX(('Agences &amp; Après-vente'!$A$2:$A$1000=$A775)*(('Agences &amp; Après-vente'!$D$2:$D$1000="Après-vente")+('Agences &amp; Après-vente'!$D$2:$D$1000="Agences et Après-vente"))*'Agences &amp; Après-vente'!$E$2:$E$1000)),"yyyy-mm-dd"),""))))))</f>
        <v/>
      </c>
      <c r="K775" s="131" t="str">
        <f aca="false">IF($U775="✓","✓",IF(ISNUMBER($U775),TEXT($U775,"yyyy-mm-dd"),IF($D775="Lisbonne","",IF($A775="","",IF(SUMPRODUCT((Evermont!$A$2:$A$1000=$A775)*(Evermont!$Q$2:$Q$1000="Terminé"))&gt;0,"✓",IF(SUMPRODUCT(MAX((Evermont!$A$2:$A$1000=$A775)*Evermont!$F$2:$F$1000))&gt;0,TEXT(SUMPRODUCT(MAX((Evermont!$A$2:$A$1000=$A775)*Evermont!$F$2:$F$1000)),"yyyy-mm-dd"),""))))))</f>
        <v/>
      </c>
      <c r="L775" s="131" t="str">
        <f aca="false">IF($A775="","",COUNTIF(E775:K775,"✓"))</f>
        <v/>
      </c>
      <c r="M775" s="131" t="str">
        <f aca="false">IF(B775="","","Active")</f>
        <v/>
      </c>
      <c r="W775" s="120" t="str">
        <f aca="false">IF($A775="","",IF($X775&lt;&gt;"",$X775,IFERROR(INDEX('Formation Initiale'!$B$2:$B$999,MATCH($A775,'Formation Initiale'!$A$2:$A$999,0)),"Général")))</f>
        <v/>
      </c>
    </row>
    <row r="776" customFormat="false" ht="15" hidden="true" customHeight="true" outlineLevel="0" collapsed="false">
      <c r="A776" s="142" t="str">
        <f aca="false">IF(B776="","","TR"&amp;TEXT(ROW()-1,"000"))</f>
        <v/>
      </c>
      <c r="E776" s="130" t="str">
        <f aca="false">IF($O776="✓","✓",IF(ISNUMBER($O776),TEXT($O776,"yyyy-mm-dd"),IF($A776="","",IF(SUMPRODUCT(('Formation Initiale'!$A$2:$A$999=$A776)*('Formation Initiale'!$R$2:$R$999="Terminé"))&gt;0,"✓",IF(SUMPRODUCT(MAX(('Formation Initiale'!$A$2:$A$999=$A776)*'Formation Initiale'!$G$2:$G$999))&gt;0,TEXT(SUMPRODUCT(MAX(('Formation Initiale'!$A$2:$A$999=$A776)*'Formation Initiale'!$G$2:$G$999)),"yyyy-mm-dd"),"")))))</f>
        <v/>
      </c>
      <c r="F776" s="131" t="str">
        <f aca="false">IF($P776="✓","✓",IF(ISNUMBER($P776),TEXT($P776,"yyyy-mm-dd"),IF($A776="","",IF($D776="Lisbonne","",IF(SUMPRODUCT(('Formation Initiale'!$A$2:$A$999=$A776)*('Formation Initiale'!$R$2:$R$999="Terminé"))&gt;0,"✓",IF(SUMPRODUCT(MAX(('Formation Initiale'!$A$2:$A$999=$A776)*'Formation Initiale'!$G$2:$G$999))&gt;0,TEXT(SUMPRODUCT(MAX(('Formation Initiale'!$A$2:$A$999=$A776)*'Formation Initiale'!$G$2:$G$999)),"yyyy-mm-dd"),""))))))</f>
        <v/>
      </c>
      <c r="G776" s="131" t="str">
        <f aca="false">IF($Q776="✓","✓",IF(ISNUMBER($Q776),TEXT($Q776,"yyyy-mm-dd"),IF($A776="","",IF(SUMPRODUCT(('Agences &amp; Après-vente'!$A$2:$A$1000=$A776)*(('Agences &amp; Après-vente'!$D$2:$D$1000="Agences")+('Agences &amp; Après-vente'!$D$2:$D$1000="Agences et Après-vente"))*('Agences &amp; Après-vente'!$I$2:$I$1000="DONE"))&gt;0,"✓",IF(SUMPRODUCT(MAX(('Agences &amp; Après-vente'!$A$2:$A$1000=$A776)*(('Agences &amp; Après-vente'!$D$2:$D$1000="Agences")+('Agences &amp; Après-vente'!$D$2:$D$1000="Agences et Après-vente"))*'Agences &amp; Après-vente'!$E$2:$E$1000))&gt;0,TEXT(SUMPRODUCT(MAX(('Agences &amp; Après-vente'!$A$2:$A$1000=$A776)*(('Agences &amp; Après-vente'!$D$2:$D$1000="Agences")+('Agences &amp; Après-vente'!$D$2:$D$1000="Agences et Après-vente"))*'Agences &amp; Après-vente'!$E$2:$E$1000)),"yyyy-mm-dd"),"")))))</f>
        <v/>
      </c>
      <c r="H776" s="131" t="str">
        <f aca="false">IF($R776="✓","✓",IF(ISNUMBER($R776),TEXT($R776,"yyyy-mm-dd"),IF($A776="","",IF($D776="Lisbonne","",IF(SUMPRODUCT(('Agences &amp; Après-vente'!$A$2:$A$1000=$A776)*(('Agences &amp; Après-vente'!$D$2:$D$1000="Agences")+('Agences &amp; Après-vente'!$D$2:$D$1000="Agences et Après-vente"))*('Agences &amp; Après-vente'!$I$2:$I$1000="DONE"))&gt;0,"✓",IF(SUMPRODUCT(MAX(('Agences &amp; Après-vente'!$A$2:$A$1000=$A776)*(('Agences &amp; Après-vente'!$D$2:$D$1000="Agences")+('Agences &amp; Après-vente'!$D$2:$D$1000="Agences et Après-vente"))*'Agences &amp; Après-vente'!$E$2:$E$1000))&gt;0,TEXT(SUMPRODUCT(MAX(('Agences &amp; Après-vente'!$A$2:$A$1000=$A776)*(('Agences &amp; Après-vente'!$D$2:$D$1000="Agences")+('Agences &amp; Après-vente'!$D$2:$D$1000="Agences et Après-vente"))*'Agences &amp; Après-vente'!$E$2:$E$1000)),"yyyy-mm-dd"),""))))))</f>
        <v/>
      </c>
      <c r="I776" s="131" t="str">
        <f aca="false">IF($S776="✓","✓",IF(ISNUMBER($S776),TEXT($S776,"yyyy-mm-dd"),IF($A776="","",IF(SUMPRODUCT(('Agences &amp; Après-vente'!$A$2:$A$1000=$A776)*(('Agences &amp; Après-vente'!$D$2:$D$1000="Après-vente")+('Agences &amp; Après-vente'!$D$2:$D$1000="Agences et Après-vente"))*('Agences &amp; Après-vente'!$I$2:$I$1000="DONE"))&gt;0,"✓",IF(SUMPRODUCT(MAX(('Agences &amp; Après-vente'!$A$2:$A$1000=$A776)*(('Agences &amp; Après-vente'!$D$2:$D$1000="Après-vente")+('Agences &amp; Après-vente'!$D$2:$D$1000="Agences et Après-vente"))*'Agences &amp; Après-vente'!$E$2:$E$1000))&gt;0,TEXT(SUMPRODUCT(MAX(('Agences &amp; Après-vente'!$A$2:$A$1000=$A776)*(('Agences &amp; Après-vente'!$D$2:$D$1000="Après-vente")+('Agences &amp; Après-vente'!$D$2:$D$1000="Agences et Après-vente"))*'Agences &amp; Après-vente'!$E$2:$E$1000)),"yyyy-mm-dd"),"")))))</f>
        <v/>
      </c>
      <c r="J776" s="131" t="str">
        <f aca="false">IF($T776="✓","✓",IF(ISNUMBER($T776),TEXT($T776,"yyyy-mm-dd"),IF($A776="","",IF($D776="Lisbonne","",IF(SUMPRODUCT(('Agences &amp; Après-vente'!$A$2:$A$1000=$A776)*(('Agences &amp; Après-vente'!$D$2:$D$1000="Après-vente")+('Agences &amp; Après-vente'!$D$2:$D$1000="Agences et Après-vente"))*('Agences &amp; Après-vente'!$I$2:$I$1000="DONE"))&gt;0,"✓",IF(SUMPRODUCT(MAX(('Agences &amp; Après-vente'!$A$2:$A$1000=$A776)*(('Agences &amp; Après-vente'!$D$2:$D$1000="Après-vente")+('Agences &amp; Après-vente'!$D$2:$D$1000="Agences et Après-vente"))*'Agences &amp; Après-vente'!$E$2:$E$1000))&gt;0,TEXT(SUMPRODUCT(MAX(('Agences &amp; Après-vente'!$A$2:$A$1000=$A776)*(('Agences &amp; Après-vente'!$D$2:$D$1000="Après-vente")+('Agences &amp; Après-vente'!$D$2:$D$1000="Agences et Après-vente"))*'Agences &amp; Après-vente'!$E$2:$E$1000)),"yyyy-mm-dd"),""))))))</f>
        <v/>
      </c>
      <c r="K776" s="131" t="str">
        <f aca="false">IF($U776="✓","✓",IF(ISNUMBER($U776),TEXT($U776,"yyyy-mm-dd"),IF($D776="Lisbonne","",IF($A776="","",IF(SUMPRODUCT((Evermont!$A$2:$A$1000=$A776)*(Evermont!$Q$2:$Q$1000="Terminé"))&gt;0,"✓",IF(SUMPRODUCT(MAX((Evermont!$A$2:$A$1000=$A776)*Evermont!$F$2:$F$1000))&gt;0,TEXT(SUMPRODUCT(MAX((Evermont!$A$2:$A$1000=$A776)*Evermont!$F$2:$F$1000)),"yyyy-mm-dd"),""))))))</f>
        <v/>
      </c>
      <c r="L776" s="131" t="str">
        <f aca="false">IF($A776="","",COUNTIF(E776:K776,"✓"))</f>
        <v/>
      </c>
      <c r="M776" s="131" t="str">
        <f aca="false">IF(B776="","","Active")</f>
        <v/>
      </c>
      <c r="W776" s="120" t="str">
        <f aca="false">IF($A776="","",IF($X776&lt;&gt;"",$X776,IFERROR(INDEX('Formation Initiale'!$B$2:$B$999,MATCH($A776,'Formation Initiale'!$A$2:$A$999,0)),"Général")))</f>
        <v/>
      </c>
    </row>
    <row r="777" customFormat="false" ht="15" hidden="true" customHeight="true" outlineLevel="0" collapsed="false">
      <c r="A777" s="142" t="str">
        <f aca="false">IF(B777="","","TR"&amp;TEXT(ROW()-1,"000"))</f>
        <v/>
      </c>
      <c r="E777" s="130" t="str">
        <f aca="false">IF($O777="✓","✓",IF(ISNUMBER($O777),TEXT($O777,"yyyy-mm-dd"),IF($A777="","",IF(SUMPRODUCT(('Formation Initiale'!$A$2:$A$999=$A777)*('Formation Initiale'!$R$2:$R$999="Terminé"))&gt;0,"✓",IF(SUMPRODUCT(MAX(('Formation Initiale'!$A$2:$A$999=$A777)*'Formation Initiale'!$G$2:$G$999))&gt;0,TEXT(SUMPRODUCT(MAX(('Formation Initiale'!$A$2:$A$999=$A777)*'Formation Initiale'!$G$2:$G$999)),"yyyy-mm-dd"),"")))))</f>
        <v/>
      </c>
      <c r="F777" s="131" t="str">
        <f aca="false">IF($P777="✓","✓",IF(ISNUMBER($P777),TEXT($P777,"yyyy-mm-dd"),IF($A777="","",IF($D777="Lisbonne","",IF(SUMPRODUCT(('Formation Initiale'!$A$2:$A$999=$A777)*('Formation Initiale'!$R$2:$R$999="Terminé"))&gt;0,"✓",IF(SUMPRODUCT(MAX(('Formation Initiale'!$A$2:$A$999=$A777)*'Formation Initiale'!$G$2:$G$999))&gt;0,TEXT(SUMPRODUCT(MAX(('Formation Initiale'!$A$2:$A$999=$A777)*'Formation Initiale'!$G$2:$G$999)),"yyyy-mm-dd"),""))))))</f>
        <v/>
      </c>
      <c r="G777" s="131" t="str">
        <f aca="false">IF($Q777="✓","✓",IF(ISNUMBER($Q777),TEXT($Q777,"yyyy-mm-dd"),IF($A777="","",IF(SUMPRODUCT(('Agences &amp; Après-vente'!$A$2:$A$1000=$A777)*(('Agences &amp; Après-vente'!$D$2:$D$1000="Agences")+('Agences &amp; Après-vente'!$D$2:$D$1000="Agences et Après-vente"))*('Agences &amp; Après-vente'!$I$2:$I$1000="DONE"))&gt;0,"✓",IF(SUMPRODUCT(MAX(('Agences &amp; Après-vente'!$A$2:$A$1000=$A777)*(('Agences &amp; Après-vente'!$D$2:$D$1000="Agences")+('Agences &amp; Après-vente'!$D$2:$D$1000="Agences et Après-vente"))*'Agences &amp; Après-vente'!$E$2:$E$1000))&gt;0,TEXT(SUMPRODUCT(MAX(('Agences &amp; Après-vente'!$A$2:$A$1000=$A777)*(('Agences &amp; Après-vente'!$D$2:$D$1000="Agences")+('Agences &amp; Après-vente'!$D$2:$D$1000="Agences et Après-vente"))*'Agences &amp; Après-vente'!$E$2:$E$1000)),"yyyy-mm-dd"),"")))))</f>
        <v/>
      </c>
      <c r="H777" s="131" t="str">
        <f aca="false">IF($R777="✓","✓",IF(ISNUMBER($R777),TEXT($R777,"yyyy-mm-dd"),IF($A777="","",IF($D777="Lisbonne","",IF(SUMPRODUCT(('Agences &amp; Après-vente'!$A$2:$A$1000=$A777)*(('Agences &amp; Après-vente'!$D$2:$D$1000="Agences")+('Agences &amp; Après-vente'!$D$2:$D$1000="Agences et Après-vente"))*('Agences &amp; Après-vente'!$I$2:$I$1000="DONE"))&gt;0,"✓",IF(SUMPRODUCT(MAX(('Agences &amp; Après-vente'!$A$2:$A$1000=$A777)*(('Agences &amp; Après-vente'!$D$2:$D$1000="Agences")+('Agences &amp; Après-vente'!$D$2:$D$1000="Agences et Après-vente"))*'Agences &amp; Après-vente'!$E$2:$E$1000))&gt;0,TEXT(SUMPRODUCT(MAX(('Agences &amp; Après-vente'!$A$2:$A$1000=$A777)*(('Agences &amp; Après-vente'!$D$2:$D$1000="Agences")+('Agences &amp; Après-vente'!$D$2:$D$1000="Agences et Après-vente"))*'Agences &amp; Après-vente'!$E$2:$E$1000)),"yyyy-mm-dd"),""))))))</f>
        <v/>
      </c>
      <c r="I777" s="131" t="str">
        <f aca="false">IF($S777="✓","✓",IF(ISNUMBER($S777),TEXT($S777,"yyyy-mm-dd"),IF($A777="","",IF(SUMPRODUCT(('Agences &amp; Après-vente'!$A$2:$A$1000=$A777)*(('Agences &amp; Après-vente'!$D$2:$D$1000="Après-vente")+('Agences &amp; Après-vente'!$D$2:$D$1000="Agences et Après-vente"))*('Agences &amp; Après-vente'!$I$2:$I$1000="DONE"))&gt;0,"✓",IF(SUMPRODUCT(MAX(('Agences &amp; Après-vente'!$A$2:$A$1000=$A777)*(('Agences &amp; Après-vente'!$D$2:$D$1000="Après-vente")+('Agences &amp; Après-vente'!$D$2:$D$1000="Agences et Après-vente"))*'Agences &amp; Après-vente'!$E$2:$E$1000))&gt;0,TEXT(SUMPRODUCT(MAX(('Agences &amp; Après-vente'!$A$2:$A$1000=$A777)*(('Agences &amp; Après-vente'!$D$2:$D$1000="Après-vente")+('Agences &amp; Après-vente'!$D$2:$D$1000="Agences et Après-vente"))*'Agences &amp; Après-vente'!$E$2:$E$1000)),"yyyy-mm-dd"),"")))))</f>
        <v/>
      </c>
      <c r="J777" s="131" t="str">
        <f aca="false">IF($T777="✓","✓",IF(ISNUMBER($T777),TEXT($T777,"yyyy-mm-dd"),IF($A777="","",IF($D777="Lisbonne","",IF(SUMPRODUCT(('Agences &amp; Après-vente'!$A$2:$A$1000=$A777)*(('Agences &amp; Après-vente'!$D$2:$D$1000="Après-vente")+('Agences &amp; Après-vente'!$D$2:$D$1000="Agences et Après-vente"))*('Agences &amp; Après-vente'!$I$2:$I$1000="DONE"))&gt;0,"✓",IF(SUMPRODUCT(MAX(('Agences &amp; Après-vente'!$A$2:$A$1000=$A777)*(('Agences &amp; Après-vente'!$D$2:$D$1000="Après-vente")+('Agences &amp; Après-vente'!$D$2:$D$1000="Agences et Après-vente"))*'Agences &amp; Après-vente'!$E$2:$E$1000))&gt;0,TEXT(SUMPRODUCT(MAX(('Agences &amp; Après-vente'!$A$2:$A$1000=$A777)*(('Agences &amp; Après-vente'!$D$2:$D$1000="Après-vente")+('Agences &amp; Après-vente'!$D$2:$D$1000="Agences et Après-vente"))*'Agences &amp; Après-vente'!$E$2:$E$1000)),"yyyy-mm-dd"),""))))))</f>
        <v/>
      </c>
      <c r="K777" s="131" t="str">
        <f aca="false">IF($U777="✓","✓",IF(ISNUMBER($U777),TEXT($U777,"yyyy-mm-dd"),IF($D777="Lisbonne","",IF($A777="","",IF(SUMPRODUCT((Evermont!$A$2:$A$1000=$A777)*(Evermont!$Q$2:$Q$1000="Terminé"))&gt;0,"✓",IF(SUMPRODUCT(MAX((Evermont!$A$2:$A$1000=$A777)*Evermont!$F$2:$F$1000))&gt;0,TEXT(SUMPRODUCT(MAX((Evermont!$A$2:$A$1000=$A777)*Evermont!$F$2:$F$1000)),"yyyy-mm-dd"),""))))))</f>
        <v/>
      </c>
      <c r="L777" s="131" t="str">
        <f aca="false">IF($A777="","",COUNTIF(E777:K777,"✓"))</f>
        <v/>
      </c>
      <c r="M777" s="131" t="str">
        <f aca="false">IF(B777="","","Active")</f>
        <v/>
      </c>
      <c r="W777" s="120" t="str">
        <f aca="false">IF($A777="","",IF($X777&lt;&gt;"",$X777,IFERROR(INDEX('Formation Initiale'!$B$2:$B$999,MATCH($A777,'Formation Initiale'!$A$2:$A$999,0)),"Général")))</f>
        <v/>
      </c>
    </row>
    <row r="778" customFormat="false" ht="15" hidden="true" customHeight="true" outlineLevel="0" collapsed="false">
      <c r="A778" s="142" t="str">
        <f aca="false">IF(B778="","","TR"&amp;TEXT(ROW()-1,"000"))</f>
        <v/>
      </c>
      <c r="E778" s="130" t="str">
        <f aca="false">IF($O778="✓","✓",IF(ISNUMBER($O778),TEXT($O778,"yyyy-mm-dd"),IF($A778="","",IF(SUMPRODUCT(('Formation Initiale'!$A$2:$A$999=$A778)*('Formation Initiale'!$R$2:$R$999="Terminé"))&gt;0,"✓",IF(SUMPRODUCT(MAX(('Formation Initiale'!$A$2:$A$999=$A778)*'Formation Initiale'!$G$2:$G$999))&gt;0,TEXT(SUMPRODUCT(MAX(('Formation Initiale'!$A$2:$A$999=$A778)*'Formation Initiale'!$G$2:$G$999)),"yyyy-mm-dd"),"")))))</f>
        <v/>
      </c>
      <c r="F778" s="131" t="str">
        <f aca="false">IF($P778="✓","✓",IF(ISNUMBER($P778),TEXT($P778,"yyyy-mm-dd"),IF($A778="","",IF($D778="Lisbonne","",IF(SUMPRODUCT(('Formation Initiale'!$A$2:$A$999=$A778)*('Formation Initiale'!$R$2:$R$999="Terminé"))&gt;0,"✓",IF(SUMPRODUCT(MAX(('Formation Initiale'!$A$2:$A$999=$A778)*'Formation Initiale'!$G$2:$G$999))&gt;0,TEXT(SUMPRODUCT(MAX(('Formation Initiale'!$A$2:$A$999=$A778)*'Formation Initiale'!$G$2:$G$999)),"yyyy-mm-dd"),""))))))</f>
        <v/>
      </c>
      <c r="G778" s="131" t="str">
        <f aca="false">IF($Q778="✓","✓",IF(ISNUMBER($Q778),TEXT($Q778,"yyyy-mm-dd"),IF($A778="","",IF(SUMPRODUCT(('Agences &amp; Après-vente'!$A$2:$A$1000=$A778)*(('Agences &amp; Après-vente'!$D$2:$D$1000="Agences")+('Agences &amp; Après-vente'!$D$2:$D$1000="Agences et Après-vente"))*('Agences &amp; Après-vente'!$I$2:$I$1000="DONE"))&gt;0,"✓",IF(SUMPRODUCT(MAX(('Agences &amp; Après-vente'!$A$2:$A$1000=$A778)*(('Agences &amp; Après-vente'!$D$2:$D$1000="Agences")+('Agences &amp; Après-vente'!$D$2:$D$1000="Agences et Après-vente"))*'Agences &amp; Après-vente'!$E$2:$E$1000))&gt;0,TEXT(SUMPRODUCT(MAX(('Agences &amp; Après-vente'!$A$2:$A$1000=$A778)*(('Agences &amp; Après-vente'!$D$2:$D$1000="Agences")+('Agences &amp; Après-vente'!$D$2:$D$1000="Agences et Après-vente"))*'Agences &amp; Après-vente'!$E$2:$E$1000)),"yyyy-mm-dd"),"")))))</f>
        <v/>
      </c>
      <c r="H778" s="131" t="str">
        <f aca="false">IF($R778="✓","✓",IF(ISNUMBER($R778),TEXT($R778,"yyyy-mm-dd"),IF($A778="","",IF($D778="Lisbonne","",IF(SUMPRODUCT(('Agences &amp; Après-vente'!$A$2:$A$1000=$A778)*(('Agences &amp; Après-vente'!$D$2:$D$1000="Agences")+('Agences &amp; Après-vente'!$D$2:$D$1000="Agences et Après-vente"))*('Agences &amp; Après-vente'!$I$2:$I$1000="DONE"))&gt;0,"✓",IF(SUMPRODUCT(MAX(('Agences &amp; Après-vente'!$A$2:$A$1000=$A778)*(('Agences &amp; Après-vente'!$D$2:$D$1000="Agences")+('Agences &amp; Après-vente'!$D$2:$D$1000="Agences et Après-vente"))*'Agences &amp; Après-vente'!$E$2:$E$1000))&gt;0,TEXT(SUMPRODUCT(MAX(('Agences &amp; Après-vente'!$A$2:$A$1000=$A778)*(('Agences &amp; Après-vente'!$D$2:$D$1000="Agences")+('Agences &amp; Après-vente'!$D$2:$D$1000="Agences et Après-vente"))*'Agences &amp; Après-vente'!$E$2:$E$1000)),"yyyy-mm-dd"),""))))))</f>
        <v/>
      </c>
      <c r="I778" s="131" t="str">
        <f aca="false">IF($S778="✓","✓",IF(ISNUMBER($S778),TEXT($S778,"yyyy-mm-dd"),IF($A778="","",IF(SUMPRODUCT(('Agences &amp; Après-vente'!$A$2:$A$1000=$A778)*(('Agences &amp; Après-vente'!$D$2:$D$1000="Après-vente")+('Agences &amp; Après-vente'!$D$2:$D$1000="Agences et Après-vente"))*('Agences &amp; Après-vente'!$I$2:$I$1000="DONE"))&gt;0,"✓",IF(SUMPRODUCT(MAX(('Agences &amp; Après-vente'!$A$2:$A$1000=$A778)*(('Agences &amp; Après-vente'!$D$2:$D$1000="Après-vente")+('Agences &amp; Après-vente'!$D$2:$D$1000="Agences et Après-vente"))*'Agences &amp; Après-vente'!$E$2:$E$1000))&gt;0,TEXT(SUMPRODUCT(MAX(('Agences &amp; Après-vente'!$A$2:$A$1000=$A778)*(('Agences &amp; Après-vente'!$D$2:$D$1000="Après-vente")+('Agences &amp; Après-vente'!$D$2:$D$1000="Agences et Après-vente"))*'Agences &amp; Après-vente'!$E$2:$E$1000)),"yyyy-mm-dd"),"")))))</f>
        <v/>
      </c>
      <c r="J778" s="131" t="str">
        <f aca="false">IF($T778="✓","✓",IF(ISNUMBER($T778),TEXT($T778,"yyyy-mm-dd"),IF($A778="","",IF($D778="Lisbonne","",IF(SUMPRODUCT(('Agences &amp; Après-vente'!$A$2:$A$1000=$A778)*(('Agences &amp; Après-vente'!$D$2:$D$1000="Après-vente")+('Agences &amp; Après-vente'!$D$2:$D$1000="Agences et Après-vente"))*('Agences &amp; Après-vente'!$I$2:$I$1000="DONE"))&gt;0,"✓",IF(SUMPRODUCT(MAX(('Agences &amp; Après-vente'!$A$2:$A$1000=$A778)*(('Agences &amp; Après-vente'!$D$2:$D$1000="Après-vente")+('Agences &amp; Après-vente'!$D$2:$D$1000="Agences et Après-vente"))*'Agences &amp; Après-vente'!$E$2:$E$1000))&gt;0,TEXT(SUMPRODUCT(MAX(('Agences &amp; Après-vente'!$A$2:$A$1000=$A778)*(('Agences &amp; Après-vente'!$D$2:$D$1000="Après-vente")+('Agences &amp; Après-vente'!$D$2:$D$1000="Agences et Après-vente"))*'Agences &amp; Après-vente'!$E$2:$E$1000)),"yyyy-mm-dd"),""))))))</f>
        <v/>
      </c>
      <c r="K778" s="131" t="str">
        <f aca="false">IF($U778="✓","✓",IF(ISNUMBER($U778),TEXT($U778,"yyyy-mm-dd"),IF($D778="Lisbonne","",IF($A778="","",IF(SUMPRODUCT((Evermont!$A$2:$A$1000=$A778)*(Evermont!$Q$2:$Q$1000="Terminé"))&gt;0,"✓",IF(SUMPRODUCT(MAX((Evermont!$A$2:$A$1000=$A778)*Evermont!$F$2:$F$1000))&gt;0,TEXT(SUMPRODUCT(MAX((Evermont!$A$2:$A$1000=$A778)*Evermont!$F$2:$F$1000)),"yyyy-mm-dd"),""))))))</f>
        <v/>
      </c>
      <c r="L778" s="131" t="str">
        <f aca="false">IF($A778="","",COUNTIF(E778:K778,"✓"))</f>
        <v/>
      </c>
      <c r="M778" s="131" t="str">
        <f aca="false">IF(B778="","","Active")</f>
        <v/>
      </c>
      <c r="W778" s="120" t="str">
        <f aca="false">IF($A778="","",IF($X778&lt;&gt;"",$X778,IFERROR(INDEX('Formation Initiale'!$B$2:$B$999,MATCH($A778,'Formation Initiale'!$A$2:$A$999,0)),"Général")))</f>
        <v/>
      </c>
    </row>
    <row r="779" customFormat="false" ht="15" hidden="true" customHeight="true" outlineLevel="0" collapsed="false">
      <c r="A779" s="142" t="str">
        <f aca="false">IF(B779="","","TR"&amp;TEXT(ROW()-1,"000"))</f>
        <v/>
      </c>
      <c r="E779" s="130" t="str">
        <f aca="false">IF($O779="✓","✓",IF(ISNUMBER($O779),TEXT($O779,"yyyy-mm-dd"),IF($A779="","",IF(SUMPRODUCT(('Formation Initiale'!$A$2:$A$999=$A779)*('Formation Initiale'!$R$2:$R$999="Terminé"))&gt;0,"✓",IF(SUMPRODUCT(MAX(('Formation Initiale'!$A$2:$A$999=$A779)*'Formation Initiale'!$G$2:$G$999))&gt;0,TEXT(SUMPRODUCT(MAX(('Formation Initiale'!$A$2:$A$999=$A779)*'Formation Initiale'!$G$2:$G$999)),"yyyy-mm-dd"),"")))))</f>
        <v/>
      </c>
      <c r="F779" s="131" t="str">
        <f aca="false">IF($P779="✓","✓",IF(ISNUMBER($P779),TEXT($P779,"yyyy-mm-dd"),IF($A779="","",IF($D779="Lisbonne","",IF(SUMPRODUCT(('Formation Initiale'!$A$2:$A$999=$A779)*('Formation Initiale'!$R$2:$R$999="Terminé"))&gt;0,"✓",IF(SUMPRODUCT(MAX(('Formation Initiale'!$A$2:$A$999=$A779)*'Formation Initiale'!$G$2:$G$999))&gt;0,TEXT(SUMPRODUCT(MAX(('Formation Initiale'!$A$2:$A$999=$A779)*'Formation Initiale'!$G$2:$G$999)),"yyyy-mm-dd"),""))))))</f>
        <v/>
      </c>
      <c r="G779" s="131" t="str">
        <f aca="false">IF($Q779="✓","✓",IF(ISNUMBER($Q779),TEXT($Q779,"yyyy-mm-dd"),IF($A779="","",IF(SUMPRODUCT(('Agences &amp; Après-vente'!$A$2:$A$1000=$A779)*(('Agences &amp; Après-vente'!$D$2:$D$1000="Agences")+('Agences &amp; Après-vente'!$D$2:$D$1000="Agences et Après-vente"))*('Agences &amp; Après-vente'!$I$2:$I$1000="DONE"))&gt;0,"✓",IF(SUMPRODUCT(MAX(('Agences &amp; Après-vente'!$A$2:$A$1000=$A779)*(('Agences &amp; Après-vente'!$D$2:$D$1000="Agences")+('Agences &amp; Après-vente'!$D$2:$D$1000="Agences et Après-vente"))*'Agences &amp; Après-vente'!$E$2:$E$1000))&gt;0,TEXT(SUMPRODUCT(MAX(('Agences &amp; Après-vente'!$A$2:$A$1000=$A779)*(('Agences &amp; Après-vente'!$D$2:$D$1000="Agences")+('Agences &amp; Après-vente'!$D$2:$D$1000="Agences et Après-vente"))*'Agences &amp; Après-vente'!$E$2:$E$1000)),"yyyy-mm-dd"),"")))))</f>
        <v/>
      </c>
      <c r="H779" s="131" t="str">
        <f aca="false">IF($R779="✓","✓",IF(ISNUMBER($R779),TEXT($R779,"yyyy-mm-dd"),IF($A779="","",IF($D779="Lisbonne","",IF(SUMPRODUCT(('Agences &amp; Après-vente'!$A$2:$A$1000=$A779)*(('Agences &amp; Après-vente'!$D$2:$D$1000="Agences")+('Agences &amp; Après-vente'!$D$2:$D$1000="Agences et Après-vente"))*('Agences &amp; Après-vente'!$I$2:$I$1000="DONE"))&gt;0,"✓",IF(SUMPRODUCT(MAX(('Agences &amp; Après-vente'!$A$2:$A$1000=$A779)*(('Agences &amp; Après-vente'!$D$2:$D$1000="Agences")+('Agences &amp; Après-vente'!$D$2:$D$1000="Agences et Après-vente"))*'Agences &amp; Après-vente'!$E$2:$E$1000))&gt;0,TEXT(SUMPRODUCT(MAX(('Agences &amp; Après-vente'!$A$2:$A$1000=$A779)*(('Agences &amp; Après-vente'!$D$2:$D$1000="Agences")+('Agences &amp; Après-vente'!$D$2:$D$1000="Agences et Après-vente"))*'Agences &amp; Après-vente'!$E$2:$E$1000)),"yyyy-mm-dd"),""))))))</f>
        <v/>
      </c>
      <c r="I779" s="131" t="str">
        <f aca="false">IF($S779="✓","✓",IF(ISNUMBER($S779),TEXT($S779,"yyyy-mm-dd"),IF($A779="","",IF(SUMPRODUCT(('Agences &amp; Après-vente'!$A$2:$A$1000=$A779)*(('Agences &amp; Après-vente'!$D$2:$D$1000="Après-vente")+('Agences &amp; Après-vente'!$D$2:$D$1000="Agences et Après-vente"))*('Agences &amp; Après-vente'!$I$2:$I$1000="DONE"))&gt;0,"✓",IF(SUMPRODUCT(MAX(('Agences &amp; Après-vente'!$A$2:$A$1000=$A779)*(('Agences &amp; Après-vente'!$D$2:$D$1000="Après-vente")+('Agences &amp; Après-vente'!$D$2:$D$1000="Agences et Après-vente"))*'Agences &amp; Après-vente'!$E$2:$E$1000))&gt;0,TEXT(SUMPRODUCT(MAX(('Agences &amp; Après-vente'!$A$2:$A$1000=$A779)*(('Agences &amp; Après-vente'!$D$2:$D$1000="Après-vente")+('Agences &amp; Après-vente'!$D$2:$D$1000="Agences et Après-vente"))*'Agences &amp; Après-vente'!$E$2:$E$1000)),"yyyy-mm-dd"),"")))))</f>
        <v/>
      </c>
      <c r="J779" s="131" t="str">
        <f aca="false">IF($T779="✓","✓",IF(ISNUMBER($T779),TEXT($T779,"yyyy-mm-dd"),IF($A779="","",IF($D779="Lisbonne","",IF(SUMPRODUCT(('Agences &amp; Après-vente'!$A$2:$A$1000=$A779)*(('Agences &amp; Après-vente'!$D$2:$D$1000="Après-vente")+('Agences &amp; Après-vente'!$D$2:$D$1000="Agences et Après-vente"))*('Agences &amp; Après-vente'!$I$2:$I$1000="DONE"))&gt;0,"✓",IF(SUMPRODUCT(MAX(('Agences &amp; Après-vente'!$A$2:$A$1000=$A779)*(('Agences &amp; Après-vente'!$D$2:$D$1000="Après-vente")+('Agences &amp; Après-vente'!$D$2:$D$1000="Agences et Après-vente"))*'Agences &amp; Après-vente'!$E$2:$E$1000))&gt;0,TEXT(SUMPRODUCT(MAX(('Agences &amp; Après-vente'!$A$2:$A$1000=$A779)*(('Agences &amp; Après-vente'!$D$2:$D$1000="Après-vente")+('Agences &amp; Après-vente'!$D$2:$D$1000="Agences et Après-vente"))*'Agences &amp; Après-vente'!$E$2:$E$1000)),"yyyy-mm-dd"),""))))))</f>
        <v/>
      </c>
      <c r="K779" s="131" t="str">
        <f aca="false">IF($U779="✓","✓",IF(ISNUMBER($U779),TEXT($U779,"yyyy-mm-dd"),IF($D779="Lisbonne","",IF($A779="","",IF(SUMPRODUCT((Evermont!$A$2:$A$1000=$A779)*(Evermont!$Q$2:$Q$1000="Terminé"))&gt;0,"✓",IF(SUMPRODUCT(MAX((Evermont!$A$2:$A$1000=$A779)*Evermont!$F$2:$F$1000))&gt;0,TEXT(SUMPRODUCT(MAX((Evermont!$A$2:$A$1000=$A779)*Evermont!$F$2:$F$1000)),"yyyy-mm-dd"),""))))))</f>
        <v/>
      </c>
      <c r="L779" s="131" t="str">
        <f aca="false">IF($A779="","",COUNTIF(E779:K779,"✓"))</f>
        <v/>
      </c>
      <c r="M779" s="131" t="str">
        <f aca="false">IF(B779="","","Active")</f>
        <v/>
      </c>
      <c r="W779" s="120" t="str">
        <f aca="false">IF($A779="","",IF($X779&lt;&gt;"",$X779,IFERROR(INDEX('Formation Initiale'!$B$2:$B$999,MATCH($A779,'Formation Initiale'!$A$2:$A$999,0)),"Général")))</f>
        <v/>
      </c>
    </row>
    <row r="780" customFormat="false" ht="15" hidden="true" customHeight="true" outlineLevel="0" collapsed="false">
      <c r="A780" s="142" t="str">
        <f aca="false">IF(B780="","","TR"&amp;TEXT(ROW()-1,"000"))</f>
        <v/>
      </c>
      <c r="E780" s="130" t="str">
        <f aca="false">IF($O780="✓","✓",IF(ISNUMBER($O780),TEXT($O780,"yyyy-mm-dd"),IF($A780="","",IF(SUMPRODUCT(('Formation Initiale'!$A$2:$A$999=$A780)*('Formation Initiale'!$R$2:$R$999="Terminé"))&gt;0,"✓",IF(SUMPRODUCT(MAX(('Formation Initiale'!$A$2:$A$999=$A780)*'Formation Initiale'!$G$2:$G$999))&gt;0,TEXT(SUMPRODUCT(MAX(('Formation Initiale'!$A$2:$A$999=$A780)*'Formation Initiale'!$G$2:$G$999)),"yyyy-mm-dd"),"")))))</f>
        <v/>
      </c>
      <c r="F780" s="131" t="str">
        <f aca="false">IF($P780="✓","✓",IF(ISNUMBER($P780),TEXT($P780,"yyyy-mm-dd"),IF($A780="","",IF($D780="Lisbonne","",IF(SUMPRODUCT(('Formation Initiale'!$A$2:$A$999=$A780)*('Formation Initiale'!$R$2:$R$999="Terminé"))&gt;0,"✓",IF(SUMPRODUCT(MAX(('Formation Initiale'!$A$2:$A$999=$A780)*'Formation Initiale'!$G$2:$G$999))&gt;0,TEXT(SUMPRODUCT(MAX(('Formation Initiale'!$A$2:$A$999=$A780)*'Formation Initiale'!$G$2:$G$999)),"yyyy-mm-dd"),""))))))</f>
        <v/>
      </c>
      <c r="G780" s="131" t="str">
        <f aca="false">IF($Q780="✓","✓",IF(ISNUMBER($Q780),TEXT($Q780,"yyyy-mm-dd"),IF($A780="","",IF(SUMPRODUCT(('Agences &amp; Après-vente'!$A$2:$A$1000=$A780)*(('Agences &amp; Après-vente'!$D$2:$D$1000="Agences")+('Agences &amp; Après-vente'!$D$2:$D$1000="Agences et Après-vente"))*('Agences &amp; Après-vente'!$I$2:$I$1000="DONE"))&gt;0,"✓",IF(SUMPRODUCT(MAX(('Agences &amp; Après-vente'!$A$2:$A$1000=$A780)*(('Agences &amp; Après-vente'!$D$2:$D$1000="Agences")+('Agences &amp; Après-vente'!$D$2:$D$1000="Agences et Après-vente"))*'Agences &amp; Après-vente'!$E$2:$E$1000))&gt;0,TEXT(SUMPRODUCT(MAX(('Agences &amp; Après-vente'!$A$2:$A$1000=$A780)*(('Agences &amp; Après-vente'!$D$2:$D$1000="Agences")+('Agences &amp; Après-vente'!$D$2:$D$1000="Agences et Après-vente"))*'Agences &amp; Après-vente'!$E$2:$E$1000)),"yyyy-mm-dd"),"")))))</f>
        <v/>
      </c>
      <c r="H780" s="131" t="str">
        <f aca="false">IF($R780="✓","✓",IF(ISNUMBER($R780),TEXT($R780,"yyyy-mm-dd"),IF($A780="","",IF($D780="Lisbonne","",IF(SUMPRODUCT(('Agences &amp; Après-vente'!$A$2:$A$1000=$A780)*(('Agences &amp; Après-vente'!$D$2:$D$1000="Agences")+('Agences &amp; Après-vente'!$D$2:$D$1000="Agences et Après-vente"))*('Agences &amp; Après-vente'!$I$2:$I$1000="DONE"))&gt;0,"✓",IF(SUMPRODUCT(MAX(('Agences &amp; Après-vente'!$A$2:$A$1000=$A780)*(('Agences &amp; Après-vente'!$D$2:$D$1000="Agences")+('Agences &amp; Après-vente'!$D$2:$D$1000="Agences et Après-vente"))*'Agences &amp; Après-vente'!$E$2:$E$1000))&gt;0,TEXT(SUMPRODUCT(MAX(('Agences &amp; Après-vente'!$A$2:$A$1000=$A780)*(('Agences &amp; Après-vente'!$D$2:$D$1000="Agences")+('Agences &amp; Après-vente'!$D$2:$D$1000="Agences et Après-vente"))*'Agences &amp; Après-vente'!$E$2:$E$1000)),"yyyy-mm-dd"),""))))))</f>
        <v/>
      </c>
      <c r="I780" s="131" t="str">
        <f aca="false">IF($S780="✓","✓",IF(ISNUMBER($S780),TEXT($S780,"yyyy-mm-dd"),IF($A780="","",IF(SUMPRODUCT(('Agences &amp; Après-vente'!$A$2:$A$1000=$A780)*(('Agences &amp; Après-vente'!$D$2:$D$1000="Après-vente")+('Agences &amp; Après-vente'!$D$2:$D$1000="Agences et Après-vente"))*('Agences &amp; Après-vente'!$I$2:$I$1000="DONE"))&gt;0,"✓",IF(SUMPRODUCT(MAX(('Agences &amp; Après-vente'!$A$2:$A$1000=$A780)*(('Agences &amp; Après-vente'!$D$2:$D$1000="Après-vente")+('Agences &amp; Après-vente'!$D$2:$D$1000="Agences et Après-vente"))*'Agences &amp; Après-vente'!$E$2:$E$1000))&gt;0,TEXT(SUMPRODUCT(MAX(('Agences &amp; Après-vente'!$A$2:$A$1000=$A780)*(('Agences &amp; Après-vente'!$D$2:$D$1000="Après-vente")+('Agences &amp; Après-vente'!$D$2:$D$1000="Agences et Après-vente"))*'Agences &amp; Après-vente'!$E$2:$E$1000)),"yyyy-mm-dd"),"")))))</f>
        <v/>
      </c>
      <c r="J780" s="131" t="str">
        <f aca="false">IF($T780="✓","✓",IF(ISNUMBER($T780),TEXT($T780,"yyyy-mm-dd"),IF($A780="","",IF($D780="Lisbonne","",IF(SUMPRODUCT(('Agences &amp; Après-vente'!$A$2:$A$1000=$A780)*(('Agences &amp; Après-vente'!$D$2:$D$1000="Après-vente")+('Agences &amp; Après-vente'!$D$2:$D$1000="Agences et Après-vente"))*('Agences &amp; Après-vente'!$I$2:$I$1000="DONE"))&gt;0,"✓",IF(SUMPRODUCT(MAX(('Agences &amp; Après-vente'!$A$2:$A$1000=$A780)*(('Agences &amp; Après-vente'!$D$2:$D$1000="Après-vente")+('Agences &amp; Après-vente'!$D$2:$D$1000="Agences et Après-vente"))*'Agences &amp; Après-vente'!$E$2:$E$1000))&gt;0,TEXT(SUMPRODUCT(MAX(('Agences &amp; Après-vente'!$A$2:$A$1000=$A780)*(('Agences &amp; Après-vente'!$D$2:$D$1000="Après-vente")+('Agences &amp; Après-vente'!$D$2:$D$1000="Agences et Après-vente"))*'Agences &amp; Après-vente'!$E$2:$E$1000)),"yyyy-mm-dd"),""))))))</f>
        <v/>
      </c>
      <c r="K780" s="131" t="str">
        <f aca="false">IF($U780="✓","✓",IF(ISNUMBER($U780),TEXT($U780,"yyyy-mm-dd"),IF($D780="Lisbonne","",IF($A780="","",IF(SUMPRODUCT((Evermont!$A$2:$A$1000=$A780)*(Evermont!$Q$2:$Q$1000="Terminé"))&gt;0,"✓",IF(SUMPRODUCT(MAX((Evermont!$A$2:$A$1000=$A780)*Evermont!$F$2:$F$1000))&gt;0,TEXT(SUMPRODUCT(MAX((Evermont!$A$2:$A$1000=$A780)*Evermont!$F$2:$F$1000)),"yyyy-mm-dd"),""))))))</f>
        <v/>
      </c>
      <c r="L780" s="131" t="str">
        <f aca="false">IF($A780="","",COUNTIF(E780:K780,"✓"))</f>
        <v/>
      </c>
      <c r="M780" s="131" t="str">
        <f aca="false">IF(B780="","","Active")</f>
        <v/>
      </c>
      <c r="W780" s="120" t="str">
        <f aca="false">IF($A780="","",IF($X780&lt;&gt;"",$X780,IFERROR(INDEX('Formation Initiale'!$B$2:$B$999,MATCH($A780,'Formation Initiale'!$A$2:$A$999,0)),"Général")))</f>
        <v/>
      </c>
    </row>
    <row r="781" customFormat="false" ht="15" hidden="true" customHeight="true" outlineLevel="0" collapsed="false">
      <c r="A781" s="142" t="str">
        <f aca="false">IF(B781="","","TR"&amp;TEXT(ROW()-1,"000"))</f>
        <v/>
      </c>
      <c r="E781" s="130" t="str">
        <f aca="false">IF($O781="✓","✓",IF(ISNUMBER($O781),TEXT($O781,"yyyy-mm-dd"),IF($A781="","",IF(SUMPRODUCT(('Formation Initiale'!$A$2:$A$999=$A781)*('Formation Initiale'!$R$2:$R$999="Terminé"))&gt;0,"✓",IF(SUMPRODUCT(MAX(('Formation Initiale'!$A$2:$A$999=$A781)*'Formation Initiale'!$G$2:$G$999))&gt;0,TEXT(SUMPRODUCT(MAX(('Formation Initiale'!$A$2:$A$999=$A781)*'Formation Initiale'!$G$2:$G$999)),"yyyy-mm-dd"),"")))))</f>
        <v/>
      </c>
      <c r="F781" s="131" t="str">
        <f aca="false">IF($P781="✓","✓",IF(ISNUMBER($P781),TEXT($P781,"yyyy-mm-dd"),IF($A781="","",IF($D781="Lisbonne","",IF(SUMPRODUCT(('Formation Initiale'!$A$2:$A$999=$A781)*('Formation Initiale'!$R$2:$R$999="Terminé"))&gt;0,"✓",IF(SUMPRODUCT(MAX(('Formation Initiale'!$A$2:$A$999=$A781)*'Formation Initiale'!$G$2:$G$999))&gt;0,TEXT(SUMPRODUCT(MAX(('Formation Initiale'!$A$2:$A$999=$A781)*'Formation Initiale'!$G$2:$G$999)),"yyyy-mm-dd"),""))))))</f>
        <v/>
      </c>
      <c r="G781" s="131" t="str">
        <f aca="false">IF($Q781="✓","✓",IF(ISNUMBER($Q781),TEXT($Q781,"yyyy-mm-dd"),IF($A781="","",IF(SUMPRODUCT(('Agences &amp; Après-vente'!$A$2:$A$1000=$A781)*(('Agences &amp; Après-vente'!$D$2:$D$1000="Agences")+('Agences &amp; Après-vente'!$D$2:$D$1000="Agences et Après-vente"))*('Agences &amp; Après-vente'!$I$2:$I$1000="DONE"))&gt;0,"✓",IF(SUMPRODUCT(MAX(('Agences &amp; Après-vente'!$A$2:$A$1000=$A781)*(('Agences &amp; Après-vente'!$D$2:$D$1000="Agences")+('Agences &amp; Après-vente'!$D$2:$D$1000="Agences et Après-vente"))*'Agences &amp; Après-vente'!$E$2:$E$1000))&gt;0,TEXT(SUMPRODUCT(MAX(('Agences &amp; Après-vente'!$A$2:$A$1000=$A781)*(('Agences &amp; Après-vente'!$D$2:$D$1000="Agences")+('Agences &amp; Après-vente'!$D$2:$D$1000="Agences et Après-vente"))*'Agences &amp; Après-vente'!$E$2:$E$1000)),"yyyy-mm-dd"),"")))))</f>
        <v/>
      </c>
      <c r="H781" s="131" t="str">
        <f aca="false">IF($R781="✓","✓",IF(ISNUMBER($R781),TEXT($R781,"yyyy-mm-dd"),IF($A781="","",IF($D781="Lisbonne","",IF(SUMPRODUCT(('Agences &amp; Après-vente'!$A$2:$A$1000=$A781)*(('Agences &amp; Après-vente'!$D$2:$D$1000="Agences")+('Agences &amp; Après-vente'!$D$2:$D$1000="Agences et Après-vente"))*('Agences &amp; Après-vente'!$I$2:$I$1000="DONE"))&gt;0,"✓",IF(SUMPRODUCT(MAX(('Agences &amp; Après-vente'!$A$2:$A$1000=$A781)*(('Agences &amp; Après-vente'!$D$2:$D$1000="Agences")+('Agences &amp; Après-vente'!$D$2:$D$1000="Agences et Après-vente"))*'Agences &amp; Après-vente'!$E$2:$E$1000))&gt;0,TEXT(SUMPRODUCT(MAX(('Agences &amp; Après-vente'!$A$2:$A$1000=$A781)*(('Agences &amp; Après-vente'!$D$2:$D$1000="Agences")+('Agences &amp; Après-vente'!$D$2:$D$1000="Agences et Après-vente"))*'Agences &amp; Après-vente'!$E$2:$E$1000)),"yyyy-mm-dd"),""))))))</f>
        <v/>
      </c>
      <c r="I781" s="131" t="str">
        <f aca="false">IF($S781="✓","✓",IF(ISNUMBER($S781),TEXT($S781,"yyyy-mm-dd"),IF($A781="","",IF(SUMPRODUCT(('Agences &amp; Après-vente'!$A$2:$A$1000=$A781)*(('Agences &amp; Après-vente'!$D$2:$D$1000="Après-vente")+('Agences &amp; Après-vente'!$D$2:$D$1000="Agences et Après-vente"))*('Agences &amp; Après-vente'!$I$2:$I$1000="DONE"))&gt;0,"✓",IF(SUMPRODUCT(MAX(('Agences &amp; Après-vente'!$A$2:$A$1000=$A781)*(('Agences &amp; Après-vente'!$D$2:$D$1000="Après-vente")+('Agences &amp; Après-vente'!$D$2:$D$1000="Agences et Après-vente"))*'Agences &amp; Après-vente'!$E$2:$E$1000))&gt;0,TEXT(SUMPRODUCT(MAX(('Agences &amp; Après-vente'!$A$2:$A$1000=$A781)*(('Agences &amp; Après-vente'!$D$2:$D$1000="Après-vente")+('Agences &amp; Après-vente'!$D$2:$D$1000="Agences et Après-vente"))*'Agences &amp; Après-vente'!$E$2:$E$1000)),"yyyy-mm-dd"),"")))))</f>
        <v/>
      </c>
      <c r="J781" s="131" t="str">
        <f aca="false">IF($T781="✓","✓",IF(ISNUMBER($T781),TEXT($T781,"yyyy-mm-dd"),IF($A781="","",IF($D781="Lisbonne","",IF(SUMPRODUCT(('Agences &amp; Après-vente'!$A$2:$A$1000=$A781)*(('Agences &amp; Après-vente'!$D$2:$D$1000="Après-vente")+('Agences &amp; Après-vente'!$D$2:$D$1000="Agences et Après-vente"))*('Agences &amp; Après-vente'!$I$2:$I$1000="DONE"))&gt;0,"✓",IF(SUMPRODUCT(MAX(('Agences &amp; Après-vente'!$A$2:$A$1000=$A781)*(('Agences &amp; Après-vente'!$D$2:$D$1000="Après-vente")+('Agences &amp; Après-vente'!$D$2:$D$1000="Agences et Après-vente"))*'Agences &amp; Après-vente'!$E$2:$E$1000))&gt;0,TEXT(SUMPRODUCT(MAX(('Agences &amp; Après-vente'!$A$2:$A$1000=$A781)*(('Agences &amp; Après-vente'!$D$2:$D$1000="Après-vente")+('Agences &amp; Après-vente'!$D$2:$D$1000="Agences et Après-vente"))*'Agences &amp; Après-vente'!$E$2:$E$1000)),"yyyy-mm-dd"),""))))))</f>
        <v/>
      </c>
      <c r="K781" s="131" t="str">
        <f aca="false">IF($U781="✓","✓",IF(ISNUMBER($U781),TEXT($U781,"yyyy-mm-dd"),IF($D781="Lisbonne","",IF($A781="","",IF(SUMPRODUCT((Evermont!$A$2:$A$1000=$A781)*(Evermont!$Q$2:$Q$1000="Terminé"))&gt;0,"✓",IF(SUMPRODUCT(MAX((Evermont!$A$2:$A$1000=$A781)*Evermont!$F$2:$F$1000))&gt;0,TEXT(SUMPRODUCT(MAX((Evermont!$A$2:$A$1000=$A781)*Evermont!$F$2:$F$1000)),"yyyy-mm-dd"),""))))))</f>
        <v/>
      </c>
      <c r="L781" s="131" t="str">
        <f aca="false">IF($A781="","",COUNTIF(E781:K781,"✓"))</f>
        <v/>
      </c>
      <c r="M781" s="131" t="str">
        <f aca="false">IF(B781="","","Active")</f>
        <v/>
      </c>
      <c r="W781" s="120" t="str">
        <f aca="false">IF($A781="","",IF($X781&lt;&gt;"",$X781,IFERROR(INDEX('Formation Initiale'!$B$2:$B$999,MATCH($A781,'Formation Initiale'!$A$2:$A$999,0)),"Général")))</f>
        <v/>
      </c>
    </row>
    <row r="782" customFormat="false" ht="15" hidden="true" customHeight="true" outlineLevel="0" collapsed="false">
      <c r="A782" s="142" t="str">
        <f aca="false">IF(B782="","","TR"&amp;TEXT(ROW()-1,"000"))</f>
        <v/>
      </c>
      <c r="E782" s="130" t="str">
        <f aca="false">IF($O782="✓","✓",IF(ISNUMBER($O782),TEXT($O782,"yyyy-mm-dd"),IF($A782="","",IF(SUMPRODUCT(('Formation Initiale'!$A$2:$A$999=$A782)*('Formation Initiale'!$R$2:$R$999="Terminé"))&gt;0,"✓",IF(SUMPRODUCT(MAX(('Formation Initiale'!$A$2:$A$999=$A782)*'Formation Initiale'!$G$2:$G$999))&gt;0,TEXT(SUMPRODUCT(MAX(('Formation Initiale'!$A$2:$A$999=$A782)*'Formation Initiale'!$G$2:$G$999)),"yyyy-mm-dd"),"")))))</f>
        <v/>
      </c>
      <c r="F782" s="131" t="str">
        <f aca="false">IF($P782="✓","✓",IF(ISNUMBER($P782),TEXT($P782,"yyyy-mm-dd"),IF($A782="","",IF($D782="Lisbonne","",IF(SUMPRODUCT(('Formation Initiale'!$A$2:$A$999=$A782)*('Formation Initiale'!$R$2:$R$999="Terminé"))&gt;0,"✓",IF(SUMPRODUCT(MAX(('Formation Initiale'!$A$2:$A$999=$A782)*'Formation Initiale'!$G$2:$G$999))&gt;0,TEXT(SUMPRODUCT(MAX(('Formation Initiale'!$A$2:$A$999=$A782)*'Formation Initiale'!$G$2:$G$999)),"yyyy-mm-dd"),""))))))</f>
        <v/>
      </c>
      <c r="G782" s="131" t="str">
        <f aca="false">IF($Q782="✓","✓",IF(ISNUMBER($Q782),TEXT($Q782,"yyyy-mm-dd"),IF($A782="","",IF(SUMPRODUCT(('Agences &amp; Après-vente'!$A$2:$A$1000=$A782)*(('Agences &amp; Après-vente'!$D$2:$D$1000="Agences")+('Agences &amp; Après-vente'!$D$2:$D$1000="Agences et Après-vente"))*('Agences &amp; Après-vente'!$I$2:$I$1000="DONE"))&gt;0,"✓",IF(SUMPRODUCT(MAX(('Agences &amp; Après-vente'!$A$2:$A$1000=$A782)*(('Agences &amp; Après-vente'!$D$2:$D$1000="Agences")+('Agences &amp; Après-vente'!$D$2:$D$1000="Agences et Après-vente"))*'Agences &amp; Après-vente'!$E$2:$E$1000))&gt;0,TEXT(SUMPRODUCT(MAX(('Agences &amp; Après-vente'!$A$2:$A$1000=$A782)*(('Agences &amp; Après-vente'!$D$2:$D$1000="Agences")+('Agences &amp; Après-vente'!$D$2:$D$1000="Agences et Après-vente"))*'Agences &amp; Après-vente'!$E$2:$E$1000)),"yyyy-mm-dd"),"")))))</f>
        <v/>
      </c>
      <c r="H782" s="131" t="str">
        <f aca="false">IF($R782="✓","✓",IF(ISNUMBER($R782),TEXT($R782,"yyyy-mm-dd"),IF($A782="","",IF($D782="Lisbonne","",IF(SUMPRODUCT(('Agences &amp; Après-vente'!$A$2:$A$1000=$A782)*(('Agences &amp; Après-vente'!$D$2:$D$1000="Agences")+('Agences &amp; Après-vente'!$D$2:$D$1000="Agences et Après-vente"))*('Agences &amp; Après-vente'!$I$2:$I$1000="DONE"))&gt;0,"✓",IF(SUMPRODUCT(MAX(('Agences &amp; Après-vente'!$A$2:$A$1000=$A782)*(('Agences &amp; Après-vente'!$D$2:$D$1000="Agences")+('Agences &amp; Après-vente'!$D$2:$D$1000="Agences et Après-vente"))*'Agences &amp; Après-vente'!$E$2:$E$1000))&gt;0,TEXT(SUMPRODUCT(MAX(('Agences &amp; Après-vente'!$A$2:$A$1000=$A782)*(('Agences &amp; Après-vente'!$D$2:$D$1000="Agences")+('Agences &amp; Après-vente'!$D$2:$D$1000="Agences et Après-vente"))*'Agences &amp; Après-vente'!$E$2:$E$1000)),"yyyy-mm-dd"),""))))))</f>
        <v/>
      </c>
      <c r="I782" s="131" t="str">
        <f aca="false">IF($S782="✓","✓",IF(ISNUMBER($S782),TEXT($S782,"yyyy-mm-dd"),IF($A782="","",IF(SUMPRODUCT(('Agences &amp; Après-vente'!$A$2:$A$1000=$A782)*(('Agences &amp; Après-vente'!$D$2:$D$1000="Après-vente")+('Agences &amp; Après-vente'!$D$2:$D$1000="Agences et Après-vente"))*('Agences &amp; Après-vente'!$I$2:$I$1000="DONE"))&gt;0,"✓",IF(SUMPRODUCT(MAX(('Agences &amp; Après-vente'!$A$2:$A$1000=$A782)*(('Agences &amp; Après-vente'!$D$2:$D$1000="Après-vente")+('Agences &amp; Après-vente'!$D$2:$D$1000="Agences et Après-vente"))*'Agences &amp; Après-vente'!$E$2:$E$1000))&gt;0,TEXT(SUMPRODUCT(MAX(('Agences &amp; Après-vente'!$A$2:$A$1000=$A782)*(('Agences &amp; Après-vente'!$D$2:$D$1000="Après-vente")+('Agences &amp; Après-vente'!$D$2:$D$1000="Agences et Après-vente"))*'Agences &amp; Après-vente'!$E$2:$E$1000)),"yyyy-mm-dd"),"")))))</f>
        <v/>
      </c>
      <c r="J782" s="131" t="str">
        <f aca="false">IF($T782="✓","✓",IF(ISNUMBER($T782),TEXT($T782,"yyyy-mm-dd"),IF($A782="","",IF($D782="Lisbonne","",IF(SUMPRODUCT(('Agences &amp; Après-vente'!$A$2:$A$1000=$A782)*(('Agences &amp; Après-vente'!$D$2:$D$1000="Après-vente")+('Agences &amp; Après-vente'!$D$2:$D$1000="Agences et Après-vente"))*('Agences &amp; Après-vente'!$I$2:$I$1000="DONE"))&gt;0,"✓",IF(SUMPRODUCT(MAX(('Agences &amp; Après-vente'!$A$2:$A$1000=$A782)*(('Agences &amp; Après-vente'!$D$2:$D$1000="Après-vente")+('Agences &amp; Après-vente'!$D$2:$D$1000="Agences et Après-vente"))*'Agences &amp; Après-vente'!$E$2:$E$1000))&gt;0,TEXT(SUMPRODUCT(MAX(('Agences &amp; Après-vente'!$A$2:$A$1000=$A782)*(('Agences &amp; Après-vente'!$D$2:$D$1000="Après-vente")+('Agences &amp; Après-vente'!$D$2:$D$1000="Agences et Après-vente"))*'Agences &amp; Après-vente'!$E$2:$E$1000)),"yyyy-mm-dd"),""))))))</f>
        <v/>
      </c>
      <c r="K782" s="131" t="str">
        <f aca="false">IF($U782="✓","✓",IF(ISNUMBER($U782),TEXT($U782,"yyyy-mm-dd"),IF($D782="Lisbonne","",IF($A782="","",IF(SUMPRODUCT((Evermont!$A$2:$A$1000=$A782)*(Evermont!$Q$2:$Q$1000="Terminé"))&gt;0,"✓",IF(SUMPRODUCT(MAX((Evermont!$A$2:$A$1000=$A782)*Evermont!$F$2:$F$1000))&gt;0,TEXT(SUMPRODUCT(MAX((Evermont!$A$2:$A$1000=$A782)*Evermont!$F$2:$F$1000)),"yyyy-mm-dd"),""))))))</f>
        <v/>
      </c>
      <c r="L782" s="131" t="str">
        <f aca="false">IF($A782="","",COUNTIF(E782:K782,"✓"))</f>
        <v/>
      </c>
      <c r="M782" s="131" t="str">
        <f aca="false">IF(B782="","","Active")</f>
        <v/>
      </c>
      <c r="W782" s="120" t="str">
        <f aca="false">IF($A782="","",IF($X782&lt;&gt;"",$X782,IFERROR(INDEX('Formation Initiale'!$B$2:$B$999,MATCH($A782,'Formation Initiale'!$A$2:$A$999,0)),"Général")))</f>
        <v/>
      </c>
    </row>
    <row r="783" customFormat="false" ht="15" hidden="true" customHeight="true" outlineLevel="0" collapsed="false">
      <c r="A783" s="142" t="str">
        <f aca="false">IF(B783="","","TR"&amp;TEXT(ROW()-1,"000"))</f>
        <v/>
      </c>
      <c r="E783" s="130" t="str">
        <f aca="false">IF($O783="✓","✓",IF(ISNUMBER($O783),TEXT($O783,"yyyy-mm-dd"),IF($A783="","",IF(SUMPRODUCT(('Formation Initiale'!$A$2:$A$999=$A783)*('Formation Initiale'!$R$2:$R$999="Terminé"))&gt;0,"✓",IF(SUMPRODUCT(MAX(('Formation Initiale'!$A$2:$A$999=$A783)*'Formation Initiale'!$G$2:$G$999))&gt;0,TEXT(SUMPRODUCT(MAX(('Formation Initiale'!$A$2:$A$999=$A783)*'Formation Initiale'!$G$2:$G$999)),"yyyy-mm-dd"),"")))))</f>
        <v/>
      </c>
      <c r="F783" s="131" t="str">
        <f aca="false">IF($P783="✓","✓",IF(ISNUMBER($P783),TEXT($P783,"yyyy-mm-dd"),IF($A783="","",IF($D783="Lisbonne","",IF(SUMPRODUCT(('Formation Initiale'!$A$2:$A$999=$A783)*('Formation Initiale'!$R$2:$R$999="Terminé"))&gt;0,"✓",IF(SUMPRODUCT(MAX(('Formation Initiale'!$A$2:$A$999=$A783)*'Formation Initiale'!$G$2:$G$999))&gt;0,TEXT(SUMPRODUCT(MAX(('Formation Initiale'!$A$2:$A$999=$A783)*'Formation Initiale'!$G$2:$G$999)),"yyyy-mm-dd"),""))))))</f>
        <v/>
      </c>
      <c r="G783" s="131" t="str">
        <f aca="false">IF($Q783="✓","✓",IF(ISNUMBER($Q783),TEXT($Q783,"yyyy-mm-dd"),IF($A783="","",IF(SUMPRODUCT(('Agences &amp; Après-vente'!$A$2:$A$1000=$A783)*(('Agences &amp; Après-vente'!$D$2:$D$1000="Agences")+('Agences &amp; Après-vente'!$D$2:$D$1000="Agences et Après-vente"))*('Agences &amp; Après-vente'!$I$2:$I$1000="DONE"))&gt;0,"✓",IF(SUMPRODUCT(MAX(('Agences &amp; Après-vente'!$A$2:$A$1000=$A783)*(('Agences &amp; Après-vente'!$D$2:$D$1000="Agences")+('Agences &amp; Après-vente'!$D$2:$D$1000="Agences et Après-vente"))*'Agences &amp; Après-vente'!$E$2:$E$1000))&gt;0,TEXT(SUMPRODUCT(MAX(('Agences &amp; Après-vente'!$A$2:$A$1000=$A783)*(('Agences &amp; Après-vente'!$D$2:$D$1000="Agences")+('Agences &amp; Après-vente'!$D$2:$D$1000="Agences et Après-vente"))*'Agences &amp; Après-vente'!$E$2:$E$1000)),"yyyy-mm-dd"),"")))))</f>
        <v/>
      </c>
      <c r="H783" s="131" t="str">
        <f aca="false">IF($R783="✓","✓",IF(ISNUMBER($R783),TEXT($R783,"yyyy-mm-dd"),IF($A783="","",IF($D783="Lisbonne","",IF(SUMPRODUCT(('Agences &amp; Après-vente'!$A$2:$A$1000=$A783)*(('Agences &amp; Après-vente'!$D$2:$D$1000="Agences")+('Agences &amp; Après-vente'!$D$2:$D$1000="Agences et Après-vente"))*('Agences &amp; Après-vente'!$I$2:$I$1000="DONE"))&gt;0,"✓",IF(SUMPRODUCT(MAX(('Agences &amp; Après-vente'!$A$2:$A$1000=$A783)*(('Agences &amp; Après-vente'!$D$2:$D$1000="Agences")+('Agences &amp; Après-vente'!$D$2:$D$1000="Agences et Après-vente"))*'Agences &amp; Après-vente'!$E$2:$E$1000))&gt;0,TEXT(SUMPRODUCT(MAX(('Agences &amp; Après-vente'!$A$2:$A$1000=$A783)*(('Agences &amp; Après-vente'!$D$2:$D$1000="Agences")+('Agences &amp; Après-vente'!$D$2:$D$1000="Agences et Après-vente"))*'Agences &amp; Après-vente'!$E$2:$E$1000)),"yyyy-mm-dd"),""))))))</f>
        <v/>
      </c>
      <c r="I783" s="131" t="str">
        <f aca="false">IF($S783="✓","✓",IF(ISNUMBER($S783),TEXT($S783,"yyyy-mm-dd"),IF($A783="","",IF(SUMPRODUCT(('Agences &amp; Après-vente'!$A$2:$A$1000=$A783)*(('Agences &amp; Après-vente'!$D$2:$D$1000="Après-vente")+('Agences &amp; Après-vente'!$D$2:$D$1000="Agences et Après-vente"))*('Agences &amp; Après-vente'!$I$2:$I$1000="DONE"))&gt;0,"✓",IF(SUMPRODUCT(MAX(('Agences &amp; Après-vente'!$A$2:$A$1000=$A783)*(('Agences &amp; Après-vente'!$D$2:$D$1000="Après-vente")+('Agences &amp; Après-vente'!$D$2:$D$1000="Agences et Après-vente"))*'Agences &amp; Après-vente'!$E$2:$E$1000))&gt;0,TEXT(SUMPRODUCT(MAX(('Agences &amp; Après-vente'!$A$2:$A$1000=$A783)*(('Agences &amp; Après-vente'!$D$2:$D$1000="Après-vente")+('Agences &amp; Après-vente'!$D$2:$D$1000="Agences et Après-vente"))*'Agences &amp; Après-vente'!$E$2:$E$1000)),"yyyy-mm-dd"),"")))))</f>
        <v/>
      </c>
      <c r="J783" s="131" t="str">
        <f aca="false">IF($T783="✓","✓",IF(ISNUMBER($T783),TEXT($T783,"yyyy-mm-dd"),IF($A783="","",IF($D783="Lisbonne","",IF(SUMPRODUCT(('Agences &amp; Après-vente'!$A$2:$A$1000=$A783)*(('Agences &amp; Après-vente'!$D$2:$D$1000="Après-vente")+('Agences &amp; Après-vente'!$D$2:$D$1000="Agences et Après-vente"))*('Agences &amp; Après-vente'!$I$2:$I$1000="DONE"))&gt;0,"✓",IF(SUMPRODUCT(MAX(('Agences &amp; Après-vente'!$A$2:$A$1000=$A783)*(('Agences &amp; Après-vente'!$D$2:$D$1000="Après-vente")+('Agences &amp; Après-vente'!$D$2:$D$1000="Agences et Après-vente"))*'Agences &amp; Après-vente'!$E$2:$E$1000))&gt;0,TEXT(SUMPRODUCT(MAX(('Agences &amp; Après-vente'!$A$2:$A$1000=$A783)*(('Agences &amp; Après-vente'!$D$2:$D$1000="Après-vente")+('Agences &amp; Après-vente'!$D$2:$D$1000="Agences et Après-vente"))*'Agences &amp; Après-vente'!$E$2:$E$1000)),"yyyy-mm-dd"),""))))))</f>
        <v/>
      </c>
      <c r="K783" s="131" t="str">
        <f aca="false">IF($U783="✓","✓",IF(ISNUMBER($U783),TEXT($U783,"yyyy-mm-dd"),IF($D783="Lisbonne","",IF($A783="","",IF(SUMPRODUCT((Evermont!$A$2:$A$1000=$A783)*(Evermont!$Q$2:$Q$1000="Terminé"))&gt;0,"✓",IF(SUMPRODUCT(MAX((Evermont!$A$2:$A$1000=$A783)*Evermont!$F$2:$F$1000))&gt;0,TEXT(SUMPRODUCT(MAX((Evermont!$A$2:$A$1000=$A783)*Evermont!$F$2:$F$1000)),"yyyy-mm-dd"),""))))))</f>
        <v/>
      </c>
      <c r="L783" s="131" t="str">
        <f aca="false">IF($A783="","",COUNTIF(E783:K783,"✓"))</f>
        <v/>
      </c>
      <c r="M783" s="131" t="str">
        <f aca="false">IF(B783="","","Active")</f>
        <v/>
      </c>
      <c r="W783" s="120" t="str">
        <f aca="false">IF($A783="","",IF($X783&lt;&gt;"",$X783,IFERROR(INDEX('Formation Initiale'!$B$2:$B$999,MATCH($A783,'Formation Initiale'!$A$2:$A$999,0)),"Général")))</f>
        <v/>
      </c>
    </row>
    <row r="784" customFormat="false" ht="15" hidden="true" customHeight="true" outlineLevel="0" collapsed="false">
      <c r="A784" s="142" t="str">
        <f aca="false">IF(B784="","","TR"&amp;TEXT(ROW()-1,"000"))</f>
        <v/>
      </c>
      <c r="E784" s="130" t="str">
        <f aca="false">IF($O784="✓","✓",IF(ISNUMBER($O784),TEXT($O784,"yyyy-mm-dd"),IF($A784="","",IF(SUMPRODUCT(('Formation Initiale'!$A$2:$A$999=$A784)*('Formation Initiale'!$R$2:$R$999="Terminé"))&gt;0,"✓",IF(SUMPRODUCT(MAX(('Formation Initiale'!$A$2:$A$999=$A784)*'Formation Initiale'!$G$2:$G$999))&gt;0,TEXT(SUMPRODUCT(MAX(('Formation Initiale'!$A$2:$A$999=$A784)*'Formation Initiale'!$G$2:$G$999)),"yyyy-mm-dd"),"")))))</f>
        <v/>
      </c>
      <c r="F784" s="131" t="str">
        <f aca="false">IF($P784="✓","✓",IF(ISNUMBER($P784),TEXT($P784,"yyyy-mm-dd"),IF($A784="","",IF($D784="Lisbonne","",IF(SUMPRODUCT(('Formation Initiale'!$A$2:$A$999=$A784)*('Formation Initiale'!$R$2:$R$999="Terminé"))&gt;0,"✓",IF(SUMPRODUCT(MAX(('Formation Initiale'!$A$2:$A$999=$A784)*'Formation Initiale'!$G$2:$G$999))&gt;0,TEXT(SUMPRODUCT(MAX(('Formation Initiale'!$A$2:$A$999=$A784)*'Formation Initiale'!$G$2:$G$999)),"yyyy-mm-dd"),""))))))</f>
        <v/>
      </c>
      <c r="G784" s="131" t="str">
        <f aca="false">IF($Q784="✓","✓",IF(ISNUMBER($Q784),TEXT($Q784,"yyyy-mm-dd"),IF($A784="","",IF(SUMPRODUCT(('Agences &amp; Après-vente'!$A$2:$A$1000=$A784)*(('Agences &amp; Après-vente'!$D$2:$D$1000="Agences")+('Agences &amp; Après-vente'!$D$2:$D$1000="Agences et Après-vente"))*('Agences &amp; Après-vente'!$I$2:$I$1000="DONE"))&gt;0,"✓",IF(SUMPRODUCT(MAX(('Agences &amp; Après-vente'!$A$2:$A$1000=$A784)*(('Agences &amp; Après-vente'!$D$2:$D$1000="Agences")+('Agences &amp; Après-vente'!$D$2:$D$1000="Agences et Après-vente"))*'Agences &amp; Après-vente'!$E$2:$E$1000))&gt;0,TEXT(SUMPRODUCT(MAX(('Agences &amp; Après-vente'!$A$2:$A$1000=$A784)*(('Agences &amp; Après-vente'!$D$2:$D$1000="Agences")+('Agences &amp; Après-vente'!$D$2:$D$1000="Agences et Après-vente"))*'Agences &amp; Après-vente'!$E$2:$E$1000)),"yyyy-mm-dd"),"")))))</f>
        <v/>
      </c>
      <c r="H784" s="131" t="str">
        <f aca="false">IF($R784="✓","✓",IF(ISNUMBER($R784),TEXT($R784,"yyyy-mm-dd"),IF($A784="","",IF($D784="Lisbonne","",IF(SUMPRODUCT(('Agences &amp; Après-vente'!$A$2:$A$1000=$A784)*(('Agences &amp; Après-vente'!$D$2:$D$1000="Agences")+('Agences &amp; Après-vente'!$D$2:$D$1000="Agences et Après-vente"))*('Agences &amp; Après-vente'!$I$2:$I$1000="DONE"))&gt;0,"✓",IF(SUMPRODUCT(MAX(('Agences &amp; Après-vente'!$A$2:$A$1000=$A784)*(('Agences &amp; Après-vente'!$D$2:$D$1000="Agences")+('Agences &amp; Après-vente'!$D$2:$D$1000="Agences et Après-vente"))*'Agences &amp; Après-vente'!$E$2:$E$1000))&gt;0,TEXT(SUMPRODUCT(MAX(('Agences &amp; Après-vente'!$A$2:$A$1000=$A784)*(('Agences &amp; Après-vente'!$D$2:$D$1000="Agences")+('Agences &amp; Après-vente'!$D$2:$D$1000="Agences et Après-vente"))*'Agences &amp; Après-vente'!$E$2:$E$1000)),"yyyy-mm-dd"),""))))))</f>
        <v/>
      </c>
      <c r="I784" s="131" t="str">
        <f aca="false">IF($S784="✓","✓",IF(ISNUMBER($S784),TEXT($S784,"yyyy-mm-dd"),IF($A784="","",IF(SUMPRODUCT(('Agences &amp; Après-vente'!$A$2:$A$1000=$A784)*(('Agences &amp; Après-vente'!$D$2:$D$1000="Après-vente")+('Agences &amp; Après-vente'!$D$2:$D$1000="Agences et Après-vente"))*('Agences &amp; Après-vente'!$I$2:$I$1000="DONE"))&gt;0,"✓",IF(SUMPRODUCT(MAX(('Agences &amp; Après-vente'!$A$2:$A$1000=$A784)*(('Agences &amp; Après-vente'!$D$2:$D$1000="Après-vente")+('Agences &amp; Après-vente'!$D$2:$D$1000="Agences et Après-vente"))*'Agences &amp; Après-vente'!$E$2:$E$1000))&gt;0,TEXT(SUMPRODUCT(MAX(('Agences &amp; Après-vente'!$A$2:$A$1000=$A784)*(('Agences &amp; Après-vente'!$D$2:$D$1000="Après-vente")+('Agences &amp; Après-vente'!$D$2:$D$1000="Agences et Après-vente"))*'Agences &amp; Après-vente'!$E$2:$E$1000)),"yyyy-mm-dd"),"")))))</f>
        <v/>
      </c>
      <c r="J784" s="131" t="str">
        <f aca="false">IF($T784="✓","✓",IF(ISNUMBER($T784),TEXT($T784,"yyyy-mm-dd"),IF($A784="","",IF($D784="Lisbonne","",IF(SUMPRODUCT(('Agences &amp; Après-vente'!$A$2:$A$1000=$A784)*(('Agences &amp; Après-vente'!$D$2:$D$1000="Après-vente")+('Agences &amp; Après-vente'!$D$2:$D$1000="Agences et Après-vente"))*('Agences &amp; Après-vente'!$I$2:$I$1000="DONE"))&gt;0,"✓",IF(SUMPRODUCT(MAX(('Agences &amp; Après-vente'!$A$2:$A$1000=$A784)*(('Agences &amp; Après-vente'!$D$2:$D$1000="Après-vente")+('Agences &amp; Après-vente'!$D$2:$D$1000="Agences et Après-vente"))*'Agences &amp; Après-vente'!$E$2:$E$1000))&gt;0,TEXT(SUMPRODUCT(MAX(('Agences &amp; Après-vente'!$A$2:$A$1000=$A784)*(('Agences &amp; Après-vente'!$D$2:$D$1000="Après-vente")+('Agences &amp; Après-vente'!$D$2:$D$1000="Agences et Après-vente"))*'Agences &amp; Après-vente'!$E$2:$E$1000)),"yyyy-mm-dd"),""))))))</f>
        <v/>
      </c>
      <c r="K784" s="131" t="str">
        <f aca="false">IF($U784="✓","✓",IF(ISNUMBER($U784),TEXT($U784,"yyyy-mm-dd"),IF($D784="Lisbonne","",IF($A784="","",IF(SUMPRODUCT((Evermont!$A$2:$A$1000=$A784)*(Evermont!$Q$2:$Q$1000="Terminé"))&gt;0,"✓",IF(SUMPRODUCT(MAX((Evermont!$A$2:$A$1000=$A784)*Evermont!$F$2:$F$1000))&gt;0,TEXT(SUMPRODUCT(MAX((Evermont!$A$2:$A$1000=$A784)*Evermont!$F$2:$F$1000)),"yyyy-mm-dd"),""))))))</f>
        <v/>
      </c>
      <c r="L784" s="131" t="str">
        <f aca="false">IF($A784="","",COUNTIF(E784:K784,"✓"))</f>
        <v/>
      </c>
      <c r="M784" s="131" t="str">
        <f aca="false">IF(B784="","","Active")</f>
        <v/>
      </c>
      <c r="W784" s="120" t="str">
        <f aca="false">IF($A784="","",IF($X784&lt;&gt;"",$X784,IFERROR(INDEX('Formation Initiale'!$B$2:$B$999,MATCH($A784,'Formation Initiale'!$A$2:$A$999,0)),"Général")))</f>
        <v/>
      </c>
    </row>
    <row r="785" customFormat="false" ht="15" hidden="true" customHeight="true" outlineLevel="0" collapsed="false">
      <c r="A785" s="142" t="str">
        <f aca="false">IF(B785="","","TR"&amp;TEXT(ROW()-1,"000"))</f>
        <v/>
      </c>
      <c r="E785" s="130" t="str">
        <f aca="false">IF($O785="✓","✓",IF(ISNUMBER($O785),TEXT($O785,"yyyy-mm-dd"),IF($A785="","",IF(SUMPRODUCT(('Formation Initiale'!$A$2:$A$999=$A785)*('Formation Initiale'!$R$2:$R$999="Terminé"))&gt;0,"✓",IF(SUMPRODUCT(MAX(('Formation Initiale'!$A$2:$A$999=$A785)*'Formation Initiale'!$G$2:$G$999))&gt;0,TEXT(SUMPRODUCT(MAX(('Formation Initiale'!$A$2:$A$999=$A785)*'Formation Initiale'!$G$2:$G$999)),"yyyy-mm-dd"),"")))))</f>
        <v/>
      </c>
      <c r="F785" s="131" t="str">
        <f aca="false">IF($P785="✓","✓",IF(ISNUMBER($P785),TEXT($P785,"yyyy-mm-dd"),IF($A785="","",IF($D785="Lisbonne","",IF(SUMPRODUCT(('Formation Initiale'!$A$2:$A$999=$A785)*('Formation Initiale'!$R$2:$R$999="Terminé"))&gt;0,"✓",IF(SUMPRODUCT(MAX(('Formation Initiale'!$A$2:$A$999=$A785)*'Formation Initiale'!$G$2:$G$999))&gt;0,TEXT(SUMPRODUCT(MAX(('Formation Initiale'!$A$2:$A$999=$A785)*'Formation Initiale'!$G$2:$G$999)),"yyyy-mm-dd"),""))))))</f>
        <v/>
      </c>
      <c r="G785" s="131" t="str">
        <f aca="false">IF($Q785="✓","✓",IF(ISNUMBER($Q785),TEXT($Q785,"yyyy-mm-dd"),IF($A785="","",IF(SUMPRODUCT(('Agences &amp; Après-vente'!$A$2:$A$1000=$A785)*(('Agences &amp; Après-vente'!$D$2:$D$1000="Agences")+('Agences &amp; Après-vente'!$D$2:$D$1000="Agences et Après-vente"))*('Agences &amp; Après-vente'!$I$2:$I$1000="DONE"))&gt;0,"✓",IF(SUMPRODUCT(MAX(('Agences &amp; Après-vente'!$A$2:$A$1000=$A785)*(('Agences &amp; Après-vente'!$D$2:$D$1000="Agences")+('Agences &amp; Après-vente'!$D$2:$D$1000="Agences et Après-vente"))*'Agences &amp; Après-vente'!$E$2:$E$1000))&gt;0,TEXT(SUMPRODUCT(MAX(('Agences &amp; Après-vente'!$A$2:$A$1000=$A785)*(('Agences &amp; Après-vente'!$D$2:$D$1000="Agences")+('Agences &amp; Après-vente'!$D$2:$D$1000="Agences et Après-vente"))*'Agences &amp; Après-vente'!$E$2:$E$1000)),"yyyy-mm-dd"),"")))))</f>
        <v/>
      </c>
      <c r="H785" s="131" t="str">
        <f aca="false">IF($R785="✓","✓",IF(ISNUMBER($R785),TEXT($R785,"yyyy-mm-dd"),IF($A785="","",IF($D785="Lisbonne","",IF(SUMPRODUCT(('Agences &amp; Après-vente'!$A$2:$A$1000=$A785)*(('Agences &amp; Après-vente'!$D$2:$D$1000="Agences")+('Agences &amp; Après-vente'!$D$2:$D$1000="Agences et Après-vente"))*('Agences &amp; Après-vente'!$I$2:$I$1000="DONE"))&gt;0,"✓",IF(SUMPRODUCT(MAX(('Agences &amp; Après-vente'!$A$2:$A$1000=$A785)*(('Agences &amp; Après-vente'!$D$2:$D$1000="Agences")+('Agences &amp; Après-vente'!$D$2:$D$1000="Agences et Après-vente"))*'Agences &amp; Après-vente'!$E$2:$E$1000))&gt;0,TEXT(SUMPRODUCT(MAX(('Agences &amp; Après-vente'!$A$2:$A$1000=$A785)*(('Agences &amp; Après-vente'!$D$2:$D$1000="Agences")+('Agences &amp; Après-vente'!$D$2:$D$1000="Agences et Après-vente"))*'Agences &amp; Après-vente'!$E$2:$E$1000)),"yyyy-mm-dd"),""))))))</f>
        <v/>
      </c>
      <c r="I785" s="131" t="str">
        <f aca="false">IF($S785="✓","✓",IF(ISNUMBER($S785),TEXT($S785,"yyyy-mm-dd"),IF($A785="","",IF(SUMPRODUCT(('Agences &amp; Après-vente'!$A$2:$A$1000=$A785)*(('Agences &amp; Après-vente'!$D$2:$D$1000="Après-vente")+('Agences &amp; Après-vente'!$D$2:$D$1000="Agences et Après-vente"))*('Agences &amp; Après-vente'!$I$2:$I$1000="DONE"))&gt;0,"✓",IF(SUMPRODUCT(MAX(('Agences &amp; Après-vente'!$A$2:$A$1000=$A785)*(('Agences &amp; Après-vente'!$D$2:$D$1000="Après-vente")+('Agences &amp; Après-vente'!$D$2:$D$1000="Agences et Après-vente"))*'Agences &amp; Après-vente'!$E$2:$E$1000))&gt;0,TEXT(SUMPRODUCT(MAX(('Agences &amp; Après-vente'!$A$2:$A$1000=$A785)*(('Agences &amp; Après-vente'!$D$2:$D$1000="Après-vente")+('Agences &amp; Après-vente'!$D$2:$D$1000="Agences et Après-vente"))*'Agences &amp; Après-vente'!$E$2:$E$1000)),"yyyy-mm-dd"),"")))))</f>
        <v/>
      </c>
      <c r="J785" s="131" t="str">
        <f aca="false">IF($T785="✓","✓",IF(ISNUMBER($T785),TEXT($T785,"yyyy-mm-dd"),IF($A785="","",IF($D785="Lisbonne","",IF(SUMPRODUCT(('Agences &amp; Après-vente'!$A$2:$A$1000=$A785)*(('Agences &amp; Après-vente'!$D$2:$D$1000="Après-vente")+('Agences &amp; Après-vente'!$D$2:$D$1000="Agences et Après-vente"))*('Agences &amp; Après-vente'!$I$2:$I$1000="DONE"))&gt;0,"✓",IF(SUMPRODUCT(MAX(('Agences &amp; Après-vente'!$A$2:$A$1000=$A785)*(('Agences &amp; Après-vente'!$D$2:$D$1000="Après-vente")+('Agences &amp; Après-vente'!$D$2:$D$1000="Agences et Après-vente"))*'Agences &amp; Après-vente'!$E$2:$E$1000))&gt;0,TEXT(SUMPRODUCT(MAX(('Agences &amp; Après-vente'!$A$2:$A$1000=$A785)*(('Agences &amp; Après-vente'!$D$2:$D$1000="Après-vente")+('Agences &amp; Après-vente'!$D$2:$D$1000="Agences et Après-vente"))*'Agences &amp; Après-vente'!$E$2:$E$1000)),"yyyy-mm-dd"),""))))))</f>
        <v/>
      </c>
      <c r="K785" s="131" t="str">
        <f aca="false">IF($U785="✓","✓",IF(ISNUMBER($U785),TEXT($U785,"yyyy-mm-dd"),IF($D785="Lisbonne","",IF($A785="","",IF(SUMPRODUCT((Evermont!$A$2:$A$1000=$A785)*(Evermont!$Q$2:$Q$1000="Terminé"))&gt;0,"✓",IF(SUMPRODUCT(MAX((Evermont!$A$2:$A$1000=$A785)*Evermont!$F$2:$F$1000))&gt;0,TEXT(SUMPRODUCT(MAX((Evermont!$A$2:$A$1000=$A785)*Evermont!$F$2:$F$1000)),"yyyy-mm-dd"),""))))))</f>
        <v/>
      </c>
      <c r="L785" s="131" t="str">
        <f aca="false">IF($A785="","",COUNTIF(E785:K785,"✓"))</f>
        <v/>
      </c>
      <c r="M785" s="131" t="str">
        <f aca="false">IF(B785="","","Active")</f>
        <v/>
      </c>
      <c r="W785" s="120" t="str">
        <f aca="false">IF($A785="","",IF($X785&lt;&gt;"",$X785,IFERROR(INDEX('Formation Initiale'!$B$2:$B$999,MATCH($A785,'Formation Initiale'!$A$2:$A$999,0)),"Général")))</f>
        <v/>
      </c>
    </row>
    <row r="786" customFormat="false" ht="15" hidden="true" customHeight="true" outlineLevel="0" collapsed="false">
      <c r="A786" s="142" t="str">
        <f aca="false">IF(B786="","","TR"&amp;TEXT(ROW()-1,"000"))</f>
        <v/>
      </c>
      <c r="E786" s="130" t="str">
        <f aca="false">IF($O786="✓","✓",IF(ISNUMBER($O786),TEXT($O786,"yyyy-mm-dd"),IF($A786="","",IF(SUMPRODUCT(('Formation Initiale'!$A$2:$A$999=$A786)*('Formation Initiale'!$R$2:$R$999="Terminé"))&gt;0,"✓",IF(SUMPRODUCT(MAX(('Formation Initiale'!$A$2:$A$999=$A786)*'Formation Initiale'!$G$2:$G$999))&gt;0,TEXT(SUMPRODUCT(MAX(('Formation Initiale'!$A$2:$A$999=$A786)*'Formation Initiale'!$G$2:$G$999)),"yyyy-mm-dd"),"")))))</f>
        <v/>
      </c>
      <c r="F786" s="131" t="str">
        <f aca="false">IF($P786="✓","✓",IF(ISNUMBER($P786),TEXT($P786,"yyyy-mm-dd"),IF($A786="","",IF($D786="Lisbonne","",IF(SUMPRODUCT(('Formation Initiale'!$A$2:$A$999=$A786)*('Formation Initiale'!$R$2:$R$999="Terminé"))&gt;0,"✓",IF(SUMPRODUCT(MAX(('Formation Initiale'!$A$2:$A$999=$A786)*'Formation Initiale'!$G$2:$G$999))&gt;0,TEXT(SUMPRODUCT(MAX(('Formation Initiale'!$A$2:$A$999=$A786)*'Formation Initiale'!$G$2:$G$999)),"yyyy-mm-dd"),""))))))</f>
        <v/>
      </c>
      <c r="G786" s="131" t="str">
        <f aca="false">IF($Q786="✓","✓",IF(ISNUMBER($Q786),TEXT($Q786,"yyyy-mm-dd"),IF($A786="","",IF(SUMPRODUCT(('Agences &amp; Après-vente'!$A$2:$A$1000=$A786)*(('Agences &amp; Après-vente'!$D$2:$D$1000="Agences")+('Agences &amp; Après-vente'!$D$2:$D$1000="Agences et Après-vente"))*('Agences &amp; Après-vente'!$I$2:$I$1000="DONE"))&gt;0,"✓",IF(SUMPRODUCT(MAX(('Agences &amp; Après-vente'!$A$2:$A$1000=$A786)*(('Agences &amp; Après-vente'!$D$2:$D$1000="Agences")+('Agences &amp; Après-vente'!$D$2:$D$1000="Agences et Après-vente"))*'Agences &amp; Après-vente'!$E$2:$E$1000))&gt;0,TEXT(SUMPRODUCT(MAX(('Agences &amp; Après-vente'!$A$2:$A$1000=$A786)*(('Agences &amp; Après-vente'!$D$2:$D$1000="Agences")+('Agences &amp; Après-vente'!$D$2:$D$1000="Agences et Après-vente"))*'Agences &amp; Après-vente'!$E$2:$E$1000)),"yyyy-mm-dd"),"")))))</f>
        <v/>
      </c>
      <c r="H786" s="131" t="str">
        <f aca="false">IF($R786="✓","✓",IF(ISNUMBER($R786),TEXT($R786,"yyyy-mm-dd"),IF($A786="","",IF($D786="Lisbonne","",IF(SUMPRODUCT(('Agences &amp; Après-vente'!$A$2:$A$1000=$A786)*(('Agences &amp; Après-vente'!$D$2:$D$1000="Agences")+('Agences &amp; Après-vente'!$D$2:$D$1000="Agences et Après-vente"))*('Agences &amp; Après-vente'!$I$2:$I$1000="DONE"))&gt;0,"✓",IF(SUMPRODUCT(MAX(('Agences &amp; Après-vente'!$A$2:$A$1000=$A786)*(('Agences &amp; Après-vente'!$D$2:$D$1000="Agences")+('Agences &amp; Après-vente'!$D$2:$D$1000="Agences et Après-vente"))*'Agences &amp; Après-vente'!$E$2:$E$1000))&gt;0,TEXT(SUMPRODUCT(MAX(('Agences &amp; Après-vente'!$A$2:$A$1000=$A786)*(('Agences &amp; Après-vente'!$D$2:$D$1000="Agences")+('Agences &amp; Après-vente'!$D$2:$D$1000="Agences et Après-vente"))*'Agences &amp; Après-vente'!$E$2:$E$1000)),"yyyy-mm-dd"),""))))))</f>
        <v/>
      </c>
      <c r="I786" s="131" t="str">
        <f aca="false">IF($S786="✓","✓",IF(ISNUMBER($S786),TEXT($S786,"yyyy-mm-dd"),IF($A786="","",IF(SUMPRODUCT(('Agences &amp; Après-vente'!$A$2:$A$1000=$A786)*(('Agences &amp; Après-vente'!$D$2:$D$1000="Après-vente")+('Agences &amp; Après-vente'!$D$2:$D$1000="Agences et Après-vente"))*('Agences &amp; Après-vente'!$I$2:$I$1000="DONE"))&gt;0,"✓",IF(SUMPRODUCT(MAX(('Agences &amp; Après-vente'!$A$2:$A$1000=$A786)*(('Agences &amp; Après-vente'!$D$2:$D$1000="Après-vente")+('Agences &amp; Après-vente'!$D$2:$D$1000="Agences et Après-vente"))*'Agences &amp; Après-vente'!$E$2:$E$1000))&gt;0,TEXT(SUMPRODUCT(MAX(('Agences &amp; Après-vente'!$A$2:$A$1000=$A786)*(('Agences &amp; Après-vente'!$D$2:$D$1000="Après-vente")+('Agences &amp; Après-vente'!$D$2:$D$1000="Agences et Après-vente"))*'Agences &amp; Après-vente'!$E$2:$E$1000)),"yyyy-mm-dd"),"")))))</f>
        <v/>
      </c>
      <c r="J786" s="131" t="str">
        <f aca="false">IF($T786="✓","✓",IF(ISNUMBER($T786),TEXT($T786,"yyyy-mm-dd"),IF($A786="","",IF($D786="Lisbonne","",IF(SUMPRODUCT(('Agences &amp; Après-vente'!$A$2:$A$1000=$A786)*(('Agences &amp; Après-vente'!$D$2:$D$1000="Après-vente")+('Agences &amp; Après-vente'!$D$2:$D$1000="Agences et Après-vente"))*('Agences &amp; Après-vente'!$I$2:$I$1000="DONE"))&gt;0,"✓",IF(SUMPRODUCT(MAX(('Agences &amp; Après-vente'!$A$2:$A$1000=$A786)*(('Agences &amp; Après-vente'!$D$2:$D$1000="Après-vente")+('Agences &amp; Après-vente'!$D$2:$D$1000="Agences et Après-vente"))*'Agences &amp; Après-vente'!$E$2:$E$1000))&gt;0,TEXT(SUMPRODUCT(MAX(('Agences &amp; Après-vente'!$A$2:$A$1000=$A786)*(('Agences &amp; Après-vente'!$D$2:$D$1000="Après-vente")+('Agences &amp; Après-vente'!$D$2:$D$1000="Agences et Après-vente"))*'Agences &amp; Après-vente'!$E$2:$E$1000)),"yyyy-mm-dd"),""))))))</f>
        <v/>
      </c>
      <c r="K786" s="131" t="str">
        <f aca="false">IF($U786="✓","✓",IF(ISNUMBER($U786),TEXT($U786,"yyyy-mm-dd"),IF($D786="Lisbonne","",IF($A786="","",IF(SUMPRODUCT((Evermont!$A$2:$A$1000=$A786)*(Evermont!$Q$2:$Q$1000="Terminé"))&gt;0,"✓",IF(SUMPRODUCT(MAX((Evermont!$A$2:$A$1000=$A786)*Evermont!$F$2:$F$1000))&gt;0,TEXT(SUMPRODUCT(MAX((Evermont!$A$2:$A$1000=$A786)*Evermont!$F$2:$F$1000)),"yyyy-mm-dd"),""))))))</f>
        <v/>
      </c>
      <c r="L786" s="131" t="str">
        <f aca="false">IF($A786="","",COUNTIF(E786:K786,"✓"))</f>
        <v/>
      </c>
      <c r="M786" s="131" t="str">
        <f aca="false">IF(B786="","","Active")</f>
        <v/>
      </c>
      <c r="W786" s="120" t="str">
        <f aca="false">IF($A786="","",IF($X786&lt;&gt;"",$X786,IFERROR(INDEX('Formation Initiale'!$B$2:$B$999,MATCH($A786,'Formation Initiale'!$A$2:$A$999,0)),"Général")))</f>
        <v/>
      </c>
    </row>
    <row r="787" customFormat="false" ht="15" hidden="true" customHeight="true" outlineLevel="0" collapsed="false">
      <c r="A787" s="142" t="str">
        <f aca="false">IF(B787="","","TR"&amp;TEXT(ROW()-1,"000"))</f>
        <v/>
      </c>
      <c r="E787" s="130" t="str">
        <f aca="false">IF($O787="✓","✓",IF(ISNUMBER($O787),TEXT($O787,"yyyy-mm-dd"),IF($A787="","",IF(SUMPRODUCT(('Formation Initiale'!$A$2:$A$999=$A787)*('Formation Initiale'!$R$2:$R$999="Terminé"))&gt;0,"✓",IF(SUMPRODUCT(MAX(('Formation Initiale'!$A$2:$A$999=$A787)*'Formation Initiale'!$G$2:$G$999))&gt;0,TEXT(SUMPRODUCT(MAX(('Formation Initiale'!$A$2:$A$999=$A787)*'Formation Initiale'!$G$2:$G$999)),"yyyy-mm-dd"),"")))))</f>
        <v/>
      </c>
      <c r="F787" s="131" t="str">
        <f aca="false">IF($P787="✓","✓",IF(ISNUMBER($P787),TEXT($P787,"yyyy-mm-dd"),IF($A787="","",IF($D787="Lisbonne","",IF(SUMPRODUCT(('Formation Initiale'!$A$2:$A$999=$A787)*('Formation Initiale'!$R$2:$R$999="Terminé"))&gt;0,"✓",IF(SUMPRODUCT(MAX(('Formation Initiale'!$A$2:$A$999=$A787)*'Formation Initiale'!$G$2:$G$999))&gt;0,TEXT(SUMPRODUCT(MAX(('Formation Initiale'!$A$2:$A$999=$A787)*'Formation Initiale'!$G$2:$G$999)),"yyyy-mm-dd"),""))))))</f>
        <v/>
      </c>
      <c r="G787" s="131" t="str">
        <f aca="false">IF($Q787="✓","✓",IF(ISNUMBER($Q787),TEXT($Q787,"yyyy-mm-dd"),IF($A787="","",IF(SUMPRODUCT(('Agences &amp; Après-vente'!$A$2:$A$1000=$A787)*(('Agences &amp; Après-vente'!$D$2:$D$1000="Agences")+('Agences &amp; Après-vente'!$D$2:$D$1000="Agences et Après-vente"))*('Agences &amp; Après-vente'!$I$2:$I$1000="DONE"))&gt;0,"✓",IF(SUMPRODUCT(MAX(('Agences &amp; Après-vente'!$A$2:$A$1000=$A787)*(('Agences &amp; Après-vente'!$D$2:$D$1000="Agences")+('Agences &amp; Après-vente'!$D$2:$D$1000="Agences et Après-vente"))*'Agences &amp; Après-vente'!$E$2:$E$1000))&gt;0,TEXT(SUMPRODUCT(MAX(('Agences &amp; Après-vente'!$A$2:$A$1000=$A787)*(('Agences &amp; Après-vente'!$D$2:$D$1000="Agences")+('Agences &amp; Après-vente'!$D$2:$D$1000="Agences et Après-vente"))*'Agences &amp; Après-vente'!$E$2:$E$1000)),"yyyy-mm-dd"),"")))))</f>
        <v/>
      </c>
      <c r="H787" s="131" t="str">
        <f aca="false">IF($R787="✓","✓",IF(ISNUMBER($R787),TEXT($R787,"yyyy-mm-dd"),IF($A787="","",IF($D787="Lisbonne","",IF(SUMPRODUCT(('Agences &amp; Après-vente'!$A$2:$A$1000=$A787)*(('Agences &amp; Après-vente'!$D$2:$D$1000="Agences")+('Agences &amp; Après-vente'!$D$2:$D$1000="Agences et Après-vente"))*('Agences &amp; Après-vente'!$I$2:$I$1000="DONE"))&gt;0,"✓",IF(SUMPRODUCT(MAX(('Agences &amp; Après-vente'!$A$2:$A$1000=$A787)*(('Agences &amp; Après-vente'!$D$2:$D$1000="Agences")+('Agences &amp; Après-vente'!$D$2:$D$1000="Agences et Après-vente"))*'Agences &amp; Après-vente'!$E$2:$E$1000))&gt;0,TEXT(SUMPRODUCT(MAX(('Agences &amp; Après-vente'!$A$2:$A$1000=$A787)*(('Agences &amp; Après-vente'!$D$2:$D$1000="Agences")+('Agences &amp; Après-vente'!$D$2:$D$1000="Agences et Après-vente"))*'Agences &amp; Après-vente'!$E$2:$E$1000)),"yyyy-mm-dd"),""))))))</f>
        <v/>
      </c>
      <c r="I787" s="131" t="str">
        <f aca="false">IF($S787="✓","✓",IF(ISNUMBER($S787),TEXT($S787,"yyyy-mm-dd"),IF($A787="","",IF(SUMPRODUCT(('Agences &amp; Après-vente'!$A$2:$A$1000=$A787)*(('Agences &amp; Après-vente'!$D$2:$D$1000="Après-vente")+('Agences &amp; Après-vente'!$D$2:$D$1000="Agences et Après-vente"))*('Agences &amp; Après-vente'!$I$2:$I$1000="DONE"))&gt;0,"✓",IF(SUMPRODUCT(MAX(('Agences &amp; Après-vente'!$A$2:$A$1000=$A787)*(('Agences &amp; Après-vente'!$D$2:$D$1000="Après-vente")+('Agences &amp; Après-vente'!$D$2:$D$1000="Agences et Après-vente"))*'Agences &amp; Après-vente'!$E$2:$E$1000))&gt;0,TEXT(SUMPRODUCT(MAX(('Agences &amp; Après-vente'!$A$2:$A$1000=$A787)*(('Agences &amp; Après-vente'!$D$2:$D$1000="Après-vente")+('Agences &amp; Après-vente'!$D$2:$D$1000="Agences et Après-vente"))*'Agences &amp; Après-vente'!$E$2:$E$1000)),"yyyy-mm-dd"),"")))))</f>
        <v/>
      </c>
      <c r="J787" s="131" t="str">
        <f aca="false">IF($T787="✓","✓",IF(ISNUMBER($T787),TEXT($T787,"yyyy-mm-dd"),IF($A787="","",IF($D787="Lisbonne","",IF(SUMPRODUCT(('Agences &amp; Après-vente'!$A$2:$A$1000=$A787)*(('Agences &amp; Après-vente'!$D$2:$D$1000="Après-vente")+('Agences &amp; Après-vente'!$D$2:$D$1000="Agences et Après-vente"))*('Agences &amp; Après-vente'!$I$2:$I$1000="DONE"))&gt;0,"✓",IF(SUMPRODUCT(MAX(('Agences &amp; Après-vente'!$A$2:$A$1000=$A787)*(('Agences &amp; Après-vente'!$D$2:$D$1000="Après-vente")+('Agences &amp; Après-vente'!$D$2:$D$1000="Agences et Après-vente"))*'Agences &amp; Après-vente'!$E$2:$E$1000))&gt;0,TEXT(SUMPRODUCT(MAX(('Agences &amp; Après-vente'!$A$2:$A$1000=$A787)*(('Agences &amp; Après-vente'!$D$2:$D$1000="Après-vente")+('Agences &amp; Après-vente'!$D$2:$D$1000="Agences et Après-vente"))*'Agences &amp; Après-vente'!$E$2:$E$1000)),"yyyy-mm-dd"),""))))))</f>
        <v/>
      </c>
      <c r="K787" s="131" t="str">
        <f aca="false">IF($U787="✓","✓",IF(ISNUMBER($U787),TEXT($U787,"yyyy-mm-dd"),IF($D787="Lisbonne","",IF($A787="","",IF(SUMPRODUCT((Evermont!$A$2:$A$1000=$A787)*(Evermont!$Q$2:$Q$1000="Terminé"))&gt;0,"✓",IF(SUMPRODUCT(MAX((Evermont!$A$2:$A$1000=$A787)*Evermont!$F$2:$F$1000))&gt;0,TEXT(SUMPRODUCT(MAX((Evermont!$A$2:$A$1000=$A787)*Evermont!$F$2:$F$1000)),"yyyy-mm-dd"),""))))))</f>
        <v/>
      </c>
      <c r="L787" s="131" t="str">
        <f aca="false">IF($A787="","",COUNTIF(E787:K787,"✓"))</f>
        <v/>
      </c>
      <c r="M787" s="131" t="str">
        <f aca="false">IF(B787="","","Active")</f>
        <v/>
      </c>
      <c r="W787" s="120" t="str">
        <f aca="false">IF($A787="","",IF($X787&lt;&gt;"",$X787,IFERROR(INDEX('Formation Initiale'!$B$2:$B$999,MATCH($A787,'Formation Initiale'!$A$2:$A$999,0)),"Général")))</f>
        <v/>
      </c>
    </row>
    <row r="788" customFormat="false" ht="15" hidden="true" customHeight="true" outlineLevel="0" collapsed="false">
      <c r="A788" s="142" t="str">
        <f aca="false">IF(B788="","","TR"&amp;TEXT(ROW()-1,"000"))</f>
        <v/>
      </c>
      <c r="E788" s="130" t="str">
        <f aca="false">IF($O788="✓","✓",IF(ISNUMBER($O788),TEXT($O788,"yyyy-mm-dd"),IF($A788="","",IF(SUMPRODUCT(('Formation Initiale'!$A$2:$A$999=$A788)*('Formation Initiale'!$R$2:$R$999="Terminé"))&gt;0,"✓",IF(SUMPRODUCT(MAX(('Formation Initiale'!$A$2:$A$999=$A788)*'Formation Initiale'!$G$2:$G$999))&gt;0,TEXT(SUMPRODUCT(MAX(('Formation Initiale'!$A$2:$A$999=$A788)*'Formation Initiale'!$G$2:$G$999)),"yyyy-mm-dd"),"")))))</f>
        <v/>
      </c>
      <c r="F788" s="131" t="str">
        <f aca="false">IF($P788="✓","✓",IF(ISNUMBER($P788),TEXT($P788,"yyyy-mm-dd"),IF($A788="","",IF($D788="Lisbonne","",IF(SUMPRODUCT(('Formation Initiale'!$A$2:$A$999=$A788)*('Formation Initiale'!$R$2:$R$999="Terminé"))&gt;0,"✓",IF(SUMPRODUCT(MAX(('Formation Initiale'!$A$2:$A$999=$A788)*'Formation Initiale'!$G$2:$G$999))&gt;0,TEXT(SUMPRODUCT(MAX(('Formation Initiale'!$A$2:$A$999=$A788)*'Formation Initiale'!$G$2:$G$999)),"yyyy-mm-dd"),""))))))</f>
        <v/>
      </c>
      <c r="G788" s="131" t="str">
        <f aca="false">IF($Q788="✓","✓",IF(ISNUMBER($Q788),TEXT($Q788,"yyyy-mm-dd"),IF($A788="","",IF(SUMPRODUCT(('Agences &amp; Après-vente'!$A$2:$A$1000=$A788)*(('Agences &amp; Après-vente'!$D$2:$D$1000="Agences")+('Agences &amp; Après-vente'!$D$2:$D$1000="Agences et Après-vente"))*('Agences &amp; Après-vente'!$I$2:$I$1000="DONE"))&gt;0,"✓",IF(SUMPRODUCT(MAX(('Agences &amp; Après-vente'!$A$2:$A$1000=$A788)*(('Agences &amp; Après-vente'!$D$2:$D$1000="Agences")+('Agences &amp; Après-vente'!$D$2:$D$1000="Agences et Après-vente"))*'Agences &amp; Après-vente'!$E$2:$E$1000))&gt;0,TEXT(SUMPRODUCT(MAX(('Agences &amp; Après-vente'!$A$2:$A$1000=$A788)*(('Agences &amp; Après-vente'!$D$2:$D$1000="Agences")+('Agences &amp; Après-vente'!$D$2:$D$1000="Agences et Après-vente"))*'Agences &amp; Après-vente'!$E$2:$E$1000)),"yyyy-mm-dd"),"")))))</f>
        <v/>
      </c>
      <c r="H788" s="131" t="str">
        <f aca="false">IF($R788="✓","✓",IF(ISNUMBER($R788),TEXT($R788,"yyyy-mm-dd"),IF($A788="","",IF($D788="Lisbonne","",IF(SUMPRODUCT(('Agences &amp; Après-vente'!$A$2:$A$1000=$A788)*(('Agences &amp; Après-vente'!$D$2:$D$1000="Agences")+('Agences &amp; Après-vente'!$D$2:$D$1000="Agences et Après-vente"))*('Agences &amp; Après-vente'!$I$2:$I$1000="DONE"))&gt;0,"✓",IF(SUMPRODUCT(MAX(('Agences &amp; Après-vente'!$A$2:$A$1000=$A788)*(('Agences &amp; Après-vente'!$D$2:$D$1000="Agences")+('Agences &amp; Après-vente'!$D$2:$D$1000="Agences et Après-vente"))*'Agences &amp; Après-vente'!$E$2:$E$1000))&gt;0,TEXT(SUMPRODUCT(MAX(('Agences &amp; Après-vente'!$A$2:$A$1000=$A788)*(('Agences &amp; Après-vente'!$D$2:$D$1000="Agences")+('Agences &amp; Après-vente'!$D$2:$D$1000="Agences et Après-vente"))*'Agences &amp; Après-vente'!$E$2:$E$1000)),"yyyy-mm-dd"),""))))))</f>
        <v/>
      </c>
      <c r="I788" s="131" t="str">
        <f aca="false">IF($S788="✓","✓",IF(ISNUMBER($S788),TEXT($S788,"yyyy-mm-dd"),IF($A788="","",IF(SUMPRODUCT(('Agences &amp; Après-vente'!$A$2:$A$1000=$A788)*(('Agences &amp; Après-vente'!$D$2:$D$1000="Après-vente")+('Agences &amp; Après-vente'!$D$2:$D$1000="Agences et Après-vente"))*('Agences &amp; Après-vente'!$I$2:$I$1000="DONE"))&gt;0,"✓",IF(SUMPRODUCT(MAX(('Agences &amp; Après-vente'!$A$2:$A$1000=$A788)*(('Agences &amp; Après-vente'!$D$2:$D$1000="Après-vente")+('Agences &amp; Après-vente'!$D$2:$D$1000="Agences et Après-vente"))*'Agences &amp; Après-vente'!$E$2:$E$1000))&gt;0,TEXT(SUMPRODUCT(MAX(('Agences &amp; Après-vente'!$A$2:$A$1000=$A788)*(('Agences &amp; Après-vente'!$D$2:$D$1000="Après-vente")+('Agences &amp; Après-vente'!$D$2:$D$1000="Agences et Après-vente"))*'Agences &amp; Après-vente'!$E$2:$E$1000)),"yyyy-mm-dd"),"")))))</f>
        <v/>
      </c>
      <c r="J788" s="131" t="str">
        <f aca="false">IF($T788="✓","✓",IF(ISNUMBER($T788),TEXT($T788,"yyyy-mm-dd"),IF($A788="","",IF($D788="Lisbonne","",IF(SUMPRODUCT(('Agences &amp; Après-vente'!$A$2:$A$1000=$A788)*(('Agences &amp; Après-vente'!$D$2:$D$1000="Après-vente")+('Agences &amp; Après-vente'!$D$2:$D$1000="Agences et Après-vente"))*('Agences &amp; Après-vente'!$I$2:$I$1000="DONE"))&gt;0,"✓",IF(SUMPRODUCT(MAX(('Agences &amp; Après-vente'!$A$2:$A$1000=$A788)*(('Agences &amp; Après-vente'!$D$2:$D$1000="Après-vente")+('Agences &amp; Après-vente'!$D$2:$D$1000="Agences et Après-vente"))*'Agences &amp; Après-vente'!$E$2:$E$1000))&gt;0,TEXT(SUMPRODUCT(MAX(('Agences &amp; Après-vente'!$A$2:$A$1000=$A788)*(('Agences &amp; Après-vente'!$D$2:$D$1000="Après-vente")+('Agences &amp; Après-vente'!$D$2:$D$1000="Agences et Après-vente"))*'Agences &amp; Après-vente'!$E$2:$E$1000)),"yyyy-mm-dd"),""))))))</f>
        <v/>
      </c>
      <c r="K788" s="131" t="str">
        <f aca="false">IF($U788="✓","✓",IF(ISNUMBER($U788),TEXT($U788,"yyyy-mm-dd"),IF($D788="Lisbonne","",IF($A788="","",IF(SUMPRODUCT((Evermont!$A$2:$A$1000=$A788)*(Evermont!$Q$2:$Q$1000="Terminé"))&gt;0,"✓",IF(SUMPRODUCT(MAX((Evermont!$A$2:$A$1000=$A788)*Evermont!$F$2:$F$1000))&gt;0,TEXT(SUMPRODUCT(MAX((Evermont!$A$2:$A$1000=$A788)*Evermont!$F$2:$F$1000)),"yyyy-mm-dd"),""))))))</f>
        <v/>
      </c>
      <c r="L788" s="131" t="str">
        <f aca="false">IF($A788="","",COUNTIF(E788:K788,"✓"))</f>
        <v/>
      </c>
      <c r="M788" s="131" t="str">
        <f aca="false">IF(B788="","","Active")</f>
        <v/>
      </c>
      <c r="W788" s="120" t="str">
        <f aca="false">IF($A788="","",IF($X788&lt;&gt;"",$X788,IFERROR(INDEX('Formation Initiale'!$B$2:$B$999,MATCH($A788,'Formation Initiale'!$A$2:$A$999,0)),"Général")))</f>
        <v/>
      </c>
    </row>
    <row r="789" customFormat="false" ht="15" hidden="true" customHeight="true" outlineLevel="0" collapsed="false">
      <c r="A789" s="142" t="str">
        <f aca="false">IF(B789="","","TR"&amp;TEXT(ROW()-1,"000"))</f>
        <v/>
      </c>
      <c r="E789" s="130" t="str">
        <f aca="false">IF($O789="✓","✓",IF(ISNUMBER($O789),TEXT($O789,"yyyy-mm-dd"),IF($A789="","",IF(SUMPRODUCT(('Formation Initiale'!$A$2:$A$999=$A789)*('Formation Initiale'!$R$2:$R$999="Terminé"))&gt;0,"✓",IF(SUMPRODUCT(MAX(('Formation Initiale'!$A$2:$A$999=$A789)*'Formation Initiale'!$G$2:$G$999))&gt;0,TEXT(SUMPRODUCT(MAX(('Formation Initiale'!$A$2:$A$999=$A789)*'Formation Initiale'!$G$2:$G$999)),"yyyy-mm-dd"),"")))))</f>
        <v/>
      </c>
      <c r="F789" s="131" t="str">
        <f aca="false">IF($P789="✓","✓",IF(ISNUMBER($P789),TEXT($P789,"yyyy-mm-dd"),IF($A789="","",IF($D789="Lisbonne","",IF(SUMPRODUCT(('Formation Initiale'!$A$2:$A$999=$A789)*('Formation Initiale'!$R$2:$R$999="Terminé"))&gt;0,"✓",IF(SUMPRODUCT(MAX(('Formation Initiale'!$A$2:$A$999=$A789)*'Formation Initiale'!$G$2:$G$999))&gt;0,TEXT(SUMPRODUCT(MAX(('Formation Initiale'!$A$2:$A$999=$A789)*'Formation Initiale'!$G$2:$G$999)),"yyyy-mm-dd"),""))))))</f>
        <v/>
      </c>
      <c r="G789" s="131" t="str">
        <f aca="false">IF($Q789="✓","✓",IF(ISNUMBER($Q789),TEXT($Q789,"yyyy-mm-dd"),IF($A789="","",IF(SUMPRODUCT(('Agences &amp; Après-vente'!$A$2:$A$1000=$A789)*(('Agences &amp; Après-vente'!$D$2:$D$1000="Agences")+('Agences &amp; Après-vente'!$D$2:$D$1000="Agences et Après-vente"))*('Agences &amp; Après-vente'!$I$2:$I$1000="DONE"))&gt;0,"✓",IF(SUMPRODUCT(MAX(('Agences &amp; Après-vente'!$A$2:$A$1000=$A789)*(('Agences &amp; Après-vente'!$D$2:$D$1000="Agences")+('Agences &amp; Après-vente'!$D$2:$D$1000="Agences et Après-vente"))*'Agences &amp; Après-vente'!$E$2:$E$1000))&gt;0,TEXT(SUMPRODUCT(MAX(('Agences &amp; Après-vente'!$A$2:$A$1000=$A789)*(('Agences &amp; Après-vente'!$D$2:$D$1000="Agences")+('Agences &amp; Après-vente'!$D$2:$D$1000="Agences et Après-vente"))*'Agences &amp; Après-vente'!$E$2:$E$1000)),"yyyy-mm-dd"),"")))))</f>
        <v/>
      </c>
      <c r="H789" s="131" t="str">
        <f aca="false">IF($R789="✓","✓",IF(ISNUMBER($R789),TEXT($R789,"yyyy-mm-dd"),IF($A789="","",IF($D789="Lisbonne","",IF(SUMPRODUCT(('Agences &amp; Après-vente'!$A$2:$A$1000=$A789)*(('Agences &amp; Après-vente'!$D$2:$D$1000="Agences")+('Agences &amp; Après-vente'!$D$2:$D$1000="Agences et Après-vente"))*('Agences &amp; Après-vente'!$I$2:$I$1000="DONE"))&gt;0,"✓",IF(SUMPRODUCT(MAX(('Agences &amp; Après-vente'!$A$2:$A$1000=$A789)*(('Agences &amp; Après-vente'!$D$2:$D$1000="Agences")+('Agences &amp; Après-vente'!$D$2:$D$1000="Agences et Après-vente"))*'Agences &amp; Après-vente'!$E$2:$E$1000))&gt;0,TEXT(SUMPRODUCT(MAX(('Agences &amp; Après-vente'!$A$2:$A$1000=$A789)*(('Agences &amp; Après-vente'!$D$2:$D$1000="Agences")+('Agences &amp; Après-vente'!$D$2:$D$1000="Agences et Après-vente"))*'Agences &amp; Après-vente'!$E$2:$E$1000)),"yyyy-mm-dd"),""))))))</f>
        <v/>
      </c>
      <c r="I789" s="131" t="str">
        <f aca="false">IF($S789="✓","✓",IF(ISNUMBER($S789),TEXT($S789,"yyyy-mm-dd"),IF($A789="","",IF(SUMPRODUCT(('Agences &amp; Après-vente'!$A$2:$A$1000=$A789)*(('Agences &amp; Après-vente'!$D$2:$D$1000="Après-vente")+('Agences &amp; Après-vente'!$D$2:$D$1000="Agences et Après-vente"))*('Agences &amp; Après-vente'!$I$2:$I$1000="DONE"))&gt;0,"✓",IF(SUMPRODUCT(MAX(('Agences &amp; Après-vente'!$A$2:$A$1000=$A789)*(('Agences &amp; Après-vente'!$D$2:$D$1000="Après-vente")+('Agences &amp; Après-vente'!$D$2:$D$1000="Agences et Après-vente"))*'Agences &amp; Après-vente'!$E$2:$E$1000))&gt;0,TEXT(SUMPRODUCT(MAX(('Agences &amp; Après-vente'!$A$2:$A$1000=$A789)*(('Agences &amp; Après-vente'!$D$2:$D$1000="Après-vente")+('Agences &amp; Après-vente'!$D$2:$D$1000="Agences et Après-vente"))*'Agences &amp; Après-vente'!$E$2:$E$1000)),"yyyy-mm-dd"),"")))))</f>
        <v/>
      </c>
      <c r="J789" s="131" t="str">
        <f aca="false">IF($T789="✓","✓",IF(ISNUMBER($T789),TEXT($T789,"yyyy-mm-dd"),IF($A789="","",IF($D789="Lisbonne","",IF(SUMPRODUCT(('Agences &amp; Après-vente'!$A$2:$A$1000=$A789)*(('Agences &amp; Après-vente'!$D$2:$D$1000="Après-vente")+('Agences &amp; Après-vente'!$D$2:$D$1000="Agences et Après-vente"))*('Agences &amp; Après-vente'!$I$2:$I$1000="DONE"))&gt;0,"✓",IF(SUMPRODUCT(MAX(('Agences &amp; Après-vente'!$A$2:$A$1000=$A789)*(('Agences &amp; Après-vente'!$D$2:$D$1000="Après-vente")+('Agences &amp; Après-vente'!$D$2:$D$1000="Agences et Après-vente"))*'Agences &amp; Après-vente'!$E$2:$E$1000))&gt;0,TEXT(SUMPRODUCT(MAX(('Agences &amp; Après-vente'!$A$2:$A$1000=$A789)*(('Agences &amp; Après-vente'!$D$2:$D$1000="Après-vente")+('Agences &amp; Après-vente'!$D$2:$D$1000="Agences et Après-vente"))*'Agences &amp; Après-vente'!$E$2:$E$1000)),"yyyy-mm-dd"),""))))))</f>
        <v/>
      </c>
      <c r="K789" s="131" t="str">
        <f aca="false">IF($U789="✓","✓",IF(ISNUMBER($U789),TEXT($U789,"yyyy-mm-dd"),IF($D789="Lisbonne","",IF($A789="","",IF(SUMPRODUCT((Evermont!$A$2:$A$1000=$A789)*(Evermont!$Q$2:$Q$1000="Terminé"))&gt;0,"✓",IF(SUMPRODUCT(MAX((Evermont!$A$2:$A$1000=$A789)*Evermont!$F$2:$F$1000))&gt;0,TEXT(SUMPRODUCT(MAX((Evermont!$A$2:$A$1000=$A789)*Evermont!$F$2:$F$1000)),"yyyy-mm-dd"),""))))))</f>
        <v/>
      </c>
      <c r="L789" s="131" t="str">
        <f aca="false">IF($A789="","",COUNTIF(E789:K789,"✓"))</f>
        <v/>
      </c>
      <c r="M789" s="131" t="str">
        <f aca="false">IF(B789="","","Active")</f>
        <v/>
      </c>
      <c r="W789" s="120" t="str">
        <f aca="false">IF($A789="","",IF($X789&lt;&gt;"",$X789,IFERROR(INDEX('Formation Initiale'!$B$2:$B$999,MATCH($A789,'Formation Initiale'!$A$2:$A$999,0)),"Général")))</f>
        <v/>
      </c>
    </row>
    <row r="790" customFormat="false" ht="15" hidden="true" customHeight="true" outlineLevel="0" collapsed="false">
      <c r="A790" s="142" t="str">
        <f aca="false">IF(B790="","","TR"&amp;TEXT(ROW()-1,"000"))</f>
        <v/>
      </c>
      <c r="E790" s="130" t="str">
        <f aca="false">IF($O790="✓","✓",IF(ISNUMBER($O790),TEXT($O790,"yyyy-mm-dd"),IF($A790="","",IF(SUMPRODUCT(('Formation Initiale'!$A$2:$A$999=$A790)*('Formation Initiale'!$R$2:$R$999="Terminé"))&gt;0,"✓",IF(SUMPRODUCT(MAX(('Formation Initiale'!$A$2:$A$999=$A790)*'Formation Initiale'!$G$2:$G$999))&gt;0,TEXT(SUMPRODUCT(MAX(('Formation Initiale'!$A$2:$A$999=$A790)*'Formation Initiale'!$G$2:$G$999)),"yyyy-mm-dd"),"")))))</f>
        <v/>
      </c>
      <c r="F790" s="131" t="str">
        <f aca="false">IF($P790="✓","✓",IF(ISNUMBER($P790),TEXT($P790,"yyyy-mm-dd"),IF($A790="","",IF($D790="Lisbonne","",IF(SUMPRODUCT(('Formation Initiale'!$A$2:$A$999=$A790)*('Formation Initiale'!$R$2:$R$999="Terminé"))&gt;0,"✓",IF(SUMPRODUCT(MAX(('Formation Initiale'!$A$2:$A$999=$A790)*'Formation Initiale'!$G$2:$G$999))&gt;0,TEXT(SUMPRODUCT(MAX(('Formation Initiale'!$A$2:$A$999=$A790)*'Formation Initiale'!$G$2:$G$999)),"yyyy-mm-dd"),""))))))</f>
        <v/>
      </c>
      <c r="G790" s="131" t="str">
        <f aca="false">IF($Q790="✓","✓",IF(ISNUMBER($Q790),TEXT($Q790,"yyyy-mm-dd"),IF($A790="","",IF(SUMPRODUCT(('Agences &amp; Après-vente'!$A$2:$A$1000=$A790)*(('Agences &amp; Après-vente'!$D$2:$D$1000="Agences")+('Agences &amp; Après-vente'!$D$2:$D$1000="Agences et Après-vente"))*('Agences &amp; Après-vente'!$I$2:$I$1000="DONE"))&gt;0,"✓",IF(SUMPRODUCT(MAX(('Agences &amp; Après-vente'!$A$2:$A$1000=$A790)*(('Agences &amp; Après-vente'!$D$2:$D$1000="Agences")+('Agences &amp; Après-vente'!$D$2:$D$1000="Agences et Après-vente"))*'Agences &amp; Après-vente'!$E$2:$E$1000))&gt;0,TEXT(SUMPRODUCT(MAX(('Agences &amp; Après-vente'!$A$2:$A$1000=$A790)*(('Agences &amp; Après-vente'!$D$2:$D$1000="Agences")+('Agences &amp; Après-vente'!$D$2:$D$1000="Agences et Après-vente"))*'Agences &amp; Après-vente'!$E$2:$E$1000)),"yyyy-mm-dd"),"")))))</f>
        <v/>
      </c>
      <c r="H790" s="131" t="str">
        <f aca="false">IF($R790="✓","✓",IF(ISNUMBER($R790),TEXT($R790,"yyyy-mm-dd"),IF($A790="","",IF($D790="Lisbonne","",IF(SUMPRODUCT(('Agences &amp; Après-vente'!$A$2:$A$1000=$A790)*(('Agences &amp; Après-vente'!$D$2:$D$1000="Agences")+('Agences &amp; Après-vente'!$D$2:$D$1000="Agences et Après-vente"))*('Agences &amp; Après-vente'!$I$2:$I$1000="DONE"))&gt;0,"✓",IF(SUMPRODUCT(MAX(('Agences &amp; Après-vente'!$A$2:$A$1000=$A790)*(('Agences &amp; Après-vente'!$D$2:$D$1000="Agences")+('Agences &amp; Après-vente'!$D$2:$D$1000="Agences et Après-vente"))*'Agences &amp; Après-vente'!$E$2:$E$1000))&gt;0,TEXT(SUMPRODUCT(MAX(('Agences &amp; Après-vente'!$A$2:$A$1000=$A790)*(('Agences &amp; Après-vente'!$D$2:$D$1000="Agences")+('Agences &amp; Après-vente'!$D$2:$D$1000="Agences et Après-vente"))*'Agences &amp; Après-vente'!$E$2:$E$1000)),"yyyy-mm-dd"),""))))))</f>
        <v/>
      </c>
      <c r="I790" s="131" t="str">
        <f aca="false">IF($S790="✓","✓",IF(ISNUMBER($S790),TEXT($S790,"yyyy-mm-dd"),IF($A790="","",IF(SUMPRODUCT(('Agences &amp; Après-vente'!$A$2:$A$1000=$A790)*(('Agences &amp; Après-vente'!$D$2:$D$1000="Après-vente")+('Agences &amp; Après-vente'!$D$2:$D$1000="Agences et Après-vente"))*('Agences &amp; Après-vente'!$I$2:$I$1000="DONE"))&gt;0,"✓",IF(SUMPRODUCT(MAX(('Agences &amp; Après-vente'!$A$2:$A$1000=$A790)*(('Agences &amp; Après-vente'!$D$2:$D$1000="Après-vente")+('Agences &amp; Après-vente'!$D$2:$D$1000="Agences et Après-vente"))*'Agences &amp; Après-vente'!$E$2:$E$1000))&gt;0,TEXT(SUMPRODUCT(MAX(('Agences &amp; Après-vente'!$A$2:$A$1000=$A790)*(('Agences &amp; Après-vente'!$D$2:$D$1000="Après-vente")+('Agences &amp; Après-vente'!$D$2:$D$1000="Agences et Après-vente"))*'Agences &amp; Après-vente'!$E$2:$E$1000)),"yyyy-mm-dd"),"")))))</f>
        <v/>
      </c>
      <c r="J790" s="131" t="str">
        <f aca="false">IF($T790="✓","✓",IF(ISNUMBER($T790),TEXT($T790,"yyyy-mm-dd"),IF($A790="","",IF($D790="Lisbonne","",IF(SUMPRODUCT(('Agences &amp; Après-vente'!$A$2:$A$1000=$A790)*(('Agences &amp; Après-vente'!$D$2:$D$1000="Après-vente")+('Agences &amp; Après-vente'!$D$2:$D$1000="Agences et Après-vente"))*('Agences &amp; Après-vente'!$I$2:$I$1000="DONE"))&gt;0,"✓",IF(SUMPRODUCT(MAX(('Agences &amp; Après-vente'!$A$2:$A$1000=$A790)*(('Agences &amp; Après-vente'!$D$2:$D$1000="Après-vente")+('Agences &amp; Après-vente'!$D$2:$D$1000="Agences et Après-vente"))*'Agences &amp; Après-vente'!$E$2:$E$1000))&gt;0,TEXT(SUMPRODUCT(MAX(('Agences &amp; Après-vente'!$A$2:$A$1000=$A790)*(('Agences &amp; Après-vente'!$D$2:$D$1000="Après-vente")+('Agences &amp; Après-vente'!$D$2:$D$1000="Agences et Après-vente"))*'Agences &amp; Après-vente'!$E$2:$E$1000)),"yyyy-mm-dd"),""))))))</f>
        <v/>
      </c>
      <c r="K790" s="131" t="str">
        <f aca="false">IF($U790="✓","✓",IF(ISNUMBER($U790),TEXT($U790,"yyyy-mm-dd"),IF($D790="Lisbonne","",IF($A790="","",IF(SUMPRODUCT((Evermont!$A$2:$A$1000=$A790)*(Evermont!$Q$2:$Q$1000="Terminé"))&gt;0,"✓",IF(SUMPRODUCT(MAX((Evermont!$A$2:$A$1000=$A790)*Evermont!$F$2:$F$1000))&gt;0,TEXT(SUMPRODUCT(MAX((Evermont!$A$2:$A$1000=$A790)*Evermont!$F$2:$F$1000)),"yyyy-mm-dd"),""))))))</f>
        <v/>
      </c>
      <c r="L790" s="131" t="str">
        <f aca="false">IF($A790="","",COUNTIF(E790:K790,"✓"))</f>
        <v/>
      </c>
      <c r="M790" s="131" t="str">
        <f aca="false">IF(B790="","","Active")</f>
        <v/>
      </c>
      <c r="W790" s="120" t="str">
        <f aca="false">IF($A790="","",IF($X790&lt;&gt;"",$X790,IFERROR(INDEX('Formation Initiale'!$B$2:$B$999,MATCH($A790,'Formation Initiale'!$A$2:$A$999,0)),"Général")))</f>
        <v/>
      </c>
    </row>
    <row r="791" customFormat="false" ht="15" hidden="true" customHeight="true" outlineLevel="0" collapsed="false">
      <c r="A791" s="142" t="str">
        <f aca="false">IF(B791="","","TR"&amp;TEXT(ROW()-1,"000"))</f>
        <v/>
      </c>
      <c r="E791" s="130" t="str">
        <f aca="false">IF($O791="✓","✓",IF(ISNUMBER($O791),TEXT($O791,"yyyy-mm-dd"),IF($A791="","",IF(SUMPRODUCT(('Formation Initiale'!$A$2:$A$999=$A791)*('Formation Initiale'!$R$2:$R$999="Terminé"))&gt;0,"✓",IF(SUMPRODUCT(MAX(('Formation Initiale'!$A$2:$A$999=$A791)*'Formation Initiale'!$G$2:$G$999))&gt;0,TEXT(SUMPRODUCT(MAX(('Formation Initiale'!$A$2:$A$999=$A791)*'Formation Initiale'!$G$2:$G$999)),"yyyy-mm-dd"),"")))))</f>
        <v/>
      </c>
      <c r="F791" s="131" t="str">
        <f aca="false">IF($P791="✓","✓",IF(ISNUMBER($P791),TEXT($P791,"yyyy-mm-dd"),IF($A791="","",IF($D791="Lisbonne","",IF(SUMPRODUCT(('Formation Initiale'!$A$2:$A$999=$A791)*('Formation Initiale'!$R$2:$R$999="Terminé"))&gt;0,"✓",IF(SUMPRODUCT(MAX(('Formation Initiale'!$A$2:$A$999=$A791)*'Formation Initiale'!$G$2:$G$999))&gt;0,TEXT(SUMPRODUCT(MAX(('Formation Initiale'!$A$2:$A$999=$A791)*'Formation Initiale'!$G$2:$G$999)),"yyyy-mm-dd"),""))))))</f>
        <v/>
      </c>
      <c r="G791" s="131" t="str">
        <f aca="false">IF($Q791="✓","✓",IF(ISNUMBER($Q791),TEXT($Q791,"yyyy-mm-dd"),IF($A791="","",IF(SUMPRODUCT(('Agences &amp; Après-vente'!$A$2:$A$1000=$A791)*(('Agences &amp; Après-vente'!$D$2:$D$1000="Agences")+('Agences &amp; Après-vente'!$D$2:$D$1000="Agences et Après-vente"))*('Agences &amp; Après-vente'!$I$2:$I$1000="DONE"))&gt;0,"✓",IF(SUMPRODUCT(MAX(('Agences &amp; Après-vente'!$A$2:$A$1000=$A791)*(('Agences &amp; Après-vente'!$D$2:$D$1000="Agences")+('Agences &amp; Après-vente'!$D$2:$D$1000="Agences et Après-vente"))*'Agences &amp; Après-vente'!$E$2:$E$1000))&gt;0,TEXT(SUMPRODUCT(MAX(('Agences &amp; Après-vente'!$A$2:$A$1000=$A791)*(('Agences &amp; Après-vente'!$D$2:$D$1000="Agences")+('Agences &amp; Après-vente'!$D$2:$D$1000="Agences et Après-vente"))*'Agences &amp; Après-vente'!$E$2:$E$1000)),"yyyy-mm-dd"),"")))))</f>
        <v/>
      </c>
      <c r="H791" s="131" t="str">
        <f aca="false">IF($R791="✓","✓",IF(ISNUMBER($R791),TEXT($R791,"yyyy-mm-dd"),IF($A791="","",IF($D791="Lisbonne","",IF(SUMPRODUCT(('Agences &amp; Après-vente'!$A$2:$A$1000=$A791)*(('Agences &amp; Après-vente'!$D$2:$D$1000="Agences")+('Agences &amp; Après-vente'!$D$2:$D$1000="Agences et Après-vente"))*('Agences &amp; Après-vente'!$I$2:$I$1000="DONE"))&gt;0,"✓",IF(SUMPRODUCT(MAX(('Agences &amp; Après-vente'!$A$2:$A$1000=$A791)*(('Agences &amp; Après-vente'!$D$2:$D$1000="Agences")+('Agences &amp; Après-vente'!$D$2:$D$1000="Agences et Après-vente"))*'Agences &amp; Après-vente'!$E$2:$E$1000))&gt;0,TEXT(SUMPRODUCT(MAX(('Agences &amp; Après-vente'!$A$2:$A$1000=$A791)*(('Agences &amp; Après-vente'!$D$2:$D$1000="Agences")+('Agences &amp; Après-vente'!$D$2:$D$1000="Agences et Après-vente"))*'Agences &amp; Après-vente'!$E$2:$E$1000)),"yyyy-mm-dd"),""))))))</f>
        <v/>
      </c>
      <c r="I791" s="131" t="str">
        <f aca="false">IF($S791="✓","✓",IF(ISNUMBER($S791),TEXT($S791,"yyyy-mm-dd"),IF($A791="","",IF(SUMPRODUCT(('Agences &amp; Après-vente'!$A$2:$A$1000=$A791)*(('Agences &amp; Après-vente'!$D$2:$D$1000="Après-vente")+('Agences &amp; Après-vente'!$D$2:$D$1000="Agences et Après-vente"))*('Agences &amp; Après-vente'!$I$2:$I$1000="DONE"))&gt;0,"✓",IF(SUMPRODUCT(MAX(('Agences &amp; Après-vente'!$A$2:$A$1000=$A791)*(('Agences &amp; Après-vente'!$D$2:$D$1000="Après-vente")+('Agences &amp; Après-vente'!$D$2:$D$1000="Agences et Après-vente"))*'Agences &amp; Après-vente'!$E$2:$E$1000))&gt;0,TEXT(SUMPRODUCT(MAX(('Agences &amp; Après-vente'!$A$2:$A$1000=$A791)*(('Agences &amp; Après-vente'!$D$2:$D$1000="Après-vente")+('Agences &amp; Après-vente'!$D$2:$D$1000="Agences et Après-vente"))*'Agences &amp; Après-vente'!$E$2:$E$1000)),"yyyy-mm-dd"),"")))))</f>
        <v/>
      </c>
      <c r="J791" s="131" t="str">
        <f aca="false">IF($T791="✓","✓",IF(ISNUMBER($T791),TEXT($T791,"yyyy-mm-dd"),IF($A791="","",IF($D791="Lisbonne","",IF(SUMPRODUCT(('Agences &amp; Après-vente'!$A$2:$A$1000=$A791)*(('Agences &amp; Après-vente'!$D$2:$D$1000="Après-vente")+('Agences &amp; Après-vente'!$D$2:$D$1000="Agences et Après-vente"))*('Agences &amp; Après-vente'!$I$2:$I$1000="DONE"))&gt;0,"✓",IF(SUMPRODUCT(MAX(('Agences &amp; Après-vente'!$A$2:$A$1000=$A791)*(('Agences &amp; Après-vente'!$D$2:$D$1000="Après-vente")+('Agences &amp; Après-vente'!$D$2:$D$1000="Agences et Après-vente"))*'Agences &amp; Après-vente'!$E$2:$E$1000))&gt;0,TEXT(SUMPRODUCT(MAX(('Agences &amp; Après-vente'!$A$2:$A$1000=$A791)*(('Agences &amp; Après-vente'!$D$2:$D$1000="Après-vente")+('Agences &amp; Après-vente'!$D$2:$D$1000="Agences et Après-vente"))*'Agences &amp; Après-vente'!$E$2:$E$1000)),"yyyy-mm-dd"),""))))))</f>
        <v/>
      </c>
      <c r="K791" s="131" t="str">
        <f aca="false">IF($U791="✓","✓",IF(ISNUMBER($U791),TEXT($U791,"yyyy-mm-dd"),IF($D791="Lisbonne","",IF($A791="","",IF(SUMPRODUCT((Evermont!$A$2:$A$1000=$A791)*(Evermont!$Q$2:$Q$1000="Terminé"))&gt;0,"✓",IF(SUMPRODUCT(MAX((Evermont!$A$2:$A$1000=$A791)*Evermont!$F$2:$F$1000))&gt;0,TEXT(SUMPRODUCT(MAX((Evermont!$A$2:$A$1000=$A791)*Evermont!$F$2:$F$1000)),"yyyy-mm-dd"),""))))))</f>
        <v/>
      </c>
      <c r="L791" s="131" t="str">
        <f aca="false">IF($A791="","",COUNTIF(E791:K791,"✓"))</f>
        <v/>
      </c>
      <c r="M791" s="131" t="str">
        <f aca="false">IF(B791="","","Active")</f>
        <v/>
      </c>
      <c r="W791" s="120" t="str">
        <f aca="false">IF($A791="","",IF($X791&lt;&gt;"",$X791,IFERROR(INDEX('Formation Initiale'!$B$2:$B$999,MATCH($A791,'Formation Initiale'!$A$2:$A$999,0)),"Général")))</f>
        <v/>
      </c>
    </row>
    <row r="792" customFormat="false" ht="15" hidden="true" customHeight="true" outlineLevel="0" collapsed="false">
      <c r="A792" s="142" t="str">
        <f aca="false">IF(B792="","","TR"&amp;TEXT(ROW()-1,"000"))</f>
        <v/>
      </c>
      <c r="E792" s="130" t="str">
        <f aca="false">IF($O792="✓","✓",IF(ISNUMBER($O792),TEXT($O792,"yyyy-mm-dd"),IF($A792="","",IF(SUMPRODUCT(('Formation Initiale'!$A$2:$A$999=$A792)*('Formation Initiale'!$R$2:$R$999="Terminé"))&gt;0,"✓",IF(SUMPRODUCT(MAX(('Formation Initiale'!$A$2:$A$999=$A792)*'Formation Initiale'!$G$2:$G$999))&gt;0,TEXT(SUMPRODUCT(MAX(('Formation Initiale'!$A$2:$A$999=$A792)*'Formation Initiale'!$G$2:$G$999)),"yyyy-mm-dd"),"")))))</f>
        <v/>
      </c>
      <c r="F792" s="131" t="str">
        <f aca="false">IF($P792="✓","✓",IF(ISNUMBER($P792),TEXT($P792,"yyyy-mm-dd"),IF($A792="","",IF($D792="Lisbonne","",IF(SUMPRODUCT(('Formation Initiale'!$A$2:$A$999=$A792)*('Formation Initiale'!$R$2:$R$999="Terminé"))&gt;0,"✓",IF(SUMPRODUCT(MAX(('Formation Initiale'!$A$2:$A$999=$A792)*'Formation Initiale'!$G$2:$G$999))&gt;0,TEXT(SUMPRODUCT(MAX(('Formation Initiale'!$A$2:$A$999=$A792)*'Formation Initiale'!$G$2:$G$999)),"yyyy-mm-dd"),""))))))</f>
        <v/>
      </c>
      <c r="G792" s="131" t="str">
        <f aca="false">IF($Q792="✓","✓",IF(ISNUMBER($Q792),TEXT($Q792,"yyyy-mm-dd"),IF($A792="","",IF(SUMPRODUCT(('Agences &amp; Après-vente'!$A$2:$A$1000=$A792)*(('Agences &amp; Après-vente'!$D$2:$D$1000="Agences")+('Agences &amp; Après-vente'!$D$2:$D$1000="Agences et Après-vente"))*('Agences &amp; Après-vente'!$I$2:$I$1000="DONE"))&gt;0,"✓",IF(SUMPRODUCT(MAX(('Agences &amp; Après-vente'!$A$2:$A$1000=$A792)*(('Agences &amp; Après-vente'!$D$2:$D$1000="Agences")+('Agences &amp; Après-vente'!$D$2:$D$1000="Agences et Après-vente"))*'Agences &amp; Après-vente'!$E$2:$E$1000))&gt;0,TEXT(SUMPRODUCT(MAX(('Agences &amp; Après-vente'!$A$2:$A$1000=$A792)*(('Agences &amp; Après-vente'!$D$2:$D$1000="Agences")+('Agences &amp; Après-vente'!$D$2:$D$1000="Agences et Après-vente"))*'Agences &amp; Après-vente'!$E$2:$E$1000)),"yyyy-mm-dd"),"")))))</f>
        <v/>
      </c>
      <c r="H792" s="131" t="str">
        <f aca="false">IF($R792="✓","✓",IF(ISNUMBER($R792),TEXT($R792,"yyyy-mm-dd"),IF($A792="","",IF($D792="Lisbonne","",IF(SUMPRODUCT(('Agences &amp; Après-vente'!$A$2:$A$1000=$A792)*(('Agences &amp; Après-vente'!$D$2:$D$1000="Agences")+('Agences &amp; Après-vente'!$D$2:$D$1000="Agences et Après-vente"))*('Agences &amp; Après-vente'!$I$2:$I$1000="DONE"))&gt;0,"✓",IF(SUMPRODUCT(MAX(('Agences &amp; Après-vente'!$A$2:$A$1000=$A792)*(('Agences &amp; Après-vente'!$D$2:$D$1000="Agences")+('Agences &amp; Après-vente'!$D$2:$D$1000="Agences et Après-vente"))*'Agences &amp; Après-vente'!$E$2:$E$1000))&gt;0,TEXT(SUMPRODUCT(MAX(('Agences &amp; Après-vente'!$A$2:$A$1000=$A792)*(('Agences &amp; Après-vente'!$D$2:$D$1000="Agences")+('Agences &amp; Après-vente'!$D$2:$D$1000="Agences et Après-vente"))*'Agences &amp; Après-vente'!$E$2:$E$1000)),"yyyy-mm-dd"),""))))))</f>
        <v/>
      </c>
      <c r="I792" s="131" t="str">
        <f aca="false">IF($S792="✓","✓",IF(ISNUMBER($S792),TEXT($S792,"yyyy-mm-dd"),IF($A792="","",IF(SUMPRODUCT(('Agences &amp; Après-vente'!$A$2:$A$1000=$A792)*(('Agences &amp; Après-vente'!$D$2:$D$1000="Après-vente")+('Agences &amp; Après-vente'!$D$2:$D$1000="Agences et Après-vente"))*('Agences &amp; Après-vente'!$I$2:$I$1000="DONE"))&gt;0,"✓",IF(SUMPRODUCT(MAX(('Agences &amp; Après-vente'!$A$2:$A$1000=$A792)*(('Agences &amp; Après-vente'!$D$2:$D$1000="Après-vente")+('Agences &amp; Après-vente'!$D$2:$D$1000="Agences et Après-vente"))*'Agences &amp; Après-vente'!$E$2:$E$1000))&gt;0,TEXT(SUMPRODUCT(MAX(('Agences &amp; Après-vente'!$A$2:$A$1000=$A792)*(('Agences &amp; Après-vente'!$D$2:$D$1000="Après-vente")+('Agences &amp; Après-vente'!$D$2:$D$1000="Agences et Après-vente"))*'Agences &amp; Après-vente'!$E$2:$E$1000)),"yyyy-mm-dd"),"")))))</f>
        <v/>
      </c>
      <c r="J792" s="131" t="str">
        <f aca="false">IF($T792="✓","✓",IF(ISNUMBER($T792),TEXT($T792,"yyyy-mm-dd"),IF($A792="","",IF($D792="Lisbonne","",IF(SUMPRODUCT(('Agences &amp; Après-vente'!$A$2:$A$1000=$A792)*(('Agences &amp; Après-vente'!$D$2:$D$1000="Après-vente")+('Agences &amp; Après-vente'!$D$2:$D$1000="Agences et Après-vente"))*('Agences &amp; Après-vente'!$I$2:$I$1000="DONE"))&gt;0,"✓",IF(SUMPRODUCT(MAX(('Agences &amp; Après-vente'!$A$2:$A$1000=$A792)*(('Agences &amp; Après-vente'!$D$2:$D$1000="Après-vente")+('Agences &amp; Après-vente'!$D$2:$D$1000="Agences et Après-vente"))*'Agences &amp; Après-vente'!$E$2:$E$1000))&gt;0,TEXT(SUMPRODUCT(MAX(('Agences &amp; Après-vente'!$A$2:$A$1000=$A792)*(('Agences &amp; Après-vente'!$D$2:$D$1000="Après-vente")+('Agences &amp; Après-vente'!$D$2:$D$1000="Agences et Après-vente"))*'Agences &amp; Après-vente'!$E$2:$E$1000)),"yyyy-mm-dd"),""))))))</f>
        <v/>
      </c>
      <c r="K792" s="131" t="str">
        <f aca="false">IF($U792="✓","✓",IF(ISNUMBER($U792),TEXT($U792,"yyyy-mm-dd"),IF($D792="Lisbonne","",IF($A792="","",IF(SUMPRODUCT((Evermont!$A$2:$A$1000=$A792)*(Evermont!$Q$2:$Q$1000="Terminé"))&gt;0,"✓",IF(SUMPRODUCT(MAX((Evermont!$A$2:$A$1000=$A792)*Evermont!$F$2:$F$1000))&gt;0,TEXT(SUMPRODUCT(MAX((Evermont!$A$2:$A$1000=$A792)*Evermont!$F$2:$F$1000)),"yyyy-mm-dd"),""))))))</f>
        <v/>
      </c>
      <c r="L792" s="131" t="str">
        <f aca="false">IF($A792="","",COUNTIF(E792:K792,"✓"))</f>
        <v/>
      </c>
      <c r="M792" s="131" t="str">
        <f aca="false">IF(B792="","","Active")</f>
        <v/>
      </c>
      <c r="W792" s="120" t="str">
        <f aca="false">IF($A792="","",IF($X792&lt;&gt;"",$X792,IFERROR(INDEX('Formation Initiale'!$B$2:$B$999,MATCH($A792,'Formation Initiale'!$A$2:$A$999,0)),"Général")))</f>
        <v/>
      </c>
    </row>
    <row r="793" customFormat="false" ht="15" hidden="true" customHeight="true" outlineLevel="0" collapsed="false">
      <c r="A793" s="142" t="str">
        <f aca="false">IF(B793="","","TR"&amp;TEXT(ROW()-1,"000"))</f>
        <v/>
      </c>
      <c r="E793" s="130" t="str">
        <f aca="false">IF($O793="✓","✓",IF(ISNUMBER($O793),TEXT($O793,"yyyy-mm-dd"),IF($A793="","",IF(SUMPRODUCT(('Formation Initiale'!$A$2:$A$999=$A793)*('Formation Initiale'!$R$2:$R$999="Terminé"))&gt;0,"✓",IF(SUMPRODUCT(MAX(('Formation Initiale'!$A$2:$A$999=$A793)*'Formation Initiale'!$G$2:$G$999))&gt;0,TEXT(SUMPRODUCT(MAX(('Formation Initiale'!$A$2:$A$999=$A793)*'Formation Initiale'!$G$2:$G$999)),"yyyy-mm-dd"),"")))))</f>
        <v/>
      </c>
      <c r="F793" s="131" t="str">
        <f aca="false">IF($P793="✓","✓",IF(ISNUMBER($P793),TEXT($P793,"yyyy-mm-dd"),IF($A793="","",IF($D793="Lisbonne","",IF(SUMPRODUCT(('Formation Initiale'!$A$2:$A$999=$A793)*('Formation Initiale'!$R$2:$R$999="Terminé"))&gt;0,"✓",IF(SUMPRODUCT(MAX(('Formation Initiale'!$A$2:$A$999=$A793)*'Formation Initiale'!$G$2:$G$999))&gt;0,TEXT(SUMPRODUCT(MAX(('Formation Initiale'!$A$2:$A$999=$A793)*'Formation Initiale'!$G$2:$G$999)),"yyyy-mm-dd"),""))))))</f>
        <v/>
      </c>
      <c r="G793" s="131" t="str">
        <f aca="false">IF($Q793="✓","✓",IF(ISNUMBER($Q793),TEXT($Q793,"yyyy-mm-dd"),IF($A793="","",IF(SUMPRODUCT(('Agences &amp; Après-vente'!$A$2:$A$1000=$A793)*(('Agences &amp; Après-vente'!$D$2:$D$1000="Agences")+('Agences &amp; Après-vente'!$D$2:$D$1000="Agences et Après-vente"))*('Agences &amp; Après-vente'!$I$2:$I$1000="DONE"))&gt;0,"✓",IF(SUMPRODUCT(MAX(('Agences &amp; Après-vente'!$A$2:$A$1000=$A793)*(('Agences &amp; Après-vente'!$D$2:$D$1000="Agences")+('Agences &amp; Après-vente'!$D$2:$D$1000="Agences et Après-vente"))*'Agences &amp; Après-vente'!$E$2:$E$1000))&gt;0,TEXT(SUMPRODUCT(MAX(('Agences &amp; Après-vente'!$A$2:$A$1000=$A793)*(('Agences &amp; Après-vente'!$D$2:$D$1000="Agences")+('Agences &amp; Après-vente'!$D$2:$D$1000="Agences et Après-vente"))*'Agences &amp; Après-vente'!$E$2:$E$1000)),"yyyy-mm-dd"),"")))))</f>
        <v/>
      </c>
      <c r="H793" s="131" t="str">
        <f aca="false">IF($R793="✓","✓",IF(ISNUMBER($R793),TEXT($R793,"yyyy-mm-dd"),IF($A793="","",IF($D793="Lisbonne","",IF(SUMPRODUCT(('Agences &amp; Après-vente'!$A$2:$A$1000=$A793)*(('Agences &amp; Après-vente'!$D$2:$D$1000="Agences")+('Agences &amp; Après-vente'!$D$2:$D$1000="Agences et Après-vente"))*('Agences &amp; Après-vente'!$I$2:$I$1000="DONE"))&gt;0,"✓",IF(SUMPRODUCT(MAX(('Agences &amp; Après-vente'!$A$2:$A$1000=$A793)*(('Agences &amp; Après-vente'!$D$2:$D$1000="Agences")+('Agences &amp; Après-vente'!$D$2:$D$1000="Agences et Après-vente"))*'Agences &amp; Après-vente'!$E$2:$E$1000))&gt;0,TEXT(SUMPRODUCT(MAX(('Agences &amp; Après-vente'!$A$2:$A$1000=$A793)*(('Agences &amp; Après-vente'!$D$2:$D$1000="Agences")+('Agences &amp; Après-vente'!$D$2:$D$1000="Agences et Après-vente"))*'Agences &amp; Après-vente'!$E$2:$E$1000)),"yyyy-mm-dd"),""))))))</f>
        <v/>
      </c>
      <c r="I793" s="131" t="str">
        <f aca="false">IF($S793="✓","✓",IF(ISNUMBER($S793),TEXT($S793,"yyyy-mm-dd"),IF($A793="","",IF(SUMPRODUCT(('Agences &amp; Après-vente'!$A$2:$A$1000=$A793)*(('Agences &amp; Après-vente'!$D$2:$D$1000="Après-vente")+('Agences &amp; Après-vente'!$D$2:$D$1000="Agences et Après-vente"))*('Agences &amp; Après-vente'!$I$2:$I$1000="DONE"))&gt;0,"✓",IF(SUMPRODUCT(MAX(('Agences &amp; Après-vente'!$A$2:$A$1000=$A793)*(('Agences &amp; Après-vente'!$D$2:$D$1000="Après-vente")+('Agences &amp; Après-vente'!$D$2:$D$1000="Agences et Après-vente"))*'Agences &amp; Après-vente'!$E$2:$E$1000))&gt;0,TEXT(SUMPRODUCT(MAX(('Agences &amp; Après-vente'!$A$2:$A$1000=$A793)*(('Agences &amp; Après-vente'!$D$2:$D$1000="Après-vente")+('Agences &amp; Après-vente'!$D$2:$D$1000="Agences et Après-vente"))*'Agences &amp; Après-vente'!$E$2:$E$1000)),"yyyy-mm-dd"),"")))))</f>
        <v/>
      </c>
      <c r="J793" s="131" t="str">
        <f aca="false">IF($T793="✓","✓",IF(ISNUMBER($T793),TEXT($T793,"yyyy-mm-dd"),IF($A793="","",IF($D793="Lisbonne","",IF(SUMPRODUCT(('Agences &amp; Après-vente'!$A$2:$A$1000=$A793)*(('Agences &amp; Après-vente'!$D$2:$D$1000="Après-vente")+('Agences &amp; Après-vente'!$D$2:$D$1000="Agences et Après-vente"))*('Agences &amp; Après-vente'!$I$2:$I$1000="DONE"))&gt;0,"✓",IF(SUMPRODUCT(MAX(('Agences &amp; Après-vente'!$A$2:$A$1000=$A793)*(('Agences &amp; Après-vente'!$D$2:$D$1000="Après-vente")+('Agences &amp; Après-vente'!$D$2:$D$1000="Agences et Après-vente"))*'Agences &amp; Après-vente'!$E$2:$E$1000))&gt;0,TEXT(SUMPRODUCT(MAX(('Agences &amp; Après-vente'!$A$2:$A$1000=$A793)*(('Agences &amp; Après-vente'!$D$2:$D$1000="Après-vente")+('Agences &amp; Après-vente'!$D$2:$D$1000="Agences et Après-vente"))*'Agences &amp; Après-vente'!$E$2:$E$1000)),"yyyy-mm-dd"),""))))))</f>
        <v/>
      </c>
      <c r="K793" s="131" t="str">
        <f aca="false">IF($U793="✓","✓",IF(ISNUMBER($U793),TEXT($U793,"yyyy-mm-dd"),IF($D793="Lisbonne","",IF($A793="","",IF(SUMPRODUCT((Evermont!$A$2:$A$1000=$A793)*(Evermont!$Q$2:$Q$1000="Terminé"))&gt;0,"✓",IF(SUMPRODUCT(MAX((Evermont!$A$2:$A$1000=$A793)*Evermont!$F$2:$F$1000))&gt;0,TEXT(SUMPRODUCT(MAX((Evermont!$A$2:$A$1000=$A793)*Evermont!$F$2:$F$1000)),"yyyy-mm-dd"),""))))))</f>
        <v/>
      </c>
      <c r="L793" s="131" t="str">
        <f aca="false">IF($A793="","",COUNTIF(E793:K793,"✓"))</f>
        <v/>
      </c>
      <c r="M793" s="131" t="str">
        <f aca="false">IF(B793="","","Active")</f>
        <v/>
      </c>
      <c r="W793" s="120" t="str">
        <f aca="false">IF($A793="","",IF($X793&lt;&gt;"",$X793,IFERROR(INDEX('Formation Initiale'!$B$2:$B$999,MATCH($A793,'Formation Initiale'!$A$2:$A$999,0)),"Général")))</f>
        <v/>
      </c>
    </row>
    <row r="794" customFormat="false" ht="15" hidden="true" customHeight="true" outlineLevel="0" collapsed="false">
      <c r="A794" s="142" t="str">
        <f aca="false">IF(B794="","","TR"&amp;TEXT(ROW()-1,"000"))</f>
        <v/>
      </c>
      <c r="E794" s="130" t="str">
        <f aca="false">IF($O794="✓","✓",IF(ISNUMBER($O794),TEXT($O794,"yyyy-mm-dd"),IF($A794="","",IF(SUMPRODUCT(('Formation Initiale'!$A$2:$A$999=$A794)*('Formation Initiale'!$R$2:$R$999="Terminé"))&gt;0,"✓",IF(SUMPRODUCT(MAX(('Formation Initiale'!$A$2:$A$999=$A794)*'Formation Initiale'!$G$2:$G$999))&gt;0,TEXT(SUMPRODUCT(MAX(('Formation Initiale'!$A$2:$A$999=$A794)*'Formation Initiale'!$G$2:$G$999)),"yyyy-mm-dd"),"")))))</f>
        <v/>
      </c>
      <c r="F794" s="131" t="str">
        <f aca="false">IF($P794="✓","✓",IF(ISNUMBER($P794),TEXT($P794,"yyyy-mm-dd"),IF($A794="","",IF($D794="Lisbonne","",IF(SUMPRODUCT(('Formation Initiale'!$A$2:$A$999=$A794)*('Formation Initiale'!$R$2:$R$999="Terminé"))&gt;0,"✓",IF(SUMPRODUCT(MAX(('Formation Initiale'!$A$2:$A$999=$A794)*'Formation Initiale'!$G$2:$G$999))&gt;0,TEXT(SUMPRODUCT(MAX(('Formation Initiale'!$A$2:$A$999=$A794)*'Formation Initiale'!$G$2:$G$999)),"yyyy-mm-dd"),""))))))</f>
        <v/>
      </c>
      <c r="G794" s="131" t="str">
        <f aca="false">IF($Q794="✓","✓",IF(ISNUMBER($Q794),TEXT($Q794,"yyyy-mm-dd"),IF($A794="","",IF(SUMPRODUCT(('Agences &amp; Après-vente'!$A$2:$A$1000=$A794)*(('Agences &amp; Après-vente'!$D$2:$D$1000="Agences")+('Agences &amp; Après-vente'!$D$2:$D$1000="Agences et Après-vente"))*('Agences &amp; Après-vente'!$I$2:$I$1000="DONE"))&gt;0,"✓",IF(SUMPRODUCT(MAX(('Agences &amp; Après-vente'!$A$2:$A$1000=$A794)*(('Agences &amp; Après-vente'!$D$2:$D$1000="Agences")+('Agences &amp; Après-vente'!$D$2:$D$1000="Agences et Après-vente"))*'Agences &amp; Après-vente'!$E$2:$E$1000))&gt;0,TEXT(SUMPRODUCT(MAX(('Agences &amp; Après-vente'!$A$2:$A$1000=$A794)*(('Agences &amp; Après-vente'!$D$2:$D$1000="Agences")+('Agences &amp; Après-vente'!$D$2:$D$1000="Agences et Après-vente"))*'Agences &amp; Après-vente'!$E$2:$E$1000)),"yyyy-mm-dd"),"")))))</f>
        <v/>
      </c>
      <c r="H794" s="131" t="str">
        <f aca="false">IF($R794="✓","✓",IF(ISNUMBER($R794),TEXT($R794,"yyyy-mm-dd"),IF($A794="","",IF($D794="Lisbonne","",IF(SUMPRODUCT(('Agences &amp; Après-vente'!$A$2:$A$1000=$A794)*(('Agences &amp; Après-vente'!$D$2:$D$1000="Agences")+('Agences &amp; Après-vente'!$D$2:$D$1000="Agences et Après-vente"))*('Agences &amp; Après-vente'!$I$2:$I$1000="DONE"))&gt;0,"✓",IF(SUMPRODUCT(MAX(('Agences &amp; Après-vente'!$A$2:$A$1000=$A794)*(('Agences &amp; Après-vente'!$D$2:$D$1000="Agences")+('Agences &amp; Après-vente'!$D$2:$D$1000="Agences et Après-vente"))*'Agences &amp; Après-vente'!$E$2:$E$1000))&gt;0,TEXT(SUMPRODUCT(MAX(('Agences &amp; Après-vente'!$A$2:$A$1000=$A794)*(('Agences &amp; Après-vente'!$D$2:$D$1000="Agences")+('Agences &amp; Après-vente'!$D$2:$D$1000="Agences et Après-vente"))*'Agences &amp; Après-vente'!$E$2:$E$1000)),"yyyy-mm-dd"),""))))))</f>
        <v/>
      </c>
      <c r="I794" s="131" t="str">
        <f aca="false">IF($S794="✓","✓",IF(ISNUMBER($S794),TEXT($S794,"yyyy-mm-dd"),IF($A794="","",IF(SUMPRODUCT(('Agences &amp; Après-vente'!$A$2:$A$1000=$A794)*(('Agences &amp; Après-vente'!$D$2:$D$1000="Après-vente")+('Agences &amp; Après-vente'!$D$2:$D$1000="Agences et Après-vente"))*('Agences &amp; Après-vente'!$I$2:$I$1000="DONE"))&gt;0,"✓",IF(SUMPRODUCT(MAX(('Agences &amp; Après-vente'!$A$2:$A$1000=$A794)*(('Agences &amp; Après-vente'!$D$2:$D$1000="Après-vente")+('Agences &amp; Après-vente'!$D$2:$D$1000="Agences et Après-vente"))*'Agences &amp; Après-vente'!$E$2:$E$1000))&gt;0,TEXT(SUMPRODUCT(MAX(('Agences &amp; Après-vente'!$A$2:$A$1000=$A794)*(('Agences &amp; Après-vente'!$D$2:$D$1000="Après-vente")+('Agences &amp; Après-vente'!$D$2:$D$1000="Agences et Après-vente"))*'Agences &amp; Après-vente'!$E$2:$E$1000)),"yyyy-mm-dd"),"")))))</f>
        <v/>
      </c>
      <c r="J794" s="131" t="str">
        <f aca="false">IF($T794="✓","✓",IF(ISNUMBER($T794),TEXT($T794,"yyyy-mm-dd"),IF($A794="","",IF($D794="Lisbonne","",IF(SUMPRODUCT(('Agences &amp; Après-vente'!$A$2:$A$1000=$A794)*(('Agences &amp; Après-vente'!$D$2:$D$1000="Après-vente")+('Agences &amp; Après-vente'!$D$2:$D$1000="Agences et Après-vente"))*('Agences &amp; Après-vente'!$I$2:$I$1000="DONE"))&gt;0,"✓",IF(SUMPRODUCT(MAX(('Agences &amp; Après-vente'!$A$2:$A$1000=$A794)*(('Agences &amp; Après-vente'!$D$2:$D$1000="Après-vente")+('Agences &amp; Après-vente'!$D$2:$D$1000="Agences et Après-vente"))*'Agences &amp; Après-vente'!$E$2:$E$1000))&gt;0,TEXT(SUMPRODUCT(MAX(('Agences &amp; Après-vente'!$A$2:$A$1000=$A794)*(('Agences &amp; Après-vente'!$D$2:$D$1000="Après-vente")+('Agences &amp; Après-vente'!$D$2:$D$1000="Agences et Après-vente"))*'Agences &amp; Après-vente'!$E$2:$E$1000)),"yyyy-mm-dd"),""))))))</f>
        <v/>
      </c>
      <c r="K794" s="131" t="str">
        <f aca="false">IF($U794="✓","✓",IF(ISNUMBER($U794),TEXT($U794,"yyyy-mm-dd"),IF($D794="Lisbonne","",IF($A794="","",IF(SUMPRODUCT((Evermont!$A$2:$A$1000=$A794)*(Evermont!$Q$2:$Q$1000="Terminé"))&gt;0,"✓",IF(SUMPRODUCT(MAX((Evermont!$A$2:$A$1000=$A794)*Evermont!$F$2:$F$1000))&gt;0,TEXT(SUMPRODUCT(MAX((Evermont!$A$2:$A$1000=$A794)*Evermont!$F$2:$F$1000)),"yyyy-mm-dd"),""))))))</f>
        <v/>
      </c>
      <c r="L794" s="131" t="str">
        <f aca="false">IF($A794="","",COUNTIF(E794:K794,"✓"))</f>
        <v/>
      </c>
      <c r="M794" s="131" t="str">
        <f aca="false">IF(B794="","","Active")</f>
        <v/>
      </c>
      <c r="W794" s="120" t="str">
        <f aca="false">IF($A794="","",IF($X794&lt;&gt;"",$X794,IFERROR(INDEX('Formation Initiale'!$B$2:$B$999,MATCH($A794,'Formation Initiale'!$A$2:$A$999,0)),"Général")))</f>
        <v/>
      </c>
    </row>
    <row r="795" customFormat="false" ht="15" hidden="true" customHeight="true" outlineLevel="0" collapsed="false">
      <c r="A795" s="142" t="str">
        <f aca="false">IF(B795="","","TR"&amp;TEXT(ROW()-1,"000"))</f>
        <v/>
      </c>
      <c r="E795" s="130" t="str">
        <f aca="false">IF($O795="✓","✓",IF(ISNUMBER($O795),TEXT($O795,"yyyy-mm-dd"),IF($A795="","",IF(SUMPRODUCT(('Formation Initiale'!$A$2:$A$999=$A795)*('Formation Initiale'!$R$2:$R$999="Terminé"))&gt;0,"✓",IF(SUMPRODUCT(MAX(('Formation Initiale'!$A$2:$A$999=$A795)*'Formation Initiale'!$G$2:$G$999))&gt;0,TEXT(SUMPRODUCT(MAX(('Formation Initiale'!$A$2:$A$999=$A795)*'Formation Initiale'!$G$2:$G$999)),"yyyy-mm-dd"),"")))))</f>
        <v/>
      </c>
      <c r="F795" s="131" t="str">
        <f aca="false">IF($P795="✓","✓",IF(ISNUMBER($P795),TEXT($P795,"yyyy-mm-dd"),IF($A795="","",IF($D795="Lisbonne","",IF(SUMPRODUCT(('Formation Initiale'!$A$2:$A$999=$A795)*('Formation Initiale'!$R$2:$R$999="Terminé"))&gt;0,"✓",IF(SUMPRODUCT(MAX(('Formation Initiale'!$A$2:$A$999=$A795)*'Formation Initiale'!$G$2:$G$999))&gt;0,TEXT(SUMPRODUCT(MAX(('Formation Initiale'!$A$2:$A$999=$A795)*'Formation Initiale'!$G$2:$G$999)),"yyyy-mm-dd"),""))))))</f>
        <v/>
      </c>
      <c r="G795" s="131" t="str">
        <f aca="false">IF($Q795="✓","✓",IF(ISNUMBER($Q795),TEXT($Q795,"yyyy-mm-dd"),IF($A795="","",IF(SUMPRODUCT(('Agences &amp; Après-vente'!$A$2:$A$1000=$A795)*(('Agences &amp; Après-vente'!$D$2:$D$1000="Agences")+('Agences &amp; Après-vente'!$D$2:$D$1000="Agences et Après-vente"))*('Agences &amp; Après-vente'!$I$2:$I$1000="DONE"))&gt;0,"✓",IF(SUMPRODUCT(MAX(('Agences &amp; Après-vente'!$A$2:$A$1000=$A795)*(('Agences &amp; Après-vente'!$D$2:$D$1000="Agences")+('Agences &amp; Après-vente'!$D$2:$D$1000="Agences et Après-vente"))*'Agences &amp; Après-vente'!$E$2:$E$1000))&gt;0,TEXT(SUMPRODUCT(MAX(('Agences &amp; Après-vente'!$A$2:$A$1000=$A795)*(('Agences &amp; Après-vente'!$D$2:$D$1000="Agences")+('Agences &amp; Après-vente'!$D$2:$D$1000="Agences et Après-vente"))*'Agences &amp; Après-vente'!$E$2:$E$1000)),"yyyy-mm-dd"),"")))))</f>
        <v/>
      </c>
      <c r="H795" s="131" t="str">
        <f aca="false">IF($R795="✓","✓",IF(ISNUMBER($R795),TEXT($R795,"yyyy-mm-dd"),IF($A795="","",IF($D795="Lisbonne","",IF(SUMPRODUCT(('Agences &amp; Après-vente'!$A$2:$A$1000=$A795)*(('Agences &amp; Après-vente'!$D$2:$D$1000="Agences")+('Agences &amp; Après-vente'!$D$2:$D$1000="Agences et Après-vente"))*('Agences &amp; Après-vente'!$I$2:$I$1000="DONE"))&gt;0,"✓",IF(SUMPRODUCT(MAX(('Agences &amp; Après-vente'!$A$2:$A$1000=$A795)*(('Agences &amp; Après-vente'!$D$2:$D$1000="Agences")+('Agences &amp; Après-vente'!$D$2:$D$1000="Agences et Après-vente"))*'Agences &amp; Après-vente'!$E$2:$E$1000))&gt;0,TEXT(SUMPRODUCT(MAX(('Agences &amp; Après-vente'!$A$2:$A$1000=$A795)*(('Agences &amp; Après-vente'!$D$2:$D$1000="Agences")+('Agences &amp; Après-vente'!$D$2:$D$1000="Agences et Après-vente"))*'Agences &amp; Après-vente'!$E$2:$E$1000)),"yyyy-mm-dd"),""))))))</f>
        <v/>
      </c>
      <c r="I795" s="131" t="str">
        <f aca="false">IF($S795="✓","✓",IF(ISNUMBER($S795),TEXT($S795,"yyyy-mm-dd"),IF($A795="","",IF(SUMPRODUCT(('Agences &amp; Après-vente'!$A$2:$A$1000=$A795)*(('Agences &amp; Après-vente'!$D$2:$D$1000="Après-vente")+('Agences &amp; Après-vente'!$D$2:$D$1000="Agences et Après-vente"))*('Agences &amp; Après-vente'!$I$2:$I$1000="DONE"))&gt;0,"✓",IF(SUMPRODUCT(MAX(('Agences &amp; Après-vente'!$A$2:$A$1000=$A795)*(('Agences &amp; Après-vente'!$D$2:$D$1000="Après-vente")+('Agences &amp; Après-vente'!$D$2:$D$1000="Agences et Après-vente"))*'Agences &amp; Après-vente'!$E$2:$E$1000))&gt;0,TEXT(SUMPRODUCT(MAX(('Agences &amp; Après-vente'!$A$2:$A$1000=$A795)*(('Agences &amp; Après-vente'!$D$2:$D$1000="Après-vente")+('Agences &amp; Après-vente'!$D$2:$D$1000="Agences et Après-vente"))*'Agences &amp; Après-vente'!$E$2:$E$1000)),"yyyy-mm-dd"),"")))))</f>
        <v/>
      </c>
      <c r="J795" s="131" t="str">
        <f aca="false">IF($T795="✓","✓",IF(ISNUMBER($T795),TEXT($T795,"yyyy-mm-dd"),IF($A795="","",IF($D795="Lisbonne","",IF(SUMPRODUCT(('Agences &amp; Après-vente'!$A$2:$A$1000=$A795)*(('Agences &amp; Après-vente'!$D$2:$D$1000="Après-vente")+('Agences &amp; Après-vente'!$D$2:$D$1000="Agences et Après-vente"))*('Agences &amp; Après-vente'!$I$2:$I$1000="DONE"))&gt;0,"✓",IF(SUMPRODUCT(MAX(('Agences &amp; Après-vente'!$A$2:$A$1000=$A795)*(('Agences &amp; Après-vente'!$D$2:$D$1000="Après-vente")+('Agences &amp; Après-vente'!$D$2:$D$1000="Agences et Après-vente"))*'Agences &amp; Après-vente'!$E$2:$E$1000))&gt;0,TEXT(SUMPRODUCT(MAX(('Agences &amp; Après-vente'!$A$2:$A$1000=$A795)*(('Agences &amp; Après-vente'!$D$2:$D$1000="Après-vente")+('Agences &amp; Après-vente'!$D$2:$D$1000="Agences et Après-vente"))*'Agences &amp; Après-vente'!$E$2:$E$1000)),"yyyy-mm-dd"),""))))))</f>
        <v/>
      </c>
      <c r="K795" s="131" t="str">
        <f aca="false">IF($U795="✓","✓",IF(ISNUMBER($U795),TEXT($U795,"yyyy-mm-dd"),IF($D795="Lisbonne","",IF($A795="","",IF(SUMPRODUCT((Evermont!$A$2:$A$1000=$A795)*(Evermont!$Q$2:$Q$1000="Terminé"))&gt;0,"✓",IF(SUMPRODUCT(MAX((Evermont!$A$2:$A$1000=$A795)*Evermont!$F$2:$F$1000))&gt;0,TEXT(SUMPRODUCT(MAX((Evermont!$A$2:$A$1000=$A795)*Evermont!$F$2:$F$1000)),"yyyy-mm-dd"),""))))))</f>
        <v/>
      </c>
      <c r="L795" s="131" t="str">
        <f aca="false">IF($A795="","",COUNTIF(E795:K795,"✓"))</f>
        <v/>
      </c>
      <c r="M795" s="131" t="str">
        <f aca="false">IF(B795="","","Active")</f>
        <v/>
      </c>
      <c r="W795" s="120" t="str">
        <f aca="false">IF($A795="","",IF($X795&lt;&gt;"",$X795,IFERROR(INDEX('Formation Initiale'!$B$2:$B$999,MATCH($A795,'Formation Initiale'!$A$2:$A$999,0)),"Général")))</f>
        <v/>
      </c>
    </row>
    <row r="796" customFormat="false" ht="15" hidden="true" customHeight="true" outlineLevel="0" collapsed="false">
      <c r="A796" s="142" t="str">
        <f aca="false">IF(B796="","","TR"&amp;TEXT(ROW()-1,"000"))</f>
        <v/>
      </c>
      <c r="E796" s="130" t="str">
        <f aca="false">IF($O796="✓","✓",IF(ISNUMBER($O796),TEXT($O796,"yyyy-mm-dd"),IF($A796="","",IF(SUMPRODUCT(('Formation Initiale'!$A$2:$A$999=$A796)*('Formation Initiale'!$R$2:$R$999="Terminé"))&gt;0,"✓",IF(SUMPRODUCT(MAX(('Formation Initiale'!$A$2:$A$999=$A796)*'Formation Initiale'!$G$2:$G$999))&gt;0,TEXT(SUMPRODUCT(MAX(('Formation Initiale'!$A$2:$A$999=$A796)*'Formation Initiale'!$G$2:$G$999)),"yyyy-mm-dd"),"")))))</f>
        <v/>
      </c>
      <c r="F796" s="131" t="str">
        <f aca="false">IF($P796="✓","✓",IF(ISNUMBER($P796),TEXT($P796,"yyyy-mm-dd"),IF($A796="","",IF($D796="Lisbonne","",IF(SUMPRODUCT(('Formation Initiale'!$A$2:$A$999=$A796)*('Formation Initiale'!$R$2:$R$999="Terminé"))&gt;0,"✓",IF(SUMPRODUCT(MAX(('Formation Initiale'!$A$2:$A$999=$A796)*'Formation Initiale'!$G$2:$G$999))&gt;0,TEXT(SUMPRODUCT(MAX(('Formation Initiale'!$A$2:$A$999=$A796)*'Formation Initiale'!$G$2:$G$999)),"yyyy-mm-dd"),""))))))</f>
        <v/>
      </c>
      <c r="G796" s="131" t="str">
        <f aca="false">IF($Q796="✓","✓",IF(ISNUMBER($Q796),TEXT($Q796,"yyyy-mm-dd"),IF($A796="","",IF(SUMPRODUCT(('Agences &amp; Après-vente'!$A$2:$A$1000=$A796)*(('Agences &amp; Après-vente'!$D$2:$D$1000="Agences")+('Agences &amp; Après-vente'!$D$2:$D$1000="Agences et Après-vente"))*('Agences &amp; Après-vente'!$I$2:$I$1000="DONE"))&gt;0,"✓",IF(SUMPRODUCT(MAX(('Agences &amp; Après-vente'!$A$2:$A$1000=$A796)*(('Agences &amp; Après-vente'!$D$2:$D$1000="Agences")+('Agences &amp; Après-vente'!$D$2:$D$1000="Agences et Après-vente"))*'Agences &amp; Après-vente'!$E$2:$E$1000))&gt;0,TEXT(SUMPRODUCT(MAX(('Agences &amp; Après-vente'!$A$2:$A$1000=$A796)*(('Agences &amp; Après-vente'!$D$2:$D$1000="Agences")+('Agences &amp; Après-vente'!$D$2:$D$1000="Agences et Après-vente"))*'Agences &amp; Après-vente'!$E$2:$E$1000)),"yyyy-mm-dd"),"")))))</f>
        <v/>
      </c>
      <c r="H796" s="131" t="str">
        <f aca="false">IF($R796="✓","✓",IF(ISNUMBER($R796),TEXT($R796,"yyyy-mm-dd"),IF($A796="","",IF($D796="Lisbonne","",IF(SUMPRODUCT(('Agences &amp; Après-vente'!$A$2:$A$1000=$A796)*(('Agences &amp; Après-vente'!$D$2:$D$1000="Agences")+('Agences &amp; Après-vente'!$D$2:$D$1000="Agences et Après-vente"))*('Agences &amp; Après-vente'!$I$2:$I$1000="DONE"))&gt;0,"✓",IF(SUMPRODUCT(MAX(('Agences &amp; Après-vente'!$A$2:$A$1000=$A796)*(('Agences &amp; Après-vente'!$D$2:$D$1000="Agences")+('Agences &amp; Après-vente'!$D$2:$D$1000="Agences et Après-vente"))*'Agences &amp; Après-vente'!$E$2:$E$1000))&gt;0,TEXT(SUMPRODUCT(MAX(('Agences &amp; Après-vente'!$A$2:$A$1000=$A796)*(('Agences &amp; Après-vente'!$D$2:$D$1000="Agences")+('Agences &amp; Après-vente'!$D$2:$D$1000="Agences et Après-vente"))*'Agences &amp; Après-vente'!$E$2:$E$1000)),"yyyy-mm-dd"),""))))))</f>
        <v/>
      </c>
      <c r="I796" s="131" t="str">
        <f aca="false">IF($S796="✓","✓",IF(ISNUMBER($S796),TEXT($S796,"yyyy-mm-dd"),IF($A796="","",IF(SUMPRODUCT(('Agences &amp; Après-vente'!$A$2:$A$1000=$A796)*(('Agences &amp; Après-vente'!$D$2:$D$1000="Après-vente")+('Agences &amp; Après-vente'!$D$2:$D$1000="Agences et Après-vente"))*('Agences &amp; Après-vente'!$I$2:$I$1000="DONE"))&gt;0,"✓",IF(SUMPRODUCT(MAX(('Agences &amp; Après-vente'!$A$2:$A$1000=$A796)*(('Agences &amp; Après-vente'!$D$2:$D$1000="Après-vente")+('Agences &amp; Après-vente'!$D$2:$D$1000="Agences et Après-vente"))*'Agences &amp; Après-vente'!$E$2:$E$1000))&gt;0,TEXT(SUMPRODUCT(MAX(('Agences &amp; Après-vente'!$A$2:$A$1000=$A796)*(('Agences &amp; Après-vente'!$D$2:$D$1000="Après-vente")+('Agences &amp; Après-vente'!$D$2:$D$1000="Agences et Après-vente"))*'Agences &amp; Après-vente'!$E$2:$E$1000)),"yyyy-mm-dd"),"")))))</f>
        <v/>
      </c>
      <c r="J796" s="131" t="str">
        <f aca="false">IF($T796="✓","✓",IF(ISNUMBER($T796),TEXT($T796,"yyyy-mm-dd"),IF($A796="","",IF($D796="Lisbonne","",IF(SUMPRODUCT(('Agences &amp; Après-vente'!$A$2:$A$1000=$A796)*(('Agences &amp; Après-vente'!$D$2:$D$1000="Après-vente")+('Agences &amp; Après-vente'!$D$2:$D$1000="Agences et Après-vente"))*('Agences &amp; Après-vente'!$I$2:$I$1000="DONE"))&gt;0,"✓",IF(SUMPRODUCT(MAX(('Agences &amp; Après-vente'!$A$2:$A$1000=$A796)*(('Agences &amp; Après-vente'!$D$2:$D$1000="Après-vente")+('Agences &amp; Après-vente'!$D$2:$D$1000="Agences et Après-vente"))*'Agences &amp; Après-vente'!$E$2:$E$1000))&gt;0,TEXT(SUMPRODUCT(MAX(('Agences &amp; Après-vente'!$A$2:$A$1000=$A796)*(('Agences &amp; Après-vente'!$D$2:$D$1000="Après-vente")+('Agences &amp; Après-vente'!$D$2:$D$1000="Agences et Après-vente"))*'Agences &amp; Après-vente'!$E$2:$E$1000)),"yyyy-mm-dd"),""))))))</f>
        <v/>
      </c>
      <c r="K796" s="131" t="str">
        <f aca="false">IF($U796="✓","✓",IF(ISNUMBER($U796),TEXT($U796,"yyyy-mm-dd"),IF($D796="Lisbonne","",IF($A796="","",IF(SUMPRODUCT((Evermont!$A$2:$A$1000=$A796)*(Evermont!$Q$2:$Q$1000="Terminé"))&gt;0,"✓",IF(SUMPRODUCT(MAX((Evermont!$A$2:$A$1000=$A796)*Evermont!$F$2:$F$1000))&gt;0,TEXT(SUMPRODUCT(MAX((Evermont!$A$2:$A$1000=$A796)*Evermont!$F$2:$F$1000)),"yyyy-mm-dd"),""))))))</f>
        <v/>
      </c>
      <c r="L796" s="131" t="str">
        <f aca="false">IF($A796="","",COUNTIF(E796:K796,"✓"))</f>
        <v/>
      </c>
      <c r="M796" s="131" t="str">
        <f aca="false">IF(B796="","","Active")</f>
        <v/>
      </c>
      <c r="W796" s="120" t="str">
        <f aca="false">IF($A796="","",IF($X796&lt;&gt;"",$X796,IFERROR(INDEX('Formation Initiale'!$B$2:$B$999,MATCH($A796,'Formation Initiale'!$A$2:$A$999,0)),"Général")))</f>
        <v/>
      </c>
    </row>
    <row r="797" customFormat="false" ht="15" hidden="true" customHeight="true" outlineLevel="0" collapsed="false">
      <c r="A797" s="142" t="str">
        <f aca="false">IF(B797="","","TR"&amp;TEXT(ROW()-1,"000"))</f>
        <v/>
      </c>
      <c r="E797" s="130" t="str">
        <f aca="false">IF($O797="✓","✓",IF(ISNUMBER($O797),TEXT($O797,"yyyy-mm-dd"),IF($A797="","",IF(SUMPRODUCT(('Formation Initiale'!$A$2:$A$999=$A797)*('Formation Initiale'!$R$2:$R$999="Terminé"))&gt;0,"✓",IF(SUMPRODUCT(MAX(('Formation Initiale'!$A$2:$A$999=$A797)*'Formation Initiale'!$G$2:$G$999))&gt;0,TEXT(SUMPRODUCT(MAX(('Formation Initiale'!$A$2:$A$999=$A797)*'Formation Initiale'!$G$2:$G$999)),"yyyy-mm-dd"),"")))))</f>
        <v/>
      </c>
      <c r="F797" s="131" t="str">
        <f aca="false">IF($P797="✓","✓",IF(ISNUMBER($P797),TEXT($P797,"yyyy-mm-dd"),IF($A797="","",IF($D797="Lisbonne","",IF(SUMPRODUCT(('Formation Initiale'!$A$2:$A$999=$A797)*('Formation Initiale'!$R$2:$R$999="Terminé"))&gt;0,"✓",IF(SUMPRODUCT(MAX(('Formation Initiale'!$A$2:$A$999=$A797)*'Formation Initiale'!$G$2:$G$999))&gt;0,TEXT(SUMPRODUCT(MAX(('Formation Initiale'!$A$2:$A$999=$A797)*'Formation Initiale'!$G$2:$G$999)),"yyyy-mm-dd"),""))))))</f>
        <v/>
      </c>
      <c r="G797" s="131" t="str">
        <f aca="false">IF($Q797="✓","✓",IF(ISNUMBER($Q797),TEXT($Q797,"yyyy-mm-dd"),IF($A797="","",IF(SUMPRODUCT(('Agences &amp; Après-vente'!$A$2:$A$1000=$A797)*(('Agences &amp; Après-vente'!$D$2:$D$1000="Agences")+('Agences &amp; Après-vente'!$D$2:$D$1000="Agences et Après-vente"))*('Agences &amp; Après-vente'!$I$2:$I$1000="DONE"))&gt;0,"✓",IF(SUMPRODUCT(MAX(('Agences &amp; Après-vente'!$A$2:$A$1000=$A797)*(('Agences &amp; Après-vente'!$D$2:$D$1000="Agences")+('Agences &amp; Après-vente'!$D$2:$D$1000="Agences et Après-vente"))*'Agences &amp; Après-vente'!$E$2:$E$1000))&gt;0,TEXT(SUMPRODUCT(MAX(('Agences &amp; Après-vente'!$A$2:$A$1000=$A797)*(('Agences &amp; Après-vente'!$D$2:$D$1000="Agences")+('Agences &amp; Après-vente'!$D$2:$D$1000="Agences et Après-vente"))*'Agences &amp; Après-vente'!$E$2:$E$1000)),"yyyy-mm-dd"),"")))))</f>
        <v/>
      </c>
      <c r="H797" s="131" t="str">
        <f aca="false">IF($R797="✓","✓",IF(ISNUMBER($R797),TEXT($R797,"yyyy-mm-dd"),IF($A797="","",IF($D797="Lisbonne","",IF(SUMPRODUCT(('Agences &amp; Après-vente'!$A$2:$A$1000=$A797)*(('Agences &amp; Après-vente'!$D$2:$D$1000="Agences")+('Agences &amp; Après-vente'!$D$2:$D$1000="Agences et Après-vente"))*('Agences &amp; Après-vente'!$I$2:$I$1000="DONE"))&gt;0,"✓",IF(SUMPRODUCT(MAX(('Agences &amp; Après-vente'!$A$2:$A$1000=$A797)*(('Agences &amp; Après-vente'!$D$2:$D$1000="Agences")+('Agences &amp; Après-vente'!$D$2:$D$1000="Agences et Après-vente"))*'Agences &amp; Après-vente'!$E$2:$E$1000))&gt;0,TEXT(SUMPRODUCT(MAX(('Agences &amp; Après-vente'!$A$2:$A$1000=$A797)*(('Agences &amp; Après-vente'!$D$2:$D$1000="Agences")+('Agences &amp; Après-vente'!$D$2:$D$1000="Agences et Après-vente"))*'Agences &amp; Après-vente'!$E$2:$E$1000)),"yyyy-mm-dd"),""))))))</f>
        <v/>
      </c>
      <c r="I797" s="131" t="str">
        <f aca="false">IF($S797="✓","✓",IF(ISNUMBER($S797),TEXT($S797,"yyyy-mm-dd"),IF($A797="","",IF(SUMPRODUCT(('Agences &amp; Après-vente'!$A$2:$A$1000=$A797)*(('Agences &amp; Après-vente'!$D$2:$D$1000="Après-vente")+('Agences &amp; Après-vente'!$D$2:$D$1000="Agences et Après-vente"))*('Agences &amp; Après-vente'!$I$2:$I$1000="DONE"))&gt;0,"✓",IF(SUMPRODUCT(MAX(('Agences &amp; Après-vente'!$A$2:$A$1000=$A797)*(('Agences &amp; Après-vente'!$D$2:$D$1000="Après-vente")+('Agences &amp; Après-vente'!$D$2:$D$1000="Agences et Après-vente"))*'Agences &amp; Après-vente'!$E$2:$E$1000))&gt;0,TEXT(SUMPRODUCT(MAX(('Agences &amp; Après-vente'!$A$2:$A$1000=$A797)*(('Agences &amp; Après-vente'!$D$2:$D$1000="Après-vente")+('Agences &amp; Après-vente'!$D$2:$D$1000="Agences et Après-vente"))*'Agences &amp; Après-vente'!$E$2:$E$1000)),"yyyy-mm-dd"),"")))))</f>
        <v/>
      </c>
      <c r="J797" s="131" t="str">
        <f aca="false">IF($T797="✓","✓",IF(ISNUMBER($T797),TEXT($T797,"yyyy-mm-dd"),IF($A797="","",IF($D797="Lisbonne","",IF(SUMPRODUCT(('Agences &amp; Après-vente'!$A$2:$A$1000=$A797)*(('Agences &amp; Après-vente'!$D$2:$D$1000="Après-vente")+('Agences &amp; Après-vente'!$D$2:$D$1000="Agences et Après-vente"))*('Agences &amp; Après-vente'!$I$2:$I$1000="DONE"))&gt;0,"✓",IF(SUMPRODUCT(MAX(('Agences &amp; Après-vente'!$A$2:$A$1000=$A797)*(('Agences &amp; Après-vente'!$D$2:$D$1000="Après-vente")+('Agences &amp; Après-vente'!$D$2:$D$1000="Agences et Après-vente"))*'Agences &amp; Après-vente'!$E$2:$E$1000))&gt;0,TEXT(SUMPRODUCT(MAX(('Agences &amp; Après-vente'!$A$2:$A$1000=$A797)*(('Agences &amp; Après-vente'!$D$2:$D$1000="Après-vente")+('Agences &amp; Après-vente'!$D$2:$D$1000="Agences et Après-vente"))*'Agences &amp; Après-vente'!$E$2:$E$1000)),"yyyy-mm-dd"),""))))))</f>
        <v/>
      </c>
      <c r="K797" s="131" t="str">
        <f aca="false">IF($U797="✓","✓",IF(ISNUMBER($U797),TEXT($U797,"yyyy-mm-dd"),IF($D797="Lisbonne","",IF($A797="","",IF(SUMPRODUCT((Evermont!$A$2:$A$1000=$A797)*(Evermont!$Q$2:$Q$1000="Terminé"))&gt;0,"✓",IF(SUMPRODUCT(MAX((Evermont!$A$2:$A$1000=$A797)*Evermont!$F$2:$F$1000))&gt;0,TEXT(SUMPRODUCT(MAX((Evermont!$A$2:$A$1000=$A797)*Evermont!$F$2:$F$1000)),"yyyy-mm-dd"),""))))))</f>
        <v/>
      </c>
      <c r="L797" s="131" t="str">
        <f aca="false">IF($A797="","",COUNTIF(E797:K797,"✓"))</f>
        <v/>
      </c>
      <c r="M797" s="131" t="str">
        <f aca="false">IF(B797="","","Active")</f>
        <v/>
      </c>
      <c r="W797" s="120" t="str">
        <f aca="false">IF($A797="","",IF($X797&lt;&gt;"",$X797,IFERROR(INDEX('Formation Initiale'!$B$2:$B$999,MATCH($A797,'Formation Initiale'!$A$2:$A$999,0)),"Général")))</f>
        <v/>
      </c>
    </row>
    <row r="798" customFormat="false" ht="15" hidden="true" customHeight="true" outlineLevel="0" collapsed="false">
      <c r="A798" s="142" t="str">
        <f aca="false">IF(B798="","","TR"&amp;TEXT(ROW()-1,"000"))</f>
        <v/>
      </c>
      <c r="E798" s="130" t="str">
        <f aca="false">IF($O798="✓","✓",IF(ISNUMBER($O798),TEXT($O798,"yyyy-mm-dd"),IF($A798="","",IF(SUMPRODUCT(('Formation Initiale'!$A$2:$A$999=$A798)*('Formation Initiale'!$R$2:$R$999="Terminé"))&gt;0,"✓",IF(SUMPRODUCT(MAX(('Formation Initiale'!$A$2:$A$999=$A798)*'Formation Initiale'!$G$2:$G$999))&gt;0,TEXT(SUMPRODUCT(MAX(('Formation Initiale'!$A$2:$A$999=$A798)*'Formation Initiale'!$G$2:$G$999)),"yyyy-mm-dd"),"")))))</f>
        <v/>
      </c>
      <c r="F798" s="131" t="str">
        <f aca="false">IF($P798="✓","✓",IF(ISNUMBER($P798),TEXT($P798,"yyyy-mm-dd"),IF($A798="","",IF($D798="Lisbonne","",IF(SUMPRODUCT(('Formation Initiale'!$A$2:$A$999=$A798)*('Formation Initiale'!$R$2:$R$999="Terminé"))&gt;0,"✓",IF(SUMPRODUCT(MAX(('Formation Initiale'!$A$2:$A$999=$A798)*'Formation Initiale'!$G$2:$G$999))&gt;0,TEXT(SUMPRODUCT(MAX(('Formation Initiale'!$A$2:$A$999=$A798)*'Formation Initiale'!$G$2:$G$999)),"yyyy-mm-dd"),""))))))</f>
        <v/>
      </c>
      <c r="G798" s="131" t="str">
        <f aca="false">IF($Q798="✓","✓",IF(ISNUMBER($Q798),TEXT($Q798,"yyyy-mm-dd"),IF($A798="","",IF(SUMPRODUCT(('Agences &amp; Après-vente'!$A$2:$A$1000=$A798)*(('Agences &amp; Après-vente'!$D$2:$D$1000="Agences")+('Agences &amp; Après-vente'!$D$2:$D$1000="Agences et Après-vente"))*('Agences &amp; Après-vente'!$I$2:$I$1000="DONE"))&gt;0,"✓",IF(SUMPRODUCT(MAX(('Agences &amp; Après-vente'!$A$2:$A$1000=$A798)*(('Agences &amp; Après-vente'!$D$2:$D$1000="Agences")+('Agences &amp; Après-vente'!$D$2:$D$1000="Agences et Après-vente"))*'Agences &amp; Après-vente'!$E$2:$E$1000))&gt;0,TEXT(SUMPRODUCT(MAX(('Agences &amp; Après-vente'!$A$2:$A$1000=$A798)*(('Agences &amp; Après-vente'!$D$2:$D$1000="Agences")+('Agences &amp; Après-vente'!$D$2:$D$1000="Agences et Après-vente"))*'Agences &amp; Après-vente'!$E$2:$E$1000)),"yyyy-mm-dd"),"")))))</f>
        <v/>
      </c>
      <c r="H798" s="131" t="str">
        <f aca="false">IF($R798="✓","✓",IF(ISNUMBER($R798),TEXT($R798,"yyyy-mm-dd"),IF($A798="","",IF($D798="Lisbonne","",IF(SUMPRODUCT(('Agences &amp; Après-vente'!$A$2:$A$1000=$A798)*(('Agences &amp; Après-vente'!$D$2:$D$1000="Agences")+('Agences &amp; Après-vente'!$D$2:$D$1000="Agences et Après-vente"))*('Agences &amp; Après-vente'!$I$2:$I$1000="DONE"))&gt;0,"✓",IF(SUMPRODUCT(MAX(('Agences &amp; Après-vente'!$A$2:$A$1000=$A798)*(('Agences &amp; Après-vente'!$D$2:$D$1000="Agences")+('Agences &amp; Après-vente'!$D$2:$D$1000="Agences et Après-vente"))*'Agences &amp; Après-vente'!$E$2:$E$1000))&gt;0,TEXT(SUMPRODUCT(MAX(('Agences &amp; Après-vente'!$A$2:$A$1000=$A798)*(('Agences &amp; Après-vente'!$D$2:$D$1000="Agences")+('Agences &amp; Après-vente'!$D$2:$D$1000="Agences et Après-vente"))*'Agences &amp; Après-vente'!$E$2:$E$1000)),"yyyy-mm-dd"),""))))))</f>
        <v/>
      </c>
      <c r="I798" s="131" t="str">
        <f aca="false">IF($S798="✓","✓",IF(ISNUMBER($S798),TEXT($S798,"yyyy-mm-dd"),IF($A798="","",IF(SUMPRODUCT(('Agences &amp; Après-vente'!$A$2:$A$1000=$A798)*(('Agences &amp; Après-vente'!$D$2:$D$1000="Après-vente")+('Agences &amp; Après-vente'!$D$2:$D$1000="Agences et Après-vente"))*('Agences &amp; Après-vente'!$I$2:$I$1000="DONE"))&gt;0,"✓",IF(SUMPRODUCT(MAX(('Agences &amp; Après-vente'!$A$2:$A$1000=$A798)*(('Agences &amp; Après-vente'!$D$2:$D$1000="Après-vente")+('Agences &amp; Après-vente'!$D$2:$D$1000="Agences et Après-vente"))*'Agences &amp; Après-vente'!$E$2:$E$1000))&gt;0,TEXT(SUMPRODUCT(MAX(('Agences &amp; Après-vente'!$A$2:$A$1000=$A798)*(('Agences &amp; Après-vente'!$D$2:$D$1000="Après-vente")+('Agences &amp; Après-vente'!$D$2:$D$1000="Agences et Après-vente"))*'Agences &amp; Après-vente'!$E$2:$E$1000)),"yyyy-mm-dd"),"")))))</f>
        <v/>
      </c>
      <c r="J798" s="131" t="str">
        <f aca="false">IF($T798="✓","✓",IF(ISNUMBER($T798),TEXT($T798,"yyyy-mm-dd"),IF($A798="","",IF($D798="Lisbonne","",IF(SUMPRODUCT(('Agences &amp; Après-vente'!$A$2:$A$1000=$A798)*(('Agences &amp; Après-vente'!$D$2:$D$1000="Après-vente")+('Agences &amp; Après-vente'!$D$2:$D$1000="Agences et Après-vente"))*('Agences &amp; Après-vente'!$I$2:$I$1000="DONE"))&gt;0,"✓",IF(SUMPRODUCT(MAX(('Agences &amp; Après-vente'!$A$2:$A$1000=$A798)*(('Agences &amp; Après-vente'!$D$2:$D$1000="Après-vente")+('Agences &amp; Après-vente'!$D$2:$D$1000="Agences et Après-vente"))*'Agences &amp; Après-vente'!$E$2:$E$1000))&gt;0,TEXT(SUMPRODUCT(MAX(('Agences &amp; Après-vente'!$A$2:$A$1000=$A798)*(('Agences &amp; Après-vente'!$D$2:$D$1000="Après-vente")+('Agences &amp; Après-vente'!$D$2:$D$1000="Agences et Après-vente"))*'Agences &amp; Après-vente'!$E$2:$E$1000)),"yyyy-mm-dd"),""))))))</f>
        <v/>
      </c>
      <c r="K798" s="131" t="str">
        <f aca="false">IF($U798="✓","✓",IF(ISNUMBER($U798),TEXT($U798,"yyyy-mm-dd"),IF($D798="Lisbonne","",IF($A798="","",IF(SUMPRODUCT((Evermont!$A$2:$A$1000=$A798)*(Evermont!$Q$2:$Q$1000="Terminé"))&gt;0,"✓",IF(SUMPRODUCT(MAX((Evermont!$A$2:$A$1000=$A798)*Evermont!$F$2:$F$1000))&gt;0,TEXT(SUMPRODUCT(MAX((Evermont!$A$2:$A$1000=$A798)*Evermont!$F$2:$F$1000)),"yyyy-mm-dd"),""))))))</f>
        <v/>
      </c>
      <c r="L798" s="131" t="str">
        <f aca="false">IF($A798="","",COUNTIF(E798:K798,"✓"))</f>
        <v/>
      </c>
      <c r="M798" s="131" t="str">
        <f aca="false">IF(B798="","","Active")</f>
        <v/>
      </c>
      <c r="W798" s="120" t="str">
        <f aca="false">IF($A798="","",IF($X798&lt;&gt;"",$X798,IFERROR(INDEX('Formation Initiale'!$B$2:$B$999,MATCH($A798,'Formation Initiale'!$A$2:$A$999,0)),"Général")))</f>
        <v/>
      </c>
    </row>
    <row r="799" customFormat="false" ht="15" hidden="true" customHeight="true" outlineLevel="0" collapsed="false">
      <c r="A799" s="142" t="str">
        <f aca="false">IF(B799="","","TR"&amp;TEXT(ROW()-1,"000"))</f>
        <v/>
      </c>
      <c r="E799" s="130" t="str">
        <f aca="false">IF($O799="✓","✓",IF(ISNUMBER($O799),TEXT($O799,"yyyy-mm-dd"),IF($A799="","",IF(SUMPRODUCT(('Formation Initiale'!$A$2:$A$999=$A799)*('Formation Initiale'!$R$2:$R$999="Terminé"))&gt;0,"✓",IF(SUMPRODUCT(MAX(('Formation Initiale'!$A$2:$A$999=$A799)*'Formation Initiale'!$G$2:$G$999))&gt;0,TEXT(SUMPRODUCT(MAX(('Formation Initiale'!$A$2:$A$999=$A799)*'Formation Initiale'!$G$2:$G$999)),"yyyy-mm-dd"),"")))))</f>
        <v/>
      </c>
      <c r="F799" s="131" t="str">
        <f aca="false">IF($P799="✓","✓",IF(ISNUMBER($P799),TEXT($P799,"yyyy-mm-dd"),IF($A799="","",IF($D799="Lisbonne","",IF(SUMPRODUCT(('Formation Initiale'!$A$2:$A$999=$A799)*('Formation Initiale'!$R$2:$R$999="Terminé"))&gt;0,"✓",IF(SUMPRODUCT(MAX(('Formation Initiale'!$A$2:$A$999=$A799)*'Formation Initiale'!$G$2:$G$999))&gt;0,TEXT(SUMPRODUCT(MAX(('Formation Initiale'!$A$2:$A$999=$A799)*'Formation Initiale'!$G$2:$G$999)),"yyyy-mm-dd"),""))))))</f>
        <v/>
      </c>
      <c r="G799" s="131" t="str">
        <f aca="false">IF($Q799="✓","✓",IF(ISNUMBER($Q799),TEXT($Q799,"yyyy-mm-dd"),IF($A799="","",IF(SUMPRODUCT(('Agences &amp; Après-vente'!$A$2:$A$1000=$A799)*(('Agences &amp; Après-vente'!$D$2:$D$1000="Agences")+('Agences &amp; Après-vente'!$D$2:$D$1000="Agences et Après-vente"))*('Agences &amp; Après-vente'!$I$2:$I$1000="DONE"))&gt;0,"✓",IF(SUMPRODUCT(MAX(('Agences &amp; Après-vente'!$A$2:$A$1000=$A799)*(('Agences &amp; Après-vente'!$D$2:$D$1000="Agences")+('Agences &amp; Après-vente'!$D$2:$D$1000="Agences et Après-vente"))*'Agences &amp; Après-vente'!$E$2:$E$1000))&gt;0,TEXT(SUMPRODUCT(MAX(('Agences &amp; Après-vente'!$A$2:$A$1000=$A799)*(('Agences &amp; Après-vente'!$D$2:$D$1000="Agences")+('Agences &amp; Après-vente'!$D$2:$D$1000="Agences et Après-vente"))*'Agences &amp; Après-vente'!$E$2:$E$1000)),"yyyy-mm-dd"),"")))))</f>
        <v/>
      </c>
      <c r="H799" s="131" t="str">
        <f aca="false">IF($R799="✓","✓",IF(ISNUMBER($R799),TEXT($R799,"yyyy-mm-dd"),IF($A799="","",IF($D799="Lisbonne","",IF(SUMPRODUCT(('Agences &amp; Après-vente'!$A$2:$A$1000=$A799)*(('Agences &amp; Après-vente'!$D$2:$D$1000="Agences")+('Agences &amp; Après-vente'!$D$2:$D$1000="Agences et Après-vente"))*('Agences &amp; Après-vente'!$I$2:$I$1000="DONE"))&gt;0,"✓",IF(SUMPRODUCT(MAX(('Agences &amp; Après-vente'!$A$2:$A$1000=$A799)*(('Agences &amp; Après-vente'!$D$2:$D$1000="Agences")+('Agences &amp; Après-vente'!$D$2:$D$1000="Agences et Après-vente"))*'Agences &amp; Après-vente'!$E$2:$E$1000))&gt;0,TEXT(SUMPRODUCT(MAX(('Agences &amp; Après-vente'!$A$2:$A$1000=$A799)*(('Agences &amp; Après-vente'!$D$2:$D$1000="Agences")+('Agences &amp; Après-vente'!$D$2:$D$1000="Agences et Après-vente"))*'Agences &amp; Après-vente'!$E$2:$E$1000)),"yyyy-mm-dd"),""))))))</f>
        <v/>
      </c>
      <c r="I799" s="131" t="str">
        <f aca="false">IF($S799="✓","✓",IF(ISNUMBER($S799),TEXT($S799,"yyyy-mm-dd"),IF($A799="","",IF(SUMPRODUCT(('Agences &amp; Après-vente'!$A$2:$A$1000=$A799)*(('Agences &amp; Après-vente'!$D$2:$D$1000="Après-vente")+('Agences &amp; Après-vente'!$D$2:$D$1000="Agences et Après-vente"))*('Agences &amp; Après-vente'!$I$2:$I$1000="DONE"))&gt;0,"✓",IF(SUMPRODUCT(MAX(('Agences &amp; Après-vente'!$A$2:$A$1000=$A799)*(('Agences &amp; Après-vente'!$D$2:$D$1000="Après-vente")+('Agences &amp; Après-vente'!$D$2:$D$1000="Agences et Après-vente"))*'Agences &amp; Après-vente'!$E$2:$E$1000))&gt;0,TEXT(SUMPRODUCT(MAX(('Agences &amp; Après-vente'!$A$2:$A$1000=$A799)*(('Agences &amp; Après-vente'!$D$2:$D$1000="Après-vente")+('Agences &amp; Après-vente'!$D$2:$D$1000="Agences et Après-vente"))*'Agences &amp; Après-vente'!$E$2:$E$1000)),"yyyy-mm-dd"),"")))))</f>
        <v/>
      </c>
      <c r="J799" s="131" t="str">
        <f aca="false">IF($T799="✓","✓",IF(ISNUMBER($T799),TEXT($T799,"yyyy-mm-dd"),IF($A799="","",IF($D799="Lisbonne","",IF(SUMPRODUCT(('Agences &amp; Après-vente'!$A$2:$A$1000=$A799)*(('Agences &amp; Après-vente'!$D$2:$D$1000="Après-vente")+('Agences &amp; Après-vente'!$D$2:$D$1000="Agences et Après-vente"))*('Agences &amp; Après-vente'!$I$2:$I$1000="DONE"))&gt;0,"✓",IF(SUMPRODUCT(MAX(('Agences &amp; Après-vente'!$A$2:$A$1000=$A799)*(('Agences &amp; Après-vente'!$D$2:$D$1000="Après-vente")+('Agences &amp; Après-vente'!$D$2:$D$1000="Agences et Après-vente"))*'Agences &amp; Après-vente'!$E$2:$E$1000))&gt;0,TEXT(SUMPRODUCT(MAX(('Agences &amp; Après-vente'!$A$2:$A$1000=$A799)*(('Agences &amp; Après-vente'!$D$2:$D$1000="Après-vente")+('Agences &amp; Après-vente'!$D$2:$D$1000="Agences et Après-vente"))*'Agences &amp; Après-vente'!$E$2:$E$1000)),"yyyy-mm-dd"),""))))))</f>
        <v/>
      </c>
      <c r="K799" s="131" t="str">
        <f aca="false">IF($U799="✓","✓",IF(ISNUMBER($U799),TEXT($U799,"yyyy-mm-dd"),IF($D799="Lisbonne","",IF($A799="","",IF(SUMPRODUCT((Evermont!$A$2:$A$1000=$A799)*(Evermont!$Q$2:$Q$1000="Terminé"))&gt;0,"✓",IF(SUMPRODUCT(MAX((Evermont!$A$2:$A$1000=$A799)*Evermont!$F$2:$F$1000))&gt;0,TEXT(SUMPRODUCT(MAX((Evermont!$A$2:$A$1000=$A799)*Evermont!$F$2:$F$1000)),"yyyy-mm-dd"),""))))))</f>
        <v/>
      </c>
      <c r="L799" s="131" t="str">
        <f aca="false">IF($A799="","",COUNTIF(E799:K799,"✓"))</f>
        <v/>
      </c>
      <c r="M799" s="131" t="str">
        <f aca="false">IF(B799="","","Active")</f>
        <v/>
      </c>
      <c r="W799" s="120" t="str">
        <f aca="false">IF($A799="","",IF($X799&lt;&gt;"",$X799,IFERROR(INDEX('Formation Initiale'!$B$2:$B$999,MATCH($A799,'Formation Initiale'!$A$2:$A$999,0)),"Général")))</f>
        <v/>
      </c>
    </row>
    <row r="800" customFormat="false" ht="15" hidden="true" customHeight="true" outlineLevel="0" collapsed="false">
      <c r="A800" s="142" t="str">
        <f aca="false">IF(B800="","","TR"&amp;TEXT(ROW()-1,"000"))</f>
        <v/>
      </c>
      <c r="E800" s="130" t="str">
        <f aca="false">IF($O800="✓","✓",IF(ISNUMBER($O800),TEXT($O800,"yyyy-mm-dd"),IF($A800="","",IF(SUMPRODUCT(('Formation Initiale'!$A$2:$A$999=$A800)*('Formation Initiale'!$R$2:$R$999="Terminé"))&gt;0,"✓",IF(SUMPRODUCT(MAX(('Formation Initiale'!$A$2:$A$999=$A800)*'Formation Initiale'!$G$2:$G$999))&gt;0,TEXT(SUMPRODUCT(MAX(('Formation Initiale'!$A$2:$A$999=$A800)*'Formation Initiale'!$G$2:$G$999)),"yyyy-mm-dd"),"")))))</f>
        <v/>
      </c>
      <c r="F800" s="131" t="str">
        <f aca="false">IF($P800="✓","✓",IF(ISNUMBER($P800),TEXT($P800,"yyyy-mm-dd"),IF($A800="","",IF($D800="Lisbonne","",IF(SUMPRODUCT(('Formation Initiale'!$A$2:$A$999=$A800)*('Formation Initiale'!$R$2:$R$999="Terminé"))&gt;0,"✓",IF(SUMPRODUCT(MAX(('Formation Initiale'!$A$2:$A$999=$A800)*'Formation Initiale'!$G$2:$G$999))&gt;0,TEXT(SUMPRODUCT(MAX(('Formation Initiale'!$A$2:$A$999=$A800)*'Formation Initiale'!$G$2:$G$999)),"yyyy-mm-dd"),""))))))</f>
        <v/>
      </c>
      <c r="G800" s="131" t="str">
        <f aca="false">IF($Q800="✓","✓",IF(ISNUMBER($Q800),TEXT($Q800,"yyyy-mm-dd"),IF($A800="","",IF(SUMPRODUCT(('Agences &amp; Après-vente'!$A$2:$A$1000=$A800)*(('Agences &amp; Après-vente'!$D$2:$D$1000="Agences")+('Agences &amp; Après-vente'!$D$2:$D$1000="Agences et Après-vente"))*('Agences &amp; Après-vente'!$I$2:$I$1000="DONE"))&gt;0,"✓",IF(SUMPRODUCT(MAX(('Agences &amp; Après-vente'!$A$2:$A$1000=$A800)*(('Agences &amp; Après-vente'!$D$2:$D$1000="Agences")+('Agences &amp; Après-vente'!$D$2:$D$1000="Agences et Après-vente"))*'Agences &amp; Après-vente'!$E$2:$E$1000))&gt;0,TEXT(SUMPRODUCT(MAX(('Agences &amp; Après-vente'!$A$2:$A$1000=$A800)*(('Agences &amp; Après-vente'!$D$2:$D$1000="Agences")+('Agences &amp; Après-vente'!$D$2:$D$1000="Agences et Après-vente"))*'Agences &amp; Après-vente'!$E$2:$E$1000)),"yyyy-mm-dd"),"")))))</f>
        <v/>
      </c>
      <c r="H800" s="131" t="str">
        <f aca="false">IF($R800="✓","✓",IF(ISNUMBER($R800),TEXT($R800,"yyyy-mm-dd"),IF($A800="","",IF($D800="Lisbonne","",IF(SUMPRODUCT(('Agences &amp; Après-vente'!$A$2:$A$1000=$A800)*(('Agences &amp; Après-vente'!$D$2:$D$1000="Agences")+('Agences &amp; Après-vente'!$D$2:$D$1000="Agences et Après-vente"))*('Agences &amp; Après-vente'!$I$2:$I$1000="DONE"))&gt;0,"✓",IF(SUMPRODUCT(MAX(('Agences &amp; Après-vente'!$A$2:$A$1000=$A800)*(('Agences &amp; Après-vente'!$D$2:$D$1000="Agences")+('Agences &amp; Après-vente'!$D$2:$D$1000="Agences et Après-vente"))*'Agences &amp; Après-vente'!$E$2:$E$1000))&gt;0,TEXT(SUMPRODUCT(MAX(('Agences &amp; Après-vente'!$A$2:$A$1000=$A800)*(('Agences &amp; Après-vente'!$D$2:$D$1000="Agences")+('Agences &amp; Après-vente'!$D$2:$D$1000="Agences et Après-vente"))*'Agences &amp; Après-vente'!$E$2:$E$1000)),"yyyy-mm-dd"),""))))))</f>
        <v/>
      </c>
      <c r="I800" s="131" t="str">
        <f aca="false">IF($S800="✓","✓",IF(ISNUMBER($S800),TEXT($S800,"yyyy-mm-dd"),IF($A800="","",IF(SUMPRODUCT(('Agences &amp; Après-vente'!$A$2:$A$1000=$A800)*(('Agences &amp; Après-vente'!$D$2:$D$1000="Après-vente")+('Agences &amp; Après-vente'!$D$2:$D$1000="Agences et Après-vente"))*('Agences &amp; Après-vente'!$I$2:$I$1000="DONE"))&gt;0,"✓",IF(SUMPRODUCT(MAX(('Agences &amp; Après-vente'!$A$2:$A$1000=$A800)*(('Agences &amp; Après-vente'!$D$2:$D$1000="Après-vente")+('Agences &amp; Après-vente'!$D$2:$D$1000="Agences et Après-vente"))*'Agences &amp; Après-vente'!$E$2:$E$1000))&gt;0,TEXT(SUMPRODUCT(MAX(('Agences &amp; Après-vente'!$A$2:$A$1000=$A800)*(('Agences &amp; Après-vente'!$D$2:$D$1000="Après-vente")+('Agences &amp; Après-vente'!$D$2:$D$1000="Agences et Après-vente"))*'Agences &amp; Après-vente'!$E$2:$E$1000)),"yyyy-mm-dd"),"")))))</f>
        <v/>
      </c>
      <c r="J800" s="131" t="str">
        <f aca="false">IF($T800="✓","✓",IF(ISNUMBER($T800),TEXT($T800,"yyyy-mm-dd"),IF($A800="","",IF($D800="Lisbonne","",IF(SUMPRODUCT(('Agences &amp; Après-vente'!$A$2:$A$1000=$A800)*(('Agences &amp; Après-vente'!$D$2:$D$1000="Après-vente")+('Agences &amp; Après-vente'!$D$2:$D$1000="Agences et Après-vente"))*('Agences &amp; Après-vente'!$I$2:$I$1000="DONE"))&gt;0,"✓",IF(SUMPRODUCT(MAX(('Agences &amp; Après-vente'!$A$2:$A$1000=$A800)*(('Agences &amp; Après-vente'!$D$2:$D$1000="Après-vente")+('Agences &amp; Après-vente'!$D$2:$D$1000="Agences et Après-vente"))*'Agences &amp; Après-vente'!$E$2:$E$1000))&gt;0,TEXT(SUMPRODUCT(MAX(('Agences &amp; Après-vente'!$A$2:$A$1000=$A800)*(('Agences &amp; Après-vente'!$D$2:$D$1000="Après-vente")+('Agences &amp; Après-vente'!$D$2:$D$1000="Agences et Après-vente"))*'Agences &amp; Après-vente'!$E$2:$E$1000)),"yyyy-mm-dd"),""))))))</f>
        <v/>
      </c>
      <c r="K800" s="131" t="str">
        <f aca="false">IF($U800="✓","✓",IF(ISNUMBER($U800),TEXT($U800,"yyyy-mm-dd"),IF($D800="Lisbonne","",IF($A800="","",IF(SUMPRODUCT((Evermont!$A$2:$A$1000=$A800)*(Evermont!$Q$2:$Q$1000="Terminé"))&gt;0,"✓",IF(SUMPRODUCT(MAX((Evermont!$A$2:$A$1000=$A800)*Evermont!$F$2:$F$1000))&gt;0,TEXT(SUMPRODUCT(MAX((Evermont!$A$2:$A$1000=$A800)*Evermont!$F$2:$F$1000)),"yyyy-mm-dd"),""))))))</f>
        <v/>
      </c>
      <c r="L800" s="131" t="str">
        <f aca="false">IF($A800="","",COUNTIF(E800:K800,"✓"))</f>
        <v/>
      </c>
      <c r="M800" s="131" t="str">
        <f aca="false">IF(B800="","","Active")</f>
        <v/>
      </c>
      <c r="W800" s="120" t="str">
        <f aca="false">IF($A800="","",IF($X800&lt;&gt;"",$X800,IFERROR(INDEX('Formation Initiale'!$B$2:$B$999,MATCH($A800,'Formation Initiale'!$A$2:$A$999,0)),"Général")))</f>
        <v/>
      </c>
    </row>
    <row r="801" customFormat="false" ht="15" hidden="true" customHeight="true" outlineLevel="0" collapsed="false">
      <c r="A801" s="142" t="str">
        <f aca="false">IF(B801="","","TR"&amp;TEXT(ROW()-1,"000"))</f>
        <v/>
      </c>
      <c r="E801" s="130" t="str">
        <f aca="false">IF($O801="✓","✓",IF(ISNUMBER($O801),TEXT($O801,"yyyy-mm-dd"),IF($A801="","",IF(SUMPRODUCT(('Formation Initiale'!$A$2:$A$999=$A801)*('Formation Initiale'!$R$2:$R$999="Terminé"))&gt;0,"✓",IF(SUMPRODUCT(MAX(('Formation Initiale'!$A$2:$A$999=$A801)*'Formation Initiale'!$G$2:$G$999))&gt;0,TEXT(SUMPRODUCT(MAX(('Formation Initiale'!$A$2:$A$999=$A801)*'Formation Initiale'!$G$2:$G$999)),"yyyy-mm-dd"),"")))))</f>
        <v/>
      </c>
      <c r="F801" s="131" t="str">
        <f aca="false">IF($P801="✓","✓",IF(ISNUMBER($P801),TEXT($P801,"yyyy-mm-dd"),IF($A801="","",IF($D801="Lisbonne","",IF(SUMPRODUCT(('Formation Initiale'!$A$2:$A$999=$A801)*('Formation Initiale'!$R$2:$R$999="Terminé"))&gt;0,"✓",IF(SUMPRODUCT(MAX(('Formation Initiale'!$A$2:$A$999=$A801)*'Formation Initiale'!$G$2:$G$999))&gt;0,TEXT(SUMPRODUCT(MAX(('Formation Initiale'!$A$2:$A$999=$A801)*'Formation Initiale'!$G$2:$G$999)),"yyyy-mm-dd"),""))))))</f>
        <v/>
      </c>
      <c r="G801" s="131" t="str">
        <f aca="false">IF($Q801="✓","✓",IF(ISNUMBER($Q801),TEXT($Q801,"yyyy-mm-dd"),IF($A801="","",IF(SUMPRODUCT(('Agences &amp; Après-vente'!$A$2:$A$1000=$A801)*(('Agences &amp; Après-vente'!$D$2:$D$1000="Agences")+('Agences &amp; Après-vente'!$D$2:$D$1000="Agences et Après-vente"))*('Agences &amp; Après-vente'!$I$2:$I$1000="DONE"))&gt;0,"✓",IF(SUMPRODUCT(MAX(('Agences &amp; Après-vente'!$A$2:$A$1000=$A801)*(('Agences &amp; Après-vente'!$D$2:$D$1000="Agences")+('Agences &amp; Après-vente'!$D$2:$D$1000="Agences et Après-vente"))*'Agences &amp; Après-vente'!$E$2:$E$1000))&gt;0,TEXT(SUMPRODUCT(MAX(('Agences &amp; Après-vente'!$A$2:$A$1000=$A801)*(('Agences &amp; Après-vente'!$D$2:$D$1000="Agences")+('Agences &amp; Après-vente'!$D$2:$D$1000="Agences et Après-vente"))*'Agences &amp; Après-vente'!$E$2:$E$1000)),"yyyy-mm-dd"),"")))))</f>
        <v/>
      </c>
      <c r="H801" s="131" t="str">
        <f aca="false">IF($R801="✓","✓",IF(ISNUMBER($R801),TEXT($R801,"yyyy-mm-dd"),IF($A801="","",IF($D801="Lisbonne","",IF(SUMPRODUCT(('Agences &amp; Après-vente'!$A$2:$A$1000=$A801)*(('Agences &amp; Après-vente'!$D$2:$D$1000="Agences")+('Agences &amp; Après-vente'!$D$2:$D$1000="Agences et Après-vente"))*('Agences &amp; Après-vente'!$I$2:$I$1000="DONE"))&gt;0,"✓",IF(SUMPRODUCT(MAX(('Agences &amp; Après-vente'!$A$2:$A$1000=$A801)*(('Agences &amp; Après-vente'!$D$2:$D$1000="Agences")+('Agences &amp; Après-vente'!$D$2:$D$1000="Agences et Après-vente"))*'Agences &amp; Après-vente'!$E$2:$E$1000))&gt;0,TEXT(SUMPRODUCT(MAX(('Agences &amp; Après-vente'!$A$2:$A$1000=$A801)*(('Agences &amp; Après-vente'!$D$2:$D$1000="Agences")+('Agences &amp; Après-vente'!$D$2:$D$1000="Agences et Après-vente"))*'Agences &amp; Après-vente'!$E$2:$E$1000)),"yyyy-mm-dd"),""))))))</f>
        <v/>
      </c>
      <c r="I801" s="131" t="str">
        <f aca="false">IF($S801="✓","✓",IF(ISNUMBER($S801),TEXT($S801,"yyyy-mm-dd"),IF($A801="","",IF(SUMPRODUCT(('Agences &amp; Après-vente'!$A$2:$A$1000=$A801)*(('Agences &amp; Après-vente'!$D$2:$D$1000="Après-vente")+('Agences &amp; Après-vente'!$D$2:$D$1000="Agences et Après-vente"))*('Agences &amp; Après-vente'!$I$2:$I$1000="DONE"))&gt;0,"✓",IF(SUMPRODUCT(MAX(('Agences &amp; Après-vente'!$A$2:$A$1000=$A801)*(('Agences &amp; Après-vente'!$D$2:$D$1000="Après-vente")+('Agences &amp; Après-vente'!$D$2:$D$1000="Agences et Après-vente"))*'Agences &amp; Après-vente'!$E$2:$E$1000))&gt;0,TEXT(SUMPRODUCT(MAX(('Agences &amp; Après-vente'!$A$2:$A$1000=$A801)*(('Agences &amp; Après-vente'!$D$2:$D$1000="Après-vente")+('Agences &amp; Après-vente'!$D$2:$D$1000="Agences et Après-vente"))*'Agences &amp; Après-vente'!$E$2:$E$1000)),"yyyy-mm-dd"),"")))))</f>
        <v/>
      </c>
      <c r="J801" s="131" t="str">
        <f aca="false">IF($T801="✓","✓",IF(ISNUMBER($T801),TEXT($T801,"yyyy-mm-dd"),IF($A801="","",IF($D801="Lisbonne","",IF(SUMPRODUCT(('Agences &amp; Après-vente'!$A$2:$A$1000=$A801)*(('Agences &amp; Après-vente'!$D$2:$D$1000="Après-vente")+('Agences &amp; Après-vente'!$D$2:$D$1000="Agences et Après-vente"))*('Agences &amp; Après-vente'!$I$2:$I$1000="DONE"))&gt;0,"✓",IF(SUMPRODUCT(MAX(('Agences &amp; Après-vente'!$A$2:$A$1000=$A801)*(('Agences &amp; Après-vente'!$D$2:$D$1000="Après-vente")+('Agences &amp; Après-vente'!$D$2:$D$1000="Agences et Après-vente"))*'Agences &amp; Après-vente'!$E$2:$E$1000))&gt;0,TEXT(SUMPRODUCT(MAX(('Agences &amp; Après-vente'!$A$2:$A$1000=$A801)*(('Agences &amp; Après-vente'!$D$2:$D$1000="Après-vente")+('Agences &amp; Après-vente'!$D$2:$D$1000="Agences et Après-vente"))*'Agences &amp; Après-vente'!$E$2:$E$1000)),"yyyy-mm-dd"),""))))))</f>
        <v/>
      </c>
      <c r="K801" s="131" t="str">
        <f aca="false">IF($U801="✓","✓",IF(ISNUMBER($U801),TEXT($U801,"yyyy-mm-dd"),IF($D801="Lisbonne","",IF($A801="","",IF(SUMPRODUCT((Evermont!$A$2:$A$1000=$A801)*(Evermont!$Q$2:$Q$1000="Terminé"))&gt;0,"✓",IF(SUMPRODUCT(MAX((Evermont!$A$2:$A$1000=$A801)*Evermont!$F$2:$F$1000))&gt;0,TEXT(SUMPRODUCT(MAX((Evermont!$A$2:$A$1000=$A801)*Evermont!$F$2:$F$1000)),"yyyy-mm-dd"),""))))))</f>
        <v/>
      </c>
      <c r="L801" s="131" t="str">
        <f aca="false">IF($A801="","",COUNTIF(E801:K801,"✓"))</f>
        <v/>
      </c>
      <c r="M801" s="131" t="str">
        <f aca="false">IF(B801="","","Active")</f>
        <v/>
      </c>
      <c r="W801" s="120" t="str">
        <f aca="false">IF($A801="","",IF($X801&lt;&gt;"",$X801,IFERROR(INDEX('Formation Initiale'!$B$2:$B$999,MATCH($A801,'Formation Initiale'!$A$2:$A$999,0)),"Général")))</f>
        <v/>
      </c>
    </row>
    <row r="802" customFormat="false" ht="15" hidden="true" customHeight="true" outlineLevel="0" collapsed="false">
      <c r="A802" s="142" t="str">
        <f aca="false">IF(B802="","","TR"&amp;TEXT(ROW()-1,"000"))</f>
        <v/>
      </c>
      <c r="E802" s="130" t="str">
        <f aca="false">IF($O802="✓","✓",IF(ISNUMBER($O802),TEXT($O802,"yyyy-mm-dd"),IF($A802="","",IF(SUMPRODUCT(('Formation Initiale'!$A$2:$A$999=$A802)*('Formation Initiale'!$R$2:$R$999="Terminé"))&gt;0,"✓",IF(SUMPRODUCT(MAX(('Formation Initiale'!$A$2:$A$999=$A802)*'Formation Initiale'!$G$2:$G$999))&gt;0,TEXT(SUMPRODUCT(MAX(('Formation Initiale'!$A$2:$A$999=$A802)*'Formation Initiale'!$G$2:$G$999)),"yyyy-mm-dd"),"")))))</f>
        <v/>
      </c>
      <c r="F802" s="131" t="str">
        <f aca="false">IF($P802="✓","✓",IF(ISNUMBER($P802),TEXT($P802,"yyyy-mm-dd"),IF($A802="","",IF($D802="Lisbonne","",IF(SUMPRODUCT(('Formation Initiale'!$A$2:$A$999=$A802)*('Formation Initiale'!$R$2:$R$999="Terminé"))&gt;0,"✓",IF(SUMPRODUCT(MAX(('Formation Initiale'!$A$2:$A$999=$A802)*'Formation Initiale'!$G$2:$G$999))&gt;0,TEXT(SUMPRODUCT(MAX(('Formation Initiale'!$A$2:$A$999=$A802)*'Formation Initiale'!$G$2:$G$999)),"yyyy-mm-dd"),""))))))</f>
        <v/>
      </c>
      <c r="G802" s="131" t="str">
        <f aca="false">IF($Q802="✓","✓",IF(ISNUMBER($Q802),TEXT($Q802,"yyyy-mm-dd"),IF($A802="","",IF(SUMPRODUCT(('Agences &amp; Après-vente'!$A$2:$A$1000=$A802)*(('Agences &amp; Après-vente'!$D$2:$D$1000="Agences")+('Agences &amp; Après-vente'!$D$2:$D$1000="Agences et Après-vente"))*('Agences &amp; Après-vente'!$I$2:$I$1000="DONE"))&gt;0,"✓",IF(SUMPRODUCT(MAX(('Agences &amp; Après-vente'!$A$2:$A$1000=$A802)*(('Agences &amp; Après-vente'!$D$2:$D$1000="Agences")+('Agences &amp; Après-vente'!$D$2:$D$1000="Agences et Après-vente"))*'Agences &amp; Après-vente'!$E$2:$E$1000))&gt;0,TEXT(SUMPRODUCT(MAX(('Agences &amp; Après-vente'!$A$2:$A$1000=$A802)*(('Agences &amp; Après-vente'!$D$2:$D$1000="Agences")+('Agences &amp; Après-vente'!$D$2:$D$1000="Agences et Après-vente"))*'Agences &amp; Après-vente'!$E$2:$E$1000)),"yyyy-mm-dd"),"")))))</f>
        <v/>
      </c>
      <c r="H802" s="131" t="str">
        <f aca="false">IF($R802="✓","✓",IF(ISNUMBER($R802),TEXT($R802,"yyyy-mm-dd"),IF($A802="","",IF($D802="Lisbonne","",IF(SUMPRODUCT(('Agences &amp; Après-vente'!$A$2:$A$1000=$A802)*(('Agences &amp; Après-vente'!$D$2:$D$1000="Agences")+('Agences &amp; Après-vente'!$D$2:$D$1000="Agences et Après-vente"))*('Agences &amp; Après-vente'!$I$2:$I$1000="DONE"))&gt;0,"✓",IF(SUMPRODUCT(MAX(('Agences &amp; Après-vente'!$A$2:$A$1000=$A802)*(('Agences &amp; Après-vente'!$D$2:$D$1000="Agences")+('Agences &amp; Après-vente'!$D$2:$D$1000="Agences et Après-vente"))*'Agences &amp; Après-vente'!$E$2:$E$1000))&gt;0,TEXT(SUMPRODUCT(MAX(('Agences &amp; Après-vente'!$A$2:$A$1000=$A802)*(('Agences &amp; Après-vente'!$D$2:$D$1000="Agences")+('Agences &amp; Après-vente'!$D$2:$D$1000="Agences et Après-vente"))*'Agences &amp; Après-vente'!$E$2:$E$1000)),"yyyy-mm-dd"),""))))))</f>
        <v/>
      </c>
      <c r="I802" s="131" t="str">
        <f aca="false">IF($S802="✓","✓",IF(ISNUMBER($S802),TEXT($S802,"yyyy-mm-dd"),IF($A802="","",IF(SUMPRODUCT(('Agences &amp; Après-vente'!$A$2:$A$1000=$A802)*(('Agences &amp; Après-vente'!$D$2:$D$1000="Après-vente")+('Agences &amp; Après-vente'!$D$2:$D$1000="Agences et Après-vente"))*('Agences &amp; Après-vente'!$I$2:$I$1000="DONE"))&gt;0,"✓",IF(SUMPRODUCT(MAX(('Agences &amp; Après-vente'!$A$2:$A$1000=$A802)*(('Agences &amp; Après-vente'!$D$2:$D$1000="Après-vente")+('Agences &amp; Après-vente'!$D$2:$D$1000="Agences et Après-vente"))*'Agences &amp; Après-vente'!$E$2:$E$1000))&gt;0,TEXT(SUMPRODUCT(MAX(('Agences &amp; Après-vente'!$A$2:$A$1000=$A802)*(('Agences &amp; Après-vente'!$D$2:$D$1000="Après-vente")+('Agences &amp; Après-vente'!$D$2:$D$1000="Agences et Après-vente"))*'Agences &amp; Après-vente'!$E$2:$E$1000)),"yyyy-mm-dd"),"")))))</f>
        <v/>
      </c>
      <c r="J802" s="131" t="str">
        <f aca="false">IF($T802="✓","✓",IF(ISNUMBER($T802),TEXT($T802,"yyyy-mm-dd"),IF($A802="","",IF($D802="Lisbonne","",IF(SUMPRODUCT(('Agences &amp; Après-vente'!$A$2:$A$1000=$A802)*(('Agences &amp; Après-vente'!$D$2:$D$1000="Après-vente")+('Agences &amp; Après-vente'!$D$2:$D$1000="Agences et Après-vente"))*('Agences &amp; Après-vente'!$I$2:$I$1000="DONE"))&gt;0,"✓",IF(SUMPRODUCT(MAX(('Agences &amp; Après-vente'!$A$2:$A$1000=$A802)*(('Agences &amp; Après-vente'!$D$2:$D$1000="Après-vente")+('Agences &amp; Après-vente'!$D$2:$D$1000="Agences et Après-vente"))*'Agences &amp; Après-vente'!$E$2:$E$1000))&gt;0,TEXT(SUMPRODUCT(MAX(('Agences &amp; Après-vente'!$A$2:$A$1000=$A802)*(('Agences &amp; Après-vente'!$D$2:$D$1000="Après-vente")+('Agences &amp; Après-vente'!$D$2:$D$1000="Agences et Après-vente"))*'Agences &amp; Après-vente'!$E$2:$E$1000)),"yyyy-mm-dd"),""))))))</f>
        <v/>
      </c>
      <c r="K802" s="131" t="str">
        <f aca="false">IF($U802="✓","✓",IF(ISNUMBER($U802),TEXT($U802,"yyyy-mm-dd"),IF($D802="Lisbonne","",IF($A802="","",IF(SUMPRODUCT((Evermont!$A$2:$A$1000=$A802)*(Evermont!$Q$2:$Q$1000="Terminé"))&gt;0,"✓",IF(SUMPRODUCT(MAX((Evermont!$A$2:$A$1000=$A802)*Evermont!$F$2:$F$1000))&gt;0,TEXT(SUMPRODUCT(MAX((Evermont!$A$2:$A$1000=$A802)*Evermont!$F$2:$F$1000)),"yyyy-mm-dd"),""))))))</f>
        <v/>
      </c>
      <c r="L802" s="131" t="str">
        <f aca="false">IF($A802="","",COUNTIF(E802:K802,"✓"))</f>
        <v/>
      </c>
      <c r="M802" s="131" t="str">
        <f aca="false">IF(B802="","","Active")</f>
        <v/>
      </c>
      <c r="W802" s="120" t="str">
        <f aca="false">IF($A802="","",IF($X802&lt;&gt;"",$X802,IFERROR(INDEX('Formation Initiale'!$B$2:$B$999,MATCH($A802,'Formation Initiale'!$A$2:$A$999,0)),"Général")))</f>
        <v/>
      </c>
    </row>
    <row r="803" customFormat="false" ht="15" hidden="true" customHeight="true" outlineLevel="0" collapsed="false">
      <c r="A803" s="142" t="str">
        <f aca="false">IF(B803="","","TR"&amp;TEXT(ROW()-1,"000"))</f>
        <v/>
      </c>
      <c r="E803" s="130" t="str">
        <f aca="false">IF($O803="✓","✓",IF(ISNUMBER($O803),TEXT($O803,"yyyy-mm-dd"),IF($A803="","",IF(SUMPRODUCT(('Formation Initiale'!$A$2:$A$999=$A803)*('Formation Initiale'!$R$2:$R$999="Terminé"))&gt;0,"✓",IF(SUMPRODUCT(MAX(('Formation Initiale'!$A$2:$A$999=$A803)*'Formation Initiale'!$G$2:$G$999))&gt;0,TEXT(SUMPRODUCT(MAX(('Formation Initiale'!$A$2:$A$999=$A803)*'Formation Initiale'!$G$2:$G$999)),"yyyy-mm-dd"),"")))))</f>
        <v/>
      </c>
      <c r="F803" s="131" t="str">
        <f aca="false">IF($P803="✓","✓",IF(ISNUMBER($P803),TEXT($P803,"yyyy-mm-dd"),IF($A803="","",IF($D803="Lisbonne","",IF(SUMPRODUCT(('Formation Initiale'!$A$2:$A$999=$A803)*('Formation Initiale'!$R$2:$R$999="Terminé"))&gt;0,"✓",IF(SUMPRODUCT(MAX(('Formation Initiale'!$A$2:$A$999=$A803)*'Formation Initiale'!$G$2:$G$999))&gt;0,TEXT(SUMPRODUCT(MAX(('Formation Initiale'!$A$2:$A$999=$A803)*'Formation Initiale'!$G$2:$G$999)),"yyyy-mm-dd"),""))))))</f>
        <v/>
      </c>
      <c r="G803" s="131" t="str">
        <f aca="false">IF($Q803="✓","✓",IF(ISNUMBER($Q803),TEXT($Q803,"yyyy-mm-dd"),IF($A803="","",IF(SUMPRODUCT(('Agences &amp; Après-vente'!$A$2:$A$1000=$A803)*(('Agences &amp; Après-vente'!$D$2:$D$1000="Agences")+('Agences &amp; Après-vente'!$D$2:$D$1000="Agences et Après-vente"))*('Agences &amp; Après-vente'!$I$2:$I$1000="DONE"))&gt;0,"✓",IF(SUMPRODUCT(MAX(('Agences &amp; Après-vente'!$A$2:$A$1000=$A803)*(('Agences &amp; Après-vente'!$D$2:$D$1000="Agences")+('Agences &amp; Après-vente'!$D$2:$D$1000="Agences et Après-vente"))*'Agences &amp; Après-vente'!$E$2:$E$1000))&gt;0,TEXT(SUMPRODUCT(MAX(('Agences &amp; Après-vente'!$A$2:$A$1000=$A803)*(('Agences &amp; Après-vente'!$D$2:$D$1000="Agences")+('Agences &amp; Après-vente'!$D$2:$D$1000="Agences et Après-vente"))*'Agences &amp; Après-vente'!$E$2:$E$1000)),"yyyy-mm-dd"),"")))))</f>
        <v/>
      </c>
      <c r="H803" s="131" t="str">
        <f aca="false">IF($R803="✓","✓",IF(ISNUMBER($R803),TEXT($R803,"yyyy-mm-dd"),IF($A803="","",IF($D803="Lisbonne","",IF(SUMPRODUCT(('Agences &amp; Après-vente'!$A$2:$A$1000=$A803)*(('Agences &amp; Après-vente'!$D$2:$D$1000="Agences")+('Agences &amp; Après-vente'!$D$2:$D$1000="Agences et Après-vente"))*('Agences &amp; Après-vente'!$I$2:$I$1000="DONE"))&gt;0,"✓",IF(SUMPRODUCT(MAX(('Agences &amp; Après-vente'!$A$2:$A$1000=$A803)*(('Agences &amp; Après-vente'!$D$2:$D$1000="Agences")+('Agences &amp; Après-vente'!$D$2:$D$1000="Agences et Après-vente"))*'Agences &amp; Après-vente'!$E$2:$E$1000))&gt;0,TEXT(SUMPRODUCT(MAX(('Agences &amp; Après-vente'!$A$2:$A$1000=$A803)*(('Agences &amp; Après-vente'!$D$2:$D$1000="Agences")+('Agences &amp; Après-vente'!$D$2:$D$1000="Agences et Après-vente"))*'Agences &amp; Après-vente'!$E$2:$E$1000)),"yyyy-mm-dd"),""))))))</f>
        <v/>
      </c>
      <c r="I803" s="131" t="str">
        <f aca="false">IF($S803="✓","✓",IF(ISNUMBER($S803),TEXT($S803,"yyyy-mm-dd"),IF($A803="","",IF(SUMPRODUCT(('Agences &amp; Après-vente'!$A$2:$A$1000=$A803)*(('Agences &amp; Après-vente'!$D$2:$D$1000="Après-vente")+('Agences &amp; Après-vente'!$D$2:$D$1000="Agences et Après-vente"))*('Agences &amp; Après-vente'!$I$2:$I$1000="DONE"))&gt;0,"✓",IF(SUMPRODUCT(MAX(('Agences &amp; Après-vente'!$A$2:$A$1000=$A803)*(('Agences &amp; Après-vente'!$D$2:$D$1000="Après-vente")+('Agences &amp; Après-vente'!$D$2:$D$1000="Agences et Après-vente"))*'Agences &amp; Après-vente'!$E$2:$E$1000))&gt;0,TEXT(SUMPRODUCT(MAX(('Agences &amp; Après-vente'!$A$2:$A$1000=$A803)*(('Agences &amp; Après-vente'!$D$2:$D$1000="Après-vente")+('Agences &amp; Après-vente'!$D$2:$D$1000="Agences et Après-vente"))*'Agences &amp; Après-vente'!$E$2:$E$1000)),"yyyy-mm-dd"),"")))))</f>
        <v/>
      </c>
      <c r="J803" s="131" t="str">
        <f aca="false">IF($T803="✓","✓",IF(ISNUMBER($T803),TEXT($T803,"yyyy-mm-dd"),IF($A803="","",IF($D803="Lisbonne","",IF(SUMPRODUCT(('Agences &amp; Après-vente'!$A$2:$A$1000=$A803)*(('Agences &amp; Après-vente'!$D$2:$D$1000="Après-vente")+('Agences &amp; Après-vente'!$D$2:$D$1000="Agences et Après-vente"))*('Agences &amp; Après-vente'!$I$2:$I$1000="DONE"))&gt;0,"✓",IF(SUMPRODUCT(MAX(('Agences &amp; Après-vente'!$A$2:$A$1000=$A803)*(('Agences &amp; Après-vente'!$D$2:$D$1000="Après-vente")+('Agences &amp; Après-vente'!$D$2:$D$1000="Agences et Après-vente"))*'Agences &amp; Après-vente'!$E$2:$E$1000))&gt;0,TEXT(SUMPRODUCT(MAX(('Agences &amp; Après-vente'!$A$2:$A$1000=$A803)*(('Agences &amp; Après-vente'!$D$2:$D$1000="Après-vente")+('Agences &amp; Après-vente'!$D$2:$D$1000="Agences et Après-vente"))*'Agences &amp; Après-vente'!$E$2:$E$1000)),"yyyy-mm-dd"),""))))))</f>
        <v/>
      </c>
      <c r="K803" s="131" t="str">
        <f aca="false">IF($U803="✓","✓",IF(ISNUMBER($U803),TEXT($U803,"yyyy-mm-dd"),IF($D803="Lisbonne","",IF($A803="","",IF(SUMPRODUCT((Evermont!$A$2:$A$1000=$A803)*(Evermont!$Q$2:$Q$1000="Terminé"))&gt;0,"✓",IF(SUMPRODUCT(MAX((Evermont!$A$2:$A$1000=$A803)*Evermont!$F$2:$F$1000))&gt;0,TEXT(SUMPRODUCT(MAX((Evermont!$A$2:$A$1000=$A803)*Evermont!$F$2:$F$1000)),"yyyy-mm-dd"),""))))))</f>
        <v/>
      </c>
      <c r="L803" s="131" t="str">
        <f aca="false">IF($A803="","",COUNTIF(E803:K803,"✓"))</f>
        <v/>
      </c>
      <c r="M803" s="131" t="str">
        <f aca="false">IF(B803="","","Active")</f>
        <v/>
      </c>
      <c r="W803" s="120" t="str">
        <f aca="false">IF($A803="","",IF($X803&lt;&gt;"",$X803,IFERROR(INDEX('Formation Initiale'!$B$2:$B$999,MATCH($A803,'Formation Initiale'!$A$2:$A$999,0)),"Général")))</f>
        <v/>
      </c>
    </row>
    <row r="804" customFormat="false" ht="15" hidden="true" customHeight="true" outlineLevel="0" collapsed="false">
      <c r="A804" s="142" t="str">
        <f aca="false">IF(B804="","","TR"&amp;TEXT(ROW()-1,"000"))</f>
        <v/>
      </c>
      <c r="E804" s="130" t="str">
        <f aca="false">IF($O804="✓","✓",IF(ISNUMBER($O804),TEXT($O804,"yyyy-mm-dd"),IF($A804="","",IF(SUMPRODUCT(('Formation Initiale'!$A$2:$A$999=$A804)*('Formation Initiale'!$R$2:$R$999="Terminé"))&gt;0,"✓",IF(SUMPRODUCT(MAX(('Formation Initiale'!$A$2:$A$999=$A804)*'Formation Initiale'!$G$2:$G$999))&gt;0,TEXT(SUMPRODUCT(MAX(('Formation Initiale'!$A$2:$A$999=$A804)*'Formation Initiale'!$G$2:$G$999)),"yyyy-mm-dd"),"")))))</f>
        <v/>
      </c>
      <c r="F804" s="131" t="str">
        <f aca="false">IF($P804="✓","✓",IF(ISNUMBER($P804),TEXT($P804,"yyyy-mm-dd"),IF($A804="","",IF($D804="Lisbonne","",IF(SUMPRODUCT(('Formation Initiale'!$A$2:$A$999=$A804)*('Formation Initiale'!$R$2:$R$999="Terminé"))&gt;0,"✓",IF(SUMPRODUCT(MAX(('Formation Initiale'!$A$2:$A$999=$A804)*'Formation Initiale'!$G$2:$G$999))&gt;0,TEXT(SUMPRODUCT(MAX(('Formation Initiale'!$A$2:$A$999=$A804)*'Formation Initiale'!$G$2:$G$999)),"yyyy-mm-dd"),""))))))</f>
        <v/>
      </c>
      <c r="G804" s="131" t="str">
        <f aca="false">IF($Q804="✓","✓",IF(ISNUMBER($Q804),TEXT($Q804,"yyyy-mm-dd"),IF($A804="","",IF(SUMPRODUCT(('Agences &amp; Après-vente'!$A$2:$A$1000=$A804)*(('Agences &amp; Après-vente'!$D$2:$D$1000="Agences")+('Agences &amp; Après-vente'!$D$2:$D$1000="Agences et Après-vente"))*('Agences &amp; Après-vente'!$I$2:$I$1000="DONE"))&gt;0,"✓",IF(SUMPRODUCT(MAX(('Agences &amp; Après-vente'!$A$2:$A$1000=$A804)*(('Agences &amp; Après-vente'!$D$2:$D$1000="Agences")+('Agences &amp; Après-vente'!$D$2:$D$1000="Agences et Après-vente"))*'Agences &amp; Après-vente'!$E$2:$E$1000))&gt;0,TEXT(SUMPRODUCT(MAX(('Agences &amp; Après-vente'!$A$2:$A$1000=$A804)*(('Agences &amp; Après-vente'!$D$2:$D$1000="Agences")+('Agences &amp; Après-vente'!$D$2:$D$1000="Agences et Après-vente"))*'Agences &amp; Après-vente'!$E$2:$E$1000)),"yyyy-mm-dd"),"")))))</f>
        <v/>
      </c>
      <c r="H804" s="131" t="str">
        <f aca="false">IF($R804="✓","✓",IF(ISNUMBER($R804),TEXT($R804,"yyyy-mm-dd"),IF($A804="","",IF($D804="Lisbonne","",IF(SUMPRODUCT(('Agences &amp; Après-vente'!$A$2:$A$1000=$A804)*(('Agences &amp; Après-vente'!$D$2:$D$1000="Agences")+('Agences &amp; Après-vente'!$D$2:$D$1000="Agences et Après-vente"))*('Agences &amp; Après-vente'!$I$2:$I$1000="DONE"))&gt;0,"✓",IF(SUMPRODUCT(MAX(('Agences &amp; Après-vente'!$A$2:$A$1000=$A804)*(('Agences &amp; Après-vente'!$D$2:$D$1000="Agences")+('Agences &amp; Après-vente'!$D$2:$D$1000="Agences et Après-vente"))*'Agences &amp; Après-vente'!$E$2:$E$1000))&gt;0,TEXT(SUMPRODUCT(MAX(('Agences &amp; Après-vente'!$A$2:$A$1000=$A804)*(('Agences &amp; Après-vente'!$D$2:$D$1000="Agences")+('Agences &amp; Après-vente'!$D$2:$D$1000="Agences et Après-vente"))*'Agences &amp; Après-vente'!$E$2:$E$1000)),"yyyy-mm-dd"),""))))))</f>
        <v/>
      </c>
      <c r="I804" s="131" t="str">
        <f aca="false">IF($S804="✓","✓",IF(ISNUMBER($S804),TEXT($S804,"yyyy-mm-dd"),IF($A804="","",IF(SUMPRODUCT(('Agences &amp; Après-vente'!$A$2:$A$1000=$A804)*(('Agences &amp; Après-vente'!$D$2:$D$1000="Après-vente")+('Agences &amp; Après-vente'!$D$2:$D$1000="Agences et Après-vente"))*('Agences &amp; Après-vente'!$I$2:$I$1000="DONE"))&gt;0,"✓",IF(SUMPRODUCT(MAX(('Agences &amp; Après-vente'!$A$2:$A$1000=$A804)*(('Agences &amp; Après-vente'!$D$2:$D$1000="Après-vente")+('Agences &amp; Après-vente'!$D$2:$D$1000="Agences et Après-vente"))*'Agences &amp; Après-vente'!$E$2:$E$1000))&gt;0,TEXT(SUMPRODUCT(MAX(('Agences &amp; Après-vente'!$A$2:$A$1000=$A804)*(('Agences &amp; Après-vente'!$D$2:$D$1000="Après-vente")+('Agences &amp; Après-vente'!$D$2:$D$1000="Agences et Après-vente"))*'Agences &amp; Après-vente'!$E$2:$E$1000)),"yyyy-mm-dd"),"")))))</f>
        <v/>
      </c>
      <c r="J804" s="131" t="str">
        <f aca="false">IF($T804="✓","✓",IF(ISNUMBER($T804),TEXT($T804,"yyyy-mm-dd"),IF($A804="","",IF($D804="Lisbonne","",IF(SUMPRODUCT(('Agences &amp; Après-vente'!$A$2:$A$1000=$A804)*(('Agences &amp; Après-vente'!$D$2:$D$1000="Après-vente")+('Agences &amp; Après-vente'!$D$2:$D$1000="Agences et Après-vente"))*('Agences &amp; Après-vente'!$I$2:$I$1000="DONE"))&gt;0,"✓",IF(SUMPRODUCT(MAX(('Agences &amp; Après-vente'!$A$2:$A$1000=$A804)*(('Agences &amp; Après-vente'!$D$2:$D$1000="Après-vente")+('Agences &amp; Après-vente'!$D$2:$D$1000="Agences et Après-vente"))*'Agences &amp; Après-vente'!$E$2:$E$1000))&gt;0,TEXT(SUMPRODUCT(MAX(('Agences &amp; Après-vente'!$A$2:$A$1000=$A804)*(('Agences &amp; Après-vente'!$D$2:$D$1000="Après-vente")+('Agences &amp; Après-vente'!$D$2:$D$1000="Agences et Après-vente"))*'Agences &amp; Après-vente'!$E$2:$E$1000)),"yyyy-mm-dd"),""))))))</f>
        <v/>
      </c>
      <c r="K804" s="131" t="str">
        <f aca="false">IF($U804="✓","✓",IF(ISNUMBER($U804),TEXT($U804,"yyyy-mm-dd"),IF($D804="Lisbonne","",IF($A804="","",IF(SUMPRODUCT((Evermont!$A$2:$A$1000=$A804)*(Evermont!$Q$2:$Q$1000="Terminé"))&gt;0,"✓",IF(SUMPRODUCT(MAX((Evermont!$A$2:$A$1000=$A804)*Evermont!$F$2:$F$1000))&gt;0,TEXT(SUMPRODUCT(MAX((Evermont!$A$2:$A$1000=$A804)*Evermont!$F$2:$F$1000)),"yyyy-mm-dd"),""))))))</f>
        <v/>
      </c>
      <c r="L804" s="131" t="str">
        <f aca="false">IF($A804="","",COUNTIF(E804:K804,"✓"))</f>
        <v/>
      </c>
      <c r="M804" s="131" t="str">
        <f aca="false">IF(B804="","","Active")</f>
        <v/>
      </c>
      <c r="W804" s="120" t="str">
        <f aca="false">IF($A804="","",IF($X804&lt;&gt;"",$X804,IFERROR(INDEX('Formation Initiale'!$B$2:$B$999,MATCH($A804,'Formation Initiale'!$A$2:$A$999,0)),"Général")))</f>
        <v/>
      </c>
    </row>
    <row r="805" customFormat="false" ht="15" hidden="true" customHeight="true" outlineLevel="0" collapsed="false">
      <c r="A805" s="142" t="str">
        <f aca="false">IF(B805="","","TR"&amp;TEXT(ROW()-1,"000"))</f>
        <v/>
      </c>
      <c r="E805" s="130" t="str">
        <f aca="false">IF($O805="✓","✓",IF(ISNUMBER($O805),TEXT($O805,"yyyy-mm-dd"),IF($A805="","",IF(SUMPRODUCT(('Formation Initiale'!$A$2:$A$999=$A805)*('Formation Initiale'!$R$2:$R$999="Terminé"))&gt;0,"✓",IF(SUMPRODUCT(MAX(('Formation Initiale'!$A$2:$A$999=$A805)*'Formation Initiale'!$G$2:$G$999))&gt;0,TEXT(SUMPRODUCT(MAX(('Formation Initiale'!$A$2:$A$999=$A805)*'Formation Initiale'!$G$2:$G$999)),"yyyy-mm-dd"),"")))))</f>
        <v/>
      </c>
      <c r="F805" s="131" t="str">
        <f aca="false">IF($P805="✓","✓",IF(ISNUMBER($P805),TEXT($P805,"yyyy-mm-dd"),IF($A805="","",IF($D805="Lisbonne","",IF(SUMPRODUCT(('Formation Initiale'!$A$2:$A$999=$A805)*('Formation Initiale'!$R$2:$R$999="Terminé"))&gt;0,"✓",IF(SUMPRODUCT(MAX(('Formation Initiale'!$A$2:$A$999=$A805)*'Formation Initiale'!$G$2:$G$999))&gt;0,TEXT(SUMPRODUCT(MAX(('Formation Initiale'!$A$2:$A$999=$A805)*'Formation Initiale'!$G$2:$G$999)),"yyyy-mm-dd"),""))))))</f>
        <v/>
      </c>
      <c r="G805" s="131" t="str">
        <f aca="false">IF($Q805="✓","✓",IF(ISNUMBER($Q805),TEXT($Q805,"yyyy-mm-dd"),IF($A805="","",IF(SUMPRODUCT(('Agences &amp; Après-vente'!$A$2:$A$1000=$A805)*(('Agences &amp; Après-vente'!$D$2:$D$1000="Agences")+('Agences &amp; Après-vente'!$D$2:$D$1000="Agences et Après-vente"))*('Agences &amp; Après-vente'!$I$2:$I$1000="DONE"))&gt;0,"✓",IF(SUMPRODUCT(MAX(('Agences &amp; Après-vente'!$A$2:$A$1000=$A805)*(('Agences &amp; Après-vente'!$D$2:$D$1000="Agences")+('Agences &amp; Après-vente'!$D$2:$D$1000="Agences et Après-vente"))*'Agences &amp; Après-vente'!$E$2:$E$1000))&gt;0,TEXT(SUMPRODUCT(MAX(('Agences &amp; Après-vente'!$A$2:$A$1000=$A805)*(('Agences &amp; Après-vente'!$D$2:$D$1000="Agences")+('Agences &amp; Après-vente'!$D$2:$D$1000="Agences et Après-vente"))*'Agences &amp; Après-vente'!$E$2:$E$1000)),"yyyy-mm-dd"),"")))))</f>
        <v/>
      </c>
      <c r="H805" s="131" t="str">
        <f aca="false">IF($R805="✓","✓",IF(ISNUMBER($R805),TEXT($R805,"yyyy-mm-dd"),IF($A805="","",IF($D805="Lisbonne","",IF(SUMPRODUCT(('Agences &amp; Après-vente'!$A$2:$A$1000=$A805)*(('Agences &amp; Après-vente'!$D$2:$D$1000="Agences")+('Agences &amp; Après-vente'!$D$2:$D$1000="Agences et Après-vente"))*('Agences &amp; Après-vente'!$I$2:$I$1000="DONE"))&gt;0,"✓",IF(SUMPRODUCT(MAX(('Agences &amp; Après-vente'!$A$2:$A$1000=$A805)*(('Agences &amp; Après-vente'!$D$2:$D$1000="Agences")+('Agences &amp; Après-vente'!$D$2:$D$1000="Agences et Après-vente"))*'Agences &amp; Après-vente'!$E$2:$E$1000))&gt;0,TEXT(SUMPRODUCT(MAX(('Agences &amp; Après-vente'!$A$2:$A$1000=$A805)*(('Agences &amp; Après-vente'!$D$2:$D$1000="Agences")+('Agences &amp; Après-vente'!$D$2:$D$1000="Agences et Après-vente"))*'Agences &amp; Après-vente'!$E$2:$E$1000)),"yyyy-mm-dd"),""))))))</f>
        <v/>
      </c>
      <c r="I805" s="131" t="str">
        <f aca="false">IF($S805="✓","✓",IF(ISNUMBER($S805),TEXT($S805,"yyyy-mm-dd"),IF($A805="","",IF(SUMPRODUCT(('Agences &amp; Après-vente'!$A$2:$A$1000=$A805)*(('Agences &amp; Après-vente'!$D$2:$D$1000="Après-vente")+('Agences &amp; Après-vente'!$D$2:$D$1000="Agences et Après-vente"))*('Agences &amp; Après-vente'!$I$2:$I$1000="DONE"))&gt;0,"✓",IF(SUMPRODUCT(MAX(('Agences &amp; Après-vente'!$A$2:$A$1000=$A805)*(('Agences &amp; Après-vente'!$D$2:$D$1000="Après-vente")+('Agences &amp; Après-vente'!$D$2:$D$1000="Agences et Après-vente"))*'Agences &amp; Après-vente'!$E$2:$E$1000))&gt;0,TEXT(SUMPRODUCT(MAX(('Agences &amp; Après-vente'!$A$2:$A$1000=$A805)*(('Agences &amp; Après-vente'!$D$2:$D$1000="Après-vente")+('Agences &amp; Après-vente'!$D$2:$D$1000="Agences et Après-vente"))*'Agences &amp; Après-vente'!$E$2:$E$1000)),"yyyy-mm-dd"),"")))))</f>
        <v/>
      </c>
      <c r="J805" s="131" t="str">
        <f aca="false">IF($T805="✓","✓",IF(ISNUMBER($T805),TEXT($T805,"yyyy-mm-dd"),IF($A805="","",IF($D805="Lisbonne","",IF(SUMPRODUCT(('Agences &amp; Après-vente'!$A$2:$A$1000=$A805)*(('Agences &amp; Après-vente'!$D$2:$D$1000="Après-vente")+('Agences &amp; Après-vente'!$D$2:$D$1000="Agences et Après-vente"))*('Agences &amp; Après-vente'!$I$2:$I$1000="DONE"))&gt;0,"✓",IF(SUMPRODUCT(MAX(('Agences &amp; Après-vente'!$A$2:$A$1000=$A805)*(('Agences &amp; Après-vente'!$D$2:$D$1000="Après-vente")+('Agences &amp; Après-vente'!$D$2:$D$1000="Agences et Après-vente"))*'Agences &amp; Après-vente'!$E$2:$E$1000))&gt;0,TEXT(SUMPRODUCT(MAX(('Agences &amp; Après-vente'!$A$2:$A$1000=$A805)*(('Agences &amp; Après-vente'!$D$2:$D$1000="Après-vente")+('Agences &amp; Après-vente'!$D$2:$D$1000="Agences et Après-vente"))*'Agences &amp; Après-vente'!$E$2:$E$1000)),"yyyy-mm-dd"),""))))))</f>
        <v/>
      </c>
      <c r="K805" s="131" t="str">
        <f aca="false">IF($U805="✓","✓",IF(ISNUMBER($U805),TEXT($U805,"yyyy-mm-dd"),IF($D805="Lisbonne","",IF($A805="","",IF(SUMPRODUCT((Evermont!$A$2:$A$1000=$A805)*(Evermont!$Q$2:$Q$1000="Terminé"))&gt;0,"✓",IF(SUMPRODUCT(MAX((Evermont!$A$2:$A$1000=$A805)*Evermont!$F$2:$F$1000))&gt;0,TEXT(SUMPRODUCT(MAX((Evermont!$A$2:$A$1000=$A805)*Evermont!$F$2:$F$1000)),"yyyy-mm-dd"),""))))))</f>
        <v/>
      </c>
      <c r="L805" s="131" t="str">
        <f aca="false">IF($A805="","",COUNTIF(E805:K805,"✓"))</f>
        <v/>
      </c>
      <c r="M805" s="131" t="str">
        <f aca="false">IF(B805="","","Active")</f>
        <v/>
      </c>
      <c r="W805" s="120" t="str">
        <f aca="false">IF($A805="","",IF($X805&lt;&gt;"",$X805,IFERROR(INDEX('Formation Initiale'!$B$2:$B$999,MATCH($A805,'Formation Initiale'!$A$2:$A$999,0)),"Général")))</f>
        <v/>
      </c>
    </row>
    <row r="806" customFormat="false" ht="15" hidden="true" customHeight="true" outlineLevel="0" collapsed="false">
      <c r="A806" s="142" t="str">
        <f aca="false">IF(B806="","","TR"&amp;TEXT(ROW()-1,"000"))</f>
        <v/>
      </c>
      <c r="E806" s="130" t="str">
        <f aca="false">IF($O806="✓","✓",IF(ISNUMBER($O806),TEXT($O806,"yyyy-mm-dd"),IF($A806="","",IF(SUMPRODUCT(('Formation Initiale'!$A$2:$A$999=$A806)*('Formation Initiale'!$R$2:$R$999="Terminé"))&gt;0,"✓",IF(SUMPRODUCT(MAX(('Formation Initiale'!$A$2:$A$999=$A806)*'Formation Initiale'!$G$2:$G$999))&gt;0,TEXT(SUMPRODUCT(MAX(('Formation Initiale'!$A$2:$A$999=$A806)*'Formation Initiale'!$G$2:$G$999)),"yyyy-mm-dd"),"")))))</f>
        <v/>
      </c>
      <c r="F806" s="131" t="str">
        <f aca="false">IF($P806="✓","✓",IF(ISNUMBER($P806),TEXT($P806,"yyyy-mm-dd"),IF($A806="","",IF($D806="Lisbonne","",IF(SUMPRODUCT(('Formation Initiale'!$A$2:$A$999=$A806)*('Formation Initiale'!$R$2:$R$999="Terminé"))&gt;0,"✓",IF(SUMPRODUCT(MAX(('Formation Initiale'!$A$2:$A$999=$A806)*'Formation Initiale'!$G$2:$G$999))&gt;0,TEXT(SUMPRODUCT(MAX(('Formation Initiale'!$A$2:$A$999=$A806)*'Formation Initiale'!$G$2:$G$999)),"yyyy-mm-dd"),""))))))</f>
        <v/>
      </c>
      <c r="G806" s="131" t="str">
        <f aca="false">IF($Q806="✓","✓",IF(ISNUMBER($Q806),TEXT($Q806,"yyyy-mm-dd"),IF($A806="","",IF(SUMPRODUCT(('Agences &amp; Après-vente'!$A$2:$A$1000=$A806)*(('Agences &amp; Après-vente'!$D$2:$D$1000="Agences")+('Agences &amp; Après-vente'!$D$2:$D$1000="Agences et Après-vente"))*('Agences &amp; Après-vente'!$I$2:$I$1000="DONE"))&gt;0,"✓",IF(SUMPRODUCT(MAX(('Agences &amp; Après-vente'!$A$2:$A$1000=$A806)*(('Agences &amp; Après-vente'!$D$2:$D$1000="Agences")+('Agences &amp; Après-vente'!$D$2:$D$1000="Agences et Après-vente"))*'Agences &amp; Après-vente'!$E$2:$E$1000))&gt;0,TEXT(SUMPRODUCT(MAX(('Agences &amp; Après-vente'!$A$2:$A$1000=$A806)*(('Agences &amp; Après-vente'!$D$2:$D$1000="Agences")+('Agences &amp; Après-vente'!$D$2:$D$1000="Agences et Après-vente"))*'Agences &amp; Après-vente'!$E$2:$E$1000)),"yyyy-mm-dd"),"")))))</f>
        <v/>
      </c>
      <c r="H806" s="131" t="str">
        <f aca="false">IF($R806="✓","✓",IF(ISNUMBER($R806),TEXT($R806,"yyyy-mm-dd"),IF($A806="","",IF($D806="Lisbonne","",IF(SUMPRODUCT(('Agences &amp; Après-vente'!$A$2:$A$1000=$A806)*(('Agences &amp; Après-vente'!$D$2:$D$1000="Agences")+('Agences &amp; Après-vente'!$D$2:$D$1000="Agences et Après-vente"))*('Agences &amp; Après-vente'!$I$2:$I$1000="DONE"))&gt;0,"✓",IF(SUMPRODUCT(MAX(('Agences &amp; Après-vente'!$A$2:$A$1000=$A806)*(('Agences &amp; Après-vente'!$D$2:$D$1000="Agences")+('Agences &amp; Après-vente'!$D$2:$D$1000="Agences et Après-vente"))*'Agences &amp; Après-vente'!$E$2:$E$1000))&gt;0,TEXT(SUMPRODUCT(MAX(('Agences &amp; Après-vente'!$A$2:$A$1000=$A806)*(('Agences &amp; Après-vente'!$D$2:$D$1000="Agences")+('Agences &amp; Après-vente'!$D$2:$D$1000="Agences et Après-vente"))*'Agences &amp; Après-vente'!$E$2:$E$1000)),"yyyy-mm-dd"),""))))))</f>
        <v/>
      </c>
      <c r="I806" s="131" t="str">
        <f aca="false">IF($S806="✓","✓",IF(ISNUMBER($S806),TEXT($S806,"yyyy-mm-dd"),IF($A806="","",IF(SUMPRODUCT(('Agences &amp; Après-vente'!$A$2:$A$1000=$A806)*(('Agences &amp; Après-vente'!$D$2:$D$1000="Après-vente")+('Agences &amp; Après-vente'!$D$2:$D$1000="Agences et Après-vente"))*('Agences &amp; Après-vente'!$I$2:$I$1000="DONE"))&gt;0,"✓",IF(SUMPRODUCT(MAX(('Agences &amp; Après-vente'!$A$2:$A$1000=$A806)*(('Agences &amp; Après-vente'!$D$2:$D$1000="Après-vente")+('Agences &amp; Après-vente'!$D$2:$D$1000="Agences et Après-vente"))*'Agences &amp; Après-vente'!$E$2:$E$1000))&gt;0,TEXT(SUMPRODUCT(MAX(('Agences &amp; Après-vente'!$A$2:$A$1000=$A806)*(('Agences &amp; Après-vente'!$D$2:$D$1000="Après-vente")+('Agences &amp; Après-vente'!$D$2:$D$1000="Agences et Après-vente"))*'Agences &amp; Après-vente'!$E$2:$E$1000)),"yyyy-mm-dd"),"")))))</f>
        <v/>
      </c>
      <c r="J806" s="131" t="str">
        <f aca="false">IF($T806="✓","✓",IF(ISNUMBER($T806),TEXT($T806,"yyyy-mm-dd"),IF($A806="","",IF($D806="Lisbonne","",IF(SUMPRODUCT(('Agences &amp; Après-vente'!$A$2:$A$1000=$A806)*(('Agences &amp; Après-vente'!$D$2:$D$1000="Après-vente")+('Agences &amp; Après-vente'!$D$2:$D$1000="Agences et Après-vente"))*('Agences &amp; Après-vente'!$I$2:$I$1000="DONE"))&gt;0,"✓",IF(SUMPRODUCT(MAX(('Agences &amp; Après-vente'!$A$2:$A$1000=$A806)*(('Agences &amp; Après-vente'!$D$2:$D$1000="Après-vente")+('Agences &amp; Après-vente'!$D$2:$D$1000="Agences et Après-vente"))*'Agences &amp; Après-vente'!$E$2:$E$1000))&gt;0,TEXT(SUMPRODUCT(MAX(('Agences &amp; Après-vente'!$A$2:$A$1000=$A806)*(('Agences &amp; Après-vente'!$D$2:$D$1000="Après-vente")+('Agences &amp; Après-vente'!$D$2:$D$1000="Agences et Après-vente"))*'Agences &amp; Après-vente'!$E$2:$E$1000)),"yyyy-mm-dd"),""))))))</f>
        <v/>
      </c>
      <c r="K806" s="131" t="str">
        <f aca="false">IF($U806="✓","✓",IF(ISNUMBER($U806),TEXT($U806,"yyyy-mm-dd"),IF($D806="Lisbonne","",IF($A806="","",IF(SUMPRODUCT((Evermont!$A$2:$A$1000=$A806)*(Evermont!$Q$2:$Q$1000="Terminé"))&gt;0,"✓",IF(SUMPRODUCT(MAX((Evermont!$A$2:$A$1000=$A806)*Evermont!$F$2:$F$1000))&gt;0,TEXT(SUMPRODUCT(MAX((Evermont!$A$2:$A$1000=$A806)*Evermont!$F$2:$F$1000)),"yyyy-mm-dd"),""))))))</f>
        <v/>
      </c>
      <c r="L806" s="131" t="str">
        <f aca="false">IF($A806="","",COUNTIF(E806:K806,"✓"))</f>
        <v/>
      </c>
      <c r="M806" s="131" t="str">
        <f aca="false">IF(B806="","","Active")</f>
        <v/>
      </c>
      <c r="W806" s="120" t="str">
        <f aca="false">IF($A806="","",IF($X806&lt;&gt;"",$X806,IFERROR(INDEX('Formation Initiale'!$B$2:$B$999,MATCH($A806,'Formation Initiale'!$A$2:$A$999,0)),"Général")))</f>
        <v/>
      </c>
    </row>
    <row r="807" customFormat="false" ht="15" hidden="true" customHeight="true" outlineLevel="0" collapsed="false">
      <c r="A807" s="142" t="str">
        <f aca="false">IF(B807="","","TR"&amp;TEXT(ROW()-1,"000"))</f>
        <v/>
      </c>
      <c r="E807" s="130" t="str">
        <f aca="false">IF($O807="✓","✓",IF(ISNUMBER($O807),TEXT($O807,"yyyy-mm-dd"),IF($A807="","",IF(SUMPRODUCT(('Formation Initiale'!$A$2:$A$999=$A807)*('Formation Initiale'!$R$2:$R$999="Terminé"))&gt;0,"✓",IF(SUMPRODUCT(MAX(('Formation Initiale'!$A$2:$A$999=$A807)*'Formation Initiale'!$G$2:$G$999))&gt;0,TEXT(SUMPRODUCT(MAX(('Formation Initiale'!$A$2:$A$999=$A807)*'Formation Initiale'!$G$2:$G$999)),"yyyy-mm-dd"),"")))))</f>
        <v/>
      </c>
      <c r="F807" s="131" t="str">
        <f aca="false">IF($P807="✓","✓",IF(ISNUMBER($P807),TEXT($P807,"yyyy-mm-dd"),IF($A807="","",IF($D807="Lisbonne","",IF(SUMPRODUCT(('Formation Initiale'!$A$2:$A$999=$A807)*('Formation Initiale'!$R$2:$R$999="Terminé"))&gt;0,"✓",IF(SUMPRODUCT(MAX(('Formation Initiale'!$A$2:$A$999=$A807)*'Formation Initiale'!$G$2:$G$999))&gt;0,TEXT(SUMPRODUCT(MAX(('Formation Initiale'!$A$2:$A$999=$A807)*'Formation Initiale'!$G$2:$G$999)),"yyyy-mm-dd"),""))))))</f>
        <v/>
      </c>
      <c r="G807" s="131" t="str">
        <f aca="false">IF($Q807="✓","✓",IF(ISNUMBER($Q807),TEXT($Q807,"yyyy-mm-dd"),IF($A807="","",IF(SUMPRODUCT(('Agences &amp; Après-vente'!$A$2:$A$1000=$A807)*(('Agences &amp; Après-vente'!$D$2:$D$1000="Agences")+('Agences &amp; Après-vente'!$D$2:$D$1000="Agences et Après-vente"))*('Agences &amp; Après-vente'!$I$2:$I$1000="DONE"))&gt;0,"✓",IF(SUMPRODUCT(MAX(('Agences &amp; Après-vente'!$A$2:$A$1000=$A807)*(('Agences &amp; Après-vente'!$D$2:$D$1000="Agences")+('Agences &amp; Après-vente'!$D$2:$D$1000="Agences et Après-vente"))*'Agences &amp; Après-vente'!$E$2:$E$1000))&gt;0,TEXT(SUMPRODUCT(MAX(('Agences &amp; Après-vente'!$A$2:$A$1000=$A807)*(('Agences &amp; Après-vente'!$D$2:$D$1000="Agences")+('Agences &amp; Après-vente'!$D$2:$D$1000="Agences et Après-vente"))*'Agences &amp; Après-vente'!$E$2:$E$1000)),"yyyy-mm-dd"),"")))))</f>
        <v/>
      </c>
      <c r="H807" s="131" t="str">
        <f aca="false">IF($R807="✓","✓",IF(ISNUMBER($R807),TEXT($R807,"yyyy-mm-dd"),IF($A807="","",IF($D807="Lisbonne","",IF(SUMPRODUCT(('Agences &amp; Après-vente'!$A$2:$A$1000=$A807)*(('Agences &amp; Après-vente'!$D$2:$D$1000="Agences")+('Agences &amp; Après-vente'!$D$2:$D$1000="Agences et Après-vente"))*('Agences &amp; Après-vente'!$I$2:$I$1000="DONE"))&gt;0,"✓",IF(SUMPRODUCT(MAX(('Agences &amp; Après-vente'!$A$2:$A$1000=$A807)*(('Agences &amp; Après-vente'!$D$2:$D$1000="Agences")+('Agences &amp; Après-vente'!$D$2:$D$1000="Agences et Après-vente"))*'Agences &amp; Après-vente'!$E$2:$E$1000))&gt;0,TEXT(SUMPRODUCT(MAX(('Agences &amp; Après-vente'!$A$2:$A$1000=$A807)*(('Agences &amp; Après-vente'!$D$2:$D$1000="Agences")+('Agences &amp; Après-vente'!$D$2:$D$1000="Agences et Après-vente"))*'Agences &amp; Après-vente'!$E$2:$E$1000)),"yyyy-mm-dd"),""))))))</f>
        <v/>
      </c>
      <c r="I807" s="131" t="str">
        <f aca="false">IF($S807="✓","✓",IF(ISNUMBER($S807),TEXT($S807,"yyyy-mm-dd"),IF($A807="","",IF(SUMPRODUCT(('Agences &amp; Après-vente'!$A$2:$A$1000=$A807)*(('Agences &amp; Après-vente'!$D$2:$D$1000="Après-vente")+('Agences &amp; Après-vente'!$D$2:$D$1000="Agences et Après-vente"))*('Agences &amp; Après-vente'!$I$2:$I$1000="DONE"))&gt;0,"✓",IF(SUMPRODUCT(MAX(('Agences &amp; Après-vente'!$A$2:$A$1000=$A807)*(('Agences &amp; Après-vente'!$D$2:$D$1000="Après-vente")+('Agences &amp; Après-vente'!$D$2:$D$1000="Agences et Après-vente"))*'Agences &amp; Après-vente'!$E$2:$E$1000))&gt;0,TEXT(SUMPRODUCT(MAX(('Agences &amp; Après-vente'!$A$2:$A$1000=$A807)*(('Agences &amp; Après-vente'!$D$2:$D$1000="Après-vente")+('Agences &amp; Après-vente'!$D$2:$D$1000="Agences et Après-vente"))*'Agences &amp; Après-vente'!$E$2:$E$1000)),"yyyy-mm-dd"),"")))))</f>
        <v/>
      </c>
      <c r="J807" s="131" t="str">
        <f aca="false">IF($T807="✓","✓",IF(ISNUMBER($T807),TEXT($T807,"yyyy-mm-dd"),IF($A807="","",IF($D807="Lisbonne","",IF(SUMPRODUCT(('Agences &amp; Après-vente'!$A$2:$A$1000=$A807)*(('Agences &amp; Après-vente'!$D$2:$D$1000="Après-vente")+('Agences &amp; Après-vente'!$D$2:$D$1000="Agences et Après-vente"))*('Agences &amp; Après-vente'!$I$2:$I$1000="DONE"))&gt;0,"✓",IF(SUMPRODUCT(MAX(('Agences &amp; Après-vente'!$A$2:$A$1000=$A807)*(('Agences &amp; Après-vente'!$D$2:$D$1000="Après-vente")+('Agences &amp; Après-vente'!$D$2:$D$1000="Agences et Après-vente"))*'Agences &amp; Après-vente'!$E$2:$E$1000))&gt;0,TEXT(SUMPRODUCT(MAX(('Agences &amp; Après-vente'!$A$2:$A$1000=$A807)*(('Agences &amp; Après-vente'!$D$2:$D$1000="Après-vente")+('Agences &amp; Après-vente'!$D$2:$D$1000="Agences et Après-vente"))*'Agences &amp; Après-vente'!$E$2:$E$1000)),"yyyy-mm-dd"),""))))))</f>
        <v/>
      </c>
      <c r="K807" s="131" t="str">
        <f aca="false">IF($U807="✓","✓",IF(ISNUMBER($U807),TEXT($U807,"yyyy-mm-dd"),IF($D807="Lisbonne","",IF($A807="","",IF(SUMPRODUCT((Evermont!$A$2:$A$1000=$A807)*(Evermont!$Q$2:$Q$1000="Terminé"))&gt;0,"✓",IF(SUMPRODUCT(MAX((Evermont!$A$2:$A$1000=$A807)*Evermont!$F$2:$F$1000))&gt;0,TEXT(SUMPRODUCT(MAX((Evermont!$A$2:$A$1000=$A807)*Evermont!$F$2:$F$1000)),"yyyy-mm-dd"),""))))))</f>
        <v/>
      </c>
      <c r="L807" s="131" t="str">
        <f aca="false">IF($A807="","",COUNTIF(E807:K807,"✓"))</f>
        <v/>
      </c>
      <c r="M807" s="131" t="str">
        <f aca="false">IF(B807="","","Active")</f>
        <v/>
      </c>
      <c r="W807" s="120" t="str">
        <f aca="false">IF($A807="","",IF($X807&lt;&gt;"",$X807,IFERROR(INDEX('Formation Initiale'!$B$2:$B$999,MATCH($A807,'Formation Initiale'!$A$2:$A$999,0)),"Général")))</f>
        <v/>
      </c>
    </row>
    <row r="808" customFormat="false" ht="15" hidden="true" customHeight="true" outlineLevel="0" collapsed="false">
      <c r="A808" s="142" t="str">
        <f aca="false">IF(B808="","","TR"&amp;TEXT(ROW()-1,"000"))</f>
        <v/>
      </c>
      <c r="E808" s="130" t="str">
        <f aca="false">IF($O808="✓","✓",IF(ISNUMBER($O808),TEXT($O808,"yyyy-mm-dd"),IF($A808="","",IF(SUMPRODUCT(('Formation Initiale'!$A$2:$A$999=$A808)*('Formation Initiale'!$R$2:$R$999="Terminé"))&gt;0,"✓",IF(SUMPRODUCT(MAX(('Formation Initiale'!$A$2:$A$999=$A808)*'Formation Initiale'!$G$2:$G$999))&gt;0,TEXT(SUMPRODUCT(MAX(('Formation Initiale'!$A$2:$A$999=$A808)*'Formation Initiale'!$G$2:$G$999)),"yyyy-mm-dd"),"")))))</f>
        <v/>
      </c>
      <c r="F808" s="131" t="str">
        <f aca="false">IF($P808="✓","✓",IF(ISNUMBER($P808),TEXT($P808,"yyyy-mm-dd"),IF($A808="","",IF($D808="Lisbonne","",IF(SUMPRODUCT(('Formation Initiale'!$A$2:$A$999=$A808)*('Formation Initiale'!$R$2:$R$999="Terminé"))&gt;0,"✓",IF(SUMPRODUCT(MAX(('Formation Initiale'!$A$2:$A$999=$A808)*'Formation Initiale'!$G$2:$G$999))&gt;0,TEXT(SUMPRODUCT(MAX(('Formation Initiale'!$A$2:$A$999=$A808)*'Formation Initiale'!$G$2:$G$999)),"yyyy-mm-dd"),""))))))</f>
        <v/>
      </c>
      <c r="G808" s="131" t="str">
        <f aca="false">IF($Q808="✓","✓",IF(ISNUMBER($Q808),TEXT($Q808,"yyyy-mm-dd"),IF($A808="","",IF(SUMPRODUCT(('Agences &amp; Après-vente'!$A$2:$A$1000=$A808)*(('Agences &amp; Après-vente'!$D$2:$D$1000="Agences")+('Agences &amp; Après-vente'!$D$2:$D$1000="Agences et Après-vente"))*('Agences &amp; Après-vente'!$I$2:$I$1000="DONE"))&gt;0,"✓",IF(SUMPRODUCT(MAX(('Agences &amp; Après-vente'!$A$2:$A$1000=$A808)*(('Agences &amp; Après-vente'!$D$2:$D$1000="Agences")+('Agences &amp; Après-vente'!$D$2:$D$1000="Agences et Après-vente"))*'Agences &amp; Après-vente'!$E$2:$E$1000))&gt;0,TEXT(SUMPRODUCT(MAX(('Agences &amp; Après-vente'!$A$2:$A$1000=$A808)*(('Agences &amp; Après-vente'!$D$2:$D$1000="Agences")+('Agences &amp; Après-vente'!$D$2:$D$1000="Agences et Après-vente"))*'Agences &amp; Après-vente'!$E$2:$E$1000)),"yyyy-mm-dd"),"")))))</f>
        <v/>
      </c>
      <c r="H808" s="131" t="str">
        <f aca="false">IF($R808="✓","✓",IF(ISNUMBER($R808),TEXT($R808,"yyyy-mm-dd"),IF($A808="","",IF($D808="Lisbonne","",IF(SUMPRODUCT(('Agences &amp; Après-vente'!$A$2:$A$1000=$A808)*(('Agences &amp; Après-vente'!$D$2:$D$1000="Agences")+('Agences &amp; Après-vente'!$D$2:$D$1000="Agences et Après-vente"))*('Agences &amp; Après-vente'!$I$2:$I$1000="DONE"))&gt;0,"✓",IF(SUMPRODUCT(MAX(('Agences &amp; Après-vente'!$A$2:$A$1000=$A808)*(('Agences &amp; Après-vente'!$D$2:$D$1000="Agences")+('Agences &amp; Après-vente'!$D$2:$D$1000="Agences et Après-vente"))*'Agences &amp; Après-vente'!$E$2:$E$1000))&gt;0,TEXT(SUMPRODUCT(MAX(('Agences &amp; Après-vente'!$A$2:$A$1000=$A808)*(('Agences &amp; Après-vente'!$D$2:$D$1000="Agences")+('Agences &amp; Après-vente'!$D$2:$D$1000="Agences et Après-vente"))*'Agences &amp; Après-vente'!$E$2:$E$1000)),"yyyy-mm-dd"),""))))))</f>
        <v/>
      </c>
      <c r="I808" s="131" t="str">
        <f aca="false">IF($S808="✓","✓",IF(ISNUMBER($S808),TEXT($S808,"yyyy-mm-dd"),IF($A808="","",IF(SUMPRODUCT(('Agences &amp; Après-vente'!$A$2:$A$1000=$A808)*(('Agences &amp; Après-vente'!$D$2:$D$1000="Après-vente")+('Agences &amp; Après-vente'!$D$2:$D$1000="Agences et Après-vente"))*('Agences &amp; Après-vente'!$I$2:$I$1000="DONE"))&gt;0,"✓",IF(SUMPRODUCT(MAX(('Agences &amp; Après-vente'!$A$2:$A$1000=$A808)*(('Agences &amp; Après-vente'!$D$2:$D$1000="Après-vente")+('Agences &amp; Après-vente'!$D$2:$D$1000="Agences et Après-vente"))*'Agences &amp; Après-vente'!$E$2:$E$1000))&gt;0,TEXT(SUMPRODUCT(MAX(('Agences &amp; Après-vente'!$A$2:$A$1000=$A808)*(('Agences &amp; Après-vente'!$D$2:$D$1000="Après-vente")+('Agences &amp; Après-vente'!$D$2:$D$1000="Agences et Après-vente"))*'Agences &amp; Après-vente'!$E$2:$E$1000)),"yyyy-mm-dd"),"")))))</f>
        <v/>
      </c>
      <c r="J808" s="131" t="str">
        <f aca="false">IF($T808="✓","✓",IF(ISNUMBER($T808),TEXT($T808,"yyyy-mm-dd"),IF($A808="","",IF($D808="Lisbonne","",IF(SUMPRODUCT(('Agences &amp; Après-vente'!$A$2:$A$1000=$A808)*(('Agences &amp; Après-vente'!$D$2:$D$1000="Après-vente")+('Agences &amp; Après-vente'!$D$2:$D$1000="Agences et Après-vente"))*('Agences &amp; Après-vente'!$I$2:$I$1000="DONE"))&gt;0,"✓",IF(SUMPRODUCT(MAX(('Agences &amp; Après-vente'!$A$2:$A$1000=$A808)*(('Agences &amp; Après-vente'!$D$2:$D$1000="Après-vente")+('Agences &amp; Après-vente'!$D$2:$D$1000="Agences et Après-vente"))*'Agences &amp; Après-vente'!$E$2:$E$1000))&gt;0,TEXT(SUMPRODUCT(MAX(('Agences &amp; Après-vente'!$A$2:$A$1000=$A808)*(('Agences &amp; Après-vente'!$D$2:$D$1000="Après-vente")+('Agences &amp; Après-vente'!$D$2:$D$1000="Agences et Après-vente"))*'Agences &amp; Après-vente'!$E$2:$E$1000)),"yyyy-mm-dd"),""))))))</f>
        <v/>
      </c>
      <c r="K808" s="131" t="str">
        <f aca="false">IF($U808="✓","✓",IF(ISNUMBER($U808),TEXT($U808,"yyyy-mm-dd"),IF($D808="Lisbonne","",IF($A808="","",IF(SUMPRODUCT((Evermont!$A$2:$A$1000=$A808)*(Evermont!$Q$2:$Q$1000="Terminé"))&gt;0,"✓",IF(SUMPRODUCT(MAX((Evermont!$A$2:$A$1000=$A808)*Evermont!$F$2:$F$1000))&gt;0,TEXT(SUMPRODUCT(MAX((Evermont!$A$2:$A$1000=$A808)*Evermont!$F$2:$F$1000)),"yyyy-mm-dd"),""))))))</f>
        <v/>
      </c>
      <c r="L808" s="131" t="str">
        <f aca="false">IF($A808="","",COUNTIF(E808:K808,"✓"))</f>
        <v/>
      </c>
      <c r="M808" s="131" t="str">
        <f aca="false">IF(B808="","","Active")</f>
        <v/>
      </c>
      <c r="W808" s="120" t="str">
        <f aca="false">IF($A808="","",IF($X808&lt;&gt;"",$X808,IFERROR(INDEX('Formation Initiale'!$B$2:$B$999,MATCH($A808,'Formation Initiale'!$A$2:$A$999,0)),"Général")))</f>
        <v/>
      </c>
    </row>
    <row r="809" customFormat="false" ht="15" hidden="true" customHeight="true" outlineLevel="0" collapsed="false">
      <c r="A809" s="142" t="str">
        <f aca="false">IF(B809="","","TR"&amp;TEXT(ROW()-1,"000"))</f>
        <v/>
      </c>
      <c r="E809" s="130" t="str">
        <f aca="false">IF($O809="✓","✓",IF(ISNUMBER($O809),TEXT($O809,"yyyy-mm-dd"),IF($A809="","",IF(SUMPRODUCT(('Formation Initiale'!$A$2:$A$999=$A809)*('Formation Initiale'!$R$2:$R$999="Terminé"))&gt;0,"✓",IF(SUMPRODUCT(MAX(('Formation Initiale'!$A$2:$A$999=$A809)*'Formation Initiale'!$G$2:$G$999))&gt;0,TEXT(SUMPRODUCT(MAX(('Formation Initiale'!$A$2:$A$999=$A809)*'Formation Initiale'!$G$2:$G$999)),"yyyy-mm-dd"),"")))))</f>
        <v/>
      </c>
      <c r="F809" s="131" t="str">
        <f aca="false">IF($P809="✓","✓",IF(ISNUMBER($P809),TEXT($P809,"yyyy-mm-dd"),IF($A809="","",IF($D809="Lisbonne","",IF(SUMPRODUCT(('Formation Initiale'!$A$2:$A$999=$A809)*('Formation Initiale'!$R$2:$R$999="Terminé"))&gt;0,"✓",IF(SUMPRODUCT(MAX(('Formation Initiale'!$A$2:$A$999=$A809)*'Formation Initiale'!$G$2:$G$999))&gt;0,TEXT(SUMPRODUCT(MAX(('Formation Initiale'!$A$2:$A$999=$A809)*'Formation Initiale'!$G$2:$G$999)),"yyyy-mm-dd"),""))))))</f>
        <v/>
      </c>
      <c r="G809" s="131" t="str">
        <f aca="false">IF($Q809="✓","✓",IF(ISNUMBER($Q809),TEXT($Q809,"yyyy-mm-dd"),IF($A809="","",IF(SUMPRODUCT(('Agences &amp; Après-vente'!$A$2:$A$1000=$A809)*(('Agences &amp; Après-vente'!$D$2:$D$1000="Agences")+('Agences &amp; Après-vente'!$D$2:$D$1000="Agences et Après-vente"))*('Agences &amp; Après-vente'!$I$2:$I$1000="DONE"))&gt;0,"✓",IF(SUMPRODUCT(MAX(('Agences &amp; Après-vente'!$A$2:$A$1000=$A809)*(('Agences &amp; Après-vente'!$D$2:$D$1000="Agences")+('Agences &amp; Après-vente'!$D$2:$D$1000="Agences et Après-vente"))*'Agences &amp; Après-vente'!$E$2:$E$1000))&gt;0,TEXT(SUMPRODUCT(MAX(('Agences &amp; Après-vente'!$A$2:$A$1000=$A809)*(('Agences &amp; Après-vente'!$D$2:$D$1000="Agences")+('Agences &amp; Après-vente'!$D$2:$D$1000="Agences et Après-vente"))*'Agences &amp; Après-vente'!$E$2:$E$1000)),"yyyy-mm-dd"),"")))))</f>
        <v/>
      </c>
      <c r="H809" s="131" t="str">
        <f aca="false">IF($R809="✓","✓",IF(ISNUMBER($R809),TEXT($R809,"yyyy-mm-dd"),IF($A809="","",IF($D809="Lisbonne","",IF(SUMPRODUCT(('Agences &amp; Après-vente'!$A$2:$A$1000=$A809)*(('Agences &amp; Après-vente'!$D$2:$D$1000="Agences")+('Agences &amp; Après-vente'!$D$2:$D$1000="Agences et Après-vente"))*('Agences &amp; Après-vente'!$I$2:$I$1000="DONE"))&gt;0,"✓",IF(SUMPRODUCT(MAX(('Agences &amp; Après-vente'!$A$2:$A$1000=$A809)*(('Agences &amp; Après-vente'!$D$2:$D$1000="Agences")+('Agences &amp; Après-vente'!$D$2:$D$1000="Agences et Après-vente"))*'Agences &amp; Après-vente'!$E$2:$E$1000))&gt;0,TEXT(SUMPRODUCT(MAX(('Agences &amp; Après-vente'!$A$2:$A$1000=$A809)*(('Agences &amp; Après-vente'!$D$2:$D$1000="Agences")+('Agences &amp; Après-vente'!$D$2:$D$1000="Agences et Après-vente"))*'Agences &amp; Après-vente'!$E$2:$E$1000)),"yyyy-mm-dd"),""))))))</f>
        <v/>
      </c>
      <c r="I809" s="131" t="str">
        <f aca="false">IF($S809="✓","✓",IF(ISNUMBER($S809),TEXT($S809,"yyyy-mm-dd"),IF($A809="","",IF(SUMPRODUCT(('Agences &amp; Après-vente'!$A$2:$A$1000=$A809)*(('Agences &amp; Après-vente'!$D$2:$D$1000="Après-vente")+('Agences &amp; Après-vente'!$D$2:$D$1000="Agences et Après-vente"))*('Agences &amp; Après-vente'!$I$2:$I$1000="DONE"))&gt;0,"✓",IF(SUMPRODUCT(MAX(('Agences &amp; Après-vente'!$A$2:$A$1000=$A809)*(('Agences &amp; Après-vente'!$D$2:$D$1000="Après-vente")+('Agences &amp; Après-vente'!$D$2:$D$1000="Agences et Après-vente"))*'Agences &amp; Après-vente'!$E$2:$E$1000))&gt;0,TEXT(SUMPRODUCT(MAX(('Agences &amp; Après-vente'!$A$2:$A$1000=$A809)*(('Agences &amp; Après-vente'!$D$2:$D$1000="Après-vente")+('Agences &amp; Après-vente'!$D$2:$D$1000="Agences et Après-vente"))*'Agences &amp; Après-vente'!$E$2:$E$1000)),"yyyy-mm-dd"),"")))))</f>
        <v/>
      </c>
      <c r="J809" s="131" t="str">
        <f aca="false">IF($T809="✓","✓",IF(ISNUMBER($T809),TEXT($T809,"yyyy-mm-dd"),IF($A809="","",IF($D809="Lisbonne","",IF(SUMPRODUCT(('Agences &amp; Après-vente'!$A$2:$A$1000=$A809)*(('Agences &amp; Après-vente'!$D$2:$D$1000="Après-vente")+('Agences &amp; Après-vente'!$D$2:$D$1000="Agences et Après-vente"))*('Agences &amp; Après-vente'!$I$2:$I$1000="DONE"))&gt;0,"✓",IF(SUMPRODUCT(MAX(('Agences &amp; Après-vente'!$A$2:$A$1000=$A809)*(('Agences &amp; Après-vente'!$D$2:$D$1000="Après-vente")+('Agences &amp; Après-vente'!$D$2:$D$1000="Agences et Après-vente"))*'Agences &amp; Après-vente'!$E$2:$E$1000))&gt;0,TEXT(SUMPRODUCT(MAX(('Agences &amp; Après-vente'!$A$2:$A$1000=$A809)*(('Agences &amp; Après-vente'!$D$2:$D$1000="Après-vente")+('Agences &amp; Après-vente'!$D$2:$D$1000="Agences et Après-vente"))*'Agences &amp; Après-vente'!$E$2:$E$1000)),"yyyy-mm-dd"),""))))))</f>
        <v/>
      </c>
      <c r="K809" s="131" t="str">
        <f aca="false">IF($U809="✓","✓",IF(ISNUMBER($U809),TEXT($U809,"yyyy-mm-dd"),IF($D809="Lisbonne","",IF($A809="","",IF(SUMPRODUCT((Evermont!$A$2:$A$1000=$A809)*(Evermont!$Q$2:$Q$1000="Terminé"))&gt;0,"✓",IF(SUMPRODUCT(MAX((Evermont!$A$2:$A$1000=$A809)*Evermont!$F$2:$F$1000))&gt;0,TEXT(SUMPRODUCT(MAX((Evermont!$A$2:$A$1000=$A809)*Evermont!$F$2:$F$1000)),"yyyy-mm-dd"),""))))))</f>
        <v/>
      </c>
      <c r="L809" s="131" t="str">
        <f aca="false">IF($A809="","",COUNTIF(E809:K809,"✓"))</f>
        <v/>
      </c>
      <c r="M809" s="131" t="str">
        <f aca="false">IF(B809="","","Active")</f>
        <v/>
      </c>
      <c r="W809" s="120" t="str">
        <f aca="false">IF($A809="","",IF($X809&lt;&gt;"",$X809,IFERROR(INDEX('Formation Initiale'!$B$2:$B$999,MATCH($A809,'Formation Initiale'!$A$2:$A$999,0)),"Général")))</f>
        <v/>
      </c>
    </row>
    <row r="810" customFormat="false" ht="15" hidden="true" customHeight="true" outlineLevel="0" collapsed="false">
      <c r="A810" s="142" t="str">
        <f aca="false">IF(B810="","","TR"&amp;TEXT(ROW()-1,"000"))</f>
        <v/>
      </c>
      <c r="E810" s="130" t="str">
        <f aca="false">IF($O810="✓","✓",IF(ISNUMBER($O810),TEXT($O810,"yyyy-mm-dd"),IF($A810="","",IF(SUMPRODUCT(('Formation Initiale'!$A$2:$A$999=$A810)*('Formation Initiale'!$R$2:$R$999="Terminé"))&gt;0,"✓",IF(SUMPRODUCT(MAX(('Formation Initiale'!$A$2:$A$999=$A810)*'Formation Initiale'!$G$2:$G$999))&gt;0,TEXT(SUMPRODUCT(MAX(('Formation Initiale'!$A$2:$A$999=$A810)*'Formation Initiale'!$G$2:$G$999)),"yyyy-mm-dd"),"")))))</f>
        <v/>
      </c>
      <c r="F810" s="131" t="str">
        <f aca="false">IF($P810="✓","✓",IF(ISNUMBER($P810),TEXT($P810,"yyyy-mm-dd"),IF($A810="","",IF($D810="Lisbonne","",IF(SUMPRODUCT(('Formation Initiale'!$A$2:$A$999=$A810)*('Formation Initiale'!$R$2:$R$999="Terminé"))&gt;0,"✓",IF(SUMPRODUCT(MAX(('Formation Initiale'!$A$2:$A$999=$A810)*'Formation Initiale'!$G$2:$G$999))&gt;0,TEXT(SUMPRODUCT(MAX(('Formation Initiale'!$A$2:$A$999=$A810)*'Formation Initiale'!$G$2:$G$999)),"yyyy-mm-dd"),""))))))</f>
        <v/>
      </c>
      <c r="G810" s="131" t="str">
        <f aca="false">IF($Q810="✓","✓",IF(ISNUMBER($Q810),TEXT($Q810,"yyyy-mm-dd"),IF($A810="","",IF(SUMPRODUCT(('Agences &amp; Après-vente'!$A$2:$A$1000=$A810)*(('Agences &amp; Après-vente'!$D$2:$D$1000="Agences")+('Agences &amp; Après-vente'!$D$2:$D$1000="Agences et Après-vente"))*('Agences &amp; Après-vente'!$I$2:$I$1000="DONE"))&gt;0,"✓",IF(SUMPRODUCT(MAX(('Agences &amp; Après-vente'!$A$2:$A$1000=$A810)*(('Agences &amp; Après-vente'!$D$2:$D$1000="Agences")+('Agences &amp; Après-vente'!$D$2:$D$1000="Agences et Après-vente"))*'Agences &amp; Après-vente'!$E$2:$E$1000))&gt;0,TEXT(SUMPRODUCT(MAX(('Agences &amp; Après-vente'!$A$2:$A$1000=$A810)*(('Agences &amp; Après-vente'!$D$2:$D$1000="Agences")+('Agences &amp; Après-vente'!$D$2:$D$1000="Agences et Après-vente"))*'Agences &amp; Après-vente'!$E$2:$E$1000)),"yyyy-mm-dd"),"")))))</f>
        <v/>
      </c>
      <c r="H810" s="131" t="str">
        <f aca="false">IF($R810="✓","✓",IF(ISNUMBER($R810),TEXT($R810,"yyyy-mm-dd"),IF($A810="","",IF($D810="Lisbonne","",IF(SUMPRODUCT(('Agences &amp; Après-vente'!$A$2:$A$1000=$A810)*(('Agences &amp; Après-vente'!$D$2:$D$1000="Agences")+('Agences &amp; Après-vente'!$D$2:$D$1000="Agences et Après-vente"))*('Agences &amp; Après-vente'!$I$2:$I$1000="DONE"))&gt;0,"✓",IF(SUMPRODUCT(MAX(('Agences &amp; Après-vente'!$A$2:$A$1000=$A810)*(('Agences &amp; Après-vente'!$D$2:$D$1000="Agences")+('Agences &amp; Après-vente'!$D$2:$D$1000="Agences et Après-vente"))*'Agences &amp; Après-vente'!$E$2:$E$1000))&gt;0,TEXT(SUMPRODUCT(MAX(('Agences &amp; Après-vente'!$A$2:$A$1000=$A810)*(('Agences &amp; Après-vente'!$D$2:$D$1000="Agences")+('Agences &amp; Après-vente'!$D$2:$D$1000="Agences et Après-vente"))*'Agences &amp; Après-vente'!$E$2:$E$1000)),"yyyy-mm-dd"),""))))))</f>
        <v/>
      </c>
      <c r="I810" s="131" t="str">
        <f aca="false">IF($S810="✓","✓",IF(ISNUMBER($S810),TEXT($S810,"yyyy-mm-dd"),IF($A810="","",IF(SUMPRODUCT(('Agences &amp; Après-vente'!$A$2:$A$1000=$A810)*(('Agences &amp; Après-vente'!$D$2:$D$1000="Après-vente")+('Agences &amp; Après-vente'!$D$2:$D$1000="Agences et Après-vente"))*('Agences &amp; Après-vente'!$I$2:$I$1000="DONE"))&gt;0,"✓",IF(SUMPRODUCT(MAX(('Agences &amp; Après-vente'!$A$2:$A$1000=$A810)*(('Agences &amp; Après-vente'!$D$2:$D$1000="Après-vente")+('Agences &amp; Après-vente'!$D$2:$D$1000="Agences et Après-vente"))*'Agences &amp; Après-vente'!$E$2:$E$1000))&gt;0,TEXT(SUMPRODUCT(MAX(('Agences &amp; Après-vente'!$A$2:$A$1000=$A810)*(('Agences &amp; Après-vente'!$D$2:$D$1000="Après-vente")+('Agences &amp; Après-vente'!$D$2:$D$1000="Agences et Après-vente"))*'Agences &amp; Après-vente'!$E$2:$E$1000)),"yyyy-mm-dd"),"")))))</f>
        <v/>
      </c>
      <c r="J810" s="131" t="str">
        <f aca="false">IF($T810="✓","✓",IF(ISNUMBER($T810),TEXT($T810,"yyyy-mm-dd"),IF($A810="","",IF($D810="Lisbonne","",IF(SUMPRODUCT(('Agences &amp; Après-vente'!$A$2:$A$1000=$A810)*(('Agences &amp; Après-vente'!$D$2:$D$1000="Après-vente")+('Agences &amp; Après-vente'!$D$2:$D$1000="Agences et Après-vente"))*('Agences &amp; Après-vente'!$I$2:$I$1000="DONE"))&gt;0,"✓",IF(SUMPRODUCT(MAX(('Agences &amp; Après-vente'!$A$2:$A$1000=$A810)*(('Agences &amp; Après-vente'!$D$2:$D$1000="Après-vente")+('Agences &amp; Après-vente'!$D$2:$D$1000="Agences et Après-vente"))*'Agences &amp; Après-vente'!$E$2:$E$1000))&gt;0,TEXT(SUMPRODUCT(MAX(('Agences &amp; Après-vente'!$A$2:$A$1000=$A810)*(('Agences &amp; Après-vente'!$D$2:$D$1000="Après-vente")+('Agences &amp; Après-vente'!$D$2:$D$1000="Agences et Après-vente"))*'Agences &amp; Après-vente'!$E$2:$E$1000)),"yyyy-mm-dd"),""))))))</f>
        <v/>
      </c>
      <c r="K810" s="131" t="str">
        <f aca="false">IF($U810="✓","✓",IF(ISNUMBER($U810),TEXT($U810,"yyyy-mm-dd"),IF($D810="Lisbonne","",IF($A810="","",IF(SUMPRODUCT((Evermont!$A$2:$A$1000=$A810)*(Evermont!$Q$2:$Q$1000="Terminé"))&gt;0,"✓",IF(SUMPRODUCT(MAX((Evermont!$A$2:$A$1000=$A810)*Evermont!$F$2:$F$1000))&gt;0,TEXT(SUMPRODUCT(MAX((Evermont!$A$2:$A$1000=$A810)*Evermont!$F$2:$F$1000)),"yyyy-mm-dd"),""))))))</f>
        <v/>
      </c>
      <c r="L810" s="131" t="str">
        <f aca="false">IF($A810="","",COUNTIF(E810:K810,"✓"))</f>
        <v/>
      </c>
      <c r="M810" s="131" t="str">
        <f aca="false">IF(B810="","","Active")</f>
        <v/>
      </c>
      <c r="W810" s="120" t="str">
        <f aca="false">IF($A810="","",IF($X810&lt;&gt;"",$X810,IFERROR(INDEX('Formation Initiale'!$B$2:$B$999,MATCH($A810,'Formation Initiale'!$A$2:$A$999,0)),"Général")))</f>
        <v/>
      </c>
    </row>
    <row r="811" customFormat="false" ht="15" hidden="true" customHeight="true" outlineLevel="0" collapsed="false">
      <c r="A811" s="142" t="str">
        <f aca="false">IF(B811="","","TR"&amp;TEXT(ROW()-1,"000"))</f>
        <v/>
      </c>
      <c r="E811" s="130" t="str">
        <f aca="false">IF($O811="✓","✓",IF(ISNUMBER($O811),TEXT($O811,"yyyy-mm-dd"),IF($A811="","",IF(SUMPRODUCT(('Formation Initiale'!$A$2:$A$999=$A811)*('Formation Initiale'!$R$2:$R$999="Terminé"))&gt;0,"✓",IF(SUMPRODUCT(MAX(('Formation Initiale'!$A$2:$A$999=$A811)*'Formation Initiale'!$G$2:$G$999))&gt;0,TEXT(SUMPRODUCT(MAX(('Formation Initiale'!$A$2:$A$999=$A811)*'Formation Initiale'!$G$2:$G$999)),"yyyy-mm-dd"),"")))))</f>
        <v/>
      </c>
      <c r="F811" s="131" t="str">
        <f aca="false">IF($P811="✓","✓",IF(ISNUMBER($P811),TEXT($P811,"yyyy-mm-dd"),IF($A811="","",IF($D811="Lisbonne","",IF(SUMPRODUCT(('Formation Initiale'!$A$2:$A$999=$A811)*('Formation Initiale'!$R$2:$R$999="Terminé"))&gt;0,"✓",IF(SUMPRODUCT(MAX(('Formation Initiale'!$A$2:$A$999=$A811)*'Formation Initiale'!$G$2:$G$999))&gt;0,TEXT(SUMPRODUCT(MAX(('Formation Initiale'!$A$2:$A$999=$A811)*'Formation Initiale'!$G$2:$G$999)),"yyyy-mm-dd"),""))))))</f>
        <v/>
      </c>
      <c r="G811" s="131" t="str">
        <f aca="false">IF($Q811="✓","✓",IF(ISNUMBER($Q811),TEXT($Q811,"yyyy-mm-dd"),IF($A811="","",IF(SUMPRODUCT(('Agences &amp; Après-vente'!$A$2:$A$1000=$A811)*(('Agences &amp; Après-vente'!$D$2:$D$1000="Agences")+('Agences &amp; Après-vente'!$D$2:$D$1000="Agences et Après-vente"))*('Agences &amp; Après-vente'!$I$2:$I$1000="DONE"))&gt;0,"✓",IF(SUMPRODUCT(MAX(('Agences &amp; Après-vente'!$A$2:$A$1000=$A811)*(('Agences &amp; Après-vente'!$D$2:$D$1000="Agences")+('Agences &amp; Après-vente'!$D$2:$D$1000="Agences et Après-vente"))*'Agences &amp; Après-vente'!$E$2:$E$1000))&gt;0,TEXT(SUMPRODUCT(MAX(('Agences &amp; Après-vente'!$A$2:$A$1000=$A811)*(('Agences &amp; Après-vente'!$D$2:$D$1000="Agences")+('Agences &amp; Après-vente'!$D$2:$D$1000="Agences et Après-vente"))*'Agences &amp; Après-vente'!$E$2:$E$1000)),"yyyy-mm-dd"),"")))))</f>
        <v/>
      </c>
      <c r="H811" s="131" t="str">
        <f aca="false">IF($R811="✓","✓",IF(ISNUMBER($R811),TEXT($R811,"yyyy-mm-dd"),IF($A811="","",IF($D811="Lisbonne","",IF(SUMPRODUCT(('Agences &amp; Après-vente'!$A$2:$A$1000=$A811)*(('Agences &amp; Après-vente'!$D$2:$D$1000="Agences")+('Agences &amp; Après-vente'!$D$2:$D$1000="Agences et Après-vente"))*('Agences &amp; Après-vente'!$I$2:$I$1000="DONE"))&gt;0,"✓",IF(SUMPRODUCT(MAX(('Agences &amp; Après-vente'!$A$2:$A$1000=$A811)*(('Agences &amp; Après-vente'!$D$2:$D$1000="Agences")+('Agences &amp; Après-vente'!$D$2:$D$1000="Agences et Après-vente"))*'Agences &amp; Après-vente'!$E$2:$E$1000))&gt;0,TEXT(SUMPRODUCT(MAX(('Agences &amp; Après-vente'!$A$2:$A$1000=$A811)*(('Agences &amp; Après-vente'!$D$2:$D$1000="Agences")+('Agences &amp; Après-vente'!$D$2:$D$1000="Agences et Après-vente"))*'Agences &amp; Après-vente'!$E$2:$E$1000)),"yyyy-mm-dd"),""))))))</f>
        <v/>
      </c>
      <c r="I811" s="131" t="str">
        <f aca="false">IF($S811="✓","✓",IF(ISNUMBER($S811),TEXT($S811,"yyyy-mm-dd"),IF($A811="","",IF(SUMPRODUCT(('Agences &amp; Après-vente'!$A$2:$A$1000=$A811)*(('Agences &amp; Après-vente'!$D$2:$D$1000="Après-vente")+('Agences &amp; Après-vente'!$D$2:$D$1000="Agences et Après-vente"))*('Agences &amp; Après-vente'!$I$2:$I$1000="DONE"))&gt;0,"✓",IF(SUMPRODUCT(MAX(('Agences &amp; Après-vente'!$A$2:$A$1000=$A811)*(('Agences &amp; Après-vente'!$D$2:$D$1000="Après-vente")+('Agences &amp; Après-vente'!$D$2:$D$1000="Agences et Après-vente"))*'Agences &amp; Après-vente'!$E$2:$E$1000))&gt;0,TEXT(SUMPRODUCT(MAX(('Agences &amp; Après-vente'!$A$2:$A$1000=$A811)*(('Agences &amp; Après-vente'!$D$2:$D$1000="Après-vente")+('Agences &amp; Après-vente'!$D$2:$D$1000="Agences et Après-vente"))*'Agences &amp; Après-vente'!$E$2:$E$1000)),"yyyy-mm-dd"),"")))))</f>
        <v/>
      </c>
      <c r="J811" s="131" t="str">
        <f aca="false">IF($T811="✓","✓",IF(ISNUMBER($T811),TEXT($T811,"yyyy-mm-dd"),IF($A811="","",IF($D811="Lisbonne","",IF(SUMPRODUCT(('Agences &amp; Après-vente'!$A$2:$A$1000=$A811)*(('Agences &amp; Après-vente'!$D$2:$D$1000="Après-vente")+('Agences &amp; Après-vente'!$D$2:$D$1000="Agences et Après-vente"))*('Agences &amp; Après-vente'!$I$2:$I$1000="DONE"))&gt;0,"✓",IF(SUMPRODUCT(MAX(('Agences &amp; Après-vente'!$A$2:$A$1000=$A811)*(('Agences &amp; Après-vente'!$D$2:$D$1000="Après-vente")+('Agences &amp; Après-vente'!$D$2:$D$1000="Agences et Après-vente"))*'Agences &amp; Après-vente'!$E$2:$E$1000))&gt;0,TEXT(SUMPRODUCT(MAX(('Agences &amp; Après-vente'!$A$2:$A$1000=$A811)*(('Agences &amp; Après-vente'!$D$2:$D$1000="Après-vente")+('Agences &amp; Après-vente'!$D$2:$D$1000="Agences et Après-vente"))*'Agences &amp; Après-vente'!$E$2:$E$1000)),"yyyy-mm-dd"),""))))))</f>
        <v/>
      </c>
      <c r="K811" s="131" t="str">
        <f aca="false">IF($U811="✓","✓",IF(ISNUMBER($U811),TEXT($U811,"yyyy-mm-dd"),IF($D811="Lisbonne","",IF($A811="","",IF(SUMPRODUCT((Evermont!$A$2:$A$1000=$A811)*(Evermont!$Q$2:$Q$1000="Terminé"))&gt;0,"✓",IF(SUMPRODUCT(MAX((Evermont!$A$2:$A$1000=$A811)*Evermont!$F$2:$F$1000))&gt;0,TEXT(SUMPRODUCT(MAX((Evermont!$A$2:$A$1000=$A811)*Evermont!$F$2:$F$1000)),"yyyy-mm-dd"),""))))))</f>
        <v/>
      </c>
      <c r="L811" s="131" t="str">
        <f aca="false">IF($A811="","",COUNTIF(E811:K811,"✓"))</f>
        <v/>
      </c>
      <c r="M811" s="131" t="str">
        <f aca="false">IF(B811="","","Active")</f>
        <v/>
      </c>
      <c r="W811" s="120" t="str">
        <f aca="false">IF($A811="","",IF($X811&lt;&gt;"",$X811,IFERROR(INDEX('Formation Initiale'!$B$2:$B$999,MATCH($A811,'Formation Initiale'!$A$2:$A$999,0)),"Général")))</f>
        <v/>
      </c>
    </row>
    <row r="812" customFormat="false" ht="15" hidden="true" customHeight="true" outlineLevel="0" collapsed="false">
      <c r="A812" s="142" t="str">
        <f aca="false">IF(B812="","","TR"&amp;TEXT(ROW()-1,"000"))</f>
        <v/>
      </c>
      <c r="E812" s="130" t="str">
        <f aca="false">IF($O812="✓","✓",IF(ISNUMBER($O812),TEXT($O812,"yyyy-mm-dd"),IF($A812="","",IF(SUMPRODUCT(('Formation Initiale'!$A$2:$A$999=$A812)*('Formation Initiale'!$R$2:$R$999="Terminé"))&gt;0,"✓",IF(SUMPRODUCT(MAX(('Formation Initiale'!$A$2:$A$999=$A812)*'Formation Initiale'!$G$2:$G$999))&gt;0,TEXT(SUMPRODUCT(MAX(('Formation Initiale'!$A$2:$A$999=$A812)*'Formation Initiale'!$G$2:$G$999)),"yyyy-mm-dd"),"")))))</f>
        <v/>
      </c>
      <c r="F812" s="131" t="str">
        <f aca="false">IF($P812="✓","✓",IF(ISNUMBER($P812),TEXT($P812,"yyyy-mm-dd"),IF($A812="","",IF($D812="Lisbonne","",IF(SUMPRODUCT(('Formation Initiale'!$A$2:$A$999=$A812)*('Formation Initiale'!$R$2:$R$999="Terminé"))&gt;0,"✓",IF(SUMPRODUCT(MAX(('Formation Initiale'!$A$2:$A$999=$A812)*'Formation Initiale'!$G$2:$G$999))&gt;0,TEXT(SUMPRODUCT(MAX(('Formation Initiale'!$A$2:$A$999=$A812)*'Formation Initiale'!$G$2:$G$999)),"yyyy-mm-dd"),""))))))</f>
        <v/>
      </c>
      <c r="G812" s="131" t="str">
        <f aca="false">IF($Q812="✓","✓",IF(ISNUMBER($Q812),TEXT($Q812,"yyyy-mm-dd"),IF($A812="","",IF(SUMPRODUCT(('Agences &amp; Après-vente'!$A$2:$A$1000=$A812)*(('Agences &amp; Après-vente'!$D$2:$D$1000="Agences")+('Agences &amp; Après-vente'!$D$2:$D$1000="Agences et Après-vente"))*('Agences &amp; Après-vente'!$I$2:$I$1000="DONE"))&gt;0,"✓",IF(SUMPRODUCT(MAX(('Agences &amp; Après-vente'!$A$2:$A$1000=$A812)*(('Agences &amp; Après-vente'!$D$2:$D$1000="Agences")+('Agences &amp; Après-vente'!$D$2:$D$1000="Agences et Après-vente"))*'Agences &amp; Après-vente'!$E$2:$E$1000))&gt;0,TEXT(SUMPRODUCT(MAX(('Agences &amp; Après-vente'!$A$2:$A$1000=$A812)*(('Agences &amp; Après-vente'!$D$2:$D$1000="Agences")+('Agences &amp; Après-vente'!$D$2:$D$1000="Agences et Après-vente"))*'Agences &amp; Après-vente'!$E$2:$E$1000)),"yyyy-mm-dd"),"")))))</f>
        <v/>
      </c>
      <c r="H812" s="131" t="str">
        <f aca="false">IF($R812="✓","✓",IF(ISNUMBER($R812),TEXT($R812,"yyyy-mm-dd"),IF($A812="","",IF($D812="Lisbonne","",IF(SUMPRODUCT(('Agences &amp; Après-vente'!$A$2:$A$1000=$A812)*(('Agences &amp; Après-vente'!$D$2:$D$1000="Agences")+('Agences &amp; Après-vente'!$D$2:$D$1000="Agences et Après-vente"))*('Agences &amp; Après-vente'!$I$2:$I$1000="DONE"))&gt;0,"✓",IF(SUMPRODUCT(MAX(('Agences &amp; Après-vente'!$A$2:$A$1000=$A812)*(('Agences &amp; Après-vente'!$D$2:$D$1000="Agences")+('Agences &amp; Après-vente'!$D$2:$D$1000="Agences et Après-vente"))*'Agences &amp; Après-vente'!$E$2:$E$1000))&gt;0,TEXT(SUMPRODUCT(MAX(('Agences &amp; Après-vente'!$A$2:$A$1000=$A812)*(('Agences &amp; Après-vente'!$D$2:$D$1000="Agences")+('Agences &amp; Après-vente'!$D$2:$D$1000="Agences et Après-vente"))*'Agences &amp; Après-vente'!$E$2:$E$1000)),"yyyy-mm-dd"),""))))))</f>
        <v/>
      </c>
      <c r="I812" s="131" t="str">
        <f aca="false">IF($S812="✓","✓",IF(ISNUMBER($S812),TEXT($S812,"yyyy-mm-dd"),IF($A812="","",IF(SUMPRODUCT(('Agences &amp; Après-vente'!$A$2:$A$1000=$A812)*(('Agences &amp; Après-vente'!$D$2:$D$1000="Après-vente")+('Agences &amp; Après-vente'!$D$2:$D$1000="Agences et Après-vente"))*('Agences &amp; Après-vente'!$I$2:$I$1000="DONE"))&gt;0,"✓",IF(SUMPRODUCT(MAX(('Agences &amp; Après-vente'!$A$2:$A$1000=$A812)*(('Agences &amp; Après-vente'!$D$2:$D$1000="Après-vente")+('Agences &amp; Après-vente'!$D$2:$D$1000="Agences et Après-vente"))*'Agences &amp; Après-vente'!$E$2:$E$1000))&gt;0,TEXT(SUMPRODUCT(MAX(('Agences &amp; Après-vente'!$A$2:$A$1000=$A812)*(('Agences &amp; Après-vente'!$D$2:$D$1000="Après-vente")+('Agences &amp; Après-vente'!$D$2:$D$1000="Agences et Après-vente"))*'Agences &amp; Après-vente'!$E$2:$E$1000)),"yyyy-mm-dd"),"")))))</f>
        <v/>
      </c>
      <c r="J812" s="131" t="str">
        <f aca="false">IF($T812="✓","✓",IF(ISNUMBER($T812),TEXT($T812,"yyyy-mm-dd"),IF($A812="","",IF($D812="Lisbonne","",IF(SUMPRODUCT(('Agences &amp; Après-vente'!$A$2:$A$1000=$A812)*(('Agences &amp; Après-vente'!$D$2:$D$1000="Après-vente")+('Agences &amp; Après-vente'!$D$2:$D$1000="Agences et Après-vente"))*('Agences &amp; Après-vente'!$I$2:$I$1000="DONE"))&gt;0,"✓",IF(SUMPRODUCT(MAX(('Agences &amp; Après-vente'!$A$2:$A$1000=$A812)*(('Agences &amp; Après-vente'!$D$2:$D$1000="Après-vente")+('Agences &amp; Après-vente'!$D$2:$D$1000="Agences et Après-vente"))*'Agences &amp; Après-vente'!$E$2:$E$1000))&gt;0,TEXT(SUMPRODUCT(MAX(('Agences &amp; Après-vente'!$A$2:$A$1000=$A812)*(('Agences &amp; Après-vente'!$D$2:$D$1000="Après-vente")+('Agences &amp; Après-vente'!$D$2:$D$1000="Agences et Après-vente"))*'Agences &amp; Après-vente'!$E$2:$E$1000)),"yyyy-mm-dd"),""))))))</f>
        <v/>
      </c>
      <c r="K812" s="131" t="str">
        <f aca="false">IF($U812="✓","✓",IF(ISNUMBER($U812),TEXT($U812,"yyyy-mm-dd"),IF($D812="Lisbonne","",IF($A812="","",IF(SUMPRODUCT((Evermont!$A$2:$A$1000=$A812)*(Evermont!$Q$2:$Q$1000="Terminé"))&gt;0,"✓",IF(SUMPRODUCT(MAX((Evermont!$A$2:$A$1000=$A812)*Evermont!$F$2:$F$1000))&gt;0,TEXT(SUMPRODUCT(MAX((Evermont!$A$2:$A$1000=$A812)*Evermont!$F$2:$F$1000)),"yyyy-mm-dd"),""))))))</f>
        <v/>
      </c>
      <c r="L812" s="131" t="str">
        <f aca="false">IF($A812="","",COUNTIF(E812:K812,"✓"))</f>
        <v/>
      </c>
      <c r="M812" s="131" t="str">
        <f aca="false">IF(B812="","","Active")</f>
        <v/>
      </c>
      <c r="W812" s="120" t="str">
        <f aca="false">IF($A812="","",IF($X812&lt;&gt;"",$X812,IFERROR(INDEX('Formation Initiale'!$B$2:$B$999,MATCH($A812,'Formation Initiale'!$A$2:$A$999,0)),"Général")))</f>
        <v/>
      </c>
    </row>
    <row r="813" customFormat="false" ht="15" hidden="true" customHeight="true" outlineLevel="0" collapsed="false">
      <c r="A813" s="142" t="str">
        <f aca="false">IF(B813="","","TR"&amp;TEXT(ROW()-1,"000"))</f>
        <v/>
      </c>
      <c r="E813" s="130" t="str">
        <f aca="false">IF($O813="✓","✓",IF(ISNUMBER($O813),TEXT($O813,"yyyy-mm-dd"),IF($A813="","",IF(SUMPRODUCT(('Formation Initiale'!$A$2:$A$999=$A813)*('Formation Initiale'!$R$2:$R$999="Terminé"))&gt;0,"✓",IF(SUMPRODUCT(MAX(('Formation Initiale'!$A$2:$A$999=$A813)*'Formation Initiale'!$G$2:$G$999))&gt;0,TEXT(SUMPRODUCT(MAX(('Formation Initiale'!$A$2:$A$999=$A813)*'Formation Initiale'!$G$2:$G$999)),"yyyy-mm-dd"),"")))))</f>
        <v/>
      </c>
      <c r="F813" s="131" t="str">
        <f aca="false">IF($P813="✓","✓",IF(ISNUMBER($P813),TEXT($P813,"yyyy-mm-dd"),IF($A813="","",IF($D813="Lisbonne","",IF(SUMPRODUCT(('Formation Initiale'!$A$2:$A$999=$A813)*('Formation Initiale'!$R$2:$R$999="Terminé"))&gt;0,"✓",IF(SUMPRODUCT(MAX(('Formation Initiale'!$A$2:$A$999=$A813)*'Formation Initiale'!$G$2:$G$999))&gt;0,TEXT(SUMPRODUCT(MAX(('Formation Initiale'!$A$2:$A$999=$A813)*'Formation Initiale'!$G$2:$G$999)),"yyyy-mm-dd"),""))))))</f>
        <v/>
      </c>
      <c r="G813" s="131" t="str">
        <f aca="false">IF($Q813="✓","✓",IF(ISNUMBER($Q813),TEXT($Q813,"yyyy-mm-dd"),IF($A813="","",IF(SUMPRODUCT(('Agences &amp; Après-vente'!$A$2:$A$1000=$A813)*(('Agences &amp; Après-vente'!$D$2:$D$1000="Agences")+('Agences &amp; Après-vente'!$D$2:$D$1000="Agences et Après-vente"))*('Agences &amp; Après-vente'!$I$2:$I$1000="DONE"))&gt;0,"✓",IF(SUMPRODUCT(MAX(('Agences &amp; Après-vente'!$A$2:$A$1000=$A813)*(('Agences &amp; Après-vente'!$D$2:$D$1000="Agences")+('Agences &amp; Après-vente'!$D$2:$D$1000="Agences et Après-vente"))*'Agences &amp; Après-vente'!$E$2:$E$1000))&gt;0,TEXT(SUMPRODUCT(MAX(('Agences &amp; Après-vente'!$A$2:$A$1000=$A813)*(('Agences &amp; Après-vente'!$D$2:$D$1000="Agences")+('Agences &amp; Après-vente'!$D$2:$D$1000="Agences et Après-vente"))*'Agences &amp; Après-vente'!$E$2:$E$1000)),"yyyy-mm-dd"),"")))))</f>
        <v/>
      </c>
      <c r="H813" s="131" t="str">
        <f aca="false">IF($R813="✓","✓",IF(ISNUMBER($R813),TEXT($R813,"yyyy-mm-dd"),IF($A813="","",IF($D813="Lisbonne","",IF(SUMPRODUCT(('Agences &amp; Après-vente'!$A$2:$A$1000=$A813)*(('Agences &amp; Après-vente'!$D$2:$D$1000="Agences")+('Agences &amp; Après-vente'!$D$2:$D$1000="Agences et Après-vente"))*('Agences &amp; Après-vente'!$I$2:$I$1000="DONE"))&gt;0,"✓",IF(SUMPRODUCT(MAX(('Agences &amp; Après-vente'!$A$2:$A$1000=$A813)*(('Agences &amp; Après-vente'!$D$2:$D$1000="Agences")+('Agences &amp; Après-vente'!$D$2:$D$1000="Agences et Après-vente"))*'Agences &amp; Après-vente'!$E$2:$E$1000))&gt;0,TEXT(SUMPRODUCT(MAX(('Agences &amp; Après-vente'!$A$2:$A$1000=$A813)*(('Agences &amp; Après-vente'!$D$2:$D$1000="Agences")+('Agences &amp; Après-vente'!$D$2:$D$1000="Agences et Après-vente"))*'Agences &amp; Après-vente'!$E$2:$E$1000)),"yyyy-mm-dd"),""))))))</f>
        <v/>
      </c>
      <c r="I813" s="131" t="str">
        <f aca="false">IF($S813="✓","✓",IF(ISNUMBER($S813),TEXT($S813,"yyyy-mm-dd"),IF($A813="","",IF(SUMPRODUCT(('Agences &amp; Après-vente'!$A$2:$A$1000=$A813)*(('Agences &amp; Après-vente'!$D$2:$D$1000="Après-vente")+('Agences &amp; Après-vente'!$D$2:$D$1000="Agences et Après-vente"))*('Agences &amp; Après-vente'!$I$2:$I$1000="DONE"))&gt;0,"✓",IF(SUMPRODUCT(MAX(('Agences &amp; Après-vente'!$A$2:$A$1000=$A813)*(('Agences &amp; Après-vente'!$D$2:$D$1000="Après-vente")+('Agences &amp; Après-vente'!$D$2:$D$1000="Agences et Après-vente"))*'Agences &amp; Après-vente'!$E$2:$E$1000))&gt;0,TEXT(SUMPRODUCT(MAX(('Agences &amp; Après-vente'!$A$2:$A$1000=$A813)*(('Agences &amp; Après-vente'!$D$2:$D$1000="Après-vente")+('Agences &amp; Après-vente'!$D$2:$D$1000="Agences et Après-vente"))*'Agences &amp; Après-vente'!$E$2:$E$1000)),"yyyy-mm-dd"),"")))))</f>
        <v/>
      </c>
      <c r="J813" s="131" t="str">
        <f aca="false">IF($T813="✓","✓",IF(ISNUMBER($T813),TEXT($T813,"yyyy-mm-dd"),IF($A813="","",IF($D813="Lisbonne","",IF(SUMPRODUCT(('Agences &amp; Après-vente'!$A$2:$A$1000=$A813)*(('Agences &amp; Après-vente'!$D$2:$D$1000="Après-vente")+('Agences &amp; Après-vente'!$D$2:$D$1000="Agences et Après-vente"))*('Agences &amp; Après-vente'!$I$2:$I$1000="DONE"))&gt;0,"✓",IF(SUMPRODUCT(MAX(('Agences &amp; Après-vente'!$A$2:$A$1000=$A813)*(('Agences &amp; Après-vente'!$D$2:$D$1000="Après-vente")+('Agences &amp; Après-vente'!$D$2:$D$1000="Agences et Après-vente"))*'Agences &amp; Après-vente'!$E$2:$E$1000))&gt;0,TEXT(SUMPRODUCT(MAX(('Agences &amp; Après-vente'!$A$2:$A$1000=$A813)*(('Agences &amp; Après-vente'!$D$2:$D$1000="Après-vente")+('Agences &amp; Après-vente'!$D$2:$D$1000="Agences et Après-vente"))*'Agences &amp; Après-vente'!$E$2:$E$1000)),"yyyy-mm-dd"),""))))))</f>
        <v/>
      </c>
      <c r="K813" s="131" t="str">
        <f aca="false">IF($U813="✓","✓",IF(ISNUMBER($U813),TEXT($U813,"yyyy-mm-dd"),IF($D813="Lisbonne","",IF($A813="","",IF(SUMPRODUCT((Evermont!$A$2:$A$1000=$A813)*(Evermont!$Q$2:$Q$1000="Terminé"))&gt;0,"✓",IF(SUMPRODUCT(MAX((Evermont!$A$2:$A$1000=$A813)*Evermont!$F$2:$F$1000))&gt;0,TEXT(SUMPRODUCT(MAX((Evermont!$A$2:$A$1000=$A813)*Evermont!$F$2:$F$1000)),"yyyy-mm-dd"),""))))))</f>
        <v/>
      </c>
      <c r="L813" s="131" t="str">
        <f aca="false">IF($A813="","",COUNTIF(E813:K813,"✓"))</f>
        <v/>
      </c>
      <c r="M813" s="131" t="str">
        <f aca="false">IF(B813="","","Active")</f>
        <v/>
      </c>
      <c r="W813" s="120" t="str">
        <f aca="false">IF($A813="","",IF($X813&lt;&gt;"",$X813,IFERROR(INDEX('Formation Initiale'!$B$2:$B$999,MATCH($A813,'Formation Initiale'!$A$2:$A$999,0)),"Général")))</f>
        <v/>
      </c>
    </row>
    <row r="814" customFormat="false" ht="15" hidden="true" customHeight="true" outlineLevel="0" collapsed="false">
      <c r="A814" s="142" t="str">
        <f aca="false">IF(B814="","","TR"&amp;TEXT(ROW()-1,"000"))</f>
        <v/>
      </c>
      <c r="E814" s="130" t="str">
        <f aca="false">IF($O814="✓","✓",IF(ISNUMBER($O814),TEXT($O814,"yyyy-mm-dd"),IF($A814="","",IF(SUMPRODUCT(('Formation Initiale'!$A$2:$A$999=$A814)*('Formation Initiale'!$R$2:$R$999="Terminé"))&gt;0,"✓",IF(SUMPRODUCT(MAX(('Formation Initiale'!$A$2:$A$999=$A814)*'Formation Initiale'!$G$2:$G$999))&gt;0,TEXT(SUMPRODUCT(MAX(('Formation Initiale'!$A$2:$A$999=$A814)*'Formation Initiale'!$G$2:$G$999)),"yyyy-mm-dd"),"")))))</f>
        <v/>
      </c>
      <c r="F814" s="131" t="str">
        <f aca="false">IF($P814="✓","✓",IF(ISNUMBER($P814),TEXT($P814,"yyyy-mm-dd"),IF($A814="","",IF($D814="Lisbonne","",IF(SUMPRODUCT(('Formation Initiale'!$A$2:$A$999=$A814)*('Formation Initiale'!$R$2:$R$999="Terminé"))&gt;0,"✓",IF(SUMPRODUCT(MAX(('Formation Initiale'!$A$2:$A$999=$A814)*'Formation Initiale'!$G$2:$G$999))&gt;0,TEXT(SUMPRODUCT(MAX(('Formation Initiale'!$A$2:$A$999=$A814)*'Formation Initiale'!$G$2:$G$999)),"yyyy-mm-dd"),""))))))</f>
        <v/>
      </c>
      <c r="G814" s="131" t="str">
        <f aca="false">IF($Q814="✓","✓",IF(ISNUMBER($Q814),TEXT($Q814,"yyyy-mm-dd"),IF($A814="","",IF(SUMPRODUCT(('Agences &amp; Après-vente'!$A$2:$A$1000=$A814)*(('Agences &amp; Après-vente'!$D$2:$D$1000="Agences")+('Agences &amp; Après-vente'!$D$2:$D$1000="Agences et Après-vente"))*('Agences &amp; Après-vente'!$I$2:$I$1000="DONE"))&gt;0,"✓",IF(SUMPRODUCT(MAX(('Agences &amp; Après-vente'!$A$2:$A$1000=$A814)*(('Agences &amp; Après-vente'!$D$2:$D$1000="Agences")+('Agences &amp; Après-vente'!$D$2:$D$1000="Agences et Après-vente"))*'Agences &amp; Après-vente'!$E$2:$E$1000))&gt;0,TEXT(SUMPRODUCT(MAX(('Agences &amp; Après-vente'!$A$2:$A$1000=$A814)*(('Agences &amp; Après-vente'!$D$2:$D$1000="Agences")+('Agences &amp; Après-vente'!$D$2:$D$1000="Agences et Après-vente"))*'Agences &amp; Après-vente'!$E$2:$E$1000)),"yyyy-mm-dd"),"")))))</f>
        <v/>
      </c>
      <c r="H814" s="131" t="str">
        <f aca="false">IF($R814="✓","✓",IF(ISNUMBER($R814),TEXT($R814,"yyyy-mm-dd"),IF($A814="","",IF($D814="Lisbonne","",IF(SUMPRODUCT(('Agences &amp; Après-vente'!$A$2:$A$1000=$A814)*(('Agences &amp; Après-vente'!$D$2:$D$1000="Agences")+('Agences &amp; Après-vente'!$D$2:$D$1000="Agences et Après-vente"))*('Agences &amp; Après-vente'!$I$2:$I$1000="DONE"))&gt;0,"✓",IF(SUMPRODUCT(MAX(('Agences &amp; Après-vente'!$A$2:$A$1000=$A814)*(('Agences &amp; Après-vente'!$D$2:$D$1000="Agences")+('Agences &amp; Après-vente'!$D$2:$D$1000="Agences et Après-vente"))*'Agences &amp; Après-vente'!$E$2:$E$1000))&gt;0,TEXT(SUMPRODUCT(MAX(('Agences &amp; Après-vente'!$A$2:$A$1000=$A814)*(('Agences &amp; Après-vente'!$D$2:$D$1000="Agences")+('Agences &amp; Après-vente'!$D$2:$D$1000="Agences et Après-vente"))*'Agences &amp; Après-vente'!$E$2:$E$1000)),"yyyy-mm-dd"),""))))))</f>
        <v/>
      </c>
      <c r="I814" s="131" t="str">
        <f aca="false">IF($S814="✓","✓",IF(ISNUMBER($S814),TEXT($S814,"yyyy-mm-dd"),IF($A814="","",IF(SUMPRODUCT(('Agences &amp; Après-vente'!$A$2:$A$1000=$A814)*(('Agences &amp; Après-vente'!$D$2:$D$1000="Après-vente")+('Agences &amp; Après-vente'!$D$2:$D$1000="Agences et Après-vente"))*('Agences &amp; Après-vente'!$I$2:$I$1000="DONE"))&gt;0,"✓",IF(SUMPRODUCT(MAX(('Agences &amp; Après-vente'!$A$2:$A$1000=$A814)*(('Agences &amp; Après-vente'!$D$2:$D$1000="Après-vente")+('Agences &amp; Après-vente'!$D$2:$D$1000="Agences et Après-vente"))*'Agences &amp; Après-vente'!$E$2:$E$1000))&gt;0,TEXT(SUMPRODUCT(MAX(('Agences &amp; Après-vente'!$A$2:$A$1000=$A814)*(('Agences &amp; Après-vente'!$D$2:$D$1000="Après-vente")+('Agences &amp; Après-vente'!$D$2:$D$1000="Agences et Après-vente"))*'Agences &amp; Après-vente'!$E$2:$E$1000)),"yyyy-mm-dd"),"")))))</f>
        <v/>
      </c>
      <c r="J814" s="131" t="str">
        <f aca="false">IF($T814="✓","✓",IF(ISNUMBER($T814),TEXT($T814,"yyyy-mm-dd"),IF($A814="","",IF($D814="Lisbonne","",IF(SUMPRODUCT(('Agences &amp; Après-vente'!$A$2:$A$1000=$A814)*(('Agences &amp; Après-vente'!$D$2:$D$1000="Après-vente")+('Agences &amp; Après-vente'!$D$2:$D$1000="Agences et Après-vente"))*('Agences &amp; Après-vente'!$I$2:$I$1000="DONE"))&gt;0,"✓",IF(SUMPRODUCT(MAX(('Agences &amp; Après-vente'!$A$2:$A$1000=$A814)*(('Agences &amp; Après-vente'!$D$2:$D$1000="Après-vente")+('Agences &amp; Après-vente'!$D$2:$D$1000="Agences et Après-vente"))*'Agences &amp; Après-vente'!$E$2:$E$1000))&gt;0,TEXT(SUMPRODUCT(MAX(('Agences &amp; Après-vente'!$A$2:$A$1000=$A814)*(('Agences &amp; Après-vente'!$D$2:$D$1000="Après-vente")+('Agences &amp; Après-vente'!$D$2:$D$1000="Agences et Après-vente"))*'Agences &amp; Après-vente'!$E$2:$E$1000)),"yyyy-mm-dd"),""))))))</f>
        <v/>
      </c>
      <c r="K814" s="131" t="str">
        <f aca="false">IF($U814="✓","✓",IF(ISNUMBER($U814),TEXT($U814,"yyyy-mm-dd"),IF($D814="Lisbonne","",IF($A814="","",IF(SUMPRODUCT((Evermont!$A$2:$A$1000=$A814)*(Evermont!$Q$2:$Q$1000="Terminé"))&gt;0,"✓",IF(SUMPRODUCT(MAX((Evermont!$A$2:$A$1000=$A814)*Evermont!$F$2:$F$1000))&gt;0,TEXT(SUMPRODUCT(MAX((Evermont!$A$2:$A$1000=$A814)*Evermont!$F$2:$F$1000)),"yyyy-mm-dd"),""))))))</f>
        <v/>
      </c>
      <c r="L814" s="131" t="str">
        <f aca="false">IF($A814="","",COUNTIF(E814:K814,"✓"))</f>
        <v/>
      </c>
      <c r="M814" s="131" t="str">
        <f aca="false">IF(B814="","","Active")</f>
        <v/>
      </c>
      <c r="W814" s="120" t="str">
        <f aca="false">IF($A814="","",IF($X814&lt;&gt;"",$X814,IFERROR(INDEX('Formation Initiale'!$B$2:$B$999,MATCH($A814,'Formation Initiale'!$A$2:$A$999,0)),"Général")))</f>
        <v/>
      </c>
    </row>
    <row r="815" customFormat="false" ht="15" hidden="true" customHeight="true" outlineLevel="0" collapsed="false">
      <c r="A815" s="142" t="str">
        <f aca="false">IF(B815="","","TR"&amp;TEXT(ROW()-1,"000"))</f>
        <v/>
      </c>
      <c r="E815" s="130" t="str">
        <f aca="false">IF($O815="✓","✓",IF(ISNUMBER($O815),TEXT($O815,"yyyy-mm-dd"),IF($A815="","",IF(SUMPRODUCT(('Formation Initiale'!$A$2:$A$999=$A815)*('Formation Initiale'!$R$2:$R$999="Terminé"))&gt;0,"✓",IF(SUMPRODUCT(MAX(('Formation Initiale'!$A$2:$A$999=$A815)*'Formation Initiale'!$G$2:$G$999))&gt;0,TEXT(SUMPRODUCT(MAX(('Formation Initiale'!$A$2:$A$999=$A815)*'Formation Initiale'!$G$2:$G$999)),"yyyy-mm-dd"),"")))))</f>
        <v/>
      </c>
      <c r="F815" s="131" t="str">
        <f aca="false">IF($P815="✓","✓",IF(ISNUMBER($P815),TEXT($P815,"yyyy-mm-dd"),IF($A815="","",IF($D815="Lisbonne","",IF(SUMPRODUCT(('Formation Initiale'!$A$2:$A$999=$A815)*('Formation Initiale'!$R$2:$R$999="Terminé"))&gt;0,"✓",IF(SUMPRODUCT(MAX(('Formation Initiale'!$A$2:$A$999=$A815)*'Formation Initiale'!$G$2:$G$999))&gt;0,TEXT(SUMPRODUCT(MAX(('Formation Initiale'!$A$2:$A$999=$A815)*'Formation Initiale'!$G$2:$G$999)),"yyyy-mm-dd"),""))))))</f>
        <v/>
      </c>
      <c r="G815" s="131" t="str">
        <f aca="false">IF($Q815="✓","✓",IF(ISNUMBER($Q815),TEXT($Q815,"yyyy-mm-dd"),IF($A815="","",IF(SUMPRODUCT(('Agences &amp; Après-vente'!$A$2:$A$1000=$A815)*(('Agences &amp; Après-vente'!$D$2:$D$1000="Agences")+('Agences &amp; Après-vente'!$D$2:$D$1000="Agences et Après-vente"))*('Agences &amp; Après-vente'!$I$2:$I$1000="DONE"))&gt;0,"✓",IF(SUMPRODUCT(MAX(('Agences &amp; Après-vente'!$A$2:$A$1000=$A815)*(('Agences &amp; Après-vente'!$D$2:$D$1000="Agences")+('Agences &amp; Après-vente'!$D$2:$D$1000="Agences et Après-vente"))*'Agences &amp; Après-vente'!$E$2:$E$1000))&gt;0,TEXT(SUMPRODUCT(MAX(('Agences &amp; Après-vente'!$A$2:$A$1000=$A815)*(('Agences &amp; Après-vente'!$D$2:$D$1000="Agences")+('Agences &amp; Après-vente'!$D$2:$D$1000="Agences et Après-vente"))*'Agences &amp; Après-vente'!$E$2:$E$1000)),"yyyy-mm-dd"),"")))))</f>
        <v/>
      </c>
      <c r="H815" s="131" t="str">
        <f aca="false">IF($R815="✓","✓",IF(ISNUMBER($R815),TEXT($R815,"yyyy-mm-dd"),IF($A815="","",IF($D815="Lisbonne","",IF(SUMPRODUCT(('Agences &amp; Après-vente'!$A$2:$A$1000=$A815)*(('Agences &amp; Après-vente'!$D$2:$D$1000="Agences")+('Agences &amp; Après-vente'!$D$2:$D$1000="Agences et Après-vente"))*('Agences &amp; Après-vente'!$I$2:$I$1000="DONE"))&gt;0,"✓",IF(SUMPRODUCT(MAX(('Agences &amp; Après-vente'!$A$2:$A$1000=$A815)*(('Agences &amp; Après-vente'!$D$2:$D$1000="Agences")+('Agences &amp; Après-vente'!$D$2:$D$1000="Agences et Après-vente"))*'Agences &amp; Après-vente'!$E$2:$E$1000))&gt;0,TEXT(SUMPRODUCT(MAX(('Agences &amp; Après-vente'!$A$2:$A$1000=$A815)*(('Agences &amp; Après-vente'!$D$2:$D$1000="Agences")+('Agences &amp; Après-vente'!$D$2:$D$1000="Agences et Après-vente"))*'Agences &amp; Après-vente'!$E$2:$E$1000)),"yyyy-mm-dd"),""))))))</f>
        <v/>
      </c>
      <c r="I815" s="131" t="str">
        <f aca="false">IF($S815="✓","✓",IF(ISNUMBER($S815),TEXT($S815,"yyyy-mm-dd"),IF($A815="","",IF(SUMPRODUCT(('Agences &amp; Après-vente'!$A$2:$A$1000=$A815)*(('Agences &amp; Après-vente'!$D$2:$D$1000="Après-vente")+('Agences &amp; Après-vente'!$D$2:$D$1000="Agences et Après-vente"))*('Agences &amp; Après-vente'!$I$2:$I$1000="DONE"))&gt;0,"✓",IF(SUMPRODUCT(MAX(('Agences &amp; Après-vente'!$A$2:$A$1000=$A815)*(('Agences &amp; Après-vente'!$D$2:$D$1000="Après-vente")+('Agences &amp; Après-vente'!$D$2:$D$1000="Agences et Après-vente"))*'Agences &amp; Après-vente'!$E$2:$E$1000))&gt;0,TEXT(SUMPRODUCT(MAX(('Agences &amp; Après-vente'!$A$2:$A$1000=$A815)*(('Agences &amp; Après-vente'!$D$2:$D$1000="Après-vente")+('Agences &amp; Après-vente'!$D$2:$D$1000="Agences et Après-vente"))*'Agences &amp; Après-vente'!$E$2:$E$1000)),"yyyy-mm-dd"),"")))))</f>
        <v/>
      </c>
      <c r="J815" s="131" t="str">
        <f aca="false">IF($T815="✓","✓",IF(ISNUMBER($T815),TEXT($T815,"yyyy-mm-dd"),IF($A815="","",IF($D815="Lisbonne","",IF(SUMPRODUCT(('Agences &amp; Après-vente'!$A$2:$A$1000=$A815)*(('Agences &amp; Après-vente'!$D$2:$D$1000="Après-vente")+('Agences &amp; Après-vente'!$D$2:$D$1000="Agences et Après-vente"))*('Agences &amp; Après-vente'!$I$2:$I$1000="DONE"))&gt;0,"✓",IF(SUMPRODUCT(MAX(('Agences &amp; Après-vente'!$A$2:$A$1000=$A815)*(('Agences &amp; Après-vente'!$D$2:$D$1000="Après-vente")+('Agences &amp; Après-vente'!$D$2:$D$1000="Agences et Après-vente"))*'Agences &amp; Après-vente'!$E$2:$E$1000))&gt;0,TEXT(SUMPRODUCT(MAX(('Agences &amp; Après-vente'!$A$2:$A$1000=$A815)*(('Agences &amp; Après-vente'!$D$2:$D$1000="Après-vente")+('Agences &amp; Après-vente'!$D$2:$D$1000="Agences et Après-vente"))*'Agences &amp; Après-vente'!$E$2:$E$1000)),"yyyy-mm-dd"),""))))))</f>
        <v/>
      </c>
      <c r="K815" s="131" t="str">
        <f aca="false">IF($U815="✓","✓",IF(ISNUMBER($U815),TEXT($U815,"yyyy-mm-dd"),IF($D815="Lisbonne","",IF($A815="","",IF(SUMPRODUCT((Evermont!$A$2:$A$1000=$A815)*(Evermont!$Q$2:$Q$1000="Terminé"))&gt;0,"✓",IF(SUMPRODUCT(MAX((Evermont!$A$2:$A$1000=$A815)*Evermont!$F$2:$F$1000))&gt;0,TEXT(SUMPRODUCT(MAX((Evermont!$A$2:$A$1000=$A815)*Evermont!$F$2:$F$1000)),"yyyy-mm-dd"),""))))))</f>
        <v/>
      </c>
      <c r="L815" s="131" t="str">
        <f aca="false">IF($A815="","",COUNTIF(E815:K815,"✓"))</f>
        <v/>
      </c>
      <c r="M815" s="131" t="str">
        <f aca="false">IF(B815="","","Active")</f>
        <v/>
      </c>
      <c r="W815" s="120" t="str">
        <f aca="false">IF($A815="","",IF($X815&lt;&gt;"",$X815,IFERROR(INDEX('Formation Initiale'!$B$2:$B$999,MATCH($A815,'Formation Initiale'!$A$2:$A$999,0)),"Général")))</f>
        <v/>
      </c>
    </row>
    <row r="816" customFormat="false" ht="15" hidden="true" customHeight="true" outlineLevel="0" collapsed="false">
      <c r="A816" s="142" t="str">
        <f aca="false">IF(B816="","","TR"&amp;TEXT(ROW()-1,"000"))</f>
        <v/>
      </c>
      <c r="E816" s="130" t="str">
        <f aca="false">IF($O816="✓","✓",IF(ISNUMBER($O816),TEXT($O816,"yyyy-mm-dd"),IF($A816="","",IF(SUMPRODUCT(('Formation Initiale'!$A$2:$A$999=$A816)*('Formation Initiale'!$R$2:$R$999="Terminé"))&gt;0,"✓",IF(SUMPRODUCT(MAX(('Formation Initiale'!$A$2:$A$999=$A816)*'Formation Initiale'!$G$2:$G$999))&gt;0,TEXT(SUMPRODUCT(MAX(('Formation Initiale'!$A$2:$A$999=$A816)*'Formation Initiale'!$G$2:$G$999)),"yyyy-mm-dd"),"")))))</f>
        <v/>
      </c>
      <c r="F816" s="131" t="str">
        <f aca="false">IF($P816="✓","✓",IF(ISNUMBER($P816),TEXT($P816,"yyyy-mm-dd"),IF($A816="","",IF($D816="Lisbonne","",IF(SUMPRODUCT(('Formation Initiale'!$A$2:$A$999=$A816)*('Formation Initiale'!$R$2:$R$999="Terminé"))&gt;0,"✓",IF(SUMPRODUCT(MAX(('Formation Initiale'!$A$2:$A$999=$A816)*'Formation Initiale'!$G$2:$G$999))&gt;0,TEXT(SUMPRODUCT(MAX(('Formation Initiale'!$A$2:$A$999=$A816)*'Formation Initiale'!$G$2:$G$999)),"yyyy-mm-dd"),""))))))</f>
        <v/>
      </c>
      <c r="G816" s="131" t="str">
        <f aca="false">IF($Q816="✓","✓",IF(ISNUMBER($Q816),TEXT($Q816,"yyyy-mm-dd"),IF($A816="","",IF(SUMPRODUCT(('Agences &amp; Après-vente'!$A$2:$A$1000=$A816)*(('Agences &amp; Après-vente'!$D$2:$D$1000="Agences")+('Agences &amp; Après-vente'!$D$2:$D$1000="Agences et Après-vente"))*('Agences &amp; Après-vente'!$I$2:$I$1000="DONE"))&gt;0,"✓",IF(SUMPRODUCT(MAX(('Agences &amp; Après-vente'!$A$2:$A$1000=$A816)*(('Agences &amp; Après-vente'!$D$2:$D$1000="Agences")+('Agences &amp; Après-vente'!$D$2:$D$1000="Agences et Après-vente"))*'Agences &amp; Après-vente'!$E$2:$E$1000))&gt;0,TEXT(SUMPRODUCT(MAX(('Agences &amp; Après-vente'!$A$2:$A$1000=$A816)*(('Agences &amp; Après-vente'!$D$2:$D$1000="Agences")+('Agences &amp; Après-vente'!$D$2:$D$1000="Agences et Après-vente"))*'Agences &amp; Après-vente'!$E$2:$E$1000)),"yyyy-mm-dd"),"")))))</f>
        <v/>
      </c>
      <c r="H816" s="131" t="str">
        <f aca="false">IF($R816="✓","✓",IF(ISNUMBER($R816),TEXT($R816,"yyyy-mm-dd"),IF($A816="","",IF($D816="Lisbonne","",IF(SUMPRODUCT(('Agences &amp; Après-vente'!$A$2:$A$1000=$A816)*(('Agences &amp; Après-vente'!$D$2:$D$1000="Agences")+('Agences &amp; Après-vente'!$D$2:$D$1000="Agences et Après-vente"))*('Agences &amp; Après-vente'!$I$2:$I$1000="DONE"))&gt;0,"✓",IF(SUMPRODUCT(MAX(('Agences &amp; Après-vente'!$A$2:$A$1000=$A816)*(('Agences &amp; Après-vente'!$D$2:$D$1000="Agences")+('Agences &amp; Après-vente'!$D$2:$D$1000="Agences et Après-vente"))*'Agences &amp; Après-vente'!$E$2:$E$1000))&gt;0,TEXT(SUMPRODUCT(MAX(('Agences &amp; Après-vente'!$A$2:$A$1000=$A816)*(('Agences &amp; Après-vente'!$D$2:$D$1000="Agences")+('Agences &amp; Après-vente'!$D$2:$D$1000="Agences et Après-vente"))*'Agences &amp; Après-vente'!$E$2:$E$1000)),"yyyy-mm-dd"),""))))))</f>
        <v/>
      </c>
      <c r="I816" s="131" t="str">
        <f aca="false">IF($S816="✓","✓",IF(ISNUMBER($S816),TEXT($S816,"yyyy-mm-dd"),IF($A816="","",IF(SUMPRODUCT(('Agences &amp; Après-vente'!$A$2:$A$1000=$A816)*(('Agences &amp; Après-vente'!$D$2:$D$1000="Après-vente")+('Agences &amp; Après-vente'!$D$2:$D$1000="Agences et Après-vente"))*('Agences &amp; Après-vente'!$I$2:$I$1000="DONE"))&gt;0,"✓",IF(SUMPRODUCT(MAX(('Agences &amp; Après-vente'!$A$2:$A$1000=$A816)*(('Agences &amp; Après-vente'!$D$2:$D$1000="Après-vente")+('Agences &amp; Après-vente'!$D$2:$D$1000="Agences et Après-vente"))*'Agences &amp; Après-vente'!$E$2:$E$1000))&gt;0,TEXT(SUMPRODUCT(MAX(('Agences &amp; Après-vente'!$A$2:$A$1000=$A816)*(('Agences &amp; Après-vente'!$D$2:$D$1000="Après-vente")+('Agences &amp; Après-vente'!$D$2:$D$1000="Agences et Après-vente"))*'Agences &amp; Après-vente'!$E$2:$E$1000)),"yyyy-mm-dd"),"")))))</f>
        <v/>
      </c>
      <c r="J816" s="131" t="str">
        <f aca="false">IF($T816="✓","✓",IF(ISNUMBER($T816),TEXT($T816,"yyyy-mm-dd"),IF($A816="","",IF($D816="Lisbonne","",IF(SUMPRODUCT(('Agences &amp; Après-vente'!$A$2:$A$1000=$A816)*(('Agences &amp; Après-vente'!$D$2:$D$1000="Après-vente")+('Agences &amp; Après-vente'!$D$2:$D$1000="Agences et Après-vente"))*('Agences &amp; Après-vente'!$I$2:$I$1000="DONE"))&gt;0,"✓",IF(SUMPRODUCT(MAX(('Agences &amp; Après-vente'!$A$2:$A$1000=$A816)*(('Agences &amp; Après-vente'!$D$2:$D$1000="Après-vente")+('Agences &amp; Après-vente'!$D$2:$D$1000="Agences et Après-vente"))*'Agences &amp; Après-vente'!$E$2:$E$1000))&gt;0,TEXT(SUMPRODUCT(MAX(('Agences &amp; Après-vente'!$A$2:$A$1000=$A816)*(('Agences &amp; Après-vente'!$D$2:$D$1000="Après-vente")+('Agences &amp; Après-vente'!$D$2:$D$1000="Agences et Après-vente"))*'Agences &amp; Après-vente'!$E$2:$E$1000)),"yyyy-mm-dd"),""))))))</f>
        <v/>
      </c>
      <c r="K816" s="131" t="str">
        <f aca="false">IF($U816="✓","✓",IF(ISNUMBER($U816),TEXT($U816,"yyyy-mm-dd"),IF($D816="Lisbonne","",IF($A816="","",IF(SUMPRODUCT((Evermont!$A$2:$A$1000=$A816)*(Evermont!$Q$2:$Q$1000="Terminé"))&gt;0,"✓",IF(SUMPRODUCT(MAX((Evermont!$A$2:$A$1000=$A816)*Evermont!$F$2:$F$1000))&gt;0,TEXT(SUMPRODUCT(MAX((Evermont!$A$2:$A$1000=$A816)*Evermont!$F$2:$F$1000)),"yyyy-mm-dd"),""))))))</f>
        <v/>
      </c>
      <c r="L816" s="131" t="str">
        <f aca="false">IF($A816="","",COUNTIF(E816:K816,"✓"))</f>
        <v/>
      </c>
      <c r="M816" s="131" t="str">
        <f aca="false">IF(B816="","","Active")</f>
        <v/>
      </c>
      <c r="W816" s="120" t="str">
        <f aca="false">IF($A816="","",IF($X816&lt;&gt;"",$X816,IFERROR(INDEX('Formation Initiale'!$B$2:$B$999,MATCH($A816,'Formation Initiale'!$A$2:$A$999,0)),"Général")))</f>
        <v/>
      </c>
    </row>
    <row r="817" customFormat="false" ht="15" hidden="true" customHeight="true" outlineLevel="0" collapsed="false">
      <c r="A817" s="142" t="str">
        <f aca="false">IF(B817="","","TR"&amp;TEXT(ROW()-1,"000"))</f>
        <v/>
      </c>
      <c r="E817" s="130" t="str">
        <f aca="false">IF($O817="✓","✓",IF(ISNUMBER($O817),TEXT($O817,"yyyy-mm-dd"),IF($A817="","",IF(SUMPRODUCT(('Formation Initiale'!$A$2:$A$999=$A817)*('Formation Initiale'!$R$2:$R$999="Terminé"))&gt;0,"✓",IF(SUMPRODUCT(MAX(('Formation Initiale'!$A$2:$A$999=$A817)*'Formation Initiale'!$G$2:$G$999))&gt;0,TEXT(SUMPRODUCT(MAX(('Formation Initiale'!$A$2:$A$999=$A817)*'Formation Initiale'!$G$2:$G$999)),"yyyy-mm-dd"),"")))))</f>
        <v/>
      </c>
      <c r="F817" s="131" t="str">
        <f aca="false">IF($P817="✓","✓",IF(ISNUMBER($P817),TEXT($P817,"yyyy-mm-dd"),IF($A817="","",IF($D817="Lisbonne","",IF(SUMPRODUCT(('Formation Initiale'!$A$2:$A$999=$A817)*('Formation Initiale'!$R$2:$R$999="Terminé"))&gt;0,"✓",IF(SUMPRODUCT(MAX(('Formation Initiale'!$A$2:$A$999=$A817)*'Formation Initiale'!$G$2:$G$999))&gt;0,TEXT(SUMPRODUCT(MAX(('Formation Initiale'!$A$2:$A$999=$A817)*'Formation Initiale'!$G$2:$G$999)),"yyyy-mm-dd"),""))))))</f>
        <v/>
      </c>
      <c r="G817" s="131" t="str">
        <f aca="false">IF($Q817="✓","✓",IF(ISNUMBER($Q817),TEXT($Q817,"yyyy-mm-dd"),IF($A817="","",IF(SUMPRODUCT(('Agences &amp; Après-vente'!$A$2:$A$1000=$A817)*(('Agences &amp; Après-vente'!$D$2:$D$1000="Agences")+('Agences &amp; Après-vente'!$D$2:$D$1000="Agences et Après-vente"))*('Agences &amp; Après-vente'!$I$2:$I$1000="DONE"))&gt;0,"✓",IF(SUMPRODUCT(MAX(('Agences &amp; Après-vente'!$A$2:$A$1000=$A817)*(('Agences &amp; Après-vente'!$D$2:$D$1000="Agences")+('Agences &amp; Après-vente'!$D$2:$D$1000="Agences et Après-vente"))*'Agences &amp; Après-vente'!$E$2:$E$1000))&gt;0,TEXT(SUMPRODUCT(MAX(('Agences &amp; Après-vente'!$A$2:$A$1000=$A817)*(('Agences &amp; Après-vente'!$D$2:$D$1000="Agences")+('Agences &amp; Après-vente'!$D$2:$D$1000="Agences et Après-vente"))*'Agences &amp; Après-vente'!$E$2:$E$1000)),"yyyy-mm-dd"),"")))))</f>
        <v/>
      </c>
      <c r="H817" s="131" t="str">
        <f aca="false">IF($R817="✓","✓",IF(ISNUMBER($R817),TEXT($R817,"yyyy-mm-dd"),IF($A817="","",IF($D817="Lisbonne","",IF(SUMPRODUCT(('Agences &amp; Après-vente'!$A$2:$A$1000=$A817)*(('Agences &amp; Après-vente'!$D$2:$D$1000="Agences")+('Agences &amp; Après-vente'!$D$2:$D$1000="Agences et Après-vente"))*('Agences &amp; Après-vente'!$I$2:$I$1000="DONE"))&gt;0,"✓",IF(SUMPRODUCT(MAX(('Agences &amp; Après-vente'!$A$2:$A$1000=$A817)*(('Agences &amp; Après-vente'!$D$2:$D$1000="Agences")+('Agences &amp; Après-vente'!$D$2:$D$1000="Agences et Après-vente"))*'Agences &amp; Après-vente'!$E$2:$E$1000))&gt;0,TEXT(SUMPRODUCT(MAX(('Agences &amp; Après-vente'!$A$2:$A$1000=$A817)*(('Agences &amp; Après-vente'!$D$2:$D$1000="Agences")+('Agences &amp; Après-vente'!$D$2:$D$1000="Agences et Après-vente"))*'Agences &amp; Après-vente'!$E$2:$E$1000)),"yyyy-mm-dd"),""))))))</f>
        <v/>
      </c>
      <c r="I817" s="131" t="str">
        <f aca="false">IF($S817="✓","✓",IF(ISNUMBER($S817),TEXT($S817,"yyyy-mm-dd"),IF($A817="","",IF(SUMPRODUCT(('Agences &amp; Après-vente'!$A$2:$A$1000=$A817)*(('Agences &amp; Après-vente'!$D$2:$D$1000="Après-vente")+('Agences &amp; Après-vente'!$D$2:$D$1000="Agences et Après-vente"))*('Agences &amp; Après-vente'!$I$2:$I$1000="DONE"))&gt;0,"✓",IF(SUMPRODUCT(MAX(('Agences &amp; Après-vente'!$A$2:$A$1000=$A817)*(('Agences &amp; Après-vente'!$D$2:$D$1000="Après-vente")+('Agences &amp; Après-vente'!$D$2:$D$1000="Agences et Après-vente"))*'Agences &amp; Après-vente'!$E$2:$E$1000))&gt;0,TEXT(SUMPRODUCT(MAX(('Agences &amp; Après-vente'!$A$2:$A$1000=$A817)*(('Agences &amp; Après-vente'!$D$2:$D$1000="Après-vente")+('Agences &amp; Après-vente'!$D$2:$D$1000="Agences et Après-vente"))*'Agences &amp; Après-vente'!$E$2:$E$1000)),"yyyy-mm-dd"),"")))))</f>
        <v/>
      </c>
      <c r="J817" s="131" t="str">
        <f aca="false">IF($T817="✓","✓",IF(ISNUMBER($T817),TEXT($T817,"yyyy-mm-dd"),IF($A817="","",IF($D817="Lisbonne","",IF(SUMPRODUCT(('Agences &amp; Après-vente'!$A$2:$A$1000=$A817)*(('Agences &amp; Après-vente'!$D$2:$D$1000="Après-vente")+('Agences &amp; Après-vente'!$D$2:$D$1000="Agences et Après-vente"))*('Agences &amp; Après-vente'!$I$2:$I$1000="DONE"))&gt;0,"✓",IF(SUMPRODUCT(MAX(('Agences &amp; Après-vente'!$A$2:$A$1000=$A817)*(('Agences &amp; Après-vente'!$D$2:$D$1000="Après-vente")+('Agences &amp; Après-vente'!$D$2:$D$1000="Agences et Après-vente"))*'Agences &amp; Après-vente'!$E$2:$E$1000))&gt;0,TEXT(SUMPRODUCT(MAX(('Agences &amp; Après-vente'!$A$2:$A$1000=$A817)*(('Agences &amp; Après-vente'!$D$2:$D$1000="Après-vente")+('Agences &amp; Après-vente'!$D$2:$D$1000="Agences et Après-vente"))*'Agences &amp; Après-vente'!$E$2:$E$1000)),"yyyy-mm-dd"),""))))))</f>
        <v/>
      </c>
      <c r="K817" s="131" t="str">
        <f aca="false">IF($U817="✓","✓",IF(ISNUMBER($U817),TEXT($U817,"yyyy-mm-dd"),IF($D817="Lisbonne","",IF($A817="","",IF(SUMPRODUCT((Evermont!$A$2:$A$1000=$A817)*(Evermont!$Q$2:$Q$1000="Terminé"))&gt;0,"✓",IF(SUMPRODUCT(MAX((Evermont!$A$2:$A$1000=$A817)*Evermont!$F$2:$F$1000))&gt;0,TEXT(SUMPRODUCT(MAX((Evermont!$A$2:$A$1000=$A817)*Evermont!$F$2:$F$1000)),"yyyy-mm-dd"),""))))))</f>
        <v/>
      </c>
      <c r="L817" s="131" t="str">
        <f aca="false">IF($A817="","",COUNTIF(E817:K817,"✓"))</f>
        <v/>
      </c>
      <c r="M817" s="131" t="str">
        <f aca="false">IF(B817="","","Active")</f>
        <v/>
      </c>
      <c r="W817" s="120" t="str">
        <f aca="false">IF($A817="","",IF($X817&lt;&gt;"",$X817,IFERROR(INDEX('Formation Initiale'!$B$2:$B$999,MATCH($A817,'Formation Initiale'!$A$2:$A$999,0)),"Général")))</f>
        <v/>
      </c>
    </row>
    <row r="818" customFormat="false" ht="15" hidden="true" customHeight="true" outlineLevel="0" collapsed="false">
      <c r="A818" s="142" t="str">
        <f aca="false">IF(B818="","","TR"&amp;TEXT(ROW()-1,"000"))</f>
        <v/>
      </c>
      <c r="E818" s="130" t="str">
        <f aca="false">IF($O818="✓","✓",IF(ISNUMBER($O818),TEXT($O818,"yyyy-mm-dd"),IF($A818="","",IF(SUMPRODUCT(('Formation Initiale'!$A$2:$A$999=$A818)*('Formation Initiale'!$R$2:$R$999="Terminé"))&gt;0,"✓",IF(SUMPRODUCT(MAX(('Formation Initiale'!$A$2:$A$999=$A818)*'Formation Initiale'!$G$2:$G$999))&gt;0,TEXT(SUMPRODUCT(MAX(('Formation Initiale'!$A$2:$A$999=$A818)*'Formation Initiale'!$G$2:$G$999)),"yyyy-mm-dd"),"")))))</f>
        <v/>
      </c>
      <c r="F818" s="131" t="str">
        <f aca="false">IF($P818="✓","✓",IF(ISNUMBER($P818),TEXT($P818,"yyyy-mm-dd"),IF($A818="","",IF($D818="Lisbonne","",IF(SUMPRODUCT(('Formation Initiale'!$A$2:$A$999=$A818)*('Formation Initiale'!$R$2:$R$999="Terminé"))&gt;0,"✓",IF(SUMPRODUCT(MAX(('Formation Initiale'!$A$2:$A$999=$A818)*'Formation Initiale'!$G$2:$G$999))&gt;0,TEXT(SUMPRODUCT(MAX(('Formation Initiale'!$A$2:$A$999=$A818)*'Formation Initiale'!$G$2:$G$999)),"yyyy-mm-dd"),""))))))</f>
        <v/>
      </c>
      <c r="G818" s="131" t="str">
        <f aca="false">IF($Q818="✓","✓",IF(ISNUMBER($Q818),TEXT($Q818,"yyyy-mm-dd"),IF($A818="","",IF(SUMPRODUCT(('Agences &amp; Après-vente'!$A$2:$A$1000=$A818)*(('Agences &amp; Après-vente'!$D$2:$D$1000="Agences")+('Agences &amp; Après-vente'!$D$2:$D$1000="Agences et Après-vente"))*('Agences &amp; Après-vente'!$I$2:$I$1000="DONE"))&gt;0,"✓",IF(SUMPRODUCT(MAX(('Agences &amp; Après-vente'!$A$2:$A$1000=$A818)*(('Agences &amp; Après-vente'!$D$2:$D$1000="Agences")+('Agences &amp; Après-vente'!$D$2:$D$1000="Agences et Après-vente"))*'Agences &amp; Après-vente'!$E$2:$E$1000))&gt;0,TEXT(SUMPRODUCT(MAX(('Agences &amp; Après-vente'!$A$2:$A$1000=$A818)*(('Agences &amp; Après-vente'!$D$2:$D$1000="Agences")+('Agences &amp; Après-vente'!$D$2:$D$1000="Agences et Après-vente"))*'Agences &amp; Après-vente'!$E$2:$E$1000)),"yyyy-mm-dd"),"")))))</f>
        <v/>
      </c>
      <c r="H818" s="131" t="str">
        <f aca="false">IF($R818="✓","✓",IF(ISNUMBER($R818),TEXT($R818,"yyyy-mm-dd"),IF($A818="","",IF($D818="Lisbonne","",IF(SUMPRODUCT(('Agences &amp; Après-vente'!$A$2:$A$1000=$A818)*(('Agences &amp; Après-vente'!$D$2:$D$1000="Agences")+('Agences &amp; Après-vente'!$D$2:$D$1000="Agences et Après-vente"))*('Agences &amp; Après-vente'!$I$2:$I$1000="DONE"))&gt;0,"✓",IF(SUMPRODUCT(MAX(('Agences &amp; Après-vente'!$A$2:$A$1000=$A818)*(('Agences &amp; Après-vente'!$D$2:$D$1000="Agences")+('Agences &amp; Après-vente'!$D$2:$D$1000="Agences et Après-vente"))*'Agences &amp; Après-vente'!$E$2:$E$1000))&gt;0,TEXT(SUMPRODUCT(MAX(('Agences &amp; Après-vente'!$A$2:$A$1000=$A818)*(('Agences &amp; Après-vente'!$D$2:$D$1000="Agences")+('Agences &amp; Après-vente'!$D$2:$D$1000="Agences et Après-vente"))*'Agences &amp; Après-vente'!$E$2:$E$1000)),"yyyy-mm-dd"),""))))))</f>
        <v/>
      </c>
      <c r="I818" s="131" t="str">
        <f aca="false">IF($S818="✓","✓",IF(ISNUMBER($S818),TEXT($S818,"yyyy-mm-dd"),IF($A818="","",IF(SUMPRODUCT(('Agences &amp; Après-vente'!$A$2:$A$1000=$A818)*(('Agences &amp; Après-vente'!$D$2:$D$1000="Après-vente")+('Agences &amp; Après-vente'!$D$2:$D$1000="Agences et Après-vente"))*('Agences &amp; Après-vente'!$I$2:$I$1000="DONE"))&gt;0,"✓",IF(SUMPRODUCT(MAX(('Agences &amp; Après-vente'!$A$2:$A$1000=$A818)*(('Agences &amp; Après-vente'!$D$2:$D$1000="Après-vente")+('Agences &amp; Après-vente'!$D$2:$D$1000="Agences et Après-vente"))*'Agences &amp; Après-vente'!$E$2:$E$1000))&gt;0,TEXT(SUMPRODUCT(MAX(('Agences &amp; Après-vente'!$A$2:$A$1000=$A818)*(('Agences &amp; Après-vente'!$D$2:$D$1000="Après-vente")+('Agences &amp; Après-vente'!$D$2:$D$1000="Agences et Après-vente"))*'Agences &amp; Après-vente'!$E$2:$E$1000)),"yyyy-mm-dd"),"")))))</f>
        <v/>
      </c>
      <c r="J818" s="131" t="str">
        <f aca="false">IF($T818="✓","✓",IF(ISNUMBER($T818),TEXT($T818,"yyyy-mm-dd"),IF($A818="","",IF($D818="Lisbonne","",IF(SUMPRODUCT(('Agences &amp; Après-vente'!$A$2:$A$1000=$A818)*(('Agences &amp; Après-vente'!$D$2:$D$1000="Après-vente")+('Agences &amp; Après-vente'!$D$2:$D$1000="Agences et Après-vente"))*('Agences &amp; Après-vente'!$I$2:$I$1000="DONE"))&gt;0,"✓",IF(SUMPRODUCT(MAX(('Agences &amp; Après-vente'!$A$2:$A$1000=$A818)*(('Agences &amp; Après-vente'!$D$2:$D$1000="Après-vente")+('Agences &amp; Après-vente'!$D$2:$D$1000="Agences et Après-vente"))*'Agences &amp; Après-vente'!$E$2:$E$1000))&gt;0,TEXT(SUMPRODUCT(MAX(('Agences &amp; Après-vente'!$A$2:$A$1000=$A818)*(('Agences &amp; Après-vente'!$D$2:$D$1000="Après-vente")+('Agences &amp; Après-vente'!$D$2:$D$1000="Agences et Après-vente"))*'Agences &amp; Après-vente'!$E$2:$E$1000)),"yyyy-mm-dd"),""))))))</f>
        <v/>
      </c>
      <c r="K818" s="131" t="str">
        <f aca="false">IF($U818="✓","✓",IF(ISNUMBER($U818),TEXT($U818,"yyyy-mm-dd"),IF($D818="Lisbonne","",IF($A818="","",IF(SUMPRODUCT((Evermont!$A$2:$A$1000=$A818)*(Evermont!$Q$2:$Q$1000="Terminé"))&gt;0,"✓",IF(SUMPRODUCT(MAX((Evermont!$A$2:$A$1000=$A818)*Evermont!$F$2:$F$1000))&gt;0,TEXT(SUMPRODUCT(MAX((Evermont!$A$2:$A$1000=$A818)*Evermont!$F$2:$F$1000)),"yyyy-mm-dd"),""))))))</f>
        <v/>
      </c>
      <c r="L818" s="131" t="str">
        <f aca="false">IF($A818="","",COUNTIF(E818:K818,"✓"))</f>
        <v/>
      </c>
      <c r="M818" s="131" t="str">
        <f aca="false">IF(B818="","","Active")</f>
        <v/>
      </c>
      <c r="W818" s="120" t="str">
        <f aca="false">IF($A818="","",IF($X818&lt;&gt;"",$X818,IFERROR(INDEX('Formation Initiale'!$B$2:$B$999,MATCH($A818,'Formation Initiale'!$A$2:$A$999,0)),"Général")))</f>
        <v/>
      </c>
    </row>
    <row r="819" customFormat="false" ht="15" hidden="true" customHeight="true" outlineLevel="0" collapsed="false">
      <c r="A819" s="142" t="str">
        <f aca="false">IF(B819="","","TR"&amp;TEXT(ROW()-1,"000"))</f>
        <v/>
      </c>
      <c r="E819" s="130" t="str">
        <f aca="false">IF($O819="✓","✓",IF(ISNUMBER($O819),TEXT($O819,"yyyy-mm-dd"),IF($A819="","",IF(SUMPRODUCT(('Formation Initiale'!$A$2:$A$999=$A819)*('Formation Initiale'!$R$2:$R$999="Terminé"))&gt;0,"✓",IF(SUMPRODUCT(MAX(('Formation Initiale'!$A$2:$A$999=$A819)*'Formation Initiale'!$G$2:$G$999))&gt;0,TEXT(SUMPRODUCT(MAX(('Formation Initiale'!$A$2:$A$999=$A819)*'Formation Initiale'!$G$2:$G$999)),"yyyy-mm-dd"),"")))))</f>
        <v/>
      </c>
      <c r="F819" s="131" t="str">
        <f aca="false">IF($P819="✓","✓",IF(ISNUMBER($P819),TEXT($P819,"yyyy-mm-dd"),IF($A819="","",IF($D819="Lisbonne","",IF(SUMPRODUCT(('Formation Initiale'!$A$2:$A$999=$A819)*('Formation Initiale'!$R$2:$R$999="Terminé"))&gt;0,"✓",IF(SUMPRODUCT(MAX(('Formation Initiale'!$A$2:$A$999=$A819)*'Formation Initiale'!$G$2:$G$999))&gt;0,TEXT(SUMPRODUCT(MAX(('Formation Initiale'!$A$2:$A$999=$A819)*'Formation Initiale'!$G$2:$G$999)),"yyyy-mm-dd"),""))))))</f>
        <v/>
      </c>
      <c r="G819" s="131" t="str">
        <f aca="false">IF($Q819="✓","✓",IF(ISNUMBER($Q819),TEXT($Q819,"yyyy-mm-dd"),IF($A819="","",IF(SUMPRODUCT(('Agences &amp; Après-vente'!$A$2:$A$1000=$A819)*(('Agences &amp; Après-vente'!$D$2:$D$1000="Agences")+('Agences &amp; Après-vente'!$D$2:$D$1000="Agences et Après-vente"))*('Agences &amp; Après-vente'!$I$2:$I$1000="DONE"))&gt;0,"✓",IF(SUMPRODUCT(MAX(('Agences &amp; Après-vente'!$A$2:$A$1000=$A819)*(('Agences &amp; Après-vente'!$D$2:$D$1000="Agences")+('Agences &amp; Après-vente'!$D$2:$D$1000="Agences et Après-vente"))*'Agences &amp; Après-vente'!$E$2:$E$1000))&gt;0,TEXT(SUMPRODUCT(MAX(('Agences &amp; Après-vente'!$A$2:$A$1000=$A819)*(('Agences &amp; Après-vente'!$D$2:$D$1000="Agences")+('Agences &amp; Après-vente'!$D$2:$D$1000="Agences et Après-vente"))*'Agences &amp; Après-vente'!$E$2:$E$1000)),"yyyy-mm-dd"),"")))))</f>
        <v/>
      </c>
      <c r="H819" s="131" t="str">
        <f aca="false">IF($R819="✓","✓",IF(ISNUMBER($R819),TEXT($R819,"yyyy-mm-dd"),IF($A819="","",IF($D819="Lisbonne","",IF(SUMPRODUCT(('Agences &amp; Après-vente'!$A$2:$A$1000=$A819)*(('Agences &amp; Après-vente'!$D$2:$D$1000="Agences")+('Agences &amp; Après-vente'!$D$2:$D$1000="Agences et Après-vente"))*('Agences &amp; Après-vente'!$I$2:$I$1000="DONE"))&gt;0,"✓",IF(SUMPRODUCT(MAX(('Agences &amp; Après-vente'!$A$2:$A$1000=$A819)*(('Agences &amp; Après-vente'!$D$2:$D$1000="Agences")+('Agences &amp; Après-vente'!$D$2:$D$1000="Agences et Après-vente"))*'Agences &amp; Après-vente'!$E$2:$E$1000))&gt;0,TEXT(SUMPRODUCT(MAX(('Agences &amp; Après-vente'!$A$2:$A$1000=$A819)*(('Agences &amp; Après-vente'!$D$2:$D$1000="Agences")+('Agences &amp; Après-vente'!$D$2:$D$1000="Agences et Après-vente"))*'Agences &amp; Après-vente'!$E$2:$E$1000)),"yyyy-mm-dd"),""))))))</f>
        <v/>
      </c>
      <c r="I819" s="131" t="str">
        <f aca="false">IF($S819="✓","✓",IF(ISNUMBER($S819),TEXT($S819,"yyyy-mm-dd"),IF($A819="","",IF(SUMPRODUCT(('Agences &amp; Après-vente'!$A$2:$A$1000=$A819)*(('Agences &amp; Après-vente'!$D$2:$D$1000="Après-vente")+('Agences &amp; Après-vente'!$D$2:$D$1000="Agences et Après-vente"))*('Agences &amp; Après-vente'!$I$2:$I$1000="DONE"))&gt;0,"✓",IF(SUMPRODUCT(MAX(('Agences &amp; Après-vente'!$A$2:$A$1000=$A819)*(('Agences &amp; Après-vente'!$D$2:$D$1000="Après-vente")+('Agences &amp; Après-vente'!$D$2:$D$1000="Agences et Après-vente"))*'Agences &amp; Après-vente'!$E$2:$E$1000))&gt;0,TEXT(SUMPRODUCT(MAX(('Agences &amp; Après-vente'!$A$2:$A$1000=$A819)*(('Agences &amp; Après-vente'!$D$2:$D$1000="Après-vente")+('Agences &amp; Après-vente'!$D$2:$D$1000="Agences et Après-vente"))*'Agences &amp; Après-vente'!$E$2:$E$1000)),"yyyy-mm-dd"),"")))))</f>
        <v/>
      </c>
      <c r="J819" s="131" t="str">
        <f aca="false">IF($T819="✓","✓",IF(ISNUMBER($T819),TEXT($T819,"yyyy-mm-dd"),IF($A819="","",IF($D819="Lisbonne","",IF(SUMPRODUCT(('Agences &amp; Après-vente'!$A$2:$A$1000=$A819)*(('Agences &amp; Après-vente'!$D$2:$D$1000="Après-vente")+('Agences &amp; Après-vente'!$D$2:$D$1000="Agences et Après-vente"))*('Agences &amp; Après-vente'!$I$2:$I$1000="DONE"))&gt;0,"✓",IF(SUMPRODUCT(MAX(('Agences &amp; Après-vente'!$A$2:$A$1000=$A819)*(('Agences &amp; Après-vente'!$D$2:$D$1000="Après-vente")+('Agences &amp; Après-vente'!$D$2:$D$1000="Agences et Après-vente"))*'Agences &amp; Après-vente'!$E$2:$E$1000))&gt;0,TEXT(SUMPRODUCT(MAX(('Agences &amp; Après-vente'!$A$2:$A$1000=$A819)*(('Agences &amp; Après-vente'!$D$2:$D$1000="Après-vente")+('Agences &amp; Après-vente'!$D$2:$D$1000="Agences et Après-vente"))*'Agences &amp; Après-vente'!$E$2:$E$1000)),"yyyy-mm-dd"),""))))))</f>
        <v/>
      </c>
      <c r="K819" s="131" t="str">
        <f aca="false">IF($U819="✓","✓",IF(ISNUMBER($U819),TEXT($U819,"yyyy-mm-dd"),IF($D819="Lisbonne","",IF($A819="","",IF(SUMPRODUCT((Evermont!$A$2:$A$1000=$A819)*(Evermont!$Q$2:$Q$1000="Terminé"))&gt;0,"✓",IF(SUMPRODUCT(MAX((Evermont!$A$2:$A$1000=$A819)*Evermont!$F$2:$F$1000))&gt;0,TEXT(SUMPRODUCT(MAX((Evermont!$A$2:$A$1000=$A819)*Evermont!$F$2:$F$1000)),"yyyy-mm-dd"),""))))))</f>
        <v/>
      </c>
      <c r="L819" s="131" t="str">
        <f aca="false">IF($A819="","",COUNTIF(E819:K819,"✓"))</f>
        <v/>
      </c>
      <c r="M819" s="131" t="str">
        <f aca="false">IF(B819="","","Active")</f>
        <v/>
      </c>
      <c r="W819" s="120" t="str">
        <f aca="false">IF($A819="","",IF($X819&lt;&gt;"",$X819,IFERROR(INDEX('Formation Initiale'!$B$2:$B$999,MATCH($A819,'Formation Initiale'!$A$2:$A$999,0)),"Général")))</f>
        <v/>
      </c>
    </row>
    <row r="820" customFormat="false" ht="15" hidden="true" customHeight="true" outlineLevel="0" collapsed="false">
      <c r="A820" s="142" t="str">
        <f aca="false">IF(B820="","","TR"&amp;TEXT(ROW()-1,"000"))</f>
        <v/>
      </c>
      <c r="E820" s="130" t="str">
        <f aca="false">IF($O820="✓","✓",IF(ISNUMBER($O820),TEXT($O820,"yyyy-mm-dd"),IF($A820="","",IF(SUMPRODUCT(('Formation Initiale'!$A$2:$A$999=$A820)*('Formation Initiale'!$R$2:$R$999="Terminé"))&gt;0,"✓",IF(SUMPRODUCT(MAX(('Formation Initiale'!$A$2:$A$999=$A820)*'Formation Initiale'!$G$2:$G$999))&gt;0,TEXT(SUMPRODUCT(MAX(('Formation Initiale'!$A$2:$A$999=$A820)*'Formation Initiale'!$G$2:$G$999)),"yyyy-mm-dd"),"")))))</f>
        <v/>
      </c>
      <c r="F820" s="131" t="str">
        <f aca="false">IF($P820="✓","✓",IF(ISNUMBER($P820),TEXT($P820,"yyyy-mm-dd"),IF($A820="","",IF($D820="Lisbonne","",IF(SUMPRODUCT(('Formation Initiale'!$A$2:$A$999=$A820)*('Formation Initiale'!$R$2:$R$999="Terminé"))&gt;0,"✓",IF(SUMPRODUCT(MAX(('Formation Initiale'!$A$2:$A$999=$A820)*'Formation Initiale'!$G$2:$G$999))&gt;0,TEXT(SUMPRODUCT(MAX(('Formation Initiale'!$A$2:$A$999=$A820)*'Formation Initiale'!$G$2:$G$999)),"yyyy-mm-dd"),""))))))</f>
        <v/>
      </c>
      <c r="G820" s="131" t="str">
        <f aca="false">IF($Q820="✓","✓",IF(ISNUMBER($Q820),TEXT($Q820,"yyyy-mm-dd"),IF($A820="","",IF(SUMPRODUCT(('Agences &amp; Après-vente'!$A$2:$A$1000=$A820)*(('Agences &amp; Après-vente'!$D$2:$D$1000="Agences")+('Agences &amp; Après-vente'!$D$2:$D$1000="Agences et Après-vente"))*('Agences &amp; Après-vente'!$I$2:$I$1000="DONE"))&gt;0,"✓",IF(SUMPRODUCT(MAX(('Agences &amp; Après-vente'!$A$2:$A$1000=$A820)*(('Agences &amp; Après-vente'!$D$2:$D$1000="Agences")+('Agences &amp; Après-vente'!$D$2:$D$1000="Agences et Après-vente"))*'Agences &amp; Après-vente'!$E$2:$E$1000))&gt;0,TEXT(SUMPRODUCT(MAX(('Agences &amp; Après-vente'!$A$2:$A$1000=$A820)*(('Agences &amp; Après-vente'!$D$2:$D$1000="Agences")+('Agences &amp; Après-vente'!$D$2:$D$1000="Agences et Après-vente"))*'Agences &amp; Après-vente'!$E$2:$E$1000)),"yyyy-mm-dd"),"")))))</f>
        <v/>
      </c>
      <c r="H820" s="131" t="str">
        <f aca="false">IF($R820="✓","✓",IF(ISNUMBER($R820),TEXT($R820,"yyyy-mm-dd"),IF($A820="","",IF($D820="Lisbonne","",IF(SUMPRODUCT(('Agences &amp; Après-vente'!$A$2:$A$1000=$A820)*(('Agences &amp; Après-vente'!$D$2:$D$1000="Agences")+('Agences &amp; Après-vente'!$D$2:$D$1000="Agences et Après-vente"))*('Agences &amp; Après-vente'!$I$2:$I$1000="DONE"))&gt;0,"✓",IF(SUMPRODUCT(MAX(('Agences &amp; Après-vente'!$A$2:$A$1000=$A820)*(('Agences &amp; Après-vente'!$D$2:$D$1000="Agences")+('Agences &amp; Après-vente'!$D$2:$D$1000="Agences et Après-vente"))*'Agences &amp; Après-vente'!$E$2:$E$1000))&gt;0,TEXT(SUMPRODUCT(MAX(('Agences &amp; Après-vente'!$A$2:$A$1000=$A820)*(('Agences &amp; Après-vente'!$D$2:$D$1000="Agences")+('Agences &amp; Après-vente'!$D$2:$D$1000="Agences et Après-vente"))*'Agences &amp; Après-vente'!$E$2:$E$1000)),"yyyy-mm-dd"),""))))))</f>
        <v/>
      </c>
      <c r="I820" s="131" t="str">
        <f aca="false">IF($S820="✓","✓",IF(ISNUMBER($S820),TEXT($S820,"yyyy-mm-dd"),IF($A820="","",IF(SUMPRODUCT(('Agences &amp; Après-vente'!$A$2:$A$1000=$A820)*(('Agences &amp; Après-vente'!$D$2:$D$1000="Après-vente")+('Agences &amp; Après-vente'!$D$2:$D$1000="Agences et Après-vente"))*('Agences &amp; Après-vente'!$I$2:$I$1000="DONE"))&gt;0,"✓",IF(SUMPRODUCT(MAX(('Agences &amp; Après-vente'!$A$2:$A$1000=$A820)*(('Agences &amp; Après-vente'!$D$2:$D$1000="Après-vente")+('Agences &amp; Après-vente'!$D$2:$D$1000="Agences et Après-vente"))*'Agences &amp; Après-vente'!$E$2:$E$1000))&gt;0,TEXT(SUMPRODUCT(MAX(('Agences &amp; Après-vente'!$A$2:$A$1000=$A820)*(('Agences &amp; Après-vente'!$D$2:$D$1000="Après-vente")+('Agences &amp; Après-vente'!$D$2:$D$1000="Agences et Après-vente"))*'Agences &amp; Après-vente'!$E$2:$E$1000)),"yyyy-mm-dd"),"")))))</f>
        <v/>
      </c>
      <c r="J820" s="131" t="str">
        <f aca="false">IF($T820="✓","✓",IF(ISNUMBER($T820),TEXT($T820,"yyyy-mm-dd"),IF($A820="","",IF($D820="Lisbonne","",IF(SUMPRODUCT(('Agences &amp; Après-vente'!$A$2:$A$1000=$A820)*(('Agences &amp; Après-vente'!$D$2:$D$1000="Après-vente")+('Agences &amp; Après-vente'!$D$2:$D$1000="Agences et Après-vente"))*('Agences &amp; Après-vente'!$I$2:$I$1000="DONE"))&gt;0,"✓",IF(SUMPRODUCT(MAX(('Agences &amp; Après-vente'!$A$2:$A$1000=$A820)*(('Agences &amp; Après-vente'!$D$2:$D$1000="Après-vente")+('Agences &amp; Après-vente'!$D$2:$D$1000="Agences et Après-vente"))*'Agences &amp; Après-vente'!$E$2:$E$1000))&gt;0,TEXT(SUMPRODUCT(MAX(('Agences &amp; Après-vente'!$A$2:$A$1000=$A820)*(('Agences &amp; Après-vente'!$D$2:$D$1000="Après-vente")+('Agences &amp; Après-vente'!$D$2:$D$1000="Agences et Après-vente"))*'Agences &amp; Après-vente'!$E$2:$E$1000)),"yyyy-mm-dd"),""))))))</f>
        <v/>
      </c>
      <c r="K820" s="131" t="str">
        <f aca="false">IF($U820="✓","✓",IF(ISNUMBER($U820),TEXT($U820,"yyyy-mm-dd"),IF($D820="Lisbonne","",IF($A820="","",IF(SUMPRODUCT((Evermont!$A$2:$A$1000=$A820)*(Evermont!$Q$2:$Q$1000="Terminé"))&gt;0,"✓",IF(SUMPRODUCT(MAX((Evermont!$A$2:$A$1000=$A820)*Evermont!$F$2:$F$1000))&gt;0,TEXT(SUMPRODUCT(MAX((Evermont!$A$2:$A$1000=$A820)*Evermont!$F$2:$F$1000)),"yyyy-mm-dd"),""))))))</f>
        <v/>
      </c>
      <c r="L820" s="131" t="str">
        <f aca="false">IF($A820="","",COUNTIF(E820:K820,"✓"))</f>
        <v/>
      </c>
      <c r="M820" s="131" t="str">
        <f aca="false">IF(B820="","","Active")</f>
        <v/>
      </c>
      <c r="W820" s="120" t="str">
        <f aca="false">IF($A820="","",IF($X820&lt;&gt;"",$X820,IFERROR(INDEX('Formation Initiale'!$B$2:$B$999,MATCH($A820,'Formation Initiale'!$A$2:$A$999,0)),"Général")))</f>
        <v/>
      </c>
    </row>
    <row r="821" customFormat="false" ht="15" hidden="true" customHeight="true" outlineLevel="0" collapsed="false">
      <c r="A821" s="142" t="str">
        <f aca="false">IF(B821="","","TR"&amp;TEXT(ROW()-1,"000"))</f>
        <v/>
      </c>
      <c r="E821" s="130" t="str">
        <f aca="false">IF($O821="✓","✓",IF(ISNUMBER($O821),TEXT($O821,"yyyy-mm-dd"),IF($A821="","",IF(SUMPRODUCT(('Formation Initiale'!$A$2:$A$999=$A821)*('Formation Initiale'!$R$2:$R$999="Terminé"))&gt;0,"✓",IF(SUMPRODUCT(MAX(('Formation Initiale'!$A$2:$A$999=$A821)*'Formation Initiale'!$G$2:$G$999))&gt;0,TEXT(SUMPRODUCT(MAX(('Formation Initiale'!$A$2:$A$999=$A821)*'Formation Initiale'!$G$2:$G$999)),"yyyy-mm-dd"),"")))))</f>
        <v/>
      </c>
      <c r="F821" s="131" t="str">
        <f aca="false">IF($P821="✓","✓",IF(ISNUMBER($P821),TEXT($P821,"yyyy-mm-dd"),IF($A821="","",IF($D821="Lisbonne","",IF(SUMPRODUCT(('Formation Initiale'!$A$2:$A$999=$A821)*('Formation Initiale'!$R$2:$R$999="Terminé"))&gt;0,"✓",IF(SUMPRODUCT(MAX(('Formation Initiale'!$A$2:$A$999=$A821)*'Formation Initiale'!$G$2:$G$999))&gt;0,TEXT(SUMPRODUCT(MAX(('Formation Initiale'!$A$2:$A$999=$A821)*'Formation Initiale'!$G$2:$G$999)),"yyyy-mm-dd"),""))))))</f>
        <v/>
      </c>
      <c r="G821" s="131" t="str">
        <f aca="false">IF($Q821="✓","✓",IF(ISNUMBER($Q821),TEXT($Q821,"yyyy-mm-dd"),IF($A821="","",IF(SUMPRODUCT(('Agences &amp; Après-vente'!$A$2:$A$1000=$A821)*(('Agences &amp; Après-vente'!$D$2:$D$1000="Agences")+('Agences &amp; Après-vente'!$D$2:$D$1000="Agences et Après-vente"))*('Agences &amp; Après-vente'!$I$2:$I$1000="DONE"))&gt;0,"✓",IF(SUMPRODUCT(MAX(('Agences &amp; Après-vente'!$A$2:$A$1000=$A821)*(('Agences &amp; Après-vente'!$D$2:$D$1000="Agences")+('Agences &amp; Après-vente'!$D$2:$D$1000="Agences et Après-vente"))*'Agences &amp; Après-vente'!$E$2:$E$1000))&gt;0,TEXT(SUMPRODUCT(MAX(('Agences &amp; Après-vente'!$A$2:$A$1000=$A821)*(('Agences &amp; Après-vente'!$D$2:$D$1000="Agences")+('Agences &amp; Après-vente'!$D$2:$D$1000="Agences et Après-vente"))*'Agences &amp; Après-vente'!$E$2:$E$1000)),"yyyy-mm-dd"),"")))))</f>
        <v/>
      </c>
      <c r="H821" s="131" t="str">
        <f aca="false">IF($R821="✓","✓",IF(ISNUMBER($R821),TEXT($R821,"yyyy-mm-dd"),IF($A821="","",IF($D821="Lisbonne","",IF(SUMPRODUCT(('Agences &amp; Après-vente'!$A$2:$A$1000=$A821)*(('Agences &amp; Après-vente'!$D$2:$D$1000="Agences")+('Agences &amp; Après-vente'!$D$2:$D$1000="Agences et Après-vente"))*('Agences &amp; Après-vente'!$I$2:$I$1000="DONE"))&gt;0,"✓",IF(SUMPRODUCT(MAX(('Agences &amp; Après-vente'!$A$2:$A$1000=$A821)*(('Agences &amp; Après-vente'!$D$2:$D$1000="Agences")+('Agences &amp; Après-vente'!$D$2:$D$1000="Agences et Après-vente"))*'Agences &amp; Après-vente'!$E$2:$E$1000))&gt;0,TEXT(SUMPRODUCT(MAX(('Agences &amp; Après-vente'!$A$2:$A$1000=$A821)*(('Agences &amp; Après-vente'!$D$2:$D$1000="Agences")+('Agences &amp; Après-vente'!$D$2:$D$1000="Agences et Après-vente"))*'Agences &amp; Après-vente'!$E$2:$E$1000)),"yyyy-mm-dd"),""))))))</f>
        <v/>
      </c>
      <c r="I821" s="131" t="str">
        <f aca="false">IF($S821="✓","✓",IF(ISNUMBER($S821),TEXT($S821,"yyyy-mm-dd"),IF($A821="","",IF(SUMPRODUCT(('Agences &amp; Après-vente'!$A$2:$A$1000=$A821)*(('Agences &amp; Après-vente'!$D$2:$D$1000="Après-vente")+('Agences &amp; Après-vente'!$D$2:$D$1000="Agences et Après-vente"))*('Agences &amp; Après-vente'!$I$2:$I$1000="DONE"))&gt;0,"✓",IF(SUMPRODUCT(MAX(('Agences &amp; Après-vente'!$A$2:$A$1000=$A821)*(('Agences &amp; Après-vente'!$D$2:$D$1000="Après-vente")+('Agences &amp; Après-vente'!$D$2:$D$1000="Agences et Après-vente"))*'Agences &amp; Après-vente'!$E$2:$E$1000))&gt;0,TEXT(SUMPRODUCT(MAX(('Agences &amp; Après-vente'!$A$2:$A$1000=$A821)*(('Agences &amp; Après-vente'!$D$2:$D$1000="Après-vente")+('Agences &amp; Après-vente'!$D$2:$D$1000="Agences et Après-vente"))*'Agences &amp; Après-vente'!$E$2:$E$1000)),"yyyy-mm-dd"),"")))))</f>
        <v/>
      </c>
      <c r="J821" s="131" t="str">
        <f aca="false">IF($T821="✓","✓",IF(ISNUMBER($T821),TEXT($T821,"yyyy-mm-dd"),IF($A821="","",IF($D821="Lisbonne","",IF(SUMPRODUCT(('Agences &amp; Après-vente'!$A$2:$A$1000=$A821)*(('Agences &amp; Après-vente'!$D$2:$D$1000="Après-vente")+('Agences &amp; Après-vente'!$D$2:$D$1000="Agences et Après-vente"))*('Agences &amp; Après-vente'!$I$2:$I$1000="DONE"))&gt;0,"✓",IF(SUMPRODUCT(MAX(('Agences &amp; Après-vente'!$A$2:$A$1000=$A821)*(('Agences &amp; Après-vente'!$D$2:$D$1000="Après-vente")+('Agences &amp; Après-vente'!$D$2:$D$1000="Agences et Après-vente"))*'Agences &amp; Après-vente'!$E$2:$E$1000))&gt;0,TEXT(SUMPRODUCT(MAX(('Agences &amp; Après-vente'!$A$2:$A$1000=$A821)*(('Agences &amp; Après-vente'!$D$2:$D$1000="Après-vente")+('Agences &amp; Après-vente'!$D$2:$D$1000="Agences et Après-vente"))*'Agences &amp; Après-vente'!$E$2:$E$1000)),"yyyy-mm-dd"),""))))))</f>
        <v/>
      </c>
      <c r="K821" s="131" t="str">
        <f aca="false">IF($U821="✓","✓",IF(ISNUMBER($U821),TEXT($U821,"yyyy-mm-dd"),IF($D821="Lisbonne","",IF($A821="","",IF(SUMPRODUCT((Evermont!$A$2:$A$1000=$A821)*(Evermont!$Q$2:$Q$1000="Terminé"))&gt;0,"✓",IF(SUMPRODUCT(MAX((Evermont!$A$2:$A$1000=$A821)*Evermont!$F$2:$F$1000))&gt;0,TEXT(SUMPRODUCT(MAX((Evermont!$A$2:$A$1000=$A821)*Evermont!$F$2:$F$1000)),"yyyy-mm-dd"),""))))))</f>
        <v/>
      </c>
      <c r="L821" s="131" t="str">
        <f aca="false">IF($A821="","",COUNTIF(E821:K821,"✓"))</f>
        <v/>
      </c>
      <c r="M821" s="131" t="str">
        <f aca="false">IF(B821="","","Active")</f>
        <v/>
      </c>
      <c r="W821" s="120" t="str">
        <f aca="false">IF($A821="","",IF($X821&lt;&gt;"",$X821,IFERROR(INDEX('Formation Initiale'!$B$2:$B$999,MATCH($A821,'Formation Initiale'!$A$2:$A$999,0)),"Général")))</f>
        <v/>
      </c>
    </row>
    <row r="822" customFormat="false" ht="15" hidden="true" customHeight="true" outlineLevel="0" collapsed="false">
      <c r="A822" s="142" t="str">
        <f aca="false">IF(B822="","","TR"&amp;TEXT(ROW()-1,"000"))</f>
        <v/>
      </c>
      <c r="E822" s="130" t="str">
        <f aca="false">IF($O822="✓","✓",IF(ISNUMBER($O822),TEXT($O822,"yyyy-mm-dd"),IF($A822="","",IF(SUMPRODUCT(('Formation Initiale'!$A$2:$A$999=$A822)*('Formation Initiale'!$R$2:$R$999="Terminé"))&gt;0,"✓",IF(SUMPRODUCT(MAX(('Formation Initiale'!$A$2:$A$999=$A822)*'Formation Initiale'!$G$2:$G$999))&gt;0,TEXT(SUMPRODUCT(MAX(('Formation Initiale'!$A$2:$A$999=$A822)*'Formation Initiale'!$G$2:$G$999)),"yyyy-mm-dd"),"")))))</f>
        <v/>
      </c>
      <c r="F822" s="131" t="str">
        <f aca="false">IF($P822="✓","✓",IF(ISNUMBER($P822),TEXT($P822,"yyyy-mm-dd"),IF($A822="","",IF($D822="Lisbonne","",IF(SUMPRODUCT(('Formation Initiale'!$A$2:$A$999=$A822)*('Formation Initiale'!$R$2:$R$999="Terminé"))&gt;0,"✓",IF(SUMPRODUCT(MAX(('Formation Initiale'!$A$2:$A$999=$A822)*'Formation Initiale'!$G$2:$G$999))&gt;0,TEXT(SUMPRODUCT(MAX(('Formation Initiale'!$A$2:$A$999=$A822)*'Formation Initiale'!$G$2:$G$999)),"yyyy-mm-dd"),""))))))</f>
        <v/>
      </c>
      <c r="G822" s="131" t="str">
        <f aca="false">IF($Q822="✓","✓",IF(ISNUMBER($Q822),TEXT($Q822,"yyyy-mm-dd"),IF($A822="","",IF(SUMPRODUCT(('Agences &amp; Après-vente'!$A$2:$A$1000=$A822)*(('Agences &amp; Après-vente'!$D$2:$D$1000="Agences")+('Agences &amp; Après-vente'!$D$2:$D$1000="Agences et Après-vente"))*('Agences &amp; Après-vente'!$I$2:$I$1000="DONE"))&gt;0,"✓",IF(SUMPRODUCT(MAX(('Agences &amp; Après-vente'!$A$2:$A$1000=$A822)*(('Agences &amp; Après-vente'!$D$2:$D$1000="Agences")+('Agences &amp; Après-vente'!$D$2:$D$1000="Agences et Après-vente"))*'Agences &amp; Après-vente'!$E$2:$E$1000))&gt;0,TEXT(SUMPRODUCT(MAX(('Agences &amp; Après-vente'!$A$2:$A$1000=$A822)*(('Agences &amp; Après-vente'!$D$2:$D$1000="Agences")+('Agences &amp; Après-vente'!$D$2:$D$1000="Agences et Après-vente"))*'Agences &amp; Après-vente'!$E$2:$E$1000)),"yyyy-mm-dd"),"")))))</f>
        <v/>
      </c>
      <c r="H822" s="131" t="str">
        <f aca="false">IF($R822="✓","✓",IF(ISNUMBER($R822),TEXT($R822,"yyyy-mm-dd"),IF($A822="","",IF($D822="Lisbonne","",IF(SUMPRODUCT(('Agences &amp; Après-vente'!$A$2:$A$1000=$A822)*(('Agences &amp; Après-vente'!$D$2:$D$1000="Agences")+('Agences &amp; Après-vente'!$D$2:$D$1000="Agences et Après-vente"))*('Agences &amp; Après-vente'!$I$2:$I$1000="DONE"))&gt;0,"✓",IF(SUMPRODUCT(MAX(('Agences &amp; Après-vente'!$A$2:$A$1000=$A822)*(('Agences &amp; Après-vente'!$D$2:$D$1000="Agences")+('Agences &amp; Après-vente'!$D$2:$D$1000="Agences et Après-vente"))*'Agences &amp; Après-vente'!$E$2:$E$1000))&gt;0,TEXT(SUMPRODUCT(MAX(('Agences &amp; Après-vente'!$A$2:$A$1000=$A822)*(('Agences &amp; Après-vente'!$D$2:$D$1000="Agences")+('Agences &amp; Après-vente'!$D$2:$D$1000="Agences et Après-vente"))*'Agences &amp; Après-vente'!$E$2:$E$1000)),"yyyy-mm-dd"),""))))))</f>
        <v/>
      </c>
      <c r="I822" s="131" t="str">
        <f aca="false">IF($S822="✓","✓",IF(ISNUMBER($S822),TEXT($S822,"yyyy-mm-dd"),IF($A822="","",IF(SUMPRODUCT(('Agences &amp; Après-vente'!$A$2:$A$1000=$A822)*(('Agences &amp; Après-vente'!$D$2:$D$1000="Après-vente")+('Agences &amp; Après-vente'!$D$2:$D$1000="Agences et Après-vente"))*('Agences &amp; Après-vente'!$I$2:$I$1000="DONE"))&gt;0,"✓",IF(SUMPRODUCT(MAX(('Agences &amp; Après-vente'!$A$2:$A$1000=$A822)*(('Agences &amp; Après-vente'!$D$2:$D$1000="Après-vente")+('Agences &amp; Après-vente'!$D$2:$D$1000="Agences et Après-vente"))*'Agences &amp; Après-vente'!$E$2:$E$1000))&gt;0,TEXT(SUMPRODUCT(MAX(('Agences &amp; Après-vente'!$A$2:$A$1000=$A822)*(('Agences &amp; Après-vente'!$D$2:$D$1000="Après-vente")+('Agences &amp; Après-vente'!$D$2:$D$1000="Agences et Après-vente"))*'Agences &amp; Après-vente'!$E$2:$E$1000)),"yyyy-mm-dd"),"")))))</f>
        <v/>
      </c>
      <c r="J822" s="131" t="str">
        <f aca="false">IF($T822="✓","✓",IF(ISNUMBER($T822),TEXT($T822,"yyyy-mm-dd"),IF($A822="","",IF($D822="Lisbonne","",IF(SUMPRODUCT(('Agences &amp; Après-vente'!$A$2:$A$1000=$A822)*(('Agences &amp; Après-vente'!$D$2:$D$1000="Après-vente")+('Agences &amp; Après-vente'!$D$2:$D$1000="Agences et Après-vente"))*('Agences &amp; Après-vente'!$I$2:$I$1000="DONE"))&gt;0,"✓",IF(SUMPRODUCT(MAX(('Agences &amp; Après-vente'!$A$2:$A$1000=$A822)*(('Agences &amp; Après-vente'!$D$2:$D$1000="Après-vente")+('Agences &amp; Après-vente'!$D$2:$D$1000="Agences et Après-vente"))*'Agences &amp; Après-vente'!$E$2:$E$1000))&gt;0,TEXT(SUMPRODUCT(MAX(('Agences &amp; Après-vente'!$A$2:$A$1000=$A822)*(('Agences &amp; Après-vente'!$D$2:$D$1000="Après-vente")+('Agences &amp; Après-vente'!$D$2:$D$1000="Agences et Après-vente"))*'Agences &amp; Après-vente'!$E$2:$E$1000)),"yyyy-mm-dd"),""))))))</f>
        <v/>
      </c>
      <c r="K822" s="131" t="str">
        <f aca="false">IF($U822="✓","✓",IF(ISNUMBER($U822),TEXT($U822,"yyyy-mm-dd"),IF($D822="Lisbonne","",IF($A822="","",IF(SUMPRODUCT((Evermont!$A$2:$A$1000=$A822)*(Evermont!$Q$2:$Q$1000="Terminé"))&gt;0,"✓",IF(SUMPRODUCT(MAX((Evermont!$A$2:$A$1000=$A822)*Evermont!$F$2:$F$1000))&gt;0,TEXT(SUMPRODUCT(MAX((Evermont!$A$2:$A$1000=$A822)*Evermont!$F$2:$F$1000)),"yyyy-mm-dd"),""))))))</f>
        <v/>
      </c>
      <c r="L822" s="131" t="str">
        <f aca="false">IF($A822="","",COUNTIF(E822:K822,"✓"))</f>
        <v/>
      </c>
      <c r="M822" s="131" t="str">
        <f aca="false">IF(B822="","","Active")</f>
        <v/>
      </c>
      <c r="W822" s="120" t="str">
        <f aca="false">IF($A822="","",IF($X822&lt;&gt;"",$X822,IFERROR(INDEX('Formation Initiale'!$B$2:$B$999,MATCH($A822,'Formation Initiale'!$A$2:$A$999,0)),"Général")))</f>
        <v/>
      </c>
    </row>
    <row r="823" customFormat="false" ht="15" hidden="true" customHeight="true" outlineLevel="0" collapsed="false">
      <c r="A823" s="142" t="str">
        <f aca="false">IF(B823="","","TR"&amp;TEXT(ROW()-1,"000"))</f>
        <v/>
      </c>
      <c r="E823" s="130" t="str">
        <f aca="false">IF($O823="✓","✓",IF(ISNUMBER($O823),TEXT($O823,"yyyy-mm-dd"),IF($A823="","",IF(SUMPRODUCT(('Formation Initiale'!$A$2:$A$999=$A823)*('Formation Initiale'!$R$2:$R$999="Terminé"))&gt;0,"✓",IF(SUMPRODUCT(MAX(('Formation Initiale'!$A$2:$A$999=$A823)*'Formation Initiale'!$G$2:$G$999))&gt;0,TEXT(SUMPRODUCT(MAX(('Formation Initiale'!$A$2:$A$999=$A823)*'Formation Initiale'!$G$2:$G$999)),"yyyy-mm-dd"),"")))))</f>
        <v/>
      </c>
      <c r="F823" s="131" t="str">
        <f aca="false">IF($P823="✓","✓",IF(ISNUMBER($P823),TEXT($P823,"yyyy-mm-dd"),IF($A823="","",IF($D823="Lisbonne","",IF(SUMPRODUCT(('Formation Initiale'!$A$2:$A$999=$A823)*('Formation Initiale'!$R$2:$R$999="Terminé"))&gt;0,"✓",IF(SUMPRODUCT(MAX(('Formation Initiale'!$A$2:$A$999=$A823)*'Formation Initiale'!$G$2:$G$999))&gt;0,TEXT(SUMPRODUCT(MAX(('Formation Initiale'!$A$2:$A$999=$A823)*'Formation Initiale'!$G$2:$G$999)),"yyyy-mm-dd"),""))))))</f>
        <v/>
      </c>
      <c r="G823" s="131" t="str">
        <f aca="false">IF($Q823="✓","✓",IF(ISNUMBER($Q823),TEXT($Q823,"yyyy-mm-dd"),IF($A823="","",IF(SUMPRODUCT(('Agences &amp; Après-vente'!$A$2:$A$1000=$A823)*(('Agences &amp; Après-vente'!$D$2:$D$1000="Agences")+('Agences &amp; Après-vente'!$D$2:$D$1000="Agences et Après-vente"))*('Agences &amp; Après-vente'!$I$2:$I$1000="DONE"))&gt;0,"✓",IF(SUMPRODUCT(MAX(('Agences &amp; Après-vente'!$A$2:$A$1000=$A823)*(('Agences &amp; Après-vente'!$D$2:$D$1000="Agences")+('Agences &amp; Après-vente'!$D$2:$D$1000="Agences et Après-vente"))*'Agences &amp; Après-vente'!$E$2:$E$1000))&gt;0,TEXT(SUMPRODUCT(MAX(('Agences &amp; Après-vente'!$A$2:$A$1000=$A823)*(('Agences &amp; Après-vente'!$D$2:$D$1000="Agences")+('Agences &amp; Après-vente'!$D$2:$D$1000="Agences et Après-vente"))*'Agences &amp; Après-vente'!$E$2:$E$1000)),"yyyy-mm-dd"),"")))))</f>
        <v/>
      </c>
      <c r="H823" s="131" t="str">
        <f aca="false">IF($R823="✓","✓",IF(ISNUMBER($R823),TEXT($R823,"yyyy-mm-dd"),IF($A823="","",IF($D823="Lisbonne","",IF(SUMPRODUCT(('Agences &amp; Après-vente'!$A$2:$A$1000=$A823)*(('Agences &amp; Après-vente'!$D$2:$D$1000="Agences")+('Agences &amp; Après-vente'!$D$2:$D$1000="Agences et Après-vente"))*('Agences &amp; Après-vente'!$I$2:$I$1000="DONE"))&gt;0,"✓",IF(SUMPRODUCT(MAX(('Agences &amp; Après-vente'!$A$2:$A$1000=$A823)*(('Agences &amp; Après-vente'!$D$2:$D$1000="Agences")+('Agences &amp; Après-vente'!$D$2:$D$1000="Agences et Après-vente"))*'Agences &amp; Après-vente'!$E$2:$E$1000))&gt;0,TEXT(SUMPRODUCT(MAX(('Agences &amp; Après-vente'!$A$2:$A$1000=$A823)*(('Agences &amp; Après-vente'!$D$2:$D$1000="Agences")+('Agences &amp; Après-vente'!$D$2:$D$1000="Agences et Après-vente"))*'Agences &amp; Après-vente'!$E$2:$E$1000)),"yyyy-mm-dd"),""))))))</f>
        <v/>
      </c>
      <c r="I823" s="131" t="str">
        <f aca="false">IF($S823="✓","✓",IF(ISNUMBER($S823),TEXT($S823,"yyyy-mm-dd"),IF($A823="","",IF(SUMPRODUCT(('Agences &amp; Après-vente'!$A$2:$A$1000=$A823)*(('Agences &amp; Après-vente'!$D$2:$D$1000="Après-vente")+('Agences &amp; Après-vente'!$D$2:$D$1000="Agences et Après-vente"))*('Agences &amp; Après-vente'!$I$2:$I$1000="DONE"))&gt;0,"✓",IF(SUMPRODUCT(MAX(('Agences &amp; Après-vente'!$A$2:$A$1000=$A823)*(('Agences &amp; Après-vente'!$D$2:$D$1000="Après-vente")+('Agences &amp; Après-vente'!$D$2:$D$1000="Agences et Après-vente"))*'Agences &amp; Après-vente'!$E$2:$E$1000))&gt;0,TEXT(SUMPRODUCT(MAX(('Agences &amp; Après-vente'!$A$2:$A$1000=$A823)*(('Agences &amp; Après-vente'!$D$2:$D$1000="Après-vente")+('Agences &amp; Après-vente'!$D$2:$D$1000="Agences et Après-vente"))*'Agences &amp; Après-vente'!$E$2:$E$1000)),"yyyy-mm-dd"),"")))))</f>
        <v/>
      </c>
      <c r="J823" s="131" t="str">
        <f aca="false">IF($T823="✓","✓",IF(ISNUMBER($T823),TEXT($T823,"yyyy-mm-dd"),IF($A823="","",IF($D823="Lisbonne","",IF(SUMPRODUCT(('Agences &amp; Après-vente'!$A$2:$A$1000=$A823)*(('Agences &amp; Après-vente'!$D$2:$D$1000="Après-vente")+('Agences &amp; Après-vente'!$D$2:$D$1000="Agences et Après-vente"))*('Agences &amp; Après-vente'!$I$2:$I$1000="DONE"))&gt;0,"✓",IF(SUMPRODUCT(MAX(('Agences &amp; Après-vente'!$A$2:$A$1000=$A823)*(('Agences &amp; Après-vente'!$D$2:$D$1000="Après-vente")+('Agences &amp; Après-vente'!$D$2:$D$1000="Agences et Après-vente"))*'Agences &amp; Après-vente'!$E$2:$E$1000))&gt;0,TEXT(SUMPRODUCT(MAX(('Agences &amp; Après-vente'!$A$2:$A$1000=$A823)*(('Agences &amp; Après-vente'!$D$2:$D$1000="Après-vente")+('Agences &amp; Après-vente'!$D$2:$D$1000="Agences et Après-vente"))*'Agences &amp; Après-vente'!$E$2:$E$1000)),"yyyy-mm-dd"),""))))))</f>
        <v/>
      </c>
      <c r="K823" s="131" t="str">
        <f aca="false">IF($U823="✓","✓",IF(ISNUMBER($U823),TEXT($U823,"yyyy-mm-dd"),IF($D823="Lisbonne","",IF($A823="","",IF(SUMPRODUCT((Evermont!$A$2:$A$1000=$A823)*(Evermont!$Q$2:$Q$1000="Terminé"))&gt;0,"✓",IF(SUMPRODUCT(MAX((Evermont!$A$2:$A$1000=$A823)*Evermont!$F$2:$F$1000))&gt;0,TEXT(SUMPRODUCT(MAX((Evermont!$A$2:$A$1000=$A823)*Evermont!$F$2:$F$1000)),"yyyy-mm-dd"),""))))))</f>
        <v/>
      </c>
      <c r="L823" s="131" t="str">
        <f aca="false">IF($A823="","",COUNTIF(E823:K823,"✓"))</f>
        <v/>
      </c>
      <c r="M823" s="131" t="str">
        <f aca="false">IF(B823="","","Active")</f>
        <v/>
      </c>
      <c r="W823" s="120" t="str">
        <f aca="false">IF($A823="","",IF($X823&lt;&gt;"",$X823,IFERROR(INDEX('Formation Initiale'!$B$2:$B$999,MATCH($A823,'Formation Initiale'!$A$2:$A$999,0)),"Général")))</f>
        <v/>
      </c>
    </row>
    <row r="824" customFormat="false" ht="15" hidden="true" customHeight="true" outlineLevel="0" collapsed="false">
      <c r="A824" s="142" t="str">
        <f aca="false">IF(B824="","","TR"&amp;TEXT(ROW()-1,"000"))</f>
        <v/>
      </c>
      <c r="E824" s="130" t="str">
        <f aca="false">IF($O824="✓","✓",IF(ISNUMBER($O824),TEXT($O824,"yyyy-mm-dd"),IF($A824="","",IF(SUMPRODUCT(('Formation Initiale'!$A$2:$A$999=$A824)*('Formation Initiale'!$R$2:$R$999="Terminé"))&gt;0,"✓",IF(SUMPRODUCT(MAX(('Formation Initiale'!$A$2:$A$999=$A824)*'Formation Initiale'!$G$2:$G$999))&gt;0,TEXT(SUMPRODUCT(MAX(('Formation Initiale'!$A$2:$A$999=$A824)*'Formation Initiale'!$G$2:$G$999)),"yyyy-mm-dd"),"")))))</f>
        <v/>
      </c>
      <c r="F824" s="131" t="str">
        <f aca="false">IF($P824="✓","✓",IF(ISNUMBER($P824),TEXT($P824,"yyyy-mm-dd"),IF($A824="","",IF($D824="Lisbonne","",IF(SUMPRODUCT(('Formation Initiale'!$A$2:$A$999=$A824)*('Formation Initiale'!$R$2:$R$999="Terminé"))&gt;0,"✓",IF(SUMPRODUCT(MAX(('Formation Initiale'!$A$2:$A$999=$A824)*'Formation Initiale'!$G$2:$G$999))&gt;0,TEXT(SUMPRODUCT(MAX(('Formation Initiale'!$A$2:$A$999=$A824)*'Formation Initiale'!$G$2:$G$999)),"yyyy-mm-dd"),""))))))</f>
        <v/>
      </c>
      <c r="G824" s="131" t="str">
        <f aca="false">IF($Q824="✓","✓",IF(ISNUMBER($Q824),TEXT($Q824,"yyyy-mm-dd"),IF($A824="","",IF(SUMPRODUCT(('Agences &amp; Après-vente'!$A$2:$A$1000=$A824)*(('Agences &amp; Après-vente'!$D$2:$D$1000="Agences")+('Agences &amp; Après-vente'!$D$2:$D$1000="Agences et Après-vente"))*('Agences &amp; Après-vente'!$I$2:$I$1000="DONE"))&gt;0,"✓",IF(SUMPRODUCT(MAX(('Agences &amp; Après-vente'!$A$2:$A$1000=$A824)*(('Agences &amp; Après-vente'!$D$2:$D$1000="Agences")+('Agences &amp; Après-vente'!$D$2:$D$1000="Agences et Après-vente"))*'Agences &amp; Après-vente'!$E$2:$E$1000))&gt;0,TEXT(SUMPRODUCT(MAX(('Agences &amp; Après-vente'!$A$2:$A$1000=$A824)*(('Agences &amp; Après-vente'!$D$2:$D$1000="Agences")+('Agences &amp; Après-vente'!$D$2:$D$1000="Agences et Après-vente"))*'Agences &amp; Après-vente'!$E$2:$E$1000)),"yyyy-mm-dd"),"")))))</f>
        <v/>
      </c>
      <c r="H824" s="131" t="str">
        <f aca="false">IF($R824="✓","✓",IF(ISNUMBER($R824),TEXT($R824,"yyyy-mm-dd"),IF($A824="","",IF($D824="Lisbonne","",IF(SUMPRODUCT(('Agences &amp; Après-vente'!$A$2:$A$1000=$A824)*(('Agences &amp; Après-vente'!$D$2:$D$1000="Agences")+('Agences &amp; Après-vente'!$D$2:$D$1000="Agences et Après-vente"))*('Agences &amp; Après-vente'!$I$2:$I$1000="DONE"))&gt;0,"✓",IF(SUMPRODUCT(MAX(('Agences &amp; Après-vente'!$A$2:$A$1000=$A824)*(('Agences &amp; Après-vente'!$D$2:$D$1000="Agences")+('Agences &amp; Après-vente'!$D$2:$D$1000="Agences et Après-vente"))*'Agences &amp; Après-vente'!$E$2:$E$1000))&gt;0,TEXT(SUMPRODUCT(MAX(('Agences &amp; Après-vente'!$A$2:$A$1000=$A824)*(('Agences &amp; Après-vente'!$D$2:$D$1000="Agences")+('Agences &amp; Après-vente'!$D$2:$D$1000="Agences et Après-vente"))*'Agences &amp; Après-vente'!$E$2:$E$1000)),"yyyy-mm-dd"),""))))))</f>
        <v/>
      </c>
      <c r="I824" s="131" t="str">
        <f aca="false">IF($S824="✓","✓",IF(ISNUMBER($S824),TEXT($S824,"yyyy-mm-dd"),IF($A824="","",IF(SUMPRODUCT(('Agences &amp; Après-vente'!$A$2:$A$1000=$A824)*(('Agences &amp; Après-vente'!$D$2:$D$1000="Après-vente")+('Agences &amp; Après-vente'!$D$2:$D$1000="Agences et Après-vente"))*('Agences &amp; Après-vente'!$I$2:$I$1000="DONE"))&gt;0,"✓",IF(SUMPRODUCT(MAX(('Agences &amp; Après-vente'!$A$2:$A$1000=$A824)*(('Agences &amp; Après-vente'!$D$2:$D$1000="Après-vente")+('Agences &amp; Après-vente'!$D$2:$D$1000="Agences et Après-vente"))*'Agences &amp; Après-vente'!$E$2:$E$1000))&gt;0,TEXT(SUMPRODUCT(MAX(('Agences &amp; Après-vente'!$A$2:$A$1000=$A824)*(('Agences &amp; Après-vente'!$D$2:$D$1000="Après-vente")+('Agences &amp; Après-vente'!$D$2:$D$1000="Agences et Après-vente"))*'Agences &amp; Après-vente'!$E$2:$E$1000)),"yyyy-mm-dd"),"")))))</f>
        <v/>
      </c>
      <c r="J824" s="131" t="str">
        <f aca="false">IF($T824="✓","✓",IF(ISNUMBER($T824),TEXT($T824,"yyyy-mm-dd"),IF($A824="","",IF($D824="Lisbonne","",IF(SUMPRODUCT(('Agences &amp; Après-vente'!$A$2:$A$1000=$A824)*(('Agences &amp; Après-vente'!$D$2:$D$1000="Après-vente")+('Agences &amp; Après-vente'!$D$2:$D$1000="Agences et Après-vente"))*('Agences &amp; Après-vente'!$I$2:$I$1000="DONE"))&gt;0,"✓",IF(SUMPRODUCT(MAX(('Agences &amp; Après-vente'!$A$2:$A$1000=$A824)*(('Agences &amp; Après-vente'!$D$2:$D$1000="Après-vente")+('Agences &amp; Après-vente'!$D$2:$D$1000="Agences et Après-vente"))*'Agences &amp; Après-vente'!$E$2:$E$1000))&gt;0,TEXT(SUMPRODUCT(MAX(('Agences &amp; Après-vente'!$A$2:$A$1000=$A824)*(('Agences &amp; Après-vente'!$D$2:$D$1000="Après-vente")+('Agences &amp; Après-vente'!$D$2:$D$1000="Agences et Après-vente"))*'Agences &amp; Après-vente'!$E$2:$E$1000)),"yyyy-mm-dd"),""))))))</f>
        <v/>
      </c>
      <c r="K824" s="131" t="str">
        <f aca="false">IF($U824="✓","✓",IF(ISNUMBER($U824),TEXT($U824,"yyyy-mm-dd"),IF($D824="Lisbonne","",IF($A824="","",IF(SUMPRODUCT((Evermont!$A$2:$A$1000=$A824)*(Evermont!$Q$2:$Q$1000="Terminé"))&gt;0,"✓",IF(SUMPRODUCT(MAX((Evermont!$A$2:$A$1000=$A824)*Evermont!$F$2:$F$1000))&gt;0,TEXT(SUMPRODUCT(MAX((Evermont!$A$2:$A$1000=$A824)*Evermont!$F$2:$F$1000)),"yyyy-mm-dd"),""))))))</f>
        <v/>
      </c>
      <c r="L824" s="131" t="str">
        <f aca="false">IF($A824="","",COUNTIF(E824:K824,"✓"))</f>
        <v/>
      </c>
      <c r="M824" s="131" t="str">
        <f aca="false">IF(B824="","","Active")</f>
        <v/>
      </c>
      <c r="W824" s="120" t="str">
        <f aca="false">IF($A824="","",IF($X824&lt;&gt;"",$X824,IFERROR(INDEX('Formation Initiale'!$B$2:$B$999,MATCH($A824,'Formation Initiale'!$A$2:$A$999,0)),"Général")))</f>
        <v/>
      </c>
    </row>
    <row r="825" customFormat="false" ht="15" hidden="true" customHeight="true" outlineLevel="0" collapsed="false">
      <c r="A825" s="142" t="str">
        <f aca="false">IF(B825="","","TR"&amp;TEXT(ROW()-1,"000"))</f>
        <v/>
      </c>
      <c r="E825" s="130" t="str">
        <f aca="false">IF($O825="✓","✓",IF(ISNUMBER($O825),TEXT($O825,"yyyy-mm-dd"),IF($A825="","",IF(SUMPRODUCT(('Formation Initiale'!$A$2:$A$999=$A825)*('Formation Initiale'!$R$2:$R$999="Terminé"))&gt;0,"✓",IF(SUMPRODUCT(MAX(('Formation Initiale'!$A$2:$A$999=$A825)*'Formation Initiale'!$G$2:$G$999))&gt;0,TEXT(SUMPRODUCT(MAX(('Formation Initiale'!$A$2:$A$999=$A825)*'Formation Initiale'!$G$2:$G$999)),"yyyy-mm-dd"),"")))))</f>
        <v/>
      </c>
      <c r="F825" s="131" t="str">
        <f aca="false">IF($P825="✓","✓",IF(ISNUMBER($P825),TEXT($P825,"yyyy-mm-dd"),IF($A825="","",IF($D825="Lisbonne","",IF(SUMPRODUCT(('Formation Initiale'!$A$2:$A$999=$A825)*('Formation Initiale'!$R$2:$R$999="Terminé"))&gt;0,"✓",IF(SUMPRODUCT(MAX(('Formation Initiale'!$A$2:$A$999=$A825)*'Formation Initiale'!$G$2:$G$999))&gt;0,TEXT(SUMPRODUCT(MAX(('Formation Initiale'!$A$2:$A$999=$A825)*'Formation Initiale'!$G$2:$G$999)),"yyyy-mm-dd"),""))))))</f>
        <v/>
      </c>
      <c r="G825" s="131" t="str">
        <f aca="false">IF($Q825="✓","✓",IF(ISNUMBER($Q825),TEXT($Q825,"yyyy-mm-dd"),IF($A825="","",IF(SUMPRODUCT(('Agences &amp; Après-vente'!$A$2:$A$1000=$A825)*(('Agences &amp; Après-vente'!$D$2:$D$1000="Agences")+('Agences &amp; Après-vente'!$D$2:$D$1000="Agences et Après-vente"))*('Agences &amp; Après-vente'!$I$2:$I$1000="DONE"))&gt;0,"✓",IF(SUMPRODUCT(MAX(('Agences &amp; Après-vente'!$A$2:$A$1000=$A825)*(('Agences &amp; Après-vente'!$D$2:$D$1000="Agences")+('Agences &amp; Après-vente'!$D$2:$D$1000="Agences et Après-vente"))*'Agences &amp; Après-vente'!$E$2:$E$1000))&gt;0,TEXT(SUMPRODUCT(MAX(('Agences &amp; Après-vente'!$A$2:$A$1000=$A825)*(('Agences &amp; Après-vente'!$D$2:$D$1000="Agences")+('Agences &amp; Après-vente'!$D$2:$D$1000="Agences et Après-vente"))*'Agences &amp; Après-vente'!$E$2:$E$1000)),"yyyy-mm-dd"),"")))))</f>
        <v/>
      </c>
      <c r="H825" s="131" t="str">
        <f aca="false">IF($R825="✓","✓",IF(ISNUMBER($R825),TEXT($R825,"yyyy-mm-dd"),IF($A825="","",IF($D825="Lisbonne","",IF(SUMPRODUCT(('Agences &amp; Après-vente'!$A$2:$A$1000=$A825)*(('Agences &amp; Après-vente'!$D$2:$D$1000="Agences")+('Agences &amp; Après-vente'!$D$2:$D$1000="Agences et Après-vente"))*('Agences &amp; Après-vente'!$I$2:$I$1000="DONE"))&gt;0,"✓",IF(SUMPRODUCT(MAX(('Agences &amp; Après-vente'!$A$2:$A$1000=$A825)*(('Agences &amp; Après-vente'!$D$2:$D$1000="Agences")+('Agences &amp; Après-vente'!$D$2:$D$1000="Agences et Après-vente"))*'Agences &amp; Après-vente'!$E$2:$E$1000))&gt;0,TEXT(SUMPRODUCT(MAX(('Agences &amp; Après-vente'!$A$2:$A$1000=$A825)*(('Agences &amp; Après-vente'!$D$2:$D$1000="Agences")+('Agences &amp; Après-vente'!$D$2:$D$1000="Agences et Après-vente"))*'Agences &amp; Après-vente'!$E$2:$E$1000)),"yyyy-mm-dd"),""))))))</f>
        <v/>
      </c>
      <c r="I825" s="131" t="str">
        <f aca="false">IF($S825="✓","✓",IF(ISNUMBER($S825),TEXT($S825,"yyyy-mm-dd"),IF($A825="","",IF(SUMPRODUCT(('Agences &amp; Après-vente'!$A$2:$A$1000=$A825)*(('Agences &amp; Après-vente'!$D$2:$D$1000="Après-vente")+('Agences &amp; Après-vente'!$D$2:$D$1000="Agences et Après-vente"))*('Agences &amp; Après-vente'!$I$2:$I$1000="DONE"))&gt;0,"✓",IF(SUMPRODUCT(MAX(('Agences &amp; Après-vente'!$A$2:$A$1000=$A825)*(('Agences &amp; Après-vente'!$D$2:$D$1000="Après-vente")+('Agences &amp; Après-vente'!$D$2:$D$1000="Agences et Après-vente"))*'Agences &amp; Après-vente'!$E$2:$E$1000))&gt;0,TEXT(SUMPRODUCT(MAX(('Agences &amp; Après-vente'!$A$2:$A$1000=$A825)*(('Agences &amp; Après-vente'!$D$2:$D$1000="Après-vente")+('Agences &amp; Après-vente'!$D$2:$D$1000="Agences et Après-vente"))*'Agences &amp; Après-vente'!$E$2:$E$1000)),"yyyy-mm-dd"),"")))))</f>
        <v/>
      </c>
      <c r="J825" s="131" t="str">
        <f aca="false">IF($T825="✓","✓",IF(ISNUMBER($T825),TEXT($T825,"yyyy-mm-dd"),IF($A825="","",IF($D825="Lisbonne","",IF(SUMPRODUCT(('Agences &amp; Après-vente'!$A$2:$A$1000=$A825)*(('Agences &amp; Après-vente'!$D$2:$D$1000="Après-vente")+('Agences &amp; Après-vente'!$D$2:$D$1000="Agences et Après-vente"))*('Agences &amp; Après-vente'!$I$2:$I$1000="DONE"))&gt;0,"✓",IF(SUMPRODUCT(MAX(('Agences &amp; Après-vente'!$A$2:$A$1000=$A825)*(('Agences &amp; Après-vente'!$D$2:$D$1000="Après-vente")+('Agences &amp; Après-vente'!$D$2:$D$1000="Agences et Après-vente"))*'Agences &amp; Après-vente'!$E$2:$E$1000))&gt;0,TEXT(SUMPRODUCT(MAX(('Agences &amp; Après-vente'!$A$2:$A$1000=$A825)*(('Agences &amp; Après-vente'!$D$2:$D$1000="Après-vente")+('Agences &amp; Après-vente'!$D$2:$D$1000="Agences et Après-vente"))*'Agences &amp; Après-vente'!$E$2:$E$1000)),"yyyy-mm-dd"),""))))))</f>
        <v/>
      </c>
      <c r="K825" s="131" t="str">
        <f aca="false">IF($U825="✓","✓",IF(ISNUMBER($U825),TEXT($U825,"yyyy-mm-dd"),IF($D825="Lisbonne","",IF($A825="","",IF(SUMPRODUCT((Evermont!$A$2:$A$1000=$A825)*(Evermont!$Q$2:$Q$1000="Terminé"))&gt;0,"✓",IF(SUMPRODUCT(MAX((Evermont!$A$2:$A$1000=$A825)*Evermont!$F$2:$F$1000))&gt;0,TEXT(SUMPRODUCT(MAX((Evermont!$A$2:$A$1000=$A825)*Evermont!$F$2:$F$1000)),"yyyy-mm-dd"),""))))))</f>
        <v/>
      </c>
      <c r="L825" s="131" t="str">
        <f aca="false">IF($A825="","",COUNTIF(E825:K825,"✓"))</f>
        <v/>
      </c>
      <c r="M825" s="131" t="str">
        <f aca="false">IF(B825="","","Active")</f>
        <v/>
      </c>
      <c r="W825" s="120" t="str">
        <f aca="false">IF($A825="","",IF($X825&lt;&gt;"",$X825,IFERROR(INDEX('Formation Initiale'!$B$2:$B$999,MATCH($A825,'Formation Initiale'!$A$2:$A$999,0)),"Général")))</f>
        <v/>
      </c>
    </row>
    <row r="826" customFormat="false" ht="15" hidden="true" customHeight="true" outlineLevel="0" collapsed="false">
      <c r="A826" s="142" t="str">
        <f aca="false">IF(B826="","","TR"&amp;TEXT(ROW()-1,"000"))</f>
        <v/>
      </c>
      <c r="E826" s="130" t="str">
        <f aca="false">IF($O826="✓","✓",IF(ISNUMBER($O826),TEXT($O826,"yyyy-mm-dd"),IF($A826="","",IF(SUMPRODUCT(('Formation Initiale'!$A$2:$A$999=$A826)*('Formation Initiale'!$R$2:$R$999="Terminé"))&gt;0,"✓",IF(SUMPRODUCT(MAX(('Formation Initiale'!$A$2:$A$999=$A826)*'Formation Initiale'!$G$2:$G$999))&gt;0,TEXT(SUMPRODUCT(MAX(('Formation Initiale'!$A$2:$A$999=$A826)*'Formation Initiale'!$G$2:$G$999)),"yyyy-mm-dd"),"")))))</f>
        <v/>
      </c>
      <c r="F826" s="131" t="str">
        <f aca="false">IF($P826="✓","✓",IF(ISNUMBER($P826),TEXT($P826,"yyyy-mm-dd"),IF($A826="","",IF($D826="Lisbonne","",IF(SUMPRODUCT(('Formation Initiale'!$A$2:$A$999=$A826)*('Formation Initiale'!$R$2:$R$999="Terminé"))&gt;0,"✓",IF(SUMPRODUCT(MAX(('Formation Initiale'!$A$2:$A$999=$A826)*'Formation Initiale'!$G$2:$G$999))&gt;0,TEXT(SUMPRODUCT(MAX(('Formation Initiale'!$A$2:$A$999=$A826)*'Formation Initiale'!$G$2:$G$999)),"yyyy-mm-dd"),""))))))</f>
        <v/>
      </c>
      <c r="G826" s="131" t="str">
        <f aca="false">IF($Q826="✓","✓",IF(ISNUMBER($Q826),TEXT($Q826,"yyyy-mm-dd"),IF($A826="","",IF(SUMPRODUCT(('Agences &amp; Après-vente'!$A$2:$A$1000=$A826)*(('Agences &amp; Après-vente'!$D$2:$D$1000="Agences")+('Agences &amp; Après-vente'!$D$2:$D$1000="Agences et Après-vente"))*('Agences &amp; Après-vente'!$I$2:$I$1000="DONE"))&gt;0,"✓",IF(SUMPRODUCT(MAX(('Agences &amp; Après-vente'!$A$2:$A$1000=$A826)*(('Agences &amp; Après-vente'!$D$2:$D$1000="Agences")+('Agences &amp; Après-vente'!$D$2:$D$1000="Agences et Après-vente"))*'Agences &amp; Après-vente'!$E$2:$E$1000))&gt;0,TEXT(SUMPRODUCT(MAX(('Agences &amp; Après-vente'!$A$2:$A$1000=$A826)*(('Agences &amp; Après-vente'!$D$2:$D$1000="Agences")+('Agences &amp; Après-vente'!$D$2:$D$1000="Agences et Après-vente"))*'Agences &amp; Après-vente'!$E$2:$E$1000)),"yyyy-mm-dd"),"")))))</f>
        <v/>
      </c>
      <c r="H826" s="131" t="str">
        <f aca="false">IF($R826="✓","✓",IF(ISNUMBER($R826),TEXT($R826,"yyyy-mm-dd"),IF($A826="","",IF($D826="Lisbonne","",IF(SUMPRODUCT(('Agences &amp; Après-vente'!$A$2:$A$1000=$A826)*(('Agences &amp; Après-vente'!$D$2:$D$1000="Agences")+('Agences &amp; Après-vente'!$D$2:$D$1000="Agences et Après-vente"))*('Agences &amp; Après-vente'!$I$2:$I$1000="DONE"))&gt;0,"✓",IF(SUMPRODUCT(MAX(('Agences &amp; Après-vente'!$A$2:$A$1000=$A826)*(('Agences &amp; Après-vente'!$D$2:$D$1000="Agences")+('Agences &amp; Après-vente'!$D$2:$D$1000="Agences et Après-vente"))*'Agences &amp; Après-vente'!$E$2:$E$1000))&gt;0,TEXT(SUMPRODUCT(MAX(('Agences &amp; Après-vente'!$A$2:$A$1000=$A826)*(('Agences &amp; Après-vente'!$D$2:$D$1000="Agences")+('Agences &amp; Après-vente'!$D$2:$D$1000="Agences et Après-vente"))*'Agences &amp; Après-vente'!$E$2:$E$1000)),"yyyy-mm-dd"),""))))))</f>
        <v/>
      </c>
      <c r="I826" s="131" t="str">
        <f aca="false">IF($S826="✓","✓",IF(ISNUMBER($S826),TEXT($S826,"yyyy-mm-dd"),IF($A826="","",IF(SUMPRODUCT(('Agences &amp; Après-vente'!$A$2:$A$1000=$A826)*(('Agences &amp; Après-vente'!$D$2:$D$1000="Après-vente")+('Agences &amp; Après-vente'!$D$2:$D$1000="Agences et Après-vente"))*('Agences &amp; Après-vente'!$I$2:$I$1000="DONE"))&gt;0,"✓",IF(SUMPRODUCT(MAX(('Agences &amp; Après-vente'!$A$2:$A$1000=$A826)*(('Agences &amp; Après-vente'!$D$2:$D$1000="Après-vente")+('Agences &amp; Après-vente'!$D$2:$D$1000="Agences et Après-vente"))*'Agences &amp; Après-vente'!$E$2:$E$1000))&gt;0,TEXT(SUMPRODUCT(MAX(('Agences &amp; Après-vente'!$A$2:$A$1000=$A826)*(('Agences &amp; Après-vente'!$D$2:$D$1000="Après-vente")+('Agences &amp; Après-vente'!$D$2:$D$1000="Agences et Après-vente"))*'Agences &amp; Après-vente'!$E$2:$E$1000)),"yyyy-mm-dd"),"")))))</f>
        <v/>
      </c>
      <c r="J826" s="131" t="str">
        <f aca="false">IF($T826="✓","✓",IF(ISNUMBER($T826),TEXT($T826,"yyyy-mm-dd"),IF($A826="","",IF($D826="Lisbonne","",IF(SUMPRODUCT(('Agences &amp; Après-vente'!$A$2:$A$1000=$A826)*(('Agences &amp; Après-vente'!$D$2:$D$1000="Après-vente")+('Agences &amp; Après-vente'!$D$2:$D$1000="Agences et Après-vente"))*('Agences &amp; Après-vente'!$I$2:$I$1000="DONE"))&gt;0,"✓",IF(SUMPRODUCT(MAX(('Agences &amp; Après-vente'!$A$2:$A$1000=$A826)*(('Agences &amp; Après-vente'!$D$2:$D$1000="Après-vente")+('Agences &amp; Après-vente'!$D$2:$D$1000="Agences et Après-vente"))*'Agences &amp; Après-vente'!$E$2:$E$1000))&gt;0,TEXT(SUMPRODUCT(MAX(('Agences &amp; Après-vente'!$A$2:$A$1000=$A826)*(('Agences &amp; Après-vente'!$D$2:$D$1000="Après-vente")+('Agences &amp; Après-vente'!$D$2:$D$1000="Agences et Après-vente"))*'Agences &amp; Après-vente'!$E$2:$E$1000)),"yyyy-mm-dd"),""))))))</f>
        <v/>
      </c>
      <c r="K826" s="131" t="str">
        <f aca="false">IF($U826="✓","✓",IF(ISNUMBER($U826),TEXT($U826,"yyyy-mm-dd"),IF($D826="Lisbonne","",IF($A826="","",IF(SUMPRODUCT((Evermont!$A$2:$A$1000=$A826)*(Evermont!$Q$2:$Q$1000="Terminé"))&gt;0,"✓",IF(SUMPRODUCT(MAX((Evermont!$A$2:$A$1000=$A826)*Evermont!$F$2:$F$1000))&gt;0,TEXT(SUMPRODUCT(MAX((Evermont!$A$2:$A$1000=$A826)*Evermont!$F$2:$F$1000)),"yyyy-mm-dd"),""))))))</f>
        <v/>
      </c>
      <c r="L826" s="131" t="str">
        <f aca="false">IF($A826="","",COUNTIF(E826:K826,"✓"))</f>
        <v/>
      </c>
      <c r="M826" s="131" t="str">
        <f aca="false">IF(B826="","","Active")</f>
        <v/>
      </c>
      <c r="W826" s="120" t="str">
        <f aca="false">IF($A826="","",IF($X826&lt;&gt;"",$X826,IFERROR(INDEX('Formation Initiale'!$B$2:$B$999,MATCH($A826,'Formation Initiale'!$A$2:$A$999,0)),"Général")))</f>
        <v/>
      </c>
    </row>
    <row r="827" customFormat="false" ht="15" hidden="true" customHeight="true" outlineLevel="0" collapsed="false">
      <c r="A827" s="142" t="str">
        <f aca="false">IF(B827="","","TR"&amp;TEXT(ROW()-1,"000"))</f>
        <v/>
      </c>
      <c r="E827" s="130" t="str">
        <f aca="false">IF($O827="✓","✓",IF(ISNUMBER($O827),TEXT($O827,"yyyy-mm-dd"),IF($A827="","",IF(SUMPRODUCT(('Formation Initiale'!$A$2:$A$999=$A827)*('Formation Initiale'!$R$2:$R$999="Terminé"))&gt;0,"✓",IF(SUMPRODUCT(MAX(('Formation Initiale'!$A$2:$A$999=$A827)*'Formation Initiale'!$G$2:$G$999))&gt;0,TEXT(SUMPRODUCT(MAX(('Formation Initiale'!$A$2:$A$999=$A827)*'Formation Initiale'!$G$2:$G$999)),"yyyy-mm-dd"),"")))))</f>
        <v/>
      </c>
      <c r="F827" s="131" t="str">
        <f aca="false">IF($P827="✓","✓",IF(ISNUMBER($P827),TEXT($P827,"yyyy-mm-dd"),IF($A827="","",IF($D827="Lisbonne","",IF(SUMPRODUCT(('Formation Initiale'!$A$2:$A$999=$A827)*('Formation Initiale'!$R$2:$R$999="Terminé"))&gt;0,"✓",IF(SUMPRODUCT(MAX(('Formation Initiale'!$A$2:$A$999=$A827)*'Formation Initiale'!$G$2:$G$999))&gt;0,TEXT(SUMPRODUCT(MAX(('Formation Initiale'!$A$2:$A$999=$A827)*'Formation Initiale'!$G$2:$G$999)),"yyyy-mm-dd"),""))))))</f>
        <v/>
      </c>
      <c r="G827" s="131" t="str">
        <f aca="false">IF($Q827="✓","✓",IF(ISNUMBER($Q827),TEXT($Q827,"yyyy-mm-dd"),IF($A827="","",IF(SUMPRODUCT(('Agences &amp; Après-vente'!$A$2:$A$1000=$A827)*(('Agences &amp; Après-vente'!$D$2:$D$1000="Agences")+('Agences &amp; Après-vente'!$D$2:$D$1000="Agences et Après-vente"))*('Agences &amp; Après-vente'!$I$2:$I$1000="DONE"))&gt;0,"✓",IF(SUMPRODUCT(MAX(('Agences &amp; Après-vente'!$A$2:$A$1000=$A827)*(('Agences &amp; Après-vente'!$D$2:$D$1000="Agences")+('Agences &amp; Après-vente'!$D$2:$D$1000="Agences et Après-vente"))*'Agences &amp; Après-vente'!$E$2:$E$1000))&gt;0,TEXT(SUMPRODUCT(MAX(('Agences &amp; Après-vente'!$A$2:$A$1000=$A827)*(('Agences &amp; Après-vente'!$D$2:$D$1000="Agences")+('Agences &amp; Après-vente'!$D$2:$D$1000="Agences et Après-vente"))*'Agences &amp; Après-vente'!$E$2:$E$1000)),"yyyy-mm-dd"),"")))))</f>
        <v/>
      </c>
      <c r="H827" s="131" t="str">
        <f aca="false">IF($R827="✓","✓",IF(ISNUMBER($R827),TEXT($R827,"yyyy-mm-dd"),IF($A827="","",IF($D827="Lisbonne","",IF(SUMPRODUCT(('Agences &amp; Après-vente'!$A$2:$A$1000=$A827)*(('Agences &amp; Après-vente'!$D$2:$D$1000="Agences")+('Agences &amp; Après-vente'!$D$2:$D$1000="Agences et Après-vente"))*('Agences &amp; Après-vente'!$I$2:$I$1000="DONE"))&gt;0,"✓",IF(SUMPRODUCT(MAX(('Agences &amp; Après-vente'!$A$2:$A$1000=$A827)*(('Agences &amp; Après-vente'!$D$2:$D$1000="Agences")+('Agences &amp; Après-vente'!$D$2:$D$1000="Agences et Après-vente"))*'Agences &amp; Après-vente'!$E$2:$E$1000))&gt;0,TEXT(SUMPRODUCT(MAX(('Agences &amp; Après-vente'!$A$2:$A$1000=$A827)*(('Agences &amp; Après-vente'!$D$2:$D$1000="Agences")+('Agences &amp; Après-vente'!$D$2:$D$1000="Agences et Après-vente"))*'Agences &amp; Après-vente'!$E$2:$E$1000)),"yyyy-mm-dd"),""))))))</f>
        <v/>
      </c>
      <c r="I827" s="131" t="str">
        <f aca="false">IF($S827="✓","✓",IF(ISNUMBER($S827),TEXT($S827,"yyyy-mm-dd"),IF($A827="","",IF(SUMPRODUCT(('Agences &amp; Après-vente'!$A$2:$A$1000=$A827)*(('Agences &amp; Après-vente'!$D$2:$D$1000="Après-vente")+('Agences &amp; Après-vente'!$D$2:$D$1000="Agences et Après-vente"))*('Agences &amp; Après-vente'!$I$2:$I$1000="DONE"))&gt;0,"✓",IF(SUMPRODUCT(MAX(('Agences &amp; Après-vente'!$A$2:$A$1000=$A827)*(('Agences &amp; Après-vente'!$D$2:$D$1000="Après-vente")+('Agences &amp; Après-vente'!$D$2:$D$1000="Agences et Après-vente"))*'Agences &amp; Après-vente'!$E$2:$E$1000))&gt;0,TEXT(SUMPRODUCT(MAX(('Agences &amp; Après-vente'!$A$2:$A$1000=$A827)*(('Agences &amp; Après-vente'!$D$2:$D$1000="Après-vente")+('Agences &amp; Après-vente'!$D$2:$D$1000="Agences et Après-vente"))*'Agences &amp; Après-vente'!$E$2:$E$1000)),"yyyy-mm-dd"),"")))))</f>
        <v/>
      </c>
      <c r="J827" s="131" t="str">
        <f aca="false">IF($T827="✓","✓",IF(ISNUMBER($T827),TEXT($T827,"yyyy-mm-dd"),IF($A827="","",IF($D827="Lisbonne","",IF(SUMPRODUCT(('Agences &amp; Après-vente'!$A$2:$A$1000=$A827)*(('Agences &amp; Après-vente'!$D$2:$D$1000="Après-vente")+('Agences &amp; Après-vente'!$D$2:$D$1000="Agences et Après-vente"))*('Agences &amp; Après-vente'!$I$2:$I$1000="DONE"))&gt;0,"✓",IF(SUMPRODUCT(MAX(('Agences &amp; Après-vente'!$A$2:$A$1000=$A827)*(('Agences &amp; Après-vente'!$D$2:$D$1000="Après-vente")+('Agences &amp; Après-vente'!$D$2:$D$1000="Agences et Après-vente"))*'Agences &amp; Après-vente'!$E$2:$E$1000))&gt;0,TEXT(SUMPRODUCT(MAX(('Agences &amp; Après-vente'!$A$2:$A$1000=$A827)*(('Agences &amp; Après-vente'!$D$2:$D$1000="Après-vente")+('Agences &amp; Après-vente'!$D$2:$D$1000="Agences et Après-vente"))*'Agences &amp; Après-vente'!$E$2:$E$1000)),"yyyy-mm-dd"),""))))))</f>
        <v/>
      </c>
      <c r="K827" s="131" t="str">
        <f aca="false">IF($U827="✓","✓",IF(ISNUMBER($U827),TEXT($U827,"yyyy-mm-dd"),IF($D827="Lisbonne","",IF($A827="","",IF(SUMPRODUCT((Evermont!$A$2:$A$1000=$A827)*(Evermont!$Q$2:$Q$1000="Terminé"))&gt;0,"✓",IF(SUMPRODUCT(MAX((Evermont!$A$2:$A$1000=$A827)*Evermont!$F$2:$F$1000))&gt;0,TEXT(SUMPRODUCT(MAX((Evermont!$A$2:$A$1000=$A827)*Evermont!$F$2:$F$1000)),"yyyy-mm-dd"),""))))))</f>
        <v/>
      </c>
      <c r="L827" s="131" t="str">
        <f aca="false">IF($A827="","",COUNTIF(E827:K827,"✓"))</f>
        <v/>
      </c>
      <c r="M827" s="131" t="str">
        <f aca="false">IF(B827="","","Active")</f>
        <v/>
      </c>
      <c r="W827" s="120" t="str">
        <f aca="false">IF($A827="","",IF($X827&lt;&gt;"",$X827,IFERROR(INDEX('Formation Initiale'!$B$2:$B$999,MATCH($A827,'Formation Initiale'!$A$2:$A$999,0)),"Général")))</f>
        <v/>
      </c>
    </row>
    <row r="828" customFormat="false" ht="15" hidden="true" customHeight="true" outlineLevel="0" collapsed="false">
      <c r="A828" s="142" t="str">
        <f aca="false">IF(B828="","","TR"&amp;TEXT(ROW()-1,"000"))</f>
        <v/>
      </c>
      <c r="E828" s="130" t="str">
        <f aca="false">IF($O828="✓","✓",IF(ISNUMBER($O828),TEXT($O828,"yyyy-mm-dd"),IF($A828="","",IF(SUMPRODUCT(('Formation Initiale'!$A$2:$A$999=$A828)*('Formation Initiale'!$R$2:$R$999="Terminé"))&gt;0,"✓",IF(SUMPRODUCT(MAX(('Formation Initiale'!$A$2:$A$999=$A828)*'Formation Initiale'!$G$2:$G$999))&gt;0,TEXT(SUMPRODUCT(MAX(('Formation Initiale'!$A$2:$A$999=$A828)*'Formation Initiale'!$G$2:$G$999)),"yyyy-mm-dd"),"")))))</f>
        <v/>
      </c>
      <c r="F828" s="131" t="str">
        <f aca="false">IF($P828="✓","✓",IF(ISNUMBER($P828),TEXT($P828,"yyyy-mm-dd"),IF($A828="","",IF($D828="Lisbonne","",IF(SUMPRODUCT(('Formation Initiale'!$A$2:$A$999=$A828)*('Formation Initiale'!$R$2:$R$999="Terminé"))&gt;0,"✓",IF(SUMPRODUCT(MAX(('Formation Initiale'!$A$2:$A$999=$A828)*'Formation Initiale'!$G$2:$G$999))&gt;0,TEXT(SUMPRODUCT(MAX(('Formation Initiale'!$A$2:$A$999=$A828)*'Formation Initiale'!$G$2:$G$999)),"yyyy-mm-dd"),""))))))</f>
        <v/>
      </c>
      <c r="G828" s="131" t="str">
        <f aca="false">IF($Q828="✓","✓",IF(ISNUMBER($Q828),TEXT($Q828,"yyyy-mm-dd"),IF($A828="","",IF(SUMPRODUCT(('Agences &amp; Après-vente'!$A$2:$A$1000=$A828)*(('Agences &amp; Après-vente'!$D$2:$D$1000="Agences")+('Agences &amp; Après-vente'!$D$2:$D$1000="Agences et Après-vente"))*('Agences &amp; Après-vente'!$I$2:$I$1000="DONE"))&gt;0,"✓",IF(SUMPRODUCT(MAX(('Agences &amp; Après-vente'!$A$2:$A$1000=$A828)*(('Agences &amp; Après-vente'!$D$2:$D$1000="Agences")+('Agences &amp; Après-vente'!$D$2:$D$1000="Agences et Après-vente"))*'Agences &amp; Après-vente'!$E$2:$E$1000))&gt;0,TEXT(SUMPRODUCT(MAX(('Agences &amp; Après-vente'!$A$2:$A$1000=$A828)*(('Agences &amp; Après-vente'!$D$2:$D$1000="Agences")+('Agences &amp; Après-vente'!$D$2:$D$1000="Agences et Après-vente"))*'Agences &amp; Après-vente'!$E$2:$E$1000)),"yyyy-mm-dd"),"")))))</f>
        <v/>
      </c>
      <c r="H828" s="131" t="str">
        <f aca="false">IF($R828="✓","✓",IF(ISNUMBER($R828),TEXT($R828,"yyyy-mm-dd"),IF($A828="","",IF($D828="Lisbonne","",IF(SUMPRODUCT(('Agences &amp; Après-vente'!$A$2:$A$1000=$A828)*(('Agences &amp; Après-vente'!$D$2:$D$1000="Agences")+('Agences &amp; Après-vente'!$D$2:$D$1000="Agences et Après-vente"))*('Agences &amp; Après-vente'!$I$2:$I$1000="DONE"))&gt;0,"✓",IF(SUMPRODUCT(MAX(('Agences &amp; Après-vente'!$A$2:$A$1000=$A828)*(('Agences &amp; Après-vente'!$D$2:$D$1000="Agences")+('Agences &amp; Après-vente'!$D$2:$D$1000="Agences et Après-vente"))*'Agences &amp; Après-vente'!$E$2:$E$1000))&gt;0,TEXT(SUMPRODUCT(MAX(('Agences &amp; Après-vente'!$A$2:$A$1000=$A828)*(('Agences &amp; Après-vente'!$D$2:$D$1000="Agences")+('Agences &amp; Après-vente'!$D$2:$D$1000="Agences et Après-vente"))*'Agences &amp; Après-vente'!$E$2:$E$1000)),"yyyy-mm-dd"),""))))))</f>
        <v/>
      </c>
      <c r="I828" s="131" t="str">
        <f aca="false">IF($S828="✓","✓",IF(ISNUMBER($S828),TEXT($S828,"yyyy-mm-dd"),IF($A828="","",IF(SUMPRODUCT(('Agences &amp; Après-vente'!$A$2:$A$1000=$A828)*(('Agences &amp; Après-vente'!$D$2:$D$1000="Après-vente")+('Agences &amp; Après-vente'!$D$2:$D$1000="Agences et Après-vente"))*('Agences &amp; Après-vente'!$I$2:$I$1000="DONE"))&gt;0,"✓",IF(SUMPRODUCT(MAX(('Agences &amp; Après-vente'!$A$2:$A$1000=$A828)*(('Agences &amp; Après-vente'!$D$2:$D$1000="Après-vente")+('Agences &amp; Après-vente'!$D$2:$D$1000="Agences et Après-vente"))*'Agences &amp; Après-vente'!$E$2:$E$1000))&gt;0,TEXT(SUMPRODUCT(MAX(('Agences &amp; Après-vente'!$A$2:$A$1000=$A828)*(('Agences &amp; Après-vente'!$D$2:$D$1000="Après-vente")+('Agences &amp; Après-vente'!$D$2:$D$1000="Agences et Après-vente"))*'Agences &amp; Après-vente'!$E$2:$E$1000)),"yyyy-mm-dd"),"")))))</f>
        <v/>
      </c>
      <c r="J828" s="131" t="str">
        <f aca="false">IF($T828="✓","✓",IF(ISNUMBER($T828),TEXT($T828,"yyyy-mm-dd"),IF($A828="","",IF($D828="Lisbonne","",IF(SUMPRODUCT(('Agences &amp; Après-vente'!$A$2:$A$1000=$A828)*(('Agences &amp; Après-vente'!$D$2:$D$1000="Après-vente")+('Agences &amp; Après-vente'!$D$2:$D$1000="Agences et Après-vente"))*('Agences &amp; Après-vente'!$I$2:$I$1000="DONE"))&gt;0,"✓",IF(SUMPRODUCT(MAX(('Agences &amp; Après-vente'!$A$2:$A$1000=$A828)*(('Agences &amp; Après-vente'!$D$2:$D$1000="Après-vente")+('Agences &amp; Après-vente'!$D$2:$D$1000="Agences et Après-vente"))*'Agences &amp; Après-vente'!$E$2:$E$1000))&gt;0,TEXT(SUMPRODUCT(MAX(('Agences &amp; Après-vente'!$A$2:$A$1000=$A828)*(('Agences &amp; Après-vente'!$D$2:$D$1000="Après-vente")+('Agences &amp; Après-vente'!$D$2:$D$1000="Agences et Après-vente"))*'Agences &amp; Après-vente'!$E$2:$E$1000)),"yyyy-mm-dd"),""))))))</f>
        <v/>
      </c>
      <c r="K828" s="131" t="str">
        <f aca="false">IF($U828="✓","✓",IF(ISNUMBER($U828),TEXT($U828,"yyyy-mm-dd"),IF($D828="Lisbonne","",IF($A828="","",IF(SUMPRODUCT((Evermont!$A$2:$A$1000=$A828)*(Evermont!$Q$2:$Q$1000="Terminé"))&gt;0,"✓",IF(SUMPRODUCT(MAX((Evermont!$A$2:$A$1000=$A828)*Evermont!$F$2:$F$1000))&gt;0,TEXT(SUMPRODUCT(MAX((Evermont!$A$2:$A$1000=$A828)*Evermont!$F$2:$F$1000)),"yyyy-mm-dd"),""))))))</f>
        <v/>
      </c>
      <c r="L828" s="131" t="str">
        <f aca="false">IF($A828="","",COUNTIF(E828:K828,"✓"))</f>
        <v/>
      </c>
      <c r="M828" s="131" t="str">
        <f aca="false">IF(B828="","","Active")</f>
        <v/>
      </c>
      <c r="W828" s="120" t="str">
        <f aca="false">IF($A828="","",IF($X828&lt;&gt;"",$X828,IFERROR(INDEX('Formation Initiale'!$B$2:$B$999,MATCH($A828,'Formation Initiale'!$A$2:$A$999,0)),"Général")))</f>
        <v/>
      </c>
    </row>
    <row r="829" customFormat="false" ht="15" hidden="true" customHeight="true" outlineLevel="0" collapsed="false">
      <c r="A829" s="142" t="str">
        <f aca="false">IF(B829="","","TR"&amp;TEXT(ROW()-1,"000"))</f>
        <v/>
      </c>
      <c r="E829" s="130" t="str">
        <f aca="false">IF($O829="✓","✓",IF(ISNUMBER($O829),TEXT($O829,"yyyy-mm-dd"),IF($A829="","",IF(SUMPRODUCT(('Formation Initiale'!$A$2:$A$999=$A829)*('Formation Initiale'!$R$2:$R$999="Terminé"))&gt;0,"✓",IF(SUMPRODUCT(MAX(('Formation Initiale'!$A$2:$A$999=$A829)*'Formation Initiale'!$G$2:$G$999))&gt;0,TEXT(SUMPRODUCT(MAX(('Formation Initiale'!$A$2:$A$999=$A829)*'Formation Initiale'!$G$2:$G$999)),"yyyy-mm-dd"),"")))))</f>
        <v/>
      </c>
      <c r="F829" s="131" t="str">
        <f aca="false">IF($P829="✓","✓",IF(ISNUMBER($P829),TEXT($P829,"yyyy-mm-dd"),IF($A829="","",IF($D829="Lisbonne","",IF(SUMPRODUCT(('Formation Initiale'!$A$2:$A$999=$A829)*('Formation Initiale'!$R$2:$R$999="Terminé"))&gt;0,"✓",IF(SUMPRODUCT(MAX(('Formation Initiale'!$A$2:$A$999=$A829)*'Formation Initiale'!$G$2:$G$999))&gt;0,TEXT(SUMPRODUCT(MAX(('Formation Initiale'!$A$2:$A$999=$A829)*'Formation Initiale'!$G$2:$G$999)),"yyyy-mm-dd"),""))))))</f>
        <v/>
      </c>
      <c r="G829" s="131" t="str">
        <f aca="false">IF($Q829="✓","✓",IF(ISNUMBER($Q829),TEXT($Q829,"yyyy-mm-dd"),IF($A829="","",IF(SUMPRODUCT(('Agences &amp; Après-vente'!$A$2:$A$1000=$A829)*(('Agences &amp; Après-vente'!$D$2:$D$1000="Agences")+('Agences &amp; Après-vente'!$D$2:$D$1000="Agences et Après-vente"))*('Agences &amp; Après-vente'!$I$2:$I$1000="DONE"))&gt;0,"✓",IF(SUMPRODUCT(MAX(('Agences &amp; Après-vente'!$A$2:$A$1000=$A829)*(('Agences &amp; Après-vente'!$D$2:$D$1000="Agences")+('Agences &amp; Après-vente'!$D$2:$D$1000="Agences et Après-vente"))*'Agences &amp; Après-vente'!$E$2:$E$1000))&gt;0,TEXT(SUMPRODUCT(MAX(('Agences &amp; Après-vente'!$A$2:$A$1000=$A829)*(('Agences &amp; Après-vente'!$D$2:$D$1000="Agences")+('Agences &amp; Après-vente'!$D$2:$D$1000="Agences et Après-vente"))*'Agences &amp; Après-vente'!$E$2:$E$1000)),"yyyy-mm-dd"),"")))))</f>
        <v/>
      </c>
      <c r="H829" s="131" t="str">
        <f aca="false">IF($R829="✓","✓",IF(ISNUMBER($R829),TEXT($R829,"yyyy-mm-dd"),IF($A829="","",IF($D829="Lisbonne","",IF(SUMPRODUCT(('Agences &amp; Après-vente'!$A$2:$A$1000=$A829)*(('Agences &amp; Après-vente'!$D$2:$D$1000="Agences")+('Agences &amp; Après-vente'!$D$2:$D$1000="Agences et Après-vente"))*('Agences &amp; Après-vente'!$I$2:$I$1000="DONE"))&gt;0,"✓",IF(SUMPRODUCT(MAX(('Agences &amp; Après-vente'!$A$2:$A$1000=$A829)*(('Agences &amp; Après-vente'!$D$2:$D$1000="Agences")+('Agences &amp; Après-vente'!$D$2:$D$1000="Agences et Après-vente"))*'Agences &amp; Après-vente'!$E$2:$E$1000))&gt;0,TEXT(SUMPRODUCT(MAX(('Agences &amp; Après-vente'!$A$2:$A$1000=$A829)*(('Agences &amp; Après-vente'!$D$2:$D$1000="Agences")+('Agences &amp; Après-vente'!$D$2:$D$1000="Agences et Après-vente"))*'Agences &amp; Après-vente'!$E$2:$E$1000)),"yyyy-mm-dd"),""))))))</f>
        <v/>
      </c>
      <c r="I829" s="131" t="str">
        <f aca="false">IF($S829="✓","✓",IF(ISNUMBER($S829),TEXT($S829,"yyyy-mm-dd"),IF($A829="","",IF(SUMPRODUCT(('Agences &amp; Après-vente'!$A$2:$A$1000=$A829)*(('Agences &amp; Après-vente'!$D$2:$D$1000="Après-vente")+('Agences &amp; Après-vente'!$D$2:$D$1000="Agences et Après-vente"))*('Agences &amp; Après-vente'!$I$2:$I$1000="DONE"))&gt;0,"✓",IF(SUMPRODUCT(MAX(('Agences &amp; Après-vente'!$A$2:$A$1000=$A829)*(('Agences &amp; Après-vente'!$D$2:$D$1000="Après-vente")+('Agences &amp; Après-vente'!$D$2:$D$1000="Agences et Après-vente"))*'Agences &amp; Après-vente'!$E$2:$E$1000))&gt;0,TEXT(SUMPRODUCT(MAX(('Agences &amp; Après-vente'!$A$2:$A$1000=$A829)*(('Agences &amp; Après-vente'!$D$2:$D$1000="Après-vente")+('Agences &amp; Après-vente'!$D$2:$D$1000="Agences et Après-vente"))*'Agences &amp; Après-vente'!$E$2:$E$1000)),"yyyy-mm-dd"),"")))))</f>
        <v/>
      </c>
      <c r="J829" s="131" t="str">
        <f aca="false">IF($T829="✓","✓",IF(ISNUMBER($T829),TEXT($T829,"yyyy-mm-dd"),IF($A829="","",IF($D829="Lisbonne","",IF(SUMPRODUCT(('Agences &amp; Après-vente'!$A$2:$A$1000=$A829)*(('Agences &amp; Après-vente'!$D$2:$D$1000="Après-vente")+('Agences &amp; Après-vente'!$D$2:$D$1000="Agences et Après-vente"))*('Agences &amp; Après-vente'!$I$2:$I$1000="DONE"))&gt;0,"✓",IF(SUMPRODUCT(MAX(('Agences &amp; Après-vente'!$A$2:$A$1000=$A829)*(('Agences &amp; Après-vente'!$D$2:$D$1000="Après-vente")+('Agences &amp; Après-vente'!$D$2:$D$1000="Agences et Après-vente"))*'Agences &amp; Après-vente'!$E$2:$E$1000))&gt;0,TEXT(SUMPRODUCT(MAX(('Agences &amp; Après-vente'!$A$2:$A$1000=$A829)*(('Agences &amp; Après-vente'!$D$2:$D$1000="Après-vente")+('Agences &amp; Après-vente'!$D$2:$D$1000="Agences et Après-vente"))*'Agences &amp; Après-vente'!$E$2:$E$1000)),"yyyy-mm-dd"),""))))))</f>
        <v/>
      </c>
      <c r="K829" s="131" t="str">
        <f aca="false">IF($U829="✓","✓",IF(ISNUMBER($U829),TEXT($U829,"yyyy-mm-dd"),IF($D829="Lisbonne","",IF($A829="","",IF(SUMPRODUCT((Evermont!$A$2:$A$1000=$A829)*(Evermont!$Q$2:$Q$1000="Terminé"))&gt;0,"✓",IF(SUMPRODUCT(MAX((Evermont!$A$2:$A$1000=$A829)*Evermont!$F$2:$F$1000))&gt;0,TEXT(SUMPRODUCT(MAX((Evermont!$A$2:$A$1000=$A829)*Evermont!$F$2:$F$1000)),"yyyy-mm-dd"),""))))))</f>
        <v/>
      </c>
      <c r="L829" s="131" t="str">
        <f aca="false">IF($A829="","",COUNTIF(E829:K829,"✓"))</f>
        <v/>
      </c>
      <c r="M829" s="131" t="str">
        <f aca="false">IF(B829="","","Active")</f>
        <v/>
      </c>
      <c r="W829" s="120" t="str">
        <f aca="false">IF($A829="","",IF($X829&lt;&gt;"",$X829,IFERROR(INDEX('Formation Initiale'!$B$2:$B$999,MATCH($A829,'Formation Initiale'!$A$2:$A$999,0)),"Général")))</f>
        <v/>
      </c>
    </row>
    <row r="830" customFormat="false" ht="15" hidden="true" customHeight="true" outlineLevel="0" collapsed="false">
      <c r="A830" s="142" t="str">
        <f aca="false">IF(B830="","","TR"&amp;TEXT(ROW()-1,"000"))</f>
        <v/>
      </c>
      <c r="E830" s="130" t="str">
        <f aca="false">IF($O830="✓","✓",IF(ISNUMBER($O830),TEXT($O830,"yyyy-mm-dd"),IF($A830="","",IF(SUMPRODUCT(('Formation Initiale'!$A$2:$A$999=$A830)*('Formation Initiale'!$R$2:$R$999="Terminé"))&gt;0,"✓",IF(SUMPRODUCT(MAX(('Formation Initiale'!$A$2:$A$999=$A830)*'Formation Initiale'!$G$2:$G$999))&gt;0,TEXT(SUMPRODUCT(MAX(('Formation Initiale'!$A$2:$A$999=$A830)*'Formation Initiale'!$G$2:$G$999)),"yyyy-mm-dd"),"")))))</f>
        <v/>
      </c>
      <c r="F830" s="131" t="str">
        <f aca="false">IF($P830="✓","✓",IF(ISNUMBER($P830),TEXT($P830,"yyyy-mm-dd"),IF($A830="","",IF($D830="Lisbonne","",IF(SUMPRODUCT(('Formation Initiale'!$A$2:$A$999=$A830)*('Formation Initiale'!$R$2:$R$999="Terminé"))&gt;0,"✓",IF(SUMPRODUCT(MAX(('Formation Initiale'!$A$2:$A$999=$A830)*'Formation Initiale'!$G$2:$G$999))&gt;0,TEXT(SUMPRODUCT(MAX(('Formation Initiale'!$A$2:$A$999=$A830)*'Formation Initiale'!$G$2:$G$999)),"yyyy-mm-dd"),""))))))</f>
        <v/>
      </c>
      <c r="G830" s="131" t="str">
        <f aca="false">IF($Q830="✓","✓",IF(ISNUMBER($Q830),TEXT($Q830,"yyyy-mm-dd"),IF($A830="","",IF(SUMPRODUCT(('Agences &amp; Après-vente'!$A$2:$A$1000=$A830)*(('Agences &amp; Après-vente'!$D$2:$D$1000="Agences")+('Agences &amp; Après-vente'!$D$2:$D$1000="Agences et Après-vente"))*('Agences &amp; Après-vente'!$I$2:$I$1000="DONE"))&gt;0,"✓",IF(SUMPRODUCT(MAX(('Agences &amp; Après-vente'!$A$2:$A$1000=$A830)*(('Agences &amp; Après-vente'!$D$2:$D$1000="Agences")+('Agences &amp; Après-vente'!$D$2:$D$1000="Agences et Après-vente"))*'Agences &amp; Après-vente'!$E$2:$E$1000))&gt;0,TEXT(SUMPRODUCT(MAX(('Agences &amp; Après-vente'!$A$2:$A$1000=$A830)*(('Agences &amp; Après-vente'!$D$2:$D$1000="Agences")+('Agences &amp; Après-vente'!$D$2:$D$1000="Agences et Après-vente"))*'Agences &amp; Après-vente'!$E$2:$E$1000)),"yyyy-mm-dd"),"")))))</f>
        <v/>
      </c>
      <c r="H830" s="131" t="str">
        <f aca="false">IF($R830="✓","✓",IF(ISNUMBER($R830),TEXT($R830,"yyyy-mm-dd"),IF($A830="","",IF($D830="Lisbonne","",IF(SUMPRODUCT(('Agences &amp; Après-vente'!$A$2:$A$1000=$A830)*(('Agences &amp; Après-vente'!$D$2:$D$1000="Agences")+('Agences &amp; Après-vente'!$D$2:$D$1000="Agences et Après-vente"))*('Agences &amp; Après-vente'!$I$2:$I$1000="DONE"))&gt;0,"✓",IF(SUMPRODUCT(MAX(('Agences &amp; Après-vente'!$A$2:$A$1000=$A830)*(('Agences &amp; Après-vente'!$D$2:$D$1000="Agences")+('Agences &amp; Après-vente'!$D$2:$D$1000="Agences et Après-vente"))*'Agences &amp; Après-vente'!$E$2:$E$1000))&gt;0,TEXT(SUMPRODUCT(MAX(('Agences &amp; Après-vente'!$A$2:$A$1000=$A830)*(('Agences &amp; Après-vente'!$D$2:$D$1000="Agences")+('Agences &amp; Après-vente'!$D$2:$D$1000="Agences et Après-vente"))*'Agences &amp; Après-vente'!$E$2:$E$1000)),"yyyy-mm-dd"),""))))))</f>
        <v/>
      </c>
      <c r="I830" s="131" t="str">
        <f aca="false">IF($S830="✓","✓",IF(ISNUMBER($S830),TEXT($S830,"yyyy-mm-dd"),IF($A830="","",IF(SUMPRODUCT(('Agences &amp; Après-vente'!$A$2:$A$1000=$A830)*(('Agences &amp; Après-vente'!$D$2:$D$1000="Après-vente")+('Agences &amp; Après-vente'!$D$2:$D$1000="Agences et Après-vente"))*('Agences &amp; Après-vente'!$I$2:$I$1000="DONE"))&gt;0,"✓",IF(SUMPRODUCT(MAX(('Agences &amp; Après-vente'!$A$2:$A$1000=$A830)*(('Agences &amp; Après-vente'!$D$2:$D$1000="Après-vente")+('Agences &amp; Après-vente'!$D$2:$D$1000="Agences et Après-vente"))*'Agences &amp; Après-vente'!$E$2:$E$1000))&gt;0,TEXT(SUMPRODUCT(MAX(('Agences &amp; Après-vente'!$A$2:$A$1000=$A830)*(('Agences &amp; Après-vente'!$D$2:$D$1000="Après-vente")+('Agences &amp; Après-vente'!$D$2:$D$1000="Agences et Après-vente"))*'Agences &amp; Après-vente'!$E$2:$E$1000)),"yyyy-mm-dd"),"")))))</f>
        <v/>
      </c>
      <c r="J830" s="131" t="str">
        <f aca="false">IF($T830="✓","✓",IF(ISNUMBER($T830),TEXT($T830,"yyyy-mm-dd"),IF($A830="","",IF($D830="Lisbonne","",IF(SUMPRODUCT(('Agences &amp; Après-vente'!$A$2:$A$1000=$A830)*(('Agences &amp; Après-vente'!$D$2:$D$1000="Après-vente")+('Agences &amp; Après-vente'!$D$2:$D$1000="Agences et Après-vente"))*('Agences &amp; Après-vente'!$I$2:$I$1000="DONE"))&gt;0,"✓",IF(SUMPRODUCT(MAX(('Agences &amp; Après-vente'!$A$2:$A$1000=$A830)*(('Agences &amp; Après-vente'!$D$2:$D$1000="Après-vente")+('Agences &amp; Après-vente'!$D$2:$D$1000="Agences et Après-vente"))*'Agences &amp; Après-vente'!$E$2:$E$1000))&gt;0,TEXT(SUMPRODUCT(MAX(('Agences &amp; Après-vente'!$A$2:$A$1000=$A830)*(('Agences &amp; Après-vente'!$D$2:$D$1000="Après-vente")+('Agences &amp; Après-vente'!$D$2:$D$1000="Agences et Après-vente"))*'Agences &amp; Après-vente'!$E$2:$E$1000)),"yyyy-mm-dd"),""))))))</f>
        <v/>
      </c>
      <c r="K830" s="131" t="str">
        <f aca="false">IF($U830="✓","✓",IF(ISNUMBER($U830),TEXT($U830,"yyyy-mm-dd"),IF($D830="Lisbonne","",IF($A830="","",IF(SUMPRODUCT((Evermont!$A$2:$A$1000=$A830)*(Evermont!$Q$2:$Q$1000="Terminé"))&gt;0,"✓",IF(SUMPRODUCT(MAX((Evermont!$A$2:$A$1000=$A830)*Evermont!$F$2:$F$1000))&gt;0,TEXT(SUMPRODUCT(MAX((Evermont!$A$2:$A$1000=$A830)*Evermont!$F$2:$F$1000)),"yyyy-mm-dd"),""))))))</f>
        <v/>
      </c>
      <c r="L830" s="131" t="str">
        <f aca="false">IF($A830="","",COUNTIF(E830:K830,"✓"))</f>
        <v/>
      </c>
      <c r="M830" s="131" t="str">
        <f aca="false">IF(B830="","","Active")</f>
        <v/>
      </c>
      <c r="W830" s="120" t="str">
        <f aca="false">IF($A830="","",IF($X830&lt;&gt;"",$X830,IFERROR(INDEX('Formation Initiale'!$B$2:$B$999,MATCH($A830,'Formation Initiale'!$A$2:$A$999,0)),"Général")))</f>
        <v/>
      </c>
    </row>
    <row r="831" customFormat="false" ht="15" hidden="true" customHeight="true" outlineLevel="0" collapsed="false">
      <c r="A831" s="142" t="str">
        <f aca="false">IF(B831="","","TR"&amp;TEXT(ROW()-1,"000"))</f>
        <v/>
      </c>
      <c r="E831" s="130" t="str">
        <f aca="false">IF($O831="✓","✓",IF(ISNUMBER($O831),TEXT($O831,"yyyy-mm-dd"),IF($A831="","",IF(SUMPRODUCT(('Formation Initiale'!$A$2:$A$999=$A831)*('Formation Initiale'!$R$2:$R$999="Terminé"))&gt;0,"✓",IF(SUMPRODUCT(MAX(('Formation Initiale'!$A$2:$A$999=$A831)*'Formation Initiale'!$G$2:$G$999))&gt;0,TEXT(SUMPRODUCT(MAX(('Formation Initiale'!$A$2:$A$999=$A831)*'Formation Initiale'!$G$2:$G$999)),"yyyy-mm-dd"),"")))))</f>
        <v/>
      </c>
      <c r="F831" s="131" t="str">
        <f aca="false">IF($P831="✓","✓",IF(ISNUMBER($P831),TEXT($P831,"yyyy-mm-dd"),IF($A831="","",IF($D831="Lisbonne","",IF(SUMPRODUCT(('Formation Initiale'!$A$2:$A$999=$A831)*('Formation Initiale'!$R$2:$R$999="Terminé"))&gt;0,"✓",IF(SUMPRODUCT(MAX(('Formation Initiale'!$A$2:$A$999=$A831)*'Formation Initiale'!$G$2:$G$999))&gt;0,TEXT(SUMPRODUCT(MAX(('Formation Initiale'!$A$2:$A$999=$A831)*'Formation Initiale'!$G$2:$G$999)),"yyyy-mm-dd"),""))))))</f>
        <v/>
      </c>
      <c r="G831" s="131" t="str">
        <f aca="false">IF($Q831="✓","✓",IF(ISNUMBER($Q831),TEXT($Q831,"yyyy-mm-dd"),IF($A831="","",IF(SUMPRODUCT(('Agences &amp; Après-vente'!$A$2:$A$1000=$A831)*(('Agences &amp; Après-vente'!$D$2:$D$1000="Agences")+('Agences &amp; Après-vente'!$D$2:$D$1000="Agences et Après-vente"))*('Agences &amp; Après-vente'!$I$2:$I$1000="DONE"))&gt;0,"✓",IF(SUMPRODUCT(MAX(('Agences &amp; Après-vente'!$A$2:$A$1000=$A831)*(('Agences &amp; Après-vente'!$D$2:$D$1000="Agences")+('Agences &amp; Après-vente'!$D$2:$D$1000="Agences et Après-vente"))*'Agences &amp; Après-vente'!$E$2:$E$1000))&gt;0,TEXT(SUMPRODUCT(MAX(('Agences &amp; Après-vente'!$A$2:$A$1000=$A831)*(('Agences &amp; Après-vente'!$D$2:$D$1000="Agences")+('Agences &amp; Après-vente'!$D$2:$D$1000="Agences et Après-vente"))*'Agences &amp; Après-vente'!$E$2:$E$1000)),"yyyy-mm-dd"),"")))))</f>
        <v/>
      </c>
      <c r="H831" s="131" t="str">
        <f aca="false">IF($R831="✓","✓",IF(ISNUMBER($R831),TEXT($R831,"yyyy-mm-dd"),IF($A831="","",IF($D831="Lisbonne","",IF(SUMPRODUCT(('Agences &amp; Après-vente'!$A$2:$A$1000=$A831)*(('Agences &amp; Après-vente'!$D$2:$D$1000="Agences")+('Agences &amp; Après-vente'!$D$2:$D$1000="Agences et Après-vente"))*('Agences &amp; Après-vente'!$I$2:$I$1000="DONE"))&gt;0,"✓",IF(SUMPRODUCT(MAX(('Agences &amp; Après-vente'!$A$2:$A$1000=$A831)*(('Agences &amp; Après-vente'!$D$2:$D$1000="Agences")+('Agences &amp; Après-vente'!$D$2:$D$1000="Agences et Après-vente"))*'Agences &amp; Après-vente'!$E$2:$E$1000))&gt;0,TEXT(SUMPRODUCT(MAX(('Agences &amp; Après-vente'!$A$2:$A$1000=$A831)*(('Agences &amp; Après-vente'!$D$2:$D$1000="Agences")+('Agences &amp; Après-vente'!$D$2:$D$1000="Agences et Après-vente"))*'Agences &amp; Après-vente'!$E$2:$E$1000)),"yyyy-mm-dd"),""))))))</f>
        <v/>
      </c>
      <c r="I831" s="131" t="str">
        <f aca="false">IF($S831="✓","✓",IF(ISNUMBER($S831),TEXT($S831,"yyyy-mm-dd"),IF($A831="","",IF(SUMPRODUCT(('Agences &amp; Après-vente'!$A$2:$A$1000=$A831)*(('Agences &amp; Après-vente'!$D$2:$D$1000="Après-vente")+('Agences &amp; Après-vente'!$D$2:$D$1000="Agences et Après-vente"))*('Agences &amp; Après-vente'!$I$2:$I$1000="DONE"))&gt;0,"✓",IF(SUMPRODUCT(MAX(('Agences &amp; Après-vente'!$A$2:$A$1000=$A831)*(('Agences &amp; Après-vente'!$D$2:$D$1000="Après-vente")+('Agences &amp; Après-vente'!$D$2:$D$1000="Agences et Après-vente"))*'Agences &amp; Après-vente'!$E$2:$E$1000))&gt;0,TEXT(SUMPRODUCT(MAX(('Agences &amp; Après-vente'!$A$2:$A$1000=$A831)*(('Agences &amp; Après-vente'!$D$2:$D$1000="Après-vente")+('Agences &amp; Après-vente'!$D$2:$D$1000="Agences et Après-vente"))*'Agences &amp; Après-vente'!$E$2:$E$1000)),"yyyy-mm-dd"),"")))))</f>
        <v/>
      </c>
      <c r="J831" s="131" t="str">
        <f aca="false">IF($T831="✓","✓",IF(ISNUMBER($T831),TEXT($T831,"yyyy-mm-dd"),IF($A831="","",IF($D831="Lisbonne","",IF(SUMPRODUCT(('Agences &amp; Après-vente'!$A$2:$A$1000=$A831)*(('Agences &amp; Après-vente'!$D$2:$D$1000="Après-vente")+('Agences &amp; Après-vente'!$D$2:$D$1000="Agences et Après-vente"))*('Agences &amp; Après-vente'!$I$2:$I$1000="DONE"))&gt;0,"✓",IF(SUMPRODUCT(MAX(('Agences &amp; Après-vente'!$A$2:$A$1000=$A831)*(('Agences &amp; Après-vente'!$D$2:$D$1000="Après-vente")+('Agences &amp; Après-vente'!$D$2:$D$1000="Agences et Après-vente"))*'Agences &amp; Après-vente'!$E$2:$E$1000))&gt;0,TEXT(SUMPRODUCT(MAX(('Agences &amp; Après-vente'!$A$2:$A$1000=$A831)*(('Agences &amp; Après-vente'!$D$2:$D$1000="Après-vente")+('Agences &amp; Après-vente'!$D$2:$D$1000="Agences et Après-vente"))*'Agences &amp; Après-vente'!$E$2:$E$1000)),"yyyy-mm-dd"),""))))))</f>
        <v/>
      </c>
      <c r="K831" s="131" t="str">
        <f aca="false">IF($U831="✓","✓",IF(ISNUMBER($U831),TEXT($U831,"yyyy-mm-dd"),IF($D831="Lisbonne","",IF($A831="","",IF(SUMPRODUCT((Evermont!$A$2:$A$1000=$A831)*(Evermont!$Q$2:$Q$1000="Terminé"))&gt;0,"✓",IF(SUMPRODUCT(MAX((Evermont!$A$2:$A$1000=$A831)*Evermont!$F$2:$F$1000))&gt;0,TEXT(SUMPRODUCT(MAX((Evermont!$A$2:$A$1000=$A831)*Evermont!$F$2:$F$1000)),"yyyy-mm-dd"),""))))))</f>
        <v/>
      </c>
      <c r="L831" s="131" t="str">
        <f aca="false">IF($A831="","",COUNTIF(E831:K831,"✓"))</f>
        <v/>
      </c>
      <c r="M831" s="131" t="str">
        <f aca="false">IF(B831="","","Active")</f>
        <v/>
      </c>
      <c r="W831" s="120" t="str">
        <f aca="false">IF($A831="","",IF($X831&lt;&gt;"",$X831,IFERROR(INDEX('Formation Initiale'!$B$2:$B$999,MATCH($A831,'Formation Initiale'!$A$2:$A$999,0)),"Général")))</f>
        <v/>
      </c>
    </row>
    <row r="832" customFormat="false" ht="15" hidden="true" customHeight="true" outlineLevel="0" collapsed="false">
      <c r="A832" s="142" t="str">
        <f aca="false">IF(B832="","","TR"&amp;TEXT(ROW()-1,"000"))</f>
        <v/>
      </c>
      <c r="E832" s="130" t="str">
        <f aca="false">IF($O832="✓","✓",IF(ISNUMBER($O832),TEXT($O832,"yyyy-mm-dd"),IF($A832="","",IF(SUMPRODUCT(('Formation Initiale'!$A$2:$A$999=$A832)*('Formation Initiale'!$R$2:$R$999="Terminé"))&gt;0,"✓",IF(SUMPRODUCT(MAX(('Formation Initiale'!$A$2:$A$999=$A832)*'Formation Initiale'!$G$2:$G$999))&gt;0,TEXT(SUMPRODUCT(MAX(('Formation Initiale'!$A$2:$A$999=$A832)*'Formation Initiale'!$G$2:$G$999)),"yyyy-mm-dd"),"")))))</f>
        <v/>
      </c>
      <c r="F832" s="131" t="str">
        <f aca="false">IF($P832="✓","✓",IF(ISNUMBER($P832),TEXT($P832,"yyyy-mm-dd"),IF($A832="","",IF($D832="Lisbonne","",IF(SUMPRODUCT(('Formation Initiale'!$A$2:$A$999=$A832)*('Formation Initiale'!$R$2:$R$999="Terminé"))&gt;0,"✓",IF(SUMPRODUCT(MAX(('Formation Initiale'!$A$2:$A$999=$A832)*'Formation Initiale'!$G$2:$G$999))&gt;0,TEXT(SUMPRODUCT(MAX(('Formation Initiale'!$A$2:$A$999=$A832)*'Formation Initiale'!$G$2:$G$999)),"yyyy-mm-dd"),""))))))</f>
        <v/>
      </c>
      <c r="G832" s="131" t="str">
        <f aca="false">IF($Q832="✓","✓",IF(ISNUMBER($Q832),TEXT($Q832,"yyyy-mm-dd"),IF($A832="","",IF(SUMPRODUCT(('Agences &amp; Après-vente'!$A$2:$A$1000=$A832)*(('Agences &amp; Après-vente'!$D$2:$D$1000="Agences")+('Agences &amp; Après-vente'!$D$2:$D$1000="Agences et Après-vente"))*('Agences &amp; Après-vente'!$I$2:$I$1000="DONE"))&gt;0,"✓",IF(SUMPRODUCT(MAX(('Agences &amp; Après-vente'!$A$2:$A$1000=$A832)*(('Agences &amp; Après-vente'!$D$2:$D$1000="Agences")+('Agences &amp; Après-vente'!$D$2:$D$1000="Agences et Après-vente"))*'Agences &amp; Après-vente'!$E$2:$E$1000))&gt;0,TEXT(SUMPRODUCT(MAX(('Agences &amp; Après-vente'!$A$2:$A$1000=$A832)*(('Agences &amp; Après-vente'!$D$2:$D$1000="Agences")+('Agences &amp; Après-vente'!$D$2:$D$1000="Agences et Après-vente"))*'Agences &amp; Après-vente'!$E$2:$E$1000)),"yyyy-mm-dd"),"")))))</f>
        <v/>
      </c>
      <c r="H832" s="131" t="str">
        <f aca="false">IF($R832="✓","✓",IF(ISNUMBER($R832),TEXT($R832,"yyyy-mm-dd"),IF($A832="","",IF($D832="Lisbonne","",IF(SUMPRODUCT(('Agences &amp; Après-vente'!$A$2:$A$1000=$A832)*(('Agences &amp; Après-vente'!$D$2:$D$1000="Agences")+('Agences &amp; Après-vente'!$D$2:$D$1000="Agences et Après-vente"))*('Agences &amp; Après-vente'!$I$2:$I$1000="DONE"))&gt;0,"✓",IF(SUMPRODUCT(MAX(('Agences &amp; Après-vente'!$A$2:$A$1000=$A832)*(('Agences &amp; Après-vente'!$D$2:$D$1000="Agences")+('Agences &amp; Après-vente'!$D$2:$D$1000="Agences et Après-vente"))*'Agences &amp; Après-vente'!$E$2:$E$1000))&gt;0,TEXT(SUMPRODUCT(MAX(('Agences &amp; Après-vente'!$A$2:$A$1000=$A832)*(('Agences &amp; Après-vente'!$D$2:$D$1000="Agences")+('Agences &amp; Après-vente'!$D$2:$D$1000="Agences et Après-vente"))*'Agences &amp; Après-vente'!$E$2:$E$1000)),"yyyy-mm-dd"),""))))))</f>
        <v/>
      </c>
      <c r="I832" s="131" t="str">
        <f aca="false">IF($S832="✓","✓",IF(ISNUMBER($S832),TEXT($S832,"yyyy-mm-dd"),IF($A832="","",IF(SUMPRODUCT(('Agences &amp; Après-vente'!$A$2:$A$1000=$A832)*(('Agences &amp; Après-vente'!$D$2:$D$1000="Après-vente")+('Agences &amp; Après-vente'!$D$2:$D$1000="Agences et Après-vente"))*('Agences &amp; Après-vente'!$I$2:$I$1000="DONE"))&gt;0,"✓",IF(SUMPRODUCT(MAX(('Agences &amp; Après-vente'!$A$2:$A$1000=$A832)*(('Agences &amp; Après-vente'!$D$2:$D$1000="Après-vente")+('Agences &amp; Après-vente'!$D$2:$D$1000="Agences et Après-vente"))*'Agences &amp; Après-vente'!$E$2:$E$1000))&gt;0,TEXT(SUMPRODUCT(MAX(('Agences &amp; Après-vente'!$A$2:$A$1000=$A832)*(('Agences &amp; Après-vente'!$D$2:$D$1000="Après-vente")+('Agences &amp; Après-vente'!$D$2:$D$1000="Agences et Après-vente"))*'Agences &amp; Après-vente'!$E$2:$E$1000)),"yyyy-mm-dd"),"")))))</f>
        <v/>
      </c>
      <c r="J832" s="131" t="str">
        <f aca="false">IF($T832="✓","✓",IF(ISNUMBER($T832),TEXT($T832,"yyyy-mm-dd"),IF($A832="","",IF($D832="Lisbonne","",IF(SUMPRODUCT(('Agences &amp; Après-vente'!$A$2:$A$1000=$A832)*(('Agences &amp; Après-vente'!$D$2:$D$1000="Après-vente")+('Agences &amp; Après-vente'!$D$2:$D$1000="Agences et Après-vente"))*('Agences &amp; Après-vente'!$I$2:$I$1000="DONE"))&gt;0,"✓",IF(SUMPRODUCT(MAX(('Agences &amp; Après-vente'!$A$2:$A$1000=$A832)*(('Agences &amp; Après-vente'!$D$2:$D$1000="Après-vente")+('Agences &amp; Après-vente'!$D$2:$D$1000="Agences et Après-vente"))*'Agences &amp; Après-vente'!$E$2:$E$1000))&gt;0,TEXT(SUMPRODUCT(MAX(('Agences &amp; Après-vente'!$A$2:$A$1000=$A832)*(('Agences &amp; Après-vente'!$D$2:$D$1000="Après-vente")+('Agences &amp; Après-vente'!$D$2:$D$1000="Agences et Après-vente"))*'Agences &amp; Après-vente'!$E$2:$E$1000)),"yyyy-mm-dd"),""))))))</f>
        <v/>
      </c>
      <c r="K832" s="131" t="str">
        <f aca="false">IF($U832="✓","✓",IF(ISNUMBER($U832),TEXT($U832,"yyyy-mm-dd"),IF($D832="Lisbonne","",IF($A832="","",IF(SUMPRODUCT((Evermont!$A$2:$A$1000=$A832)*(Evermont!$Q$2:$Q$1000="Terminé"))&gt;0,"✓",IF(SUMPRODUCT(MAX((Evermont!$A$2:$A$1000=$A832)*Evermont!$F$2:$F$1000))&gt;0,TEXT(SUMPRODUCT(MAX((Evermont!$A$2:$A$1000=$A832)*Evermont!$F$2:$F$1000)),"yyyy-mm-dd"),""))))))</f>
        <v/>
      </c>
      <c r="L832" s="131" t="str">
        <f aca="false">IF($A832="","",COUNTIF(E832:K832,"✓"))</f>
        <v/>
      </c>
      <c r="M832" s="131" t="str">
        <f aca="false">IF(B832="","","Active")</f>
        <v/>
      </c>
      <c r="W832" s="120" t="str">
        <f aca="false">IF($A832="","",IF($X832&lt;&gt;"",$X832,IFERROR(INDEX('Formation Initiale'!$B$2:$B$999,MATCH($A832,'Formation Initiale'!$A$2:$A$999,0)),"Général")))</f>
        <v/>
      </c>
    </row>
    <row r="833" customFormat="false" ht="15" hidden="true" customHeight="true" outlineLevel="0" collapsed="false">
      <c r="A833" s="142" t="str">
        <f aca="false">IF(B833="","","TR"&amp;TEXT(ROW()-1,"000"))</f>
        <v/>
      </c>
      <c r="E833" s="130" t="str">
        <f aca="false">IF($O833="✓","✓",IF(ISNUMBER($O833),TEXT($O833,"yyyy-mm-dd"),IF($A833="","",IF(SUMPRODUCT(('Formation Initiale'!$A$2:$A$999=$A833)*('Formation Initiale'!$R$2:$R$999="Terminé"))&gt;0,"✓",IF(SUMPRODUCT(MAX(('Formation Initiale'!$A$2:$A$999=$A833)*'Formation Initiale'!$G$2:$G$999))&gt;0,TEXT(SUMPRODUCT(MAX(('Formation Initiale'!$A$2:$A$999=$A833)*'Formation Initiale'!$G$2:$G$999)),"yyyy-mm-dd"),"")))))</f>
        <v/>
      </c>
      <c r="F833" s="131" t="str">
        <f aca="false">IF($P833="✓","✓",IF(ISNUMBER($P833),TEXT($P833,"yyyy-mm-dd"),IF($A833="","",IF($D833="Lisbonne","",IF(SUMPRODUCT(('Formation Initiale'!$A$2:$A$999=$A833)*('Formation Initiale'!$R$2:$R$999="Terminé"))&gt;0,"✓",IF(SUMPRODUCT(MAX(('Formation Initiale'!$A$2:$A$999=$A833)*'Formation Initiale'!$G$2:$G$999))&gt;0,TEXT(SUMPRODUCT(MAX(('Formation Initiale'!$A$2:$A$999=$A833)*'Formation Initiale'!$G$2:$G$999)),"yyyy-mm-dd"),""))))))</f>
        <v/>
      </c>
      <c r="G833" s="131" t="str">
        <f aca="false">IF($Q833="✓","✓",IF(ISNUMBER($Q833),TEXT($Q833,"yyyy-mm-dd"),IF($A833="","",IF(SUMPRODUCT(('Agences &amp; Après-vente'!$A$2:$A$1000=$A833)*(('Agences &amp; Après-vente'!$D$2:$D$1000="Agences")+('Agences &amp; Après-vente'!$D$2:$D$1000="Agences et Après-vente"))*('Agences &amp; Après-vente'!$I$2:$I$1000="DONE"))&gt;0,"✓",IF(SUMPRODUCT(MAX(('Agences &amp; Après-vente'!$A$2:$A$1000=$A833)*(('Agences &amp; Après-vente'!$D$2:$D$1000="Agences")+('Agences &amp; Après-vente'!$D$2:$D$1000="Agences et Après-vente"))*'Agences &amp; Après-vente'!$E$2:$E$1000))&gt;0,TEXT(SUMPRODUCT(MAX(('Agences &amp; Après-vente'!$A$2:$A$1000=$A833)*(('Agences &amp; Après-vente'!$D$2:$D$1000="Agences")+('Agences &amp; Après-vente'!$D$2:$D$1000="Agences et Après-vente"))*'Agences &amp; Après-vente'!$E$2:$E$1000)),"yyyy-mm-dd"),"")))))</f>
        <v/>
      </c>
      <c r="H833" s="131" t="str">
        <f aca="false">IF($R833="✓","✓",IF(ISNUMBER($R833),TEXT($R833,"yyyy-mm-dd"),IF($A833="","",IF($D833="Lisbonne","",IF(SUMPRODUCT(('Agences &amp; Après-vente'!$A$2:$A$1000=$A833)*(('Agences &amp; Après-vente'!$D$2:$D$1000="Agences")+('Agences &amp; Après-vente'!$D$2:$D$1000="Agences et Après-vente"))*('Agences &amp; Après-vente'!$I$2:$I$1000="DONE"))&gt;0,"✓",IF(SUMPRODUCT(MAX(('Agences &amp; Après-vente'!$A$2:$A$1000=$A833)*(('Agences &amp; Après-vente'!$D$2:$D$1000="Agences")+('Agences &amp; Après-vente'!$D$2:$D$1000="Agences et Après-vente"))*'Agences &amp; Après-vente'!$E$2:$E$1000))&gt;0,TEXT(SUMPRODUCT(MAX(('Agences &amp; Après-vente'!$A$2:$A$1000=$A833)*(('Agences &amp; Après-vente'!$D$2:$D$1000="Agences")+('Agences &amp; Après-vente'!$D$2:$D$1000="Agences et Après-vente"))*'Agences &amp; Après-vente'!$E$2:$E$1000)),"yyyy-mm-dd"),""))))))</f>
        <v/>
      </c>
      <c r="I833" s="131" t="str">
        <f aca="false">IF($S833="✓","✓",IF(ISNUMBER($S833),TEXT($S833,"yyyy-mm-dd"),IF($A833="","",IF(SUMPRODUCT(('Agences &amp; Après-vente'!$A$2:$A$1000=$A833)*(('Agences &amp; Après-vente'!$D$2:$D$1000="Après-vente")+('Agences &amp; Après-vente'!$D$2:$D$1000="Agences et Après-vente"))*('Agences &amp; Après-vente'!$I$2:$I$1000="DONE"))&gt;0,"✓",IF(SUMPRODUCT(MAX(('Agences &amp; Après-vente'!$A$2:$A$1000=$A833)*(('Agences &amp; Après-vente'!$D$2:$D$1000="Après-vente")+('Agences &amp; Après-vente'!$D$2:$D$1000="Agences et Après-vente"))*'Agences &amp; Après-vente'!$E$2:$E$1000))&gt;0,TEXT(SUMPRODUCT(MAX(('Agences &amp; Après-vente'!$A$2:$A$1000=$A833)*(('Agences &amp; Après-vente'!$D$2:$D$1000="Après-vente")+('Agences &amp; Après-vente'!$D$2:$D$1000="Agences et Après-vente"))*'Agences &amp; Après-vente'!$E$2:$E$1000)),"yyyy-mm-dd"),"")))))</f>
        <v/>
      </c>
      <c r="J833" s="131" t="str">
        <f aca="false">IF($T833="✓","✓",IF(ISNUMBER($T833),TEXT($T833,"yyyy-mm-dd"),IF($A833="","",IF($D833="Lisbonne","",IF(SUMPRODUCT(('Agences &amp; Après-vente'!$A$2:$A$1000=$A833)*(('Agences &amp; Après-vente'!$D$2:$D$1000="Après-vente")+('Agences &amp; Après-vente'!$D$2:$D$1000="Agences et Après-vente"))*('Agences &amp; Après-vente'!$I$2:$I$1000="DONE"))&gt;0,"✓",IF(SUMPRODUCT(MAX(('Agences &amp; Après-vente'!$A$2:$A$1000=$A833)*(('Agences &amp; Après-vente'!$D$2:$D$1000="Après-vente")+('Agences &amp; Après-vente'!$D$2:$D$1000="Agences et Après-vente"))*'Agences &amp; Après-vente'!$E$2:$E$1000))&gt;0,TEXT(SUMPRODUCT(MAX(('Agences &amp; Après-vente'!$A$2:$A$1000=$A833)*(('Agences &amp; Après-vente'!$D$2:$D$1000="Après-vente")+('Agences &amp; Après-vente'!$D$2:$D$1000="Agences et Après-vente"))*'Agences &amp; Après-vente'!$E$2:$E$1000)),"yyyy-mm-dd"),""))))))</f>
        <v/>
      </c>
      <c r="K833" s="131" t="str">
        <f aca="false">IF($U833="✓","✓",IF(ISNUMBER($U833),TEXT($U833,"yyyy-mm-dd"),IF($D833="Lisbonne","",IF($A833="","",IF(SUMPRODUCT((Evermont!$A$2:$A$1000=$A833)*(Evermont!$Q$2:$Q$1000="Terminé"))&gt;0,"✓",IF(SUMPRODUCT(MAX((Evermont!$A$2:$A$1000=$A833)*Evermont!$F$2:$F$1000))&gt;0,TEXT(SUMPRODUCT(MAX((Evermont!$A$2:$A$1000=$A833)*Evermont!$F$2:$F$1000)),"yyyy-mm-dd"),""))))))</f>
        <v/>
      </c>
      <c r="L833" s="131" t="str">
        <f aca="false">IF($A833="","",COUNTIF(E833:K833,"✓"))</f>
        <v/>
      </c>
      <c r="M833" s="131" t="str">
        <f aca="false">IF(B833="","","Active")</f>
        <v/>
      </c>
      <c r="W833" s="120" t="str">
        <f aca="false">IF($A833="","",IF($X833&lt;&gt;"",$X833,IFERROR(INDEX('Formation Initiale'!$B$2:$B$999,MATCH($A833,'Formation Initiale'!$A$2:$A$999,0)),"Général")))</f>
        <v/>
      </c>
    </row>
    <row r="834" customFormat="false" ht="15" hidden="true" customHeight="true" outlineLevel="0" collapsed="false">
      <c r="A834" s="142" t="str">
        <f aca="false">IF(B834="","","TR"&amp;TEXT(ROW()-1,"000"))</f>
        <v/>
      </c>
      <c r="E834" s="130" t="str">
        <f aca="false">IF($O834="✓","✓",IF(ISNUMBER($O834),TEXT($O834,"yyyy-mm-dd"),IF($A834="","",IF(SUMPRODUCT(('Formation Initiale'!$A$2:$A$999=$A834)*('Formation Initiale'!$R$2:$R$999="Terminé"))&gt;0,"✓",IF(SUMPRODUCT(MAX(('Formation Initiale'!$A$2:$A$999=$A834)*'Formation Initiale'!$G$2:$G$999))&gt;0,TEXT(SUMPRODUCT(MAX(('Formation Initiale'!$A$2:$A$999=$A834)*'Formation Initiale'!$G$2:$G$999)),"yyyy-mm-dd"),"")))))</f>
        <v/>
      </c>
      <c r="F834" s="131" t="str">
        <f aca="false">IF($P834="✓","✓",IF(ISNUMBER($P834),TEXT($P834,"yyyy-mm-dd"),IF($A834="","",IF($D834="Lisbonne","",IF(SUMPRODUCT(('Formation Initiale'!$A$2:$A$999=$A834)*('Formation Initiale'!$R$2:$R$999="Terminé"))&gt;0,"✓",IF(SUMPRODUCT(MAX(('Formation Initiale'!$A$2:$A$999=$A834)*'Formation Initiale'!$G$2:$G$999))&gt;0,TEXT(SUMPRODUCT(MAX(('Formation Initiale'!$A$2:$A$999=$A834)*'Formation Initiale'!$G$2:$G$999)),"yyyy-mm-dd"),""))))))</f>
        <v/>
      </c>
      <c r="G834" s="131" t="str">
        <f aca="false">IF($Q834="✓","✓",IF(ISNUMBER($Q834),TEXT($Q834,"yyyy-mm-dd"),IF($A834="","",IF(SUMPRODUCT(('Agences &amp; Après-vente'!$A$2:$A$1000=$A834)*(('Agences &amp; Après-vente'!$D$2:$D$1000="Agences")+('Agences &amp; Après-vente'!$D$2:$D$1000="Agences et Après-vente"))*('Agences &amp; Après-vente'!$I$2:$I$1000="DONE"))&gt;0,"✓",IF(SUMPRODUCT(MAX(('Agences &amp; Après-vente'!$A$2:$A$1000=$A834)*(('Agences &amp; Après-vente'!$D$2:$D$1000="Agences")+('Agences &amp; Après-vente'!$D$2:$D$1000="Agences et Après-vente"))*'Agences &amp; Après-vente'!$E$2:$E$1000))&gt;0,TEXT(SUMPRODUCT(MAX(('Agences &amp; Après-vente'!$A$2:$A$1000=$A834)*(('Agences &amp; Après-vente'!$D$2:$D$1000="Agences")+('Agences &amp; Après-vente'!$D$2:$D$1000="Agences et Après-vente"))*'Agences &amp; Après-vente'!$E$2:$E$1000)),"yyyy-mm-dd"),"")))))</f>
        <v/>
      </c>
      <c r="H834" s="131" t="str">
        <f aca="false">IF($R834="✓","✓",IF(ISNUMBER($R834),TEXT($R834,"yyyy-mm-dd"),IF($A834="","",IF($D834="Lisbonne","",IF(SUMPRODUCT(('Agences &amp; Après-vente'!$A$2:$A$1000=$A834)*(('Agences &amp; Après-vente'!$D$2:$D$1000="Agences")+('Agences &amp; Après-vente'!$D$2:$D$1000="Agences et Après-vente"))*('Agences &amp; Après-vente'!$I$2:$I$1000="DONE"))&gt;0,"✓",IF(SUMPRODUCT(MAX(('Agences &amp; Après-vente'!$A$2:$A$1000=$A834)*(('Agences &amp; Après-vente'!$D$2:$D$1000="Agences")+('Agences &amp; Après-vente'!$D$2:$D$1000="Agences et Après-vente"))*'Agences &amp; Après-vente'!$E$2:$E$1000))&gt;0,TEXT(SUMPRODUCT(MAX(('Agences &amp; Après-vente'!$A$2:$A$1000=$A834)*(('Agences &amp; Après-vente'!$D$2:$D$1000="Agences")+('Agences &amp; Après-vente'!$D$2:$D$1000="Agences et Après-vente"))*'Agences &amp; Après-vente'!$E$2:$E$1000)),"yyyy-mm-dd"),""))))))</f>
        <v/>
      </c>
      <c r="I834" s="131" t="str">
        <f aca="false">IF($S834="✓","✓",IF(ISNUMBER($S834),TEXT($S834,"yyyy-mm-dd"),IF($A834="","",IF(SUMPRODUCT(('Agences &amp; Après-vente'!$A$2:$A$1000=$A834)*(('Agences &amp; Après-vente'!$D$2:$D$1000="Après-vente")+('Agences &amp; Après-vente'!$D$2:$D$1000="Agences et Après-vente"))*('Agences &amp; Après-vente'!$I$2:$I$1000="DONE"))&gt;0,"✓",IF(SUMPRODUCT(MAX(('Agences &amp; Après-vente'!$A$2:$A$1000=$A834)*(('Agences &amp; Après-vente'!$D$2:$D$1000="Après-vente")+('Agences &amp; Après-vente'!$D$2:$D$1000="Agences et Après-vente"))*'Agences &amp; Après-vente'!$E$2:$E$1000))&gt;0,TEXT(SUMPRODUCT(MAX(('Agences &amp; Après-vente'!$A$2:$A$1000=$A834)*(('Agences &amp; Après-vente'!$D$2:$D$1000="Après-vente")+('Agences &amp; Après-vente'!$D$2:$D$1000="Agences et Après-vente"))*'Agences &amp; Après-vente'!$E$2:$E$1000)),"yyyy-mm-dd"),"")))))</f>
        <v/>
      </c>
      <c r="J834" s="131" t="str">
        <f aca="false">IF($T834="✓","✓",IF(ISNUMBER($T834),TEXT($T834,"yyyy-mm-dd"),IF($A834="","",IF($D834="Lisbonne","",IF(SUMPRODUCT(('Agences &amp; Après-vente'!$A$2:$A$1000=$A834)*(('Agences &amp; Après-vente'!$D$2:$D$1000="Après-vente")+('Agences &amp; Après-vente'!$D$2:$D$1000="Agences et Après-vente"))*('Agences &amp; Après-vente'!$I$2:$I$1000="DONE"))&gt;0,"✓",IF(SUMPRODUCT(MAX(('Agences &amp; Après-vente'!$A$2:$A$1000=$A834)*(('Agences &amp; Après-vente'!$D$2:$D$1000="Après-vente")+('Agences &amp; Après-vente'!$D$2:$D$1000="Agences et Après-vente"))*'Agences &amp; Après-vente'!$E$2:$E$1000))&gt;0,TEXT(SUMPRODUCT(MAX(('Agences &amp; Après-vente'!$A$2:$A$1000=$A834)*(('Agences &amp; Après-vente'!$D$2:$D$1000="Après-vente")+('Agences &amp; Après-vente'!$D$2:$D$1000="Agences et Après-vente"))*'Agences &amp; Après-vente'!$E$2:$E$1000)),"yyyy-mm-dd"),""))))))</f>
        <v/>
      </c>
      <c r="K834" s="131" t="str">
        <f aca="false">IF($U834="✓","✓",IF(ISNUMBER($U834),TEXT($U834,"yyyy-mm-dd"),IF($D834="Lisbonne","",IF($A834="","",IF(SUMPRODUCT((Evermont!$A$2:$A$1000=$A834)*(Evermont!$Q$2:$Q$1000="Terminé"))&gt;0,"✓",IF(SUMPRODUCT(MAX((Evermont!$A$2:$A$1000=$A834)*Evermont!$F$2:$F$1000))&gt;0,TEXT(SUMPRODUCT(MAX((Evermont!$A$2:$A$1000=$A834)*Evermont!$F$2:$F$1000)),"yyyy-mm-dd"),""))))))</f>
        <v/>
      </c>
      <c r="L834" s="131" t="str">
        <f aca="false">IF($A834="","",COUNTIF(E834:K834,"✓"))</f>
        <v/>
      </c>
      <c r="M834" s="131" t="str">
        <f aca="false">IF(B834="","","Active")</f>
        <v/>
      </c>
      <c r="W834" s="120" t="str">
        <f aca="false">IF($A834="","",IF($X834&lt;&gt;"",$X834,IFERROR(INDEX('Formation Initiale'!$B$2:$B$999,MATCH($A834,'Formation Initiale'!$A$2:$A$999,0)),"Général")))</f>
        <v/>
      </c>
    </row>
    <row r="835" customFormat="false" ht="15" hidden="true" customHeight="true" outlineLevel="0" collapsed="false">
      <c r="A835" s="142" t="str">
        <f aca="false">IF(B835="","","TR"&amp;TEXT(ROW()-1,"000"))</f>
        <v/>
      </c>
      <c r="E835" s="130" t="str">
        <f aca="false">IF($O835="✓","✓",IF(ISNUMBER($O835),TEXT($O835,"yyyy-mm-dd"),IF($A835="","",IF(SUMPRODUCT(('Formation Initiale'!$A$2:$A$999=$A835)*('Formation Initiale'!$R$2:$R$999="Terminé"))&gt;0,"✓",IF(SUMPRODUCT(MAX(('Formation Initiale'!$A$2:$A$999=$A835)*'Formation Initiale'!$G$2:$G$999))&gt;0,TEXT(SUMPRODUCT(MAX(('Formation Initiale'!$A$2:$A$999=$A835)*'Formation Initiale'!$G$2:$G$999)),"yyyy-mm-dd"),"")))))</f>
        <v/>
      </c>
      <c r="F835" s="131" t="str">
        <f aca="false">IF($P835="✓","✓",IF(ISNUMBER($P835),TEXT($P835,"yyyy-mm-dd"),IF($A835="","",IF($D835="Lisbonne","",IF(SUMPRODUCT(('Formation Initiale'!$A$2:$A$999=$A835)*('Formation Initiale'!$R$2:$R$999="Terminé"))&gt;0,"✓",IF(SUMPRODUCT(MAX(('Formation Initiale'!$A$2:$A$999=$A835)*'Formation Initiale'!$G$2:$G$999))&gt;0,TEXT(SUMPRODUCT(MAX(('Formation Initiale'!$A$2:$A$999=$A835)*'Formation Initiale'!$G$2:$G$999)),"yyyy-mm-dd"),""))))))</f>
        <v/>
      </c>
      <c r="G835" s="131" t="str">
        <f aca="false">IF($Q835="✓","✓",IF(ISNUMBER($Q835),TEXT($Q835,"yyyy-mm-dd"),IF($A835="","",IF(SUMPRODUCT(('Agences &amp; Après-vente'!$A$2:$A$1000=$A835)*(('Agences &amp; Après-vente'!$D$2:$D$1000="Agences")+('Agences &amp; Après-vente'!$D$2:$D$1000="Agences et Après-vente"))*('Agences &amp; Après-vente'!$I$2:$I$1000="DONE"))&gt;0,"✓",IF(SUMPRODUCT(MAX(('Agences &amp; Après-vente'!$A$2:$A$1000=$A835)*(('Agences &amp; Après-vente'!$D$2:$D$1000="Agences")+('Agences &amp; Après-vente'!$D$2:$D$1000="Agences et Après-vente"))*'Agences &amp; Après-vente'!$E$2:$E$1000))&gt;0,TEXT(SUMPRODUCT(MAX(('Agences &amp; Après-vente'!$A$2:$A$1000=$A835)*(('Agences &amp; Après-vente'!$D$2:$D$1000="Agences")+('Agences &amp; Après-vente'!$D$2:$D$1000="Agences et Après-vente"))*'Agences &amp; Après-vente'!$E$2:$E$1000)),"yyyy-mm-dd"),"")))))</f>
        <v/>
      </c>
      <c r="H835" s="131" t="str">
        <f aca="false">IF($R835="✓","✓",IF(ISNUMBER($R835),TEXT($R835,"yyyy-mm-dd"),IF($A835="","",IF($D835="Lisbonne","",IF(SUMPRODUCT(('Agences &amp; Après-vente'!$A$2:$A$1000=$A835)*(('Agences &amp; Après-vente'!$D$2:$D$1000="Agences")+('Agences &amp; Après-vente'!$D$2:$D$1000="Agences et Après-vente"))*('Agences &amp; Après-vente'!$I$2:$I$1000="DONE"))&gt;0,"✓",IF(SUMPRODUCT(MAX(('Agences &amp; Après-vente'!$A$2:$A$1000=$A835)*(('Agences &amp; Après-vente'!$D$2:$D$1000="Agences")+('Agences &amp; Après-vente'!$D$2:$D$1000="Agences et Après-vente"))*'Agences &amp; Après-vente'!$E$2:$E$1000))&gt;0,TEXT(SUMPRODUCT(MAX(('Agences &amp; Après-vente'!$A$2:$A$1000=$A835)*(('Agences &amp; Après-vente'!$D$2:$D$1000="Agences")+('Agences &amp; Après-vente'!$D$2:$D$1000="Agences et Après-vente"))*'Agences &amp; Après-vente'!$E$2:$E$1000)),"yyyy-mm-dd"),""))))))</f>
        <v/>
      </c>
      <c r="I835" s="131" t="str">
        <f aca="false">IF($S835="✓","✓",IF(ISNUMBER($S835),TEXT($S835,"yyyy-mm-dd"),IF($A835="","",IF(SUMPRODUCT(('Agences &amp; Après-vente'!$A$2:$A$1000=$A835)*(('Agences &amp; Après-vente'!$D$2:$D$1000="Après-vente")+('Agences &amp; Après-vente'!$D$2:$D$1000="Agences et Après-vente"))*('Agences &amp; Après-vente'!$I$2:$I$1000="DONE"))&gt;0,"✓",IF(SUMPRODUCT(MAX(('Agences &amp; Après-vente'!$A$2:$A$1000=$A835)*(('Agences &amp; Après-vente'!$D$2:$D$1000="Après-vente")+('Agences &amp; Après-vente'!$D$2:$D$1000="Agences et Après-vente"))*'Agences &amp; Après-vente'!$E$2:$E$1000))&gt;0,TEXT(SUMPRODUCT(MAX(('Agences &amp; Après-vente'!$A$2:$A$1000=$A835)*(('Agences &amp; Après-vente'!$D$2:$D$1000="Après-vente")+('Agences &amp; Après-vente'!$D$2:$D$1000="Agences et Après-vente"))*'Agences &amp; Après-vente'!$E$2:$E$1000)),"yyyy-mm-dd"),"")))))</f>
        <v/>
      </c>
      <c r="J835" s="131" t="str">
        <f aca="false">IF($T835="✓","✓",IF(ISNUMBER($T835),TEXT($T835,"yyyy-mm-dd"),IF($A835="","",IF($D835="Lisbonne","",IF(SUMPRODUCT(('Agences &amp; Après-vente'!$A$2:$A$1000=$A835)*(('Agences &amp; Après-vente'!$D$2:$D$1000="Après-vente")+('Agences &amp; Après-vente'!$D$2:$D$1000="Agences et Après-vente"))*('Agences &amp; Après-vente'!$I$2:$I$1000="DONE"))&gt;0,"✓",IF(SUMPRODUCT(MAX(('Agences &amp; Après-vente'!$A$2:$A$1000=$A835)*(('Agences &amp; Après-vente'!$D$2:$D$1000="Après-vente")+('Agences &amp; Après-vente'!$D$2:$D$1000="Agences et Après-vente"))*'Agences &amp; Après-vente'!$E$2:$E$1000))&gt;0,TEXT(SUMPRODUCT(MAX(('Agences &amp; Après-vente'!$A$2:$A$1000=$A835)*(('Agences &amp; Après-vente'!$D$2:$D$1000="Après-vente")+('Agences &amp; Après-vente'!$D$2:$D$1000="Agences et Après-vente"))*'Agences &amp; Après-vente'!$E$2:$E$1000)),"yyyy-mm-dd"),""))))))</f>
        <v/>
      </c>
      <c r="K835" s="131" t="str">
        <f aca="false">IF($U835="✓","✓",IF(ISNUMBER($U835),TEXT($U835,"yyyy-mm-dd"),IF($D835="Lisbonne","",IF($A835="","",IF(SUMPRODUCT((Evermont!$A$2:$A$1000=$A835)*(Evermont!$Q$2:$Q$1000="Terminé"))&gt;0,"✓",IF(SUMPRODUCT(MAX((Evermont!$A$2:$A$1000=$A835)*Evermont!$F$2:$F$1000))&gt;0,TEXT(SUMPRODUCT(MAX((Evermont!$A$2:$A$1000=$A835)*Evermont!$F$2:$F$1000)),"yyyy-mm-dd"),""))))))</f>
        <v/>
      </c>
      <c r="L835" s="131" t="str">
        <f aca="false">IF($A835="","",COUNTIF(E835:K835,"✓"))</f>
        <v/>
      </c>
      <c r="M835" s="131" t="str">
        <f aca="false">IF(B835="","","Active")</f>
        <v/>
      </c>
      <c r="W835" s="120" t="str">
        <f aca="false">IF($A835="","",IF($X835&lt;&gt;"",$X835,IFERROR(INDEX('Formation Initiale'!$B$2:$B$999,MATCH($A835,'Formation Initiale'!$A$2:$A$999,0)),"Général")))</f>
        <v/>
      </c>
    </row>
    <row r="836" customFormat="false" ht="15" hidden="true" customHeight="true" outlineLevel="0" collapsed="false">
      <c r="A836" s="142" t="str">
        <f aca="false">IF(B836="","","TR"&amp;TEXT(ROW()-1,"000"))</f>
        <v/>
      </c>
      <c r="E836" s="130" t="str">
        <f aca="false">IF($O836="✓","✓",IF(ISNUMBER($O836),TEXT($O836,"yyyy-mm-dd"),IF($A836="","",IF(SUMPRODUCT(('Formation Initiale'!$A$2:$A$999=$A836)*('Formation Initiale'!$R$2:$R$999="Terminé"))&gt;0,"✓",IF(SUMPRODUCT(MAX(('Formation Initiale'!$A$2:$A$999=$A836)*'Formation Initiale'!$G$2:$G$999))&gt;0,TEXT(SUMPRODUCT(MAX(('Formation Initiale'!$A$2:$A$999=$A836)*'Formation Initiale'!$G$2:$G$999)),"yyyy-mm-dd"),"")))))</f>
        <v/>
      </c>
      <c r="F836" s="131" t="str">
        <f aca="false">IF($P836="✓","✓",IF(ISNUMBER($P836),TEXT($P836,"yyyy-mm-dd"),IF($A836="","",IF($D836="Lisbonne","",IF(SUMPRODUCT(('Formation Initiale'!$A$2:$A$999=$A836)*('Formation Initiale'!$R$2:$R$999="Terminé"))&gt;0,"✓",IF(SUMPRODUCT(MAX(('Formation Initiale'!$A$2:$A$999=$A836)*'Formation Initiale'!$G$2:$G$999))&gt;0,TEXT(SUMPRODUCT(MAX(('Formation Initiale'!$A$2:$A$999=$A836)*'Formation Initiale'!$G$2:$G$999)),"yyyy-mm-dd"),""))))))</f>
        <v/>
      </c>
      <c r="G836" s="131" t="str">
        <f aca="false">IF($Q836="✓","✓",IF(ISNUMBER($Q836),TEXT($Q836,"yyyy-mm-dd"),IF($A836="","",IF(SUMPRODUCT(('Agences &amp; Après-vente'!$A$2:$A$1000=$A836)*(('Agences &amp; Après-vente'!$D$2:$D$1000="Agences")+('Agences &amp; Après-vente'!$D$2:$D$1000="Agences et Après-vente"))*('Agences &amp; Après-vente'!$I$2:$I$1000="DONE"))&gt;0,"✓",IF(SUMPRODUCT(MAX(('Agences &amp; Après-vente'!$A$2:$A$1000=$A836)*(('Agences &amp; Après-vente'!$D$2:$D$1000="Agences")+('Agences &amp; Après-vente'!$D$2:$D$1000="Agences et Après-vente"))*'Agences &amp; Après-vente'!$E$2:$E$1000))&gt;0,TEXT(SUMPRODUCT(MAX(('Agences &amp; Après-vente'!$A$2:$A$1000=$A836)*(('Agences &amp; Après-vente'!$D$2:$D$1000="Agences")+('Agences &amp; Après-vente'!$D$2:$D$1000="Agences et Après-vente"))*'Agences &amp; Après-vente'!$E$2:$E$1000)),"yyyy-mm-dd"),"")))))</f>
        <v/>
      </c>
      <c r="H836" s="131" t="str">
        <f aca="false">IF($R836="✓","✓",IF(ISNUMBER($R836),TEXT($R836,"yyyy-mm-dd"),IF($A836="","",IF($D836="Lisbonne","",IF(SUMPRODUCT(('Agences &amp; Après-vente'!$A$2:$A$1000=$A836)*(('Agences &amp; Après-vente'!$D$2:$D$1000="Agences")+('Agences &amp; Après-vente'!$D$2:$D$1000="Agences et Après-vente"))*('Agences &amp; Après-vente'!$I$2:$I$1000="DONE"))&gt;0,"✓",IF(SUMPRODUCT(MAX(('Agences &amp; Après-vente'!$A$2:$A$1000=$A836)*(('Agences &amp; Après-vente'!$D$2:$D$1000="Agences")+('Agences &amp; Après-vente'!$D$2:$D$1000="Agences et Après-vente"))*'Agences &amp; Après-vente'!$E$2:$E$1000))&gt;0,TEXT(SUMPRODUCT(MAX(('Agences &amp; Après-vente'!$A$2:$A$1000=$A836)*(('Agences &amp; Après-vente'!$D$2:$D$1000="Agences")+('Agences &amp; Après-vente'!$D$2:$D$1000="Agences et Après-vente"))*'Agences &amp; Après-vente'!$E$2:$E$1000)),"yyyy-mm-dd"),""))))))</f>
        <v/>
      </c>
      <c r="I836" s="131" t="str">
        <f aca="false">IF($S836="✓","✓",IF(ISNUMBER($S836),TEXT($S836,"yyyy-mm-dd"),IF($A836="","",IF(SUMPRODUCT(('Agences &amp; Après-vente'!$A$2:$A$1000=$A836)*(('Agences &amp; Après-vente'!$D$2:$D$1000="Après-vente")+('Agences &amp; Après-vente'!$D$2:$D$1000="Agences et Après-vente"))*('Agences &amp; Après-vente'!$I$2:$I$1000="DONE"))&gt;0,"✓",IF(SUMPRODUCT(MAX(('Agences &amp; Après-vente'!$A$2:$A$1000=$A836)*(('Agences &amp; Après-vente'!$D$2:$D$1000="Après-vente")+('Agences &amp; Après-vente'!$D$2:$D$1000="Agences et Après-vente"))*'Agences &amp; Après-vente'!$E$2:$E$1000))&gt;0,TEXT(SUMPRODUCT(MAX(('Agences &amp; Après-vente'!$A$2:$A$1000=$A836)*(('Agences &amp; Après-vente'!$D$2:$D$1000="Après-vente")+('Agences &amp; Après-vente'!$D$2:$D$1000="Agences et Après-vente"))*'Agences &amp; Après-vente'!$E$2:$E$1000)),"yyyy-mm-dd"),"")))))</f>
        <v/>
      </c>
      <c r="J836" s="131" t="str">
        <f aca="false">IF($T836="✓","✓",IF(ISNUMBER($T836),TEXT($T836,"yyyy-mm-dd"),IF($A836="","",IF($D836="Lisbonne","",IF(SUMPRODUCT(('Agences &amp; Après-vente'!$A$2:$A$1000=$A836)*(('Agences &amp; Après-vente'!$D$2:$D$1000="Après-vente")+('Agences &amp; Après-vente'!$D$2:$D$1000="Agences et Après-vente"))*('Agences &amp; Après-vente'!$I$2:$I$1000="DONE"))&gt;0,"✓",IF(SUMPRODUCT(MAX(('Agences &amp; Après-vente'!$A$2:$A$1000=$A836)*(('Agences &amp; Après-vente'!$D$2:$D$1000="Après-vente")+('Agences &amp; Après-vente'!$D$2:$D$1000="Agences et Après-vente"))*'Agences &amp; Après-vente'!$E$2:$E$1000))&gt;0,TEXT(SUMPRODUCT(MAX(('Agences &amp; Après-vente'!$A$2:$A$1000=$A836)*(('Agences &amp; Après-vente'!$D$2:$D$1000="Après-vente")+('Agences &amp; Après-vente'!$D$2:$D$1000="Agences et Après-vente"))*'Agences &amp; Après-vente'!$E$2:$E$1000)),"yyyy-mm-dd"),""))))))</f>
        <v/>
      </c>
      <c r="K836" s="131" t="str">
        <f aca="false">IF($U836="✓","✓",IF(ISNUMBER($U836),TEXT($U836,"yyyy-mm-dd"),IF($D836="Lisbonne","",IF($A836="","",IF(SUMPRODUCT((Evermont!$A$2:$A$1000=$A836)*(Evermont!$Q$2:$Q$1000="Terminé"))&gt;0,"✓",IF(SUMPRODUCT(MAX((Evermont!$A$2:$A$1000=$A836)*Evermont!$F$2:$F$1000))&gt;0,TEXT(SUMPRODUCT(MAX((Evermont!$A$2:$A$1000=$A836)*Evermont!$F$2:$F$1000)),"yyyy-mm-dd"),""))))))</f>
        <v/>
      </c>
      <c r="L836" s="131" t="str">
        <f aca="false">IF($A836="","",COUNTIF(E836:K836,"✓"))</f>
        <v/>
      </c>
      <c r="M836" s="131" t="str">
        <f aca="false">IF(B836="","","Active")</f>
        <v/>
      </c>
      <c r="W836" s="120" t="str">
        <f aca="false">IF($A836="","",IF($X836&lt;&gt;"",$X836,IFERROR(INDEX('Formation Initiale'!$B$2:$B$999,MATCH($A836,'Formation Initiale'!$A$2:$A$999,0)),"Général")))</f>
        <v/>
      </c>
    </row>
    <row r="837" customFormat="false" ht="15" hidden="true" customHeight="true" outlineLevel="0" collapsed="false">
      <c r="A837" s="142" t="str">
        <f aca="false">IF(B837="","","TR"&amp;TEXT(ROW()-1,"000"))</f>
        <v/>
      </c>
      <c r="E837" s="130" t="str">
        <f aca="false">IF($O837="✓","✓",IF(ISNUMBER($O837),TEXT($O837,"yyyy-mm-dd"),IF($A837="","",IF(SUMPRODUCT(('Formation Initiale'!$A$2:$A$999=$A837)*('Formation Initiale'!$R$2:$R$999="Terminé"))&gt;0,"✓",IF(SUMPRODUCT(MAX(('Formation Initiale'!$A$2:$A$999=$A837)*'Formation Initiale'!$G$2:$G$999))&gt;0,TEXT(SUMPRODUCT(MAX(('Formation Initiale'!$A$2:$A$999=$A837)*'Formation Initiale'!$G$2:$G$999)),"yyyy-mm-dd"),"")))))</f>
        <v/>
      </c>
      <c r="F837" s="131" t="str">
        <f aca="false">IF($P837="✓","✓",IF(ISNUMBER($P837),TEXT($P837,"yyyy-mm-dd"),IF($A837="","",IF($D837="Lisbonne","",IF(SUMPRODUCT(('Formation Initiale'!$A$2:$A$999=$A837)*('Formation Initiale'!$R$2:$R$999="Terminé"))&gt;0,"✓",IF(SUMPRODUCT(MAX(('Formation Initiale'!$A$2:$A$999=$A837)*'Formation Initiale'!$G$2:$G$999))&gt;0,TEXT(SUMPRODUCT(MAX(('Formation Initiale'!$A$2:$A$999=$A837)*'Formation Initiale'!$G$2:$G$999)),"yyyy-mm-dd"),""))))))</f>
        <v/>
      </c>
      <c r="G837" s="131" t="str">
        <f aca="false">IF($Q837="✓","✓",IF(ISNUMBER($Q837),TEXT($Q837,"yyyy-mm-dd"),IF($A837="","",IF(SUMPRODUCT(('Agences &amp; Après-vente'!$A$2:$A$1000=$A837)*(('Agences &amp; Après-vente'!$D$2:$D$1000="Agences")+('Agences &amp; Après-vente'!$D$2:$D$1000="Agences et Après-vente"))*('Agences &amp; Après-vente'!$I$2:$I$1000="DONE"))&gt;0,"✓",IF(SUMPRODUCT(MAX(('Agences &amp; Après-vente'!$A$2:$A$1000=$A837)*(('Agences &amp; Après-vente'!$D$2:$D$1000="Agences")+('Agences &amp; Après-vente'!$D$2:$D$1000="Agences et Après-vente"))*'Agences &amp; Après-vente'!$E$2:$E$1000))&gt;0,TEXT(SUMPRODUCT(MAX(('Agences &amp; Après-vente'!$A$2:$A$1000=$A837)*(('Agences &amp; Après-vente'!$D$2:$D$1000="Agences")+('Agences &amp; Après-vente'!$D$2:$D$1000="Agences et Après-vente"))*'Agences &amp; Après-vente'!$E$2:$E$1000)),"yyyy-mm-dd"),"")))))</f>
        <v/>
      </c>
      <c r="H837" s="131" t="str">
        <f aca="false">IF($R837="✓","✓",IF(ISNUMBER($R837),TEXT($R837,"yyyy-mm-dd"),IF($A837="","",IF($D837="Lisbonne","",IF(SUMPRODUCT(('Agences &amp; Après-vente'!$A$2:$A$1000=$A837)*(('Agences &amp; Après-vente'!$D$2:$D$1000="Agences")+('Agences &amp; Après-vente'!$D$2:$D$1000="Agences et Après-vente"))*('Agences &amp; Après-vente'!$I$2:$I$1000="DONE"))&gt;0,"✓",IF(SUMPRODUCT(MAX(('Agences &amp; Après-vente'!$A$2:$A$1000=$A837)*(('Agences &amp; Après-vente'!$D$2:$D$1000="Agences")+('Agences &amp; Après-vente'!$D$2:$D$1000="Agences et Après-vente"))*'Agences &amp; Après-vente'!$E$2:$E$1000))&gt;0,TEXT(SUMPRODUCT(MAX(('Agences &amp; Après-vente'!$A$2:$A$1000=$A837)*(('Agences &amp; Après-vente'!$D$2:$D$1000="Agences")+('Agences &amp; Après-vente'!$D$2:$D$1000="Agences et Après-vente"))*'Agences &amp; Après-vente'!$E$2:$E$1000)),"yyyy-mm-dd"),""))))))</f>
        <v/>
      </c>
      <c r="I837" s="131" t="str">
        <f aca="false">IF($S837="✓","✓",IF(ISNUMBER($S837),TEXT($S837,"yyyy-mm-dd"),IF($A837="","",IF(SUMPRODUCT(('Agences &amp; Après-vente'!$A$2:$A$1000=$A837)*(('Agences &amp; Après-vente'!$D$2:$D$1000="Après-vente")+('Agences &amp; Après-vente'!$D$2:$D$1000="Agences et Après-vente"))*('Agences &amp; Après-vente'!$I$2:$I$1000="DONE"))&gt;0,"✓",IF(SUMPRODUCT(MAX(('Agences &amp; Après-vente'!$A$2:$A$1000=$A837)*(('Agences &amp; Après-vente'!$D$2:$D$1000="Après-vente")+('Agences &amp; Après-vente'!$D$2:$D$1000="Agences et Après-vente"))*'Agences &amp; Après-vente'!$E$2:$E$1000))&gt;0,TEXT(SUMPRODUCT(MAX(('Agences &amp; Après-vente'!$A$2:$A$1000=$A837)*(('Agences &amp; Après-vente'!$D$2:$D$1000="Après-vente")+('Agences &amp; Après-vente'!$D$2:$D$1000="Agences et Après-vente"))*'Agences &amp; Après-vente'!$E$2:$E$1000)),"yyyy-mm-dd"),"")))))</f>
        <v/>
      </c>
      <c r="J837" s="131" t="str">
        <f aca="false">IF($T837="✓","✓",IF(ISNUMBER($T837),TEXT($T837,"yyyy-mm-dd"),IF($A837="","",IF($D837="Lisbonne","",IF(SUMPRODUCT(('Agences &amp; Après-vente'!$A$2:$A$1000=$A837)*(('Agences &amp; Après-vente'!$D$2:$D$1000="Après-vente")+('Agences &amp; Après-vente'!$D$2:$D$1000="Agences et Après-vente"))*('Agences &amp; Après-vente'!$I$2:$I$1000="DONE"))&gt;0,"✓",IF(SUMPRODUCT(MAX(('Agences &amp; Après-vente'!$A$2:$A$1000=$A837)*(('Agences &amp; Après-vente'!$D$2:$D$1000="Après-vente")+('Agences &amp; Après-vente'!$D$2:$D$1000="Agences et Après-vente"))*'Agences &amp; Après-vente'!$E$2:$E$1000))&gt;0,TEXT(SUMPRODUCT(MAX(('Agences &amp; Après-vente'!$A$2:$A$1000=$A837)*(('Agences &amp; Après-vente'!$D$2:$D$1000="Après-vente")+('Agences &amp; Après-vente'!$D$2:$D$1000="Agences et Après-vente"))*'Agences &amp; Après-vente'!$E$2:$E$1000)),"yyyy-mm-dd"),""))))))</f>
        <v/>
      </c>
      <c r="K837" s="131" t="str">
        <f aca="false">IF($U837="✓","✓",IF(ISNUMBER($U837),TEXT($U837,"yyyy-mm-dd"),IF($D837="Lisbonne","",IF($A837="","",IF(SUMPRODUCT((Evermont!$A$2:$A$1000=$A837)*(Evermont!$Q$2:$Q$1000="Terminé"))&gt;0,"✓",IF(SUMPRODUCT(MAX((Evermont!$A$2:$A$1000=$A837)*Evermont!$F$2:$F$1000))&gt;0,TEXT(SUMPRODUCT(MAX((Evermont!$A$2:$A$1000=$A837)*Evermont!$F$2:$F$1000)),"yyyy-mm-dd"),""))))))</f>
        <v/>
      </c>
      <c r="L837" s="131" t="str">
        <f aca="false">IF($A837="","",COUNTIF(E837:K837,"✓"))</f>
        <v/>
      </c>
      <c r="M837" s="131" t="str">
        <f aca="false">IF(B837="","","Active")</f>
        <v/>
      </c>
      <c r="W837" s="120" t="str">
        <f aca="false">IF($A837="","",IF($X837&lt;&gt;"",$X837,IFERROR(INDEX('Formation Initiale'!$B$2:$B$999,MATCH($A837,'Formation Initiale'!$A$2:$A$999,0)),"Général")))</f>
        <v/>
      </c>
    </row>
    <row r="838" customFormat="false" ht="15" hidden="true" customHeight="true" outlineLevel="0" collapsed="false">
      <c r="A838" s="142" t="str">
        <f aca="false">IF(B838="","","TR"&amp;TEXT(ROW()-1,"000"))</f>
        <v/>
      </c>
      <c r="E838" s="130" t="str">
        <f aca="false">IF($O838="✓","✓",IF(ISNUMBER($O838),TEXT($O838,"yyyy-mm-dd"),IF($A838="","",IF(SUMPRODUCT(('Formation Initiale'!$A$2:$A$999=$A838)*('Formation Initiale'!$R$2:$R$999="Terminé"))&gt;0,"✓",IF(SUMPRODUCT(MAX(('Formation Initiale'!$A$2:$A$999=$A838)*'Formation Initiale'!$G$2:$G$999))&gt;0,TEXT(SUMPRODUCT(MAX(('Formation Initiale'!$A$2:$A$999=$A838)*'Formation Initiale'!$G$2:$G$999)),"yyyy-mm-dd"),"")))))</f>
        <v/>
      </c>
      <c r="F838" s="131" t="str">
        <f aca="false">IF($P838="✓","✓",IF(ISNUMBER($P838),TEXT($P838,"yyyy-mm-dd"),IF($A838="","",IF($D838="Lisbonne","",IF(SUMPRODUCT(('Formation Initiale'!$A$2:$A$999=$A838)*('Formation Initiale'!$R$2:$R$999="Terminé"))&gt;0,"✓",IF(SUMPRODUCT(MAX(('Formation Initiale'!$A$2:$A$999=$A838)*'Formation Initiale'!$G$2:$G$999))&gt;0,TEXT(SUMPRODUCT(MAX(('Formation Initiale'!$A$2:$A$999=$A838)*'Formation Initiale'!$G$2:$G$999)),"yyyy-mm-dd"),""))))))</f>
        <v/>
      </c>
      <c r="G838" s="131" t="str">
        <f aca="false">IF($Q838="✓","✓",IF(ISNUMBER($Q838),TEXT($Q838,"yyyy-mm-dd"),IF($A838="","",IF(SUMPRODUCT(('Agences &amp; Après-vente'!$A$2:$A$1000=$A838)*(('Agences &amp; Après-vente'!$D$2:$D$1000="Agences")+('Agences &amp; Après-vente'!$D$2:$D$1000="Agences et Après-vente"))*('Agences &amp; Après-vente'!$I$2:$I$1000="DONE"))&gt;0,"✓",IF(SUMPRODUCT(MAX(('Agences &amp; Après-vente'!$A$2:$A$1000=$A838)*(('Agences &amp; Après-vente'!$D$2:$D$1000="Agences")+('Agences &amp; Après-vente'!$D$2:$D$1000="Agences et Après-vente"))*'Agences &amp; Après-vente'!$E$2:$E$1000))&gt;0,TEXT(SUMPRODUCT(MAX(('Agences &amp; Après-vente'!$A$2:$A$1000=$A838)*(('Agences &amp; Après-vente'!$D$2:$D$1000="Agences")+('Agences &amp; Après-vente'!$D$2:$D$1000="Agences et Après-vente"))*'Agences &amp; Après-vente'!$E$2:$E$1000)),"yyyy-mm-dd"),"")))))</f>
        <v/>
      </c>
      <c r="H838" s="131" t="str">
        <f aca="false">IF($R838="✓","✓",IF(ISNUMBER($R838),TEXT($R838,"yyyy-mm-dd"),IF($A838="","",IF($D838="Lisbonne","",IF(SUMPRODUCT(('Agences &amp; Après-vente'!$A$2:$A$1000=$A838)*(('Agences &amp; Après-vente'!$D$2:$D$1000="Agences")+('Agences &amp; Après-vente'!$D$2:$D$1000="Agences et Après-vente"))*('Agences &amp; Après-vente'!$I$2:$I$1000="DONE"))&gt;0,"✓",IF(SUMPRODUCT(MAX(('Agences &amp; Après-vente'!$A$2:$A$1000=$A838)*(('Agences &amp; Après-vente'!$D$2:$D$1000="Agences")+('Agences &amp; Après-vente'!$D$2:$D$1000="Agences et Après-vente"))*'Agences &amp; Après-vente'!$E$2:$E$1000))&gt;0,TEXT(SUMPRODUCT(MAX(('Agences &amp; Après-vente'!$A$2:$A$1000=$A838)*(('Agences &amp; Après-vente'!$D$2:$D$1000="Agences")+('Agences &amp; Après-vente'!$D$2:$D$1000="Agences et Après-vente"))*'Agences &amp; Après-vente'!$E$2:$E$1000)),"yyyy-mm-dd"),""))))))</f>
        <v/>
      </c>
      <c r="I838" s="131" t="str">
        <f aca="false">IF($S838="✓","✓",IF(ISNUMBER($S838),TEXT($S838,"yyyy-mm-dd"),IF($A838="","",IF(SUMPRODUCT(('Agences &amp; Après-vente'!$A$2:$A$1000=$A838)*(('Agences &amp; Après-vente'!$D$2:$D$1000="Après-vente")+('Agences &amp; Après-vente'!$D$2:$D$1000="Agences et Après-vente"))*('Agences &amp; Après-vente'!$I$2:$I$1000="DONE"))&gt;0,"✓",IF(SUMPRODUCT(MAX(('Agences &amp; Après-vente'!$A$2:$A$1000=$A838)*(('Agences &amp; Après-vente'!$D$2:$D$1000="Après-vente")+('Agences &amp; Après-vente'!$D$2:$D$1000="Agences et Après-vente"))*'Agences &amp; Après-vente'!$E$2:$E$1000))&gt;0,TEXT(SUMPRODUCT(MAX(('Agences &amp; Après-vente'!$A$2:$A$1000=$A838)*(('Agences &amp; Après-vente'!$D$2:$D$1000="Après-vente")+('Agences &amp; Après-vente'!$D$2:$D$1000="Agences et Après-vente"))*'Agences &amp; Après-vente'!$E$2:$E$1000)),"yyyy-mm-dd"),"")))))</f>
        <v/>
      </c>
      <c r="J838" s="131" t="str">
        <f aca="false">IF($T838="✓","✓",IF(ISNUMBER($T838),TEXT($T838,"yyyy-mm-dd"),IF($A838="","",IF($D838="Lisbonne","",IF(SUMPRODUCT(('Agences &amp; Après-vente'!$A$2:$A$1000=$A838)*(('Agences &amp; Après-vente'!$D$2:$D$1000="Après-vente")+('Agences &amp; Après-vente'!$D$2:$D$1000="Agences et Après-vente"))*('Agences &amp; Après-vente'!$I$2:$I$1000="DONE"))&gt;0,"✓",IF(SUMPRODUCT(MAX(('Agences &amp; Après-vente'!$A$2:$A$1000=$A838)*(('Agences &amp; Après-vente'!$D$2:$D$1000="Après-vente")+('Agences &amp; Après-vente'!$D$2:$D$1000="Agences et Après-vente"))*'Agences &amp; Après-vente'!$E$2:$E$1000))&gt;0,TEXT(SUMPRODUCT(MAX(('Agences &amp; Après-vente'!$A$2:$A$1000=$A838)*(('Agences &amp; Après-vente'!$D$2:$D$1000="Après-vente")+('Agences &amp; Après-vente'!$D$2:$D$1000="Agences et Après-vente"))*'Agences &amp; Après-vente'!$E$2:$E$1000)),"yyyy-mm-dd"),""))))))</f>
        <v/>
      </c>
      <c r="K838" s="131" t="str">
        <f aca="false">IF($U838="✓","✓",IF(ISNUMBER($U838),TEXT($U838,"yyyy-mm-dd"),IF($D838="Lisbonne","",IF($A838="","",IF(SUMPRODUCT((Evermont!$A$2:$A$1000=$A838)*(Evermont!$Q$2:$Q$1000="Terminé"))&gt;0,"✓",IF(SUMPRODUCT(MAX((Evermont!$A$2:$A$1000=$A838)*Evermont!$F$2:$F$1000))&gt;0,TEXT(SUMPRODUCT(MAX((Evermont!$A$2:$A$1000=$A838)*Evermont!$F$2:$F$1000)),"yyyy-mm-dd"),""))))))</f>
        <v/>
      </c>
      <c r="L838" s="131" t="str">
        <f aca="false">IF($A838="","",COUNTIF(E838:K838,"✓"))</f>
        <v/>
      </c>
      <c r="M838" s="131" t="str">
        <f aca="false">IF(B838="","","Active")</f>
        <v/>
      </c>
      <c r="W838" s="120" t="str">
        <f aca="false">IF($A838="","",IF($X838&lt;&gt;"",$X838,IFERROR(INDEX('Formation Initiale'!$B$2:$B$999,MATCH($A838,'Formation Initiale'!$A$2:$A$999,0)),"Général")))</f>
        <v/>
      </c>
    </row>
    <row r="839" customFormat="false" ht="15" hidden="true" customHeight="true" outlineLevel="0" collapsed="false">
      <c r="A839" s="142" t="str">
        <f aca="false">IF(B839="","","TR"&amp;TEXT(ROW()-1,"000"))</f>
        <v/>
      </c>
      <c r="E839" s="130" t="str">
        <f aca="false">IF($O839="✓","✓",IF(ISNUMBER($O839),TEXT($O839,"yyyy-mm-dd"),IF($A839="","",IF(SUMPRODUCT(('Formation Initiale'!$A$2:$A$999=$A839)*('Formation Initiale'!$R$2:$R$999="Terminé"))&gt;0,"✓",IF(SUMPRODUCT(MAX(('Formation Initiale'!$A$2:$A$999=$A839)*'Formation Initiale'!$G$2:$G$999))&gt;0,TEXT(SUMPRODUCT(MAX(('Formation Initiale'!$A$2:$A$999=$A839)*'Formation Initiale'!$G$2:$G$999)),"yyyy-mm-dd"),"")))))</f>
        <v/>
      </c>
      <c r="F839" s="131" t="str">
        <f aca="false">IF($P839="✓","✓",IF(ISNUMBER($P839),TEXT($P839,"yyyy-mm-dd"),IF($A839="","",IF($D839="Lisbonne","",IF(SUMPRODUCT(('Formation Initiale'!$A$2:$A$999=$A839)*('Formation Initiale'!$R$2:$R$999="Terminé"))&gt;0,"✓",IF(SUMPRODUCT(MAX(('Formation Initiale'!$A$2:$A$999=$A839)*'Formation Initiale'!$G$2:$G$999))&gt;0,TEXT(SUMPRODUCT(MAX(('Formation Initiale'!$A$2:$A$999=$A839)*'Formation Initiale'!$G$2:$G$999)),"yyyy-mm-dd"),""))))))</f>
        <v/>
      </c>
      <c r="G839" s="131" t="str">
        <f aca="false">IF($Q839="✓","✓",IF(ISNUMBER($Q839),TEXT($Q839,"yyyy-mm-dd"),IF($A839="","",IF(SUMPRODUCT(('Agences &amp; Après-vente'!$A$2:$A$1000=$A839)*(('Agences &amp; Après-vente'!$D$2:$D$1000="Agences")+('Agences &amp; Après-vente'!$D$2:$D$1000="Agences et Après-vente"))*('Agences &amp; Après-vente'!$I$2:$I$1000="DONE"))&gt;0,"✓",IF(SUMPRODUCT(MAX(('Agences &amp; Après-vente'!$A$2:$A$1000=$A839)*(('Agences &amp; Après-vente'!$D$2:$D$1000="Agences")+('Agences &amp; Après-vente'!$D$2:$D$1000="Agences et Après-vente"))*'Agences &amp; Après-vente'!$E$2:$E$1000))&gt;0,TEXT(SUMPRODUCT(MAX(('Agences &amp; Après-vente'!$A$2:$A$1000=$A839)*(('Agences &amp; Après-vente'!$D$2:$D$1000="Agences")+('Agences &amp; Après-vente'!$D$2:$D$1000="Agences et Après-vente"))*'Agences &amp; Après-vente'!$E$2:$E$1000)),"yyyy-mm-dd"),"")))))</f>
        <v/>
      </c>
      <c r="H839" s="131" t="str">
        <f aca="false">IF($R839="✓","✓",IF(ISNUMBER($R839),TEXT($R839,"yyyy-mm-dd"),IF($A839="","",IF($D839="Lisbonne","",IF(SUMPRODUCT(('Agences &amp; Après-vente'!$A$2:$A$1000=$A839)*(('Agences &amp; Après-vente'!$D$2:$D$1000="Agences")+('Agences &amp; Après-vente'!$D$2:$D$1000="Agences et Après-vente"))*('Agences &amp; Après-vente'!$I$2:$I$1000="DONE"))&gt;0,"✓",IF(SUMPRODUCT(MAX(('Agences &amp; Après-vente'!$A$2:$A$1000=$A839)*(('Agences &amp; Après-vente'!$D$2:$D$1000="Agences")+('Agences &amp; Après-vente'!$D$2:$D$1000="Agences et Après-vente"))*'Agences &amp; Après-vente'!$E$2:$E$1000))&gt;0,TEXT(SUMPRODUCT(MAX(('Agences &amp; Après-vente'!$A$2:$A$1000=$A839)*(('Agences &amp; Après-vente'!$D$2:$D$1000="Agences")+('Agences &amp; Après-vente'!$D$2:$D$1000="Agences et Après-vente"))*'Agences &amp; Après-vente'!$E$2:$E$1000)),"yyyy-mm-dd"),""))))))</f>
        <v/>
      </c>
      <c r="I839" s="131" t="str">
        <f aca="false">IF($S839="✓","✓",IF(ISNUMBER($S839),TEXT($S839,"yyyy-mm-dd"),IF($A839="","",IF(SUMPRODUCT(('Agences &amp; Après-vente'!$A$2:$A$1000=$A839)*(('Agences &amp; Après-vente'!$D$2:$D$1000="Après-vente")+('Agences &amp; Après-vente'!$D$2:$D$1000="Agences et Après-vente"))*('Agences &amp; Après-vente'!$I$2:$I$1000="DONE"))&gt;0,"✓",IF(SUMPRODUCT(MAX(('Agences &amp; Après-vente'!$A$2:$A$1000=$A839)*(('Agences &amp; Après-vente'!$D$2:$D$1000="Après-vente")+('Agences &amp; Après-vente'!$D$2:$D$1000="Agences et Après-vente"))*'Agences &amp; Après-vente'!$E$2:$E$1000))&gt;0,TEXT(SUMPRODUCT(MAX(('Agences &amp; Après-vente'!$A$2:$A$1000=$A839)*(('Agences &amp; Après-vente'!$D$2:$D$1000="Après-vente")+('Agences &amp; Après-vente'!$D$2:$D$1000="Agences et Après-vente"))*'Agences &amp; Après-vente'!$E$2:$E$1000)),"yyyy-mm-dd"),"")))))</f>
        <v/>
      </c>
      <c r="J839" s="131" t="str">
        <f aca="false">IF($T839="✓","✓",IF(ISNUMBER($T839),TEXT($T839,"yyyy-mm-dd"),IF($A839="","",IF($D839="Lisbonne","",IF(SUMPRODUCT(('Agences &amp; Après-vente'!$A$2:$A$1000=$A839)*(('Agences &amp; Après-vente'!$D$2:$D$1000="Après-vente")+('Agences &amp; Après-vente'!$D$2:$D$1000="Agences et Après-vente"))*('Agences &amp; Après-vente'!$I$2:$I$1000="DONE"))&gt;0,"✓",IF(SUMPRODUCT(MAX(('Agences &amp; Après-vente'!$A$2:$A$1000=$A839)*(('Agences &amp; Après-vente'!$D$2:$D$1000="Après-vente")+('Agences &amp; Après-vente'!$D$2:$D$1000="Agences et Après-vente"))*'Agences &amp; Après-vente'!$E$2:$E$1000))&gt;0,TEXT(SUMPRODUCT(MAX(('Agences &amp; Après-vente'!$A$2:$A$1000=$A839)*(('Agences &amp; Après-vente'!$D$2:$D$1000="Après-vente")+('Agences &amp; Après-vente'!$D$2:$D$1000="Agences et Après-vente"))*'Agences &amp; Après-vente'!$E$2:$E$1000)),"yyyy-mm-dd"),""))))))</f>
        <v/>
      </c>
      <c r="K839" s="131" t="str">
        <f aca="false">IF($U839="✓","✓",IF(ISNUMBER($U839),TEXT($U839,"yyyy-mm-dd"),IF($D839="Lisbonne","",IF($A839="","",IF(SUMPRODUCT((Evermont!$A$2:$A$1000=$A839)*(Evermont!$Q$2:$Q$1000="Terminé"))&gt;0,"✓",IF(SUMPRODUCT(MAX((Evermont!$A$2:$A$1000=$A839)*Evermont!$F$2:$F$1000))&gt;0,TEXT(SUMPRODUCT(MAX((Evermont!$A$2:$A$1000=$A839)*Evermont!$F$2:$F$1000)),"yyyy-mm-dd"),""))))))</f>
        <v/>
      </c>
      <c r="L839" s="131" t="str">
        <f aca="false">IF($A839="","",COUNTIF(E839:K839,"✓"))</f>
        <v/>
      </c>
      <c r="M839" s="131" t="str">
        <f aca="false">IF(B839="","","Active")</f>
        <v/>
      </c>
      <c r="W839" s="120" t="str">
        <f aca="false">IF($A839="","",IF($X839&lt;&gt;"",$X839,IFERROR(INDEX('Formation Initiale'!$B$2:$B$999,MATCH($A839,'Formation Initiale'!$A$2:$A$999,0)),"Général")))</f>
        <v/>
      </c>
    </row>
    <row r="840" customFormat="false" ht="15" hidden="true" customHeight="true" outlineLevel="0" collapsed="false">
      <c r="A840" s="142" t="str">
        <f aca="false">IF(B840="","","TR"&amp;TEXT(ROW()-1,"000"))</f>
        <v/>
      </c>
      <c r="E840" s="130" t="str">
        <f aca="false">IF($O840="✓","✓",IF(ISNUMBER($O840),TEXT($O840,"yyyy-mm-dd"),IF($A840="","",IF(SUMPRODUCT(('Formation Initiale'!$A$2:$A$999=$A840)*('Formation Initiale'!$R$2:$R$999="Terminé"))&gt;0,"✓",IF(SUMPRODUCT(MAX(('Formation Initiale'!$A$2:$A$999=$A840)*'Formation Initiale'!$G$2:$G$999))&gt;0,TEXT(SUMPRODUCT(MAX(('Formation Initiale'!$A$2:$A$999=$A840)*'Formation Initiale'!$G$2:$G$999)),"yyyy-mm-dd"),"")))))</f>
        <v/>
      </c>
      <c r="F840" s="131" t="str">
        <f aca="false">IF($P840="✓","✓",IF(ISNUMBER($P840),TEXT($P840,"yyyy-mm-dd"),IF($A840="","",IF($D840="Lisbonne","",IF(SUMPRODUCT(('Formation Initiale'!$A$2:$A$999=$A840)*('Formation Initiale'!$R$2:$R$999="Terminé"))&gt;0,"✓",IF(SUMPRODUCT(MAX(('Formation Initiale'!$A$2:$A$999=$A840)*'Formation Initiale'!$G$2:$G$999))&gt;0,TEXT(SUMPRODUCT(MAX(('Formation Initiale'!$A$2:$A$999=$A840)*'Formation Initiale'!$G$2:$G$999)),"yyyy-mm-dd"),""))))))</f>
        <v/>
      </c>
      <c r="G840" s="131" t="str">
        <f aca="false">IF($Q840="✓","✓",IF(ISNUMBER($Q840),TEXT($Q840,"yyyy-mm-dd"),IF($A840="","",IF(SUMPRODUCT(('Agences &amp; Après-vente'!$A$2:$A$1000=$A840)*(('Agences &amp; Après-vente'!$D$2:$D$1000="Agences")+('Agences &amp; Après-vente'!$D$2:$D$1000="Agences et Après-vente"))*('Agences &amp; Après-vente'!$I$2:$I$1000="DONE"))&gt;0,"✓",IF(SUMPRODUCT(MAX(('Agences &amp; Après-vente'!$A$2:$A$1000=$A840)*(('Agences &amp; Après-vente'!$D$2:$D$1000="Agences")+('Agences &amp; Après-vente'!$D$2:$D$1000="Agences et Après-vente"))*'Agences &amp; Après-vente'!$E$2:$E$1000))&gt;0,TEXT(SUMPRODUCT(MAX(('Agences &amp; Après-vente'!$A$2:$A$1000=$A840)*(('Agences &amp; Après-vente'!$D$2:$D$1000="Agences")+('Agences &amp; Après-vente'!$D$2:$D$1000="Agences et Après-vente"))*'Agences &amp; Après-vente'!$E$2:$E$1000)),"yyyy-mm-dd"),"")))))</f>
        <v/>
      </c>
      <c r="H840" s="131" t="str">
        <f aca="false">IF($R840="✓","✓",IF(ISNUMBER($R840),TEXT($R840,"yyyy-mm-dd"),IF($A840="","",IF($D840="Lisbonne","",IF(SUMPRODUCT(('Agences &amp; Après-vente'!$A$2:$A$1000=$A840)*(('Agences &amp; Après-vente'!$D$2:$D$1000="Agences")+('Agences &amp; Après-vente'!$D$2:$D$1000="Agences et Après-vente"))*('Agences &amp; Après-vente'!$I$2:$I$1000="DONE"))&gt;0,"✓",IF(SUMPRODUCT(MAX(('Agences &amp; Après-vente'!$A$2:$A$1000=$A840)*(('Agences &amp; Après-vente'!$D$2:$D$1000="Agences")+('Agences &amp; Après-vente'!$D$2:$D$1000="Agences et Après-vente"))*'Agences &amp; Après-vente'!$E$2:$E$1000))&gt;0,TEXT(SUMPRODUCT(MAX(('Agences &amp; Après-vente'!$A$2:$A$1000=$A840)*(('Agences &amp; Après-vente'!$D$2:$D$1000="Agences")+('Agences &amp; Après-vente'!$D$2:$D$1000="Agences et Après-vente"))*'Agences &amp; Après-vente'!$E$2:$E$1000)),"yyyy-mm-dd"),""))))))</f>
        <v/>
      </c>
      <c r="I840" s="131" t="str">
        <f aca="false">IF($S840="✓","✓",IF(ISNUMBER($S840),TEXT($S840,"yyyy-mm-dd"),IF($A840="","",IF(SUMPRODUCT(('Agences &amp; Après-vente'!$A$2:$A$1000=$A840)*(('Agences &amp; Après-vente'!$D$2:$D$1000="Après-vente")+('Agences &amp; Après-vente'!$D$2:$D$1000="Agences et Après-vente"))*('Agences &amp; Après-vente'!$I$2:$I$1000="DONE"))&gt;0,"✓",IF(SUMPRODUCT(MAX(('Agences &amp; Après-vente'!$A$2:$A$1000=$A840)*(('Agences &amp; Après-vente'!$D$2:$D$1000="Après-vente")+('Agences &amp; Après-vente'!$D$2:$D$1000="Agences et Après-vente"))*'Agences &amp; Après-vente'!$E$2:$E$1000))&gt;0,TEXT(SUMPRODUCT(MAX(('Agences &amp; Après-vente'!$A$2:$A$1000=$A840)*(('Agences &amp; Après-vente'!$D$2:$D$1000="Après-vente")+('Agences &amp; Après-vente'!$D$2:$D$1000="Agences et Après-vente"))*'Agences &amp; Après-vente'!$E$2:$E$1000)),"yyyy-mm-dd"),"")))))</f>
        <v/>
      </c>
      <c r="J840" s="131" t="str">
        <f aca="false">IF($T840="✓","✓",IF(ISNUMBER($T840),TEXT($T840,"yyyy-mm-dd"),IF($A840="","",IF($D840="Lisbonne","",IF(SUMPRODUCT(('Agences &amp; Après-vente'!$A$2:$A$1000=$A840)*(('Agences &amp; Après-vente'!$D$2:$D$1000="Après-vente")+('Agences &amp; Après-vente'!$D$2:$D$1000="Agences et Après-vente"))*('Agences &amp; Après-vente'!$I$2:$I$1000="DONE"))&gt;0,"✓",IF(SUMPRODUCT(MAX(('Agences &amp; Après-vente'!$A$2:$A$1000=$A840)*(('Agences &amp; Après-vente'!$D$2:$D$1000="Après-vente")+('Agences &amp; Après-vente'!$D$2:$D$1000="Agences et Après-vente"))*'Agences &amp; Après-vente'!$E$2:$E$1000))&gt;0,TEXT(SUMPRODUCT(MAX(('Agences &amp; Après-vente'!$A$2:$A$1000=$A840)*(('Agences &amp; Après-vente'!$D$2:$D$1000="Après-vente")+('Agences &amp; Après-vente'!$D$2:$D$1000="Agences et Après-vente"))*'Agences &amp; Après-vente'!$E$2:$E$1000)),"yyyy-mm-dd"),""))))))</f>
        <v/>
      </c>
      <c r="K840" s="131" t="str">
        <f aca="false">IF($U840="✓","✓",IF(ISNUMBER($U840),TEXT($U840,"yyyy-mm-dd"),IF($D840="Lisbonne","",IF($A840="","",IF(SUMPRODUCT((Evermont!$A$2:$A$1000=$A840)*(Evermont!$Q$2:$Q$1000="Terminé"))&gt;0,"✓",IF(SUMPRODUCT(MAX((Evermont!$A$2:$A$1000=$A840)*Evermont!$F$2:$F$1000))&gt;0,TEXT(SUMPRODUCT(MAX((Evermont!$A$2:$A$1000=$A840)*Evermont!$F$2:$F$1000)),"yyyy-mm-dd"),""))))))</f>
        <v/>
      </c>
      <c r="L840" s="131" t="str">
        <f aca="false">IF($A840="","",COUNTIF(E840:K840,"✓"))</f>
        <v/>
      </c>
      <c r="M840" s="131" t="str">
        <f aca="false">IF(B840="","","Active")</f>
        <v/>
      </c>
      <c r="W840" s="120" t="str">
        <f aca="false">IF($A840="","",IF($X840&lt;&gt;"",$X840,IFERROR(INDEX('Formation Initiale'!$B$2:$B$999,MATCH($A840,'Formation Initiale'!$A$2:$A$999,0)),"Général")))</f>
        <v/>
      </c>
    </row>
    <row r="841" customFormat="false" ht="15" hidden="true" customHeight="true" outlineLevel="0" collapsed="false">
      <c r="A841" s="142" t="str">
        <f aca="false">IF(B841="","","TR"&amp;TEXT(ROW()-1,"000"))</f>
        <v/>
      </c>
      <c r="E841" s="130" t="str">
        <f aca="false">IF($O841="✓","✓",IF(ISNUMBER($O841),TEXT($O841,"yyyy-mm-dd"),IF($A841="","",IF(SUMPRODUCT(('Formation Initiale'!$A$2:$A$999=$A841)*('Formation Initiale'!$R$2:$R$999="Terminé"))&gt;0,"✓",IF(SUMPRODUCT(MAX(('Formation Initiale'!$A$2:$A$999=$A841)*'Formation Initiale'!$G$2:$G$999))&gt;0,TEXT(SUMPRODUCT(MAX(('Formation Initiale'!$A$2:$A$999=$A841)*'Formation Initiale'!$G$2:$G$999)),"yyyy-mm-dd"),"")))))</f>
        <v/>
      </c>
      <c r="F841" s="131" t="str">
        <f aca="false">IF($P841="✓","✓",IF(ISNUMBER($P841),TEXT($P841,"yyyy-mm-dd"),IF($A841="","",IF($D841="Lisbonne","",IF(SUMPRODUCT(('Formation Initiale'!$A$2:$A$999=$A841)*('Formation Initiale'!$R$2:$R$999="Terminé"))&gt;0,"✓",IF(SUMPRODUCT(MAX(('Formation Initiale'!$A$2:$A$999=$A841)*'Formation Initiale'!$G$2:$G$999))&gt;0,TEXT(SUMPRODUCT(MAX(('Formation Initiale'!$A$2:$A$999=$A841)*'Formation Initiale'!$G$2:$G$999)),"yyyy-mm-dd"),""))))))</f>
        <v/>
      </c>
      <c r="G841" s="131" t="str">
        <f aca="false">IF($Q841="✓","✓",IF(ISNUMBER($Q841),TEXT($Q841,"yyyy-mm-dd"),IF($A841="","",IF(SUMPRODUCT(('Agences &amp; Après-vente'!$A$2:$A$1000=$A841)*(('Agences &amp; Après-vente'!$D$2:$D$1000="Agences")+('Agences &amp; Après-vente'!$D$2:$D$1000="Agences et Après-vente"))*('Agences &amp; Après-vente'!$I$2:$I$1000="DONE"))&gt;0,"✓",IF(SUMPRODUCT(MAX(('Agences &amp; Après-vente'!$A$2:$A$1000=$A841)*(('Agences &amp; Après-vente'!$D$2:$D$1000="Agences")+('Agences &amp; Après-vente'!$D$2:$D$1000="Agences et Après-vente"))*'Agences &amp; Après-vente'!$E$2:$E$1000))&gt;0,TEXT(SUMPRODUCT(MAX(('Agences &amp; Après-vente'!$A$2:$A$1000=$A841)*(('Agences &amp; Après-vente'!$D$2:$D$1000="Agences")+('Agences &amp; Après-vente'!$D$2:$D$1000="Agences et Après-vente"))*'Agences &amp; Après-vente'!$E$2:$E$1000)),"yyyy-mm-dd"),"")))))</f>
        <v/>
      </c>
      <c r="H841" s="131" t="str">
        <f aca="false">IF($R841="✓","✓",IF(ISNUMBER($R841),TEXT($R841,"yyyy-mm-dd"),IF($A841="","",IF($D841="Lisbonne","",IF(SUMPRODUCT(('Agences &amp; Après-vente'!$A$2:$A$1000=$A841)*(('Agences &amp; Après-vente'!$D$2:$D$1000="Agences")+('Agences &amp; Après-vente'!$D$2:$D$1000="Agences et Après-vente"))*('Agences &amp; Après-vente'!$I$2:$I$1000="DONE"))&gt;0,"✓",IF(SUMPRODUCT(MAX(('Agences &amp; Après-vente'!$A$2:$A$1000=$A841)*(('Agences &amp; Après-vente'!$D$2:$D$1000="Agences")+('Agences &amp; Après-vente'!$D$2:$D$1000="Agences et Après-vente"))*'Agences &amp; Après-vente'!$E$2:$E$1000))&gt;0,TEXT(SUMPRODUCT(MAX(('Agences &amp; Après-vente'!$A$2:$A$1000=$A841)*(('Agences &amp; Après-vente'!$D$2:$D$1000="Agences")+('Agences &amp; Après-vente'!$D$2:$D$1000="Agences et Après-vente"))*'Agences &amp; Après-vente'!$E$2:$E$1000)),"yyyy-mm-dd"),""))))))</f>
        <v/>
      </c>
      <c r="I841" s="131" t="str">
        <f aca="false">IF($S841="✓","✓",IF(ISNUMBER($S841),TEXT($S841,"yyyy-mm-dd"),IF($A841="","",IF(SUMPRODUCT(('Agences &amp; Après-vente'!$A$2:$A$1000=$A841)*(('Agences &amp; Après-vente'!$D$2:$D$1000="Après-vente")+('Agences &amp; Après-vente'!$D$2:$D$1000="Agences et Après-vente"))*('Agences &amp; Après-vente'!$I$2:$I$1000="DONE"))&gt;0,"✓",IF(SUMPRODUCT(MAX(('Agences &amp; Après-vente'!$A$2:$A$1000=$A841)*(('Agences &amp; Après-vente'!$D$2:$D$1000="Après-vente")+('Agences &amp; Après-vente'!$D$2:$D$1000="Agences et Après-vente"))*'Agences &amp; Après-vente'!$E$2:$E$1000))&gt;0,TEXT(SUMPRODUCT(MAX(('Agences &amp; Après-vente'!$A$2:$A$1000=$A841)*(('Agences &amp; Après-vente'!$D$2:$D$1000="Après-vente")+('Agences &amp; Après-vente'!$D$2:$D$1000="Agences et Après-vente"))*'Agences &amp; Après-vente'!$E$2:$E$1000)),"yyyy-mm-dd"),"")))))</f>
        <v/>
      </c>
      <c r="J841" s="131" t="str">
        <f aca="false">IF($T841="✓","✓",IF(ISNUMBER($T841),TEXT($T841,"yyyy-mm-dd"),IF($A841="","",IF($D841="Lisbonne","",IF(SUMPRODUCT(('Agences &amp; Après-vente'!$A$2:$A$1000=$A841)*(('Agences &amp; Après-vente'!$D$2:$D$1000="Après-vente")+('Agences &amp; Après-vente'!$D$2:$D$1000="Agences et Après-vente"))*('Agences &amp; Après-vente'!$I$2:$I$1000="DONE"))&gt;0,"✓",IF(SUMPRODUCT(MAX(('Agences &amp; Après-vente'!$A$2:$A$1000=$A841)*(('Agences &amp; Après-vente'!$D$2:$D$1000="Après-vente")+('Agences &amp; Après-vente'!$D$2:$D$1000="Agences et Après-vente"))*'Agences &amp; Après-vente'!$E$2:$E$1000))&gt;0,TEXT(SUMPRODUCT(MAX(('Agences &amp; Après-vente'!$A$2:$A$1000=$A841)*(('Agences &amp; Après-vente'!$D$2:$D$1000="Après-vente")+('Agences &amp; Après-vente'!$D$2:$D$1000="Agences et Après-vente"))*'Agences &amp; Après-vente'!$E$2:$E$1000)),"yyyy-mm-dd"),""))))))</f>
        <v/>
      </c>
      <c r="K841" s="131" t="str">
        <f aca="false">IF($U841="✓","✓",IF(ISNUMBER($U841),TEXT($U841,"yyyy-mm-dd"),IF($D841="Lisbonne","",IF($A841="","",IF(SUMPRODUCT((Evermont!$A$2:$A$1000=$A841)*(Evermont!$Q$2:$Q$1000="Terminé"))&gt;0,"✓",IF(SUMPRODUCT(MAX((Evermont!$A$2:$A$1000=$A841)*Evermont!$F$2:$F$1000))&gt;0,TEXT(SUMPRODUCT(MAX((Evermont!$A$2:$A$1000=$A841)*Evermont!$F$2:$F$1000)),"yyyy-mm-dd"),""))))))</f>
        <v/>
      </c>
      <c r="L841" s="131" t="str">
        <f aca="false">IF($A841="","",COUNTIF(E841:K841,"✓"))</f>
        <v/>
      </c>
      <c r="M841" s="131" t="str">
        <f aca="false">IF(B841="","","Active")</f>
        <v/>
      </c>
      <c r="W841" s="120" t="str">
        <f aca="false">IF($A841="","",IF($X841&lt;&gt;"",$X841,IFERROR(INDEX('Formation Initiale'!$B$2:$B$999,MATCH($A841,'Formation Initiale'!$A$2:$A$999,0)),"Général")))</f>
        <v/>
      </c>
    </row>
    <row r="842" customFormat="false" ht="15" hidden="true" customHeight="true" outlineLevel="0" collapsed="false">
      <c r="A842" s="142" t="str">
        <f aca="false">IF(B842="","","TR"&amp;TEXT(ROW()-1,"000"))</f>
        <v/>
      </c>
      <c r="E842" s="130" t="str">
        <f aca="false">IF($O842="✓","✓",IF(ISNUMBER($O842),TEXT($O842,"yyyy-mm-dd"),IF($A842="","",IF(SUMPRODUCT(('Formation Initiale'!$A$2:$A$999=$A842)*('Formation Initiale'!$R$2:$R$999="Terminé"))&gt;0,"✓",IF(SUMPRODUCT(MAX(('Formation Initiale'!$A$2:$A$999=$A842)*'Formation Initiale'!$G$2:$G$999))&gt;0,TEXT(SUMPRODUCT(MAX(('Formation Initiale'!$A$2:$A$999=$A842)*'Formation Initiale'!$G$2:$G$999)),"yyyy-mm-dd"),"")))))</f>
        <v/>
      </c>
      <c r="F842" s="131" t="str">
        <f aca="false">IF($P842="✓","✓",IF(ISNUMBER($P842),TEXT($P842,"yyyy-mm-dd"),IF($A842="","",IF($D842="Lisbonne","",IF(SUMPRODUCT(('Formation Initiale'!$A$2:$A$999=$A842)*('Formation Initiale'!$R$2:$R$999="Terminé"))&gt;0,"✓",IF(SUMPRODUCT(MAX(('Formation Initiale'!$A$2:$A$999=$A842)*'Formation Initiale'!$G$2:$G$999))&gt;0,TEXT(SUMPRODUCT(MAX(('Formation Initiale'!$A$2:$A$999=$A842)*'Formation Initiale'!$G$2:$G$999)),"yyyy-mm-dd"),""))))))</f>
        <v/>
      </c>
      <c r="G842" s="131" t="str">
        <f aca="false">IF($Q842="✓","✓",IF(ISNUMBER($Q842),TEXT($Q842,"yyyy-mm-dd"),IF($A842="","",IF(SUMPRODUCT(('Agences &amp; Après-vente'!$A$2:$A$1000=$A842)*(('Agences &amp; Après-vente'!$D$2:$D$1000="Agences")+('Agences &amp; Après-vente'!$D$2:$D$1000="Agences et Après-vente"))*('Agences &amp; Après-vente'!$I$2:$I$1000="DONE"))&gt;0,"✓",IF(SUMPRODUCT(MAX(('Agences &amp; Après-vente'!$A$2:$A$1000=$A842)*(('Agences &amp; Après-vente'!$D$2:$D$1000="Agences")+('Agences &amp; Après-vente'!$D$2:$D$1000="Agences et Après-vente"))*'Agences &amp; Après-vente'!$E$2:$E$1000))&gt;0,TEXT(SUMPRODUCT(MAX(('Agences &amp; Après-vente'!$A$2:$A$1000=$A842)*(('Agences &amp; Après-vente'!$D$2:$D$1000="Agences")+('Agences &amp; Après-vente'!$D$2:$D$1000="Agences et Après-vente"))*'Agences &amp; Après-vente'!$E$2:$E$1000)),"yyyy-mm-dd"),"")))))</f>
        <v/>
      </c>
      <c r="H842" s="131" t="str">
        <f aca="false">IF($R842="✓","✓",IF(ISNUMBER($R842),TEXT($R842,"yyyy-mm-dd"),IF($A842="","",IF($D842="Lisbonne","",IF(SUMPRODUCT(('Agences &amp; Après-vente'!$A$2:$A$1000=$A842)*(('Agences &amp; Après-vente'!$D$2:$D$1000="Agences")+('Agences &amp; Après-vente'!$D$2:$D$1000="Agences et Après-vente"))*('Agences &amp; Après-vente'!$I$2:$I$1000="DONE"))&gt;0,"✓",IF(SUMPRODUCT(MAX(('Agences &amp; Après-vente'!$A$2:$A$1000=$A842)*(('Agences &amp; Après-vente'!$D$2:$D$1000="Agences")+('Agences &amp; Après-vente'!$D$2:$D$1000="Agences et Après-vente"))*'Agences &amp; Après-vente'!$E$2:$E$1000))&gt;0,TEXT(SUMPRODUCT(MAX(('Agences &amp; Après-vente'!$A$2:$A$1000=$A842)*(('Agences &amp; Après-vente'!$D$2:$D$1000="Agences")+('Agences &amp; Après-vente'!$D$2:$D$1000="Agences et Après-vente"))*'Agences &amp; Après-vente'!$E$2:$E$1000)),"yyyy-mm-dd"),""))))))</f>
        <v/>
      </c>
      <c r="I842" s="131" t="str">
        <f aca="false">IF($S842="✓","✓",IF(ISNUMBER($S842),TEXT($S842,"yyyy-mm-dd"),IF($A842="","",IF(SUMPRODUCT(('Agences &amp; Après-vente'!$A$2:$A$1000=$A842)*(('Agences &amp; Après-vente'!$D$2:$D$1000="Après-vente")+('Agences &amp; Après-vente'!$D$2:$D$1000="Agences et Après-vente"))*('Agences &amp; Après-vente'!$I$2:$I$1000="DONE"))&gt;0,"✓",IF(SUMPRODUCT(MAX(('Agences &amp; Après-vente'!$A$2:$A$1000=$A842)*(('Agences &amp; Après-vente'!$D$2:$D$1000="Après-vente")+('Agences &amp; Après-vente'!$D$2:$D$1000="Agences et Après-vente"))*'Agences &amp; Après-vente'!$E$2:$E$1000))&gt;0,TEXT(SUMPRODUCT(MAX(('Agences &amp; Après-vente'!$A$2:$A$1000=$A842)*(('Agences &amp; Après-vente'!$D$2:$D$1000="Après-vente")+('Agences &amp; Après-vente'!$D$2:$D$1000="Agences et Après-vente"))*'Agences &amp; Après-vente'!$E$2:$E$1000)),"yyyy-mm-dd"),"")))))</f>
        <v/>
      </c>
      <c r="J842" s="131" t="str">
        <f aca="false">IF($T842="✓","✓",IF(ISNUMBER($T842),TEXT($T842,"yyyy-mm-dd"),IF($A842="","",IF($D842="Lisbonne","",IF(SUMPRODUCT(('Agences &amp; Après-vente'!$A$2:$A$1000=$A842)*(('Agences &amp; Après-vente'!$D$2:$D$1000="Après-vente")+('Agences &amp; Après-vente'!$D$2:$D$1000="Agences et Après-vente"))*('Agences &amp; Après-vente'!$I$2:$I$1000="DONE"))&gt;0,"✓",IF(SUMPRODUCT(MAX(('Agences &amp; Après-vente'!$A$2:$A$1000=$A842)*(('Agences &amp; Après-vente'!$D$2:$D$1000="Après-vente")+('Agences &amp; Après-vente'!$D$2:$D$1000="Agences et Après-vente"))*'Agences &amp; Après-vente'!$E$2:$E$1000))&gt;0,TEXT(SUMPRODUCT(MAX(('Agences &amp; Après-vente'!$A$2:$A$1000=$A842)*(('Agences &amp; Après-vente'!$D$2:$D$1000="Après-vente")+('Agences &amp; Après-vente'!$D$2:$D$1000="Agences et Après-vente"))*'Agences &amp; Après-vente'!$E$2:$E$1000)),"yyyy-mm-dd"),""))))))</f>
        <v/>
      </c>
      <c r="K842" s="131" t="str">
        <f aca="false">IF($U842="✓","✓",IF(ISNUMBER($U842),TEXT($U842,"yyyy-mm-dd"),IF($D842="Lisbonne","",IF($A842="","",IF(SUMPRODUCT((Evermont!$A$2:$A$1000=$A842)*(Evermont!$Q$2:$Q$1000="Terminé"))&gt;0,"✓",IF(SUMPRODUCT(MAX((Evermont!$A$2:$A$1000=$A842)*Evermont!$F$2:$F$1000))&gt;0,TEXT(SUMPRODUCT(MAX((Evermont!$A$2:$A$1000=$A842)*Evermont!$F$2:$F$1000)),"yyyy-mm-dd"),""))))))</f>
        <v/>
      </c>
      <c r="L842" s="131" t="str">
        <f aca="false">IF($A842="","",COUNTIF(E842:K842,"✓"))</f>
        <v/>
      </c>
      <c r="M842" s="131" t="str">
        <f aca="false">IF(B842="","","Active")</f>
        <v/>
      </c>
      <c r="W842" s="120" t="str">
        <f aca="false">IF($A842="","",IF($X842&lt;&gt;"",$X842,IFERROR(INDEX('Formation Initiale'!$B$2:$B$999,MATCH($A842,'Formation Initiale'!$A$2:$A$999,0)),"Général")))</f>
        <v/>
      </c>
    </row>
    <row r="843" customFormat="false" ht="15" hidden="true" customHeight="true" outlineLevel="0" collapsed="false">
      <c r="A843" s="142" t="str">
        <f aca="false">IF(B843="","","TR"&amp;TEXT(ROW()-1,"000"))</f>
        <v/>
      </c>
      <c r="E843" s="130" t="str">
        <f aca="false">IF($O843="✓","✓",IF(ISNUMBER($O843),TEXT($O843,"yyyy-mm-dd"),IF($A843="","",IF(SUMPRODUCT(('Formation Initiale'!$A$2:$A$999=$A843)*('Formation Initiale'!$R$2:$R$999="Terminé"))&gt;0,"✓",IF(SUMPRODUCT(MAX(('Formation Initiale'!$A$2:$A$999=$A843)*'Formation Initiale'!$G$2:$G$999))&gt;0,TEXT(SUMPRODUCT(MAX(('Formation Initiale'!$A$2:$A$999=$A843)*'Formation Initiale'!$G$2:$G$999)),"yyyy-mm-dd"),"")))))</f>
        <v/>
      </c>
      <c r="F843" s="131" t="str">
        <f aca="false">IF($P843="✓","✓",IF(ISNUMBER($P843),TEXT($P843,"yyyy-mm-dd"),IF($A843="","",IF($D843="Lisbonne","",IF(SUMPRODUCT(('Formation Initiale'!$A$2:$A$999=$A843)*('Formation Initiale'!$R$2:$R$999="Terminé"))&gt;0,"✓",IF(SUMPRODUCT(MAX(('Formation Initiale'!$A$2:$A$999=$A843)*'Formation Initiale'!$G$2:$G$999))&gt;0,TEXT(SUMPRODUCT(MAX(('Formation Initiale'!$A$2:$A$999=$A843)*'Formation Initiale'!$G$2:$G$999)),"yyyy-mm-dd"),""))))))</f>
        <v/>
      </c>
      <c r="G843" s="131" t="str">
        <f aca="false">IF($Q843="✓","✓",IF(ISNUMBER($Q843),TEXT($Q843,"yyyy-mm-dd"),IF($A843="","",IF(SUMPRODUCT(('Agences &amp; Après-vente'!$A$2:$A$1000=$A843)*(('Agences &amp; Après-vente'!$D$2:$D$1000="Agences")+('Agences &amp; Après-vente'!$D$2:$D$1000="Agences et Après-vente"))*('Agences &amp; Après-vente'!$I$2:$I$1000="DONE"))&gt;0,"✓",IF(SUMPRODUCT(MAX(('Agences &amp; Après-vente'!$A$2:$A$1000=$A843)*(('Agences &amp; Après-vente'!$D$2:$D$1000="Agences")+('Agences &amp; Après-vente'!$D$2:$D$1000="Agences et Après-vente"))*'Agences &amp; Après-vente'!$E$2:$E$1000))&gt;0,TEXT(SUMPRODUCT(MAX(('Agences &amp; Après-vente'!$A$2:$A$1000=$A843)*(('Agences &amp; Après-vente'!$D$2:$D$1000="Agences")+('Agences &amp; Après-vente'!$D$2:$D$1000="Agences et Après-vente"))*'Agences &amp; Après-vente'!$E$2:$E$1000)),"yyyy-mm-dd"),"")))))</f>
        <v/>
      </c>
      <c r="H843" s="131" t="str">
        <f aca="false">IF($R843="✓","✓",IF(ISNUMBER($R843),TEXT($R843,"yyyy-mm-dd"),IF($A843="","",IF($D843="Lisbonne","",IF(SUMPRODUCT(('Agences &amp; Après-vente'!$A$2:$A$1000=$A843)*(('Agences &amp; Après-vente'!$D$2:$D$1000="Agences")+('Agences &amp; Après-vente'!$D$2:$D$1000="Agences et Après-vente"))*('Agences &amp; Après-vente'!$I$2:$I$1000="DONE"))&gt;0,"✓",IF(SUMPRODUCT(MAX(('Agences &amp; Après-vente'!$A$2:$A$1000=$A843)*(('Agences &amp; Après-vente'!$D$2:$D$1000="Agences")+('Agences &amp; Après-vente'!$D$2:$D$1000="Agences et Après-vente"))*'Agences &amp; Après-vente'!$E$2:$E$1000))&gt;0,TEXT(SUMPRODUCT(MAX(('Agences &amp; Après-vente'!$A$2:$A$1000=$A843)*(('Agences &amp; Après-vente'!$D$2:$D$1000="Agences")+('Agences &amp; Après-vente'!$D$2:$D$1000="Agences et Après-vente"))*'Agences &amp; Après-vente'!$E$2:$E$1000)),"yyyy-mm-dd"),""))))))</f>
        <v/>
      </c>
      <c r="I843" s="131" t="str">
        <f aca="false">IF($S843="✓","✓",IF(ISNUMBER($S843),TEXT($S843,"yyyy-mm-dd"),IF($A843="","",IF(SUMPRODUCT(('Agences &amp; Après-vente'!$A$2:$A$1000=$A843)*(('Agences &amp; Après-vente'!$D$2:$D$1000="Après-vente")+('Agences &amp; Après-vente'!$D$2:$D$1000="Agences et Après-vente"))*('Agences &amp; Après-vente'!$I$2:$I$1000="DONE"))&gt;0,"✓",IF(SUMPRODUCT(MAX(('Agences &amp; Après-vente'!$A$2:$A$1000=$A843)*(('Agences &amp; Après-vente'!$D$2:$D$1000="Après-vente")+('Agences &amp; Après-vente'!$D$2:$D$1000="Agences et Après-vente"))*'Agences &amp; Après-vente'!$E$2:$E$1000))&gt;0,TEXT(SUMPRODUCT(MAX(('Agences &amp; Après-vente'!$A$2:$A$1000=$A843)*(('Agences &amp; Après-vente'!$D$2:$D$1000="Après-vente")+('Agences &amp; Après-vente'!$D$2:$D$1000="Agences et Après-vente"))*'Agences &amp; Après-vente'!$E$2:$E$1000)),"yyyy-mm-dd"),"")))))</f>
        <v/>
      </c>
      <c r="J843" s="131" t="str">
        <f aca="false">IF($T843="✓","✓",IF(ISNUMBER($T843),TEXT($T843,"yyyy-mm-dd"),IF($A843="","",IF($D843="Lisbonne","",IF(SUMPRODUCT(('Agences &amp; Après-vente'!$A$2:$A$1000=$A843)*(('Agences &amp; Après-vente'!$D$2:$D$1000="Après-vente")+('Agences &amp; Après-vente'!$D$2:$D$1000="Agences et Après-vente"))*('Agences &amp; Après-vente'!$I$2:$I$1000="DONE"))&gt;0,"✓",IF(SUMPRODUCT(MAX(('Agences &amp; Après-vente'!$A$2:$A$1000=$A843)*(('Agences &amp; Après-vente'!$D$2:$D$1000="Après-vente")+('Agences &amp; Après-vente'!$D$2:$D$1000="Agences et Après-vente"))*'Agences &amp; Après-vente'!$E$2:$E$1000))&gt;0,TEXT(SUMPRODUCT(MAX(('Agences &amp; Après-vente'!$A$2:$A$1000=$A843)*(('Agences &amp; Après-vente'!$D$2:$D$1000="Après-vente")+('Agences &amp; Après-vente'!$D$2:$D$1000="Agences et Après-vente"))*'Agences &amp; Après-vente'!$E$2:$E$1000)),"yyyy-mm-dd"),""))))))</f>
        <v/>
      </c>
      <c r="K843" s="131" t="str">
        <f aca="false">IF($U843="✓","✓",IF(ISNUMBER($U843),TEXT($U843,"yyyy-mm-dd"),IF($D843="Lisbonne","",IF($A843="","",IF(SUMPRODUCT((Evermont!$A$2:$A$1000=$A843)*(Evermont!$Q$2:$Q$1000="Terminé"))&gt;0,"✓",IF(SUMPRODUCT(MAX((Evermont!$A$2:$A$1000=$A843)*Evermont!$F$2:$F$1000))&gt;0,TEXT(SUMPRODUCT(MAX((Evermont!$A$2:$A$1000=$A843)*Evermont!$F$2:$F$1000)),"yyyy-mm-dd"),""))))))</f>
        <v/>
      </c>
      <c r="L843" s="131" t="str">
        <f aca="false">IF($A843="","",COUNTIF(E843:K843,"✓"))</f>
        <v/>
      </c>
      <c r="M843" s="131" t="str">
        <f aca="false">IF(B843="","","Active")</f>
        <v/>
      </c>
      <c r="W843" s="120" t="str">
        <f aca="false">IF($A843="","",IF($X843&lt;&gt;"",$X843,IFERROR(INDEX('Formation Initiale'!$B$2:$B$999,MATCH($A843,'Formation Initiale'!$A$2:$A$999,0)),"Général")))</f>
        <v/>
      </c>
    </row>
    <row r="844" customFormat="false" ht="15" hidden="true" customHeight="true" outlineLevel="0" collapsed="false">
      <c r="A844" s="142" t="str">
        <f aca="false">IF(B844="","","TR"&amp;TEXT(ROW()-1,"000"))</f>
        <v/>
      </c>
      <c r="E844" s="130" t="str">
        <f aca="false">IF($O844="✓","✓",IF(ISNUMBER($O844),TEXT($O844,"yyyy-mm-dd"),IF($A844="","",IF(SUMPRODUCT(('Formation Initiale'!$A$2:$A$999=$A844)*('Formation Initiale'!$R$2:$R$999="Terminé"))&gt;0,"✓",IF(SUMPRODUCT(MAX(('Formation Initiale'!$A$2:$A$999=$A844)*'Formation Initiale'!$G$2:$G$999))&gt;0,TEXT(SUMPRODUCT(MAX(('Formation Initiale'!$A$2:$A$999=$A844)*'Formation Initiale'!$G$2:$G$999)),"yyyy-mm-dd"),"")))))</f>
        <v/>
      </c>
      <c r="F844" s="131" t="str">
        <f aca="false">IF($P844="✓","✓",IF(ISNUMBER($P844),TEXT($P844,"yyyy-mm-dd"),IF($A844="","",IF($D844="Lisbonne","",IF(SUMPRODUCT(('Formation Initiale'!$A$2:$A$999=$A844)*('Formation Initiale'!$R$2:$R$999="Terminé"))&gt;0,"✓",IF(SUMPRODUCT(MAX(('Formation Initiale'!$A$2:$A$999=$A844)*'Formation Initiale'!$G$2:$G$999))&gt;0,TEXT(SUMPRODUCT(MAX(('Formation Initiale'!$A$2:$A$999=$A844)*'Formation Initiale'!$G$2:$G$999)),"yyyy-mm-dd"),""))))))</f>
        <v/>
      </c>
      <c r="G844" s="131" t="str">
        <f aca="false">IF($Q844="✓","✓",IF(ISNUMBER($Q844),TEXT($Q844,"yyyy-mm-dd"),IF($A844="","",IF(SUMPRODUCT(('Agences &amp; Après-vente'!$A$2:$A$1000=$A844)*(('Agences &amp; Après-vente'!$D$2:$D$1000="Agences")+('Agences &amp; Après-vente'!$D$2:$D$1000="Agences et Après-vente"))*('Agences &amp; Après-vente'!$I$2:$I$1000="DONE"))&gt;0,"✓",IF(SUMPRODUCT(MAX(('Agences &amp; Après-vente'!$A$2:$A$1000=$A844)*(('Agences &amp; Après-vente'!$D$2:$D$1000="Agences")+('Agences &amp; Après-vente'!$D$2:$D$1000="Agences et Après-vente"))*'Agences &amp; Après-vente'!$E$2:$E$1000))&gt;0,TEXT(SUMPRODUCT(MAX(('Agences &amp; Après-vente'!$A$2:$A$1000=$A844)*(('Agences &amp; Après-vente'!$D$2:$D$1000="Agences")+('Agences &amp; Après-vente'!$D$2:$D$1000="Agences et Après-vente"))*'Agences &amp; Après-vente'!$E$2:$E$1000)),"yyyy-mm-dd"),"")))))</f>
        <v/>
      </c>
      <c r="H844" s="131" t="str">
        <f aca="false">IF($R844="✓","✓",IF(ISNUMBER($R844),TEXT($R844,"yyyy-mm-dd"),IF($A844="","",IF($D844="Lisbonne","",IF(SUMPRODUCT(('Agences &amp; Après-vente'!$A$2:$A$1000=$A844)*(('Agences &amp; Après-vente'!$D$2:$D$1000="Agences")+('Agences &amp; Après-vente'!$D$2:$D$1000="Agences et Après-vente"))*('Agences &amp; Après-vente'!$I$2:$I$1000="DONE"))&gt;0,"✓",IF(SUMPRODUCT(MAX(('Agences &amp; Après-vente'!$A$2:$A$1000=$A844)*(('Agences &amp; Après-vente'!$D$2:$D$1000="Agences")+('Agences &amp; Après-vente'!$D$2:$D$1000="Agences et Après-vente"))*'Agences &amp; Après-vente'!$E$2:$E$1000))&gt;0,TEXT(SUMPRODUCT(MAX(('Agences &amp; Après-vente'!$A$2:$A$1000=$A844)*(('Agences &amp; Après-vente'!$D$2:$D$1000="Agences")+('Agences &amp; Après-vente'!$D$2:$D$1000="Agences et Après-vente"))*'Agences &amp; Après-vente'!$E$2:$E$1000)),"yyyy-mm-dd"),""))))))</f>
        <v/>
      </c>
      <c r="I844" s="131" t="str">
        <f aca="false">IF($S844="✓","✓",IF(ISNUMBER($S844),TEXT($S844,"yyyy-mm-dd"),IF($A844="","",IF(SUMPRODUCT(('Agences &amp; Après-vente'!$A$2:$A$1000=$A844)*(('Agences &amp; Après-vente'!$D$2:$D$1000="Après-vente")+('Agences &amp; Après-vente'!$D$2:$D$1000="Agences et Après-vente"))*('Agences &amp; Après-vente'!$I$2:$I$1000="DONE"))&gt;0,"✓",IF(SUMPRODUCT(MAX(('Agences &amp; Après-vente'!$A$2:$A$1000=$A844)*(('Agences &amp; Après-vente'!$D$2:$D$1000="Après-vente")+('Agences &amp; Après-vente'!$D$2:$D$1000="Agences et Après-vente"))*'Agences &amp; Après-vente'!$E$2:$E$1000))&gt;0,TEXT(SUMPRODUCT(MAX(('Agences &amp; Après-vente'!$A$2:$A$1000=$A844)*(('Agences &amp; Après-vente'!$D$2:$D$1000="Après-vente")+('Agences &amp; Après-vente'!$D$2:$D$1000="Agences et Après-vente"))*'Agences &amp; Après-vente'!$E$2:$E$1000)),"yyyy-mm-dd"),"")))))</f>
        <v/>
      </c>
      <c r="J844" s="131" t="str">
        <f aca="false">IF($T844="✓","✓",IF(ISNUMBER($T844),TEXT($T844,"yyyy-mm-dd"),IF($A844="","",IF($D844="Lisbonne","",IF(SUMPRODUCT(('Agences &amp; Après-vente'!$A$2:$A$1000=$A844)*(('Agences &amp; Après-vente'!$D$2:$D$1000="Après-vente")+('Agences &amp; Après-vente'!$D$2:$D$1000="Agences et Après-vente"))*('Agences &amp; Après-vente'!$I$2:$I$1000="DONE"))&gt;0,"✓",IF(SUMPRODUCT(MAX(('Agences &amp; Après-vente'!$A$2:$A$1000=$A844)*(('Agences &amp; Après-vente'!$D$2:$D$1000="Après-vente")+('Agences &amp; Après-vente'!$D$2:$D$1000="Agences et Après-vente"))*'Agences &amp; Après-vente'!$E$2:$E$1000))&gt;0,TEXT(SUMPRODUCT(MAX(('Agences &amp; Après-vente'!$A$2:$A$1000=$A844)*(('Agences &amp; Après-vente'!$D$2:$D$1000="Après-vente")+('Agences &amp; Après-vente'!$D$2:$D$1000="Agences et Après-vente"))*'Agences &amp; Après-vente'!$E$2:$E$1000)),"yyyy-mm-dd"),""))))))</f>
        <v/>
      </c>
      <c r="K844" s="131" t="str">
        <f aca="false">IF($U844="✓","✓",IF(ISNUMBER($U844),TEXT($U844,"yyyy-mm-dd"),IF($D844="Lisbonne","",IF($A844="","",IF(SUMPRODUCT((Evermont!$A$2:$A$1000=$A844)*(Evermont!$Q$2:$Q$1000="Terminé"))&gt;0,"✓",IF(SUMPRODUCT(MAX((Evermont!$A$2:$A$1000=$A844)*Evermont!$F$2:$F$1000))&gt;0,TEXT(SUMPRODUCT(MAX((Evermont!$A$2:$A$1000=$A844)*Evermont!$F$2:$F$1000)),"yyyy-mm-dd"),""))))))</f>
        <v/>
      </c>
      <c r="L844" s="131" t="str">
        <f aca="false">IF($A844="","",COUNTIF(E844:K844,"✓"))</f>
        <v/>
      </c>
      <c r="M844" s="131" t="str">
        <f aca="false">IF(B844="","","Active")</f>
        <v/>
      </c>
      <c r="W844" s="120" t="str">
        <f aca="false">IF($A844="","",IF($X844&lt;&gt;"",$X844,IFERROR(INDEX('Formation Initiale'!$B$2:$B$999,MATCH($A844,'Formation Initiale'!$A$2:$A$999,0)),"Général")))</f>
        <v/>
      </c>
    </row>
    <row r="845" customFormat="false" ht="15" hidden="true" customHeight="true" outlineLevel="0" collapsed="false">
      <c r="A845" s="142" t="str">
        <f aca="false">IF(B845="","","TR"&amp;TEXT(ROW()-1,"000"))</f>
        <v/>
      </c>
      <c r="E845" s="130" t="str">
        <f aca="false">IF($O845="✓","✓",IF(ISNUMBER($O845),TEXT($O845,"yyyy-mm-dd"),IF($A845="","",IF(SUMPRODUCT(('Formation Initiale'!$A$2:$A$999=$A845)*('Formation Initiale'!$R$2:$R$999="Terminé"))&gt;0,"✓",IF(SUMPRODUCT(MAX(('Formation Initiale'!$A$2:$A$999=$A845)*'Formation Initiale'!$G$2:$G$999))&gt;0,TEXT(SUMPRODUCT(MAX(('Formation Initiale'!$A$2:$A$999=$A845)*'Formation Initiale'!$G$2:$G$999)),"yyyy-mm-dd"),"")))))</f>
        <v/>
      </c>
      <c r="F845" s="131" t="str">
        <f aca="false">IF($P845="✓","✓",IF(ISNUMBER($P845),TEXT($P845,"yyyy-mm-dd"),IF($A845="","",IF($D845="Lisbonne","",IF(SUMPRODUCT(('Formation Initiale'!$A$2:$A$999=$A845)*('Formation Initiale'!$R$2:$R$999="Terminé"))&gt;0,"✓",IF(SUMPRODUCT(MAX(('Formation Initiale'!$A$2:$A$999=$A845)*'Formation Initiale'!$G$2:$G$999))&gt;0,TEXT(SUMPRODUCT(MAX(('Formation Initiale'!$A$2:$A$999=$A845)*'Formation Initiale'!$G$2:$G$999)),"yyyy-mm-dd"),""))))))</f>
        <v/>
      </c>
      <c r="G845" s="131" t="str">
        <f aca="false">IF($Q845="✓","✓",IF(ISNUMBER($Q845),TEXT($Q845,"yyyy-mm-dd"),IF($A845="","",IF(SUMPRODUCT(('Agences &amp; Après-vente'!$A$2:$A$1000=$A845)*(('Agences &amp; Après-vente'!$D$2:$D$1000="Agences")+('Agences &amp; Après-vente'!$D$2:$D$1000="Agences et Après-vente"))*('Agences &amp; Après-vente'!$I$2:$I$1000="DONE"))&gt;0,"✓",IF(SUMPRODUCT(MAX(('Agences &amp; Après-vente'!$A$2:$A$1000=$A845)*(('Agences &amp; Après-vente'!$D$2:$D$1000="Agences")+('Agences &amp; Après-vente'!$D$2:$D$1000="Agences et Après-vente"))*'Agences &amp; Après-vente'!$E$2:$E$1000))&gt;0,TEXT(SUMPRODUCT(MAX(('Agences &amp; Après-vente'!$A$2:$A$1000=$A845)*(('Agences &amp; Après-vente'!$D$2:$D$1000="Agences")+('Agences &amp; Après-vente'!$D$2:$D$1000="Agences et Après-vente"))*'Agences &amp; Après-vente'!$E$2:$E$1000)),"yyyy-mm-dd"),"")))))</f>
        <v/>
      </c>
      <c r="H845" s="131" t="str">
        <f aca="false">IF($R845="✓","✓",IF(ISNUMBER($R845),TEXT($R845,"yyyy-mm-dd"),IF($A845="","",IF($D845="Lisbonne","",IF(SUMPRODUCT(('Agences &amp; Après-vente'!$A$2:$A$1000=$A845)*(('Agences &amp; Après-vente'!$D$2:$D$1000="Agences")+('Agences &amp; Après-vente'!$D$2:$D$1000="Agences et Après-vente"))*('Agences &amp; Après-vente'!$I$2:$I$1000="DONE"))&gt;0,"✓",IF(SUMPRODUCT(MAX(('Agences &amp; Après-vente'!$A$2:$A$1000=$A845)*(('Agences &amp; Après-vente'!$D$2:$D$1000="Agences")+('Agences &amp; Après-vente'!$D$2:$D$1000="Agences et Après-vente"))*'Agences &amp; Après-vente'!$E$2:$E$1000))&gt;0,TEXT(SUMPRODUCT(MAX(('Agences &amp; Après-vente'!$A$2:$A$1000=$A845)*(('Agences &amp; Après-vente'!$D$2:$D$1000="Agences")+('Agences &amp; Après-vente'!$D$2:$D$1000="Agences et Après-vente"))*'Agences &amp; Après-vente'!$E$2:$E$1000)),"yyyy-mm-dd"),""))))))</f>
        <v/>
      </c>
      <c r="I845" s="131" t="str">
        <f aca="false">IF($S845="✓","✓",IF(ISNUMBER($S845),TEXT($S845,"yyyy-mm-dd"),IF($A845="","",IF(SUMPRODUCT(('Agences &amp; Après-vente'!$A$2:$A$1000=$A845)*(('Agences &amp; Après-vente'!$D$2:$D$1000="Après-vente")+('Agences &amp; Après-vente'!$D$2:$D$1000="Agences et Après-vente"))*('Agences &amp; Après-vente'!$I$2:$I$1000="DONE"))&gt;0,"✓",IF(SUMPRODUCT(MAX(('Agences &amp; Après-vente'!$A$2:$A$1000=$A845)*(('Agences &amp; Après-vente'!$D$2:$D$1000="Après-vente")+('Agences &amp; Après-vente'!$D$2:$D$1000="Agences et Après-vente"))*'Agences &amp; Après-vente'!$E$2:$E$1000))&gt;0,TEXT(SUMPRODUCT(MAX(('Agences &amp; Après-vente'!$A$2:$A$1000=$A845)*(('Agences &amp; Après-vente'!$D$2:$D$1000="Après-vente")+('Agences &amp; Après-vente'!$D$2:$D$1000="Agences et Après-vente"))*'Agences &amp; Après-vente'!$E$2:$E$1000)),"yyyy-mm-dd"),"")))))</f>
        <v/>
      </c>
      <c r="J845" s="131" t="str">
        <f aca="false">IF($T845="✓","✓",IF(ISNUMBER($T845),TEXT($T845,"yyyy-mm-dd"),IF($A845="","",IF($D845="Lisbonne","",IF(SUMPRODUCT(('Agences &amp; Après-vente'!$A$2:$A$1000=$A845)*(('Agences &amp; Après-vente'!$D$2:$D$1000="Après-vente")+('Agences &amp; Après-vente'!$D$2:$D$1000="Agences et Après-vente"))*('Agences &amp; Après-vente'!$I$2:$I$1000="DONE"))&gt;0,"✓",IF(SUMPRODUCT(MAX(('Agences &amp; Après-vente'!$A$2:$A$1000=$A845)*(('Agences &amp; Après-vente'!$D$2:$D$1000="Après-vente")+('Agences &amp; Après-vente'!$D$2:$D$1000="Agences et Après-vente"))*'Agences &amp; Après-vente'!$E$2:$E$1000))&gt;0,TEXT(SUMPRODUCT(MAX(('Agences &amp; Après-vente'!$A$2:$A$1000=$A845)*(('Agences &amp; Après-vente'!$D$2:$D$1000="Après-vente")+('Agences &amp; Après-vente'!$D$2:$D$1000="Agences et Après-vente"))*'Agences &amp; Après-vente'!$E$2:$E$1000)),"yyyy-mm-dd"),""))))))</f>
        <v/>
      </c>
      <c r="K845" s="131" t="str">
        <f aca="false">IF($U845="✓","✓",IF(ISNUMBER($U845),TEXT($U845,"yyyy-mm-dd"),IF($D845="Lisbonne","",IF($A845="","",IF(SUMPRODUCT((Evermont!$A$2:$A$1000=$A845)*(Evermont!$Q$2:$Q$1000="Terminé"))&gt;0,"✓",IF(SUMPRODUCT(MAX((Evermont!$A$2:$A$1000=$A845)*Evermont!$F$2:$F$1000))&gt;0,TEXT(SUMPRODUCT(MAX((Evermont!$A$2:$A$1000=$A845)*Evermont!$F$2:$F$1000)),"yyyy-mm-dd"),""))))))</f>
        <v/>
      </c>
      <c r="L845" s="131" t="str">
        <f aca="false">IF($A845="","",COUNTIF(E845:K845,"✓"))</f>
        <v/>
      </c>
      <c r="M845" s="131" t="str">
        <f aca="false">IF(B845="","","Active")</f>
        <v/>
      </c>
      <c r="W845" s="120" t="str">
        <f aca="false">IF($A845="","",IF($X845&lt;&gt;"",$X845,IFERROR(INDEX('Formation Initiale'!$B$2:$B$999,MATCH($A845,'Formation Initiale'!$A$2:$A$999,0)),"Général")))</f>
        <v/>
      </c>
    </row>
    <row r="846" customFormat="false" ht="15" hidden="true" customHeight="true" outlineLevel="0" collapsed="false">
      <c r="A846" s="142" t="str">
        <f aca="false">IF(B846="","","TR"&amp;TEXT(ROW()-1,"000"))</f>
        <v/>
      </c>
      <c r="E846" s="130" t="str">
        <f aca="false">IF($O846="✓","✓",IF(ISNUMBER($O846),TEXT($O846,"yyyy-mm-dd"),IF($A846="","",IF(SUMPRODUCT(('Formation Initiale'!$A$2:$A$999=$A846)*('Formation Initiale'!$R$2:$R$999="Terminé"))&gt;0,"✓",IF(SUMPRODUCT(MAX(('Formation Initiale'!$A$2:$A$999=$A846)*'Formation Initiale'!$G$2:$G$999))&gt;0,TEXT(SUMPRODUCT(MAX(('Formation Initiale'!$A$2:$A$999=$A846)*'Formation Initiale'!$G$2:$G$999)),"yyyy-mm-dd"),"")))))</f>
        <v/>
      </c>
      <c r="F846" s="131" t="str">
        <f aca="false">IF($P846="✓","✓",IF(ISNUMBER($P846),TEXT($P846,"yyyy-mm-dd"),IF($A846="","",IF($D846="Lisbonne","",IF(SUMPRODUCT(('Formation Initiale'!$A$2:$A$999=$A846)*('Formation Initiale'!$R$2:$R$999="Terminé"))&gt;0,"✓",IF(SUMPRODUCT(MAX(('Formation Initiale'!$A$2:$A$999=$A846)*'Formation Initiale'!$G$2:$G$999))&gt;0,TEXT(SUMPRODUCT(MAX(('Formation Initiale'!$A$2:$A$999=$A846)*'Formation Initiale'!$G$2:$G$999)),"yyyy-mm-dd"),""))))))</f>
        <v/>
      </c>
      <c r="G846" s="131" t="str">
        <f aca="false">IF($Q846="✓","✓",IF(ISNUMBER($Q846),TEXT($Q846,"yyyy-mm-dd"),IF($A846="","",IF(SUMPRODUCT(('Agences &amp; Après-vente'!$A$2:$A$1000=$A846)*(('Agences &amp; Après-vente'!$D$2:$D$1000="Agences")+('Agences &amp; Après-vente'!$D$2:$D$1000="Agences et Après-vente"))*('Agences &amp; Après-vente'!$I$2:$I$1000="DONE"))&gt;0,"✓",IF(SUMPRODUCT(MAX(('Agences &amp; Après-vente'!$A$2:$A$1000=$A846)*(('Agences &amp; Après-vente'!$D$2:$D$1000="Agences")+('Agences &amp; Après-vente'!$D$2:$D$1000="Agences et Après-vente"))*'Agences &amp; Après-vente'!$E$2:$E$1000))&gt;0,TEXT(SUMPRODUCT(MAX(('Agences &amp; Après-vente'!$A$2:$A$1000=$A846)*(('Agences &amp; Après-vente'!$D$2:$D$1000="Agences")+('Agences &amp; Après-vente'!$D$2:$D$1000="Agences et Après-vente"))*'Agences &amp; Après-vente'!$E$2:$E$1000)),"yyyy-mm-dd"),"")))))</f>
        <v/>
      </c>
      <c r="H846" s="131" t="str">
        <f aca="false">IF($R846="✓","✓",IF(ISNUMBER($R846),TEXT($R846,"yyyy-mm-dd"),IF($A846="","",IF($D846="Lisbonne","",IF(SUMPRODUCT(('Agences &amp; Après-vente'!$A$2:$A$1000=$A846)*(('Agences &amp; Après-vente'!$D$2:$D$1000="Agences")+('Agences &amp; Après-vente'!$D$2:$D$1000="Agences et Après-vente"))*('Agences &amp; Après-vente'!$I$2:$I$1000="DONE"))&gt;0,"✓",IF(SUMPRODUCT(MAX(('Agences &amp; Après-vente'!$A$2:$A$1000=$A846)*(('Agences &amp; Après-vente'!$D$2:$D$1000="Agences")+('Agences &amp; Après-vente'!$D$2:$D$1000="Agences et Après-vente"))*'Agences &amp; Après-vente'!$E$2:$E$1000))&gt;0,TEXT(SUMPRODUCT(MAX(('Agences &amp; Après-vente'!$A$2:$A$1000=$A846)*(('Agences &amp; Après-vente'!$D$2:$D$1000="Agences")+('Agences &amp; Après-vente'!$D$2:$D$1000="Agences et Après-vente"))*'Agences &amp; Après-vente'!$E$2:$E$1000)),"yyyy-mm-dd"),""))))))</f>
        <v/>
      </c>
      <c r="I846" s="131" t="str">
        <f aca="false">IF($S846="✓","✓",IF(ISNUMBER($S846),TEXT($S846,"yyyy-mm-dd"),IF($A846="","",IF(SUMPRODUCT(('Agences &amp; Après-vente'!$A$2:$A$1000=$A846)*(('Agences &amp; Après-vente'!$D$2:$D$1000="Après-vente")+('Agences &amp; Après-vente'!$D$2:$D$1000="Agences et Après-vente"))*('Agences &amp; Après-vente'!$I$2:$I$1000="DONE"))&gt;0,"✓",IF(SUMPRODUCT(MAX(('Agences &amp; Après-vente'!$A$2:$A$1000=$A846)*(('Agences &amp; Après-vente'!$D$2:$D$1000="Après-vente")+('Agences &amp; Après-vente'!$D$2:$D$1000="Agences et Après-vente"))*'Agences &amp; Après-vente'!$E$2:$E$1000))&gt;0,TEXT(SUMPRODUCT(MAX(('Agences &amp; Après-vente'!$A$2:$A$1000=$A846)*(('Agences &amp; Après-vente'!$D$2:$D$1000="Après-vente")+('Agences &amp; Après-vente'!$D$2:$D$1000="Agences et Après-vente"))*'Agences &amp; Après-vente'!$E$2:$E$1000)),"yyyy-mm-dd"),"")))))</f>
        <v/>
      </c>
      <c r="J846" s="131" t="str">
        <f aca="false">IF($T846="✓","✓",IF(ISNUMBER($T846),TEXT($T846,"yyyy-mm-dd"),IF($A846="","",IF($D846="Lisbonne","",IF(SUMPRODUCT(('Agences &amp; Après-vente'!$A$2:$A$1000=$A846)*(('Agences &amp; Après-vente'!$D$2:$D$1000="Après-vente")+('Agences &amp; Après-vente'!$D$2:$D$1000="Agences et Après-vente"))*('Agences &amp; Après-vente'!$I$2:$I$1000="DONE"))&gt;0,"✓",IF(SUMPRODUCT(MAX(('Agences &amp; Après-vente'!$A$2:$A$1000=$A846)*(('Agences &amp; Après-vente'!$D$2:$D$1000="Après-vente")+('Agences &amp; Après-vente'!$D$2:$D$1000="Agences et Après-vente"))*'Agences &amp; Après-vente'!$E$2:$E$1000))&gt;0,TEXT(SUMPRODUCT(MAX(('Agences &amp; Après-vente'!$A$2:$A$1000=$A846)*(('Agences &amp; Après-vente'!$D$2:$D$1000="Après-vente")+('Agences &amp; Après-vente'!$D$2:$D$1000="Agences et Après-vente"))*'Agences &amp; Après-vente'!$E$2:$E$1000)),"yyyy-mm-dd"),""))))))</f>
        <v/>
      </c>
      <c r="K846" s="131" t="str">
        <f aca="false">IF($U846="✓","✓",IF(ISNUMBER($U846),TEXT($U846,"yyyy-mm-dd"),IF($D846="Lisbonne","",IF($A846="","",IF(SUMPRODUCT((Evermont!$A$2:$A$1000=$A846)*(Evermont!$Q$2:$Q$1000="Terminé"))&gt;0,"✓",IF(SUMPRODUCT(MAX((Evermont!$A$2:$A$1000=$A846)*Evermont!$F$2:$F$1000))&gt;0,TEXT(SUMPRODUCT(MAX((Evermont!$A$2:$A$1000=$A846)*Evermont!$F$2:$F$1000)),"yyyy-mm-dd"),""))))))</f>
        <v/>
      </c>
      <c r="L846" s="131" t="str">
        <f aca="false">IF($A846="","",COUNTIF(E846:K846,"✓"))</f>
        <v/>
      </c>
      <c r="M846" s="131" t="str">
        <f aca="false">IF(B846="","","Active")</f>
        <v/>
      </c>
      <c r="W846" s="120" t="str">
        <f aca="false">IF($A846="","",IF($X846&lt;&gt;"",$X846,IFERROR(INDEX('Formation Initiale'!$B$2:$B$999,MATCH($A846,'Formation Initiale'!$A$2:$A$999,0)),"Général")))</f>
        <v/>
      </c>
    </row>
    <row r="847" customFormat="false" ht="15" hidden="true" customHeight="true" outlineLevel="0" collapsed="false">
      <c r="A847" s="142" t="str">
        <f aca="false">IF(B847="","","TR"&amp;TEXT(ROW()-1,"000"))</f>
        <v/>
      </c>
      <c r="E847" s="130" t="str">
        <f aca="false">IF($O847="✓","✓",IF(ISNUMBER($O847),TEXT($O847,"yyyy-mm-dd"),IF($A847="","",IF(SUMPRODUCT(('Formation Initiale'!$A$2:$A$999=$A847)*('Formation Initiale'!$R$2:$R$999="Terminé"))&gt;0,"✓",IF(SUMPRODUCT(MAX(('Formation Initiale'!$A$2:$A$999=$A847)*'Formation Initiale'!$G$2:$G$999))&gt;0,TEXT(SUMPRODUCT(MAX(('Formation Initiale'!$A$2:$A$999=$A847)*'Formation Initiale'!$G$2:$G$999)),"yyyy-mm-dd"),"")))))</f>
        <v/>
      </c>
      <c r="F847" s="131" t="str">
        <f aca="false">IF($P847="✓","✓",IF(ISNUMBER($P847),TEXT($P847,"yyyy-mm-dd"),IF($A847="","",IF($D847="Lisbonne","",IF(SUMPRODUCT(('Formation Initiale'!$A$2:$A$999=$A847)*('Formation Initiale'!$R$2:$R$999="Terminé"))&gt;0,"✓",IF(SUMPRODUCT(MAX(('Formation Initiale'!$A$2:$A$999=$A847)*'Formation Initiale'!$G$2:$G$999))&gt;0,TEXT(SUMPRODUCT(MAX(('Formation Initiale'!$A$2:$A$999=$A847)*'Formation Initiale'!$G$2:$G$999)),"yyyy-mm-dd"),""))))))</f>
        <v/>
      </c>
      <c r="G847" s="131" t="str">
        <f aca="false">IF($Q847="✓","✓",IF(ISNUMBER($Q847),TEXT($Q847,"yyyy-mm-dd"),IF($A847="","",IF(SUMPRODUCT(('Agences &amp; Après-vente'!$A$2:$A$1000=$A847)*(('Agences &amp; Après-vente'!$D$2:$D$1000="Agences")+('Agences &amp; Après-vente'!$D$2:$D$1000="Agences et Après-vente"))*('Agences &amp; Après-vente'!$I$2:$I$1000="DONE"))&gt;0,"✓",IF(SUMPRODUCT(MAX(('Agences &amp; Après-vente'!$A$2:$A$1000=$A847)*(('Agences &amp; Après-vente'!$D$2:$D$1000="Agences")+('Agences &amp; Après-vente'!$D$2:$D$1000="Agences et Après-vente"))*'Agences &amp; Après-vente'!$E$2:$E$1000))&gt;0,TEXT(SUMPRODUCT(MAX(('Agences &amp; Après-vente'!$A$2:$A$1000=$A847)*(('Agences &amp; Après-vente'!$D$2:$D$1000="Agences")+('Agences &amp; Après-vente'!$D$2:$D$1000="Agences et Après-vente"))*'Agences &amp; Après-vente'!$E$2:$E$1000)),"yyyy-mm-dd"),"")))))</f>
        <v/>
      </c>
      <c r="H847" s="131" t="str">
        <f aca="false">IF($R847="✓","✓",IF(ISNUMBER($R847),TEXT($R847,"yyyy-mm-dd"),IF($A847="","",IF($D847="Lisbonne","",IF(SUMPRODUCT(('Agences &amp; Après-vente'!$A$2:$A$1000=$A847)*(('Agences &amp; Après-vente'!$D$2:$D$1000="Agences")+('Agences &amp; Après-vente'!$D$2:$D$1000="Agences et Après-vente"))*('Agences &amp; Après-vente'!$I$2:$I$1000="DONE"))&gt;0,"✓",IF(SUMPRODUCT(MAX(('Agences &amp; Après-vente'!$A$2:$A$1000=$A847)*(('Agences &amp; Après-vente'!$D$2:$D$1000="Agences")+('Agences &amp; Après-vente'!$D$2:$D$1000="Agences et Après-vente"))*'Agences &amp; Après-vente'!$E$2:$E$1000))&gt;0,TEXT(SUMPRODUCT(MAX(('Agences &amp; Après-vente'!$A$2:$A$1000=$A847)*(('Agences &amp; Après-vente'!$D$2:$D$1000="Agences")+('Agences &amp; Après-vente'!$D$2:$D$1000="Agences et Après-vente"))*'Agences &amp; Après-vente'!$E$2:$E$1000)),"yyyy-mm-dd"),""))))))</f>
        <v/>
      </c>
      <c r="I847" s="131" t="str">
        <f aca="false">IF($S847="✓","✓",IF(ISNUMBER($S847),TEXT($S847,"yyyy-mm-dd"),IF($A847="","",IF(SUMPRODUCT(('Agences &amp; Après-vente'!$A$2:$A$1000=$A847)*(('Agences &amp; Après-vente'!$D$2:$D$1000="Après-vente")+('Agences &amp; Après-vente'!$D$2:$D$1000="Agences et Après-vente"))*('Agences &amp; Après-vente'!$I$2:$I$1000="DONE"))&gt;0,"✓",IF(SUMPRODUCT(MAX(('Agences &amp; Après-vente'!$A$2:$A$1000=$A847)*(('Agences &amp; Après-vente'!$D$2:$D$1000="Après-vente")+('Agences &amp; Après-vente'!$D$2:$D$1000="Agences et Après-vente"))*'Agences &amp; Après-vente'!$E$2:$E$1000))&gt;0,TEXT(SUMPRODUCT(MAX(('Agences &amp; Après-vente'!$A$2:$A$1000=$A847)*(('Agences &amp; Après-vente'!$D$2:$D$1000="Après-vente")+('Agences &amp; Après-vente'!$D$2:$D$1000="Agences et Après-vente"))*'Agences &amp; Après-vente'!$E$2:$E$1000)),"yyyy-mm-dd"),"")))))</f>
        <v/>
      </c>
      <c r="J847" s="131" t="str">
        <f aca="false">IF($T847="✓","✓",IF(ISNUMBER($T847),TEXT($T847,"yyyy-mm-dd"),IF($A847="","",IF($D847="Lisbonne","",IF(SUMPRODUCT(('Agences &amp; Après-vente'!$A$2:$A$1000=$A847)*(('Agences &amp; Après-vente'!$D$2:$D$1000="Après-vente")+('Agences &amp; Après-vente'!$D$2:$D$1000="Agences et Après-vente"))*('Agences &amp; Après-vente'!$I$2:$I$1000="DONE"))&gt;0,"✓",IF(SUMPRODUCT(MAX(('Agences &amp; Après-vente'!$A$2:$A$1000=$A847)*(('Agences &amp; Après-vente'!$D$2:$D$1000="Après-vente")+('Agences &amp; Après-vente'!$D$2:$D$1000="Agences et Après-vente"))*'Agences &amp; Après-vente'!$E$2:$E$1000))&gt;0,TEXT(SUMPRODUCT(MAX(('Agences &amp; Après-vente'!$A$2:$A$1000=$A847)*(('Agences &amp; Après-vente'!$D$2:$D$1000="Après-vente")+('Agences &amp; Après-vente'!$D$2:$D$1000="Agences et Après-vente"))*'Agences &amp; Après-vente'!$E$2:$E$1000)),"yyyy-mm-dd"),""))))))</f>
        <v/>
      </c>
      <c r="K847" s="131" t="str">
        <f aca="false">IF($U847="✓","✓",IF(ISNUMBER($U847),TEXT($U847,"yyyy-mm-dd"),IF($D847="Lisbonne","",IF($A847="","",IF(SUMPRODUCT((Evermont!$A$2:$A$1000=$A847)*(Evermont!$Q$2:$Q$1000="Terminé"))&gt;0,"✓",IF(SUMPRODUCT(MAX((Evermont!$A$2:$A$1000=$A847)*Evermont!$F$2:$F$1000))&gt;0,TEXT(SUMPRODUCT(MAX((Evermont!$A$2:$A$1000=$A847)*Evermont!$F$2:$F$1000)),"yyyy-mm-dd"),""))))))</f>
        <v/>
      </c>
      <c r="L847" s="131" t="str">
        <f aca="false">IF($A847="","",COUNTIF(E847:K847,"✓"))</f>
        <v/>
      </c>
      <c r="M847" s="131" t="str">
        <f aca="false">IF(B847="","","Active")</f>
        <v/>
      </c>
      <c r="W847" s="120" t="str">
        <f aca="false">IF($A847="","",IF($X847&lt;&gt;"",$X847,IFERROR(INDEX('Formation Initiale'!$B$2:$B$999,MATCH($A847,'Formation Initiale'!$A$2:$A$999,0)),"Général")))</f>
        <v/>
      </c>
    </row>
    <row r="848" customFormat="false" ht="15" hidden="true" customHeight="true" outlineLevel="0" collapsed="false">
      <c r="A848" s="142" t="str">
        <f aca="false">IF(B848="","","TR"&amp;TEXT(ROW()-1,"000"))</f>
        <v/>
      </c>
      <c r="E848" s="130" t="str">
        <f aca="false">IF($O848="✓","✓",IF(ISNUMBER($O848),TEXT($O848,"yyyy-mm-dd"),IF($A848="","",IF(SUMPRODUCT(('Formation Initiale'!$A$2:$A$999=$A848)*('Formation Initiale'!$R$2:$R$999="Terminé"))&gt;0,"✓",IF(SUMPRODUCT(MAX(('Formation Initiale'!$A$2:$A$999=$A848)*'Formation Initiale'!$G$2:$G$999))&gt;0,TEXT(SUMPRODUCT(MAX(('Formation Initiale'!$A$2:$A$999=$A848)*'Formation Initiale'!$G$2:$G$999)),"yyyy-mm-dd"),"")))))</f>
        <v/>
      </c>
      <c r="F848" s="131" t="str">
        <f aca="false">IF($P848="✓","✓",IF(ISNUMBER($P848),TEXT($P848,"yyyy-mm-dd"),IF($A848="","",IF($D848="Lisbonne","",IF(SUMPRODUCT(('Formation Initiale'!$A$2:$A$999=$A848)*('Formation Initiale'!$R$2:$R$999="Terminé"))&gt;0,"✓",IF(SUMPRODUCT(MAX(('Formation Initiale'!$A$2:$A$999=$A848)*'Formation Initiale'!$G$2:$G$999))&gt;0,TEXT(SUMPRODUCT(MAX(('Formation Initiale'!$A$2:$A$999=$A848)*'Formation Initiale'!$G$2:$G$999)),"yyyy-mm-dd"),""))))))</f>
        <v/>
      </c>
      <c r="G848" s="131" t="str">
        <f aca="false">IF($Q848="✓","✓",IF(ISNUMBER($Q848),TEXT($Q848,"yyyy-mm-dd"),IF($A848="","",IF(SUMPRODUCT(('Agences &amp; Après-vente'!$A$2:$A$1000=$A848)*(('Agences &amp; Après-vente'!$D$2:$D$1000="Agences")+('Agences &amp; Après-vente'!$D$2:$D$1000="Agences et Après-vente"))*('Agences &amp; Après-vente'!$I$2:$I$1000="DONE"))&gt;0,"✓",IF(SUMPRODUCT(MAX(('Agences &amp; Après-vente'!$A$2:$A$1000=$A848)*(('Agences &amp; Après-vente'!$D$2:$D$1000="Agences")+('Agences &amp; Après-vente'!$D$2:$D$1000="Agences et Après-vente"))*'Agences &amp; Après-vente'!$E$2:$E$1000))&gt;0,TEXT(SUMPRODUCT(MAX(('Agences &amp; Après-vente'!$A$2:$A$1000=$A848)*(('Agences &amp; Après-vente'!$D$2:$D$1000="Agences")+('Agences &amp; Après-vente'!$D$2:$D$1000="Agences et Après-vente"))*'Agences &amp; Après-vente'!$E$2:$E$1000)),"yyyy-mm-dd"),"")))))</f>
        <v/>
      </c>
      <c r="H848" s="131" t="str">
        <f aca="false">IF($R848="✓","✓",IF(ISNUMBER($R848),TEXT($R848,"yyyy-mm-dd"),IF($A848="","",IF($D848="Lisbonne","",IF(SUMPRODUCT(('Agences &amp; Après-vente'!$A$2:$A$1000=$A848)*(('Agences &amp; Après-vente'!$D$2:$D$1000="Agences")+('Agences &amp; Après-vente'!$D$2:$D$1000="Agences et Après-vente"))*('Agences &amp; Après-vente'!$I$2:$I$1000="DONE"))&gt;0,"✓",IF(SUMPRODUCT(MAX(('Agences &amp; Après-vente'!$A$2:$A$1000=$A848)*(('Agences &amp; Après-vente'!$D$2:$D$1000="Agences")+('Agences &amp; Après-vente'!$D$2:$D$1000="Agences et Après-vente"))*'Agences &amp; Après-vente'!$E$2:$E$1000))&gt;0,TEXT(SUMPRODUCT(MAX(('Agences &amp; Après-vente'!$A$2:$A$1000=$A848)*(('Agences &amp; Après-vente'!$D$2:$D$1000="Agences")+('Agences &amp; Après-vente'!$D$2:$D$1000="Agences et Après-vente"))*'Agences &amp; Après-vente'!$E$2:$E$1000)),"yyyy-mm-dd"),""))))))</f>
        <v/>
      </c>
      <c r="I848" s="131" t="str">
        <f aca="false">IF($S848="✓","✓",IF(ISNUMBER($S848),TEXT($S848,"yyyy-mm-dd"),IF($A848="","",IF(SUMPRODUCT(('Agences &amp; Après-vente'!$A$2:$A$1000=$A848)*(('Agences &amp; Après-vente'!$D$2:$D$1000="Après-vente")+('Agences &amp; Après-vente'!$D$2:$D$1000="Agences et Après-vente"))*('Agences &amp; Après-vente'!$I$2:$I$1000="DONE"))&gt;0,"✓",IF(SUMPRODUCT(MAX(('Agences &amp; Après-vente'!$A$2:$A$1000=$A848)*(('Agences &amp; Après-vente'!$D$2:$D$1000="Après-vente")+('Agences &amp; Après-vente'!$D$2:$D$1000="Agences et Après-vente"))*'Agences &amp; Après-vente'!$E$2:$E$1000))&gt;0,TEXT(SUMPRODUCT(MAX(('Agences &amp; Après-vente'!$A$2:$A$1000=$A848)*(('Agences &amp; Après-vente'!$D$2:$D$1000="Après-vente")+('Agences &amp; Après-vente'!$D$2:$D$1000="Agences et Après-vente"))*'Agences &amp; Après-vente'!$E$2:$E$1000)),"yyyy-mm-dd"),"")))))</f>
        <v/>
      </c>
      <c r="J848" s="131" t="str">
        <f aca="false">IF($T848="✓","✓",IF(ISNUMBER($T848),TEXT($T848,"yyyy-mm-dd"),IF($A848="","",IF($D848="Lisbonne","",IF(SUMPRODUCT(('Agences &amp; Après-vente'!$A$2:$A$1000=$A848)*(('Agences &amp; Après-vente'!$D$2:$D$1000="Après-vente")+('Agences &amp; Après-vente'!$D$2:$D$1000="Agences et Après-vente"))*('Agences &amp; Après-vente'!$I$2:$I$1000="DONE"))&gt;0,"✓",IF(SUMPRODUCT(MAX(('Agences &amp; Après-vente'!$A$2:$A$1000=$A848)*(('Agences &amp; Après-vente'!$D$2:$D$1000="Après-vente")+('Agences &amp; Après-vente'!$D$2:$D$1000="Agences et Après-vente"))*'Agences &amp; Après-vente'!$E$2:$E$1000))&gt;0,TEXT(SUMPRODUCT(MAX(('Agences &amp; Après-vente'!$A$2:$A$1000=$A848)*(('Agences &amp; Après-vente'!$D$2:$D$1000="Après-vente")+('Agences &amp; Après-vente'!$D$2:$D$1000="Agences et Après-vente"))*'Agences &amp; Après-vente'!$E$2:$E$1000)),"yyyy-mm-dd"),""))))))</f>
        <v/>
      </c>
      <c r="K848" s="131" t="str">
        <f aca="false">IF($U848="✓","✓",IF(ISNUMBER($U848),TEXT($U848,"yyyy-mm-dd"),IF($D848="Lisbonne","",IF($A848="","",IF(SUMPRODUCT((Evermont!$A$2:$A$1000=$A848)*(Evermont!$Q$2:$Q$1000="Terminé"))&gt;0,"✓",IF(SUMPRODUCT(MAX((Evermont!$A$2:$A$1000=$A848)*Evermont!$F$2:$F$1000))&gt;0,TEXT(SUMPRODUCT(MAX((Evermont!$A$2:$A$1000=$A848)*Evermont!$F$2:$F$1000)),"yyyy-mm-dd"),""))))))</f>
        <v/>
      </c>
      <c r="L848" s="131" t="str">
        <f aca="false">IF($A848="","",COUNTIF(E848:K848,"✓"))</f>
        <v/>
      </c>
      <c r="M848" s="131" t="str">
        <f aca="false">IF(B848="","","Active")</f>
        <v/>
      </c>
      <c r="W848" s="120" t="str">
        <f aca="false">IF($A848="","",IF($X848&lt;&gt;"",$X848,IFERROR(INDEX('Formation Initiale'!$B$2:$B$999,MATCH($A848,'Formation Initiale'!$A$2:$A$999,0)),"Général")))</f>
        <v/>
      </c>
    </row>
    <row r="849" customFormat="false" ht="15" hidden="true" customHeight="true" outlineLevel="0" collapsed="false">
      <c r="A849" s="142" t="str">
        <f aca="false">IF(B849="","","TR"&amp;TEXT(ROW()-1,"000"))</f>
        <v/>
      </c>
      <c r="E849" s="130" t="str">
        <f aca="false">IF($O849="✓","✓",IF(ISNUMBER($O849),TEXT($O849,"yyyy-mm-dd"),IF($A849="","",IF(SUMPRODUCT(('Formation Initiale'!$A$2:$A$999=$A849)*('Formation Initiale'!$R$2:$R$999="Terminé"))&gt;0,"✓",IF(SUMPRODUCT(MAX(('Formation Initiale'!$A$2:$A$999=$A849)*'Formation Initiale'!$G$2:$G$999))&gt;0,TEXT(SUMPRODUCT(MAX(('Formation Initiale'!$A$2:$A$999=$A849)*'Formation Initiale'!$G$2:$G$999)),"yyyy-mm-dd"),"")))))</f>
        <v/>
      </c>
      <c r="F849" s="131" t="str">
        <f aca="false">IF($P849="✓","✓",IF(ISNUMBER($P849),TEXT($P849,"yyyy-mm-dd"),IF($A849="","",IF($D849="Lisbonne","",IF(SUMPRODUCT(('Formation Initiale'!$A$2:$A$999=$A849)*('Formation Initiale'!$R$2:$R$999="Terminé"))&gt;0,"✓",IF(SUMPRODUCT(MAX(('Formation Initiale'!$A$2:$A$999=$A849)*'Formation Initiale'!$G$2:$G$999))&gt;0,TEXT(SUMPRODUCT(MAX(('Formation Initiale'!$A$2:$A$999=$A849)*'Formation Initiale'!$G$2:$G$999)),"yyyy-mm-dd"),""))))))</f>
        <v/>
      </c>
      <c r="G849" s="131" t="str">
        <f aca="false">IF($Q849="✓","✓",IF(ISNUMBER($Q849),TEXT($Q849,"yyyy-mm-dd"),IF($A849="","",IF(SUMPRODUCT(('Agences &amp; Après-vente'!$A$2:$A$1000=$A849)*(('Agences &amp; Après-vente'!$D$2:$D$1000="Agences")+('Agences &amp; Après-vente'!$D$2:$D$1000="Agences et Après-vente"))*('Agences &amp; Après-vente'!$I$2:$I$1000="DONE"))&gt;0,"✓",IF(SUMPRODUCT(MAX(('Agences &amp; Après-vente'!$A$2:$A$1000=$A849)*(('Agences &amp; Après-vente'!$D$2:$D$1000="Agences")+('Agences &amp; Après-vente'!$D$2:$D$1000="Agences et Après-vente"))*'Agences &amp; Après-vente'!$E$2:$E$1000))&gt;0,TEXT(SUMPRODUCT(MAX(('Agences &amp; Après-vente'!$A$2:$A$1000=$A849)*(('Agences &amp; Après-vente'!$D$2:$D$1000="Agences")+('Agences &amp; Après-vente'!$D$2:$D$1000="Agences et Après-vente"))*'Agences &amp; Après-vente'!$E$2:$E$1000)),"yyyy-mm-dd"),"")))))</f>
        <v/>
      </c>
      <c r="H849" s="131" t="str">
        <f aca="false">IF($R849="✓","✓",IF(ISNUMBER($R849),TEXT($R849,"yyyy-mm-dd"),IF($A849="","",IF($D849="Lisbonne","",IF(SUMPRODUCT(('Agences &amp; Après-vente'!$A$2:$A$1000=$A849)*(('Agences &amp; Après-vente'!$D$2:$D$1000="Agences")+('Agences &amp; Après-vente'!$D$2:$D$1000="Agences et Après-vente"))*('Agences &amp; Après-vente'!$I$2:$I$1000="DONE"))&gt;0,"✓",IF(SUMPRODUCT(MAX(('Agences &amp; Après-vente'!$A$2:$A$1000=$A849)*(('Agences &amp; Après-vente'!$D$2:$D$1000="Agences")+('Agences &amp; Après-vente'!$D$2:$D$1000="Agences et Après-vente"))*'Agences &amp; Après-vente'!$E$2:$E$1000))&gt;0,TEXT(SUMPRODUCT(MAX(('Agences &amp; Après-vente'!$A$2:$A$1000=$A849)*(('Agences &amp; Après-vente'!$D$2:$D$1000="Agences")+('Agences &amp; Après-vente'!$D$2:$D$1000="Agences et Après-vente"))*'Agences &amp; Après-vente'!$E$2:$E$1000)),"yyyy-mm-dd"),""))))))</f>
        <v/>
      </c>
      <c r="I849" s="131" t="str">
        <f aca="false">IF($S849="✓","✓",IF(ISNUMBER($S849),TEXT($S849,"yyyy-mm-dd"),IF($A849="","",IF(SUMPRODUCT(('Agences &amp; Après-vente'!$A$2:$A$1000=$A849)*(('Agences &amp; Après-vente'!$D$2:$D$1000="Après-vente")+('Agences &amp; Après-vente'!$D$2:$D$1000="Agences et Après-vente"))*('Agences &amp; Après-vente'!$I$2:$I$1000="DONE"))&gt;0,"✓",IF(SUMPRODUCT(MAX(('Agences &amp; Après-vente'!$A$2:$A$1000=$A849)*(('Agences &amp; Après-vente'!$D$2:$D$1000="Après-vente")+('Agences &amp; Après-vente'!$D$2:$D$1000="Agences et Après-vente"))*'Agences &amp; Après-vente'!$E$2:$E$1000))&gt;0,TEXT(SUMPRODUCT(MAX(('Agences &amp; Après-vente'!$A$2:$A$1000=$A849)*(('Agences &amp; Après-vente'!$D$2:$D$1000="Après-vente")+('Agences &amp; Après-vente'!$D$2:$D$1000="Agences et Après-vente"))*'Agences &amp; Après-vente'!$E$2:$E$1000)),"yyyy-mm-dd"),"")))))</f>
        <v/>
      </c>
      <c r="J849" s="131" t="str">
        <f aca="false">IF($T849="✓","✓",IF(ISNUMBER($T849),TEXT($T849,"yyyy-mm-dd"),IF($A849="","",IF($D849="Lisbonne","",IF(SUMPRODUCT(('Agences &amp; Après-vente'!$A$2:$A$1000=$A849)*(('Agences &amp; Après-vente'!$D$2:$D$1000="Après-vente")+('Agences &amp; Après-vente'!$D$2:$D$1000="Agences et Après-vente"))*('Agences &amp; Après-vente'!$I$2:$I$1000="DONE"))&gt;0,"✓",IF(SUMPRODUCT(MAX(('Agences &amp; Après-vente'!$A$2:$A$1000=$A849)*(('Agences &amp; Après-vente'!$D$2:$D$1000="Après-vente")+('Agences &amp; Après-vente'!$D$2:$D$1000="Agences et Après-vente"))*'Agences &amp; Après-vente'!$E$2:$E$1000))&gt;0,TEXT(SUMPRODUCT(MAX(('Agences &amp; Après-vente'!$A$2:$A$1000=$A849)*(('Agences &amp; Après-vente'!$D$2:$D$1000="Après-vente")+('Agences &amp; Après-vente'!$D$2:$D$1000="Agences et Après-vente"))*'Agences &amp; Après-vente'!$E$2:$E$1000)),"yyyy-mm-dd"),""))))))</f>
        <v/>
      </c>
      <c r="K849" s="131" t="str">
        <f aca="false">IF($U849="✓","✓",IF(ISNUMBER($U849),TEXT($U849,"yyyy-mm-dd"),IF($D849="Lisbonne","",IF($A849="","",IF(SUMPRODUCT((Evermont!$A$2:$A$1000=$A849)*(Evermont!$Q$2:$Q$1000="Terminé"))&gt;0,"✓",IF(SUMPRODUCT(MAX((Evermont!$A$2:$A$1000=$A849)*Evermont!$F$2:$F$1000))&gt;0,TEXT(SUMPRODUCT(MAX((Evermont!$A$2:$A$1000=$A849)*Evermont!$F$2:$F$1000)),"yyyy-mm-dd"),""))))))</f>
        <v/>
      </c>
      <c r="L849" s="131" t="str">
        <f aca="false">IF($A849="","",COUNTIF(E849:K849,"✓"))</f>
        <v/>
      </c>
      <c r="M849" s="131" t="str">
        <f aca="false">IF(B849="","","Active")</f>
        <v/>
      </c>
      <c r="W849" s="120" t="str">
        <f aca="false">IF($A849="","",IF($X849&lt;&gt;"",$X849,IFERROR(INDEX('Formation Initiale'!$B$2:$B$999,MATCH($A849,'Formation Initiale'!$A$2:$A$999,0)),"Général")))</f>
        <v/>
      </c>
    </row>
    <row r="850" customFormat="false" ht="15" hidden="true" customHeight="true" outlineLevel="0" collapsed="false">
      <c r="A850" s="142" t="str">
        <f aca="false">IF(B850="","","TR"&amp;TEXT(ROW()-1,"000"))</f>
        <v/>
      </c>
      <c r="E850" s="130" t="str">
        <f aca="false">IF($O850="✓","✓",IF(ISNUMBER($O850),TEXT($O850,"yyyy-mm-dd"),IF($A850="","",IF(SUMPRODUCT(('Formation Initiale'!$A$2:$A$999=$A850)*('Formation Initiale'!$R$2:$R$999="Terminé"))&gt;0,"✓",IF(SUMPRODUCT(MAX(('Formation Initiale'!$A$2:$A$999=$A850)*'Formation Initiale'!$G$2:$G$999))&gt;0,TEXT(SUMPRODUCT(MAX(('Formation Initiale'!$A$2:$A$999=$A850)*'Formation Initiale'!$G$2:$G$999)),"yyyy-mm-dd"),"")))))</f>
        <v/>
      </c>
      <c r="F850" s="131" t="str">
        <f aca="false">IF($P850="✓","✓",IF(ISNUMBER($P850),TEXT($P850,"yyyy-mm-dd"),IF($A850="","",IF($D850="Lisbonne","",IF(SUMPRODUCT(('Formation Initiale'!$A$2:$A$999=$A850)*('Formation Initiale'!$R$2:$R$999="Terminé"))&gt;0,"✓",IF(SUMPRODUCT(MAX(('Formation Initiale'!$A$2:$A$999=$A850)*'Formation Initiale'!$G$2:$G$999))&gt;0,TEXT(SUMPRODUCT(MAX(('Formation Initiale'!$A$2:$A$999=$A850)*'Formation Initiale'!$G$2:$G$999)),"yyyy-mm-dd"),""))))))</f>
        <v/>
      </c>
      <c r="G850" s="131" t="str">
        <f aca="false">IF($Q850="✓","✓",IF(ISNUMBER($Q850),TEXT($Q850,"yyyy-mm-dd"),IF($A850="","",IF(SUMPRODUCT(('Agences &amp; Après-vente'!$A$2:$A$1000=$A850)*(('Agences &amp; Après-vente'!$D$2:$D$1000="Agences")+('Agences &amp; Après-vente'!$D$2:$D$1000="Agences et Après-vente"))*('Agences &amp; Après-vente'!$I$2:$I$1000="DONE"))&gt;0,"✓",IF(SUMPRODUCT(MAX(('Agences &amp; Après-vente'!$A$2:$A$1000=$A850)*(('Agences &amp; Après-vente'!$D$2:$D$1000="Agences")+('Agences &amp; Après-vente'!$D$2:$D$1000="Agences et Après-vente"))*'Agences &amp; Après-vente'!$E$2:$E$1000))&gt;0,TEXT(SUMPRODUCT(MAX(('Agences &amp; Après-vente'!$A$2:$A$1000=$A850)*(('Agences &amp; Après-vente'!$D$2:$D$1000="Agences")+('Agences &amp; Après-vente'!$D$2:$D$1000="Agences et Après-vente"))*'Agences &amp; Après-vente'!$E$2:$E$1000)),"yyyy-mm-dd"),"")))))</f>
        <v/>
      </c>
      <c r="H850" s="131" t="str">
        <f aca="false">IF($R850="✓","✓",IF(ISNUMBER($R850),TEXT($R850,"yyyy-mm-dd"),IF($A850="","",IF($D850="Lisbonne","",IF(SUMPRODUCT(('Agences &amp; Après-vente'!$A$2:$A$1000=$A850)*(('Agences &amp; Après-vente'!$D$2:$D$1000="Agences")+('Agences &amp; Après-vente'!$D$2:$D$1000="Agences et Après-vente"))*('Agences &amp; Après-vente'!$I$2:$I$1000="DONE"))&gt;0,"✓",IF(SUMPRODUCT(MAX(('Agences &amp; Après-vente'!$A$2:$A$1000=$A850)*(('Agences &amp; Après-vente'!$D$2:$D$1000="Agences")+('Agences &amp; Après-vente'!$D$2:$D$1000="Agences et Après-vente"))*'Agences &amp; Après-vente'!$E$2:$E$1000))&gt;0,TEXT(SUMPRODUCT(MAX(('Agences &amp; Après-vente'!$A$2:$A$1000=$A850)*(('Agences &amp; Après-vente'!$D$2:$D$1000="Agences")+('Agences &amp; Après-vente'!$D$2:$D$1000="Agences et Après-vente"))*'Agences &amp; Après-vente'!$E$2:$E$1000)),"yyyy-mm-dd"),""))))))</f>
        <v/>
      </c>
      <c r="I850" s="131" t="str">
        <f aca="false">IF($S850="✓","✓",IF(ISNUMBER($S850),TEXT($S850,"yyyy-mm-dd"),IF($A850="","",IF(SUMPRODUCT(('Agences &amp; Après-vente'!$A$2:$A$1000=$A850)*(('Agences &amp; Après-vente'!$D$2:$D$1000="Après-vente")+('Agences &amp; Après-vente'!$D$2:$D$1000="Agences et Après-vente"))*('Agences &amp; Après-vente'!$I$2:$I$1000="DONE"))&gt;0,"✓",IF(SUMPRODUCT(MAX(('Agences &amp; Après-vente'!$A$2:$A$1000=$A850)*(('Agences &amp; Après-vente'!$D$2:$D$1000="Après-vente")+('Agences &amp; Après-vente'!$D$2:$D$1000="Agences et Après-vente"))*'Agences &amp; Après-vente'!$E$2:$E$1000))&gt;0,TEXT(SUMPRODUCT(MAX(('Agences &amp; Après-vente'!$A$2:$A$1000=$A850)*(('Agences &amp; Après-vente'!$D$2:$D$1000="Après-vente")+('Agences &amp; Après-vente'!$D$2:$D$1000="Agences et Après-vente"))*'Agences &amp; Après-vente'!$E$2:$E$1000)),"yyyy-mm-dd"),"")))))</f>
        <v/>
      </c>
      <c r="J850" s="131" t="str">
        <f aca="false">IF($T850="✓","✓",IF(ISNUMBER($T850),TEXT($T850,"yyyy-mm-dd"),IF($A850="","",IF($D850="Lisbonne","",IF(SUMPRODUCT(('Agences &amp; Après-vente'!$A$2:$A$1000=$A850)*(('Agences &amp; Après-vente'!$D$2:$D$1000="Après-vente")+('Agences &amp; Après-vente'!$D$2:$D$1000="Agences et Après-vente"))*('Agences &amp; Après-vente'!$I$2:$I$1000="DONE"))&gt;0,"✓",IF(SUMPRODUCT(MAX(('Agences &amp; Après-vente'!$A$2:$A$1000=$A850)*(('Agences &amp; Après-vente'!$D$2:$D$1000="Après-vente")+('Agences &amp; Après-vente'!$D$2:$D$1000="Agences et Après-vente"))*'Agences &amp; Après-vente'!$E$2:$E$1000))&gt;0,TEXT(SUMPRODUCT(MAX(('Agences &amp; Après-vente'!$A$2:$A$1000=$A850)*(('Agences &amp; Après-vente'!$D$2:$D$1000="Après-vente")+('Agences &amp; Après-vente'!$D$2:$D$1000="Agences et Après-vente"))*'Agences &amp; Après-vente'!$E$2:$E$1000)),"yyyy-mm-dd"),""))))))</f>
        <v/>
      </c>
      <c r="K850" s="131" t="str">
        <f aca="false">IF($U850="✓","✓",IF(ISNUMBER($U850),TEXT($U850,"yyyy-mm-dd"),IF($D850="Lisbonne","",IF($A850="","",IF(SUMPRODUCT((Evermont!$A$2:$A$1000=$A850)*(Evermont!$Q$2:$Q$1000="Terminé"))&gt;0,"✓",IF(SUMPRODUCT(MAX((Evermont!$A$2:$A$1000=$A850)*Evermont!$F$2:$F$1000))&gt;0,TEXT(SUMPRODUCT(MAX((Evermont!$A$2:$A$1000=$A850)*Evermont!$F$2:$F$1000)),"yyyy-mm-dd"),""))))))</f>
        <v/>
      </c>
      <c r="L850" s="131" t="str">
        <f aca="false">IF($A850="","",COUNTIF(E850:K850,"✓"))</f>
        <v/>
      </c>
      <c r="M850" s="131" t="str">
        <f aca="false">IF(B850="","","Active")</f>
        <v/>
      </c>
      <c r="W850" s="120" t="str">
        <f aca="false">IF($A850="","",IF($X850&lt;&gt;"",$X850,IFERROR(INDEX('Formation Initiale'!$B$2:$B$999,MATCH($A850,'Formation Initiale'!$A$2:$A$999,0)),"Général")))</f>
        <v/>
      </c>
    </row>
    <row r="851" customFormat="false" ht="15" hidden="true" customHeight="true" outlineLevel="0" collapsed="false">
      <c r="A851" s="142" t="str">
        <f aca="false">IF(B851="","","TR"&amp;TEXT(ROW()-1,"000"))</f>
        <v/>
      </c>
      <c r="E851" s="130" t="str">
        <f aca="false">IF($O851="✓","✓",IF(ISNUMBER($O851),TEXT($O851,"yyyy-mm-dd"),IF($A851="","",IF(SUMPRODUCT(('Formation Initiale'!$A$2:$A$999=$A851)*('Formation Initiale'!$R$2:$R$999="Terminé"))&gt;0,"✓",IF(SUMPRODUCT(MAX(('Formation Initiale'!$A$2:$A$999=$A851)*'Formation Initiale'!$G$2:$G$999))&gt;0,TEXT(SUMPRODUCT(MAX(('Formation Initiale'!$A$2:$A$999=$A851)*'Formation Initiale'!$G$2:$G$999)),"yyyy-mm-dd"),"")))))</f>
        <v/>
      </c>
      <c r="F851" s="131" t="str">
        <f aca="false">IF($P851="✓","✓",IF(ISNUMBER($P851),TEXT($P851,"yyyy-mm-dd"),IF($A851="","",IF($D851="Lisbonne","",IF(SUMPRODUCT(('Formation Initiale'!$A$2:$A$999=$A851)*('Formation Initiale'!$R$2:$R$999="Terminé"))&gt;0,"✓",IF(SUMPRODUCT(MAX(('Formation Initiale'!$A$2:$A$999=$A851)*'Formation Initiale'!$G$2:$G$999))&gt;0,TEXT(SUMPRODUCT(MAX(('Formation Initiale'!$A$2:$A$999=$A851)*'Formation Initiale'!$G$2:$G$999)),"yyyy-mm-dd"),""))))))</f>
        <v/>
      </c>
      <c r="G851" s="131" t="str">
        <f aca="false">IF($Q851="✓","✓",IF(ISNUMBER($Q851),TEXT($Q851,"yyyy-mm-dd"),IF($A851="","",IF(SUMPRODUCT(('Agences &amp; Après-vente'!$A$2:$A$1000=$A851)*(('Agences &amp; Après-vente'!$D$2:$D$1000="Agences")+('Agences &amp; Après-vente'!$D$2:$D$1000="Agences et Après-vente"))*('Agences &amp; Après-vente'!$I$2:$I$1000="DONE"))&gt;0,"✓",IF(SUMPRODUCT(MAX(('Agences &amp; Après-vente'!$A$2:$A$1000=$A851)*(('Agences &amp; Après-vente'!$D$2:$D$1000="Agences")+('Agences &amp; Après-vente'!$D$2:$D$1000="Agences et Après-vente"))*'Agences &amp; Après-vente'!$E$2:$E$1000))&gt;0,TEXT(SUMPRODUCT(MAX(('Agences &amp; Après-vente'!$A$2:$A$1000=$A851)*(('Agences &amp; Après-vente'!$D$2:$D$1000="Agences")+('Agences &amp; Après-vente'!$D$2:$D$1000="Agences et Après-vente"))*'Agences &amp; Après-vente'!$E$2:$E$1000)),"yyyy-mm-dd"),"")))))</f>
        <v/>
      </c>
      <c r="H851" s="131" t="str">
        <f aca="false">IF($R851="✓","✓",IF(ISNUMBER($R851),TEXT($R851,"yyyy-mm-dd"),IF($A851="","",IF($D851="Lisbonne","",IF(SUMPRODUCT(('Agences &amp; Après-vente'!$A$2:$A$1000=$A851)*(('Agences &amp; Après-vente'!$D$2:$D$1000="Agences")+('Agences &amp; Après-vente'!$D$2:$D$1000="Agences et Après-vente"))*('Agences &amp; Après-vente'!$I$2:$I$1000="DONE"))&gt;0,"✓",IF(SUMPRODUCT(MAX(('Agences &amp; Après-vente'!$A$2:$A$1000=$A851)*(('Agences &amp; Après-vente'!$D$2:$D$1000="Agences")+('Agences &amp; Après-vente'!$D$2:$D$1000="Agences et Après-vente"))*'Agences &amp; Après-vente'!$E$2:$E$1000))&gt;0,TEXT(SUMPRODUCT(MAX(('Agences &amp; Après-vente'!$A$2:$A$1000=$A851)*(('Agences &amp; Après-vente'!$D$2:$D$1000="Agences")+('Agences &amp; Après-vente'!$D$2:$D$1000="Agences et Après-vente"))*'Agences &amp; Après-vente'!$E$2:$E$1000)),"yyyy-mm-dd"),""))))))</f>
        <v/>
      </c>
      <c r="I851" s="131" t="str">
        <f aca="false">IF($S851="✓","✓",IF(ISNUMBER($S851),TEXT($S851,"yyyy-mm-dd"),IF($A851="","",IF(SUMPRODUCT(('Agences &amp; Après-vente'!$A$2:$A$1000=$A851)*(('Agences &amp; Après-vente'!$D$2:$D$1000="Après-vente")+('Agences &amp; Après-vente'!$D$2:$D$1000="Agences et Après-vente"))*('Agences &amp; Après-vente'!$I$2:$I$1000="DONE"))&gt;0,"✓",IF(SUMPRODUCT(MAX(('Agences &amp; Après-vente'!$A$2:$A$1000=$A851)*(('Agences &amp; Après-vente'!$D$2:$D$1000="Après-vente")+('Agences &amp; Après-vente'!$D$2:$D$1000="Agences et Après-vente"))*'Agences &amp; Après-vente'!$E$2:$E$1000))&gt;0,TEXT(SUMPRODUCT(MAX(('Agences &amp; Après-vente'!$A$2:$A$1000=$A851)*(('Agences &amp; Après-vente'!$D$2:$D$1000="Après-vente")+('Agences &amp; Après-vente'!$D$2:$D$1000="Agences et Après-vente"))*'Agences &amp; Après-vente'!$E$2:$E$1000)),"yyyy-mm-dd"),"")))))</f>
        <v/>
      </c>
      <c r="J851" s="131" t="str">
        <f aca="false">IF($T851="✓","✓",IF(ISNUMBER($T851),TEXT($T851,"yyyy-mm-dd"),IF($A851="","",IF($D851="Lisbonne","",IF(SUMPRODUCT(('Agences &amp; Après-vente'!$A$2:$A$1000=$A851)*(('Agences &amp; Après-vente'!$D$2:$D$1000="Après-vente")+('Agences &amp; Après-vente'!$D$2:$D$1000="Agences et Après-vente"))*('Agences &amp; Après-vente'!$I$2:$I$1000="DONE"))&gt;0,"✓",IF(SUMPRODUCT(MAX(('Agences &amp; Après-vente'!$A$2:$A$1000=$A851)*(('Agences &amp; Après-vente'!$D$2:$D$1000="Après-vente")+('Agences &amp; Après-vente'!$D$2:$D$1000="Agences et Après-vente"))*'Agences &amp; Après-vente'!$E$2:$E$1000))&gt;0,TEXT(SUMPRODUCT(MAX(('Agences &amp; Après-vente'!$A$2:$A$1000=$A851)*(('Agences &amp; Après-vente'!$D$2:$D$1000="Après-vente")+('Agences &amp; Après-vente'!$D$2:$D$1000="Agences et Après-vente"))*'Agences &amp; Après-vente'!$E$2:$E$1000)),"yyyy-mm-dd"),""))))))</f>
        <v/>
      </c>
      <c r="K851" s="131" t="str">
        <f aca="false">IF($U851="✓","✓",IF(ISNUMBER($U851),TEXT($U851,"yyyy-mm-dd"),IF($D851="Lisbonne","",IF($A851="","",IF(SUMPRODUCT((Evermont!$A$2:$A$1000=$A851)*(Evermont!$Q$2:$Q$1000="Terminé"))&gt;0,"✓",IF(SUMPRODUCT(MAX((Evermont!$A$2:$A$1000=$A851)*Evermont!$F$2:$F$1000))&gt;0,TEXT(SUMPRODUCT(MAX((Evermont!$A$2:$A$1000=$A851)*Evermont!$F$2:$F$1000)),"yyyy-mm-dd"),""))))))</f>
        <v/>
      </c>
      <c r="L851" s="131" t="str">
        <f aca="false">IF($A851="","",COUNTIF(E851:K851,"✓"))</f>
        <v/>
      </c>
      <c r="M851" s="131" t="str">
        <f aca="false">IF(B851="","","Active")</f>
        <v/>
      </c>
      <c r="W851" s="120" t="str">
        <f aca="false">IF($A851="","",IF($X851&lt;&gt;"",$X851,IFERROR(INDEX('Formation Initiale'!$B$2:$B$999,MATCH($A851,'Formation Initiale'!$A$2:$A$999,0)),"Général")))</f>
        <v/>
      </c>
    </row>
    <row r="852" customFormat="false" ht="15" hidden="true" customHeight="true" outlineLevel="0" collapsed="false">
      <c r="A852" s="142" t="str">
        <f aca="false">IF(B852="","","TR"&amp;TEXT(ROW()-1,"000"))</f>
        <v/>
      </c>
      <c r="E852" s="130" t="str">
        <f aca="false">IF($O852="✓","✓",IF(ISNUMBER($O852),TEXT($O852,"yyyy-mm-dd"),IF($A852="","",IF(SUMPRODUCT(('Formation Initiale'!$A$2:$A$999=$A852)*('Formation Initiale'!$R$2:$R$999="Terminé"))&gt;0,"✓",IF(SUMPRODUCT(MAX(('Formation Initiale'!$A$2:$A$999=$A852)*'Formation Initiale'!$G$2:$G$999))&gt;0,TEXT(SUMPRODUCT(MAX(('Formation Initiale'!$A$2:$A$999=$A852)*'Formation Initiale'!$G$2:$G$999)),"yyyy-mm-dd"),"")))))</f>
        <v/>
      </c>
      <c r="F852" s="131" t="str">
        <f aca="false">IF($P852="✓","✓",IF(ISNUMBER($P852),TEXT($P852,"yyyy-mm-dd"),IF($A852="","",IF($D852="Lisbonne","",IF(SUMPRODUCT(('Formation Initiale'!$A$2:$A$999=$A852)*('Formation Initiale'!$R$2:$R$999="Terminé"))&gt;0,"✓",IF(SUMPRODUCT(MAX(('Formation Initiale'!$A$2:$A$999=$A852)*'Formation Initiale'!$G$2:$G$999))&gt;0,TEXT(SUMPRODUCT(MAX(('Formation Initiale'!$A$2:$A$999=$A852)*'Formation Initiale'!$G$2:$G$999)),"yyyy-mm-dd"),""))))))</f>
        <v/>
      </c>
      <c r="G852" s="131" t="str">
        <f aca="false">IF($Q852="✓","✓",IF(ISNUMBER($Q852),TEXT($Q852,"yyyy-mm-dd"),IF($A852="","",IF(SUMPRODUCT(('Agences &amp; Après-vente'!$A$2:$A$1000=$A852)*(('Agences &amp; Après-vente'!$D$2:$D$1000="Agences")+('Agences &amp; Après-vente'!$D$2:$D$1000="Agences et Après-vente"))*('Agences &amp; Après-vente'!$I$2:$I$1000="DONE"))&gt;0,"✓",IF(SUMPRODUCT(MAX(('Agences &amp; Après-vente'!$A$2:$A$1000=$A852)*(('Agences &amp; Après-vente'!$D$2:$D$1000="Agences")+('Agences &amp; Après-vente'!$D$2:$D$1000="Agences et Après-vente"))*'Agences &amp; Après-vente'!$E$2:$E$1000))&gt;0,TEXT(SUMPRODUCT(MAX(('Agences &amp; Après-vente'!$A$2:$A$1000=$A852)*(('Agences &amp; Après-vente'!$D$2:$D$1000="Agences")+('Agences &amp; Après-vente'!$D$2:$D$1000="Agences et Après-vente"))*'Agences &amp; Après-vente'!$E$2:$E$1000)),"yyyy-mm-dd"),"")))))</f>
        <v/>
      </c>
      <c r="H852" s="131" t="str">
        <f aca="false">IF($R852="✓","✓",IF(ISNUMBER($R852),TEXT($R852,"yyyy-mm-dd"),IF($A852="","",IF($D852="Lisbonne","",IF(SUMPRODUCT(('Agences &amp; Après-vente'!$A$2:$A$1000=$A852)*(('Agences &amp; Après-vente'!$D$2:$D$1000="Agences")+('Agences &amp; Après-vente'!$D$2:$D$1000="Agences et Après-vente"))*('Agences &amp; Après-vente'!$I$2:$I$1000="DONE"))&gt;0,"✓",IF(SUMPRODUCT(MAX(('Agences &amp; Après-vente'!$A$2:$A$1000=$A852)*(('Agences &amp; Après-vente'!$D$2:$D$1000="Agences")+('Agences &amp; Après-vente'!$D$2:$D$1000="Agences et Après-vente"))*'Agences &amp; Après-vente'!$E$2:$E$1000))&gt;0,TEXT(SUMPRODUCT(MAX(('Agences &amp; Après-vente'!$A$2:$A$1000=$A852)*(('Agences &amp; Après-vente'!$D$2:$D$1000="Agences")+('Agences &amp; Après-vente'!$D$2:$D$1000="Agences et Après-vente"))*'Agences &amp; Après-vente'!$E$2:$E$1000)),"yyyy-mm-dd"),""))))))</f>
        <v/>
      </c>
      <c r="I852" s="131" t="str">
        <f aca="false">IF($S852="✓","✓",IF(ISNUMBER($S852),TEXT($S852,"yyyy-mm-dd"),IF($A852="","",IF(SUMPRODUCT(('Agences &amp; Après-vente'!$A$2:$A$1000=$A852)*(('Agences &amp; Après-vente'!$D$2:$D$1000="Après-vente")+('Agences &amp; Après-vente'!$D$2:$D$1000="Agences et Après-vente"))*('Agences &amp; Après-vente'!$I$2:$I$1000="DONE"))&gt;0,"✓",IF(SUMPRODUCT(MAX(('Agences &amp; Après-vente'!$A$2:$A$1000=$A852)*(('Agences &amp; Après-vente'!$D$2:$D$1000="Après-vente")+('Agences &amp; Après-vente'!$D$2:$D$1000="Agences et Après-vente"))*'Agences &amp; Après-vente'!$E$2:$E$1000))&gt;0,TEXT(SUMPRODUCT(MAX(('Agences &amp; Après-vente'!$A$2:$A$1000=$A852)*(('Agences &amp; Après-vente'!$D$2:$D$1000="Après-vente")+('Agences &amp; Après-vente'!$D$2:$D$1000="Agences et Après-vente"))*'Agences &amp; Après-vente'!$E$2:$E$1000)),"yyyy-mm-dd"),"")))))</f>
        <v/>
      </c>
      <c r="J852" s="131" t="str">
        <f aca="false">IF($T852="✓","✓",IF(ISNUMBER($T852),TEXT($T852,"yyyy-mm-dd"),IF($A852="","",IF($D852="Lisbonne","",IF(SUMPRODUCT(('Agences &amp; Après-vente'!$A$2:$A$1000=$A852)*(('Agences &amp; Après-vente'!$D$2:$D$1000="Après-vente")+('Agences &amp; Après-vente'!$D$2:$D$1000="Agences et Après-vente"))*('Agences &amp; Après-vente'!$I$2:$I$1000="DONE"))&gt;0,"✓",IF(SUMPRODUCT(MAX(('Agences &amp; Après-vente'!$A$2:$A$1000=$A852)*(('Agences &amp; Après-vente'!$D$2:$D$1000="Après-vente")+('Agences &amp; Après-vente'!$D$2:$D$1000="Agences et Après-vente"))*'Agences &amp; Après-vente'!$E$2:$E$1000))&gt;0,TEXT(SUMPRODUCT(MAX(('Agences &amp; Après-vente'!$A$2:$A$1000=$A852)*(('Agences &amp; Après-vente'!$D$2:$D$1000="Après-vente")+('Agences &amp; Après-vente'!$D$2:$D$1000="Agences et Après-vente"))*'Agences &amp; Après-vente'!$E$2:$E$1000)),"yyyy-mm-dd"),""))))))</f>
        <v/>
      </c>
      <c r="K852" s="131" t="str">
        <f aca="false">IF($U852="✓","✓",IF(ISNUMBER($U852),TEXT($U852,"yyyy-mm-dd"),IF($D852="Lisbonne","",IF($A852="","",IF(SUMPRODUCT((Evermont!$A$2:$A$1000=$A852)*(Evermont!$Q$2:$Q$1000="Terminé"))&gt;0,"✓",IF(SUMPRODUCT(MAX((Evermont!$A$2:$A$1000=$A852)*Evermont!$F$2:$F$1000))&gt;0,TEXT(SUMPRODUCT(MAX((Evermont!$A$2:$A$1000=$A852)*Evermont!$F$2:$F$1000)),"yyyy-mm-dd"),""))))))</f>
        <v/>
      </c>
      <c r="L852" s="131" t="str">
        <f aca="false">IF($A852="","",COUNTIF(E852:K852,"✓"))</f>
        <v/>
      </c>
      <c r="M852" s="131" t="str">
        <f aca="false">IF(B852="","","Active")</f>
        <v/>
      </c>
      <c r="W852" s="120" t="str">
        <f aca="false">IF($A852="","",IF($X852&lt;&gt;"",$X852,IFERROR(INDEX('Formation Initiale'!$B$2:$B$999,MATCH($A852,'Formation Initiale'!$A$2:$A$999,0)),"Général")))</f>
        <v/>
      </c>
    </row>
    <row r="853" customFormat="false" ht="15" hidden="true" customHeight="true" outlineLevel="0" collapsed="false">
      <c r="A853" s="142" t="str">
        <f aca="false">IF(B853="","","TR"&amp;TEXT(ROW()-1,"000"))</f>
        <v/>
      </c>
      <c r="E853" s="130" t="str">
        <f aca="false">IF($O853="✓","✓",IF(ISNUMBER($O853),TEXT($O853,"yyyy-mm-dd"),IF($A853="","",IF(SUMPRODUCT(('Formation Initiale'!$A$2:$A$999=$A853)*('Formation Initiale'!$R$2:$R$999="Terminé"))&gt;0,"✓",IF(SUMPRODUCT(MAX(('Formation Initiale'!$A$2:$A$999=$A853)*'Formation Initiale'!$G$2:$G$999))&gt;0,TEXT(SUMPRODUCT(MAX(('Formation Initiale'!$A$2:$A$999=$A853)*'Formation Initiale'!$G$2:$G$999)),"yyyy-mm-dd"),"")))))</f>
        <v/>
      </c>
      <c r="F853" s="131" t="str">
        <f aca="false">IF($P853="✓","✓",IF(ISNUMBER($P853),TEXT($P853,"yyyy-mm-dd"),IF($A853="","",IF($D853="Lisbonne","",IF(SUMPRODUCT(('Formation Initiale'!$A$2:$A$999=$A853)*('Formation Initiale'!$R$2:$R$999="Terminé"))&gt;0,"✓",IF(SUMPRODUCT(MAX(('Formation Initiale'!$A$2:$A$999=$A853)*'Formation Initiale'!$G$2:$G$999))&gt;0,TEXT(SUMPRODUCT(MAX(('Formation Initiale'!$A$2:$A$999=$A853)*'Formation Initiale'!$G$2:$G$999)),"yyyy-mm-dd"),""))))))</f>
        <v/>
      </c>
      <c r="G853" s="131" t="str">
        <f aca="false">IF($Q853="✓","✓",IF(ISNUMBER($Q853),TEXT($Q853,"yyyy-mm-dd"),IF($A853="","",IF(SUMPRODUCT(('Agences &amp; Après-vente'!$A$2:$A$1000=$A853)*(('Agences &amp; Après-vente'!$D$2:$D$1000="Agences")+('Agences &amp; Après-vente'!$D$2:$D$1000="Agences et Après-vente"))*('Agences &amp; Après-vente'!$I$2:$I$1000="DONE"))&gt;0,"✓",IF(SUMPRODUCT(MAX(('Agences &amp; Après-vente'!$A$2:$A$1000=$A853)*(('Agences &amp; Après-vente'!$D$2:$D$1000="Agences")+('Agences &amp; Après-vente'!$D$2:$D$1000="Agences et Après-vente"))*'Agences &amp; Après-vente'!$E$2:$E$1000))&gt;0,TEXT(SUMPRODUCT(MAX(('Agences &amp; Après-vente'!$A$2:$A$1000=$A853)*(('Agences &amp; Après-vente'!$D$2:$D$1000="Agences")+('Agences &amp; Après-vente'!$D$2:$D$1000="Agences et Après-vente"))*'Agences &amp; Après-vente'!$E$2:$E$1000)),"yyyy-mm-dd"),"")))))</f>
        <v/>
      </c>
      <c r="H853" s="131" t="str">
        <f aca="false">IF($R853="✓","✓",IF(ISNUMBER($R853),TEXT($R853,"yyyy-mm-dd"),IF($A853="","",IF($D853="Lisbonne","",IF(SUMPRODUCT(('Agences &amp; Après-vente'!$A$2:$A$1000=$A853)*(('Agences &amp; Après-vente'!$D$2:$D$1000="Agences")+('Agences &amp; Après-vente'!$D$2:$D$1000="Agences et Après-vente"))*('Agences &amp; Après-vente'!$I$2:$I$1000="DONE"))&gt;0,"✓",IF(SUMPRODUCT(MAX(('Agences &amp; Après-vente'!$A$2:$A$1000=$A853)*(('Agences &amp; Après-vente'!$D$2:$D$1000="Agences")+('Agences &amp; Après-vente'!$D$2:$D$1000="Agences et Après-vente"))*'Agences &amp; Après-vente'!$E$2:$E$1000))&gt;0,TEXT(SUMPRODUCT(MAX(('Agences &amp; Après-vente'!$A$2:$A$1000=$A853)*(('Agences &amp; Après-vente'!$D$2:$D$1000="Agences")+('Agences &amp; Après-vente'!$D$2:$D$1000="Agences et Après-vente"))*'Agences &amp; Après-vente'!$E$2:$E$1000)),"yyyy-mm-dd"),""))))))</f>
        <v/>
      </c>
      <c r="I853" s="131" t="str">
        <f aca="false">IF($S853="✓","✓",IF(ISNUMBER($S853),TEXT($S853,"yyyy-mm-dd"),IF($A853="","",IF(SUMPRODUCT(('Agences &amp; Après-vente'!$A$2:$A$1000=$A853)*(('Agences &amp; Après-vente'!$D$2:$D$1000="Après-vente")+('Agences &amp; Après-vente'!$D$2:$D$1000="Agences et Après-vente"))*('Agences &amp; Après-vente'!$I$2:$I$1000="DONE"))&gt;0,"✓",IF(SUMPRODUCT(MAX(('Agences &amp; Après-vente'!$A$2:$A$1000=$A853)*(('Agences &amp; Après-vente'!$D$2:$D$1000="Après-vente")+('Agences &amp; Après-vente'!$D$2:$D$1000="Agences et Après-vente"))*'Agences &amp; Après-vente'!$E$2:$E$1000))&gt;0,TEXT(SUMPRODUCT(MAX(('Agences &amp; Après-vente'!$A$2:$A$1000=$A853)*(('Agences &amp; Après-vente'!$D$2:$D$1000="Après-vente")+('Agences &amp; Après-vente'!$D$2:$D$1000="Agences et Après-vente"))*'Agences &amp; Après-vente'!$E$2:$E$1000)),"yyyy-mm-dd"),"")))))</f>
        <v/>
      </c>
      <c r="J853" s="131" t="str">
        <f aca="false">IF($T853="✓","✓",IF(ISNUMBER($T853),TEXT($T853,"yyyy-mm-dd"),IF($A853="","",IF($D853="Lisbonne","",IF(SUMPRODUCT(('Agences &amp; Après-vente'!$A$2:$A$1000=$A853)*(('Agences &amp; Après-vente'!$D$2:$D$1000="Après-vente")+('Agences &amp; Après-vente'!$D$2:$D$1000="Agences et Après-vente"))*('Agences &amp; Après-vente'!$I$2:$I$1000="DONE"))&gt;0,"✓",IF(SUMPRODUCT(MAX(('Agences &amp; Après-vente'!$A$2:$A$1000=$A853)*(('Agences &amp; Après-vente'!$D$2:$D$1000="Après-vente")+('Agences &amp; Après-vente'!$D$2:$D$1000="Agences et Après-vente"))*'Agences &amp; Après-vente'!$E$2:$E$1000))&gt;0,TEXT(SUMPRODUCT(MAX(('Agences &amp; Après-vente'!$A$2:$A$1000=$A853)*(('Agences &amp; Après-vente'!$D$2:$D$1000="Après-vente")+('Agences &amp; Après-vente'!$D$2:$D$1000="Agences et Après-vente"))*'Agences &amp; Après-vente'!$E$2:$E$1000)),"yyyy-mm-dd"),""))))))</f>
        <v/>
      </c>
      <c r="K853" s="131" t="str">
        <f aca="false">IF($U853="✓","✓",IF(ISNUMBER($U853),TEXT($U853,"yyyy-mm-dd"),IF($D853="Lisbonne","",IF($A853="","",IF(SUMPRODUCT((Evermont!$A$2:$A$1000=$A853)*(Evermont!$Q$2:$Q$1000="Terminé"))&gt;0,"✓",IF(SUMPRODUCT(MAX((Evermont!$A$2:$A$1000=$A853)*Evermont!$F$2:$F$1000))&gt;0,TEXT(SUMPRODUCT(MAX((Evermont!$A$2:$A$1000=$A853)*Evermont!$F$2:$F$1000)),"yyyy-mm-dd"),""))))))</f>
        <v/>
      </c>
      <c r="L853" s="131" t="str">
        <f aca="false">IF($A853="","",COUNTIF(E853:K853,"✓"))</f>
        <v/>
      </c>
      <c r="M853" s="131" t="str">
        <f aca="false">IF(B853="","","Active")</f>
        <v/>
      </c>
      <c r="W853" s="120" t="str">
        <f aca="false">IF($A853="","",IF($X853&lt;&gt;"",$X853,IFERROR(INDEX('Formation Initiale'!$B$2:$B$999,MATCH($A853,'Formation Initiale'!$A$2:$A$999,0)),"Général")))</f>
        <v/>
      </c>
    </row>
    <row r="854" customFormat="false" ht="15" hidden="true" customHeight="true" outlineLevel="0" collapsed="false">
      <c r="A854" s="142" t="str">
        <f aca="false">IF(B854="","","TR"&amp;TEXT(ROW()-1,"000"))</f>
        <v/>
      </c>
      <c r="E854" s="130" t="str">
        <f aca="false">IF($O854="✓","✓",IF(ISNUMBER($O854),TEXT($O854,"yyyy-mm-dd"),IF($A854="","",IF(SUMPRODUCT(('Formation Initiale'!$A$2:$A$999=$A854)*('Formation Initiale'!$R$2:$R$999="Terminé"))&gt;0,"✓",IF(SUMPRODUCT(MAX(('Formation Initiale'!$A$2:$A$999=$A854)*'Formation Initiale'!$G$2:$G$999))&gt;0,TEXT(SUMPRODUCT(MAX(('Formation Initiale'!$A$2:$A$999=$A854)*'Formation Initiale'!$G$2:$G$999)),"yyyy-mm-dd"),"")))))</f>
        <v/>
      </c>
      <c r="F854" s="131" t="str">
        <f aca="false">IF($P854="✓","✓",IF(ISNUMBER($P854),TEXT($P854,"yyyy-mm-dd"),IF($A854="","",IF($D854="Lisbonne","",IF(SUMPRODUCT(('Formation Initiale'!$A$2:$A$999=$A854)*('Formation Initiale'!$R$2:$R$999="Terminé"))&gt;0,"✓",IF(SUMPRODUCT(MAX(('Formation Initiale'!$A$2:$A$999=$A854)*'Formation Initiale'!$G$2:$G$999))&gt;0,TEXT(SUMPRODUCT(MAX(('Formation Initiale'!$A$2:$A$999=$A854)*'Formation Initiale'!$G$2:$G$999)),"yyyy-mm-dd"),""))))))</f>
        <v/>
      </c>
      <c r="G854" s="131" t="str">
        <f aca="false">IF($Q854="✓","✓",IF(ISNUMBER($Q854),TEXT($Q854,"yyyy-mm-dd"),IF($A854="","",IF(SUMPRODUCT(('Agences &amp; Après-vente'!$A$2:$A$1000=$A854)*(('Agences &amp; Après-vente'!$D$2:$D$1000="Agences")+('Agences &amp; Après-vente'!$D$2:$D$1000="Agences et Après-vente"))*('Agences &amp; Après-vente'!$I$2:$I$1000="DONE"))&gt;0,"✓",IF(SUMPRODUCT(MAX(('Agences &amp; Après-vente'!$A$2:$A$1000=$A854)*(('Agences &amp; Après-vente'!$D$2:$D$1000="Agences")+('Agences &amp; Après-vente'!$D$2:$D$1000="Agences et Après-vente"))*'Agences &amp; Après-vente'!$E$2:$E$1000))&gt;0,TEXT(SUMPRODUCT(MAX(('Agences &amp; Après-vente'!$A$2:$A$1000=$A854)*(('Agences &amp; Après-vente'!$D$2:$D$1000="Agences")+('Agences &amp; Après-vente'!$D$2:$D$1000="Agences et Après-vente"))*'Agences &amp; Après-vente'!$E$2:$E$1000)),"yyyy-mm-dd"),"")))))</f>
        <v/>
      </c>
      <c r="H854" s="131" t="str">
        <f aca="false">IF($R854="✓","✓",IF(ISNUMBER($R854),TEXT($R854,"yyyy-mm-dd"),IF($A854="","",IF($D854="Lisbonne","",IF(SUMPRODUCT(('Agences &amp; Après-vente'!$A$2:$A$1000=$A854)*(('Agences &amp; Après-vente'!$D$2:$D$1000="Agences")+('Agences &amp; Après-vente'!$D$2:$D$1000="Agences et Après-vente"))*('Agences &amp; Après-vente'!$I$2:$I$1000="DONE"))&gt;0,"✓",IF(SUMPRODUCT(MAX(('Agences &amp; Après-vente'!$A$2:$A$1000=$A854)*(('Agences &amp; Après-vente'!$D$2:$D$1000="Agences")+('Agences &amp; Après-vente'!$D$2:$D$1000="Agences et Après-vente"))*'Agences &amp; Après-vente'!$E$2:$E$1000))&gt;0,TEXT(SUMPRODUCT(MAX(('Agences &amp; Après-vente'!$A$2:$A$1000=$A854)*(('Agences &amp; Après-vente'!$D$2:$D$1000="Agences")+('Agences &amp; Après-vente'!$D$2:$D$1000="Agences et Après-vente"))*'Agences &amp; Après-vente'!$E$2:$E$1000)),"yyyy-mm-dd"),""))))))</f>
        <v/>
      </c>
      <c r="I854" s="131" t="str">
        <f aca="false">IF($S854="✓","✓",IF(ISNUMBER($S854),TEXT($S854,"yyyy-mm-dd"),IF($A854="","",IF(SUMPRODUCT(('Agences &amp; Après-vente'!$A$2:$A$1000=$A854)*(('Agences &amp; Après-vente'!$D$2:$D$1000="Après-vente")+('Agences &amp; Après-vente'!$D$2:$D$1000="Agences et Après-vente"))*('Agences &amp; Après-vente'!$I$2:$I$1000="DONE"))&gt;0,"✓",IF(SUMPRODUCT(MAX(('Agences &amp; Après-vente'!$A$2:$A$1000=$A854)*(('Agences &amp; Après-vente'!$D$2:$D$1000="Après-vente")+('Agences &amp; Après-vente'!$D$2:$D$1000="Agences et Après-vente"))*'Agences &amp; Après-vente'!$E$2:$E$1000))&gt;0,TEXT(SUMPRODUCT(MAX(('Agences &amp; Après-vente'!$A$2:$A$1000=$A854)*(('Agences &amp; Après-vente'!$D$2:$D$1000="Après-vente")+('Agences &amp; Après-vente'!$D$2:$D$1000="Agences et Après-vente"))*'Agences &amp; Après-vente'!$E$2:$E$1000)),"yyyy-mm-dd"),"")))))</f>
        <v/>
      </c>
      <c r="J854" s="131" t="str">
        <f aca="false">IF($T854="✓","✓",IF(ISNUMBER($T854),TEXT($T854,"yyyy-mm-dd"),IF($A854="","",IF($D854="Lisbonne","",IF(SUMPRODUCT(('Agences &amp; Après-vente'!$A$2:$A$1000=$A854)*(('Agences &amp; Après-vente'!$D$2:$D$1000="Après-vente")+('Agences &amp; Après-vente'!$D$2:$D$1000="Agences et Après-vente"))*('Agences &amp; Après-vente'!$I$2:$I$1000="DONE"))&gt;0,"✓",IF(SUMPRODUCT(MAX(('Agences &amp; Après-vente'!$A$2:$A$1000=$A854)*(('Agences &amp; Après-vente'!$D$2:$D$1000="Après-vente")+('Agences &amp; Après-vente'!$D$2:$D$1000="Agences et Après-vente"))*'Agences &amp; Après-vente'!$E$2:$E$1000))&gt;0,TEXT(SUMPRODUCT(MAX(('Agences &amp; Après-vente'!$A$2:$A$1000=$A854)*(('Agences &amp; Après-vente'!$D$2:$D$1000="Après-vente")+('Agences &amp; Après-vente'!$D$2:$D$1000="Agences et Après-vente"))*'Agences &amp; Après-vente'!$E$2:$E$1000)),"yyyy-mm-dd"),""))))))</f>
        <v/>
      </c>
      <c r="K854" s="131" t="str">
        <f aca="false">IF($U854="✓","✓",IF(ISNUMBER($U854),TEXT($U854,"yyyy-mm-dd"),IF($D854="Lisbonne","",IF($A854="","",IF(SUMPRODUCT((Evermont!$A$2:$A$1000=$A854)*(Evermont!$Q$2:$Q$1000="Terminé"))&gt;0,"✓",IF(SUMPRODUCT(MAX((Evermont!$A$2:$A$1000=$A854)*Evermont!$F$2:$F$1000))&gt;0,TEXT(SUMPRODUCT(MAX((Evermont!$A$2:$A$1000=$A854)*Evermont!$F$2:$F$1000)),"yyyy-mm-dd"),""))))))</f>
        <v/>
      </c>
      <c r="L854" s="131" t="str">
        <f aca="false">IF($A854="","",COUNTIF(E854:K854,"✓"))</f>
        <v/>
      </c>
      <c r="M854" s="131" t="str">
        <f aca="false">IF(B854="","","Active")</f>
        <v/>
      </c>
      <c r="W854" s="120" t="str">
        <f aca="false">IF($A854="","",IF($X854&lt;&gt;"",$X854,IFERROR(INDEX('Formation Initiale'!$B$2:$B$999,MATCH($A854,'Formation Initiale'!$A$2:$A$999,0)),"Général")))</f>
        <v/>
      </c>
    </row>
    <row r="855" customFormat="false" ht="15" hidden="true" customHeight="true" outlineLevel="0" collapsed="false">
      <c r="A855" s="142" t="str">
        <f aca="false">IF(B855="","","TR"&amp;TEXT(ROW()-1,"000"))</f>
        <v/>
      </c>
      <c r="E855" s="130" t="str">
        <f aca="false">IF($O855="✓","✓",IF(ISNUMBER($O855),TEXT($O855,"yyyy-mm-dd"),IF($A855="","",IF(SUMPRODUCT(('Formation Initiale'!$A$2:$A$999=$A855)*('Formation Initiale'!$R$2:$R$999="Terminé"))&gt;0,"✓",IF(SUMPRODUCT(MAX(('Formation Initiale'!$A$2:$A$999=$A855)*'Formation Initiale'!$G$2:$G$999))&gt;0,TEXT(SUMPRODUCT(MAX(('Formation Initiale'!$A$2:$A$999=$A855)*'Formation Initiale'!$G$2:$G$999)),"yyyy-mm-dd"),"")))))</f>
        <v/>
      </c>
      <c r="F855" s="131" t="str">
        <f aca="false">IF($P855="✓","✓",IF(ISNUMBER($P855),TEXT($P855,"yyyy-mm-dd"),IF($A855="","",IF($D855="Lisbonne","",IF(SUMPRODUCT(('Formation Initiale'!$A$2:$A$999=$A855)*('Formation Initiale'!$R$2:$R$999="Terminé"))&gt;0,"✓",IF(SUMPRODUCT(MAX(('Formation Initiale'!$A$2:$A$999=$A855)*'Formation Initiale'!$G$2:$G$999))&gt;0,TEXT(SUMPRODUCT(MAX(('Formation Initiale'!$A$2:$A$999=$A855)*'Formation Initiale'!$G$2:$G$999)),"yyyy-mm-dd"),""))))))</f>
        <v/>
      </c>
      <c r="G855" s="131" t="str">
        <f aca="false">IF($Q855="✓","✓",IF(ISNUMBER($Q855),TEXT($Q855,"yyyy-mm-dd"),IF($A855="","",IF(SUMPRODUCT(('Agences &amp; Après-vente'!$A$2:$A$1000=$A855)*(('Agences &amp; Après-vente'!$D$2:$D$1000="Agences")+('Agences &amp; Après-vente'!$D$2:$D$1000="Agences et Après-vente"))*('Agences &amp; Après-vente'!$I$2:$I$1000="DONE"))&gt;0,"✓",IF(SUMPRODUCT(MAX(('Agences &amp; Après-vente'!$A$2:$A$1000=$A855)*(('Agences &amp; Après-vente'!$D$2:$D$1000="Agences")+('Agences &amp; Après-vente'!$D$2:$D$1000="Agences et Après-vente"))*'Agences &amp; Après-vente'!$E$2:$E$1000))&gt;0,TEXT(SUMPRODUCT(MAX(('Agences &amp; Après-vente'!$A$2:$A$1000=$A855)*(('Agences &amp; Après-vente'!$D$2:$D$1000="Agences")+('Agences &amp; Après-vente'!$D$2:$D$1000="Agences et Après-vente"))*'Agences &amp; Après-vente'!$E$2:$E$1000)),"yyyy-mm-dd"),"")))))</f>
        <v/>
      </c>
      <c r="H855" s="131" t="str">
        <f aca="false">IF($R855="✓","✓",IF(ISNUMBER($R855),TEXT($R855,"yyyy-mm-dd"),IF($A855="","",IF($D855="Lisbonne","",IF(SUMPRODUCT(('Agences &amp; Après-vente'!$A$2:$A$1000=$A855)*(('Agences &amp; Après-vente'!$D$2:$D$1000="Agences")+('Agences &amp; Après-vente'!$D$2:$D$1000="Agences et Après-vente"))*('Agences &amp; Après-vente'!$I$2:$I$1000="DONE"))&gt;0,"✓",IF(SUMPRODUCT(MAX(('Agences &amp; Après-vente'!$A$2:$A$1000=$A855)*(('Agences &amp; Après-vente'!$D$2:$D$1000="Agences")+('Agences &amp; Après-vente'!$D$2:$D$1000="Agences et Après-vente"))*'Agences &amp; Après-vente'!$E$2:$E$1000))&gt;0,TEXT(SUMPRODUCT(MAX(('Agences &amp; Après-vente'!$A$2:$A$1000=$A855)*(('Agences &amp; Après-vente'!$D$2:$D$1000="Agences")+('Agences &amp; Après-vente'!$D$2:$D$1000="Agences et Après-vente"))*'Agences &amp; Après-vente'!$E$2:$E$1000)),"yyyy-mm-dd"),""))))))</f>
        <v/>
      </c>
      <c r="I855" s="131" t="str">
        <f aca="false">IF($S855="✓","✓",IF(ISNUMBER($S855),TEXT($S855,"yyyy-mm-dd"),IF($A855="","",IF(SUMPRODUCT(('Agences &amp; Après-vente'!$A$2:$A$1000=$A855)*(('Agences &amp; Après-vente'!$D$2:$D$1000="Après-vente")+('Agences &amp; Après-vente'!$D$2:$D$1000="Agences et Après-vente"))*('Agences &amp; Après-vente'!$I$2:$I$1000="DONE"))&gt;0,"✓",IF(SUMPRODUCT(MAX(('Agences &amp; Après-vente'!$A$2:$A$1000=$A855)*(('Agences &amp; Après-vente'!$D$2:$D$1000="Après-vente")+('Agences &amp; Après-vente'!$D$2:$D$1000="Agences et Après-vente"))*'Agences &amp; Après-vente'!$E$2:$E$1000))&gt;0,TEXT(SUMPRODUCT(MAX(('Agences &amp; Après-vente'!$A$2:$A$1000=$A855)*(('Agences &amp; Après-vente'!$D$2:$D$1000="Après-vente")+('Agences &amp; Après-vente'!$D$2:$D$1000="Agences et Après-vente"))*'Agences &amp; Après-vente'!$E$2:$E$1000)),"yyyy-mm-dd"),"")))))</f>
        <v/>
      </c>
      <c r="J855" s="131" t="str">
        <f aca="false">IF($T855="✓","✓",IF(ISNUMBER($T855),TEXT($T855,"yyyy-mm-dd"),IF($A855="","",IF($D855="Lisbonne","",IF(SUMPRODUCT(('Agences &amp; Après-vente'!$A$2:$A$1000=$A855)*(('Agences &amp; Après-vente'!$D$2:$D$1000="Après-vente")+('Agences &amp; Après-vente'!$D$2:$D$1000="Agences et Après-vente"))*('Agences &amp; Après-vente'!$I$2:$I$1000="DONE"))&gt;0,"✓",IF(SUMPRODUCT(MAX(('Agences &amp; Après-vente'!$A$2:$A$1000=$A855)*(('Agences &amp; Après-vente'!$D$2:$D$1000="Après-vente")+('Agences &amp; Après-vente'!$D$2:$D$1000="Agences et Après-vente"))*'Agences &amp; Après-vente'!$E$2:$E$1000))&gt;0,TEXT(SUMPRODUCT(MAX(('Agences &amp; Après-vente'!$A$2:$A$1000=$A855)*(('Agences &amp; Après-vente'!$D$2:$D$1000="Après-vente")+('Agences &amp; Après-vente'!$D$2:$D$1000="Agences et Après-vente"))*'Agences &amp; Après-vente'!$E$2:$E$1000)),"yyyy-mm-dd"),""))))))</f>
        <v/>
      </c>
      <c r="K855" s="131" t="str">
        <f aca="false">IF($U855="✓","✓",IF(ISNUMBER($U855),TEXT($U855,"yyyy-mm-dd"),IF($D855="Lisbonne","",IF($A855="","",IF(SUMPRODUCT((Evermont!$A$2:$A$1000=$A855)*(Evermont!$Q$2:$Q$1000="Terminé"))&gt;0,"✓",IF(SUMPRODUCT(MAX((Evermont!$A$2:$A$1000=$A855)*Evermont!$F$2:$F$1000))&gt;0,TEXT(SUMPRODUCT(MAX((Evermont!$A$2:$A$1000=$A855)*Evermont!$F$2:$F$1000)),"yyyy-mm-dd"),""))))))</f>
        <v/>
      </c>
      <c r="L855" s="131" t="str">
        <f aca="false">IF($A855="","",COUNTIF(E855:K855,"✓"))</f>
        <v/>
      </c>
      <c r="M855" s="131" t="str">
        <f aca="false">IF(B855="","","Active")</f>
        <v/>
      </c>
      <c r="W855" s="120" t="str">
        <f aca="false">IF($A855="","",IF($X855&lt;&gt;"",$X855,IFERROR(INDEX('Formation Initiale'!$B$2:$B$999,MATCH($A855,'Formation Initiale'!$A$2:$A$999,0)),"Général")))</f>
        <v/>
      </c>
    </row>
    <row r="856" customFormat="false" ht="15" hidden="true" customHeight="true" outlineLevel="0" collapsed="false">
      <c r="A856" s="142" t="str">
        <f aca="false">IF(B856="","","TR"&amp;TEXT(ROW()-1,"000"))</f>
        <v/>
      </c>
      <c r="E856" s="130" t="str">
        <f aca="false">IF($O856="✓","✓",IF(ISNUMBER($O856),TEXT($O856,"yyyy-mm-dd"),IF($A856="","",IF(SUMPRODUCT(('Formation Initiale'!$A$2:$A$999=$A856)*('Formation Initiale'!$R$2:$R$999="Terminé"))&gt;0,"✓",IF(SUMPRODUCT(MAX(('Formation Initiale'!$A$2:$A$999=$A856)*'Formation Initiale'!$G$2:$G$999))&gt;0,TEXT(SUMPRODUCT(MAX(('Formation Initiale'!$A$2:$A$999=$A856)*'Formation Initiale'!$G$2:$G$999)),"yyyy-mm-dd"),"")))))</f>
        <v/>
      </c>
      <c r="F856" s="131" t="str">
        <f aca="false">IF($P856="✓","✓",IF(ISNUMBER($P856),TEXT($P856,"yyyy-mm-dd"),IF($A856="","",IF($D856="Lisbonne","",IF(SUMPRODUCT(('Formation Initiale'!$A$2:$A$999=$A856)*('Formation Initiale'!$R$2:$R$999="Terminé"))&gt;0,"✓",IF(SUMPRODUCT(MAX(('Formation Initiale'!$A$2:$A$999=$A856)*'Formation Initiale'!$G$2:$G$999))&gt;0,TEXT(SUMPRODUCT(MAX(('Formation Initiale'!$A$2:$A$999=$A856)*'Formation Initiale'!$G$2:$G$999)),"yyyy-mm-dd"),""))))))</f>
        <v/>
      </c>
      <c r="G856" s="131" t="str">
        <f aca="false">IF($Q856="✓","✓",IF(ISNUMBER($Q856),TEXT($Q856,"yyyy-mm-dd"),IF($A856="","",IF(SUMPRODUCT(('Agences &amp; Après-vente'!$A$2:$A$1000=$A856)*(('Agences &amp; Après-vente'!$D$2:$D$1000="Agences")+('Agences &amp; Après-vente'!$D$2:$D$1000="Agences et Après-vente"))*('Agences &amp; Après-vente'!$I$2:$I$1000="DONE"))&gt;0,"✓",IF(SUMPRODUCT(MAX(('Agences &amp; Après-vente'!$A$2:$A$1000=$A856)*(('Agences &amp; Après-vente'!$D$2:$D$1000="Agences")+('Agences &amp; Après-vente'!$D$2:$D$1000="Agences et Après-vente"))*'Agences &amp; Après-vente'!$E$2:$E$1000))&gt;0,TEXT(SUMPRODUCT(MAX(('Agences &amp; Après-vente'!$A$2:$A$1000=$A856)*(('Agences &amp; Après-vente'!$D$2:$D$1000="Agences")+('Agences &amp; Après-vente'!$D$2:$D$1000="Agences et Après-vente"))*'Agences &amp; Après-vente'!$E$2:$E$1000)),"yyyy-mm-dd"),"")))))</f>
        <v/>
      </c>
      <c r="H856" s="131" t="str">
        <f aca="false">IF($R856="✓","✓",IF(ISNUMBER($R856),TEXT($R856,"yyyy-mm-dd"),IF($A856="","",IF($D856="Lisbonne","",IF(SUMPRODUCT(('Agences &amp; Après-vente'!$A$2:$A$1000=$A856)*(('Agences &amp; Après-vente'!$D$2:$D$1000="Agences")+('Agences &amp; Après-vente'!$D$2:$D$1000="Agences et Après-vente"))*('Agences &amp; Après-vente'!$I$2:$I$1000="DONE"))&gt;0,"✓",IF(SUMPRODUCT(MAX(('Agences &amp; Après-vente'!$A$2:$A$1000=$A856)*(('Agences &amp; Après-vente'!$D$2:$D$1000="Agences")+('Agences &amp; Après-vente'!$D$2:$D$1000="Agences et Après-vente"))*'Agences &amp; Après-vente'!$E$2:$E$1000))&gt;0,TEXT(SUMPRODUCT(MAX(('Agences &amp; Après-vente'!$A$2:$A$1000=$A856)*(('Agences &amp; Après-vente'!$D$2:$D$1000="Agences")+('Agences &amp; Après-vente'!$D$2:$D$1000="Agences et Après-vente"))*'Agences &amp; Après-vente'!$E$2:$E$1000)),"yyyy-mm-dd"),""))))))</f>
        <v/>
      </c>
      <c r="I856" s="131" t="str">
        <f aca="false">IF($S856="✓","✓",IF(ISNUMBER($S856),TEXT($S856,"yyyy-mm-dd"),IF($A856="","",IF(SUMPRODUCT(('Agences &amp; Après-vente'!$A$2:$A$1000=$A856)*(('Agences &amp; Après-vente'!$D$2:$D$1000="Après-vente")+('Agences &amp; Après-vente'!$D$2:$D$1000="Agences et Après-vente"))*('Agences &amp; Après-vente'!$I$2:$I$1000="DONE"))&gt;0,"✓",IF(SUMPRODUCT(MAX(('Agences &amp; Après-vente'!$A$2:$A$1000=$A856)*(('Agences &amp; Après-vente'!$D$2:$D$1000="Après-vente")+('Agences &amp; Après-vente'!$D$2:$D$1000="Agences et Après-vente"))*'Agences &amp; Après-vente'!$E$2:$E$1000))&gt;0,TEXT(SUMPRODUCT(MAX(('Agences &amp; Après-vente'!$A$2:$A$1000=$A856)*(('Agences &amp; Après-vente'!$D$2:$D$1000="Après-vente")+('Agences &amp; Après-vente'!$D$2:$D$1000="Agences et Après-vente"))*'Agences &amp; Après-vente'!$E$2:$E$1000)),"yyyy-mm-dd"),"")))))</f>
        <v/>
      </c>
      <c r="J856" s="131" t="str">
        <f aca="false">IF($T856="✓","✓",IF(ISNUMBER($T856),TEXT($T856,"yyyy-mm-dd"),IF($A856="","",IF($D856="Lisbonne","",IF(SUMPRODUCT(('Agences &amp; Après-vente'!$A$2:$A$1000=$A856)*(('Agences &amp; Après-vente'!$D$2:$D$1000="Après-vente")+('Agences &amp; Après-vente'!$D$2:$D$1000="Agences et Après-vente"))*('Agences &amp; Après-vente'!$I$2:$I$1000="DONE"))&gt;0,"✓",IF(SUMPRODUCT(MAX(('Agences &amp; Après-vente'!$A$2:$A$1000=$A856)*(('Agences &amp; Après-vente'!$D$2:$D$1000="Après-vente")+('Agences &amp; Après-vente'!$D$2:$D$1000="Agences et Après-vente"))*'Agences &amp; Après-vente'!$E$2:$E$1000))&gt;0,TEXT(SUMPRODUCT(MAX(('Agences &amp; Après-vente'!$A$2:$A$1000=$A856)*(('Agences &amp; Après-vente'!$D$2:$D$1000="Après-vente")+('Agences &amp; Après-vente'!$D$2:$D$1000="Agences et Après-vente"))*'Agences &amp; Après-vente'!$E$2:$E$1000)),"yyyy-mm-dd"),""))))))</f>
        <v/>
      </c>
      <c r="K856" s="131" t="str">
        <f aca="false">IF($U856="✓","✓",IF(ISNUMBER($U856),TEXT($U856,"yyyy-mm-dd"),IF($D856="Lisbonne","",IF($A856="","",IF(SUMPRODUCT((Evermont!$A$2:$A$1000=$A856)*(Evermont!$Q$2:$Q$1000="Terminé"))&gt;0,"✓",IF(SUMPRODUCT(MAX((Evermont!$A$2:$A$1000=$A856)*Evermont!$F$2:$F$1000))&gt;0,TEXT(SUMPRODUCT(MAX((Evermont!$A$2:$A$1000=$A856)*Evermont!$F$2:$F$1000)),"yyyy-mm-dd"),""))))))</f>
        <v/>
      </c>
      <c r="L856" s="131" t="str">
        <f aca="false">IF($A856="","",COUNTIF(E856:K856,"✓"))</f>
        <v/>
      </c>
      <c r="M856" s="131" t="str">
        <f aca="false">IF(B856="","","Active")</f>
        <v/>
      </c>
      <c r="W856" s="120" t="str">
        <f aca="false">IF($A856="","",IF($X856&lt;&gt;"",$X856,IFERROR(INDEX('Formation Initiale'!$B$2:$B$999,MATCH($A856,'Formation Initiale'!$A$2:$A$999,0)),"Général")))</f>
        <v/>
      </c>
    </row>
    <row r="857" customFormat="false" ht="15" hidden="true" customHeight="true" outlineLevel="0" collapsed="false">
      <c r="A857" s="142" t="str">
        <f aca="false">IF(B857="","","TR"&amp;TEXT(ROW()-1,"000"))</f>
        <v/>
      </c>
      <c r="E857" s="130" t="str">
        <f aca="false">IF($O857="✓","✓",IF(ISNUMBER($O857),TEXT($O857,"yyyy-mm-dd"),IF($A857="","",IF(SUMPRODUCT(('Formation Initiale'!$A$2:$A$999=$A857)*('Formation Initiale'!$R$2:$R$999="Terminé"))&gt;0,"✓",IF(SUMPRODUCT(MAX(('Formation Initiale'!$A$2:$A$999=$A857)*'Formation Initiale'!$G$2:$G$999))&gt;0,TEXT(SUMPRODUCT(MAX(('Formation Initiale'!$A$2:$A$999=$A857)*'Formation Initiale'!$G$2:$G$999)),"yyyy-mm-dd"),"")))))</f>
        <v/>
      </c>
      <c r="F857" s="131" t="str">
        <f aca="false">IF($P857="✓","✓",IF(ISNUMBER($P857),TEXT($P857,"yyyy-mm-dd"),IF($A857="","",IF($D857="Lisbonne","",IF(SUMPRODUCT(('Formation Initiale'!$A$2:$A$999=$A857)*('Formation Initiale'!$R$2:$R$999="Terminé"))&gt;0,"✓",IF(SUMPRODUCT(MAX(('Formation Initiale'!$A$2:$A$999=$A857)*'Formation Initiale'!$G$2:$G$999))&gt;0,TEXT(SUMPRODUCT(MAX(('Formation Initiale'!$A$2:$A$999=$A857)*'Formation Initiale'!$G$2:$G$999)),"yyyy-mm-dd"),""))))))</f>
        <v/>
      </c>
      <c r="G857" s="131" t="str">
        <f aca="false">IF($Q857="✓","✓",IF(ISNUMBER($Q857),TEXT($Q857,"yyyy-mm-dd"),IF($A857="","",IF(SUMPRODUCT(('Agences &amp; Après-vente'!$A$2:$A$1000=$A857)*(('Agences &amp; Après-vente'!$D$2:$D$1000="Agences")+('Agences &amp; Après-vente'!$D$2:$D$1000="Agences et Après-vente"))*('Agences &amp; Après-vente'!$I$2:$I$1000="DONE"))&gt;0,"✓",IF(SUMPRODUCT(MAX(('Agences &amp; Après-vente'!$A$2:$A$1000=$A857)*(('Agences &amp; Après-vente'!$D$2:$D$1000="Agences")+('Agences &amp; Après-vente'!$D$2:$D$1000="Agences et Après-vente"))*'Agences &amp; Après-vente'!$E$2:$E$1000))&gt;0,TEXT(SUMPRODUCT(MAX(('Agences &amp; Après-vente'!$A$2:$A$1000=$A857)*(('Agences &amp; Après-vente'!$D$2:$D$1000="Agences")+('Agences &amp; Après-vente'!$D$2:$D$1000="Agences et Après-vente"))*'Agences &amp; Après-vente'!$E$2:$E$1000)),"yyyy-mm-dd"),"")))))</f>
        <v/>
      </c>
      <c r="H857" s="131" t="str">
        <f aca="false">IF($R857="✓","✓",IF(ISNUMBER($R857),TEXT($R857,"yyyy-mm-dd"),IF($A857="","",IF($D857="Lisbonne","",IF(SUMPRODUCT(('Agences &amp; Après-vente'!$A$2:$A$1000=$A857)*(('Agences &amp; Après-vente'!$D$2:$D$1000="Agences")+('Agences &amp; Après-vente'!$D$2:$D$1000="Agences et Après-vente"))*('Agences &amp; Après-vente'!$I$2:$I$1000="DONE"))&gt;0,"✓",IF(SUMPRODUCT(MAX(('Agences &amp; Après-vente'!$A$2:$A$1000=$A857)*(('Agences &amp; Après-vente'!$D$2:$D$1000="Agences")+('Agences &amp; Après-vente'!$D$2:$D$1000="Agences et Après-vente"))*'Agences &amp; Après-vente'!$E$2:$E$1000))&gt;0,TEXT(SUMPRODUCT(MAX(('Agences &amp; Après-vente'!$A$2:$A$1000=$A857)*(('Agences &amp; Après-vente'!$D$2:$D$1000="Agences")+('Agences &amp; Après-vente'!$D$2:$D$1000="Agences et Après-vente"))*'Agences &amp; Après-vente'!$E$2:$E$1000)),"yyyy-mm-dd"),""))))))</f>
        <v/>
      </c>
      <c r="I857" s="131" t="str">
        <f aca="false">IF($S857="✓","✓",IF(ISNUMBER($S857),TEXT($S857,"yyyy-mm-dd"),IF($A857="","",IF(SUMPRODUCT(('Agences &amp; Après-vente'!$A$2:$A$1000=$A857)*(('Agences &amp; Après-vente'!$D$2:$D$1000="Après-vente")+('Agences &amp; Après-vente'!$D$2:$D$1000="Agences et Après-vente"))*('Agences &amp; Après-vente'!$I$2:$I$1000="DONE"))&gt;0,"✓",IF(SUMPRODUCT(MAX(('Agences &amp; Après-vente'!$A$2:$A$1000=$A857)*(('Agences &amp; Après-vente'!$D$2:$D$1000="Après-vente")+('Agences &amp; Après-vente'!$D$2:$D$1000="Agences et Après-vente"))*'Agences &amp; Après-vente'!$E$2:$E$1000))&gt;0,TEXT(SUMPRODUCT(MAX(('Agences &amp; Après-vente'!$A$2:$A$1000=$A857)*(('Agences &amp; Après-vente'!$D$2:$D$1000="Après-vente")+('Agences &amp; Après-vente'!$D$2:$D$1000="Agences et Après-vente"))*'Agences &amp; Après-vente'!$E$2:$E$1000)),"yyyy-mm-dd"),"")))))</f>
        <v/>
      </c>
      <c r="J857" s="131" t="str">
        <f aca="false">IF($T857="✓","✓",IF(ISNUMBER($T857),TEXT($T857,"yyyy-mm-dd"),IF($A857="","",IF($D857="Lisbonne","",IF(SUMPRODUCT(('Agences &amp; Après-vente'!$A$2:$A$1000=$A857)*(('Agences &amp; Après-vente'!$D$2:$D$1000="Après-vente")+('Agences &amp; Après-vente'!$D$2:$D$1000="Agences et Après-vente"))*('Agences &amp; Après-vente'!$I$2:$I$1000="DONE"))&gt;0,"✓",IF(SUMPRODUCT(MAX(('Agences &amp; Après-vente'!$A$2:$A$1000=$A857)*(('Agences &amp; Après-vente'!$D$2:$D$1000="Après-vente")+('Agences &amp; Après-vente'!$D$2:$D$1000="Agences et Après-vente"))*'Agences &amp; Après-vente'!$E$2:$E$1000))&gt;0,TEXT(SUMPRODUCT(MAX(('Agences &amp; Après-vente'!$A$2:$A$1000=$A857)*(('Agences &amp; Après-vente'!$D$2:$D$1000="Après-vente")+('Agences &amp; Après-vente'!$D$2:$D$1000="Agences et Après-vente"))*'Agences &amp; Après-vente'!$E$2:$E$1000)),"yyyy-mm-dd"),""))))))</f>
        <v/>
      </c>
      <c r="K857" s="131" t="str">
        <f aca="false">IF($U857="✓","✓",IF(ISNUMBER($U857),TEXT($U857,"yyyy-mm-dd"),IF($D857="Lisbonne","",IF($A857="","",IF(SUMPRODUCT((Evermont!$A$2:$A$1000=$A857)*(Evermont!$Q$2:$Q$1000="Terminé"))&gt;0,"✓",IF(SUMPRODUCT(MAX((Evermont!$A$2:$A$1000=$A857)*Evermont!$F$2:$F$1000))&gt;0,TEXT(SUMPRODUCT(MAX((Evermont!$A$2:$A$1000=$A857)*Evermont!$F$2:$F$1000)),"yyyy-mm-dd"),""))))))</f>
        <v/>
      </c>
      <c r="L857" s="131" t="str">
        <f aca="false">IF($A857="","",COUNTIF(E857:K857,"✓"))</f>
        <v/>
      </c>
      <c r="M857" s="131" t="str">
        <f aca="false">IF(B857="","","Active")</f>
        <v/>
      </c>
      <c r="W857" s="120" t="str">
        <f aca="false">IF($A857="","",IF($X857&lt;&gt;"",$X857,IFERROR(INDEX('Formation Initiale'!$B$2:$B$999,MATCH($A857,'Formation Initiale'!$A$2:$A$999,0)),"Général")))</f>
        <v/>
      </c>
    </row>
    <row r="858" customFormat="false" ht="15" hidden="true" customHeight="true" outlineLevel="0" collapsed="false">
      <c r="A858" s="142" t="str">
        <f aca="false">IF(B858="","","TR"&amp;TEXT(ROW()-1,"000"))</f>
        <v/>
      </c>
      <c r="E858" s="130" t="str">
        <f aca="false">IF($O858="✓","✓",IF(ISNUMBER($O858),TEXT($O858,"yyyy-mm-dd"),IF($A858="","",IF(SUMPRODUCT(('Formation Initiale'!$A$2:$A$999=$A858)*('Formation Initiale'!$R$2:$R$999="Terminé"))&gt;0,"✓",IF(SUMPRODUCT(MAX(('Formation Initiale'!$A$2:$A$999=$A858)*'Formation Initiale'!$G$2:$G$999))&gt;0,TEXT(SUMPRODUCT(MAX(('Formation Initiale'!$A$2:$A$999=$A858)*'Formation Initiale'!$G$2:$G$999)),"yyyy-mm-dd"),"")))))</f>
        <v/>
      </c>
      <c r="F858" s="131" t="str">
        <f aca="false">IF($P858="✓","✓",IF(ISNUMBER($P858),TEXT($P858,"yyyy-mm-dd"),IF($A858="","",IF($D858="Lisbonne","",IF(SUMPRODUCT(('Formation Initiale'!$A$2:$A$999=$A858)*('Formation Initiale'!$R$2:$R$999="Terminé"))&gt;0,"✓",IF(SUMPRODUCT(MAX(('Formation Initiale'!$A$2:$A$999=$A858)*'Formation Initiale'!$G$2:$G$999))&gt;0,TEXT(SUMPRODUCT(MAX(('Formation Initiale'!$A$2:$A$999=$A858)*'Formation Initiale'!$G$2:$G$999)),"yyyy-mm-dd"),""))))))</f>
        <v/>
      </c>
      <c r="G858" s="131" t="str">
        <f aca="false">IF($Q858="✓","✓",IF(ISNUMBER($Q858),TEXT($Q858,"yyyy-mm-dd"),IF($A858="","",IF(SUMPRODUCT(('Agences &amp; Après-vente'!$A$2:$A$1000=$A858)*(('Agences &amp; Après-vente'!$D$2:$D$1000="Agences")+('Agences &amp; Après-vente'!$D$2:$D$1000="Agences et Après-vente"))*('Agences &amp; Après-vente'!$I$2:$I$1000="DONE"))&gt;0,"✓",IF(SUMPRODUCT(MAX(('Agences &amp; Après-vente'!$A$2:$A$1000=$A858)*(('Agences &amp; Après-vente'!$D$2:$D$1000="Agences")+('Agences &amp; Après-vente'!$D$2:$D$1000="Agences et Après-vente"))*'Agences &amp; Après-vente'!$E$2:$E$1000))&gt;0,TEXT(SUMPRODUCT(MAX(('Agences &amp; Après-vente'!$A$2:$A$1000=$A858)*(('Agences &amp; Après-vente'!$D$2:$D$1000="Agences")+('Agences &amp; Après-vente'!$D$2:$D$1000="Agences et Après-vente"))*'Agences &amp; Après-vente'!$E$2:$E$1000)),"yyyy-mm-dd"),"")))))</f>
        <v/>
      </c>
      <c r="H858" s="131" t="str">
        <f aca="false">IF($R858="✓","✓",IF(ISNUMBER($R858),TEXT($R858,"yyyy-mm-dd"),IF($A858="","",IF($D858="Lisbonne","",IF(SUMPRODUCT(('Agences &amp; Après-vente'!$A$2:$A$1000=$A858)*(('Agences &amp; Après-vente'!$D$2:$D$1000="Agences")+('Agences &amp; Après-vente'!$D$2:$D$1000="Agences et Après-vente"))*('Agences &amp; Après-vente'!$I$2:$I$1000="DONE"))&gt;0,"✓",IF(SUMPRODUCT(MAX(('Agences &amp; Après-vente'!$A$2:$A$1000=$A858)*(('Agences &amp; Après-vente'!$D$2:$D$1000="Agences")+('Agences &amp; Après-vente'!$D$2:$D$1000="Agences et Après-vente"))*'Agences &amp; Après-vente'!$E$2:$E$1000))&gt;0,TEXT(SUMPRODUCT(MAX(('Agences &amp; Après-vente'!$A$2:$A$1000=$A858)*(('Agences &amp; Après-vente'!$D$2:$D$1000="Agences")+('Agences &amp; Après-vente'!$D$2:$D$1000="Agences et Après-vente"))*'Agences &amp; Après-vente'!$E$2:$E$1000)),"yyyy-mm-dd"),""))))))</f>
        <v/>
      </c>
      <c r="I858" s="131" t="str">
        <f aca="false">IF($S858="✓","✓",IF(ISNUMBER($S858),TEXT($S858,"yyyy-mm-dd"),IF($A858="","",IF(SUMPRODUCT(('Agences &amp; Après-vente'!$A$2:$A$1000=$A858)*(('Agences &amp; Après-vente'!$D$2:$D$1000="Après-vente")+('Agences &amp; Après-vente'!$D$2:$D$1000="Agences et Après-vente"))*('Agences &amp; Après-vente'!$I$2:$I$1000="DONE"))&gt;0,"✓",IF(SUMPRODUCT(MAX(('Agences &amp; Après-vente'!$A$2:$A$1000=$A858)*(('Agences &amp; Après-vente'!$D$2:$D$1000="Après-vente")+('Agences &amp; Après-vente'!$D$2:$D$1000="Agences et Après-vente"))*'Agences &amp; Après-vente'!$E$2:$E$1000))&gt;0,TEXT(SUMPRODUCT(MAX(('Agences &amp; Après-vente'!$A$2:$A$1000=$A858)*(('Agences &amp; Après-vente'!$D$2:$D$1000="Après-vente")+('Agences &amp; Après-vente'!$D$2:$D$1000="Agences et Après-vente"))*'Agences &amp; Après-vente'!$E$2:$E$1000)),"yyyy-mm-dd"),"")))))</f>
        <v/>
      </c>
      <c r="J858" s="131" t="str">
        <f aca="false">IF($T858="✓","✓",IF(ISNUMBER($T858),TEXT($T858,"yyyy-mm-dd"),IF($A858="","",IF($D858="Lisbonne","",IF(SUMPRODUCT(('Agences &amp; Après-vente'!$A$2:$A$1000=$A858)*(('Agences &amp; Après-vente'!$D$2:$D$1000="Après-vente")+('Agences &amp; Après-vente'!$D$2:$D$1000="Agences et Après-vente"))*('Agences &amp; Après-vente'!$I$2:$I$1000="DONE"))&gt;0,"✓",IF(SUMPRODUCT(MAX(('Agences &amp; Après-vente'!$A$2:$A$1000=$A858)*(('Agences &amp; Après-vente'!$D$2:$D$1000="Après-vente")+('Agences &amp; Après-vente'!$D$2:$D$1000="Agences et Après-vente"))*'Agences &amp; Après-vente'!$E$2:$E$1000))&gt;0,TEXT(SUMPRODUCT(MAX(('Agences &amp; Après-vente'!$A$2:$A$1000=$A858)*(('Agences &amp; Après-vente'!$D$2:$D$1000="Après-vente")+('Agences &amp; Après-vente'!$D$2:$D$1000="Agences et Après-vente"))*'Agences &amp; Après-vente'!$E$2:$E$1000)),"yyyy-mm-dd"),""))))))</f>
        <v/>
      </c>
      <c r="K858" s="131" t="str">
        <f aca="false">IF($U858="✓","✓",IF(ISNUMBER($U858),TEXT($U858,"yyyy-mm-dd"),IF($D858="Lisbonne","",IF($A858="","",IF(SUMPRODUCT((Evermont!$A$2:$A$1000=$A858)*(Evermont!$Q$2:$Q$1000="Terminé"))&gt;0,"✓",IF(SUMPRODUCT(MAX((Evermont!$A$2:$A$1000=$A858)*Evermont!$F$2:$F$1000))&gt;0,TEXT(SUMPRODUCT(MAX((Evermont!$A$2:$A$1000=$A858)*Evermont!$F$2:$F$1000)),"yyyy-mm-dd"),""))))))</f>
        <v/>
      </c>
      <c r="L858" s="131" t="str">
        <f aca="false">IF($A858="","",COUNTIF(E858:K858,"✓"))</f>
        <v/>
      </c>
      <c r="M858" s="131" t="str">
        <f aca="false">IF(B858="","","Active")</f>
        <v/>
      </c>
      <c r="W858" s="120" t="str">
        <f aca="false">IF($A858="","",IF($X858&lt;&gt;"",$X858,IFERROR(INDEX('Formation Initiale'!$B$2:$B$999,MATCH($A858,'Formation Initiale'!$A$2:$A$999,0)),"Général")))</f>
        <v/>
      </c>
    </row>
    <row r="859" customFormat="false" ht="15" hidden="true" customHeight="true" outlineLevel="0" collapsed="false">
      <c r="A859" s="142" t="str">
        <f aca="false">IF(B859="","","TR"&amp;TEXT(ROW()-1,"000"))</f>
        <v/>
      </c>
      <c r="E859" s="130" t="str">
        <f aca="false">IF($O859="✓","✓",IF(ISNUMBER($O859),TEXT($O859,"yyyy-mm-dd"),IF($A859="","",IF(SUMPRODUCT(('Formation Initiale'!$A$2:$A$999=$A859)*('Formation Initiale'!$R$2:$R$999="Terminé"))&gt;0,"✓",IF(SUMPRODUCT(MAX(('Formation Initiale'!$A$2:$A$999=$A859)*'Formation Initiale'!$G$2:$G$999))&gt;0,TEXT(SUMPRODUCT(MAX(('Formation Initiale'!$A$2:$A$999=$A859)*'Formation Initiale'!$G$2:$G$999)),"yyyy-mm-dd"),"")))))</f>
        <v/>
      </c>
      <c r="F859" s="131" t="str">
        <f aca="false">IF($P859="✓","✓",IF(ISNUMBER($P859),TEXT($P859,"yyyy-mm-dd"),IF($A859="","",IF($D859="Lisbonne","",IF(SUMPRODUCT(('Formation Initiale'!$A$2:$A$999=$A859)*('Formation Initiale'!$R$2:$R$999="Terminé"))&gt;0,"✓",IF(SUMPRODUCT(MAX(('Formation Initiale'!$A$2:$A$999=$A859)*'Formation Initiale'!$G$2:$G$999))&gt;0,TEXT(SUMPRODUCT(MAX(('Formation Initiale'!$A$2:$A$999=$A859)*'Formation Initiale'!$G$2:$G$999)),"yyyy-mm-dd"),""))))))</f>
        <v/>
      </c>
      <c r="G859" s="131" t="str">
        <f aca="false">IF($Q859="✓","✓",IF(ISNUMBER($Q859),TEXT($Q859,"yyyy-mm-dd"),IF($A859="","",IF(SUMPRODUCT(('Agences &amp; Après-vente'!$A$2:$A$1000=$A859)*(('Agences &amp; Après-vente'!$D$2:$D$1000="Agences")+('Agences &amp; Après-vente'!$D$2:$D$1000="Agences et Après-vente"))*('Agences &amp; Après-vente'!$I$2:$I$1000="DONE"))&gt;0,"✓",IF(SUMPRODUCT(MAX(('Agences &amp; Après-vente'!$A$2:$A$1000=$A859)*(('Agences &amp; Après-vente'!$D$2:$D$1000="Agences")+('Agences &amp; Après-vente'!$D$2:$D$1000="Agences et Après-vente"))*'Agences &amp; Après-vente'!$E$2:$E$1000))&gt;0,TEXT(SUMPRODUCT(MAX(('Agences &amp; Après-vente'!$A$2:$A$1000=$A859)*(('Agences &amp; Après-vente'!$D$2:$D$1000="Agences")+('Agences &amp; Après-vente'!$D$2:$D$1000="Agences et Après-vente"))*'Agences &amp; Après-vente'!$E$2:$E$1000)),"yyyy-mm-dd"),"")))))</f>
        <v/>
      </c>
      <c r="H859" s="131" t="str">
        <f aca="false">IF($R859="✓","✓",IF(ISNUMBER($R859),TEXT($R859,"yyyy-mm-dd"),IF($A859="","",IF($D859="Lisbonne","",IF(SUMPRODUCT(('Agences &amp; Après-vente'!$A$2:$A$1000=$A859)*(('Agences &amp; Après-vente'!$D$2:$D$1000="Agences")+('Agences &amp; Après-vente'!$D$2:$D$1000="Agences et Après-vente"))*('Agences &amp; Après-vente'!$I$2:$I$1000="DONE"))&gt;0,"✓",IF(SUMPRODUCT(MAX(('Agences &amp; Après-vente'!$A$2:$A$1000=$A859)*(('Agences &amp; Après-vente'!$D$2:$D$1000="Agences")+('Agences &amp; Après-vente'!$D$2:$D$1000="Agences et Après-vente"))*'Agences &amp; Après-vente'!$E$2:$E$1000))&gt;0,TEXT(SUMPRODUCT(MAX(('Agences &amp; Après-vente'!$A$2:$A$1000=$A859)*(('Agences &amp; Après-vente'!$D$2:$D$1000="Agences")+('Agences &amp; Après-vente'!$D$2:$D$1000="Agences et Après-vente"))*'Agences &amp; Après-vente'!$E$2:$E$1000)),"yyyy-mm-dd"),""))))))</f>
        <v/>
      </c>
      <c r="I859" s="131" t="str">
        <f aca="false">IF($S859="✓","✓",IF(ISNUMBER($S859),TEXT($S859,"yyyy-mm-dd"),IF($A859="","",IF(SUMPRODUCT(('Agences &amp; Après-vente'!$A$2:$A$1000=$A859)*(('Agences &amp; Après-vente'!$D$2:$D$1000="Après-vente")+('Agences &amp; Après-vente'!$D$2:$D$1000="Agences et Après-vente"))*('Agences &amp; Après-vente'!$I$2:$I$1000="DONE"))&gt;0,"✓",IF(SUMPRODUCT(MAX(('Agences &amp; Après-vente'!$A$2:$A$1000=$A859)*(('Agences &amp; Après-vente'!$D$2:$D$1000="Après-vente")+('Agences &amp; Après-vente'!$D$2:$D$1000="Agences et Après-vente"))*'Agences &amp; Après-vente'!$E$2:$E$1000))&gt;0,TEXT(SUMPRODUCT(MAX(('Agences &amp; Après-vente'!$A$2:$A$1000=$A859)*(('Agences &amp; Après-vente'!$D$2:$D$1000="Après-vente")+('Agences &amp; Après-vente'!$D$2:$D$1000="Agences et Après-vente"))*'Agences &amp; Après-vente'!$E$2:$E$1000)),"yyyy-mm-dd"),"")))))</f>
        <v/>
      </c>
      <c r="J859" s="131" t="str">
        <f aca="false">IF($T859="✓","✓",IF(ISNUMBER($T859),TEXT($T859,"yyyy-mm-dd"),IF($A859="","",IF($D859="Lisbonne","",IF(SUMPRODUCT(('Agences &amp; Après-vente'!$A$2:$A$1000=$A859)*(('Agences &amp; Après-vente'!$D$2:$D$1000="Après-vente")+('Agences &amp; Après-vente'!$D$2:$D$1000="Agences et Après-vente"))*('Agences &amp; Après-vente'!$I$2:$I$1000="DONE"))&gt;0,"✓",IF(SUMPRODUCT(MAX(('Agences &amp; Après-vente'!$A$2:$A$1000=$A859)*(('Agences &amp; Après-vente'!$D$2:$D$1000="Après-vente")+('Agences &amp; Après-vente'!$D$2:$D$1000="Agences et Après-vente"))*'Agences &amp; Après-vente'!$E$2:$E$1000))&gt;0,TEXT(SUMPRODUCT(MAX(('Agences &amp; Après-vente'!$A$2:$A$1000=$A859)*(('Agences &amp; Après-vente'!$D$2:$D$1000="Après-vente")+('Agences &amp; Après-vente'!$D$2:$D$1000="Agences et Après-vente"))*'Agences &amp; Après-vente'!$E$2:$E$1000)),"yyyy-mm-dd"),""))))))</f>
        <v/>
      </c>
      <c r="K859" s="131" t="str">
        <f aca="false">IF($U859="✓","✓",IF(ISNUMBER($U859),TEXT($U859,"yyyy-mm-dd"),IF($D859="Lisbonne","",IF($A859="","",IF(SUMPRODUCT((Evermont!$A$2:$A$1000=$A859)*(Evermont!$Q$2:$Q$1000="Terminé"))&gt;0,"✓",IF(SUMPRODUCT(MAX((Evermont!$A$2:$A$1000=$A859)*Evermont!$F$2:$F$1000))&gt;0,TEXT(SUMPRODUCT(MAX((Evermont!$A$2:$A$1000=$A859)*Evermont!$F$2:$F$1000)),"yyyy-mm-dd"),""))))))</f>
        <v/>
      </c>
      <c r="L859" s="131" t="str">
        <f aca="false">IF($A859="","",COUNTIF(E859:K859,"✓"))</f>
        <v/>
      </c>
      <c r="M859" s="131" t="str">
        <f aca="false">IF(B859="","","Active")</f>
        <v/>
      </c>
      <c r="W859" s="120" t="str">
        <f aca="false">IF($A859="","",IF($X859&lt;&gt;"",$X859,IFERROR(INDEX('Formation Initiale'!$B$2:$B$999,MATCH($A859,'Formation Initiale'!$A$2:$A$999,0)),"Général")))</f>
        <v/>
      </c>
    </row>
    <row r="860" customFormat="false" ht="15" hidden="true" customHeight="true" outlineLevel="0" collapsed="false">
      <c r="A860" s="142" t="str">
        <f aca="false">IF(B860="","","TR"&amp;TEXT(ROW()-1,"000"))</f>
        <v/>
      </c>
      <c r="E860" s="130" t="str">
        <f aca="false">IF($O860="✓","✓",IF(ISNUMBER($O860),TEXT($O860,"yyyy-mm-dd"),IF($A860="","",IF(SUMPRODUCT(('Formation Initiale'!$A$2:$A$999=$A860)*('Formation Initiale'!$R$2:$R$999="Terminé"))&gt;0,"✓",IF(SUMPRODUCT(MAX(('Formation Initiale'!$A$2:$A$999=$A860)*'Formation Initiale'!$G$2:$G$999))&gt;0,TEXT(SUMPRODUCT(MAX(('Formation Initiale'!$A$2:$A$999=$A860)*'Formation Initiale'!$G$2:$G$999)),"yyyy-mm-dd"),"")))))</f>
        <v/>
      </c>
      <c r="F860" s="131" t="str">
        <f aca="false">IF($P860="✓","✓",IF(ISNUMBER($P860),TEXT($P860,"yyyy-mm-dd"),IF($A860="","",IF($D860="Lisbonne","",IF(SUMPRODUCT(('Formation Initiale'!$A$2:$A$999=$A860)*('Formation Initiale'!$R$2:$R$999="Terminé"))&gt;0,"✓",IF(SUMPRODUCT(MAX(('Formation Initiale'!$A$2:$A$999=$A860)*'Formation Initiale'!$G$2:$G$999))&gt;0,TEXT(SUMPRODUCT(MAX(('Formation Initiale'!$A$2:$A$999=$A860)*'Formation Initiale'!$G$2:$G$999)),"yyyy-mm-dd"),""))))))</f>
        <v/>
      </c>
      <c r="G860" s="131" t="str">
        <f aca="false">IF($Q860="✓","✓",IF(ISNUMBER($Q860),TEXT($Q860,"yyyy-mm-dd"),IF($A860="","",IF(SUMPRODUCT(('Agences &amp; Après-vente'!$A$2:$A$1000=$A860)*(('Agences &amp; Après-vente'!$D$2:$D$1000="Agences")+('Agences &amp; Après-vente'!$D$2:$D$1000="Agences et Après-vente"))*('Agences &amp; Après-vente'!$I$2:$I$1000="DONE"))&gt;0,"✓",IF(SUMPRODUCT(MAX(('Agences &amp; Après-vente'!$A$2:$A$1000=$A860)*(('Agences &amp; Après-vente'!$D$2:$D$1000="Agences")+('Agences &amp; Après-vente'!$D$2:$D$1000="Agences et Après-vente"))*'Agences &amp; Après-vente'!$E$2:$E$1000))&gt;0,TEXT(SUMPRODUCT(MAX(('Agences &amp; Après-vente'!$A$2:$A$1000=$A860)*(('Agences &amp; Après-vente'!$D$2:$D$1000="Agences")+('Agences &amp; Après-vente'!$D$2:$D$1000="Agences et Après-vente"))*'Agences &amp; Après-vente'!$E$2:$E$1000)),"yyyy-mm-dd"),"")))))</f>
        <v/>
      </c>
      <c r="H860" s="131" t="str">
        <f aca="false">IF($R860="✓","✓",IF(ISNUMBER($R860),TEXT($R860,"yyyy-mm-dd"),IF($A860="","",IF($D860="Lisbonne","",IF(SUMPRODUCT(('Agences &amp; Après-vente'!$A$2:$A$1000=$A860)*(('Agences &amp; Après-vente'!$D$2:$D$1000="Agences")+('Agences &amp; Après-vente'!$D$2:$D$1000="Agences et Après-vente"))*('Agences &amp; Après-vente'!$I$2:$I$1000="DONE"))&gt;0,"✓",IF(SUMPRODUCT(MAX(('Agences &amp; Après-vente'!$A$2:$A$1000=$A860)*(('Agences &amp; Après-vente'!$D$2:$D$1000="Agences")+('Agences &amp; Après-vente'!$D$2:$D$1000="Agences et Après-vente"))*'Agences &amp; Après-vente'!$E$2:$E$1000))&gt;0,TEXT(SUMPRODUCT(MAX(('Agences &amp; Après-vente'!$A$2:$A$1000=$A860)*(('Agences &amp; Après-vente'!$D$2:$D$1000="Agences")+('Agences &amp; Après-vente'!$D$2:$D$1000="Agences et Après-vente"))*'Agences &amp; Après-vente'!$E$2:$E$1000)),"yyyy-mm-dd"),""))))))</f>
        <v/>
      </c>
      <c r="I860" s="131" t="str">
        <f aca="false">IF($S860="✓","✓",IF(ISNUMBER($S860),TEXT($S860,"yyyy-mm-dd"),IF($A860="","",IF(SUMPRODUCT(('Agences &amp; Après-vente'!$A$2:$A$1000=$A860)*(('Agences &amp; Après-vente'!$D$2:$D$1000="Après-vente")+('Agences &amp; Après-vente'!$D$2:$D$1000="Agences et Après-vente"))*('Agences &amp; Après-vente'!$I$2:$I$1000="DONE"))&gt;0,"✓",IF(SUMPRODUCT(MAX(('Agences &amp; Après-vente'!$A$2:$A$1000=$A860)*(('Agences &amp; Après-vente'!$D$2:$D$1000="Après-vente")+('Agences &amp; Après-vente'!$D$2:$D$1000="Agences et Après-vente"))*'Agences &amp; Après-vente'!$E$2:$E$1000))&gt;0,TEXT(SUMPRODUCT(MAX(('Agences &amp; Après-vente'!$A$2:$A$1000=$A860)*(('Agences &amp; Après-vente'!$D$2:$D$1000="Après-vente")+('Agences &amp; Après-vente'!$D$2:$D$1000="Agences et Après-vente"))*'Agences &amp; Après-vente'!$E$2:$E$1000)),"yyyy-mm-dd"),"")))))</f>
        <v/>
      </c>
      <c r="J860" s="131" t="str">
        <f aca="false">IF($T860="✓","✓",IF(ISNUMBER($T860),TEXT($T860,"yyyy-mm-dd"),IF($A860="","",IF($D860="Lisbonne","",IF(SUMPRODUCT(('Agences &amp; Après-vente'!$A$2:$A$1000=$A860)*(('Agences &amp; Après-vente'!$D$2:$D$1000="Après-vente")+('Agences &amp; Après-vente'!$D$2:$D$1000="Agences et Après-vente"))*('Agences &amp; Après-vente'!$I$2:$I$1000="DONE"))&gt;0,"✓",IF(SUMPRODUCT(MAX(('Agences &amp; Après-vente'!$A$2:$A$1000=$A860)*(('Agences &amp; Après-vente'!$D$2:$D$1000="Après-vente")+('Agences &amp; Après-vente'!$D$2:$D$1000="Agences et Après-vente"))*'Agences &amp; Après-vente'!$E$2:$E$1000))&gt;0,TEXT(SUMPRODUCT(MAX(('Agences &amp; Après-vente'!$A$2:$A$1000=$A860)*(('Agences &amp; Après-vente'!$D$2:$D$1000="Après-vente")+('Agences &amp; Après-vente'!$D$2:$D$1000="Agences et Après-vente"))*'Agences &amp; Après-vente'!$E$2:$E$1000)),"yyyy-mm-dd"),""))))))</f>
        <v/>
      </c>
      <c r="K860" s="131" t="str">
        <f aca="false">IF($U860="✓","✓",IF(ISNUMBER($U860),TEXT($U860,"yyyy-mm-dd"),IF($D860="Lisbonne","",IF($A860="","",IF(SUMPRODUCT((Evermont!$A$2:$A$1000=$A860)*(Evermont!$Q$2:$Q$1000="Terminé"))&gt;0,"✓",IF(SUMPRODUCT(MAX((Evermont!$A$2:$A$1000=$A860)*Evermont!$F$2:$F$1000))&gt;0,TEXT(SUMPRODUCT(MAX((Evermont!$A$2:$A$1000=$A860)*Evermont!$F$2:$F$1000)),"yyyy-mm-dd"),""))))))</f>
        <v/>
      </c>
      <c r="L860" s="131" t="str">
        <f aca="false">IF($A860="","",COUNTIF(E860:K860,"✓"))</f>
        <v/>
      </c>
      <c r="M860" s="131" t="str">
        <f aca="false">IF(B860="","","Active")</f>
        <v/>
      </c>
      <c r="W860" s="120" t="str">
        <f aca="false">IF($A860="","",IF($X860&lt;&gt;"",$X860,IFERROR(INDEX('Formation Initiale'!$B$2:$B$999,MATCH($A860,'Formation Initiale'!$A$2:$A$999,0)),"Général")))</f>
        <v/>
      </c>
    </row>
    <row r="861" customFormat="false" ht="15" hidden="true" customHeight="true" outlineLevel="0" collapsed="false">
      <c r="A861" s="142" t="str">
        <f aca="false">IF(B861="","","TR"&amp;TEXT(ROW()-1,"000"))</f>
        <v/>
      </c>
      <c r="E861" s="130" t="str">
        <f aca="false">IF($O861="✓","✓",IF(ISNUMBER($O861),TEXT($O861,"yyyy-mm-dd"),IF($A861="","",IF(SUMPRODUCT(('Formation Initiale'!$A$2:$A$999=$A861)*('Formation Initiale'!$R$2:$R$999="Terminé"))&gt;0,"✓",IF(SUMPRODUCT(MAX(('Formation Initiale'!$A$2:$A$999=$A861)*'Formation Initiale'!$G$2:$G$999))&gt;0,TEXT(SUMPRODUCT(MAX(('Formation Initiale'!$A$2:$A$999=$A861)*'Formation Initiale'!$G$2:$G$999)),"yyyy-mm-dd"),"")))))</f>
        <v/>
      </c>
      <c r="F861" s="131" t="str">
        <f aca="false">IF($P861="✓","✓",IF(ISNUMBER($P861),TEXT($P861,"yyyy-mm-dd"),IF($A861="","",IF($D861="Lisbonne","",IF(SUMPRODUCT(('Formation Initiale'!$A$2:$A$999=$A861)*('Formation Initiale'!$R$2:$R$999="Terminé"))&gt;0,"✓",IF(SUMPRODUCT(MAX(('Formation Initiale'!$A$2:$A$999=$A861)*'Formation Initiale'!$G$2:$G$999))&gt;0,TEXT(SUMPRODUCT(MAX(('Formation Initiale'!$A$2:$A$999=$A861)*'Formation Initiale'!$G$2:$G$999)),"yyyy-mm-dd"),""))))))</f>
        <v/>
      </c>
      <c r="G861" s="131" t="str">
        <f aca="false">IF($Q861="✓","✓",IF(ISNUMBER($Q861),TEXT($Q861,"yyyy-mm-dd"),IF($A861="","",IF(SUMPRODUCT(('Agences &amp; Après-vente'!$A$2:$A$1000=$A861)*(('Agences &amp; Après-vente'!$D$2:$D$1000="Agences")+('Agences &amp; Après-vente'!$D$2:$D$1000="Agences et Après-vente"))*('Agences &amp; Après-vente'!$I$2:$I$1000="DONE"))&gt;0,"✓",IF(SUMPRODUCT(MAX(('Agences &amp; Après-vente'!$A$2:$A$1000=$A861)*(('Agences &amp; Après-vente'!$D$2:$D$1000="Agences")+('Agences &amp; Après-vente'!$D$2:$D$1000="Agences et Après-vente"))*'Agences &amp; Après-vente'!$E$2:$E$1000))&gt;0,TEXT(SUMPRODUCT(MAX(('Agences &amp; Après-vente'!$A$2:$A$1000=$A861)*(('Agences &amp; Après-vente'!$D$2:$D$1000="Agences")+('Agences &amp; Après-vente'!$D$2:$D$1000="Agences et Après-vente"))*'Agences &amp; Après-vente'!$E$2:$E$1000)),"yyyy-mm-dd"),"")))))</f>
        <v/>
      </c>
      <c r="H861" s="131" t="str">
        <f aca="false">IF($R861="✓","✓",IF(ISNUMBER($R861),TEXT($R861,"yyyy-mm-dd"),IF($A861="","",IF($D861="Lisbonne","",IF(SUMPRODUCT(('Agences &amp; Après-vente'!$A$2:$A$1000=$A861)*(('Agences &amp; Après-vente'!$D$2:$D$1000="Agences")+('Agences &amp; Après-vente'!$D$2:$D$1000="Agences et Après-vente"))*('Agences &amp; Après-vente'!$I$2:$I$1000="DONE"))&gt;0,"✓",IF(SUMPRODUCT(MAX(('Agences &amp; Après-vente'!$A$2:$A$1000=$A861)*(('Agences &amp; Après-vente'!$D$2:$D$1000="Agences")+('Agences &amp; Après-vente'!$D$2:$D$1000="Agences et Après-vente"))*'Agences &amp; Après-vente'!$E$2:$E$1000))&gt;0,TEXT(SUMPRODUCT(MAX(('Agences &amp; Après-vente'!$A$2:$A$1000=$A861)*(('Agences &amp; Après-vente'!$D$2:$D$1000="Agences")+('Agences &amp; Après-vente'!$D$2:$D$1000="Agences et Après-vente"))*'Agences &amp; Après-vente'!$E$2:$E$1000)),"yyyy-mm-dd"),""))))))</f>
        <v/>
      </c>
      <c r="I861" s="131" t="str">
        <f aca="false">IF($S861="✓","✓",IF(ISNUMBER($S861),TEXT($S861,"yyyy-mm-dd"),IF($A861="","",IF(SUMPRODUCT(('Agences &amp; Après-vente'!$A$2:$A$1000=$A861)*(('Agences &amp; Après-vente'!$D$2:$D$1000="Après-vente")+('Agences &amp; Après-vente'!$D$2:$D$1000="Agences et Après-vente"))*('Agences &amp; Après-vente'!$I$2:$I$1000="DONE"))&gt;0,"✓",IF(SUMPRODUCT(MAX(('Agences &amp; Après-vente'!$A$2:$A$1000=$A861)*(('Agences &amp; Après-vente'!$D$2:$D$1000="Après-vente")+('Agences &amp; Après-vente'!$D$2:$D$1000="Agences et Après-vente"))*'Agences &amp; Après-vente'!$E$2:$E$1000))&gt;0,TEXT(SUMPRODUCT(MAX(('Agences &amp; Après-vente'!$A$2:$A$1000=$A861)*(('Agences &amp; Après-vente'!$D$2:$D$1000="Après-vente")+('Agences &amp; Après-vente'!$D$2:$D$1000="Agences et Après-vente"))*'Agences &amp; Après-vente'!$E$2:$E$1000)),"yyyy-mm-dd"),"")))))</f>
        <v/>
      </c>
      <c r="J861" s="131" t="str">
        <f aca="false">IF($T861="✓","✓",IF(ISNUMBER($T861),TEXT($T861,"yyyy-mm-dd"),IF($A861="","",IF($D861="Lisbonne","",IF(SUMPRODUCT(('Agences &amp; Après-vente'!$A$2:$A$1000=$A861)*(('Agences &amp; Après-vente'!$D$2:$D$1000="Après-vente")+('Agences &amp; Après-vente'!$D$2:$D$1000="Agences et Après-vente"))*('Agences &amp; Après-vente'!$I$2:$I$1000="DONE"))&gt;0,"✓",IF(SUMPRODUCT(MAX(('Agences &amp; Après-vente'!$A$2:$A$1000=$A861)*(('Agences &amp; Après-vente'!$D$2:$D$1000="Après-vente")+('Agences &amp; Après-vente'!$D$2:$D$1000="Agences et Après-vente"))*'Agences &amp; Après-vente'!$E$2:$E$1000))&gt;0,TEXT(SUMPRODUCT(MAX(('Agences &amp; Après-vente'!$A$2:$A$1000=$A861)*(('Agences &amp; Après-vente'!$D$2:$D$1000="Après-vente")+('Agences &amp; Après-vente'!$D$2:$D$1000="Agences et Après-vente"))*'Agences &amp; Après-vente'!$E$2:$E$1000)),"yyyy-mm-dd"),""))))))</f>
        <v/>
      </c>
      <c r="K861" s="131" t="str">
        <f aca="false">IF($U861="✓","✓",IF(ISNUMBER($U861),TEXT($U861,"yyyy-mm-dd"),IF($D861="Lisbonne","",IF($A861="","",IF(SUMPRODUCT((Evermont!$A$2:$A$1000=$A861)*(Evermont!$Q$2:$Q$1000="Terminé"))&gt;0,"✓",IF(SUMPRODUCT(MAX((Evermont!$A$2:$A$1000=$A861)*Evermont!$F$2:$F$1000))&gt;0,TEXT(SUMPRODUCT(MAX((Evermont!$A$2:$A$1000=$A861)*Evermont!$F$2:$F$1000)),"yyyy-mm-dd"),""))))))</f>
        <v/>
      </c>
      <c r="L861" s="131" t="str">
        <f aca="false">IF($A861="","",COUNTIF(E861:K861,"✓"))</f>
        <v/>
      </c>
      <c r="M861" s="131" t="str">
        <f aca="false">IF(B861="","","Active")</f>
        <v/>
      </c>
      <c r="W861" s="120" t="str">
        <f aca="false">IF($A861="","",IF($X861&lt;&gt;"",$X861,IFERROR(INDEX('Formation Initiale'!$B$2:$B$999,MATCH($A861,'Formation Initiale'!$A$2:$A$999,0)),"Général")))</f>
        <v/>
      </c>
    </row>
    <row r="862" customFormat="false" ht="15" hidden="true" customHeight="true" outlineLevel="0" collapsed="false">
      <c r="A862" s="142" t="str">
        <f aca="false">IF(B862="","","TR"&amp;TEXT(ROW()-1,"000"))</f>
        <v/>
      </c>
      <c r="E862" s="130" t="str">
        <f aca="false">IF($O862="✓","✓",IF(ISNUMBER($O862),TEXT($O862,"yyyy-mm-dd"),IF($A862="","",IF(SUMPRODUCT(('Formation Initiale'!$A$2:$A$999=$A862)*('Formation Initiale'!$R$2:$R$999="Terminé"))&gt;0,"✓",IF(SUMPRODUCT(MAX(('Formation Initiale'!$A$2:$A$999=$A862)*'Formation Initiale'!$G$2:$G$999))&gt;0,TEXT(SUMPRODUCT(MAX(('Formation Initiale'!$A$2:$A$999=$A862)*'Formation Initiale'!$G$2:$G$999)),"yyyy-mm-dd"),"")))))</f>
        <v/>
      </c>
      <c r="F862" s="131" t="str">
        <f aca="false">IF($P862="✓","✓",IF(ISNUMBER($P862),TEXT($P862,"yyyy-mm-dd"),IF($A862="","",IF($D862="Lisbonne","",IF(SUMPRODUCT(('Formation Initiale'!$A$2:$A$999=$A862)*('Formation Initiale'!$R$2:$R$999="Terminé"))&gt;0,"✓",IF(SUMPRODUCT(MAX(('Formation Initiale'!$A$2:$A$999=$A862)*'Formation Initiale'!$G$2:$G$999))&gt;0,TEXT(SUMPRODUCT(MAX(('Formation Initiale'!$A$2:$A$999=$A862)*'Formation Initiale'!$G$2:$G$999)),"yyyy-mm-dd"),""))))))</f>
        <v/>
      </c>
      <c r="G862" s="131" t="str">
        <f aca="false">IF($Q862="✓","✓",IF(ISNUMBER($Q862),TEXT($Q862,"yyyy-mm-dd"),IF($A862="","",IF(SUMPRODUCT(('Agences &amp; Après-vente'!$A$2:$A$1000=$A862)*(('Agences &amp; Après-vente'!$D$2:$D$1000="Agences")+('Agences &amp; Après-vente'!$D$2:$D$1000="Agences et Après-vente"))*('Agences &amp; Après-vente'!$I$2:$I$1000="DONE"))&gt;0,"✓",IF(SUMPRODUCT(MAX(('Agences &amp; Après-vente'!$A$2:$A$1000=$A862)*(('Agences &amp; Après-vente'!$D$2:$D$1000="Agences")+('Agences &amp; Après-vente'!$D$2:$D$1000="Agences et Après-vente"))*'Agences &amp; Après-vente'!$E$2:$E$1000))&gt;0,TEXT(SUMPRODUCT(MAX(('Agences &amp; Après-vente'!$A$2:$A$1000=$A862)*(('Agences &amp; Après-vente'!$D$2:$D$1000="Agences")+('Agences &amp; Après-vente'!$D$2:$D$1000="Agences et Après-vente"))*'Agences &amp; Après-vente'!$E$2:$E$1000)),"yyyy-mm-dd"),"")))))</f>
        <v/>
      </c>
      <c r="H862" s="131" t="str">
        <f aca="false">IF($R862="✓","✓",IF(ISNUMBER($R862),TEXT($R862,"yyyy-mm-dd"),IF($A862="","",IF($D862="Lisbonne","",IF(SUMPRODUCT(('Agences &amp; Après-vente'!$A$2:$A$1000=$A862)*(('Agences &amp; Après-vente'!$D$2:$D$1000="Agences")+('Agences &amp; Après-vente'!$D$2:$D$1000="Agences et Après-vente"))*('Agences &amp; Après-vente'!$I$2:$I$1000="DONE"))&gt;0,"✓",IF(SUMPRODUCT(MAX(('Agences &amp; Après-vente'!$A$2:$A$1000=$A862)*(('Agences &amp; Après-vente'!$D$2:$D$1000="Agences")+('Agences &amp; Après-vente'!$D$2:$D$1000="Agences et Après-vente"))*'Agences &amp; Après-vente'!$E$2:$E$1000))&gt;0,TEXT(SUMPRODUCT(MAX(('Agences &amp; Après-vente'!$A$2:$A$1000=$A862)*(('Agences &amp; Après-vente'!$D$2:$D$1000="Agences")+('Agences &amp; Après-vente'!$D$2:$D$1000="Agences et Après-vente"))*'Agences &amp; Après-vente'!$E$2:$E$1000)),"yyyy-mm-dd"),""))))))</f>
        <v/>
      </c>
      <c r="I862" s="131" t="str">
        <f aca="false">IF($S862="✓","✓",IF(ISNUMBER($S862),TEXT($S862,"yyyy-mm-dd"),IF($A862="","",IF(SUMPRODUCT(('Agences &amp; Après-vente'!$A$2:$A$1000=$A862)*(('Agences &amp; Après-vente'!$D$2:$D$1000="Après-vente")+('Agences &amp; Après-vente'!$D$2:$D$1000="Agences et Après-vente"))*('Agences &amp; Après-vente'!$I$2:$I$1000="DONE"))&gt;0,"✓",IF(SUMPRODUCT(MAX(('Agences &amp; Après-vente'!$A$2:$A$1000=$A862)*(('Agences &amp; Après-vente'!$D$2:$D$1000="Après-vente")+('Agences &amp; Après-vente'!$D$2:$D$1000="Agences et Après-vente"))*'Agences &amp; Après-vente'!$E$2:$E$1000))&gt;0,TEXT(SUMPRODUCT(MAX(('Agences &amp; Après-vente'!$A$2:$A$1000=$A862)*(('Agences &amp; Après-vente'!$D$2:$D$1000="Après-vente")+('Agences &amp; Après-vente'!$D$2:$D$1000="Agences et Après-vente"))*'Agences &amp; Après-vente'!$E$2:$E$1000)),"yyyy-mm-dd"),"")))))</f>
        <v/>
      </c>
      <c r="J862" s="131" t="str">
        <f aca="false">IF($T862="✓","✓",IF(ISNUMBER($T862),TEXT($T862,"yyyy-mm-dd"),IF($A862="","",IF($D862="Lisbonne","",IF(SUMPRODUCT(('Agences &amp; Après-vente'!$A$2:$A$1000=$A862)*(('Agences &amp; Après-vente'!$D$2:$D$1000="Après-vente")+('Agences &amp; Après-vente'!$D$2:$D$1000="Agences et Après-vente"))*('Agences &amp; Après-vente'!$I$2:$I$1000="DONE"))&gt;0,"✓",IF(SUMPRODUCT(MAX(('Agences &amp; Après-vente'!$A$2:$A$1000=$A862)*(('Agences &amp; Après-vente'!$D$2:$D$1000="Après-vente")+('Agences &amp; Après-vente'!$D$2:$D$1000="Agences et Après-vente"))*'Agences &amp; Après-vente'!$E$2:$E$1000))&gt;0,TEXT(SUMPRODUCT(MAX(('Agences &amp; Après-vente'!$A$2:$A$1000=$A862)*(('Agences &amp; Après-vente'!$D$2:$D$1000="Après-vente")+('Agences &amp; Après-vente'!$D$2:$D$1000="Agences et Après-vente"))*'Agences &amp; Après-vente'!$E$2:$E$1000)),"yyyy-mm-dd"),""))))))</f>
        <v/>
      </c>
      <c r="K862" s="131" t="str">
        <f aca="false">IF($U862="✓","✓",IF(ISNUMBER($U862),TEXT($U862,"yyyy-mm-dd"),IF($D862="Lisbonne","",IF($A862="","",IF(SUMPRODUCT((Evermont!$A$2:$A$1000=$A862)*(Evermont!$Q$2:$Q$1000="Terminé"))&gt;0,"✓",IF(SUMPRODUCT(MAX((Evermont!$A$2:$A$1000=$A862)*Evermont!$F$2:$F$1000))&gt;0,TEXT(SUMPRODUCT(MAX((Evermont!$A$2:$A$1000=$A862)*Evermont!$F$2:$F$1000)),"yyyy-mm-dd"),""))))))</f>
        <v/>
      </c>
      <c r="L862" s="131" t="str">
        <f aca="false">IF($A862="","",COUNTIF(E862:K862,"✓"))</f>
        <v/>
      </c>
      <c r="M862" s="131" t="str">
        <f aca="false">IF(B862="","","Active")</f>
        <v/>
      </c>
      <c r="W862" s="120" t="str">
        <f aca="false">IF($A862="","",IF($X862&lt;&gt;"",$X862,IFERROR(INDEX('Formation Initiale'!$B$2:$B$999,MATCH($A862,'Formation Initiale'!$A$2:$A$999,0)),"Général")))</f>
        <v/>
      </c>
    </row>
    <row r="863" customFormat="false" ht="15" hidden="true" customHeight="true" outlineLevel="0" collapsed="false">
      <c r="A863" s="142" t="str">
        <f aca="false">IF(B863="","","TR"&amp;TEXT(ROW()-1,"000"))</f>
        <v/>
      </c>
      <c r="E863" s="130" t="str">
        <f aca="false">IF($O863="✓","✓",IF(ISNUMBER($O863),TEXT($O863,"yyyy-mm-dd"),IF($A863="","",IF(SUMPRODUCT(('Formation Initiale'!$A$2:$A$999=$A863)*('Formation Initiale'!$R$2:$R$999="Terminé"))&gt;0,"✓",IF(SUMPRODUCT(MAX(('Formation Initiale'!$A$2:$A$999=$A863)*'Formation Initiale'!$G$2:$G$999))&gt;0,TEXT(SUMPRODUCT(MAX(('Formation Initiale'!$A$2:$A$999=$A863)*'Formation Initiale'!$G$2:$G$999)),"yyyy-mm-dd"),"")))))</f>
        <v/>
      </c>
      <c r="F863" s="131" t="str">
        <f aca="false">IF($P863="✓","✓",IF(ISNUMBER($P863),TEXT($P863,"yyyy-mm-dd"),IF($A863="","",IF($D863="Lisbonne","",IF(SUMPRODUCT(('Formation Initiale'!$A$2:$A$999=$A863)*('Formation Initiale'!$R$2:$R$999="Terminé"))&gt;0,"✓",IF(SUMPRODUCT(MAX(('Formation Initiale'!$A$2:$A$999=$A863)*'Formation Initiale'!$G$2:$G$999))&gt;0,TEXT(SUMPRODUCT(MAX(('Formation Initiale'!$A$2:$A$999=$A863)*'Formation Initiale'!$G$2:$G$999)),"yyyy-mm-dd"),""))))))</f>
        <v/>
      </c>
      <c r="G863" s="131" t="str">
        <f aca="false">IF($Q863="✓","✓",IF(ISNUMBER($Q863),TEXT($Q863,"yyyy-mm-dd"),IF($A863="","",IF(SUMPRODUCT(('Agences &amp; Après-vente'!$A$2:$A$1000=$A863)*(('Agences &amp; Après-vente'!$D$2:$D$1000="Agences")+('Agences &amp; Après-vente'!$D$2:$D$1000="Agences et Après-vente"))*('Agences &amp; Après-vente'!$I$2:$I$1000="DONE"))&gt;0,"✓",IF(SUMPRODUCT(MAX(('Agences &amp; Après-vente'!$A$2:$A$1000=$A863)*(('Agences &amp; Après-vente'!$D$2:$D$1000="Agences")+('Agences &amp; Après-vente'!$D$2:$D$1000="Agences et Après-vente"))*'Agences &amp; Après-vente'!$E$2:$E$1000))&gt;0,TEXT(SUMPRODUCT(MAX(('Agences &amp; Après-vente'!$A$2:$A$1000=$A863)*(('Agences &amp; Après-vente'!$D$2:$D$1000="Agences")+('Agences &amp; Après-vente'!$D$2:$D$1000="Agences et Après-vente"))*'Agences &amp; Après-vente'!$E$2:$E$1000)),"yyyy-mm-dd"),"")))))</f>
        <v/>
      </c>
      <c r="H863" s="131" t="str">
        <f aca="false">IF($R863="✓","✓",IF(ISNUMBER($R863),TEXT($R863,"yyyy-mm-dd"),IF($A863="","",IF($D863="Lisbonne","",IF(SUMPRODUCT(('Agences &amp; Après-vente'!$A$2:$A$1000=$A863)*(('Agences &amp; Après-vente'!$D$2:$D$1000="Agences")+('Agences &amp; Après-vente'!$D$2:$D$1000="Agences et Après-vente"))*('Agences &amp; Après-vente'!$I$2:$I$1000="DONE"))&gt;0,"✓",IF(SUMPRODUCT(MAX(('Agences &amp; Après-vente'!$A$2:$A$1000=$A863)*(('Agences &amp; Après-vente'!$D$2:$D$1000="Agences")+('Agences &amp; Après-vente'!$D$2:$D$1000="Agences et Après-vente"))*'Agences &amp; Après-vente'!$E$2:$E$1000))&gt;0,TEXT(SUMPRODUCT(MAX(('Agences &amp; Après-vente'!$A$2:$A$1000=$A863)*(('Agences &amp; Après-vente'!$D$2:$D$1000="Agences")+('Agences &amp; Après-vente'!$D$2:$D$1000="Agences et Après-vente"))*'Agences &amp; Après-vente'!$E$2:$E$1000)),"yyyy-mm-dd"),""))))))</f>
        <v/>
      </c>
      <c r="I863" s="131" t="str">
        <f aca="false">IF($S863="✓","✓",IF(ISNUMBER($S863),TEXT($S863,"yyyy-mm-dd"),IF($A863="","",IF(SUMPRODUCT(('Agences &amp; Après-vente'!$A$2:$A$1000=$A863)*(('Agences &amp; Après-vente'!$D$2:$D$1000="Après-vente")+('Agences &amp; Après-vente'!$D$2:$D$1000="Agences et Après-vente"))*('Agences &amp; Après-vente'!$I$2:$I$1000="DONE"))&gt;0,"✓",IF(SUMPRODUCT(MAX(('Agences &amp; Après-vente'!$A$2:$A$1000=$A863)*(('Agences &amp; Après-vente'!$D$2:$D$1000="Après-vente")+('Agences &amp; Après-vente'!$D$2:$D$1000="Agences et Après-vente"))*'Agences &amp; Après-vente'!$E$2:$E$1000))&gt;0,TEXT(SUMPRODUCT(MAX(('Agences &amp; Après-vente'!$A$2:$A$1000=$A863)*(('Agences &amp; Après-vente'!$D$2:$D$1000="Après-vente")+('Agences &amp; Après-vente'!$D$2:$D$1000="Agences et Après-vente"))*'Agences &amp; Après-vente'!$E$2:$E$1000)),"yyyy-mm-dd"),"")))))</f>
        <v/>
      </c>
      <c r="J863" s="131" t="str">
        <f aca="false">IF($T863="✓","✓",IF(ISNUMBER($T863),TEXT($T863,"yyyy-mm-dd"),IF($A863="","",IF($D863="Lisbonne","",IF(SUMPRODUCT(('Agences &amp; Après-vente'!$A$2:$A$1000=$A863)*(('Agences &amp; Après-vente'!$D$2:$D$1000="Après-vente")+('Agences &amp; Après-vente'!$D$2:$D$1000="Agences et Après-vente"))*('Agences &amp; Après-vente'!$I$2:$I$1000="DONE"))&gt;0,"✓",IF(SUMPRODUCT(MAX(('Agences &amp; Après-vente'!$A$2:$A$1000=$A863)*(('Agences &amp; Après-vente'!$D$2:$D$1000="Après-vente")+('Agences &amp; Après-vente'!$D$2:$D$1000="Agences et Après-vente"))*'Agences &amp; Après-vente'!$E$2:$E$1000))&gt;0,TEXT(SUMPRODUCT(MAX(('Agences &amp; Après-vente'!$A$2:$A$1000=$A863)*(('Agences &amp; Après-vente'!$D$2:$D$1000="Après-vente")+('Agences &amp; Après-vente'!$D$2:$D$1000="Agences et Après-vente"))*'Agences &amp; Après-vente'!$E$2:$E$1000)),"yyyy-mm-dd"),""))))))</f>
        <v/>
      </c>
      <c r="K863" s="131" t="str">
        <f aca="false">IF($U863="✓","✓",IF(ISNUMBER($U863),TEXT($U863,"yyyy-mm-dd"),IF($D863="Lisbonne","",IF($A863="","",IF(SUMPRODUCT((Evermont!$A$2:$A$1000=$A863)*(Evermont!$Q$2:$Q$1000="Terminé"))&gt;0,"✓",IF(SUMPRODUCT(MAX((Evermont!$A$2:$A$1000=$A863)*Evermont!$F$2:$F$1000))&gt;0,TEXT(SUMPRODUCT(MAX((Evermont!$A$2:$A$1000=$A863)*Evermont!$F$2:$F$1000)),"yyyy-mm-dd"),""))))))</f>
        <v/>
      </c>
      <c r="L863" s="131" t="str">
        <f aca="false">IF($A863="","",COUNTIF(E863:K863,"✓"))</f>
        <v/>
      </c>
      <c r="M863" s="131" t="str">
        <f aca="false">IF(B863="","","Active")</f>
        <v/>
      </c>
      <c r="W863" s="120" t="str">
        <f aca="false">IF($A863="","",IF($X863&lt;&gt;"",$X863,IFERROR(INDEX('Formation Initiale'!$B$2:$B$999,MATCH($A863,'Formation Initiale'!$A$2:$A$999,0)),"Général")))</f>
        <v/>
      </c>
    </row>
    <row r="864" customFormat="false" ht="15" hidden="true" customHeight="true" outlineLevel="0" collapsed="false">
      <c r="A864" s="142" t="str">
        <f aca="false">IF(B864="","","TR"&amp;TEXT(ROW()-1,"000"))</f>
        <v/>
      </c>
      <c r="E864" s="130" t="str">
        <f aca="false">IF($O864="✓","✓",IF(ISNUMBER($O864),TEXT($O864,"yyyy-mm-dd"),IF($A864="","",IF(SUMPRODUCT(('Formation Initiale'!$A$2:$A$999=$A864)*('Formation Initiale'!$R$2:$R$999="Terminé"))&gt;0,"✓",IF(SUMPRODUCT(MAX(('Formation Initiale'!$A$2:$A$999=$A864)*'Formation Initiale'!$G$2:$G$999))&gt;0,TEXT(SUMPRODUCT(MAX(('Formation Initiale'!$A$2:$A$999=$A864)*'Formation Initiale'!$G$2:$G$999)),"yyyy-mm-dd"),"")))))</f>
        <v/>
      </c>
      <c r="F864" s="131" t="str">
        <f aca="false">IF($P864="✓","✓",IF(ISNUMBER($P864),TEXT($P864,"yyyy-mm-dd"),IF($A864="","",IF($D864="Lisbonne","",IF(SUMPRODUCT(('Formation Initiale'!$A$2:$A$999=$A864)*('Formation Initiale'!$R$2:$R$999="Terminé"))&gt;0,"✓",IF(SUMPRODUCT(MAX(('Formation Initiale'!$A$2:$A$999=$A864)*'Formation Initiale'!$G$2:$G$999))&gt;0,TEXT(SUMPRODUCT(MAX(('Formation Initiale'!$A$2:$A$999=$A864)*'Formation Initiale'!$G$2:$G$999)),"yyyy-mm-dd"),""))))))</f>
        <v/>
      </c>
      <c r="G864" s="131" t="str">
        <f aca="false">IF($Q864="✓","✓",IF(ISNUMBER($Q864),TEXT($Q864,"yyyy-mm-dd"),IF($A864="","",IF(SUMPRODUCT(('Agences &amp; Après-vente'!$A$2:$A$1000=$A864)*(('Agences &amp; Après-vente'!$D$2:$D$1000="Agences")+('Agences &amp; Après-vente'!$D$2:$D$1000="Agences et Après-vente"))*('Agences &amp; Après-vente'!$I$2:$I$1000="DONE"))&gt;0,"✓",IF(SUMPRODUCT(MAX(('Agences &amp; Après-vente'!$A$2:$A$1000=$A864)*(('Agences &amp; Après-vente'!$D$2:$D$1000="Agences")+('Agences &amp; Après-vente'!$D$2:$D$1000="Agences et Après-vente"))*'Agences &amp; Après-vente'!$E$2:$E$1000))&gt;0,TEXT(SUMPRODUCT(MAX(('Agences &amp; Après-vente'!$A$2:$A$1000=$A864)*(('Agences &amp; Après-vente'!$D$2:$D$1000="Agences")+('Agences &amp; Après-vente'!$D$2:$D$1000="Agences et Après-vente"))*'Agences &amp; Après-vente'!$E$2:$E$1000)),"yyyy-mm-dd"),"")))))</f>
        <v/>
      </c>
      <c r="H864" s="131" t="str">
        <f aca="false">IF($R864="✓","✓",IF(ISNUMBER($R864),TEXT($R864,"yyyy-mm-dd"),IF($A864="","",IF($D864="Lisbonne","",IF(SUMPRODUCT(('Agences &amp; Après-vente'!$A$2:$A$1000=$A864)*(('Agences &amp; Après-vente'!$D$2:$D$1000="Agences")+('Agences &amp; Après-vente'!$D$2:$D$1000="Agences et Après-vente"))*('Agences &amp; Après-vente'!$I$2:$I$1000="DONE"))&gt;0,"✓",IF(SUMPRODUCT(MAX(('Agences &amp; Après-vente'!$A$2:$A$1000=$A864)*(('Agences &amp; Après-vente'!$D$2:$D$1000="Agences")+('Agences &amp; Après-vente'!$D$2:$D$1000="Agences et Après-vente"))*'Agences &amp; Après-vente'!$E$2:$E$1000))&gt;0,TEXT(SUMPRODUCT(MAX(('Agences &amp; Après-vente'!$A$2:$A$1000=$A864)*(('Agences &amp; Après-vente'!$D$2:$D$1000="Agences")+('Agences &amp; Après-vente'!$D$2:$D$1000="Agences et Après-vente"))*'Agences &amp; Après-vente'!$E$2:$E$1000)),"yyyy-mm-dd"),""))))))</f>
        <v/>
      </c>
      <c r="I864" s="131" t="str">
        <f aca="false">IF($S864="✓","✓",IF(ISNUMBER($S864),TEXT($S864,"yyyy-mm-dd"),IF($A864="","",IF(SUMPRODUCT(('Agences &amp; Après-vente'!$A$2:$A$1000=$A864)*(('Agences &amp; Après-vente'!$D$2:$D$1000="Après-vente")+('Agences &amp; Après-vente'!$D$2:$D$1000="Agences et Après-vente"))*('Agences &amp; Après-vente'!$I$2:$I$1000="DONE"))&gt;0,"✓",IF(SUMPRODUCT(MAX(('Agences &amp; Après-vente'!$A$2:$A$1000=$A864)*(('Agences &amp; Après-vente'!$D$2:$D$1000="Après-vente")+('Agences &amp; Après-vente'!$D$2:$D$1000="Agences et Après-vente"))*'Agences &amp; Après-vente'!$E$2:$E$1000))&gt;0,TEXT(SUMPRODUCT(MAX(('Agences &amp; Après-vente'!$A$2:$A$1000=$A864)*(('Agences &amp; Après-vente'!$D$2:$D$1000="Après-vente")+('Agences &amp; Après-vente'!$D$2:$D$1000="Agences et Après-vente"))*'Agences &amp; Après-vente'!$E$2:$E$1000)),"yyyy-mm-dd"),"")))))</f>
        <v/>
      </c>
      <c r="J864" s="131" t="str">
        <f aca="false">IF($T864="✓","✓",IF(ISNUMBER($T864),TEXT($T864,"yyyy-mm-dd"),IF($A864="","",IF($D864="Lisbonne","",IF(SUMPRODUCT(('Agences &amp; Après-vente'!$A$2:$A$1000=$A864)*(('Agences &amp; Après-vente'!$D$2:$D$1000="Après-vente")+('Agences &amp; Après-vente'!$D$2:$D$1000="Agences et Après-vente"))*('Agences &amp; Après-vente'!$I$2:$I$1000="DONE"))&gt;0,"✓",IF(SUMPRODUCT(MAX(('Agences &amp; Après-vente'!$A$2:$A$1000=$A864)*(('Agences &amp; Après-vente'!$D$2:$D$1000="Après-vente")+('Agences &amp; Après-vente'!$D$2:$D$1000="Agences et Après-vente"))*'Agences &amp; Après-vente'!$E$2:$E$1000))&gt;0,TEXT(SUMPRODUCT(MAX(('Agences &amp; Après-vente'!$A$2:$A$1000=$A864)*(('Agences &amp; Après-vente'!$D$2:$D$1000="Après-vente")+('Agences &amp; Après-vente'!$D$2:$D$1000="Agences et Après-vente"))*'Agences &amp; Après-vente'!$E$2:$E$1000)),"yyyy-mm-dd"),""))))))</f>
        <v/>
      </c>
      <c r="K864" s="131" t="str">
        <f aca="false">IF($U864="✓","✓",IF(ISNUMBER($U864),TEXT($U864,"yyyy-mm-dd"),IF($D864="Lisbonne","",IF($A864="","",IF(SUMPRODUCT((Evermont!$A$2:$A$1000=$A864)*(Evermont!$Q$2:$Q$1000="Terminé"))&gt;0,"✓",IF(SUMPRODUCT(MAX((Evermont!$A$2:$A$1000=$A864)*Evermont!$F$2:$F$1000))&gt;0,TEXT(SUMPRODUCT(MAX((Evermont!$A$2:$A$1000=$A864)*Evermont!$F$2:$F$1000)),"yyyy-mm-dd"),""))))))</f>
        <v/>
      </c>
      <c r="L864" s="131" t="str">
        <f aca="false">IF($A864="","",COUNTIF(E864:K864,"✓"))</f>
        <v/>
      </c>
      <c r="M864" s="131" t="str">
        <f aca="false">IF(B864="","","Active")</f>
        <v/>
      </c>
      <c r="W864" s="120" t="str">
        <f aca="false">IF($A864="","",IF($X864&lt;&gt;"",$X864,IFERROR(INDEX('Formation Initiale'!$B$2:$B$999,MATCH($A864,'Formation Initiale'!$A$2:$A$999,0)),"Général")))</f>
        <v/>
      </c>
    </row>
    <row r="865" customFormat="false" ht="15" hidden="true" customHeight="true" outlineLevel="0" collapsed="false">
      <c r="A865" s="142" t="str">
        <f aca="false">IF(B865="","","TR"&amp;TEXT(ROW()-1,"000"))</f>
        <v/>
      </c>
      <c r="E865" s="130" t="str">
        <f aca="false">IF($O865="✓","✓",IF(ISNUMBER($O865),TEXT($O865,"yyyy-mm-dd"),IF($A865="","",IF(SUMPRODUCT(('Formation Initiale'!$A$2:$A$999=$A865)*('Formation Initiale'!$R$2:$R$999="Terminé"))&gt;0,"✓",IF(SUMPRODUCT(MAX(('Formation Initiale'!$A$2:$A$999=$A865)*'Formation Initiale'!$G$2:$G$999))&gt;0,TEXT(SUMPRODUCT(MAX(('Formation Initiale'!$A$2:$A$999=$A865)*'Formation Initiale'!$G$2:$G$999)),"yyyy-mm-dd"),"")))))</f>
        <v/>
      </c>
      <c r="F865" s="131" t="str">
        <f aca="false">IF($P865="✓","✓",IF(ISNUMBER($P865),TEXT($P865,"yyyy-mm-dd"),IF($A865="","",IF($D865="Lisbonne","",IF(SUMPRODUCT(('Formation Initiale'!$A$2:$A$999=$A865)*('Formation Initiale'!$R$2:$R$999="Terminé"))&gt;0,"✓",IF(SUMPRODUCT(MAX(('Formation Initiale'!$A$2:$A$999=$A865)*'Formation Initiale'!$G$2:$G$999))&gt;0,TEXT(SUMPRODUCT(MAX(('Formation Initiale'!$A$2:$A$999=$A865)*'Formation Initiale'!$G$2:$G$999)),"yyyy-mm-dd"),""))))))</f>
        <v/>
      </c>
      <c r="G865" s="131" t="str">
        <f aca="false">IF($Q865="✓","✓",IF(ISNUMBER($Q865),TEXT($Q865,"yyyy-mm-dd"),IF($A865="","",IF(SUMPRODUCT(('Agences &amp; Après-vente'!$A$2:$A$1000=$A865)*(('Agences &amp; Après-vente'!$D$2:$D$1000="Agences")+('Agences &amp; Après-vente'!$D$2:$D$1000="Agences et Après-vente"))*('Agences &amp; Après-vente'!$I$2:$I$1000="DONE"))&gt;0,"✓",IF(SUMPRODUCT(MAX(('Agences &amp; Après-vente'!$A$2:$A$1000=$A865)*(('Agences &amp; Après-vente'!$D$2:$D$1000="Agences")+('Agences &amp; Après-vente'!$D$2:$D$1000="Agences et Après-vente"))*'Agences &amp; Après-vente'!$E$2:$E$1000))&gt;0,TEXT(SUMPRODUCT(MAX(('Agences &amp; Après-vente'!$A$2:$A$1000=$A865)*(('Agences &amp; Après-vente'!$D$2:$D$1000="Agences")+('Agences &amp; Après-vente'!$D$2:$D$1000="Agences et Après-vente"))*'Agences &amp; Après-vente'!$E$2:$E$1000)),"yyyy-mm-dd"),"")))))</f>
        <v/>
      </c>
      <c r="H865" s="131" t="str">
        <f aca="false">IF($R865="✓","✓",IF(ISNUMBER($R865),TEXT($R865,"yyyy-mm-dd"),IF($A865="","",IF($D865="Lisbonne","",IF(SUMPRODUCT(('Agences &amp; Après-vente'!$A$2:$A$1000=$A865)*(('Agences &amp; Après-vente'!$D$2:$D$1000="Agences")+('Agences &amp; Après-vente'!$D$2:$D$1000="Agences et Après-vente"))*('Agences &amp; Après-vente'!$I$2:$I$1000="DONE"))&gt;0,"✓",IF(SUMPRODUCT(MAX(('Agences &amp; Après-vente'!$A$2:$A$1000=$A865)*(('Agences &amp; Après-vente'!$D$2:$D$1000="Agences")+('Agences &amp; Après-vente'!$D$2:$D$1000="Agences et Après-vente"))*'Agences &amp; Après-vente'!$E$2:$E$1000))&gt;0,TEXT(SUMPRODUCT(MAX(('Agences &amp; Après-vente'!$A$2:$A$1000=$A865)*(('Agences &amp; Après-vente'!$D$2:$D$1000="Agences")+('Agences &amp; Après-vente'!$D$2:$D$1000="Agences et Après-vente"))*'Agences &amp; Après-vente'!$E$2:$E$1000)),"yyyy-mm-dd"),""))))))</f>
        <v/>
      </c>
      <c r="I865" s="131" t="str">
        <f aca="false">IF($S865="✓","✓",IF(ISNUMBER($S865),TEXT($S865,"yyyy-mm-dd"),IF($A865="","",IF(SUMPRODUCT(('Agences &amp; Après-vente'!$A$2:$A$1000=$A865)*(('Agences &amp; Après-vente'!$D$2:$D$1000="Après-vente")+('Agences &amp; Après-vente'!$D$2:$D$1000="Agences et Après-vente"))*('Agences &amp; Après-vente'!$I$2:$I$1000="DONE"))&gt;0,"✓",IF(SUMPRODUCT(MAX(('Agences &amp; Après-vente'!$A$2:$A$1000=$A865)*(('Agences &amp; Après-vente'!$D$2:$D$1000="Après-vente")+('Agences &amp; Après-vente'!$D$2:$D$1000="Agences et Après-vente"))*'Agences &amp; Après-vente'!$E$2:$E$1000))&gt;0,TEXT(SUMPRODUCT(MAX(('Agences &amp; Après-vente'!$A$2:$A$1000=$A865)*(('Agences &amp; Après-vente'!$D$2:$D$1000="Après-vente")+('Agences &amp; Après-vente'!$D$2:$D$1000="Agences et Après-vente"))*'Agences &amp; Après-vente'!$E$2:$E$1000)),"yyyy-mm-dd"),"")))))</f>
        <v/>
      </c>
      <c r="J865" s="131" t="str">
        <f aca="false">IF($T865="✓","✓",IF(ISNUMBER($T865),TEXT($T865,"yyyy-mm-dd"),IF($A865="","",IF($D865="Lisbonne","",IF(SUMPRODUCT(('Agences &amp; Après-vente'!$A$2:$A$1000=$A865)*(('Agences &amp; Après-vente'!$D$2:$D$1000="Après-vente")+('Agences &amp; Après-vente'!$D$2:$D$1000="Agences et Après-vente"))*('Agences &amp; Après-vente'!$I$2:$I$1000="DONE"))&gt;0,"✓",IF(SUMPRODUCT(MAX(('Agences &amp; Après-vente'!$A$2:$A$1000=$A865)*(('Agences &amp; Après-vente'!$D$2:$D$1000="Après-vente")+('Agences &amp; Après-vente'!$D$2:$D$1000="Agences et Après-vente"))*'Agences &amp; Après-vente'!$E$2:$E$1000))&gt;0,TEXT(SUMPRODUCT(MAX(('Agences &amp; Après-vente'!$A$2:$A$1000=$A865)*(('Agences &amp; Après-vente'!$D$2:$D$1000="Après-vente")+('Agences &amp; Après-vente'!$D$2:$D$1000="Agences et Après-vente"))*'Agences &amp; Après-vente'!$E$2:$E$1000)),"yyyy-mm-dd"),""))))))</f>
        <v/>
      </c>
      <c r="K865" s="131" t="str">
        <f aca="false">IF($U865="✓","✓",IF(ISNUMBER($U865),TEXT($U865,"yyyy-mm-dd"),IF($D865="Lisbonne","",IF($A865="","",IF(SUMPRODUCT((Evermont!$A$2:$A$1000=$A865)*(Evermont!$Q$2:$Q$1000="Terminé"))&gt;0,"✓",IF(SUMPRODUCT(MAX((Evermont!$A$2:$A$1000=$A865)*Evermont!$F$2:$F$1000))&gt;0,TEXT(SUMPRODUCT(MAX((Evermont!$A$2:$A$1000=$A865)*Evermont!$F$2:$F$1000)),"yyyy-mm-dd"),""))))))</f>
        <v/>
      </c>
      <c r="L865" s="131" t="str">
        <f aca="false">IF($A865="","",COUNTIF(E865:K865,"✓"))</f>
        <v/>
      </c>
      <c r="M865" s="131" t="str">
        <f aca="false">IF(B865="","","Active")</f>
        <v/>
      </c>
      <c r="W865" s="120" t="str">
        <f aca="false">IF($A865="","",IF($X865&lt;&gt;"",$X865,IFERROR(INDEX('Formation Initiale'!$B$2:$B$999,MATCH($A865,'Formation Initiale'!$A$2:$A$999,0)),"Général")))</f>
        <v/>
      </c>
    </row>
    <row r="866" customFormat="false" ht="15" hidden="true" customHeight="true" outlineLevel="0" collapsed="false">
      <c r="A866" s="142" t="str">
        <f aca="false">IF(B866="","","TR"&amp;TEXT(ROW()-1,"000"))</f>
        <v/>
      </c>
      <c r="E866" s="130" t="str">
        <f aca="false">IF($O866="✓","✓",IF(ISNUMBER($O866),TEXT($O866,"yyyy-mm-dd"),IF($A866="","",IF(SUMPRODUCT(('Formation Initiale'!$A$2:$A$999=$A866)*('Formation Initiale'!$R$2:$R$999="Terminé"))&gt;0,"✓",IF(SUMPRODUCT(MAX(('Formation Initiale'!$A$2:$A$999=$A866)*'Formation Initiale'!$G$2:$G$999))&gt;0,TEXT(SUMPRODUCT(MAX(('Formation Initiale'!$A$2:$A$999=$A866)*'Formation Initiale'!$G$2:$G$999)),"yyyy-mm-dd"),"")))))</f>
        <v/>
      </c>
      <c r="F866" s="131" t="str">
        <f aca="false">IF($P866="✓","✓",IF(ISNUMBER($P866),TEXT($P866,"yyyy-mm-dd"),IF($A866="","",IF($D866="Lisbonne","",IF(SUMPRODUCT(('Formation Initiale'!$A$2:$A$999=$A866)*('Formation Initiale'!$R$2:$R$999="Terminé"))&gt;0,"✓",IF(SUMPRODUCT(MAX(('Formation Initiale'!$A$2:$A$999=$A866)*'Formation Initiale'!$G$2:$G$999))&gt;0,TEXT(SUMPRODUCT(MAX(('Formation Initiale'!$A$2:$A$999=$A866)*'Formation Initiale'!$G$2:$G$999)),"yyyy-mm-dd"),""))))))</f>
        <v/>
      </c>
      <c r="G866" s="131" t="str">
        <f aca="false">IF($Q866="✓","✓",IF(ISNUMBER($Q866),TEXT($Q866,"yyyy-mm-dd"),IF($A866="","",IF(SUMPRODUCT(('Agences &amp; Après-vente'!$A$2:$A$1000=$A866)*(('Agences &amp; Après-vente'!$D$2:$D$1000="Agences")+('Agences &amp; Après-vente'!$D$2:$D$1000="Agences et Après-vente"))*('Agences &amp; Après-vente'!$I$2:$I$1000="DONE"))&gt;0,"✓",IF(SUMPRODUCT(MAX(('Agences &amp; Après-vente'!$A$2:$A$1000=$A866)*(('Agences &amp; Après-vente'!$D$2:$D$1000="Agences")+('Agences &amp; Après-vente'!$D$2:$D$1000="Agences et Après-vente"))*'Agences &amp; Après-vente'!$E$2:$E$1000))&gt;0,TEXT(SUMPRODUCT(MAX(('Agences &amp; Après-vente'!$A$2:$A$1000=$A866)*(('Agences &amp; Après-vente'!$D$2:$D$1000="Agences")+('Agences &amp; Après-vente'!$D$2:$D$1000="Agences et Après-vente"))*'Agences &amp; Après-vente'!$E$2:$E$1000)),"yyyy-mm-dd"),"")))))</f>
        <v/>
      </c>
      <c r="H866" s="131" t="str">
        <f aca="false">IF($R866="✓","✓",IF(ISNUMBER($R866),TEXT($R866,"yyyy-mm-dd"),IF($A866="","",IF($D866="Lisbonne","",IF(SUMPRODUCT(('Agences &amp; Après-vente'!$A$2:$A$1000=$A866)*(('Agences &amp; Après-vente'!$D$2:$D$1000="Agences")+('Agences &amp; Après-vente'!$D$2:$D$1000="Agences et Après-vente"))*('Agences &amp; Après-vente'!$I$2:$I$1000="DONE"))&gt;0,"✓",IF(SUMPRODUCT(MAX(('Agences &amp; Après-vente'!$A$2:$A$1000=$A866)*(('Agences &amp; Après-vente'!$D$2:$D$1000="Agences")+('Agences &amp; Après-vente'!$D$2:$D$1000="Agences et Après-vente"))*'Agences &amp; Après-vente'!$E$2:$E$1000))&gt;0,TEXT(SUMPRODUCT(MAX(('Agences &amp; Après-vente'!$A$2:$A$1000=$A866)*(('Agences &amp; Après-vente'!$D$2:$D$1000="Agences")+('Agences &amp; Après-vente'!$D$2:$D$1000="Agences et Après-vente"))*'Agences &amp; Après-vente'!$E$2:$E$1000)),"yyyy-mm-dd"),""))))))</f>
        <v/>
      </c>
      <c r="I866" s="131" t="str">
        <f aca="false">IF($S866="✓","✓",IF(ISNUMBER($S866),TEXT($S866,"yyyy-mm-dd"),IF($A866="","",IF(SUMPRODUCT(('Agences &amp; Après-vente'!$A$2:$A$1000=$A866)*(('Agences &amp; Après-vente'!$D$2:$D$1000="Après-vente")+('Agences &amp; Après-vente'!$D$2:$D$1000="Agences et Après-vente"))*('Agences &amp; Après-vente'!$I$2:$I$1000="DONE"))&gt;0,"✓",IF(SUMPRODUCT(MAX(('Agences &amp; Après-vente'!$A$2:$A$1000=$A866)*(('Agences &amp; Après-vente'!$D$2:$D$1000="Après-vente")+('Agences &amp; Après-vente'!$D$2:$D$1000="Agences et Après-vente"))*'Agences &amp; Après-vente'!$E$2:$E$1000))&gt;0,TEXT(SUMPRODUCT(MAX(('Agences &amp; Après-vente'!$A$2:$A$1000=$A866)*(('Agences &amp; Après-vente'!$D$2:$D$1000="Après-vente")+('Agences &amp; Après-vente'!$D$2:$D$1000="Agences et Après-vente"))*'Agences &amp; Après-vente'!$E$2:$E$1000)),"yyyy-mm-dd"),"")))))</f>
        <v/>
      </c>
      <c r="J866" s="131" t="str">
        <f aca="false">IF($T866="✓","✓",IF(ISNUMBER($T866),TEXT($T866,"yyyy-mm-dd"),IF($A866="","",IF($D866="Lisbonne","",IF(SUMPRODUCT(('Agences &amp; Après-vente'!$A$2:$A$1000=$A866)*(('Agences &amp; Après-vente'!$D$2:$D$1000="Après-vente")+('Agences &amp; Après-vente'!$D$2:$D$1000="Agences et Après-vente"))*('Agences &amp; Après-vente'!$I$2:$I$1000="DONE"))&gt;0,"✓",IF(SUMPRODUCT(MAX(('Agences &amp; Après-vente'!$A$2:$A$1000=$A866)*(('Agences &amp; Après-vente'!$D$2:$D$1000="Après-vente")+('Agences &amp; Après-vente'!$D$2:$D$1000="Agences et Après-vente"))*'Agences &amp; Après-vente'!$E$2:$E$1000))&gt;0,TEXT(SUMPRODUCT(MAX(('Agences &amp; Après-vente'!$A$2:$A$1000=$A866)*(('Agences &amp; Après-vente'!$D$2:$D$1000="Après-vente")+('Agences &amp; Après-vente'!$D$2:$D$1000="Agences et Après-vente"))*'Agences &amp; Après-vente'!$E$2:$E$1000)),"yyyy-mm-dd"),""))))))</f>
        <v/>
      </c>
      <c r="K866" s="131" t="str">
        <f aca="false">IF($U866="✓","✓",IF(ISNUMBER($U866),TEXT($U866,"yyyy-mm-dd"),IF($D866="Lisbonne","",IF($A866="","",IF(SUMPRODUCT((Evermont!$A$2:$A$1000=$A866)*(Evermont!$Q$2:$Q$1000="Terminé"))&gt;0,"✓",IF(SUMPRODUCT(MAX((Evermont!$A$2:$A$1000=$A866)*Evermont!$F$2:$F$1000))&gt;0,TEXT(SUMPRODUCT(MAX((Evermont!$A$2:$A$1000=$A866)*Evermont!$F$2:$F$1000)),"yyyy-mm-dd"),""))))))</f>
        <v/>
      </c>
      <c r="L866" s="131" t="str">
        <f aca="false">IF($A866="","",COUNTIF(E866:K866,"✓"))</f>
        <v/>
      </c>
      <c r="M866" s="131" t="str">
        <f aca="false">IF(B866="","","Active")</f>
        <v/>
      </c>
      <c r="W866" s="120" t="str">
        <f aca="false">IF($A866="","",IF($X866&lt;&gt;"",$X866,IFERROR(INDEX('Formation Initiale'!$B$2:$B$999,MATCH($A866,'Formation Initiale'!$A$2:$A$999,0)),"Général")))</f>
        <v/>
      </c>
    </row>
    <row r="867" customFormat="false" ht="15" hidden="true" customHeight="true" outlineLevel="0" collapsed="false">
      <c r="A867" s="142" t="str">
        <f aca="false">IF(B867="","","TR"&amp;TEXT(ROW()-1,"000"))</f>
        <v/>
      </c>
      <c r="E867" s="130" t="str">
        <f aca="false">IF($O867="✓","✓",IF(ISNUMBER($O867),TEXT($O867,"yyyy-mm-dd"),IF($A867="","",IF(SUMPRODUCT(('Formation Initiale'!$A$2:$A$999=$A867)*('Formation Initiale'!$R$2:$R$999="Terminé"))&gt;0,"✓",IF(SUMPRODUCT(MAX(('Formation Initiale'!$A$2:$A$999=$A867)*'Formation Initiale'!$G$2:$G$999))&gt;0,TEXT(SUMPRODUCT(MAX(('Formation Initiale'!$A$2:$A$999=$A867)*'Formation Initiale'!$G$2:$G$999)),"yyyy-mm-dd"),"")))))</f>
        <v/>
      </c>
      <c r="F867" s="131" t="str">
        <f aca="false">IF($P867="✓","✓",IF(ISNUMBER($P867),TEXT($P867,"yyyy-mm-dd"),IF($A867="","",IF($D867="Lisbonne","",IF(SUMPRODUCT(('Formation Initiale'!$A$2:$A$999=$A867)*('Formation Initiale'!$R$2:$R$999="Terminé"))&gt;0,"✓",IF(SUMPRODUCT(MAX(('Formation Initiale'!$A$2:$A$999=$A867)*'Formation Initiale'!$G$2:$G$999))&gt;0,TEXT(SUMPRODUCT(MAX(('Formation Initiale'!$A$2:$A$999=$A867)*'Formation Initiale'!$G$2:$G$999)),"yyyy-mm-dd"),""))))))</f>
        <v/>
      </c>
      <c r="G867" s="131" t="str">
        <f aca="false">IF($Q867="✓","✓",IF(ISNUMBER($Q867),TEXT($Q867,"yyyy-mm-dd"),IF($A867="","",IF(SUMPRODUCT(('Agences &amp; Après-vente'!$A$2:$A$1000=$A867)*(('Agences &amp; Après-vente'!$D$2:$D$1000="Agences")+('Agences &amp; Après-vente'!$D$2:$D$1000="Agences et Après-vente"))*('Agences &amp; Après-vente'!$I$2:$I$1000="DONE"))&gt;0,"✓",IF(SUMPRODUCT(MAX(('Agences &amp; Après-vente'!$A$2:$A$1000=$A867)*(('Agences &amp; Après-vente'!$D$2:$D$1000="Agences")+('Agences &amp; Après-vente'!$D$2:$D$1000="Agences et Après-vente"))*'Agences &amp; Après-vente'!$E$2:$E$1000))&gt;0,TEXT(SUMPRODUCT(MAX(('Agences &amp; Après-vente'!$A$2:$A$1000=$A867)*(('Agences &amp; Après-vente'!$D$2:$D$1000="Agences")+('Agences &amp; Après-vente'!$D$2:$D$1000="Agences et Après-vente"))*'Agences &amp; Après-vente'!$E$2:$E$1000)),"yyyy-mm-dd"),"")))))</f>
        <v/>
      </c>
      <c r="H867" s="131" t="str">
        <f aca="false">IF($R867="✓","✓",IF(ISNUMBER($R867),TEXT($R867,"yyyy-mm-dd"),IF($A867="","",IF($D867="Lisbonne","",IF(SUMPRODUCT(('Agences &amp; Après-vente'!$A$2:$A$1000=$A867)*(('Agences &amp; Après-vente'!$D$2:$D$1000="Agences")+('Agences &amp; Après-vente'!$D$2:$D$1000="Agences et Après-vente"))*('Agences &amp; Après-vente'!$I$2:$I$1000="DONE"))&gt;0,"✓",IF(SUMPRODUCT(MAX(('Agences &amp; Après-vente'!$A$2:$A$1000=$A867)*(('Agences &amp; Après-vente'!$D$2:$D$1000="Agences")+('Agences &amp; Après-vente'!$D$2:$D$1000="Agences et Après-vente"))*'Agences &amp; Après-vente'!$E$2:$E$1000))&gt;0,TEXT(SUMPRODUCT(MAX(('Agences &amp; Après-vente'!$A$2:$A$1000=$A867)*(('Agences &amp; Après-vente'!$D$2:$D$1000="Agences")+('Agences &amp; Après-vente'!$D$2:$D$1000="Agences et Après-vente"))*'Agences &amp; Après-vente'!$E$2:$E$1000)),"yyyy-mm-dd"),""))))))</f>
        <v/>
      </c>
      <c r="I867" s="131" t="str">
        <f aca="false">IF($S867="✓","✓",IF(ISNUMBER($S867),TEXT($S867,"yyyy-mm-dd"),IF($A867="","",IF(SUMPRODUCT(('Agences &amp; Après-vente'!$A$2:$A$1000=$A867)*(('Agences &amp; Après-vente'!$D$2:$D$1000="Après-vente")+('Agences &amp; Après-vente'!$D$2:$D$1000="Agences et Après-vente"))*('Agences &amp; Après-vente'!$I$2:$I$1000="DONE"))&gt;0,"✓",IF(SUMPRODUCT(MAX(('Agences &amp; Après-vente'!$A$2:$A$1000=$A867)*(('Agences &amp; Après-vente'!$D$2:$D$1000="Après-vente")+('Agences &amp; Après-vente'!$D$2:$D$1000="Agences et Après-vente"))*'Agences &amp; Après-vente'!$E$2:$E$1000))&gt;0,TEXT(SUMPRODUCT(MAX(('Agences &amp; Après-vente'!$A$2:$A$1000=$A867)*(('Agences &amp; Après-vente'!$D$2:$D$1000="Après-vente")+('Agences &amp; Après-vente'!$D$2:$D$1000="Agences et Après-vente"))*'Agences &amp; Après-vente'!$E$2:$E$1000)),"yyyy-mm-dd"),"")))))</f>
        <v/>
      </c>
      <c r="J867" s="131" t="str">
        <f aca="false">IF($T867="✓","✓",IF(ISNUMBER($T867),TEXT($T867,"yyyy-mm-dd"),IF($A867="","",IF($D867="Lisbonne","",IF(SUMPRODUCT(('Agences &amp; Après-vente'!$A$2:$A$1000=$A867)*(('Agences &amp; Après-vente'!$D$2:$D$1000="Après-vente")+('Agences &amp; Après-vente'!$D$2:$D$1000="Agences et Après-vente"))*('Agences &amp; Après-vente'!$I$2:$I$1000="DONE"))&gt;0,"✓",IF(SUMPRODUCT(MAX(('Agences &amp; Après-vente'!$A$2:$A$1000=$A867)*(('Agences &amp; Après-vente'!$D$2:$D$1000="Après-vente")+('Agences &amp; Après-vente'!$D$2:$D$1000="Agences et Après-vente"))*'Agences &amp; Après-vente'!$E$2:$E$1000))&gt;0,TEXT(SUMPRODUCT(MAX(('Agences &amp; Après-vente'!$A$2:$A$1000=$A867)*(('Agences &amp; Après-vente'!$D$2:$D$1000="Après-vente")+('Agences &amp; Après-vente'!$D$2:$D$1000="Agences et Après-vente"))*'Agences &amp; Après-vente'!$E$2:$E$1000)),"yyyy-mm-dd"),""))))))</f>
        <v/>
      </c>
      <c r="K867" s="131" t="str">
        <f aca="false">IF($U867="✓","✓",IF(ISNUMBER($U867),TEXT($U867,"yyyy-mm-dd"),IF($D867="Lisbonne","",IF($A867="","",IF(SUMPRODUCT((Evermont!$A$2:$A$1000=$A867)*(Evermont!$Q$2:$Q$1000="Terminé"))&gt;0,"✓",IF(SUMPRODUCT(MAX((Evermont!$A$2:$A$1000=$A867)*Evermont!$F$2:$F$1000))&gt;0,TEXT(SUMPRODUCT(MAX((Evermont!$A$2:$A$1000=$A867)*Evermont!$F$2:$F$1000)),"yyyy-mm-dd"),""))))))</f>
        <v/>
      </c>
      <c r="L867" s="131" t="str">
        <f aca="false">IF($A867="","",COUNTIF(E867:K867,"✓"))</f>
        <v/>
      </c>
      <c r="M867" s="131" t="str">
        <f aca="false">IF(B867="","","Active")</f>
        <v/>
      </c>
      <c r="W867" s="120" t="str">
        <f aca="false">IF($A867="","",IF($X867&lt;&gt;"",$X867,IFERROR(INDEX('Formation Initiale'!$B$2:$B$999,MATCH($A867,'Formation Initiale'!$A$2:$A$999,0)),"Général")))</f>
        <v/>
      </c>
    </row>
    <row r="868" customFormat="false" ht="15" hidden="true" customHeight="true" outlineLevel="0" collapsed="false">
      <c r="A868" s="142" t="str">
        <f aca="false">IF(B868="","","TR"&amp;TEXT(ROW()-1,"000"))</f>
        <v/>
      </c>
      <c r="E868" s="130" t="str">
        <f aca="false">IF($O868="✓","✓",IF(ISNUMBER($O868),TEXT($O868,"yyyy-mm-dd"),IF($A868="","",IF(SUMPRODUCT(('Formation Initiale'!$A$2:$A$999=$A868)*('Formation Initiale'!$R$2:$R$999="Terminé"))&gt;0,"✓",IF(SUMPRODUCT(MAX(('Formation Initiale'!$A$2:$A$999=$A868)*'Formation Initiale'!$G$2:$G$999))&gt;0,TEXT(SUMPRODUCT(MAX(('Formation Initiale'!$A$2:$A$999=$A868)*'Formation Initiale'!$G$2:$G$999)),"yyyy-mm-dd"),"")))))</f>
        <v/>
      </c>
      <c r="F868" s="131" t="str">
        <f aca="false">IF($P868="✓","✓",IF(ISNUMBER($P868),TEXT($P868,"yyyy-mm-dd"),IF($A868="","",IF($D868="Lisbonne","",IF(SUMPRODUCT(('Formation Initiale'!$A$2:$A$999=$A868)*('Formation Initiale'!$R$2:$R$999="Terminé"))&gt;0,"✓",IF(SUMPRODUCT(MAX(('Formation Initiale'!$A$2:$A$999=$A868)*'Formation Initiale'!$G$2:$G$999))&gt;0,TEXT(SUMPRODUCT(MAX(('Formation Initiale'!$A$2:$A$999=$A868)*'Formation Initiale'!$G$2:$G$999)),"yyyy-mm-dd"),""))))))</f>
        <v/>
      </c>
      <c r="G868" s="131" t="str">
        <f aca="false">IF($Q868="✓","✓",IF(ISNUMBER($Q868),TEXT($Q868,"yyyy-mm-dd"),IF($A868="","",IF(SUMPRODUCT(('Agences &amp; Après-vente'!$A$2:$A$1000=$A868)*(('Agences &amp; Après-vente'!$D$2:$D$1000="Agences")+('Agences &amp; Après-vente'!$D$2:$D$1000="Agences et Après-vente"))*('Agences &amp; Après-vente'!$I$2:$I$1000="DONE"))&gt;0,"✓",IF(SUMPRODUCT(MAX(('Agences &amp; Après-vente'!$A$2:$A$1000=$A868)*(('Agences &amp; Après-vente'!$D$2:$D$1000="Agences")+('Agences &amp; Après-vente'!$D$2:$D$1000="Agences et Après-vente"))*'Agences &amp; Après-vente'!$E$2:$E$1000))&gt;0,TEXT(SUMPRODUCT(MAX(('Agences &amp; Après-vente'!$A$2:$A$1000=$A868)*(('Agences &amp; Après-vente'!$D$2:$D$1000="Agences")+('Agences &amp; Après-vente'!$D$2:$D$1000="Agences et Après-vente"))*'Agences &amp; Après-vente'!$E$2:$E$1000)),"yyyy-mm-dd"),"")))))</f>
        <v/>
      </c>
      <c r="H868" s="131" t="str">
        <f aca="false">IF($R868="✓","✓",IF(ISNUMBER($R868),TEXT($R868,"yyyy-mm-dd"),IF($A868="","",IF($D868="Lisbonne","",IF(SUMPRODUCT(('Agences &amp; Après-vente'!$A$2:$A$1000=$A868)*(('Agences &amp; Après-vente'!$D$2:$D$1000="Agences")+('Agences &amp; Après-vente'!$D$2:$D$1000="Agences et Après-vente"))*('Agences &amp; Après-vente'!$I$2:$I$1000="DONE"))&gt;0,"✓",IF(SUMPRODUCT(MAX(('Agences &amp; Après-vente'!$A$2:$A$1000=$A868)*(('Agences &amp; Après-vente'!$D$2:$D$1000="Agences")+('Agences &amp; Après-vente'!$D$2:$D$1000="Agences et Après-vente"))*'Agences &amp; Après-vente'!$E$2:$E$1000))&gt;0,TEXT(SUMPRODUCT(MAX(('Agences &amp; Après-vente'!$A$2:$A$1000=$A868)*(('Agences &amp; Après-vente'!$D$2:$D$1000="Agences")+('Agences &amp; Après-vente'!$D$2:$D$1000="Agences et Après-vente"))*'Agences &amp; Après-vente'!$E$2:$E$1000)),"yyyy-mm-dd"),""))))))</f>
        <v/>
      </c>
      <c r="I868" s="131" t="str">
        <f aca="false">IF($S868="✓","✓",IF(ISNUMBER($S868),TEXT($S868,"yyyy-mm-dd"),IF($A868="","",IF(SUMPRODUCT(('Agences &amp; Après-vente'!$A$2:$A$1000=$A868)*(('Agences &amp; Après-vente'!$D$2:$D$1000="Après-vente")+('Agences &amp; Après-vente'!$D$2:$D$1000="Agences et Après-vente"))*('Agences &amp; Après-vente'!$I$2:$I$1000="DONE"))&gt;0,"✓",IF(SUMPRODUCT(MAX(('Agences &amp; Après-vente'!$A$2:$A$1000=$A868)*(('Agences &amp; Après-vente'!$D$2:$D$1000="Après-vente")+('Agences &amp; Après-vente'!$D$2:$D$1000="Agences et Après-vente"))*'Agences &amp; Après-vente'!$E$2:$E$1000))&gt;0,TEXT(SUMPRODUCT(MAX(('Agences &amp; Après-vente'!$A$2:$A$1000=$A868)*(('Agences &amp; Après-vente'!$D$2:$D$1000="Après-vente")+('Agences &amp; Après-vente'!$D$2:$D$1000="Agences et Après-vente"))*'Agences &amp; Après-vente'!$E$2:$E$1000)),"yyyy-mm-dd"),"")))))</f>
        <v/>
      </c>
      <c r="J868" s="131" t="str">
        <f aca="false">IF($T868="✓","✓",IF(ISNUMBER($T868),TEXT($T868,"yyyy-mm-dd"),IF($A868="","",IF($D868="Lisbonne","",IF(SUMPRODUCT(('Agences &amp; Après-vente'!$A$2:$A$1000=$A868)*(('Agences &amp; Après-vente'!$D$2:$D$1000="Après-vente")+('Agences &amp; Après-vente'!$D$2:$D$1000="Agences et Après-vente"))*('Agences &amp; Après-vente'!$I$2:$I$1000="DONE"))&gt;0,"✓",IF(SUMPRODUCT(MAX(('Agences &amp; Après-vente'!$A$2:$A$1000=$A868)*(('Agences &amp; Après-vente'!$D$2:$D$1000="Après-vente")+('Agences &amp; Après-vente'!$D$2:$D$1000="Agences et Après-vente"))*'Agences &amp; Après-vente'!$E$2:$E$1000))&gt;0,TEXT(SUMPRODUCT(MAX(('Agences &amp; Après-vente'!$A$2:$A$1000=$A868)*(('Agences &amp; Après-vente'!$D$2:$D$1000="Après-vente")+('Agences &amp; Après-vente'!$D$2:$D$1000="Agences et Après-vente"))*'Agences &amp; Après-vente'!$E$2:$E$1000)),"yyyy-mm-dd"),""))))))</f>
        <v/>
      </c>
      <c r="K868" s="131" t="str">
        <f aca="false">IF($U868="✓","✓",IF(ISNUMBER($U868),TEXT($U868,"yyyy-mm-dd"),IF($D868="Lisbonne","",IF($A868="","",IF(SUMPRODUCT((Evermont!$A$2:$A$1000=$A868)*(Evermont!$Q$2:$Q$1000="Terminé"))&gt;0,"✓",IF(SUMPRODUCT(MAX((Evermont!$A$2:$A$1000=$A868)*Evermont!$F$2:$F$1000))&gt;0,TEXT(SUMPRODUCT(MAX((Evermont!$A$2:$A$1000=$A868)*Evermont!$F$2:$F$1000)),"yyyy-mm-dd"),""))))))</f>
        <v/>
      </c>
      <c r="L868" s="131" t="str">
        <f aca="false">IF($A868="","",COUNTIF(E868:K868,"✓"))</f>
        <v/>
      </c>
      <c r="M868" s="131" t="str">
        <f aca="false">IF(B868="","","Active")</f>
        <v/>
      </c>
      <c r="W868" s="120" t="str">
        <f aca="false">IF($A868="","",IF($X868&lt;&gt;"",$X868,IFERROR(INDEX('Formation Initiale'!$B$2:$B$999,MATCH($A868,'Formation Initiale'!$A$2:$A$999,0)),"Général")))</f>
        <v/>
      </c>
    </row>
    <row r="869" customFormat="false" ht="15" hidden="true" customHeight="true" outlineLevel="0" collapsed="false">
      <c r="A869" s="142" t="str">
        <f aca="false">IF(B869="","","TR"&amp;TEXT(ROW()-1,"000"))</f>
        <v/>
      </c>
      <c r="E869" s="130" t="str">
        <f aca="false">IF($O869="✓","✓",IF(ISNUMBER($O869),TEXT($O869,"yyyy-mm-dd"),IF($A869="","",IF(SUMPRODUCT(('Formation Initiale'!$A$2:$A$999=$A869)*('Formation Initiale'!$R$2:$R$999="Terminé"))&gt;0,"✓",IF(SUMPRODUCT(MAX(('Formation Initiale'!$A$2:$A$999=$A869)*'Formation Initiale'!$G$2:$G$999))&gt;0,TEXT(SUMPRODUCT(MAX(('Formation Initiale'!$A$2:$A$999=$A869)*'Formation Initiale'!$G$2:$G$999)),"yyyy-mm-dd"),"")))))</f>
        <v/>
      </c>
      <c r="F869" s="131" t="str">
        <f aca="false">IF($P869="✓","✓",IF(ISNUMBER($P869),TEXT($P869,"yyyy-mm-dd"),IF($A869="","",IF($D869="Lisbonne","",IF(SUMPRODUCT(('Formation Initiale'!$A$2:$A$999=$A869)*('Formation Initiale'!$R$2:$R$999="Terminé"))&gt;0,"✓",IF(SUMPRODUCT(MAX(('Formation Initiale'!$A$2:$A$999=$A869)*'Formation Initiale'!$G$2:$G$999))&gt;0,TEXT(SUMPRODUCT(MAX(('Formation Initiale'!$A$2:$A$999=$A869)*'Formation Initiale'!$G$2:$G$999)),"yyyy-mm-dd"),""))))))</f>
        <v/>
      </c>
      <c r="G869" s="131" t="str">
        <f aca="false">IF($Q869="✓","✓",IF(ISNUMBER($Q869),TEXT($Q869,"yyyy-mm-dd"),IF($A869="","",IF(SUMPRODUCT(('Agences &amp; Après-vente'!$A$2:$A$1000=$A869)*(('Agences &amp; Après-vente'!$D$2:$D$1000="Agences")+('Agences &amp; Après-vente'!$D$2:$D$1000="Agences et Après-vente"))*('Agences &amp; Après-vente'!$I$2:$I$1000="DONE"))&gt;0,"✓",IF(SUMPRODUCT(MAX(('Agences &amp; Après-vente'!$A$2:$A$1000=$A869)*(('Agences &amp; Après-vente'!$D$2:$D$1000="Agences")+('Agences &amp; Après-vente'!$D$2:$D$1000="Agences et Après-vente"))*'Agences &amp; Après-vente'!$E$2:$E$1000))&gt;0,TEXT(SUMPRODUCT(MAX(('Agences &amp; Après-vente'!$A$2:$A$1000=$A869)*(('Agences &amp; Après-vente'!$D$2:$D$1000="Agences")+('Agences &amp; Après-vente'!$D$2:$D$1000="Agences et Après-vente"))*'Agences &amp; Après-vente'!$E$2:$E$1000)),"yyyy-mm-dd"),"")))))</f>
        <v/>
      </c>
      <c r="H869" s="131" t="str">
        <f aca="false">IF($R869="✓","✓",IF(ISNUMBER($R869),TEXT($R869,"yyyy-mm-dd"),IF($A869="","",IF($D869="Lisbonne","",IF(SUMPRODUCT(('Agences &amp; Après-vente'!$A$2:$A$1000=$A869)*(('Agences &amp; Après-vente'!$D$2:$D$1000="Agences")+('Agences &amp; Après-vente'!$D$2:$D$1000="Agences et Après-vente"))*('Agences &amp; Après-vente'!$I$2:$I$1000="DONE"))&gt;0,"✓",IF(SUMPRODUCT(MAX(('Agences &amp; Après-vente'!$A$2:$A$1000=$A869)*(('Agences &amp; Après-vente'!$D$2:$D$1000="Agences")+('Agences &amp; Après-vente'!$D$2:$D$1000="Agences et Après-vente"))*'Agences &amp; Après-vente'!$E$2:$E$1000))&gt;0,TEXT(SUMPRODUCT(MAX(('Agences &amp; Après-vente'!$A$2:$A$1000=$A869)*(('Agences &amp; Après-vente'!$D$2:$D$1000="Agences")+('Agences &amp; Après-vente'!$D$2:$D$1000="Agences et Après-vente"))*'Agences &amp; Après-vente'!$E$2:$E$1000)),"yyyy-mm-dd"),""))))))</f>
        <v/>
      </c>
      <c r="I869" s="131" t="str">
        <f aca="false">IF($S869="✓","✓",IF(ISNUMBER($S869),TEXT($S869,"yyyy-mm-dd"),IF($A869="","",IF(SUMPRODUCT(('Agences &amp; Après-vente'!$A$2:$A$1000=$A869)*(('Agences &amp; Après-vente'!$D$2:$D$1000="Après-vente")+('Agences &amp; Après-vente'!$D$2:$D$1000="Agences et Après-vente"))*('Agences &amp; Après-vente'!$I$2:$I$1000="DONE"))&gt;0,"✓",IF(SUMPRODUCT(MAX(('Agences &amp; Après-vente'!$A$2:$A$1000=$A869)*(('Agences &amp; Après-vente'!$D$2:$D$1000="Après-vente")+('Agences &amp; Après-vente'!$D$2:$D$1000="Agences et Après-vente"))*'Agences &amp; Après-vente'!$E$2:$E$1000))&gt;0,TEXT(SUMPRODUCT(MAX(('Agences &amp; Après-vente'!$A$2:$A$1000=$A869)*(('Agences &amp; Après-vente'!$D$2:$D$1000="Après-vente")+('Agences &amp; Après-vente'!$D$2:$D$1000="Agences et Après-vente"))*'Agences &amp; Après-vente'!$E$2:$E$1000)),"yyyy-mm-dd"),"")))))</f>
        <v/>
      </c>
      <c r="J869" s="131" t="str">
        <f aca="false">IF($T869="✓","✓",IF(ISNUMBER($T869),TEXT($T869,"yyyy-mm-dd"),IF($A869="","",IF($D869="Lisbonne","",IF(SUMPRODUCT(('Agences &amp; Après-vente'!$A$2:$A$1000=$A869)*(('Agences &amp; Après-vente'!$D$2:$D$1000="Après-vente")+('Agences &amp; Après-vente'!$D$2:$D$1000="Agences et Après-vente"))*('Agences &amp; Après-vente'!$I$2:$I$1000="DONE"))&gt;0,"✓",IF(SUMPRODUCT(MAX(('Agences &amp; Après-vente'!$A$2:$A$1000=$A869)*(('Agences &amp; Après-vente'!$D$2:$D$1000="Après-vente")+('Agences &amp; Après-vente'!$D$2:$D$1000="Agences et Après-vente"))*'Agences &amp; Après-vente'!$E$2:$E$1000))&gt;0,TEXT(SUMPRODUCT(MAX(('Agences &amp; Après-vente'!$A$2:$A$1000=$A869)*(('Agences &amp; Après-vente'!$D$2:$D$1000="Après-vente")+('Agences &amp; Après-vente'!$D$2:$D$1000="Agences et Après-vente"))*'Agences &amp; Après-vente'!$E$2:$E$1000)),"yyyy-mm-dd"),""))))))</f>
        <v/>
      </c>
      <c r="K869" s="131" t="str">
        <f aca="false">IF($U869="✓","✓",IF(ISNUMBER($U869),TEXT($U869,"yyyy-mm-dd"),IF($D869="Lisbonne","",IF($A869="","",IF(SUMPRODUCT((Evermont!$A$2:$A$1000=$A869)*(Evermont!$Q$2:$Q$1000="Terminé"))&gt;0,"✓",IF(SUMPRODUCT(MAX((Evermont!$A$2:$A$1000=$A869)*Evermont!$F$2:$F$1000))&gt;0,TEXT(SUMPRODUCT(MAX((Evermont!$A$2:$A$1000=$A869)*Evermont!$F$2:$F$1000)),"yyyy-mm-dd"),""))))))</f>
        <v/>
      </c>
      <c r="L869" s="131" t="str">
        <f aca="false">IF($A869="","",COUNTIF(E869:K869,"✓"))</f>
        <v/>
      </c>
      <c r="M869" s="131" t="str">
        <f aca="false">IF(B869="","","Active")</f>
        <v/>
      </c>
      <c r="W869" s="120" t="str">
        <f aca="false">IF($A869="","",IF($X869&lt;&gt;"",$X869,IFERROR(INDEX('Formation Initiale'!$B$2:$B$999,MATCH($A869,'Formation Initiale'!$A$2:$A$999,0)),"Général")))</f>
        <v/>
      </c>
    </row>
    <row r="870" customFormat="false" ht="15" hidden="true" customHeight="true" outlineLevel="0" collapsed="false">
      <c r="A870" s="142" t="str">
        <f aca="false">IF(B870="","","TR"&amp;TEXT(ROW()-1,"000"))</f>
        <v/>
      </c>
      <c r="E870" s="130" t="str">
        <f aca="false">IF($O870="✓","✓",IF(ISNUMBER($O870),TEXT($O870,"yyyy-mm-dd"),IF($A870="","",IF(SUMPRODUCT(('Formation Initiale'!$A$2:$A$999=$A870)*('Formation Initiale'!$R$2:$R$999="Terminé"))&gt;0,"✓",IF(SUMPRODUCT(MAX(('Formation Initiale'!$A$2:$A$999=$A870)*'Formation Initiale'!$G$2:$G$999))&gt;0,TEXT(SUMPRODUCT(MAX(('Formation Initiale'!$A$2:$A$999=$A870)*'Formation Initiale'!$G$2:$G$999)),"yyyy-mm-dd"),"")))))</f>
        <v/>
      </c>
      <c r="F870" s="131" t="str">
        <f aca="false">IF($P870="✓","✓",IF(ISNUMBER($P870),TEXT($P870,"yyyy-mm-dd"),IF($A870="","",IF($D870="Lisbonne","",IF(SUMPRODUCT(('Formation Initiale'!$A$2:$A$999=$A870)*('Formation Initiale'!$R$2:$R$999="Terminé"))&gt;0,"✓",IF(SUMPRODUCT(MAX(('Formation Initiale'!$A$2:$A$999=$A870)*'Formation Initiale'!$G$2:$G$999))&gt;0,TEXT(SUMPRODUCT(MAX(('Formation Initiale'!$A$2:$A$999=$A870)*'Formation Initiale'!$G$2:$G$999)),"yyyy-mm-dd"),""))))))</f>
        <v/>
      </c>
      <c r="G870" s="131" t="str">
        <f aca="false">IF($Q870="✓","✓",IF(ISNUMBER($Q870),TEXT($Q870,"yyyy-mm-dd"),IF($A870="","",IF(SUMPRODUCT(('Agences &amp; Après-vente'!$A$2:$A$1000=$A870)*(('Agences &amp; Après-vente'!$D$2:$D$1000="Agences")+('Agences &amp; Après-vente'!$D$2:$D$1000="Agences et Après-vente"))*('Agences &amp; Après-vente'!$I$2:$I$1000="DONE"))&gt;0,"✓",IF(SUMPRODUCT(MAX(('Agences &amp; Après-vente'!$A$2:$A$1000=$A870)*(('Agences &amp; Après-vente'!$D$2:$D$1000="Agences")+('Agences &amp; Après-vente'!$D$2:$D$1000="Agences et Après-vente"))*'Agences &amp; Après-vente'!$E$2:$E$1000))&gt;0,TEXT(SUMPRODUCT(MAX(('Agences &amp; Après-vente'!$A$2:$A$1000=$A870)*(('Agences &amp; Après-vente'!$D$2:$D$1000="Agences")+('Agences &amp; Après-vente'!$D$2:$D$1000="Agences et Après-vente"))*'Agences &amp; Après-vente'!$E$2:$E$1000)),"yyyy-mm-dd"),"")))))</f>
        <v/>
      </c>
      <c r="H870" s="131" t="str">
        <f aca="false">IF($R870="✓","✓",IF(ISNUMBER($R870),TEXT($R870,"yyyy-mm-dd"),IF($A870="","",IF($D870="Lisbonne","",IF(SUMPRODUCT(('Agences &amp; Après-vente'!$A$2:$A$1000=$A870)*(('Agences &amp; Après-vente'!$D$2:$D$1000="Agences")+('Agences &amp; Après-vente'!$D$2:$D$1000="Agences et Après-vente"))*('Agences &amp; Après-vente'!$I$2:$I$1000="DONE"))&gt;0,"✓",IF(SUMPRODUCT(MAX(('Agences &amp; Après-vente'!$A$2:$A$1000=$A870)*(('Agences &amp; Après-vente'!$D$2:$D$1000="Agences")+('Agences &amp; Après-vente'!$D$2:$D$1000="Agences et Après-vente"))*'Agences &amp; Après-vente'!$E$2:$E$1000))&gt;0,TEXT(SUMPRODUCT(MAX(('Agences &amp; Après-vente'!$A$2:$A$1000=$A870)*(('Agences &amp; Après-vente'!$D$2:$D$1000="Agences")+('Agences &amp; Après-vente'!$D$2:$D$1000="Agences et Après-vente"))*'Agences &amp; Après-vente'!$E$2:$E$1000)),"yyyy-mm-dd"),""))))))</f>
        <v/>
      </c>
      <c r="I870" s="131" t="str">
        <f aca="false">IF($S870="✓","✓",IF(ISNUMBER($S870),TEXT($S870,"yyyy-mm-dd"),IF($A870="","",IF(SUMPRODUCT(('Agences &amp; Après-vente'!$A$2:$A$1000=$A870)*(('Agences &amp; Après-vente'!$D$2:$D$1000="Après-vente")+('Agences &amp; Après-vente'!$D$2:$D$1000="Agences et Après-vente"))*('Agences &amp; Après-vente'!$I$2:$I$1000="DONE"))&gt;0,"✓",IF(SUMPRODUCT(MAX(('Agences &amp; Après-vente'!$A$2:$A$1000=$A870)*(('Agences &amp; Après-vente'!$D$2:$D$1000="Après-vente")+('Agences &amp; Après-vente'!$D$2:$D$1000="Agences et Après-vente"))*'Agences &amp; Après-vente'!$E$2:$E$1000))&gt;0,TEXT(SUMPRODUCT(MAX(('Agences &amp; Après-vente'!$A$2:$A$1000=$A870)*(('Agences &amp; Après-vente'!$D$2:$D$1000="Après-vente")+('Agences &amp; Après-vente'!$D$2:$D$1000="Agences et Après-vente"))*'Agences &amp; Après-vente'!$E$2:$E$1000)),"yyyy-mm-dd"),"")))))</f>
        <v/>
      </c>
      <c r="J870" s="131" t="str">
        <f aca="false">IF($T870="✓","✓",IF(ISNUMBER($T870),TEXT($T870,"yyyy-mm-dd"),IF($A870="","",IF($D870="Lisbonne","",IF(SUMPRODUCT(('Agences &amp; Après-vente'!$A$2:$A$1000=$A870)*(('Agences &amp; Après-vente'!$D$2:$D$1000="Après-vente")+('Agences &amp; Après-vente'!$D$2:$D$1000="Agences et Après-vente"))*('Agences &amp; Après-vente'!$I$2:$I$1000="DONE"))&gt;0,"✓",IF(SUMPRODUCT(MAX(('Agences &amp; Après-vente'!$A$2:$A$1000=$A870)*(('Agences &amp; Après-vente'!$D$2:$D$1000="Après-vente")+('Agences &amp; Après-vente'!$D$2:$D$1000="Agences et Après-vente"))*'Agences &amp; Après-vente'!$E$2:$E$1000))&gt;0,TEXT(SUMPRODUCT(MAX(('Agences &amp; Après-vente'!$A$2:$A$1000=$A870)*(('Agences &amp; Après-vente'!$D$2:$D$1000="Après-vente")+('Agences &amp; Après-vente'!$D$2:$D$1000="Agences et Après-vente"))*'Agences &amp; Après-vente'!$E$2:$E$1000)),"yyyy-mm-dd"),""))))))</f>
        <v/>
      </c>
      <c r="K870" s="131" t="str">
        <f aca="false">IF($U870="✓","✓",IF(ISNUMBER($U870),TEXT($U870,"yyyy-mm-dd"),IF($D870="Lisbonne","",IF($A870="","",IF(SUMPRODUCT((Evermont!$A$2:$A$1000=$A870)*(Evermont!$Q$2:$Q$1000="Terminé"))&gt;0,"✓",IF(SUMPRODUCT(MAX((Evermont!$A$2:$A$1000=$A870)*Evermont!$F$2:$F$1000))&gt;0,TEXT(SUMPRODUCT(MAX((Evermont!$A$2:$A$1000=$A870)*Evermont!$F$2:$F$1000)),"yyyy-mm-dd"),""))))))</f>
        <v/>
      </c>
      <c r="L870" s="131" t="str">
        <f aca="false">IF($A870="","",COUNTIF(E870:K870,"✓"))</f>
        <v/>
      </c>
      <c r="M870" s="131" t="str">
        <f aca="false">IF(B870="","","Active")</f>
        <v/>
      </c>
      <c r="W870" s="120" t="str">
        <f aca="false">IF($A870="","",IF($X870&lt;&gt;"",$X870,IFERROR(INDEX('Formation Initiale'!$B$2:$B$999,MATCH($A870,'Formation Initiale'!$A$2:$A$999,0)),"Général")))</f>
        <v/>
      </c>
    </row>
    <row r="871" customFormat="false" ht="15" hidden="true" customHeight="true" outlineLevel="0" collapsed="false">
      <c r="A871" s="142" t="str">
        <f aca="false">IF(B871="","","TR"&amp;TEXT(ROW()-1,"000"))</f>
        <v/>
      </c>
      <c r="E871" s="130" t="str">
        <f aca="false">IF($O871="✓","✓",IF(ISNUMBER($O871),TEXT($O871,"yyyy-mm-dd"),IF($A871="","",IF(SUMPRODUCT(('Formation Initiale'!$A$2:$A$999=$A871)*('Formation Initiale'!$R$2:$R$999="Terminé"))&gt;0,"✓",IF(SUMPRODUCT(MAX(('Formation Initiale'!$A$2:$A$999=$A871)*'Formation Initiale'!$G$2:$G$999))&gt;0,TEXT(SUMPRODUCT(MAX(('Formation Initiale'!$A$2:$A$999=$A871)*'Formation Initiale'!$G$2:$G$999)),"yyyy-mm-dd"),"")))))</f>
        <v/>
      </c>
      <c r="F871" s="131" t="str">
        <f aca="false">IF($P871="✓","✓",IF(ISNUMBER($P871),TEXT($P871,"yyyy-mm-dd"),IF($A871="","",IF($D871="Lisbonne","",IF(SUMPRODUCT(('Formation Initiale'!$A$2:$A$999=$A871)*('Formation Initiale'!$R$2:$R$999="Terminé"))&gt;0,"✓",IF(SUMPRODUCT(MAX(('Formation Initiale'!$A$2:$A$999=$A871)*'Formation Initiale'!$G$2:$G$999))&gt;0,TEXT(SUMPRODUCT(MAX(('Formation Initiale'!$A$2:$A$999=$A871)*'Formation Initiale'!$G$2:$G$999)),"yyyy-mm-dd"),""))))))</f>
        <v/>
      </c>
      <c r="G871" s="131" t="str">
        <f aca="false">IF($Q871="✓","✓",IF(ISNUMBER($Q871),TEXT($Q871,"yyyy-mm-dd"),IF($A871="","",IF(SUMPRODUCT(('Agences &amp; Après-vente'!$A$2:$A$1000=$A871)*(('Agences &amp; Après-vente'!$D$2:$D$1000="Agences")+('Agences &amp; Après-vente'!$D$2:$D$1000="Agences et Après-vente"))*('Agences &amp; Après-vente'!$I$2:$I$1000="DONE"))&gt;0,"✓",IF(SUMPRODUCT(MAX(('Agences &amp; Après-vente'!$A$2:$A$1000=$A871)*(('Agences &amp; Après-vente'!$D$2:$D$1000="Agences")+('Agences &amp; Après-vente'!$D$2:$D$1000="Agences et Après-vente"))*'Agences &amp; Après-vente'!$E$2:$E$1000))&gt;0,TEXT(SUMPRODUCT(MAX(('Agences &amp; Après-vente'!$A$2:$A$1000=$A871)*(('Agences &amp; Après-vente'!$D$2:$D$1000="Agences")+('Agences &amp; Après-vente'!$D$2:$D$1000="Agences et Après-vente"))*'Agences &amp; Après-vente'!$E$2:$E$1000)),"yyyy-mm-dd"),"")))))</f>
        <v/>
      </c>
      <c r="H871" s="131" t="str">
        <f aca="false">IF($R871="✓","✓",IF(ISNUMBER($R871),TEXT($R871,"yyyy-mm-dd"),IF($A871="","",IF($D871="Lisbonne","",IF(SUMPRODUCT(('Agences &amp; Après-vente'!$A$2:$A$1000=$A871)*(('Agences &amp; Après-vente'!$D$2:$D$1000="Agences")+('Agences &amp; Après-vente'!$D$2:$D$1000="Agences et Après-vente"))*('Agences &amp; Après-vente'!$I$2:$I$1000="DONE"))&gt;0,"✓",IF(SUMPRODUCT(MAX(('Agences &amp; Après-vente'!$A$2:$A$1000=$A871)*(('Agences &amp; Après-vente'!$D$2:$D$1000="Agences")+('Agences &amp; Après-vente'!$D$2:$D$1000="Agences et Après-vente"))*'Agences &amp; Après-vente'!$E$2:$E$1000))&gt;0,TEXT(SUMPRODUCT(MAX(('Agences &amp; Après-vente'!$A$2:$A$1000=$A871)*(('Agences &amp; Après-vente'!$D$2:$D$1000="Agences")+('Agences &amp; Après-vente'!$D$2:$D$1000="Agences et Après-vente"))*'Agences &amp; Après-vente'!$E$2:$E$1000)),"yyyy-mm-dd"),""))))))</f>
        <v/>
      </c>
      <c r="I871" s="131" t="str">
        <f aca="false">IF($S871="✓","✓",IF(ISNUMBER($S871),TEXT($S871,"yyyy-mm-dd"),IF($A871="","",IF(SUMPRODUCT(('Agences &amp; Après-vente'!$A$2:$A$1000=$A871)*(('Agences &amp; Après-vente'!$D$2:$D$1000="Après-vente")+('Agences &amp; Après-vente'!$D$2:$D$1000="Agences et Après-vente"))*('Agences &amp; Après-vente'!$I$2:$I$1000="DONE"))&gt;0,"✓",IF(SUMPRODUCT(MAX(('Agences &amp; Après-vente'!$A$2:$A$1000=$A871)*(('Agences &amp; Après-vente'!$D$2:$D$1000="Après-vente")+('Agences &amp; Après-vente'!$D$2:$D$1000="Agences et Après-vente"))*'Agences &amp; Après-vente'!$E$2:$E$1000))&gt;0,TEXT(SUMPRODUCT(MAX(('Agences &amp; Après-vente'!$A$2:$A$1000=$A871)*(('Agences &amp; Après-vente'!$D$2:$D$1000="Après-vente")+('Agences &amp; Après-vente'!$D$2:$D$1000="Agences et Après-vente"))*'Agences &amp; Après-vente'!$E$2:$E$1000)),"yyyy-mm-dd"),"")))))</f>
        <v/>
      </c>
      <c r="J871" s="131" t="str">
        <f aca="false">IF($T871="✓","✓",IF(ISNUMBER($T871),TEXT($T871,"yyyy-mm-dd"),IF($A871="","",IF($D871="Lisbonne","",IF(SUMPRODUCT(('Agences &amp; Après-vente'!$A$2:$A$1000=$A871)*(('Agences &amp; Après-vente'!$D$2:$D$1000="Après-vente")+('Agences &amp; Après-vente'!$D$2:$D$1000="Agences et Après-vente"))*('Agences &amp; Après-vente'!$I$2:$I$1000="DONE"))&gt;0,"✓",IF(SUMPRODUCT(MAX(('Agences &amp; Après-vente'!$A$2:$A$1000=$A871)*(('Agences &amp; Après-vente'!$D$2:$D$1000="Après-vente")+('Agences &amp; Après-vente'!$D$2:$D$1000="Agences et Après-vente"))*'Agences &amp; Après-vente'!$E$2:$E$1000))&gt;0,TEXT(SUMPRODUCT(MAX(('Agences &amp; Après-vente'!$A$2:$A$1000=$A871)*(('Agences &amp; Après-vente'!$D$2:$D$1000="Après-vente")+('Agences &amp; Après-vente'!$D$2:$D$1000="Agences et Après-vente"))*'Agences &amp; Après-vente'!$E$2:$E$1000)),"yyyy-mm-dd"),""))))))</f>
        <v/>
      </c>
      <c r="K871" s="131" t="str">
        <f aca="false">IF($U871="✓","✓",IF(ISNUMBER($U871),TEXT($U871,"yyyy-mm-dd"),IF($D871="Lisbonne","",IF($A871="","",IF(SUMPRODUCT((Evermont!$A$2:$A$1000=$A871)*(Evermont!$Q$2:$Q$1000="Terminé"))&gt;0,"✓",IF(SUMPRODUCT(MAX((Evermont!$A$2:$A$1000=$A871)*Evermont!$F$2:$F$1000))&gt;0,TEXT(SUMPRODUCT(MAX((Evermont!$A$2:$A$1000=$A871)*Evermont!$F$2:$F$1000)),"yyyy-mm-dd"),""))))))</f>
        <v/>
      </c>
      <c r="L871" s="131" t="str">
        <f aca="false">IF($A871="","",COUNTIF(E871:K871,"✓"))</f>
        <v/>
      </c>
      <c r="M871" s="131" t="str">
        <f aca="false">IF(B871="","","Active")</f>
        <v/>
      </c>
      <c r="W871" s="120" t="str">
        <f aca="false">IF($A871="","",IF($X871&lt;&gt;"",$X871,IFERROR(INDEX('Formation Initiale'!$B$2:$B$999,MATCH($A871,'Formation Initiale'!$A$2:$A$999,0)),"Général")))</f>
        <v/>
      </c>
    </row>
    <row r="872" customFormat="false" ht="15" hidden="true" customHeight="true" outlineLevel="0" collapsed="false">
      <c r="A872" s="142" t="str">
        <f aca="false">IF(B872="","","TR"&amp;TEXT(ROW()-1,"000"))</f>
        <v/>
      </c>
      <c r="E872" s="130" t="str">
        <f aca="false">IF($O872="✓","✓",IF(ISNUMBER($O872),TEXT($O872,"yyyy-mm-dd"),IF($A872="","",IF(SUMPRODUCT(('Formation Initiale'!$A$2:$A$999=$A872)*('Formation Initiale'!$R$2:$R$999="Terminé"))&gt;0,"✓",IF(SUMPRODUCT(MAX(('Formation Initiale'!$A$2:$A$999=$A872)*'Formation Initiale'!$G$2:$G$999))&gt;0,TEXT(SUMPRODUCT(MAX(('Formation Initiale'!$A$2:$A$999=$A872)*'Formation Initiale'!$G$2:$G$999)),"yyyy-mm-dd"),"")))))</f>
        <v/>
      </c>
      <c r="F872" s="131" t="str">
        <f aca="false">IF($P872="✓","✓",IF(ISNUMBER($P872),TEXT($P872,"yyyy-mm-dd"),IF($A872="","",IF($D872="Lisbonne","",IF(SUMPRODUCT(('Formation Initiale'!$A$2:$A$999=$A872)*('Formation Initiale'!$R$2:$R$999="Terminé"))&gt;0,"✓",IF(SUMPRODUCT(MAX(('Formation Initiale'!$A$2:$A$999=$A872)*'Formation Initiale'!$G$2:$G$999))&gt;0,TEXT(SUMPRODUCT(MAX(('Formation Initiale'!$A$2:$A$999=$A872)*'Formation Initiale'!$G$2:$G$999)),"yyyy-mm-dd"),""))))))</f>
        <v/>
      </c>
      <c r="G872" s="131" t="str">
        <f aca="false">IF($Q872="✓","✓",IF(ISNUMBER($Q872),TEXT($Q872,"yyyy-mm-dd"),IF($A872="","",IF(SUMPRODUCT(('Agences &amp; Après-vente'!$A$2:$A$1000=$A872)*(('Agences &amp; Après-vente'!$D$2:$D$1000="Agences")+('Agences &amp; Après-vente'!$D$2:$D$1000="Agences et Après-vente"))*('Agences &amp; Après-vente'!$I$2:$I$1000="DONE"))&gt;0,"✓",IF(SUMPRODUCT(MAX(('Agences &amp; Après-vente'!$A$2:$A$1000=$A872)*(('Agences &amp; Après-vente'!$D$2:$D$1000="Agences")+('Agences &amp; Après-vente'!$D$2:$D$1000="Agences et Après-vente"))*'Agences &amp; Après-vente'!$E$2:$E$1000))&gt;0,TEXT(SUMPRODUCT(MAX(('Agences &amp; Après-vente'!$A$2:$A$1000=$A872)*(('Agences &amp; Après-vente'!$D$2:$D$1000="Agences")+('Agences &amp; Après-vente'!$D$2:$D$1000="Agences et Après-vente"))*'Agences &amp; Après-vente'!$E$2:$E$1000)),"yyyy-mm-dd"),"")))))</f>
        <v/>
      </c>
      <c r="H872" s="131" t="str">
        <f aca="false">IF($R872="✓","✓",IF(ISNUMBER($R872),TEXT($R872,"yyyy-mm-dd"),IF($A872="","",IF($D872="Lisbonne","",IF(SUMPRODUCT(('Agences &amp; Après-vente'!$A$2:$A$1000=$A872)*(('Agences &amp; Après-vente'!$D$2:$D$1000="Agences")+('Agences &amp; Après-vente'!$D$2:$D$1000="Agences et Après-vente"))*('Agences &amp; Après-vente'!$I$2:$I$1000="DONE"))&gt;0,"✓",IF(SUMPRODUCT(MAX(('Agences &amp; Après-vente'!$A$2:$A$1000=$A872)*(('Agences &amp; Après-vente'!$D$2:$D$1000="Agences")+('Agences &amp; Après-vente'!$D$2:$D$1000="Agences et Après-vente"))*'Agences &amp; Après-vente'!$E$2:$E$1000))&gt;0,TEXT(SUMPRODUCT(MAX(('Agences &amp; Après-vente'!$A$2:$A$1000=$A872)*(('Agences &amp; Après-vente'!$D$2:$D$1000="Agences")+('Agences &amp; Après-vente'!$D$2:$D$1000="Agences et Après-vente"))*'Agences &amp; Après-vente'!$E$2:$E$1000)),"yyyy-mm-dd"),""))))))</f>
        <v/>
      </c>
      <c r="I872" s="131" t="str">
        <f aca="false">IF($S872="✓","✓",IF(ISNUMBER($S872),TEXT($S872,"yyyy-mm-dd"),IF($A872="","",IF(SUMPRODUCT(('Agences &amp; Après-vente'!$A$2:$A$1000=$A872)*(('Agences &amp; Après-vente'!$D$2:$D$1000="Après-vente")+('Agences &amp; Après-vente'!$D$2:$D$1000="Agences et Après-vente"))*('Agences &amp; Après-vente'!$I$2:$I$1000="DONE"))&gt;0,"✓",IF(SUMPRODUCT(MAX(('Agences &amp; Après-vente'!$A$2:$A$1000=$A872)*(('Agences &amp; Après-vente'!$D$2:$D$1000="Après-vente")+('Agences &amp; Après-vente'!$D$2:$D$1000="Agences et Après-vente"))*'Agences &amp; Après-vente'!$E$2:$E$1000))&gt;0,TEXT(SUMPRODUCT(MAX(('Agences &amp; Après-vente'!$A$2:$A$1000=$A872)*(('Agences &amp; Après-vente'!$D$2:$D$1000="Après-vente")+('Agences &amp; Après-vente'!$D$2:$D$1000="Agences et Après-vente"))*'Agences &amp; Après-vente'!$E$2:$E$1000)),"yyyy-mm-dd"),"")))))</f>
        <v/>
      </c>
      <c r="J872" s="131" t="str">
        <f aca="false">IF($T872="✓","✓",IF(ISNUMBER($T872),TEXT($T872,"yyyy-mm-dd"),IF($A872="","",IF($D872="Lisbonne","",IF(SUMPRODUCT(('Agences &amp; Après-vente'!$A$2:$A$1000=$A872)*(('Agences &amp; Après-vente'!$D$2:$D$1000="Après-vente")+('Agences &amp; Après-vente'!$D$2:$D$1000="Agences et Après-vente"))*('Agences &amp; Après-vente'!$I$2:$I$1000="DONE"))&gt;0,"✓",IF(SUMPRODUCT(MAX(('Agences &amp; Après-vente'!$A$2:$A$1000=$A872)*(('Agences &amp; Après-vente'!$D$2:$D$1000="Après-vente")+('Agences &amp; Après-vente'!$D$2:$D$1000="Agences et Après-vente"))*'Agences &amp; Après-vente'!$E$2:$E$1000))&gt;0,TEXT(SUMPRODUCT(MAX(('Agences &amp; Après-vente'!$A$2:$A$1000=$A872)*(('Agences &amp; Après-vente'!$D$2:$D$1000="Après-vente")+('Agences &amp; Après-vente'!$D$2:$D$1000="Agences et Après-vente"))*'Agences &amp; Après-vente'!$E$2:$E$1000)),"yyyy-mm-dd"),""))))))</f>
        <v/>
      </c>
      <c r="K872" s="131" t="str">
        <f aca="false">IF($U872="✓","✓",IF(ISNUMBER($U872),TEXT($U872,"yyyy-mm-dd"),IF($D872="Lisbonne","",IF($A872="","",IF(SUMPRODUCT((Evermont!$A$2:$A$1000=$A872)*(Evermont!$Q$2:$Q$1000="Terminé"))&gt;0,"✓",IF(SUMPRODUCT(MAX((Evermont!$A$2:$A$1000=$A872)*Evermont!$F$2:$F$1000))&gt;0,TEXT(SUMPRODUCT(MAX((Evermont!$A$2:$A$1000=$A872)*Evermont!$F$2:$F$1000)),"yyyy-mm-dd"),""))))))</f>
        <v/>
      </c>
      <c r="L872" s="131" t="str">
        <f aca="false">IF($A872="","",COUNTIF(E872:K872,"✓"))</f>
        <v/>
      </c>
      <c r="M872" s="131" t="str">
        <f aca="false">IF(B872="","","Active")</f>
        <v/>
      </c>
      <c r="W872" s="120" t="str">
        <f aca="false">IF($A872="","",IF($X872&lt;&gt;"",$X872,IFERROR(INDEX('Formation Initiale'!$B$2:$B$999,MATCH($A872,'Formation Initiale'!$A$2:$A$999,0)),"Général")))</f>
        <v/>
      </c>
    </row>
    <row r="873" customFormat="false" ht="15" hidden="true" customHeight="true" outlineLevel="0" collapsed="false">
      <c r="A873" s="142" t="str">
        <f aca="false">IF(B873="","","TR"&amp;TEXT(ROW()-1,"000"))</f>
        <v/>
      </c>
      <c r="E873" s="130" t="str">
        <f aca="false">IF($O873="✓","✓",IF(ISNUMBER($O873),TEXT($O873,"yyyy-mm-dd"),IF($A873="","",IF(SUMPRODUCT(('Formation Initiale'!$A$2:$A$999=$A873)*('Formation Initiale'!$R$2:$R$999="Terminé"))&gt;0,"✓",IF(SUMPRODUCT(MAX(('Formation Initiale'!$A$2:$A$999=$A873)*'Formation Initiale'!$G$2:$G$999))&gt;0,TEXT(SUMPRODUCT(MAX(('Formation Initiale'!$A$2:$A$999=$A873)*'Formation Initiale'!$G$2:$G$999)),"yyyy-mm-dd"),"")))))</f>
        <v/>
      </c>
      <c r="F873" s="131" t="str">
        <f aca="false">IF($P873="✓","✓",IF(ISNUMBER($P873),TEXT($P873,"yyyy-mm-dd"),IF($A873="","",IF($D873="Lisbonne","",IF(SUMPRODUCT(('Formation Initiale'!$A$2:$A$999=$A873)*('Formation Initiale'!$R$2:$R$999="Terminé"))&gt;0,"✓",IF(SUMPRODUCT(MAX(('Formation Initiale'!$A$2:$A$999=$A873)*'Formation Initiale'!$G$2:$G$999))&gt;0,TEXT(SUMPRODUCT(MAX(('Formation Initiale'!$A$2:$A$999=$A873)*'Formation Initiale'!$G$2:$G$999)),"yyyy-mm-dd"),""))))))</f>
        <v/>
      </c>
      <c r="G873" s="131" t="str">
        <f aca="false">IF($Q873="✓","✓",IF(ISNUMBER($Q873),TEXT($Q873,"yyyy-mm-dd"),IF($A873="","",IF(SUMPRODUCT(('Agences &amp; Après-vente'!$A$2:$A$1000=$A873)*(('Agences &amp; Après-vente'!$D$2:$D$1000="Agences")+('Agences &amp; Après-vente'!$D$2:$D$1000="Agences et Après-vente"))*('Agences &amp; Après-vente'!$I$2:$I$1000="DONE"))&gt;0,"✓",IF(SUMPRODUCT(MAX(('Agences &amp; Après-vente'!$A$2:$A$1000=$A873)*(('Agences &amp; Après-vente'!$D$2:$D$1000="Agences")+('Agences &amp; Après-vente'!$D$2:$D$1000="Agences et Après-vente"))*'Agences &amp; Après-vente'!$E$2:$E$1000))&gt;0,TEXT(SUMPRODUCT(MAX(('Agences &amp; Après-vente'!$A$2:$A$1000=$A873)*(('Agences &amp; Après-vente'!$D$2:$D$1000="Agences")+('Agences &amp; Après-vente'!$D$2:$D$1000="Agences et Après-vente"))*'Agences &amp; Après-vente'!$E$2:$E$1000)),"yyyy-mm-dd"),"")))))</f>
        <v/>
      </c>
      <c r="H873" s="131" t="str">
        <f aca="false">IF($R873="✓","✓",IF(ISNUMBER($R873),TEXT($R873,"yyyy-mm-dd"),IF($A873="","",IF($D873="Lisbonne","",IF(SUMPRODUCT(('Agences &amp; Après-vente'!$A$2:$A$1000=$A873)*(('Agences &amp; Après-vente'!$D$2:$D$1000="Agences")+('Agences &amp; Après-vente'!$D$2:$D$1000="Agences et Après-vente"))*('Agences &amp; Après-vente'!$I$2:$I$1000="DONE"))&gt;0,"✓",IF(SUMPRODUCT(MAX(('Agences &amp; Après-vente'!$A$2:$A$1000=$A873)*(('Agences &amp; Après-vente'!$D$2:$D$1000="Agences")+('Agences &amp; Après-vente'!$D$2:$D$1000="Agences et Après-vente"))*'Agences &amp; Après-vente'!$E$2:$E$1000))&gt;0,TEXT(SUMPRODUCT(MAX(('Agences &amp; Après-vente'!$A$2:$A$1000=$A873)*(('Agences &amp; Après-vente'!$D$2:$D$1000="Agences")+('Agences &amp; Après-vente'!$D$2:$D$1000="Agences et Après-vente"))*'Agences &amp; Après-vente'!$E$2:$E$1000)),"yyyy-mm-dd"),""))))))</f>
        <v/>
      </c>
      <c r="I873" s="131" t="str">
        <f aca="false">IF($S873="✓","✓",IF(ISNUMBER($S873),TEXT($S873,"yyyy-mm-dd"),IF($A873="","",IF(SUMPRODUCT(('Agences &amp; Après-vente'!$A$2:$A$1000=$A873)*(('Agences &amp; Après-vente'!$D$2:$D$1000="Après-vente")+('Agences &amp; Après-vente'!$D$2:$D$1000="Agences et Après-vente"))*('Agences &amp; Après-vente'!$I$2:$I$1000="DONE"))&gt;0,"✓",IF(SUMPRODUCT(MAX(('Agences &amp; Après-vente'!$A$2:$A$1000=$A873)*(('Agences &amp; Après-vente'!$D$2:$D$1000="Après-vente")+('Agences &amp; Après-vente'!$D$2:$D$1000="Agences et Après-vente"))*'Agences &amp; Après-vente'!$E$2:$E$1000))&gt;0,TEXT(SUMPRODUCT(MAX(('Agences &amp; Après-vente'!$A$2:$A$1000=$A873)*(('Agences &amp; Après-vente'!$D$2:$D$1000="Après-vente")+('Agences &amp; Après-vente'!$D$2:$D$1000="Agences et Après-vente"))*'Agences &amp; Après-vente'!$E$2:$E$1000)),"yyyy-mm-dd"),"")))))</f>
        <v/>
      </c>
      <c r="J873" s="131" t="str">
        <f aca="false">IF($T873="✓","✓",IF(ISNUMBER($T873),TEXT($T873,"yyyy-mm-dd"),IF($A873="","",IF($D873="Lisbonne","",IF(SUMPRODUCT(('Agences &amp; Après-vente'!$A$2:$A$1000=$A873)*(('Agences &amp; Après-vente'!$D$2:$D$1000="Après-vente")+('Agences &amp; Après-vente'!$D$2:$D$1000="Agences et Après-vente"))*('Agences &amp; Après-vente'!$I$2:$I$1000="DONE"))&gt;0,"✓",IF(SUMPRODUCT(MAX(('Agences &amp; Après-vente'!$A$2:$A$1000=$A873)*(('Agences &amp; Après-vente'!$D$2:$D$1000="Après-vente")+('Agences &amp; Après-vente'!$D$2:$D$1000="Agences et Après-vente"))*'Agences &amp; Après-vente'!$E$2:$E$1000))&gt;0,TEXT(SUMPRODUCT(MAX(('Agences &amp; Après-vente'!$A$2:$A$1000=$A873)*(('Agences &amp; Après-vente'!$D$2:$D$1000="Après-vente")+('Agences &amp; Après-vente'!$D$2:$D$1000="Agences et Après-vente"))*'Agences &amp; Après-vente'!$E$2:$E$1000)),"yyyy-mm-dd"),""))))))</f>
        <v/>
      </c>
      <c r="K873" s="131" t="str">
        <f aca="false">IF($U873="✓","✓",IF(ISNUMBER($U873),TEXT($U873,"yyyy-mm-dd"),IF($D873="Lisbonne","",IF($A873="","",IF(SUMPRODUCT((Evermont!$A$2:$A$1000=$A873)*(Evermont!$Q$2:$Q$1000="Terminé"))&gt;0,"✓",IF(SUMPRODUCT(MAX((Evermont!$A$2:$A$1000=$A873)*Evermont!$F$2:$F$1000))&gt;0,TEXT(SUMPRODUCT(MAX((Evermont!$A$2:$A$1000=$A873)*Evermont!$F$2:$F$1000)),"yyyy-mm-dd"),""))))))</f>
        <v/>
      </c>
      <c r="L873" s="131" t="str">
        <f aca="false">IF($A873="","",COUNTIF(E873:K873,"✓"))</f>
        <v/>
      </c>
      <c r="M873" s="131" t="str">
        <f aca="false">IF(B873="","","Active")</f>
        <v/>
      </c>
      <c r="W873" s="120" t="str">
        <f aca="false">IF($A873="","",IF($X873&lt;&gt;"",$X873,IFERROR(INDEX('Formation Initiale'!$B$2:$B$999,MATCH($A873,'Formation Initiale'!$A$2:$A$999,0)),"Général")))</f>
        <v/>
      </c>
    </row>
    <row r="874" customFormat="false" ht="15" hidden="true" customHeight="true" outlineLevel="0" collapsed="false">
      <c r="A874" s="142" t="str">
        <f aca="false">IF(B874="","","TR"&amp;TEXT(ROW()-1,"000"))</f>
        <v/>
      </c>
      <c r="E874" s="130" t="str">
        <f aca="false">IF($O874="✓","✓",IF(ISNUMBER($O874),TEXT($O874,"yyyy-mm-dd"),IF($A874="","",IF(SUMPRODUCT(('Formation Initiale'!$A$2:$A$999=$A874)*('Formation Initiale'!$R$2:$R$999="Terminé"))&gt;0,"✓",IF(SUMPRODUCT(MAX(('Formation Initiale'!$A$2:$A$999=$A874)*'Formation Initiale'!$G$2:$G$999))&gt;0,TEXT(SUMPRODUCT(MAX(('Formation Initiale'!$A$2:$A$999=$A874)*'Formation Initiale'!$G$2:$G$999)),"yyyy-mm-dd"),"")))))</f>
        <v/>
      </c>
      <c r="F874" s="131" t="str">
        <f aca="false">IF($P874="✓","✓",IF(ISNUMBER($P874),TEXT($P874,"yyyy-mm-dd"),IF($A874="","",IF($D874="Lisbonne","",IF(SUMPRODUCT(('Formation Initiale'!$A$2:$A$999=$A874)*('Formation Initiale'!$R$2:$R$999="Terminé"))&gt;0,"✓",IF(SUMPRODUCT(MAX(('Formation Initiale'!$A$2:$A$999=$A874)*'Formation Initiale'!$G$2:$G$999))&gt;0,TEXT(SUMPRODUCT(MAX(('Formation Initiale'!$A$2:$A$999=$A874)*'Formation Initiale'!$G$2:$G$999)),"yyyy-mm-dd"),""))))))</f>
        <v/>
      </c>
      <c r="G874" s="131" t="str">
        <f aca="false">IF($Q874="✓","✓",IF(ISNUMBER($Q874),TEXT($Q874,"yyyy-mm-dd"),IF($A874="","",IF(SUMPRODUCT(('Agences &amp; Après-vente'!$A$2:$A$1000=$A874)*(('Agences &amp; Après-vente'!$D$2:$D$1000="Agences")+('Agences &amp; Après-vente'!$D$2:$D$1000="Agences et Après-vente"))*('Agences &amp; Après-vente'!$I$2:$I$1000="DONE"))&gt;0,"✓",IF(SUMPRODUCT(MAX(('Agences &amp; Après-vente'!$A$2:$A$1000=$A874)*(('Agences &amp; Après-vente'!$D$2:$D$1000="Agences")+('Agences &amp; Après-vente'!$D$2:$D$1000="Agences et Après-vente"))*'Agences &amp; Après-vente'!$E$2:$E$1000))&gt;0,TEXT(SUMPRODUCT(MAX(('Agences &amp; Après-vente'!$A$2:$A$1000=$A874)*(('Agences &amp; Après-vente'!$D$2:$D$1000="Agences")+('Agences &amp; Après-vente'!$D$2:$D$1000="Agences et Après-vente"))*'Agences &amp; Après-vente'!$E$2:$E$1000)),"yyyy-mm-dd"),"")))))</f>
        <v/>
      </c>
      <c r="H874" s="131" t="str">
        <f aca="false">IF($R874="✓","✓",IF(ISNUMBER($R874),TEXT($R874,"yyyy-mm-dd"),IF($A874="","",IF($D874="Lisbonne","",IF(SUMPRODUCT(('Agences &amp; Après-vente'!$A$2:$A$1000=$A874)*(('Agences &amp; Après-vente'!$D$2:$D$1000="Agences")+('Agences &amp; Après-vente'!$D$2:$D$1000="Agences et Après-vente"))*('Agences &amp; Après-vente'!$I$2:$I$1000="DONE"))&gt;0,"✓",IF(SUMPRODUCT(MAX(('Agences &amp; Après-vente'!$A$2:$A$1000=$A874)*(('Agences &amp; Après-vente'!$D$2:$D$1000="Agences")+('Agences &amp; Après-vente'!$D$2:$D$1000="Agences et Après-vente"))*'Agences &amp; Après-vente'!$E$2:$E$1000))&gt;0,TEXT(SUMPRODUCT(MAX(('Agences &amp; Après-vente'!$A$2:$A$1000=$A874)*(('Agences &amp; Après-vente'!$D$2:$D$1000="Agences")+('Agences &amp; Après-vente'!$D$2:$D$1000="Agences et Après-vente"))*'Agences &amp; Après-vente'!$E$2:$E$1000)),"yyyy-mm-dd"),""))))))</f>
        <v/>
      </c>
      <c r="I874" s="131" t="str">
        <f aca="false">IF($S874="✓","✓",IF(ISNUMBER($S874),TEXT($S874,"yyyy-mm-dd"),IF($A874="","",IF(SUMPRODUCT(('Agences &amp; Après-vente'!$A$2:$A$1000=$A874)*(('Agences &amp; Après-vente'!$D$2:$D$1000="Après-vente")+('Agences &amp; Après-vente'!$D$2:$D$1000="Agences et Après-vente"))*('Agences &amp; Après-vente'!$I$2:$I$1000="DONE"))&gt;0,"✓",IF(SUMPRODUCT(MAX(('Agences &amp; Après-vente'!$A$2:$A$1000=$A874)*(('Agences &amp; Après-vente'!$D$2:$D$1000="Après-vente")+('Agences &amp; Après-vente'!$D$2:$D$1000="Agences et Après-vente"))*'Agences &amp; Après-vente'!$E$2:$E$1000))&gt;0,TEXT(SUMPRODUCT(MAX(('Agences &amp; Après-vente'!$A$2:$A$1000=$A874)*(('Agences &amp; Après-vente'!$D$2:$D$1000="Après-vente")+('Agences &amp; Après-vente'!$D$2:$D$1000="Agences et Après-vente"))*'Agences &amp; Après-vente'!$E$2:$E$1000)),"yyyy-mm-dd"),"")))))</f>
        <v/>
      </c>
      <c r="J874" s="131" t="str">
        <f aca="false">IF($T874="✓","✓",IF(ISNUMBER($T874),TEXT($T874,"yyyy-mm-dd"),IF($A874="","",IF($D874="Lisbonne","",IF(SUMPRODUCT(('Agences &amp; Après-vente'!$A$2:$A$1000=$A874)*(('Agences &amp; Après-vente'!$D$2:$D$1000="Après-vente")+('Agences &amp; Après-vente'!$D$2:$D$1000="Agences et Après-vente"))*('Agences &amp; Après-vente'!$I$2:$I$1000="DONE"))&gt;0,"✓",IF(SUMPRODUCT(MAX(('Agences &amp; Après-vente'!$A$2:$A$1000=$A874)*(('Agences &amp; Après-vente'!$D$2:$D$1000="Après-vente")+('Agences &amp; Après-vente'!$D$2:$D$1000="Agences et Après-vente"))*'Agences &amp; Après-vente'!$E$2:$E$1000))&gt;0,TEXT(SUMPRODUCT(MAX(('Agences &amp; Après-vente'!$A$2:$A$1000=$A874)*(('Agences &amp; Après-vente'!$D$2:$D$1000="Après-vente")+('Agences &amp; Après-vente'!$D$2:$D$1000="Agences et Après-vente"))*'Agences &amp; Après-vente'!$E$2:$E$1000)),"yyyy-mm-dd"),""))))))</f>
        <v/>
      </c>
      <c r="K874" s="131" t="str">
        <f aca="false">IF($U874="✓","✓",IF(ISNUMBER($U874),TEXT($U874,"yyyy-mm-dd"),IF($D874="Lisbonne","",IF($A874="","",IF(SUMPRODUCT((Evermont!$A$2:$A$1000=$A874)*(Evermont!$Q$2:$Q$1000="Terminé"))&gt;0,"✓",IF(SUMPRODUCT(MAX((Evermont!$A$2:$A$1000=$A874)*Evermont!$F$2:$F$1000))&gt;0,TEXT(SUMPRODUCT(MAX((Evermont!$A$2:$A$1000=$A874)*Evermont!$F$2:$F$1000)),"yyyy-mm-dd"),""))))))</f>
        <v/>
      </c>
      <c r="L874" s="131" t="str">
        <f aca="false">IF($A874="","",COUNTIF(E874:K874,"✓"))</f>
        <v/>
      </c>
      <c r="M874" s="131" t="str">
        <f aca="false">IF(B874="","","Active")</f>
        <v/>
      </c>
      <c r="W874" s="120" t="str">
        <f aca="false">IF($A874="","",IF($X874&lt;&gt;"",$X874,IFERROR(INDEX('Formation Initiale'!$B$2:$B$999,MATCH($A874,'Formation Initiale'!$A$2:$A$999,0)),"Général")))</f>
        <v/>
      </c>
    </row>
    <row r="875" customFormat="false" ht="15" hidden="true" customHeight="true" outlineLevel="0" collapsed="false">
      <c r="A875" s="142" t="str">
        <f aca="false">IF(B875="","","TR"&amp;TEXT(ROW()-1,"000"))</f>
        <v/>
      </c>
      <c r="E875" s="130" t="str">
        <f aca="false">IF($O875="✓","✓",IF(ISNUMBER($O875),TEXT($O875,"yyyy-mm-dd"),IF($A875="","",IF(SUMPRODUCT(('Formation Initiale'!$A$2:$A$999=$A875)*('Formation Initiale'!$R$2:$R$999="Terminé"))&gt;0,"✓",IF(SUMPRODUCT(MAX(('Formation Initiale'!$A$2:$A$999=$A875)*'Formation Initiale'!$G$2:$G$999))&gt;0,TEXT(SUMPRODUCT(MAX(('Formation Initiale'!$A$2:$A$999=$A875)*'Formation Initiale'!$G$2:$G$999)),"yyyy-mm-dd"),"")))))</f>
        <v/>
      </c>
      <c r="F875" s="131" t="str">
        <f aca="false">IF($P875="✓","✓",IF(ISNUMBER($P875),TEXT($P875,"yyyy-mm-dd"),IF($A875="","",IF($D875="Lisbonne","",IF(SUMPRODUCT(('Formation Initiale'!$A$2:$A$999=$A875)*('Formation Initiale'!$R$2:$R$999="Terminé"))&gt;0,"✓",IF(SUMPRODUCT(MAX(('Formation Initiale'!$A$2:$A$999=$A875)*'Formation Initiale'!$G$2:$G$999))&gt;0,TEXT(SUMPRODUCT(MAX(('Formation Initiale'!$A$2:$A$999=$A875)*'Formation Initiale'!$G$2:$G$999)),"yyyy-mm-dd"),""))))))</f>
        <v/>
      </c>
      <c r="G875" s="131" t="str">
        <f aca="false">IF($Q875="✓","✓",IF(ISNUMBER($Q875),TEXT($Q875,"yyyy-mm-dd"),IF($A875="","",IF(SUMPRODUCT(('Agences &amp; Après-vente'!$A$2:$A$1000=$A875)*(('Agences &amp; Après-vente'!$D$2:$D$1000="Agences")+('Agences &amp; Après-vente'!$D$2:$D$1000="Agences et Après-vente"))*('Agences &amp; Après-vente'!$I$2:$I$1000="DONE"))&gt;0,"✓",IF(SUMPRODUCT(MAX(('Agences &amp; Après-vente'!$A$2:$A$1000=$A875)*(('Agences &amp; Après-vente'!$D$2:$D$1000="Agences")+('Agences &amp; Après-vente'!$D$2:$D$1000="Agences et Après-vente"))*'Agences &amp; Après-vente'!$E$2:$E$1000))&gt;0,TEXT(SUMPRODUCT(MAX(('Agences &amp; Après-vente'!$A$2:$A$1000=$A875)*(('Agences &amp; Après-vente'!$D$2:$D$1000="Agences")+('Agences &amp; Après-vente'!$D$2:$D$1000="Agences et Après-vente"))*'Agences &amp; Après-vente'!$E$2:$E$1000)),"yyyy-mm-dd"),"")))))</f>
        <v/>
      </c>
      <c r="H875" s="131" t="str">
        <f aca="false">IF($R875="✓","✓",IF(ISNUMBER($R875),TEXT($R875,"yyyy-mm-dd"),IF($A875="","",IF($D875="Lisbonne","",IF(SUMPRODUCT(('Agences &amp; Après-vente'!$A$2:$A$1000=$A875)*(('Agences &amp; Après-vente'!$D$2:$D$1000="Agences")+('Agences &amp; Après-vente'!$D$2:$D$1000="Agences et Après-vente"))*('Agences &amp; Après-vente'!$I$2:$I$1000="DONE"))&gt;0,"✓",IF(SUMPRODUCT(MAX(('Agences &amp; Après-vente'!$A$2:$A$1000=$A875)*(('Agences &amp; Après-vente'!$D$2:$D$1000="Agences")+('Agences &amp; Après-vente'!$D$2:$D$1000="Agences et Après-vente"))*'Agences &amp; Après-vente'!$E$2:$E$1000))&gt;0,TEXT(SUMPRODUCT(MAX(('Agences &amp; Après-vente'!$A$2:$A$1000=$A875)*(('Agences &amp; Après-vente'!$D$2:$D$1000="Agences")+('Agences &amp; Après-vente'!$D$2:$D$1000="Agences et Après-vente"))*'Agences &amp; Après-vente'!$E$2:$E$1000)),"yyyy-mm-dd"),""))))))</f>
        <v/>
      </c>
      <c r="I875" s="131" t="str">
        <f aca="false">IF($S875="✓","✓",IF(ISNUMBER($S875),TEXT($S875,"yyyy-mm-dd"),IF($A875="","",IF(SUMPRODUCT(('Agences &amp; Après-vente'!$A$2:$A$1000=$A875)*(('Agences &amp; Après-vente'!$D$2:$D$1000="Après-vente")+('Agences &amp; Après-vente'!$D$2:$D$1000="Agences et Après-vente"))*('Agences &amp; Après-vente'!$I$2:$I$1000="DONE"))&gt;0,"✓",IF(SUMPRODUCT(MAX(('Agences &amp; Après-vente'!$A$2:$A$1000=$A875)*(('Agences &amp; Après-vente'!$D$2:$D$1000="Après-vente")+('Agences &amp; Après-vente'!$D$2:$D$1000="Agences et Après-vente"))*'Agences &amp; Après-vente'!$E$2:$E$1000))&gt;0,TEXT(SUMPRODUCT(MAX(('Agences &amp; Après-vente'!$A$2:$A$1000=$A875)*(('Agences &amp; Après-vente'!$D$2:$D$1000="Après-vente")+('Agences &amp; Après-vente'!$D$2:$D$1000="Agences et Après-vente"))*'Agences &amp; Après-vente'!$E$2:$E$1000)),"yyyy-mm-dd"),"")))))</f>
        <v/>
      </c>
      <c r="J875" s="131" t="str">
        <f aca="false">IF($T875="✓","✓",IF(ISNUMBER($T875),TEXT($T875,"yyyy-mm-dd"),IF($A875="","",IF($D875="Lisbonne","",IF(SUMPRODUCT(('Agences &amp; Après-vente'!$A$2:$A$1000=$A875)*(('Agences &amp; Après-vente'!$D$2:$D$1000="Après-vente")+('Agences &amp; Après-vente'!$D$2:$D$1000="Agences et Après-vente"))*('Agences &amp; Après-vente'!$I$2:$I$1000="DONE"))&gt;0,"✓",IF(SUMPRODUCT(MAX(('Agences &amp; Après-vente'!$A$2:$A$1000=$A875)*(('Agences &amp; Après-vente'!$D$2:$D$1000="Après-vente")+('Agences &amp; Après-vente'!$D$2:$D$1000="Agences et Après-vente"))*'Agences &amp; Après-vente'!$E$2:$E$1000))&gt;0,TEXT(SUMPRODUCT(MAX(('Agences &amp; Après-vente'!$A$2:$A$1000=$A875)*(('Agences &amp; Après-vente'!$D$2:$D$1000="Après-vente")+('Agences &amp; Après-vente'!$D$2:$D$1000="Agences et Après-vente"))*'Agences &amp; Après-vente'!$E$2:$E$1000)),"yyyy-mm-dd"),""))))))</f>
        <v/>
      </c>
      <c r="K875" s="131" t="str">
        <f aca="false">IF($U875="✓","✓",IF(ISNUMBER($U875),TEXT($U875,"yyyy-mm-dd"),IF($D875="Lisbonne","",IF($A875="","",IF(SUMPRODUCT((Evermont!$A$2:$A$1000=$A875)*(Evermont!$Q$2:$Q$1000="Terminé"))&gt;0,"✓",IF(SUMPRODUCT(MAX((Evermont!$A$2:$A$1000=$A875)*Evermont!$F$2:$F$1000))&gt;0,TEXT(SUMPRODUCT(MAX((Evermont!$A$2:$A$1000=$A875)*Evermont!$F$2:$F$1000)),"yyyy-mm-dd"),""))))))</f>
        <v/>
      </c>
      <c r="L875" s="131" t="str">
        <f aca="false">IF($A875="","",COUNTIF(E875:K875,"✓"))</f>
        <v/>
      </c>
      <c r="M875" s="131" t="str">
        <f aca="false">IF(B875="","","Active")</f>
        <v/>
      </c>
      <c r="W875" s="120" t="str">
        <f aca="false">IF($A875="","",IF($X875&lt;&gt;"",$X875,IFERROR(INDEX('Formation Initiale'!$B$2:$B$999,MATCH($A875,'Formation Initiale'!$A$2:$A$999,0)),"Général")))</f>
        <v/>
      </c>
    </row>
    <row r="876" customFormat="false" ht="15" hidden="true" customHeight="true" outlineLevel="0" collapsed="false">
      <c r="A876" s="142" t="str">
        <f aca="false">IF(B876="","","TR"&amp;TEXT(ROW()-1,"000"))</f>
        <v/>
      </c>
      <c r="E876" s="130" t="str">
        <f aca="false">IF($O876="✓","✓",IF(ISNUMBER($O876),TEXT($O876,"yyyy-mm-dd"),IF($A876="","",IF(SUMPRODUCT(('Formation Initiale'!$A$2:$A$999=$A876)*('Formation Initiale'!$R$2:$R$999="Terminé"))&gt;0,"✓",IF(SUMPRODUCT(MAX(('Formation Initiale'!$A$2:$A$999=$A876)*'Formation Initiale'!$G$2:$G$999))&gt;0,TEXT(SUMPRODUCT(MAX(('Formation Initiale'!$A$2:$A$999=$A876)*'Formation Initiale'!$G$2:$G$999)),"yyyy-mm-dd"),"")))))</f>
        <v/>
      </c>
      <c r="F876" s="131" t="str">
        <f aca="false">IF($P876="✓","✓",IF(ISNUMBER($P876),TEXT($P876,"yyyy-mm-dd"),IF($A876="","",IF($D876="Lisbonne","",IF(SUMPRODUCT(('Formation Initiale'!$A$2:$A$999=$A876)*('Formation Initiale'!$R$2:$R$999="Terminé"))&gt;0,"✓",IF(SUMPRODUCT(MAX(('Formation Initiale'!$A$2:$A$999=$A876)*'Formation Initiale'!$G$2:$G$999))&gt;0,TEXT(SUMPRODUCT(MAX(('Formation Initiale'!$A$2:$A$999=$A876)*'Formation Initiale'!$G$2:$G$999)),"yyyy-mm-dd"),""))))))</f>
        <v/>
      </c>
      <c r="G876" s="131" t="str">
        <f aca="false">IF($Q876="✓","✓",IF(ISNUMBER($Q876),TEXT($Q876,"yyyy-mm-dd"),IF($A876="","",IF(SUMPRODUCT(('Agences &amp; Après-vente'!$A$2:$A$1000=$A876)*(('Agences &amp; Après-vente'!$D$2:$D$1000="Agences")+('Agences &amp; Après-vente'!$D$2:$D$1000="Agences et Après-vente"))*('Agences &amp; Après-vente'!$I$2:$I$1000="DONE"))&gt;0,"✓",IF(SUMPRODUCT(MAX(('Agences &amp; Après-vente'!$A$2:$A$1000=$A876)*(('Agences &amp; Après-vente'!$D$2:$D$1000="Agences")+('Agences &amp; Après-vente'!$D$2:$D$1000="Agences et Après-vente"))*'Agences &amp; Après-vente'!$E$2:$E$1000))&gt;0,TEXT(SUMPRODUCT(MAX(('Agences &amp; Après-vente'!$A$2:$A$1000=$A876)*(('Agences &amp; Après-vente'!$D$2:$D$1000="Agences")+('Agences &amp; Après-vente'!$D$2:$D$1000="Agences et Après-vente"))*'Agences &amp; Après-vente'!$E$2:$E$1000)),"yyyy-mm-dd"),"")))))</f>
        <v/>
      </c>
      <c r="H876" s="131" t="str">
        <f aca="false">IF($R876="✓","✓",IF(ISNUMBER($R876),TEXT($R876,"yyyy-mm-dd"),IF($A876="","",IF($D876="Lisbonne","",IF(SUMPRODUCT(('Agences &amp; Après-vente'!$A$2:$A$1000=$A876)*(('Agences &amp; Après-vente'!$D$2:$D$1000="Agences")+('Agences &amp; Après-vente'!$D$2:$D$1000="Agences et Après-vente"))*('Agences &amp; Après-vente'!$I$2:$I$1000="DONE"))&gt;0,"✓",IF(SUMPRODUCT(MAX(('Agences &amp; Après-vente'!$A$2:$A$1000=$A876)*(('Agences &amp; Après-vente'!$D$2:$D$1000="Agences")+('Agences &amp; Après-vente'!$D$2:$D$1000="Agences et Après-vente"))*'Agences &amp; Après-vente'!$E$2:$E$1000))&gt;0,TEXT(SUMPRODUCT(MAX(('Agences &amp; Après-vente'!$A$2:$A$1000=$A876)*(('Agences &amp; Après-vente'!$D$2:$D$1000="Agences")+('Agences &amp; Après-vente'!$D$2:$D$1000="Agences et Après-vente"))*'Agences &amp; Après-vente'!$E$2:$E$1000)),"yyyy-mm-dd"),""))))))</f>
        <v/>
      </c>
      <c r="I876" s="131" t="str">
        <f aca="false">IF($S876="✓","✓",IF(ISNUMBER($S876),TEXT($S876,"yyyy-mm-dd"),IF($A876="","",IF(SUMPRODUCT(('Agences &amp; Après-vente'!$A$2:$A$1000=$A876)*(('Agences &amp; Après-vente'!$D$2:$D$1000="Après-vente")+('Agences &amp; Après-vente'!$D$2:$D$1000="Agences et Après-vente"))*('Agences &amp; Après-vente'!$I$2:$I$1000="DONE"))&gt;0,"✓",IF(SUMPRODUCT(MAX(('Agences &amp; Après-vente'!$A$2:$A$1000=$A876)*(('Agences &amp; Après-vente'!$D$2:$D$1000="Après-vente")+('Agences &amp; Après-vente'!$D$2:$D$1000="Agences et Après-vente"))*'Agences &amp; Après-vente'!$E$2:$E$1000))&gt;0,TEXT(SUMPRODUCT(MAX(('Agences &amp; Après-vente'!$A$2:$A$1000=$A876)*(('Agences &amp; Après-vente'!$D$2:$D$1000="Après-vente")+('Agences &amp; Après-vente'!$D$2:$D$1000="Agences et Après-vente"))*'Agences &amp; Après-vente'!$E$2:$E$1000)),"yyyy-mm-dd"),"")))))</f>
        <v/>
      </c>
      <c r="J876" s="131" t="str">
        <f aca="false">IF($T876="✓","✓",IF(ISNUMBER($T876),TEXT($T876,"yyyy-mm-dd"),IF($A876="","",IF($D876="Lisbonne","",IF(SUMPRODUCT(('Agences &amp; Après-vente'!$A$2:$A$1000=$A876)*(('Agences &amp; Après-vente'!$D$2:$D$1000="Après-vente")+('Agences &amp; Après-vente'!$D$2:$D$1000="Agences et Après-vente"))*('Agences &amp; Après-vente'!$I$2:$I$1000="DONE"))&gt;0,"✓",IF(SUMPRODUCT(MAX(('Agences &amp; Après-vente'!$A$2:$A$1000=$A876)*(('Agences &amp; Après-vente'!$D$2:$D$1000="Après-vente")+('Agences &amp; Après-vente'!$D$2:$D$1000="Agences et Après-vente"))*'Agences &amp; Après-vente'!$E$2:$E$1000))&gt;0,TEXT(SUMPRODUCT(MAX(('Agences &amp; Après-vente'!$A$2:$A$1000=$A876)*(('Agences &amp; Après-vente'!$D$2:$D$1000="Après-vente")+('Agences &amp; Après-vente'!$D$2:$D$1000="Agences et Après-vente"))*'Agences &amp; Après-vente'!$E$2:$E$1000)),"yyyy-mm-dd"),""))))))</f>
        <v/>
      </c>
      <c r="K876" s="131" t="str">
        <f aca="false">IF($U876="✓","✓",IF(ISNUMBER($U876),TEXT($U876,"yyyy-mm-dd"),IF($D876="Lisbonne","",IF($A876="","",IF(SUMPRODUCT((Evermont!$A$2:$A$1000=$A876)*(Evermont!$Q$2:$Q$1000="Terminé"))&gt;0,"✓",IF(SUMPRODUCT(MAX((Evermont!$A$2:$A$1000=$A876)*Evermont!$F$2:$F$1000))&gt;0,TEXT(SUMPRODUCT(MAX((Evermont!$A$2:$A$1000=$A876)*Evermont!$F$2:$F$1000)),"yyyy-mm-dd"),""))))))</f>
        <v/>
      </c>
      <c r="L876" s="131" t="str">
        <f aca="false">IF($A876="","",COUNTIF(E876:K876,"✓"))</f>
        <v/>
      </c>
      <c r="M876" s="131" t="str">
        <f aca="false">IF(B876="","","Active")</f>
        <v/>
      </c>
      <c r="W876" s="120" t="str">
        <f aca="false">IF($A876="","",IF($X876&lt;&gt;"",$X876,IFERROR(INDEX('Formation Initiale'!$B$2:$B$999,MATCH($A876,'Formation Initiale'!$A$2:$A$999,0)),"Général")))</f>
        <v/>
      </c>
    </row>
    <row r="877" customFormat="false" ht="15" hidden="true" customHeight="true" outlineLevel="0" collapsed="false">
      <c r="A877" s="142" t="str">
        <f aca="false">IF(B877="","","TR"&amp;TEXT(ROW()-1,"000"))</f>
        <v/>
      </c>
      <c r="E877" s="130" t="str">
        <f aca="false">IF($O877="✓","✓",IF(ISNUMBER($O877),TEXT($O877,"yyyy-mm-dd"),IF($A877="","",IF(SUMPRODUCT(('Formation Initiale'!$A$2:$A$999=$A877)*('Formation Initiale'!$R$2:$R$999="Terminé"))&gt;0,"✓",IF(SUMPRODUCT(MAX(('Formation Initiale'!$A$2:$A$999=$A877)*'Formation Initiale'!$G$2:$G$999))&gt;0,TEXT(SUMPRODUCT(MAX(('Formation Initiale'!$A$2:$A$999=$A877)*'Formation Initiale'!$G$2:$G$999)),"yyyy-mm-dd"),"")))))</f>
        <v/>
      </c>
      <c r="F877" s="131" t="str">
        <f aca="false">IF($P877="✓","✓",IF(ISNUMBER($P877),TEXT($P877,"yyyy-mm-dd"),IF($A877="","",IF($D877="Lisbonne","",IF(SUMPRODUCT(('Formation Initiale'!$A$2:$A$999=$A877)*('Formation Initiale'!$R$2:$R$999="Terminé"))&gt;0,"✓",IF(SUMPRODUCT(MAX(('Formation Initiale'!$A$2:$A$999=$A877)*'Formation Initiale'!$G$2:$G$999))&gt;0,TEXT(SUMPRODUCT(MAX(('Formation Initiale'!$A$2:$A$999=$A877)*'Formation Initiale'!$G$2:$G$999)),"yyyy-mm-dd"),""))))))</f>
        <v/>
      </c>
      <c r="G877" s="131" t="str">
        <f aca="false">IF($Q877="✓","✓",IF(ISNUMBER($Q877),TEXT($Q877,"yyyy-mm-dd"),IF($A877="","",IF(SUMPRODUCT(('Agences &amp; Après-vente'!$A$2:$A$1000=$A877)*(('Agences &amp; Après-vente'!$D$2:$D$1000="Agences")+('Agences &amp; Après-vente'!$D$2:$D$1000="Agences et Après-vente"))*('Agences &amp; Après-vente'!$I$2:$I$1000="DONE"))&gt;0,"✓",IF(SUMPRODUCT(MAX(('Agences &amp; Après-vente'!$A$2:$A$1000=$A877)*(('Agences &amp; Après-vente'!$D$2:$D$1000="Agences")+('Agences &amp; Après-vente'!$D$2:$D$1000="Agences et Après-vente"))*'Agences &amp; Après-vente'!$E$2:$E$1000))&gt;0,TEXT(SUMPRODUCT(MAX(('Agences &amp; Après-vente'!$A$2:$A$1000=$A877)*(('Agences &amp; Après-vente'!$D$2:$D$1000="Agences")+('Agences &amp; Après-vente'!$D$2:$D$1000="Agences et Après-vente"))*'Agences &amp; Après-vente'!$E$2:$E$1000)),"yyyy-mm-dd"),"")))))</f>
        <v/>
      </c>
      <c r="H877" s="131" t="str">
        <f aca="false">IF($R877="✓","✓",IF(ISNUMBER($R877),TEXT($R877,"yyyy-mm-dd"),IF($A877="","",IF($D877="Lisbonne","",IF(SUMPRODUCT(('Agences &amp; Après-vente'!$A$2:$A$1000=$A877)*(('Agences &amp; Après-vente'!$D$2:$D$1000="Agences")+('Agences &amp; Après-vente'!$D$2:$D$1000="Agences et Après-vente"))*('Agences &amp; Après-vente'!$I$2:$I$1000="DONE"))&gt;0,"✓",IF(SUMPRODUCT(MAX(('Agences &amp; Après-vente'!$A$2:$A$1000=$A877)*(('Agences &amp; Après-vente'!$D$2:$D$1000="Agences")+('Agences &amp; Après-vente'!$D$2:$D$1000="Agences et Après-vente"))*'Agences &amp; Après-vente'!$E$2:$E$1000))&gt;0,TEXT(SUMPRODUCT(MAX(('Agences &amp; Après-vente'!$A$2:$A$1000=$A877)*(('Agences &amp; Après-vente'!$D$2:$D$1000="Agences")+('Agences &amp; Après-vente'!$D$2:$D$1000="Agences et Après-vente"))*'Agences &amp; Après-vente'!$E$2:$E$1000)),"yyyy-mm-dd"),""))))))</f>
        <v/>
      </c>
      <c r="I877" s="131" t="str">
        <f aca="false">IF($S877="✓","✓",IF(ISNUMBER($S877),TEXT($S877,"yyyy-mm-dd"),IF($A877="","",IF(SUMPRODUCT(('Agences &amp; Après-vente'!$A$2:$A$1000=$A877)*(('Agences &amp; Après-vente'!$D$2:$D$1000="Après-vente")+('Agences &amp; Après-vente'!$D$2:$D$1000="Agences et Après-vente"))*('Agences &amp; Après-vente'!$I$2:$I$1000="DONE"))&gt;0,"✓",IF(SUMPRODUCT(MAX(('Agences &amp; Après-vente'!$A$2:$A$1000=$A877)*(('Agences &amp; Après-vente'!$D$2:$D$1000="Après-vente")+('Agences &amp; Après-vente'!$D$2:$D$1000="Agences et Après-vente"))*'Agences &amp; Après-vente'!$E$2:$E$1000))&gt;0,TEXT(SUMPRODUCT(MAX(('Agences &amp; Après-vente'!$A$2:$A$1000=$A877)*(('Agences &amp; Après-vente'!$D$2:$D$1000="Après-vente")+('Agences &amp; Après-vente'!$D$2:$D$1000="Agences et Après-vente"))*'Agences &amp; Après-vente'!$E$2:$E$1000)),"yyyy-mm-dd"),"")))))</f>
        <v/>
      </c>
      <c r="J877" s="131" t="str">
        <f aca="false">IF($T877="✓","✓",IF(ISNUMBER($T877),TEXT($T877,"yyyy-mm-dd"),IF($A877="","",IF($D877="Lisbonne","",IF(SUMPRODUCT(('Agences &amp; Après-vente'!$A$2:$A$1000=$A877)*(('Agences &amp; Après-vente'!$D$2:$D$1000="Après-vente")+('Agences &amp; Après-vente'!$D$2:$D$1000="Agences et Après-vente"))*('Agences &amp; Après-vente'!$I$2:$I$1000="DONE"))&gt;0,"✓",IF(SUMPRODUCT(MAX(('Agences &amp; Après-vente'!$A$2:$A$1000=$A877)*(('Agences &amp; Après-vente'!$D$2:$D$1000="Après-vente")+('Agences &amp; Après-vente'!$D$2:$D$1000="Agences et Après-vente"))*'Agences &amp; Après-vente'!$E$2:$E$1000))&gt;0,TEXT(SUMPRODUCT(MAX(('Agences &amp; Après-vente'!$A$2:$A$1000=$A877)*(('Agences &amp; Après-vente'!$D$2:$D$1000="Après-vente")+('Agences &amp; Après-vente'!$D$2:$D$1000="Agences et Après-vente"))*'Agences &amp; Après-vente'!$E$2:$E$1000)),"yyyy-mm-dd"),""))))))</f>
        <v/>
      </c>
      <c r="K877" s="131" t="str">
        <f aca="false">IF($U877="✓","✓",IF(ISNUMBER($U877),TEXT($U877,"yyyy-mm-dd"),IF($D877="Lisbonne","",IF($A877="","",IF(SUMPRODUCT((Evermont!$A$2:$A$1000=$A877)*(Evermont!$Q$2:$Q$1000="Terminé"))&gt;0,"✓",IF(SUMPRODUCT(MAX((Evermont!$A$2:$A$1000=$A877)*Evermont!$F$2:$F$1000))&gt;0,TEXT(SUMPRODUCT(MAX((Evermont!$A$2:$A$1000=$A877)*Evermont!$F$2:$F$1000)),"yyyy-mm-dd"),""))))))</f>
        <v/>
      </c>
      <c r="L877" s="131" t="str">
        <f aca="false">IF($A877="","",COUNTIF(E877:K877,"✓"))</f>
        <v/>
      </c>
      <c r="M877" s="131" t="str">
        <f aca="false">IF(B877="","","Active")</f>
        <v/>
      </c>
      <c r="W877" s="120" t="str">
        <f aca="false">IF($A877="","",IF($X877&lt;&gt;"",$X877,IFERROR(INDEX('Formation Initiale'!$B$2:$B$999,MATCH($A877,'Formation Initiale'!$A$2:$A$999,0)),"Général")))</f>
        <v/>
      </c>
    </row>
    <row r="878" customFormat="false" ht="15" hidden="true" customHeight="true" outlineLevel="0" collapsed="false">
      <c r="A878" s="142" t="str">
        <f aca="false">IF(B878="","","TR"&amp;TEXT(ROW()-1,"000"))</f>
        <v/>
      </c>
      <c r="E878" s="130" t="str">
        <f aca="false">IF($O878="✓","✓",IF(ISNUMBER($O878),TEXT($O878,"yyyy-mm-dd"),IF($A878="","",IF(SUMPRODUCT(('Formation Initiale'!$A$2:$A$999=$A878)*('Formation Initiale'!$R$2:$R$999="Terminé"))&gt;0,"✓",IF(SUMPRODUCT(MAX(('Formation Initiale'!$A$2:$A$999=$A878)*'Formation Initiale'!$G$2:$G$999))&gt;0,TEXT(SUMPRODUCT(MAX(('Formation Initiale'!$A$2:$A$999=$A878)*'Formation Initiale'!$G$2:$G$999)),"yyyy-mm-dd"),"")))))</f>
        <v/>
      </c>
      <c r="F878" s="131" t="str">
        <f aca="false">IF($P878="✓","✓",IF(ISNUMBER($P878),TEXT($P878,"yyyy-mm-dd"),IF($A878="","",IF($D878="Lisbonne","",IF(SUMPRODUCT(('Formation Initiale'!$A$2:$A$999=$A878)*('Formation Initiale'!$R$2:$R$999="Terminé"))&gt;0,"✓",IF(SUMPRODUCT(MAX(('Formation Initiale'!$A$2:$A$999=$A878)*'Formation Initiale'!$G$2:$G$999))&gt;0,TEXT(SUMPRODUCT(MAX(('Formation Initiale'!$A$2:$A$999=$A878)*'Formation Initiale'!$G$2:$G$999)),"yyyy-mm-dd"),""))))))</f>
        <v/>
      </c>
      <c r="G878" s="131" t="str">
        <f aca="false">IF($Q878="✓","✓",IF(ISNUMBER($Q878),TEXT($Q878,"yyyy-mm-dd"),IF($A878="","",IF(SUMPRODUCT(('Agences &amp; Après-vente'!$A$2:$A$1000=$A878)*(('Agences &amp; Après-vente'!$D$2:$D$1000="Agences")+('Agences &amp; Après-vente'!$D$2:$D$1000="Agences et Après-vente"))*('Agences &amp; Après-vente'!$I$2:$I$1000="DONE"))&gt;0,"✓",IF(SUMPRODUCT(MAX(('Agences &amp; Après-vente'!$A$2:$A$1000=$A878)*(('Agences &amp; Après-vente'!$D$2:$D$1000="Agences")+('Agences &amp; Après-vente'!$D$2:$D$1000="Agences et Après-vente"))*'Agences &amp; Après-vente'!$E$2:$E$1000))&gt;0,TEXT(SUMPRODUCT(MAX(('Agences &amp; Après-vente'!$A$2:$A$1000=$A878)*(('Agences &amp; Après-vente'!$D$2:$D$1000="Agences")+('Agences &amp; Après-vente'!$D$2:$D$1000="Agences et Après-vente"))*'Agences &amp; Après-vente'!$E$2:$E$1000)),"yyyy-mm-dd"),"")))))</f>
        <v/>
      </c>
      <c r="H878" s="131" t="str">
        <f aca="false">IF($R878="✓","✓",IF(ISNUMBER($R878),TEXT($R878,"yyyy-mm-dd"),IF($A878="","",IF($D878="Lisbonne","",IF(SUMPRODUCT(('Agences &amp; Après-vente'!$A$2:$A$1000=$A878)*(('Agences &amp; Après-vente'!$D$2:$D$1000="Agences")+('Agences &amp; Après-vente'!$D$2:$D$1000="Agences et Après-vente"))*('Agences &amp; Après-vente'!$I$2:$I$1000="DONE"))&gt;0,"✓",IF(SUMPRODUCT(MAX(('Agences &amp; Après-vente'!$A$2:$A$1000=$A878)*(('Agences &amp; Après-vente'!$D$2:$D$1000="Agences")+('Agences &amp; Après-vente'!$D$2:$D$1000="Agences et Après-vente"))*'Agences &amp; Après-vente'!$E$2:$E$1000))&gt;0,TEXT(SUMPRODUCT(MAX(('Agences &amp; Après-vente'!$A$2:$A$1000=$A878)*(('Agences &amp; Après-vente'!$D$2:$D$1000="Agences")+('Agences &amp; Après-vente'!$D$2:$D$1000="Agences et Après-vente"))*'Agences &amp; Après-vente'!$E$2:$E$1000)),"yyyy-mm-dd"),""))))))</f>
        <v/>
      </c>
      <c r="I878" s="131" t="str">
        <f aca="false">IF($S878="✓","✓",IF(ISNUMBER($S878),TEXT($S878,"yyyy-mm-dd"),IF($A878="","",IF(SUMPRODUCT(('Agences &amp; Après-vente'!$A$2:$A$1000=$A878)*(('Agences &amp; Après-vente'!$D$2:$D$1000="Après-vente")+('Agences &amp; Après-vente'!$D$2:$D$1000="Agences et Après-vente"))*('Agences &amp; Après-vente'!$I$2:$I$1000="DONE"))&gt;0,"✓",IF(SUMPRODUCT(MAX(('Agences &amp; Après-vente'!$A$2:$A$1000=$A878)*(('Agences &amp; Après-vente'!$D$2:$D$1000="Après-vente")+('Agences &amp; Après-vente'!$D$2:$D$1000="Agences et Après-vente"))*'Agences &amp; Après-vente'!$E$2:$E$1000))&gt;0,TEXT(SUMPRODUCT(MAX(('Agences &amp; Après-vente'!$A$2:$A$1000=$A878)*(('Agences &amp; Après-vente'!$D$2:$D$1000="Après-vente")+('Agences &amp; Après-vente'!$D$2:$D$1000="Agences et Après-vente"))*'Agences &amp; Après-vente'!$E$2:$E$1000)),"yyyy-mm-dd"),"")))))</f>
        <v/>
      </c>
      <c r="J878" s="131" t="str">
        <f aca="false">IF($T878="✓","✓",IF(ISNUMBER($T878),TEXT($T878,"yyyy-mm-dd"),IF($A878="","",IF($D878="Lisbonne","",IF(SUMPRODUCT(('Agences &amp; Après-vente'!$A$2:$A$1000=$A878)*(('Agences &amp; Après-vente'!$D$2:$D$1000="Après-vente")+('Agences &amp; Après-vente'!$D$2:$D$1000="Agences et Après-vente"))*('Agences &amp; Après-vente'!$I$2:$I$1000="DONE"))&gt;0,"✓",IF(SUMPRODUCT(MAX(('Agences &amp; Après-vente'!$A$2:$A$1000=$A878)*(('Agences &amp; Après-vente'!$D$2:$D$1000="Après-vente")+('Agences &amp; Après-vente'!$D$2:$D$1000="Agences et Après-vente"))*'Agences &amp; Après-vente'!$E$2:$E$1000))&gt;0,TEXT(SUMPRODUCT(MAX(('Agences &amp; Après-vente'!$A$2:$A$1000=$A878)*(('Agences &amp; Après-vente'!$D$2:$D$1000="Après-vente")+('Agences &amp; Après-vente'!$D$2:$D$1000="Agences et Après-vente"))*'Agences &amp; Après-vente'!$E$2:$E$1000)),"yyyy-mm-dd"),""))))))</f>
        <v/>
      </c>
      <c r="K878" s="131" t="str">
        <f aca="false">IF($U878="✓","✓",IF(ISNUMBER($U878),TEXT($U878,"yyyy-mm-dd"),IF($D878="Lisbonne","",IF($A878="","",IF(SUMPRODUCT((Evermont!$A$2:$A$1000=$A878)*(Evermont!$Q$2:$Q$1000="Terminé"))&gt;0,"✓",IF(SUMPRODUCT(MAX((Evermont!$A$2:$A$1000=$A878)*Evermont!$F$2:$F$1000))&gt;0,TEXT(SUMPRODUCT(MAX((Evermont!$A$2:$A$1000=$A878)*Evermont!$F$2:$F$1000)),"yyyy-mm-dd"),""))))))</f>
        <v/>
      </c>
      <c r="L878" s="131" t="str">
        <f aca="false">IF($A878="","",COUNTIF(E878:K878,"✓"))</f>
        <v/>
      </c>
      <c r="M878" s="131" t="str">
        <f aca="false">IF(B878="","","Active")</f>
        <v/>
      </c>
      <c r="W878" s="120" t="str">
        <f aca="false">IF($A878="","",IF($X878&lt;&gt;"",$X878,IFERROR(INDEX('Formation Initiale'!$B$2:$B$999,MATCH($A878,'Formation Initiale'!$A$2:$A$999,0)),"Général")))</f>
        <v/>
      </c>
    </row>
    <row r="879" customFormat="false" ht="15" hidden="true" customHeight="true" outlineLevel="0" collapsed="false">
      <c r="A879" s="142" t="str">
        <f aca="false">IF(B879="","","TR"&amp;TEXT(ROW()-1,"000"))</f>
        <v/>
      </c>
      <c r="E879" s="130" t="str">
        <f aca="false">IF($O879="✓","✓",IF(ISNUMBER($O879),TEXT($O879,"yyyy-mm-dd"),IF($A879="","",IF(SUMPRODUCT(('Formation Initiale'!$A$2:$A$999=$A879)*('Formation Initiale'!$R$2:$R$999="Terminé"))&gt;0,"✓",IF(SUMPRODUCT(MAX(('Formation Initiale'!$A$2:$A$999=$A879)*'Formation Initiale'!$G$2:$G$999))&gt;0,TEXT(SUMPRODUCT(MAX(('Formation Initiale'!$A$2:$A$999=$A879)*'Formation Initiale'!$G$2:$G$999)),"yyyy-mm-dd"),"")))))</f>
        <v/>
      </c>
      <c r="F879" s="131" t="str">
        <f aca="false">IF($P879="✓","✓",IF(ISNUMBER($P879),TEXT($P879,"yyyy-mm-dd"),IF($A879="","",IF($D879="Lisbonne","",IF(SUMPRODUCT(('Formation Initiale'!$A$2:$A$999=$A879)*('Formation Initiale'!$R$2:$R$999="Terminé"))&gt;0,"✓",IF(SUMPRODUCT(MAX(('Formation Initiale'!$A$2:$A$999=$A879)*'Formation Initiale'!$G$2:$G$999))&gt;0,TEXT(SUMPRODUCT(MAX(('Formation Initiale'!$A$2:$A$999=$A879)*'Formation Initiale'!$G$2:$G$999)),"yyyy-mm-dd"),""))))))</f>
        <v/>
      </c>
      <c r="G879" s="131" t="str">
        <f aca="false">IF($Q879="✓","✓",IF(ISNUMBER($Q879),TEXT($Q879,"yyyy-mm-dd"),IF($A879="","",IF(SUMPRODUCT(('Agences &amp; Après-vente'!$A$2:$A$1000=$A879)*(('Agences &amp; Après-vente'!$D$2:$D$1000="Agences")+('Agences &amp; Après-vente'!$D$2:$D$1000="Agences et Après-vente"))*('Agences &amp; Après-vente'!$I$2:$I$1000="DONE"))&gt;0,"✓",IF(SUMPRODUCT(MAX(('Agences &amp; Après-vente'!$A$2:$A$1000=$A879)*(('Agences &amp; Après-vente'!$D$2:$D$1000="Agences")+('Agences &amp; Après-vente'!$D$2:$D$1000="Agences et Après-vente"))*'Agences &amp; Après-vente'!$E$2:$E$1000))&gt;0,TEXT(SUMPRODUCT(MAX(('Agences &amp; Après-vente'!$A$2:$A$1000=$A879)*(('Agences &amp; Après-vente'!$D$2:$D$1000="Agences")+('Agences &amp; Après-vente'!$D$2:$D$1000="Agences et Après-vente"))*'Agences &amp; Après-vente'!$E$2:$E$1000)),"yyyy-mm-dd"),"")))))</f>
        <v/>
      </c>
      <c r="H879" s="131" t="str">
        <f aca="false">IF($R879="✓","✓",IF(ISNUMBER($R879),TEXT($R879,"yyyy-mm-dd"),IF($A879="","",IF($D879="Lisbonne","",IF(SUMPRODUCT(('Agences &amp; Après-vente'!$A$2:$A$1000=$A879)*(('Agences &amp; Après-vente'!$D$2:$D$1000="Agences")+('Agences &amp; Après-vente'!$D$2:$D$1000="Agences et Après-vente"))*('Agences &amp; Après-vente'!$I$2:$I$1000="DONE"))&gt;0,"✓",IF(SUMPRODUCT(MAX(('Agences &amp; Après-vente'!$A$2:$A$1000=$A879)*(('Agences &amp; Après-vente'!$D$2:$D$1000="Agences")+('Agences &amp; Après-vente'!$D$2:$D$1000="Agences et Après-vente"))*'Agences &amp; Après-vente'!$E$2:$E$1000))&gt;0,TEXT(SUMPRODUCT(MAX(('Agences &amp; Après-vente'!$A$2:$A$1000=$A879)*(('Agences &amp; Après-vente'!$D$2:$D$1000="Agences")+('Agences &amp; Après-vente'!$D$2:$D$1000="Agences et Après-vente"))*'Agences &amp; Après-vente'!$E$2:$E$1000)),"yyyy-mm-dd"),""))))))</f>
        <v/>
      </c>
      <c r="I879" s="131" t="str">
        <f aca="false">IF($S879="✓","✓",IF(ISNUMBER($S879),TEXT($S879,"yyyy-mm-dd"),IF($A879="","",IF(SUMPRODUCT(('Agences &amp; Après-vente'!$A$2:$A$1000=$A879)*(('Agences &amp; Après-vente'!$D$2:$D$1000="Après-vente")+('Agences &amp; Après-vente'!$D$2:$D$1000="Agences et Après-vente"))*('Agences &amp; Après-vente'!$I$2:$I$1000="DONE"))&gt;0,"✓",IF(SUMPRODUCT(MAX(('Agences &amp; Après-vente'!$A$2:$A$1000=$A879)*(('Agences &amp; Après-vente'!$D$2:$D$1000="Après-vente")+('Agences &amp; Après-vente'!$D$2:$D$1000="Agences et Après-vente"))*'Agences &amp; Après-vente'!$E$2:$E$1000))&gt;0,TEXT(SUMPRODUCT(MAX(('Agences &amp; Après-vente'!$A$2:$A$1000=$A879)*(('Agences &amp; Après-vente'!$D$2:$D$1000="Après-vente")+('Agences &amp; Après-vente'!$D$2:$D$1000="Agences et Après-vente"))*'Agences &amp; Après-vente'!$E$2:$E$1000)),"yyyy-mm-dd"),"")))))</f>
        <v/>
      </c>
      <c r="J879" s="131" t="str">
        <f aca="false">IF($T879="✓","✓",IF(ISNUMBER($T879),TEXT($T879,"yyyy-mm-dd"),IF($A879="","",IF($D879="Lisbonne","",IF(SUMPRODUCT(('Agences &amp; Après-vente'!$A$2:$A$1000=$A879)*(('Agences &amp; Après-vente'!$D$2:$D$1000="Après-vente")+('Agences &amp; Après-vente'!$D$2:$D$1000="Agences et Après-vente"))*('Agences &amp; Après-vente'!$I$2:$I$1000="DONE"))&gt;0,"✓",IF(SUMPRODUCT(MAX(('Agences &amp; Après-vente'!$A$2:$A$1000=$A879)*(('Agences &amp; Après-vente'!$D$2:$D$1000="Après-vente")+('Agences &amp; Après-vente'!$D$2:$D$1000="Agences et Après-vente"))*'Agences &amp; Après-vente'!$E$2:$E$1000))&gt;0,TEXT(SUMPRODUCT(MAX(('Agences &amp; Après-vente'!$A$2:$A$1000=$A879)*(('Agences &amp; Après-vente'!$D$2:$D$1000="Après-vente")+('Agences &amp; Après-vente'!$D$2:$D$1000="Agences et Après-vente"))*'Agences &amp; Après-vente'!$E$2:$E$1000)),"yyyy-mm-dd"),""))))))</f>
        <v/>
      </c>
      <c r="K879" s="131" t="str">
        <f aca="false">IF($U879="✓","✓",IF(ISNUMBER($U879),TEXT($U879,"yyyy-mm-dd"),IF($D879="Lisbonne","",IF($A879="","",IF(SUMPRODUCT((Evermont!$A$2:$A$1000=$A879)*(Evermont!$Q$2:$Q$1000="Terminé"))&gt;0,"✓",IF(SUMPRODUCT(MAX((Evermont!$A$2:$A$1000=$A879)*Evermont!$F$2:$F$1000))&gt;0,TEXT(SUMPRODUCT(MAX((Evermont!$A$2:$A$1000=$A879)*Evermont!$F$2:$F$1000)),"yyyy-mm-dd"),""))))))</f>
        <v/>
      </c>
      <c r="L879" s="131" t="str">
        <f aca="false">IF($A879="","",COUNTIF(E879:K879,"✓"))</f>
        <v/>
      </c>
      <c r="M879" s="131" t="str">
        <f aca="false">IF(B879="","","Active")</f>
        <v/>
      </c>
      <c r="W879" s="120" t="str">
        <f aca="false">IF($A879="","",IF($X879&lt;&gt;"",$X879,IFERROR(INDEX('Formation Initiale'!$B$2:$B$999,MATCH($A879,'Formation Initiale'!$A$2:$A$999,0)),"Général")))</f>
        <v/>
      </c>
    </row>
    <row r="880" customFormat="false" ht="15" hidden="true" customHeight="true" outlineLevel="0" collapsed="false">
      <c r="A880" s="142" t="str">
        <f aca="false">IF(B880="","","TR"&amp;TEXT(ROW()-1,"000"))</f>
        <v/>
      </c>
      <c r="E880" s="130" t="str">
        <f aca="false">IF($O880="✓","✓",IF(ISNUMBER($O880),TEXT($O880,"yyyy-mm-dd"),IF($A880="","",IF(SUMPRODUCT(('Formation Initiale'!$A$2:$A$999=$A880)*('Formation Initiale'!$R$2:$R$999="Terminé"))&gt;0,"✓",IF(SUMPRODUCT(MAX(('Formation Initiale'!$A$2:$A$999=$A880)*'Formation Initiale'!$G$2:$G$999))&gt;0,TEXT(SUMPRODUCT(MAX(('Formation Initiale'!$A$2:$A$999=$A880)*'Formation Initiale'!$G$2:$G$999)),"yyyy-mm-dd"),"")))))</f>
        <v/>
      </c>
      <c r="F880" s="131" t="str">
        <f aca="false">IF($P880="✓","✓",IF(ISNUMBER($P880),TEXT($P880,"yyyy-mm-dd"),IF($A880="","",IF($D880="Lisbonne","",IF(SUMPRODUCT(('Formation Initiale'!$A$2:$A$999=$A880)*('Formation Initiale'!$R$2:$R$999="Terminé"))&gt;0,"✓",IF(SUMPRODUCT(MAX(('Formation Initiale'!$A$2:$A$999=$A880)*'Formation Initiale'!$G$2:$G$999))&gt;0,TEXT(SUMPRODUCT(MAX(('Formation Initiale'!$A$2:$A$999=$A880)*'Formation Initiale'!$G$2:$G$999)),"yyyy-mm-dd"),""))))))</f>
        <v/>
      </c>
      <c r="G880" s="131" t="str">
        <f aca="false">IF($Q880="✓","✓",IF(ISNUMBER($Q880),TEXT($Q880,"yyyy-mm-dd"),IF($A880="","",IF(SUMPRODUCT(('Agences &amp; Après-vente'!$A$2:$A$1000=$A880)*(('Agences &amp; Après-vente'!$D$2:$D$1000="Agences")+('Agences &amp; Après-vente'!$D$2:$D$1000="Agences et Après-vente"))*('Agences &amp; Après-vente'!$I$2:$I$1000="DONE"))&gt;0,"✓",IF(SUMPRODUCT(MAX(('Agences &amp; Après-vente'!$A$2:$A$1000=$A880)*(('Agences &amp; Après-vente'!$D$2:$D$1000="Agences")+('Agences &amp; Après-vente'!$D$2:$D$1000="Agences et Après-vente"))*'Agences &amp; Après-vente'!$E$2:$E$1000))&gt;0,TEXT(SUMPRODUCT(MAX(('Agences &amp; Après-vente'!$A$2:$A$1000=$A880)*(('Agences &amp; Après-vente'!$D$2:$D$1000="Agences")+('Agences &amp; Après-vente'!$D$2:$D$1000="Agences et Après-vente"))*'Agences &amp; Après-vente'!$E$2:$E$1000)),"yyyy-mm-dd"),"")))))</f>
        <v/>
      </c>
      <c r="H880" s="131" t="str">
        <f aca="false">IF($R880="✓","✓",IF(ISNUMBER($R880),TEXT($R880,"yyyy-mm-dd"),IF($A880="","",IF($D880="Lisbonne","",IF(SUMPRODUCT(('Agences &amp; Après-vente'!$A$2:$A$1000=$A880)*(('Agences &amp; Après-vente'!$D$2:$D$1000="Agences")+('Agences &amp; Après-vente'!$D$2:$D$1000="Agences et Après-vente"))*('Agences &amp; Après-vente'!$I$2:$I$1000="DONE"))&gt;0,"✓",IF(SUMPRODUCT(MAX(('Agences &amp; Après-vente'!$A$2:$A$1000=$A880)*(('Agences &amp; Après-vente'!$D$2:$D$1000="Agences")+('Agences &amp; Après-vente'!$D$2:$D$1000="Agences et Après-vente"))*'Agences &amp; Après-vente'!$E$2:$E$1000))&gt;0,TEXT(SUMPRODUCT(MAX(('Agences &amp; Après-vente'!$A$2:$A$1000=$A880)*(('Agences &amp; Après-vente'!$D$2:$D$1000="Agences")+('Agences &amp; Après-vente'!$D$2:$D$1000="Agences et Après-vente"))*'Agences &amp; Après-vente'!$E$2:$E$1000)),"yyyy-mm-dd"),""))))))</f>
        <v/>
      </c>
      <c r="I880" s="131" t="str">
        <f aca="false">IF($S880="✓","✓",IF(ISNUMBER($S880),TEXT($S880,"yyyy-mm-dd"),IF($A880="","",IF(SUMPRODUCT(('Agences &amp; Après-vente'!$A$2:$A$1000=$A880)*(('Agences &amp; Après-vente'!$D$2:$D$1000="Après-vente")+('Agences &amp; Après-vente'!$D$2:$D$1000="Agences et Après-vente"))*('Agences &amp; Après-vente'!$I$2:$I$1000="DONE"))&gt;0,"✓",IF(SUMPRODUCT(MAX(('Agences &amp; Après-vente'!$A$2:$A$1000=$A880)*(('Agences &amp; Après-vente'!$D$2:$D$1000="Après-vente")+('Agences &amp; Après-vente'!$D$2:$D$1000="Agences et Après-vente"))*'Agences &amp; Après-vente'!$E$2:$E$1000))&gt;0,TEXT(SUMPRODUCT(MAX(('Agences &amp; Après-vente'!$A$2:$A$1000=$A880)*(('Agences &amp; Après-vente'!$D$2:$D$1000="Après-vente")+('Agences &amp; Après-vente'!$D$2:$D$1000="Agences et Après-vente"))*'Agences &amp; Après-vente'!$E$2:$E$1000)),"yyyy-mm-dd"),"")))))</f>
        <v/>
      </c>
      <c r="J880" s="131" t="str">
        <f aca="false">IF($T880="✓","✓",IF(ISNUMBER($T880),TEXT($T880,"yyyy-mm-dd"),IF($A880="","",IF($D880="Lisbonne","",IF(SUMPRODUCT(('Agences &amp; Après-vente'!$A$2:$A$1000=$A880)*(('Agences &amp; Après-vente'!$D$2:$D$1000="Après-vente")+('Agences &amp; Après-vente'!$D$2:$D$1000="Agences et Après-vente"))*('Agences &amp; Après-vente'!$I$2:$I$1000="DONE"))&gt;0,"✓",IF(SUMPRODUCT(MAX(('Agences &amp; Après-vente'!$A$2:$A$1000=$A880)*(('Agences &amp; Après-vente'!$D$2:$D$1000="Après-vente")+('Agences &amp; Après-vente'!$D$2:$D$1000="Agences et Après-vente"))*'Agences &amp; Après-vente'!$E$2:$E$1000))&gt;0,TEXT(SUMPRODUCT(MAX(('Agences &amp; Après-vente'!$A$2:$A$1000=$A880)*(('Agences &amp; Après-vente'!$D$2:$D$1000="Après-vente")+('Agences &amp; Après-vente'!$D$2:$D$1000="Agences et Après-vente"))*'Agences &amp; Après-vente'!$E$2:$E$1000)),"yyyy-mm-dd"),""))))))</f>
        <v/>
      </c>
      <c r="K880" s="131" t="str">
        <f aca="false">IF($U880="✓","✓",IF(ISNUMBER($U880),TEXT($U880,"yyyy-mm-dd"),IF($D880="Lisbonne","",IF($A880="","",IF(SUMPRODUCT((Evermont!$A$2:$A$1000=$A880)*(Evermont!$Q$2:$Q$1000="Terminé"))&gt;0,"✓",IF(SUMPRODUCT(MAX((Evermont!$A$2:$A$1000=$A880)*Evermont!$F$2:$F$1000))&gt;0,TEXT(SUMPRODUCT(MAX((Evermont!$A$2:$A$1000=$A880)*Evermont!$F$2:$F$1000)),"yyyy-mm-dd"),""))))))</f>
        <v/>
      </c>
      <c r="L880" s="131" t="str">
        <f aca="false">IF($A880="","",COUNTIF(E880:K880,"✓"))</f>
        <v/>
      </c>
      <c r="M880" s="131" t="str">
        <f aca="false">IF(B880="","","Active")</f>
        <v/>
      </c>
      <c r="W880" s="120" t="str">
        <f aca="false">IF($A880="","",IF($X880&lt;&gt;"",$X880,IFERROR(INDEX('Formation Initiale'!$B$2:$B$999,MATCH($A880,'Formation Initiale'!$A$2:$A$999,0)),"Général")))</f>
        <v/>
      </c>
    </row>
    <row r="881" customFormat="false" ht="15" hidden="true" customHeight="true" outlineLevel="0" collapsed="false">
      <c r="A881" s="142" t="str">
        <f aca="false">IF(B881="","","TR"&amp;TEXT(ROW()-1,"000"))</f>
        <v/>
      </c>
      <c r="E881" s="130" t="str">
        <f aca="false">IF($O881="✓","✓",IF(ISNUMBER($O881),TEXT($O881,"yyyy-mm-dd"),IF($A881="","",IF(SUMPRODUCT(('Formation Initiale'!$A$2:$A$999=$A881)*('Formation Initiale'!$R$2:$R$999="Terminé"))&gt;0,"✓",IF(SUMPRODUCT(MAX(('Formation Initiale'!$A$2:$A$999=$A881)*'Formation Initiale'!$G$2:$G$999))&gt;0,TEXT(SUMPRODUCT(MAX(('Formation Initiale'!$A$2:$A$999=$A881)*'Formation Initiale'!$G$2:$G$999)),"yyyy-mm-dd"),"")))))</f>
        <v/>
      </c>
      <c r="F881" s="131" t="str">
        <f aca="false">IF($P881="✓","✓",IF(ISNUMBER($P881),TEXT($P881,"yyyy-mm-dd"),IF($A881="","",IF($D881="Lisbonne","",IF(SUMPRODUCT(('Formation Initiale'!$A$2:$A$999=$A881)*('Formation Initiale'!$R$2:$R$999="Terminé"))&gt;0,"✓",IF(SUMPRODUCT(MAX(('Formation Initiale'!$A$2:$A$999=$A881)*'Formation Initiale'!$G$2:$G$999))&gt;0,TEXT(SUMPRODUCT(MAX(('Formation Initiale'!$A$2:$A$999=$A881)*'Formation Initiale'!$G$2:$G$999)),"yyyy-mm-dd"),""))))))</f>
        <v/>
      </c>
      <c r="G881" s="131" t="str">
        <f aca="false">IF($Q881="✓","✓",IF(ISNUMBER($Q881),TEXT($Q881,"yyyy-mm-dd"),IF($A881="","",IF(SUMPRODUCT(('Agences &amp; Après-vente'!$A$2:$A$1000=$A881)*(('Agences &amp; Après-vente'!$D$2:$D$1000="Agences")+('Agences &amp; Après-vente'!$D$2:$D$1000="Agences et Après-vente"))*('Agences &amp; Après-vente'!$I$2:$I$1000="DONE"))&gt;0,"✓",IF(SUMPRODUCT(MAX(('Agences &amp; Après-vente'!$A$2:$A$1000=$A881)*(('Agences &amp; Après-vente'!$D$2:$D$1000="Agences")+('Agences &amp; Après-vente'!$D$2:$D$1000="Agences et Après-vente"))*'Agences &amp; Après-vente'!$E$2:$E$1000))&gt;0,TEXT(SUMPRODUCT(MAX(('Agences &amp; Après-vente'!$A$2:$A$1000=$A881)*(('Agences &amp; Après-vente'!$D$2:$D$1000="Agences")+('Agences &amp; Après-vente'!$D$2:$D$1000="Agences et Après-vente"))*'Agences &amp; Après-vente'!$E$2:$E$1000)),"yyyy-mm-dd"),"")))))</f>
        <v/>
      </c>
      <c r="H881" s="131" t="str">
        <f aca="false">IF($R881="✓","✓",IF(ISNUMBER($R881),TEXT($R881,"yyyy-mm-dd"),IF($A881="","",IF($D881="Lisbonne","",IF(SUMPRODUCT(('Agences &amp; Après-vente'!$A$2:$A$1000=$A881)*(('Agences &amp; Après-vente'!$D$2:$D$1000="Agences")+('Agences &amp; Après-vente'!$D$2:$D$1000="Agences et Après-vente"))*('Agences &amp; Après-vente'!$I$2:$I$1000="DONE"))&gt;0,"✓",IF(SUMPRODUCT(MAX(('Agences &amp; Après-vente'!$A$2:$A$1000=$A881)*(('Agences &amp; Après-vente'!$D$2:$D$1000="Agences")+('Agences &amp; Après-vente'!$D$2:$D$1000="Agences et Après-vente"))*'Agences &amp; Après-vente'!$E$2:$E$1000))&gt;0,TEXT(SUMPRODUCT(MAX(('Agences &amp; Après-vente'!$A$2:$A$1000=$A881)*(('Agences &amp; Après-vente'!$D$2:$D$1000="Agences")+('Agences &amp; Après-vente'!$D$2:$D$1000="Agences et Après-vente"))*'Agences &amp; Après-vente'!$E$2:$E$1000)),"yyyy-mm-dd"),""))))))</f>
        <v/>
      </c>
      <c r="I881" s="131" t="str">
        <f aca="false">IF($S881="✓","✓",IF(ISNUMBER($S881),TEXT($S881,"yyyy-mm-dd"),IF($A881="","",IF(SUMPRODUCT(('Agences &amp; Après-vente'!$A$2:$A$1000=$A881)*(('Agences &amp; Après-vente'!$D$2:$D$1000="Après-vente")+('Agences &amp; Après-vente'!$D$2:$D$1000="Agences et Après-vente"))*('Agences &amp; Après-vente'!$I$2:$I$1000="DONE"))&gt;0,"✓",IF(SUMPRODUCT(MAX(('Agences &amp; Après-vente'!$A$2:$A$1000=$A881)*(('Agences &amp; Après-vente'!$D$2:$D$1000="Après-vente")+('Agences &amp; Après-vente'!$D$2:$D$1000="Agences et Après-vente"))*'Agences &amp; Après-vente'!$E$2:$E$1000))&gt;0,TEXT(SUMPRODUCT(MAX(('Agences &amp; Après-vente'!$A$2:$A$1000=$A881)*(('Agences &amp; Après-vente'!$D$2:$D$1000="Après-vente")+('Agences &amp; Après-vente'!$D$2:$D$1000="Agences et Après-vente"))*'Agences &amp; Après-vente'!$E$2:$E$1000)),"yyyy-mm-dd"),"")))))</f>
        <v/>
      </c>
      <c r="J881" s="131" t="str">
        <f aca="false">IF($T881="✓","✓",IF(ISNUMBER($T881),TEXT($T881,"yyyy-mm-dd"),IF($A881="","",IF($D881="Lisbonne","",IF(SUMPRODUCT(('Agences &amp; Après-vente'!$A$2:$A$1000=$A881)*(('Agences &amp; Après-vente'!$D$2:$D$1000="Après-vente")+('Agences &amp; Après-vente'!$D$2:$D$1000="Agences et Après-vente"))*('Agences &amp; Après-vente'!$I$2:$I$1000="DONE"))&gt;0,"✓",IF(SUMPRODUCT(MAX(('Agences &amp; Après-vente'!$A$2:$A$1000=$A881)*(('Agences &amp; Après-vente'!$D$2:$D$1000="Après-vente")+('Agences &amp; Après-vente'!$D$2:$D$1000="Agences et Après-vente"))*'Agences &amp; Après-vente'!$E$2:$E$1000))&gt;0,TEXT(SUMPRODUCT(MAX(('Agences &amp; Après-vente'!$A$2:$A$1000=$A881)*(('Agences &amp; Après-vente'!$D$2:$D$1000="Après-vente")+('Agences &amp; Après-vente'!$D$2:$D$1000="Agences et Après-vente"))*'Agences &amp; Après-vente'!$E$2:$E$1000)),"yyyy-mm-dd"),""))))))</f>
        <v/>
      </c>
      <c r="K881" s="131" t="str">
        <f aca="false">IF($U881="✓","✓",IF(ISNUMBER($U881),TEXT($U881,"yyyy-mm-dd"),IF($D881="Lisbonne","",IF($A881="","",IF(SUMPRODUCT((Evermont!$A$2:$A$1000=$A881)*(Evermont!$Q$2:$Q$1000="Terminé"))&gt;0,"✓",IF(SUMPRODUCT(MAX((Evermont!$A$2:$A$1000=$A881)*Evermont!$F$2:$F$1000))&gt;0,TEXT(SUMPRODUCT(MAX((Evermont!$A$2:$A$1000=$A881)*Evermont!$F$2:$F$1000)),"yyyy-mm-dd"),""))))))</f>
        <v/>
      </c>
      <c r="L881" s="131" t="str">
        <f aca="false">IF($A881="","",COUNTIF(E881:K881,"✓"))</f>
        <v/>
      </c>
      <c r="M881" s="131" t="str">
        <f aca="false">IF(B881="","","Active")</f>
        <v/>
      </c>
      <c r="W881" s="120" t="str">
        <f aca="false">IF($A881="","",IF($X881&lt;&gt;"",$X881,IFERROR(INDEX('Formation Initiale'!$B$2:$B$999,MATCH($A881,'Formation Initiale'!$A$2:$A$999,0)),"Général")))</f>
        <v/>
      </c>
    </row>
    <row r="882" customFormat="false" ht="15" hidden="true" customHeight="true" outlineLevel="0" collapsed="false">
      <c r="A882" s="142" t="str">
        <f aca="false">IF(B882="","","TR"&amp;TEXT(ROW()-1,"000"))</f>
        <v/>
      </c>
      <c r="E882" s="130" t="str">
        <f aca="false">IF($O882="✓","✓",IF(ISNUMBER($O882),TEXT($O882,"yyyy-mm-dd"),IF($A882="","",IF(SUMPRODUCT(('Formation Initiale'!$A$2:$A$999=$A882)*('Formation Initiale'!$R$2:$R$999="Terminé"))&gt;0,"✓",IF(SUMPRODUCT(MAX(('Formation Initiale'!$A$2:$A$999=$A882)*'Formation Initiale'!$G$2:$G$999))&gt;0,TEXT(SUMPRODUCT(MAX(('Formation Initiale'!$A$2:$A$999=$A882)*'Formation Initiale'!$G$2:$G$999)),"yyyy-mm-dd"),"")))))</f>
        <v/>
      </c>
      <c r="F882" s="131" t="str">
        <f aca="false">IF($P882="✓","✓",IF(ISNUMBER($P882),TEXT($P882,"yyyy-mm-dd"),IF($A882="","",IF($D882="Lisbonne","",IF(SUMPRODUCT(('Formation Initiale'!$A$2:$A$999=$A882)*('Formation Initiale'!$R$2:$R$999="Terminé"))&gt;0,"✓",IF(SUMPRODUCT(MAX(('Formation Initiale'!$A$2:$A$999=$A882)*'Formation Initiale'!$G$2:$G$999))&gt;0,TEXT(SUMPRODUCT(MAX(('Formation Initiale'!$A$2:$A$999=$A882)*'Formation Initiale'!$G$2:$G$999)),"yyyy-mm-dd"),""))))))</f>
        <v/>
      </c>
      <c r="G882" s="131" t="str">
        <f aca="false">IF($Q882="✓","✓",IF(ISNUMBER($Q882),TEXT($Q882,"yyyy-mm-dd"),IF($A882="","",IF(SUMPRODUCT(('Agences &amp; Après-vente'!$A$2:$A$1000=$A882)*(('Agences &amp; Après-vente'!$D$2:$D$1000="Agences")+('Agences &amp; Après-vente'!$D$2:$D$1000="Agences et Après-vente"))*('Agences &amp; Après-vente'!$I$2:$I$1000="DONE"))&gt;0,"✓",IF(SUMPRODUCT(MAX(('Agences &amp; Après-vente'!$A$2:$A$1000=$A882)*(('Agences &amp; Après-vente'!$D$2:$D$1000="Agences")+('Agences &amp; Après-vente'!$D$2:$D$1000="Agences et Après-vente"))*'Agences &amp; Après-vente'!$E$2:$E$1000))&gt;0,TEXT(SUMPRODUCT(MAX(('Agences &amp; Après-vente'!$A$2:$A$1000=$A882)*(('Agences &amp; Après-vente'!$D$2:$D$1000="Agences")+('Agences &amp; Après-vente'!$D$2:$D$1000="Agences et Après-vente"))*'Agences &amp; Après-vente'!$E$2:$E$1000)),"yyyy-mm-dd"),"")))))</f>
        <v/>
      </c>
      <c r="H882" s="131" t="str">
        <f aca="false">IF($R882="✓","✓",IF(ISNUMBER($R882),TEXT($R882,"yyyy-mm-dd"),IF($A882="","",IF($D882="Lisbonne","",IF(SUMPRODUCT(('Agences &amp; Après-vente'!$A$2:$A$1000=$A882)*(('Agences &amp; Après-vente'!$D$2:$D$1000="Agences")+('Agences &amp; Après-vente'!$D$2:$D$1000="Agences et Après-vente"))*('Agences &amp; Après-vente'!$I$2:$I$1000="DONE"))&gt;0,"✓",IF(SUMPRODUCT(MAX(('Agences &amp; Après-vente'!$A$2:$A$1000=$A882)*(('Agences &amp; Après-vente'!$D$2:$D$1000="Agences")+('Agences &amp; Après-vente'!$D$2:$D$1000="Agences et Après-vente"))*'Agences &amp; Après-vente'!$E$2:$E$1000))&gt;0,TEXT(SUMPRODUCT(MAX(('Agences &amp; Après-vente'!$A$2:$A$1000=$A882)*(('Agences &amp; Après-vente'!$D$2:$D$1000="Agences")+('Agences &amp; Après-vente'!$D$2:$D$1000="Agences et Après-vente"))*'Agences &amp; Après-vente'!$E$2:$E$1000)),"yyyy-mm-dd"),""))))))</f>
        <v/>
      </c>
      <c r="I882" s="131" t="str">
        <f aca="false">IF($S882="✓","✓",IF(ISNUMBER($S882),TEXT($S882,"yyyy-mm-dd"),IF($A882="","",IF(SUMPRODUCT(('Agences &amp; Après-vente'!$A$2:$A$1000=$A882)*(('Agences &amp; Après-vente'!$D$2:$D$1000="Après-vente")+('Agences &amp; Après-vente'!$D$2:$D$1000="Agences et Après-vente"))*('Agences &amp; Après-vente'!$I$2:$I$1000="DONE"))&gt;0,"✓",IF(SUMPRODUCT(MAX(('Agences &amp; Après-vente'!$A$2:$A$1000=$A882)*(('Agences &amp; Après-vente'!$D$2:$D$1000="Après-vente")+('Agences &amp; Après-vente'!$D$2:$D$1000="Agences et Après-vente"))*'Agences &amp; Après-vente'!$E$2:$E$1000))&gt;0,TEXT(SUMPRODUCT(MAX(('Agences &amp; Après-vente'!$A$2:$A$1000=$A882)*(('Agences &amp; Après-vente'!$D$2:$D$1000="Après-vente")+('Agences &amp; Après-vente'!$D$2:$D$1000="Agences et Après-vente"))*'Agences &amp; Après-vente'!$E$2:$E$1000)),"yyyy-mm-dd"),"")))))</f>
        <v/>
      </c>
      <c r="J882" s="131" t="str">
        <f aca="false">IF($T882="✓","✓",IF(ISNUMBER($T882),TEXT($T882,"yyyy-mm-dd"),IF($A882="","",IF($D882="Lisbonne","",IF(SUMPRODUCT(('Agences &amp; Après-vente'!$A$2:$A$1000=$A882)*(('Agences &amp; Après-vente'!$D$2:$D$1000="Après-vente")+('Agences &amp; Après-vente'!$D$2:$D$1000="Agences et Après-vente"))*('Agences &amp; Après-vente'!$I$2:$I$1000="DONE"))&gt;0,"✓",IF(SUMPRODUCT(MAX(('Agences &amp; Après-vente'!$A$2:$A$1000=$A882)*(('Agences &amp; Après-vente'!$D$2:$D$1000="Après-vente")+('Agences &amp; Après-vente'!$D$2:$D$1000="Agences et Après-vente"))*'Agences &amp; Après-vente'!$E$2:$E$1000))&gt;0,TEXT(SUMPRODUCT(MAX(('Agences &amp; Après-vente'!$A$2:$A$1000=$A882)*(('Agences &amp; Après-vente'!$D$2:$D$1000="Après-vente")+('Agences &amp; Après-vente'!$D$2:$D$1000="Agences et Après-vente"))*'Agences &amp; Après-vente'!$E$2:$E$1000)),"yyyy-mm-dd"),""))))))</f>
        <v/>
      </c>
      <c r="K882" s="131" t="str">
        <f aca="false">IF($U882="✓","✓",IF(ISNUMBER($U882),TEXT($U882,"yyyy-mm-dd"),IF($D882="Lisbonne","",IF($A882="","",IF(SUMPRODUCT((Evermont!$A$2:$A$1000=$A882)*(Evermont!$Q$2:$Q$1000="Terminé"))&gt;0,"✓",IF(SUMPRODUCT(MAX((Evermont!$A$2:$A$1000=$A882)*Evermont!$F$2:$F$1000))&gt;0,TEXT(SUMPRODUCT(MAX((Evermont!$A$2:$A$1000=$A882)*Evermont!$F$2:$F$1000)),"yyyy-mm-dd"),""))))))</f>
        <v/>
      </c>
      <c r="L882" s="131" t="str">
        <f aca="false">IF($A882="","",COUNTIF(E882:K882,"✓"))</f>
        <v/>
      </c>
      <c r="M882" s="131" t="str">
        <f aca="false">IF(B882="","","Active")</f>
        <v/>
      </c>
      <c r="W882" s="120" t="str">
        <f aca="false">IF($A882="","",IF($X882&lt;&gt;"",$X882,IFERROR(INDEX('Formation Initiale'!$B$2:$B$999,MATCH($A882,'Formation Initiale'!$A$2:$A$999,0)),"Général")))</f>
        <v/>
      </c>
    </row>
    <row r="883" customFormat="false" ht="15" hidden="true" customHeight="true" outlineLevel="0" collapsed="false">
      <c r="A883" s="142" t="str">
        <f aca="false">IF(B883="","","TR"&amp;TEXT(ROW()-1,"000"))</f>
        <v/>
      </c>
      <c r="E883" s="130" t="str">
        <f aca="false">IF($O883="✓","✓",IF(ISNUMBER($O883),TEXT($O883,"yyyy-mm-dd"),IF($A883="","",IF(SUMPRODUCT(('Formation Initiale'!$A$2:$A$999=$A883)*('Formation Initiale'!$R$2:$R$999="Terminé"))&gt;0,"✓",IF(SUMPRODUCT(MAX(('Formation Initiale'!$A$2:$A$999=$A883)*'Formation Initiale'!$G$2:$G$999))&gt;0,TEXT(SUMPRODUCT(MAX(('Formation Initiale'!$A$2:$A$999=$A883)*'Formation Initiale'!$G$2:$G$999)),"yyyy-mm-dd"),"")))))</f>
        <v/>
      </c>
      <c r="F883" s="131" t="str">
        <f aca="false">IF($P883="✓","✓",IF(ISNUMBER($P883),TEXT($P883,"yyyy-mm-dd"),IF($A883="","",IF($D883="Lisbonne","",IF(SUMPRODUCT(('Formation Initiale'!$A$2:$A$999=$A883)*('Formation Initiale'!$R$2:$R$999="Terminé"))&gt;0,"✓",IF(SUMPRODUCT(MAX(('Formation Initiale'!$A$2:$A$999=$A883)*'Formation Initiale'!$G$2:$G$999))&gt;0,TEXT(SUMPRODUCT(MAX(('Formation Initiale'!$A$2:$A$999=$A883)*'Formation Initiale'!$G$2:$G$999)),"yyyy-mm-dd"),""))))))</f>
        <v/>
      </c>
      <c r="G883" s="131" t="str">
        <f aca="false">IF($Q883="✓","✓",IF(ISNUMBER($Q883),TEXT($Q883,"yyyy-mm-dd"),IF($A883="","",IF(SUMPRODUCT(('Agences &amp; Après-vente'!$A$2:$A$1000=$A883)*(('Agences &amp; Après-vente'!$D$2:$D$1000="Agences")+('Agences &amp; Après-vente'!$D$2:$D$1000="Agences et Après-vente"))*('Agences &amp; Après-vente'!$I$2:$I$1000="DONE"))&gt;0,"✓",IF(SUMPRODUCT(MAX(('Agences &amp; Après-vente'!$A$2:$A$1000=$A883)*(('Agences &amp; Après-vente'!$D$2:$D$1000="Agences")+('Agences &amp; Après-vente'!$D$2:$D$1000="Agences et Après-vente"))*'Agences &amp; Après-vente'!$E$2:$E$1000))&gt;0,TEXT(SUMPRODUCT(MAX(('Agences &amp; Après-vente'!$A$2:$A$1000=$A883)*(('Agences &amp; Après-vente'!$D$2:$D$1000="Agences")+('Agences &amp; Après-vente'!$D$2:$D$1000="Agences et Après-vente"))*'Agences &amp; Après-vente'!$E$2:$E$1000)),"yyyy-mm-dd"),"")))))</f>
        <v/>
      </c>
      <c r="H883" s="131" t="str">
        <f aca="false">IF($R883="✓","✓",IF(ISNUMBER($R883),TEXT($R883,"yyyy-mm-dd"),IF($A883="","",IF($D883="Lisbonne","",IF(SUMPRODUCT(('Agences &amp; Après-vente'!$A$2:$A$1000=$A883)*(('Agences &amp; Après-vente'!$D$2:$D$1000="Agences")+('Agences &amp; Après-vente'!$D$2:$D$1000="Agences et Après-vente"))*('Agences &amp; Après-vente'!$I$2:$I$1000="DONE"))&gt;0,"✓",IF(SUMPRODUCT(MAX(('Agences &amp; Après-vente'!$A$2:$A$1000=$A883)*(('Agences &amp; Après-vente'!$D$2:$D$1000="Agences")+('Agences &amp; Après-vente'!$D$2:$D$1000="Agences et Après-vente"))*'Agences &amp; Après-vente'!$E$2:$E$1000))&gt;0,TEXT(SUMPRODUCT(MAX(('Agences &amp; Après-vente'!$A$2:$A$1000=$A883)*(('Agences &amp; Après-vente'!$D$2:$D$1000="Agences")+('Agences &amp; Après-vente'!$D$2:$D$1000="Agences et Après-vente"))*'Agences &amp; Après-vente'!$E$2:$E$1000)),"yyyy-mm-dd"),""))))))</f>
        <v/>
      </c>
      <c r="I883" s="131" t="str">
        <f aca="false">IF($S883="✓","✓",IF(ISNUMBER($S883),TEXT($S883,"yyyy-mm-dd"),IF($A883="","",IF(SUMPRODUCT(('Agences &amp; Après-vente'!$A$2:$A$1000=$A883)*(('Agences &amp; Après-vente'!$D$2:$D$1000="Après-vente")+('Agences &amp; Après-vente'!$D$2:$D$1000="Agences et Après-vente"))*('Agences &amp; Après-vente'!$I$2:$I$1000="DONE"))&gt;0,"✓",IF(SUMPRODUCT(MAX(('Agences &amp; Après-vente'!$A$2:$A$1000=$A883)*(('Agences &amp; Après-vente'!$D$2:$D$1000="Après-vente")+('Agences &amp; Après-vente'!$D$2:$D$1000="Agences et Après-vente"))*'Agences &amp; Après-vente'!$E$2:$E$1000))&gt;0,TEXT(SUMPRODUCT(MAX(('Agences &amp; Après-vente'!$A$2:$A$1000=$A883)*(('Agences &amp; Après-vente'!$D$2:$D$1000="Après-vente")+('Agences &amp; Après-vente'!$D$2:$D$1000="Agences et Après-vente"))*'Agences &amp; Après-vente'!$E$2:$E$1000)),"yyyy-mm-dd"),"")))))</f>
        <v/>
      </c>
      <c r="J883" s="131" t="str">
        <f aca="false">IF($T883="✓","✓",IF(ISNUMBER($T883),TEXT($T883,"yyyy-mm-dd"),IF($A883="","",IF($D883="Lisbonne","",IF(SUMPRODUCT(('Agences &amp; Après-vente'!$A$2:$A$1000=$A883)*(('Agences &amp; Après-vente'!$D$2:$D$1000="Après-vente")+('Agences &amp; Après-vente'!$D$2:$D$1000="Agences et Après-vente"))*('Agences &amp; Après-vente'!$I$2:$I$1000="DONE"))&gt;0,"✓",IF(SUMPRODUCT(MAX(('Agences &amp; Après-vente'!$A$2:$A$1000=$A883)*(('Agences &amp; Après-vente'!$D$2:$D$1000="Après-vente")+('Agences &amp; Après-vente'!$D$2:$D$1000="Agences et Après-vente"))*'Agences &amp; Après-vente'!$E$2:$E$1000))&gt;0,TEXT(SUMPRODUCT(MAX(('Agences &amp; Après-vente'!$A$2:$A$1000=$A883)*(('Agences &amp; Après-vente'!$D$2:$D$1000="Après-vente")+('Agences &amp; Après-vente'!$D$2:$D$1000="Agences et Après-vente"))*'Agences &amp; Après-vente'!$E$2:$E$1000)),"yyyy-mm-dd"),""))))))</f>
        <v/>
      </c>
      <c r="K883" s="131" t="str">
        <f aca="false">IF($U883="✓","✓",IF(ISNUMBER($U883),TEXT($U883,"yyyy-mm-dd"),IF($D883="Lisbonne","",IF($A883="","",IF(SUMPRODUCT((Evermont!$A$2:$A$1000=$A883)*(Evermont!$Q$2:$Q$1000="Terminé"))&gt;0,"✓",IF(SUMPRODUCT(MAX((Evermont!$A$2:$A$1000=$A883)*Evermont!$F$2:$F$1000))&gt;0,TEXT(SUMPRODUCT(MAX((Evermont!$A$2:$A$1000=$A883)*Evermont!$F$2:$F$1000)),"yyyy-mm-dd"),""))))))</f>
        <v/>
      </c>
      <c r="L883" s="131" t="str">
        <f aca="false">IF($A883="","",COUNTIF(E883:K883,"✓"))</f>
        <v/>
      </c>
      <c r="M883" s="131" t="str">
        <f aca="false">IF(B883="","","Active")</f>
        <v/>
      </c>
      <c r="W883" s="120" t="str">
        <f aca="false">IF($A883="","",IF($X883&lt;&gt;"",$X883,IFERROR(INDEX('Formation Initiale'!$B$2:$B$999,MATCH($A883,'Formation Initiale'!$A$2:$A$999,0)),"Général")))</f>
        <v/>
      </c>
    </row>
    <row r="884" customFormat="false" ht="15" hidden="true" customHeight="true" outlineLevel="0" collapsed="false">
      <c r="A884" s="142" t="str">
        <f aca="false">IF(B884="","","TR"&amp;TEXT(ROW()-1,"000"))</f>
        <v/>
      </c>
      <c r="E884" s="130" t="str">
        <f aca="false">IF($O884="✓","✓",IF(ISNUMBER($O884),TEXT($O884,"yyyy-mm-dd"),IF($A884="","",IF(SUMPRODUCT(('Formation Initiale'!$A$2:$A$999=$A884)*('Formation Initiale'!$R$2:$R$999="Terminé"))&gt;0,"✓",IF(SUMPRODUCT(MAX(('Formation Initiale'!$A$2:$A$999=$A884)*'Formation Initiale'!$G$2:$G$999))&gt;0,TEXT(SUMPRODUCT(MAX(('Formation Initiale'!$A$2:$A$999=$A884)*'Formation Initiale'!$G$2:$G$999)),"yyyy-mm-dd"),"")))))</f>
        <v/>
      </c>
      <c r="F884" s="131" t="str">
        <f aca="false">IF($P884="✓","✓",IF(ISNUMBER($P884),TEXT($P884,"yyyy-mm-dd"),IF($A884="","",IF($D884="Lisbonne","",IF(SUMPRODUCT(('Formation Initiale'!$A$2:$A$999=$A884)*('Formation Initiale'!$R$2:$R$999="Terminé"))&gt;0,"✓",IF(SUMPRODUCT(MAX(('Formation Initiale'!$A$2:$A$999=$A884)*'Formation Initiale'!$G$2:$G$999))&gt;0,TEXT(SUMPRODUCT(MAX(('Formation Initiale'!$A$2:$A$999=$A884)*'Formation Initiale'!$G$2:$G$999)),"yyyy-mm-dd"),""))))))</f>
        <v/>
      </c>
      <c r="G884" s="131" t="str">
        <f aca="false">IF($Q884="✓","✓",IF(ISNUMBER($Q884),TEXT($Q884,"yyyy-mm-dd"),IF($A884="","",IF(SUMPRODUCT(('Agences &amp; Après-vente'!$A$2:$A$1000=$A884)*(('Agences &amp; Après-vente'!$D$2:$D$1000="Agences")+('Agences &amp; Après-vente'!$D$2:$D$1000="Agences et Après-vente"))*('Agences &amp; Après-vente'!$I$2:$I$1000="DONE"))&gt;0,"✓",IF(SUMPRODUCT(MAX(('Agences &amp; Après-vente'!$A$2:$A$1000=$A884)*(('Agences &amp; Après-vente'!$D$2:$D$1000="Agences")+('Agences &amp; Après-vente'!$D$2:$D$1000="Agences et Après-vente"))*'Agences &amp; Après-vente'!$E$2:$E$1000))&gt;0,TEXT(SUMPRODUCT(MAX(('Agences &amp; Après-vente'!$A$2:$A$1000=$A884)*(('Agences &amp; Après-vente'!$D$2:$D$1000="Agences")+('Agences &amp; Après-vente'!$D$2:$D$1000="Agences et Après-vente"))*'Agences &amp; Après-vente'!$E$2:$E$1000)),"yyyy-mm-dd"),"")))))</f>
        <v/>
      </c>
      <c r="H884" s="131" t="str">
        <f aca="false">IF($R884="✓","✓",IF(ISNUMBER($R884),TEXT($R884,"yyyy-mm-dd"),IF($A884="","",IF($D884="Lisbonne","",IF(SUMPRODUCT(('Agences &amp; Après-vente'!$A$2:$A$1000=$A884)*(('Agences &amp; Après-vente'!$D$2:$D$1000="Agences")+('Agences &amp; Après-vente'!$D$2:$D$1000="Agences et Après-vente"))*('Agences &amp; Après-vente'!$I$2:$I$1000="DONE"))&gt;0,"✓",IF(SUMPRODUCT(MAX(('Agences &amp; Après-vente'!$A$2:$A$1000=$A884)*(('Agences &amp; Après-vente'!$D$2:$D$1000="Agences")+('Agences &amp; Après-vente'!$D$2:$D$1000="Agences et Après-vente"))*'Agences &amp; Après-vente'!$E$2:$E$1000))&gt;0,TEXT(SUMPRODUCT(MAX(('Agences &amp; Après-vente'!$A$2:$A$1000=$A884)*(('Agences &amp; Après-vente'!$D$2:$D$1000="Agences")+('Agences &amp; Après-vente'!$D$2:$D$1000="Agences et Après-vente"))*'Agences &amp; Après-vente'!$E$2:$E$1000)),"yyyy-mm-dd"),""))))))</f>
        <v/>
      </c>
      <c r="I884" s="131" t="str">
        <f aca="false">IF($S884="✓","✓",IF(ISNUMBER($S884),TEXT($S884,"yyyy-mm-dd"),IF($A884="","",IF(SUMPRODUCT(('Agences &amp; Après-vente'!$A$2:$A$1000=$A884)*(('Agences &amp; Après-vente'!$D$2:$D$1000="Après-vente")+('Agences &amp; Après-vente'!$D$2:$D$1000="Agences et Après-vente"))*('Agences &amp; Après-vente'!$I$2:$I$1000="DONE"))&gt;0,"✓",IF(SUMPRODUCT(MAX(('Agences &amp; Après-vente'!$A$2:$A$1000=$A884)*(('Agences &amp; Après-vente'!$D$2:$D$1000="Après-vente")+('Agences &amp; Après-vente'!$D$2:$D$1000="Agences et Après-vente"))*'Agences &amp; Après-vente'!$E$2:$E$1000))&gt;0,TEXT(SUMPRODUCT(MAX(('Agences &amp; Après-vente'!$A$2:$A$1000=$A884)*(('Agences &amp; Après-vente'!$D$2:$D$1000="Après-vente")+('Agences &amp; Après-vente'!$D$2:$D$1000="Agences et Après-vente"))*'Agences &amp; Après-vente'!$E$2:$E$1000)),"yyyy-mm-dd"),"")))))</f>
        <v/>
      </c>
      <c r="J884" s="131" t="str">
        <f aca="false">IF($T884="✓","✓",IF(ISNUMBER($T884),TEXT($T884,"yyyy-mm-dd"),IF($A884="","",IF($D884="Lisbonne","",IF(SUMPRODUCT(('Agences &amp; Après-vente'!$A$2:$A$1000=$A884)*(('Agences &amp; Après-vente'!$D$2:$D$1000="Après-vente")+('Agences &amp; Après-vente'!$D$2:$D$1000="Agences et Après-vente"))*('Agences &amp; Après-vente'!$I$2:$I$1000="DONE"))&gt;0,"✓",IF(SUMPRODUCT(MAX(('Agences &amp; Après-vente'!$A$2:$A$1000=$A884)*(('Agences &amp; Après-vente'!$D$2:$D$1000="Après-vente")+('Agences &amp; Après-vente'!$D$2:$D$1000="Agences et Après-vente"))*'Agences &amp; Après-vente'!$E$2:$E$1000))&gt;0,TEXT(SUMPRODUCT(MAX(('Agences &amp; Après-vente'!$A$2:$A$1000=$A884)*(('Agences &amp; Après-vente'!$D$2:$D$1000="Après-vente")+('Agences &amp; Après-vente'!$D$2:$D$1000="Agences et Après-vente"))*'Agences &amp; Après-vente'!$E$2:$E$1000)),"yyyy-mm-dd"),""))))))</f>
        <v/>
      </c>
      <c r="K884" s="131" t="str">
        <f aca="false">IF($U884="✓","✓",IF(ISNUMBER($U884),TEXT($U884,"yyyy-mm-dd"),IF($D884="Lisbonne","",IF($A884="","",IF(SUMPRODUCT((Evermont!$A$2:$A$1000=$A884)*(Evermont!$Q$2:$Q$1000="Terminé"))&gt;0,"✓",IF(SUMPRODUCT(MAX((Evermont!$A$2:$A$1000=$A884)*Evermont!$F$2:$F$1000))&gt;0,TEXT(SUMPRODUCT(MAX((Evermont!$A$2:$A$1000=$A884)*Evermont!$F$2:$F$1000)),"yyyy-mm-dd"),""))))))</f>
        <v/>
      </c>
      <c r="L884" s="131" t="str">
        <f aca="false">IF($A884="","",COUNTIF(E884:K884,"✓"))</f>
        <v/>
      </c>
      <c r="M884" s="131" t="str">
        <f aca="false">IF(B884="","","Active")</f>
        <v/>
      </c>
      <c r="W884" s="120" t="str">
        <f aca="false">IF($A884="","",IF($X884&lt;&gt;"",$X884,IFERROR(INDEX('Formation Initiale'!$B$2:$B$999,MATCH($A884,'Formation Initiale'!$A$2:$A$999,0)),"Général")))</f>
        <v/>
      </c>
    </row>
    <row r="885" customFormat="false" ht="15" hidden="true" customHeight="true" outlineLevel="0" collapsed="false">
      <c r="A885" s="142" t="str">
        <f aca="false">IF(B885="","","TR"&amp;TEXT(ROW()-1,"000"))</f>
        <v/>
      </c>
      <c r="E885" s="130" t="str">
        <f aca="false">IF($O885="✓","✓",IF(ISNUMBER($O885),TEXT($O885,"yyyy-mm-dd"),IF($A885="","",IF(SUMPRODUCT(('Formation Initiale'!$A$2:$A$999=$A885)*('Formation Initiale'!$R$2:$R$999="Terminé"))&gt;0,"✓",IF(SUMPRODUCT(MAX(('Formation Initiale'!$A$2:$A$999=$A885)*'Formation Initiale'!$G$2:$G$999))&gt;0,TEXT(SUMPRODUCT(MAX(('Formation Initiale'!$A$2:$A$999=$A885)*'Formation Initiale'!$G$2:$G$999)),"yyyy-mm-dd"),"")))))</f>
        <v/>
      </c>
      <c r="F885" s="131" t="str">
        <f aca="false">IF($P885="✓","✓",IF(ISNUMBER($P885),TEXT($P885,"yyyy-mm-dd"),IF($A885="","",IF($D885="Lisbonne","",IF(SUMPRODUCT(('Formation Initiale'!$A$2:$A$999=$A885)*('Formation Initiale'!$R$2:$R$999="Terminé"))&gt;0,"✓",IF(SUMPRODUCT(MAX(('Formation Initiale'!$A$2:$A$999=$A885)*'Formation Initiale'!$G$2:$G$999))&gt;0,TEXT(SUMPRODUCT(MAX(('Formation Initiale'!$A$2:$A$999=$A885)*'Formation Initiale'!$G$2:$G$999)),"yyyy-mm-dd"),""))))))</f>
        <v/>
      </c>
      <c r="G885" s="131" t="str">
        <f aca="false">IF($Q885="✓","✓",IF(ISNUMBER($Q885),TEXT($Q885,"yyyy-mm-dd"),IF($A885="","",IF(SUMPRODUCT(('Agences &amp; Après-vente'!$A$2:$A$1000=$A885)*(('Agences &amp; Après-vente'!$D$2:$D$1000="Agences")+('Agences &amp; Après-vente'!$D$2:$D$1000="Agences et Après-vente"))*('Agences &amp; Après-vente'!$I$2:$I$1000="DONE"))&gt;0,"✓",IF(SUMPRODUCT(MAX(('Agences &amp; Après-vente'!$A$2:$A$1000=$A885)*(('Agences &amp; Après-vente'!$D$2:$D$1000="Agences")+('Agences &amp; Après-vente'!$D$2:$D$1000="Agences et Après-vente"))*'Agences &amp; Après-vente'!$E$2:$E$1000))&gt;0,TEXT(SUMPRODUCT(MAX(('Agences &amp; Après-vente'!$A$2:$A$1000=$A885)*(('Agences &amp; Après-vente'!$D$2:$D$1000="Agences")+('Agences &amp; Après-vente'!$D$2:$D$1000="Agences et Après-vente"))*'Agences &amp; Après-vente'!$E$2:$E$1000)),"yyyy-mm-dd"),"")))))</f>
        <v/>
      </c>
      <c r="H885" s="131" t="str">
        <f aca="false">IF($R885="✓","✓",IF(ISNUMBER($R885),TEXT($R885,"yyyy-mm-dd"),IF($A885="","",IF($D885="Lisbonne","",IF(SUMPRODUCT(('Agences &amp; Après-vente'!$A$2:$A$1000=$A885)*(('Agences &amp; Après-vente'!$D$2:$D$1000="Agences")+('Agences &amp; Après-vente'!$D$2:$D$1000="Agences et Après-vente"))*('Agences &amp; Après-vente'!$I$2:$I$1000="DONE"))&gt;0,"✓",IF(SUMPRODUCT(MAX(('Agences &amp; Après-vente'!$A$2:$A$1000=$A885)*(('Agences &amp; Après-vente'!$D$2:$D$1000="Agences")+('Agences &amp; Après-vente'!$D$2:$D$1000="Agences et Après-vente"))*'Agences &amp; Après-vente'!$E$2:$E$1000))&gt;0,TEXT(SUMPRODUCT(MAX(('Agences &amp; Après-vente'!$A$2:$A$1000=$A885)*(('Agences &amp; Après-vente'!$D$2:$D$1000="Agences")+('Agences &amp; Après-vente'!$D$2:$D$1000="Agences et Après-vente"))*'Agences &amp; Après-vente'!$E$2:$E$1000)),"yyyy-mm-dd"),""))))))</f>
        <v/>
      </c>
      <c r="I885" s="131" t="str">
        <f aca="false">IF($S885="✓","✓",IF(ISNUMBER($S885),TEXT($S885,"yyyy-mm-dd"),IF($A885="","",IF(SUMPRODUCT(('Agences &amp; Après-vente'!$A$2:$A$1000=$A885)*(('Agences &amp; Après-vente'!$D$2:$D$1000="Après-vente")+('Agences &amp; Après-vente'!$D$2:$D$1000="Agences et Après-vente"))*('Agences &amp; Après-vente'!$I$2:$I$1000="DONE"))&gt;0,"✓",IF(SUMPRODUCT(MAX(('Agences &amp; Après-vente'!$A$2:$A$1000=$A885)*(('Agences &amp; Après-vente'!$D$2:$D$1000="Après-vente")+('Agences &amp; Après-vente'!$D$2:$D$1000="Agences et Après-vente"))*'Agences &amp; Après-vente'!$E$2:$E$1000))&gt;0,TEXT(SUMPRODUCT(MAX(('Agences &amp; Après-vente'!$A$2:$A$1000=$A885)*(('Agences &amp; Après-vente'!$D$2:$D$1000="Après-vente")+('Agences &amp; Après-vente'!$D$2:$D$1000="Agences et Après-vente"))*'Agences &amp; Après-vente'!$E$2:$E$1000)),"yyyy-mm-dd"),"")))))</f>
        <v/>
      </c>
      <c r="J885" s="131" t="str">
        <f aca="false">IF($T885="✓","✓",IF(ISNUMBER($T885),TEXT($T885,"yyyy-mm-dd"),IF($A885="","",IF($D885="Lisbonne","",IF(SUMPRODUCT(('Agences &amp; Après-vente'!$A$2:$A$1000=$A885)*(('Agences &amp; Après-vente'!$D$2:$D$1000="Après-vente")+('Agences &amp; Après-vente'!$D$2:$D$1000="Agences et Après-vente"))*('Agences &amp; Après-vente'!$I$2:$I$1000="DONE"))&gt;0,"✓",IF(SUMPRODUCT(MAX(('Agences &amp; Après-vente'!$A$2:$A$1000=$A885)*(('Agences &amp; Après-vente'!$D$2:$D$1000="Après-vente")+('Agences &amp; Après-vente'!$D$2:$D$1000="Agences et Après-vente"))*'Agences &amp; Après-vente'!$E$2:$E$1000))&gt;0,TEXT(SUMPRODUCT(MAX(('Agences &amp; Après-vente'!$A$2:$A$1000=$A885)*(('Agences &amp; Après-vente'!$D$2:$D$1000="Après-vente")+('Agences &amp; Après-vente'!$D$2:$D$1000="Agences et Après-vente"))*'Agences &amp; Après-vente'!$E$2:$E$1000)),"yyyy-mm-dd"),""))))))</f>
        <v/>
      </c>
      <c r="K885" s="131" t="str">
        <f aca="false">IF($U885="✓","✓",IF(ISNUMBER($U885),TEXT($U885,"yyyy-mm-dd"),IF($D885="Lisbonne","",IF($A885="","",IF(SUMPRODUCT((Evermont!$A$2:$A$1000=$A885)*(Evermont!$Q$2:$Q$1000="Terminé"))&gt;0,"✓",IF(SUMPRODUCT(MAX((Evermont!$A$2:$A$1000=$A885)*Evermont!$F$2:$F$1000))&gt;0,TEXT(SUMPRODUCT(MAX((Evermont!$A$2:$A$1000=$A885)*Evermont!$F$2:$F$1000)),"yyyy-mm-dd"),""))))))</f>
        <v/>
      </c>
      <c r="L885" s="131" t="str">
        <f aca="false">IF($A885="","",COUNTIF(E885:K885,"✓"))</f>
        <v/>
      </c>
      <c r="M885" s="131" t="str">
        <f aca="false">IF(B885="","","Active")</f>
        <v/>
      </c>
      <c r="W885" s="120" t="str">
        <f aca="false">IF($A885="","",IF($X885&lt;&gt;"",$X885,IFERROR(INDEX('Formation Initiale'!$B$2:$B$999,MATCH($A885,'Formation Initiale'!$A$2:$A$999,0)),"Général")))</f>
        <v/>
      </c>
    </row>
    <row r="886" customFormat="false" ht="15" hidden="true" customHeight="true" outlineLevel="0" collapsed="false">
      <c r="A886" s="142" t="str">
        <f aca="false">IF(B886="","","TR"&amp;TEXT(ROW()-1,"000"))</f>
        <v/>
      </c>
      <c r="E886" s="130" t="str">
        <f aca="false">IF($O886="✓","✓",IF(ISNUMBER($O886),TEXT($O886,"yyyy-mm-dd"),IF($A886="","",IF(SUMPRODUCT(('Formation Initiale'!$A$2:$A$999=$A886)*('Formation Initiale'!$R$2:$R$999="Terminé"))&gt;0,"✓",IF(SUMPRODUCT(MAX(('Formation Initiale'!$A$2:$A$999=$A886)*'Formation Initiale'!$G$2:$G$999))&gt;0,TEXT(SUMPRODUCT(MAX(('Formation Initiale'!$A$2:$A$999=$A886)*'Formation Initiale'!$G$2:$G$999)),"yyyy-mm-dd"),"")))))</f>
        <v/>
      </c>
      <c r="F886" s="131" t="str">
        <f aca="false">IF($P886="✓","✓",IF(ISNUMBER($P886),TEXT($P886,"yyyy-mm-dd"),IF($A886="","",IF($D886="Lisbonne","",IF(SUMPRODUCT(('Formation Initiale'!$A$2:$A$999=$A886)*('Formation Initiale'!$R$2:$R$999="Terminé"))&gt;0,"✓",IF(SUMPRODUCT(MAX(('Formation Initiale'!$A$2:$A$999=$A886)*'Formation Initiale'!$G$2:$G$999))&gt;0,TEXT(SUMPRODUCT(MAX(('Formation Initiale'!$A$2:$A$999=$A886)*'Formation Initiale'!$G$2:$G$999)),"yyyy-mm-dd"),""))))))</f>
        <v/>
      </c>
      <c r="G886" s="131" t="str">
        <f aca="false">IF($Q886="✓","✓",IF(ISNUMBER($Q886),TEXT($Q886,"yyyy-mm-dd"),IF($A886="","",IF(SUMPRODUCT(('Agences &amp; Après-vente'!$A$2:$A$1000=$A886)*(('Agences &amp; Après-vente'!$D$2:$D$1000="Agences")+('Agences &amp; Après-vente'!$D$2:$D$1000="Agences et Après-vente"))*('Agences &amp; Après-vente'!$I$2:$I$1000="DONE"))&gt;0,"✓",IF(SUMPRODUCT(MAX(('Agences &amp; Après-vente'!$A$2:$A$1000=$A886)*(('Agences &amp; Après-vente'!$D$2:$D$1000="Agences")+('Agences &amp; Après-vente'!$D$2:$D$1000="Agences et Après-vente"))*'Agences &amp; Après-vente'!$E$2:$E$1000))&gt;0,TEXT(SUMPRODUCT(MAX(('Agences &amp; Après-vente'!$A$2:$A$1000=$A886)*(('Agences &amp; Après-vente'!$D$2:$D$1000="Agences")+('Agences &amp; Après-vente'!$D$2:$D$1000="Agences et Après-vente"))*'Agences &amp; Après-vente'!$E$2:$E$1000)),"yyyy-mm-dd"),"")))))</f>
        <v/>
      </c>
      <c r="H886" s="131" t="str">
        <f aca="false">IF($R886="✓","✓",IF(ISNUMBER($R886),TEXT($R886,"yyyy-mm-dd"),IF($A886="","",IF($D886="Lisbonne","",IF(SUMPRODUCT(('Agences &amp; Après-vente'!$A$2:$A$1000=$A886)*(('Agences &amp; Après-vente'!$D$2:$D$1000="Agences")+('Agences &amp; Après-vente'!$D$2:$D$1000="Agences et Après-vente"))*('Agences &amp; Après-vente'!$I$2:$I$1000="DONE"))&gt;0,"✓",IF(SUMPRODUCT(MAX(('Agences &amp; Après-vente'!$A$2:$A$1000=$A886)*(('Agences &amp; Après-vente'!$D$2:$D$1000="Agences")+('Agences &amp; Après-vente'!$D$2:$D$1000="Agences et Après-vente"))*'Agences &amp; Après-vente'!$E$2:$E$1000))&gt;0,TEXT(SUMPRODUCT(MAX(('Agences &amp; Après-vente'!$A$2:$A$1000=$A886)*(('Agences &amp; Après-vente'!$D$2:$D$1000="Agences")+('Agences &amp; Après-vente'!$D$2:$D$1000="Agences et Après-vente"))*'Agences &amp; Après-vente'!$E$2:$E$1000)),"yyyy-mm-dd"),""))))))</f>
        <v/>
      </c>
      <c r="I886" s="131" t="str">
        <f aca="false">IF($S886="✓","✓",IF(ISNUMBER($S886),TEXT($S886,"yyyy-mm-dd"),IF($A886="","",IF(SUMPRODUCT(('Agences &amp; Après-vente'!$A$2:$A$1000=$A886)*(('Agences &amp; Après-vente'!$D$2:$D$1000="Après-vente")+('Agences &amp; Après-vente'!$D$2:$D$1000="Agences et Après-vente"))*('Agences &amp; Après-vente'!$I$2:$I$1000="DONE"))&gt;0,"✓",IF(SUMPRODUCT(MAX(('Agences &amp; Après-vente'!$A$2:$A$1000=$A886)*(('Agences &amp; Après-vente'!$D$2:$D$1000="Après-vente")+('Agences &amp; Après-vente'!$D$2:$D$1000="Agences et Après-vente"))*'Agences &amp; Après-vente'!$E$2:$E$1000))&gt;0,TEXT(SUMPRODUCT(MAX(('Agences &amp; Après-vente'!$A$2:$A$1000=$A886)*(('Agences &amp; Après-vente'!$D$2:$D$1000="Après-vente")+('Agences &amp; Après-vente'!$D$2:$D$1000="Agences et Après-vente"))*'Agences &amp; Après-vente'!$E$2:$E$1000)),"yyyy-mm-dd"),"")))))</f>
        <v/>
      </c>
      <c r="J886" s="131" t="str">
        <f aca="false">IF($T886="✓","✓",IF(ISNUMBER($T886),TEXT($T886,"yyyy-mm-dd"),IF($A886="","",IF($D886="Lisbonne","",IF(SUMPRODUCT(('Agences &amp; Après-vente'!$A$2:$A$1000=$A886)*(('Agences &amp; Après-vente'!$D$2:$D$1000="Après-vente")+('Agences &amp; Après-vente'!$D$2:$D$1000="Agences et Après-vente"))*('Agences &amp; Après-vente'!$I$2:$I$1000="DONE"))&gt;0,"✓",IF(SUMPRODUCT(MAX(('Agences &amp; Après-vente'!$A$2:$A$1000=$A886)*(('Agences &amp; Après-vente'!$D$2:$D$1000="Après-vente")+('Agences &amp; Après-vente'!$D$2:$D$1000="Agences et Après-vente"))*'Agences &amp; Après-vente'!$E$2:$E$1000))&gt;0,TEXT(SUMPRODUCT(MAX(('Agences &amp; Après-vente'!$A$2:$A$1000=$A886)*(('Agences &amp; Après-vente'!$D$2:$D$1000="Après-vente")+('Agences &amp; Après-vente'!$D$2:$D$1000="Agences et Après-vente"))*'Agences &amp; Après-vente'!$E$2:$E$1000)),"yyyy-mm-dd"),""))))))</f>
        <v/>
      </c>
      <c r="K886" s="131" t="str">
        <f aca="false">IF($U886="✓","✓",IF(ISNUMBER($U886),TEXT($U886,"yyyy-mm-dd"),IF($D886="Lisbonne","",IF($A886="","",IF(SUMPRODUCT((Evermont!$A$2:$A$1000=$A886)*(Evermont!$Q$2:$Q$1000="Terminé"))&gt;0,"✓",IF(SUMPRODUCT(MAX((Evermont!$A$2:$A$1000=$A886)*Evermont!$F$2:$F$1000))&gt;0,TEXT(SUMPRODUCT(MAX((Evermont!$A$2:$A$1000=$A886)*Evermont!$F$2:$F$1000)),"yyyy-mm-dd"),""))))))</f>
        <v/>
      </c>
      <c r="L886" s="131" t="str">
        <f aca="false">IF($A886="","",COUNTIF(E886:K886,"✓"))</f>
        <v/>
      </c>
      <c r="M886" s="131" t="str">
        <f aca="false">IF(B886="","","Active")</f>
        <v/>
      </c>
      <c r="W886" s="120" t="str">
        <f aca="false">IF($A886="","",IF($X886&lt;&gt;"",$X886,IFERROR(INDEX('Formation Initiale'!$B$2:$B$999,MATCH($A886,'Formation Initiale'!$A$2:$A$999,0)),"Général")))</f>
        <v/>
      </c>
    </row>
    <row r="887" customFormat="false" ht="15" hidden="true" customHeight="true" outlineLevel="0" collapsed="false">
      <c r="A887" s="142" t="str">
        <f aca="false">IF(B887="","","TR"&amp;TEXT(ROW()-1,"000"))</f>
        <v/>
      </c>
      <c r="E887" s="130" t="str">
        <f aca="false">IF($O887="✓","✓",IF(ISNUMBER($O887),TEXT($O887,"yyyy-mm-dd"),IF($A887="","",IF(SUMPRODUCT(('Formation Initiale'!$A$2:$A$999=$A887)*('Formation Initiale'!$R$2:$R$999="Terminé"))&gt;0,"✓",IF(SUMPRODUCT(MAX(('Formation Initiale'!$A$2:$A$999=$A887)*'Formation Initiale'!$G$2:$G$999))&gt;0,TEXT(SUMPRODUCT(MAX(('Formation Initiale'!$A$2:$A$999=$A887)*'Formation Initiale'!$G$2:$G$999)),"yyyy-mm-dd"),"")))))</f>
        <v/>
      </c>
      <c r="F887" s="131" t="str">
        <f aca="false">IF($P887="✓","✓",IF(ISNUMBER($P887),TEXT($P887,"yyyy-mm-dd"),IF($A887="","",IF($D887="Lisbonne","",IF(SUMPRODUCT(('Formation Initiale'!$A$2:$A$999=$A887)*('Formation Initiale'!$R$2:$R$999="Terminé"))&gt;0,"✓",IF(SUMPRODUCT(MAX(('Formation Initiale'!$A$2:$A$999=$A887)*'Formation Initiale'!$G$2:$G$999))&gt;0,TEXT(SUMPRODUCT(MAX(('Formation Initiale'!$A$2:$A$999=$A887)*'Formation Initiale'!$G$2:$G$999)),"yyyy-mm-dd"),""))))))</f>
        <v/>
      </c>
      <c r="G887" s="131" t="str">
        <f aca="false">IF($Q887="✓","✓",IF(ISNUMBER($Q887),TEXT($Q887,"yyyy-mm-dd"),IF($A887="","",IF(SUMPRODUCT(('Agences &amp; Après-vente'!$A$2:$A$1000=$A887)*(('Agences &amp; Après-vente'!$D$2:$D$1000="Agences")+('Agences &amp; Après-vente'!$D$2:$D$1000="Agences et Après-vente"))*('Agences &amp; Après-vente'!$I$2:$I$1000="DONE"))&gt;0,"✓",IF(SUMPRODUCT(MAX(('Agences &amp; Après-vente'!$A$2:$A$1000=$A887)*(('Agences &amp; Après-vente'!$D$2:$D$1000="Agences")+('Agences &amp; Après-vente'!$D$2:$D$1000="Agences et Après-vente"))*'Agences &amp; Après-vente'!$E$2:$E$1000))&gt;0,TEXT(SUMPRODUCT(MAX(('Agences &amp; Après-vente'!$A$2:$A$1000=$A887)*(('Agences &amp; Après-vente'!$D$2:$D$1000="Agences")+('Agences &amp; Après-vente'!$D$2:$D$1000="Agences et Après-vente"))*'Agences &amp; Après-vente'!$E$2:$E$1000)),"yyyy-mm-dd"),"")))))</f>
        <v/>
      </c>
      <c r="H887" s="131" t="str">
        <f aca="false">IF($R887="✓","✓",IF(ISNUMBER($R887),TEXT($R887,"yyyy-mm-dd"),IF($A887="","",IF($D887="Lisbonne","",IF(SUMPRODUCT(('Agences &amp; Après-vente'!$A$2:$A$1000=$A887)*(('Agences &amp; Après-vente'!$D$2:$D$1000="Agences")+('Agences &amp; Après-vente'!$D$2:$D$1000="Agences et Après-vente"))*('Agences &amp; Après-vente'!$I$2:$I$1000="DONE"))&gt;0,"✓",IF(SUMPRODUCT(MAX(('Agences &amp; Après-vente'!$A$2:$A$1000=$A887)*(('Agences &amp; Après-vente'!$D$2:$D$1000="Agences")+('Agences &amp; Après-vente'!$D$2:$D$1000="Agences et Après-vente"))*'Agences &amp; Après-vente'!$E$2:$E$1000))&gt;0,TEXT(SUMPRODUCT(MAX(('Agences &amp; Après-vente'!$A$2:$A$1000=$A887)*(('Agences &amp; Après-vente'!$D$2:$D$1000="Agences")+('Agences &amp; Après-vente'!$D$2:$D$1000="Agences et Après-vente"))*'Agences &amp; Après-vente'!$E$2:$E$1000)),"yyyy-mm-dd"),""))))))</f>
        <v/>
      </c>
      <c r="I887" s="131" t="str">
        <f aca="false">IF($S887="✓","✓",IF(ISNUMBER($S887),TEXT($S887,"yyyy-mm-dd"),IF($A887="","",IF(SUMPRODUCT(('Agences &amp; Après-vente'!$A$2:$A$1000=$A887)*(('Agences &amp; Après-vente'!$D$2:$D$1000="Après-vente")+('Agences &amp; Après-vente'!$D$2:$D$1000="Agences et Après-vente"))*('Agences &amp; Après-vente'!$I$2:$I$1000="DONE"))&gt;0,"✓",IF(SUMPRODUCT(MAX(('Agences &amp; Après-vente'!$A$2:$A$1000=$A887)*(('Agences &amp; Après-vente'!$D$2:$D$1000="Après-vente")+('Agences &amp; Après-vente'!$D$2:$D$1000="Agences et Après-vente"))*'Agences &amp; Après-vente'!$E$2:$E$1000))&gt;0,TEXT(SUMPRODUCT(MAX(('Agences &amp; Après-vente'!$A$2:$A$1000=$A887)*(('Agences &amp; Après-vente'!$D$2:$D$1000="Après-vente")+('Agences &amp; Après-vente'!$D$2:$D$1000="Agences et Après-vente"))*'Agences &amp; Après-vente'!$E$2:$E$1000)),"yyyy-mm-dd"),"")))))</f>
        <v/>
      </c>
      <c r="J887" s="131" t="str">
        <f aca="false">IF($T887="✓","✓",IF(ISNUMBER($T887),TEXT($T887,"yyyy-mm-dd"),IF($A887="","",IF($D887="Lisbonne","",IF(SUMPRODUCT(('Agences &amp; Après-vente'!$A$2:$A$1000=$A887)*(('Agences &amp; Après-vente'!$D$2:$D$1000="Après-vente")+('Agences &amp; Après-vente'!$D$2:$D$1000="Agences et Après-vente"))*('Agences &amp; Après-vente'!$I$2:$I$1000="DONE"))&gt;0,"✓",IF(SUMPRODUCT(MAX(('Agences &amp; Après-vente'!$A$2:$A$1000=$A887)*(('Agences &amp; Après-vente'!$D$2:$D$1000="Après-vente")+('Agences &amp; Après-vente'!$D$2:$D$1000="Agences et Après-vente"))*'Agences &amp; Après-vente'!$E$2:$E$1000))&gt;0,TEXT(SUMPRODUCT(MAX(('Agences &amp; Après-vente'!$A$2:$A$1000=$A887)*(('Agences &amp; Après-vente'!$D$2:$D$1000="Après-vente")+('Agences &amp; Après-vente'!$D$2:$D$1000="Agences et Après-vente"))*'Agences &amp; Après-vente'!$E$2:$E$1000)),"yyyy-mm-dd"),""))))))</f>
        <v/>
      </c>
      <c r="K887" s="131" t="str">
        <f aca="false">IF($U887="✓","✓",IF(ISNUMBER($U887),TEXT($U887,"yyyy-mm-dd"),IF($D887="Lisbonne","",IF($A887="","",IF(SUMPRODUCT((Evermont!$A$2:$A$1000=$A887)*(Evermont!$Q$2:$Q$1000="Terminé"))&gt;0,"✓",IF(SUMPRODUCT(MAX((Evermont!$A$2:$A$1000=$A887)*Evermont!$F$2:$F$1000))&gt;0,TEXT(SUMPRODUCT(MAX((Evermont!$A$2:$A$1000=$A887)*Evermont!$F$2:$F$1000)),"yyyy-mm-dd"),""))))))</f>
        <v/>
      </c>
      <c r="L887" s="131" t="str">
        <f aca="false">IF($A887="","",COUNTIF(E887:K887,"✓"))</f>
        <v/>
      </c>
      <c r="M887" s="131" t="str">
        <f aca="false">IF(B887="","","Active")</f>
        <v/>
      </c>
      <c r="W887" s="120" t="str">
        <f aca="false">IF($A887="","",IF($X887&lt;&gt;"",$X887,IFERROR(INDEX('Formation Initiale'!$B$2:$B$999,MATCH($A887,'Formation Initiale'!$A$2:$A$999,0)),"Général")))</f>
        <v/>
      </c>
    </row>
    <row r="888" customFormat="false" ht="15" hidden="true" customHeight="true" outlineLevel="0" collapsed="false">
      <c r="A888" s="142" t="str">
        <f aca="false">IF(B888="","","TR"&amp;TEXT(ROW()-1,"000"))</f>
        <v/>
      </c>
      <c r="E888" s="130" t="str">
        <f aca="false">IF($O888="✓","✓",IF(ISNUMBER($O888),TEXT($O888,"yyyy-mm-dd"),IF($A888="","",IF(SUMPRODUCT(('Formation Initiale'!$A$2:$A$999=$A888)*('Formation Initiale'!$R$2:$R$999="Terminé"))&gt;0,"✓",IF(SUMPRODUCT(MAX(('Formation Initiale'!$A$2:$A$999=$A888)*'Formation Initiale'!$G$2:$G$999))&gt;0,TEXT(SUMPRODUCT(MAX(('Formation Initiale'!$A$2:$A$999=$A888)*'Formation Initiale'!$G$2:$G$999)),"yyyy-mm-dd"),"")))))</f>
        <v/>
      </c>
      <c r="F888" s="131" t="str">
        <f aca="false">IF($P888="✓","✓",IF(ISNUMBER($P888),TEXT($P888,"yyyy-mm-dd"),IF($A888="","",IF($D888="Lisbonne","",IF(SUMPRODUCT(('Formation Initiale'!$A$2:$A$999=$A888)*('Formation Initiale'!$R$2:$R$999="Terminé"))&gt;0,"✓",IF(SUMPRODUCT(MAX(('Formation Initiale'!$A$2:$A$999=$A888)*'Formation Initiale'!$G$2:$G$999))&gt;0,TEXT(SUMPRODUCT(MAX(('Formation Initiale'!$A$2:$A$999=$A888)*'Formation Initiale'!$G$2:$G$999)),"yyyy-mm-dd"),""))))))</f>
        <v/>
      </c>
      <c r="G888" s="131" t="str">
        <f aca="false">IF($Q888="✓","✓",IF(ISNUMBER($Q888),TEXT($Q888,"yyyy-mm-dd"),IF($A888="","",IF(SUMPRODUCT(('Agences &amp; Après-vente'!$A$2:$A$1000=$A888)*(('Agences &amp; Après-vente'!$D$2:$D$1000="Agences")+('Agences &amp; Après-vente'!$D$2:$D$1000="Agences et Après-vente"))*('Agences &amp; Après-vente'!$I$2:$I$1000="DONE"))&gt;0,"✓",IF(SUMPRODUCT(MAX(('Agences &amp; Après-vente'!$A$2:$A$1000=$A888)*(('Agences &amp; Après-vente'!$D$2:$D$1000="Agences")+('Agences &amp; Après-vente'!$D$2:$D$1000="Agences et Après-vente"))*'Agences &amp; Après-vente'!$E$2:$E$1000))&gt;0,TEXT(SUMPRODUCT(MAX(('Agences &amp; Après-vente'!$A$2:$A$1000=$A888)*(('Agences &amp; Après-vente'!$D$2:$D$1000="Agences")+('Agences &amp; Après-vente'!$D$2:$D$1000="Agences et Après-vente"))*'Agences &amp; Après-vente'!$E$2:$E$1000)),"yyyy-mm-dd"),"")))))</f>
        <v/>
      </c>
      <c r="H888" s="131" t="str">
        <f aca="false">IF($R888="✓","✓",IF(ISNUMBER($R888),TEXT($R888,"yyyy-mm-dd"),IF($A888="","",IF($D888="Lisbonne","",IF(SUMPRODUCT(('Agences &amp; Après-vente'!$A$2:$A$1000=$A888)*(('Agences &amp; Après-vente'!$D$2:$D$1000="Agences")+('Agences &amp; Après-vente'!$D$2:$D$1000="Agences et Après-vente"))*('Agences &amp; Après-vente'!$I$2:$I$1000="DONE"))&gt;0,"✓",IF(SUMPRODUCT(MAX(('Agences &amp; Après-vente'!$A$2:$A$1000=$A888)*(('Agences &amp; Après-vente'!$D$2:$D$1000="Agences")+('Agences &amp; Après-vente'!$D$2:$D$1000="Agences et Après-vente"))*'Agences &amp; Après-vente'!$E$2:$E$1000))&gt;0,TEXT(SUMPRODUCT(MAX(('Agences &amp; Après-vente'!$A$2:$A$1000=$A888)*(('Agences &amp; Après-vente'!$D$2:$D$1000="Agences")+('Agences &amp; Après-vente'!$D$2:$D$1000="Agences et Après-vente"))*'Agences &amp; Après-vente'!$E$2:$E$1000)),"yyyy-mm-dd"),""))))))</f>
        <v/>
      </c>
      <c r="I888" s="131" t="str">
        <f aca="false">IF($S888="✓","✓",IF(ISNUMBER($S888),TEXT($S888,"yyyy-mm-dd"),IF($A888="","",IF(SUMPRODUCT(('Agences &amp; Après-vente'!$A$2:$A$1000=$A888)*(('Agences &amp; Après-vente'!$D$2:$D$1000="Après-vente")+('Agences &amp; Après-vente'!$D$2:$D$1000="Agences et Après-vente"))*('Agences &amp; Après-vente'!$I$2:$I$1000="DONE"))&gt;0,"✓",IF(SUMPRODUCT(MAX(('Agences &amp; Après-vente'!$A$2:$A$1000=$A888)*(('Agences &amp; Après-vente'!$D$2:$D$1000="Après-vente")+('Agences &amp; Après-vente'!$D$2:$D$1000="Agences et Après-vente"))*'Agences &amp; Après-vente'!$E$2:$E$1000))&gt;0,TEXT(SUMPRODUCT(MAX(('Agences &amp; Après-vente'!$A$2:$A$1000=$A888)*(('Agences &amp; Après-vente'!$D$2:$D$1000="Après-vente")+('Agences &amp; Après-vente'!$D$2:$D$1000="Agences et Après-vente"))*'Agences &amp; Après-vente'!$E$2:$E$1000)),"yyyy-mm-dd"),"")))))</f>
        <v/>
      </c>
      <c r="J888" s="131" t="str">
        <f aca="false">IF($T888="✓","✓",IF(ISNUMBER($T888),TEXT($T888,"yyyy-mm-dd"),IF($A888="","",IF($D888="Lisbonne","",IF(SUMPRODUCT(('Agences &amp; Après-vente'!$A$2:$A$1000=$A888)*(('Agences &amp; Après-vente'!$D$2:$D$1000="Après-vente")+('Agences &amp; Après-vente'!$D$2:$D$1000="Agences et Après-vente"))*('Agences &amp; Après-vente'!$I$2:$I$1000="DONE"))&gt;0,"✓",IF(SUMPRODUCT(MAX(('Agences &amp; Après-vente'!$A$2:$A$1000=$A888)*(('Agences &amp; Après-vente'!$D$2:$D$1000="Après-vente")+('Agences &amp; Après-vente'!$D$2:$D$1000="Agences et Après-vente"))*'Agences &amp; Après-vente'!$E$2:$E$1000))&gt;0,TEXT(SUMPRODUCT(MAX(('Agences &amp; Après-vente'!$A$2:$A$1000=$A888)*(('Agences &amp; Après-vente'!$D$2:$D$1000="Après-vente")+('Agences &amp; Après-vente'!$D$2:$D$1000="Agences et Après-vente"))*'Agences &amp; Après-vente'!$E$2:$E$1000)),"yyyy-mm-dd"),""))))))</f>
        <v/>
      </c>
      <c r="K888" s="131" t="str">
        <f aca="false">IF($U888="✓","✓",IF(ISNUMBER($U888),TEXT($U888,"yyyy-mm-dd"),IF($D888="Lisbonne","",IF($A888="","",IF(SUMPRODUCT((Evermont!$A$2:$A$1000=$A888)*(Evermont!$Q$2:$Q$1000="Terminé"))&gt;0,"✓",IF(SUMPRODUCT(MAX((Evermont!$A$2:$A$1000=$A888)*Evermont!$F$2:$F$1000))&gt;0,TEXT(SUMPRODUCT(MAX((Evermont!$A$2:$A$1000=$A888)*Evermont!$F$2:$F$1000)),"yyyy-mm-dd"),""))))))</f>
        <v/>
      </c>
      <c r="L888" s="131" t="str">
        <f aca="false">IF($A888="","",COUNTIF(E888:K888,"✓"))</f>
        <v/>
      </c>
      <c r="M888" s="131" t="str">
        <f aca="false">IF(B888="","","Active")</f>
        <v/>
      </c>
      <c r="W888" s="120" t="str">
        <f aca="false">IF($A888="","",IF($X888&lt;&gt;"",$X888,IFERROR(INDEX('Formation Initiale'!$B$2:$B$999,MATCH($A888,'Formation Initiale'!$A$2:$A$999,0)),"Général")))</f>
        <v/>
      </c>
    </row>
    <row r="889" customFormat="false" ht="15" hidden="true" customHeight="true" outlineLevel="0" collapsed="false">
      <c r="A889" s="142" t="str">
        <f aca="false">IF(B889="","","TR"&amp;TEXT(ROW()-1,"000"))</f>
        <v/>
      </c>
      <c r="E889" s="130" t="str">
        <f aca="false">IF($O889="✓","✓",IF(ISNUMBER($O889),TEXT($O889,"yyyy-mm-dd"),IF($A889="","",IF(SUMPRODUCT(('Formation Initiale'!$A$2:$A$999=$A889)*('Formation Initiale'!$R$2:$R$999="Terminé"))&gt;0,"✓",IF(SUMPRODUCT(MAX(('Formation Initiale'!$A$2:$A$999=$A889)*'Formation Initiale'!$G$2:$G$999))&gt;0,TEXT(SUMPRODUCT(MAX(('Formation Initiale'!$A$2:$A$999=$A889)*'Formation Initiale'!$G$2:$G$999)),"yyyy-mm-dd"),"")))))</f>
        <v/>
      </c>
      <c r="F889" s="131" t="str">
        <f aca="false">IF($P889="✓","✓",IF(ISNUMBER($P889),TEXT($P889,"yyyy-mm-dd"),IF($A889="","",IF($D889="Lisbonne","",IF(SUMPRODUCT(('Formation Initiale'!$A$2:$A$999=$A889)*('Formation Initiale'!$R$2:$R$999="Terminé"))&gt;0,"✓",IF(SUMPRODUCT(MAX(('Formation Initiale'!$A$2:$A$999=$A889)*'Formation Initiale'!$G$2:$G$999))&gt;0,TEXT(SUMPRODUCT(MAX(('Formation Initiale'!$A$2:$A$999=$A889)*'Formation Initiale'!$G$2:$G$999)),"yyyy-mm-dd"),""))))))</f>
        <v/>
      </c>
      <c r="G889" s="131" t="str">
        <f aca="false">IF($Q889="✓","✓",IF(ISNUMBER($Q889),TEXT($Q889,"yyyy-mm-dd"),IF($A889="","",IF(SUMPRODUCT(('Agences &amp; Après-vente'!$A$2:$A$1000=$A889)*(('Agences &amp; Après-vente'!$D$2:$D$1000="Agences")+('Agences &amp; Après-vente'!$D$2:$D$1000="Agences et Après-vente"))*('Agences &amp; Après-vente'!$I$2:$I$1000="DONE"))&gt;0,"✓",IF(SUMPRODUCT(MAX(('Agences &amp; Après-vente'!$A$2:$A$1000=$A889)*(('Agences &amp; Après-vente'!$D$2:$D$1000="Agences")+('Agences &amp; Après-vente'!$D$2:$D$1000="Agences et Après-vente"))*'Agences &amp; Après-vente'!$E$2:$E$1000))&gt;0,TEXT(SUMPRODUCT(MAX(('Agences &amp; Après-vente'!$A$2:$A$1000=$A889)*(('Agences &amp; Après-vente'!$D$2:$D$1000="Agences")+('Agences &amp; Après-vente'!$D$2:$D$1000="Agences et Après-vente"))*'Agences &amp; Après-vente'!$E$2:$E$1000)),"yyyy-mm-dd"),"")))))</f>
        <v/>
      </c>
      <c r="H889" s="131" t="str">
        <f aca="false">IF($R889="✓","✓",IF(ISNUMBER($R889),TEXT($R889,"yyyy-mm-dd"),IF($A889="","",IF($D889="Lisbonne","",IF(SUMPRODUCT(('Agences &amp; Après-vente'!$A$2:$A$1000=$A889)*(('Agences &amp; Après-vente'!$D$2:$D$1000="Agences")+('Agences &amp; Après-vente'!$D$2:$D$1000="Agences et Après-vente"))*('Agences &amp; Après-vente'!$I$2:$I$1000="DONE"))&gt;0,"✓",IF(SUMPRODUCT(MAX(('Agences &amp; Après-vente'!$A$2:$A$1000=$A889)*(('Agences &amp; Après-vente'!$D$2:$D$1000="Agences")+('Agences &amp; Après-vente'!$D$2:$D$1000="Agences et Après-vente"))*'Agences &amp; Après-vente'!$E$2:$E$1000))&gt;0,TEXT(SUMPRODUCT(MAX(('Agences &amp; Après-vente'!$A$2:$A$1000=$A889)*(('Agences &amp; Après-vente'!$D$2:$D$1000="Agences")+('Agences &amp; Après-vente'!$D$2:$D$1000="Agences et Après-vente"))*'Agences &amp; Après-vente'!$E$2:$E$1000)),"yyyy-mm-dd"),""))))))</f>
        <v/>
      </c>
      <c r="I889" s="131" t="str">
        <f aca="false">IF($S889="✓","✓",IF(ISNUMBER($S889),TEXT($S889,"yyyy-mm-dd"),IF($A889="","",IF(SUMPRODUCT(('Agences &amp; Après-vente'!$A$2:$A$1000=$A889)*(('Agences &amp; Après-vente'!$D$2:$D$1000="Après-vente")+('Agences &amp; Après-vente'!$D$2:$D$1000="Agences et Après-vente"))*('Agences &amp; Après-vente'!$I$2:$I$1000="DONE"))&gt;0,"✓",IF(SUMPRODUCT(MAX(('Agences &amp; Après-vente'!$A$2:$A$1000=$A889)*(('Agences &amp; Après-vente'!$D$2:$D$1000="Après-vente")+('Agences &amp; Après-vente'!$D$2:$D$1000="Agences et Après-vente"))*'Agences &amp; Après-vente'!$E$2:$E$1000))&gt;0,TEXT(SUMPRODUCT(MAX(('Agences &amp; Après-vente'!$A$2:$A$1000=$A889)*(('Agences &amp; Après-vente'!$D$2:$D$1000="Après-vente")+('Agences &amp; Après-vente'!$D$2:$D$1000="Agences et Après-vente"))*'Agences &amp; Après-vente'!$E$2:$E$1000)),"yyyy-mm-dd"),"")))))</f>
        <v/>
      </c>
      <c r="J889" s="131" t="str">
        <f aca="false">IF($T889="✓","✓",IF(ISNUMBER($T889),TEXT($T889,"yyyy-mm-dd"),IF($A889="","",IF($D889="Lisbonne","",IF(SUMPRODUCT(('Agences &amp; Après-vente'!$A$2:$A$1000=$A889)*(('Agences &amp; Après-vente'!$D$2:$D$1000="Après-vente")+('Agences &amp; Après-vente'!$D$2:$D$1000="Agences et Après-vente"))*('Agences &amp; Après-vente'!$I$2:$I$1000="DONE"))&gt;0,"✓",IF(SUMPRODUCT(MAX(('Agences &amp; Après-vente'!$A$2:$A$1000=$A889)*(('Agences &amp; Après-vente'!$D$2:$D$1000="Après-vente")+('Agences &amp; Après-vente'!$D$2:$D$1000="Agences et Après-vente"))*'Agences &amp; Après-vente'!$E$2:$E$1000))&gt;0,TEXT(SUMPRODUCT(MAX(('Agences &amp; Après-vente'!$A$2:$A$1000=$A889)*(('Agences &amp; Après-vente'!$D$2:$D$1000="Après-vente")+('Agences &amp; Après-vente'!$D$2:$D$1000="Agences et Après-vente"))*'Agences &amp; Après-vente'!$E$2:$E$1000)),"yyyy-mm-dd"),""))))))</f>
        <v/>
      </c>
      <c r="K889" s="131" t="str">
        <f aca="false">IF($U889="✓","✓",IF(ISNUMBER($U889),TEXT($U889,"yyyy-mm-dd"),IF($D889="Lisbonne","",IF($A889="","",IF(SUMPRODUCT((Evermont!$A$2:$A$1000=$A889)*(Evermont!$Q$2:$Q$1000="Terminé"))&gt;0,"✓",IF(SUMPRODUCT(MAX((Evermont!$A$2:$A$1000=$A889)*Evermont!$F$2:$F$1000))&gt;0,TEXT(SUMPRODUCT(MAX((Evermont!$A$2:$A$1000=$A889)*Evermont!$F$2:$F$1000)),"yyyy-mm-dd"),""))))))</f>
        <v/>
      </c>
      <c r="L889" s="131" t="str">
        <f aca="false">IF($A889="","",COUNTIF(E889:K889,"✓"))</f>
        <v/>
      </c>
      <c r="M889" s="131" t="str">
        <f aca="false">IF(B889="","","Active")</f>
        <v/>
      </c>
      <c r="W889" s="120" t="str">
        <f aca="false">IF($A889="","",IF($X889&lt;&gt;"",$X889,IFERROR(INDEX('Formation Initiale'!$B$2:$B$999,MATCH($A889,'Formation Initiale'!$A$2:$A$999,0)),"Général")))</f>
        <v/>
      </c>
    </row>
    <row r="890" customFormat="false" ht="15" hidden="true" customHeight="true" outlineLevel="0" collapsed="false">
      <c r="A890" s="142" t="str">
        <f aca="false">IF(B890="","","TR"&amp;TEXT(ROW()-1,"000"))</f>
        <v/>
      </c>
      <c r="E890" s="130" t="str">
        <f aca="false">IF($O890="✓","✓",IF(ISNUMBER($O890),TEXT($O890,"yyyy-mm-dd"),IF($A890="","",IF(SUMPRODUCT(('Formation Initiale'!$A$2:$A$999=$A890)*('Formation Initiale'!$R$2:$R$999="Terminé"))&gt;0,"✓",IF(SUMPRODUCT(MAX(('Formation Initiale'!$A$2:$A$999=$A890)*'Formation Initiale'!$G$2:$G$999))&gt;0,TEXT(SUMPRODUCT(MAX(('Formation Initiale'!$A$2:$A$999=$A890)*'Formation Initiale'!$G$2:$G$999)),"yyyy-mm-dd"),"")))))</f>
        <v/>
      </c>
      <c r="F890" s="131" t="str">
        <f aca="false">IF($P890="✓","✓",IF(ISNUMBER($P890),TEXT($P890,"yyyy-mm-dd"),IF($A890="","",IF($D890="Lisbonne","",IF(SUMPRODUCT(('Formation Initiale'!$A$2:$A$999=$A890)*('Formation Initiale'!$R$2:$R$999="Terminé"))&gt;0,"✓",IF(SUMPRODUCT(MAX(('Formation Initiale'!$A$2:$A$999=$A890)*'Formation Initiale'!$G$2:$G$999))&gt;0,TEXT(SUMPRODUCT(MAX(('Formation Initiale'!$A$2:$A$999=$A890)*'Formation Initiale'!$G$2:$G$999)),"yyyy-mm-dd"),""))))))</f>
        <v/>
      </c>
      <c r="G890" s="131" t="str">
        <f aca="false">IF($Q890="✓","✓",IF(ISNUMBER($Q890),TEXT($Q890,"yyyy-mm-dd"),IF($A890="","",IF(SUMPRODUCT(('Agences &amp; Après-vente'!$A$2:$A$1000=$A890)*(('Agences &amp; Après-vente'!$D$2:$D$1000="Agences")+('Agences &amp; Après-vente'!$D$2:$D$1000="Agences et Après-vente"))*('Agences &amp; Après-vente'!$I$2:$I$1000="DONE"))&gt;0,"✓",IF(SUMPRODUCT(MAX(('Agences &amp; Après-vente'!$A$2:$A$1000=$A890)*(('Agences &amp; Après-vente'!$D$2:$D$1000="Agences")+('Agences &amp; Après-vente'!$D$2:$D$1000="Agences et Après-vente"))*'Agences &amp; Après-vente'!$E$2:$E$1000))&gt;0,TEXT(SUMPRODUCT(MAX(('Agences &amp; Après-vente'!$A$2:$A$1000=$A890)*(('Agences &amp; Après-vente'!$D$2:$D$1000="Agences")+('Agences &amp; Après-vente'!$D$2:$D$1000="Agences et Après-vente"))*'Agences &amp; Après-vente'!$E$2:$E$1000)),"yyyy-mm-dd"),"")))))</f>
        <v/>
      </c>
      <c r="H890" s="131" t="str">
        <f aca="false">IF($R890="✓","✓",IF(ISNUMBER($R890),TEXT($R890,"yyyy-mm-dd"),IF($A890="","",IF($D890="Lisbonne","",IF(SUMPRODUCT(('Agences &amp; Après-vente'!$A$2:$A$1000=$A890)*(('Agences &amp; Après-vente'!$D$2:$D$1000="Agences")+('Agences &amp; Après-vente'!$D$2:$D$1000="Agences et Après-vente"))*('Agences &amp; Après-vente'!$I$2:$I$1000="DONE"))&gt;0,"✓",IF(SUMPRODUCT(MAX(('Agences &amp; Après-vente'!$A$2:$A$1000=$A890)*(('Agences &amp; Après-vente'!$D$2:$D$1000="Agences")+('Agences &amp; Après-vente'!$D$2:$D$1000="Agences et Après-vente"))*'Agences &amp; Après-vente'!$E$2:$E$1000))&gt;0,TEXT(SUMPRODUCT(MAX(('Agences &amp; Après-vente'!$A$2:$A$1000=$A890)*(('Agences &amp; Après-vente'!$D$2:$D$1000="Agences")+('Agences &amp; Après-vente'!$D$2:$D$1000="Agences et Après-vente"))*'Agences &amp; Après-vente'!$E$2:$E$1000)),"yyyy-mm-dd"),""))))))</f>
        <v/>
      </c>
      <c r="I890" s="131" t="str">
        <f aca="false">IF($S890="✓","✓",IF(ISNUMBER($S890),TEXT($S890,"yyyy-mm-dd"),IF($A890="","",IF(SUMPRODUCT(('Agences &amp; Après-vente'!$A$2:$A$1000=$A890)*(('Agences &amp; Après-vente'!$D$2:$D$1000="Après-vente")+('Agences &amp; Après-vente'!$D$2:$D$1000="Agences et Après-vente"))*('Agences &amp; Après-vente'!$I$2:$I$1000="DONE"))&gt;0,"✓",IF(SUMPRODUCT(MAX(('Agences &amp; Après-vente'!$A$2:$A$1000=$A890)*(('Agences &amp; Après-vente'!$D$2:$D$1000="Après-vente")+('Agences &amp; Après-vente'!$D$2:$D$1000="Agences et Après-vente"))*'Agences &amp; Après-vente'!$E$2:$E$1000))&gt;0,TEXT(SUMPRODUCT(MAX(('Agences &amp; Après-vente'!$A$2:$A$1000=$A890)*(('Agences &amp; Après-vente'!$D$2:$D$1000="Après-vente")+('Agences &amp; Après-vente'!$D$2:$D$1000="Agences et Après-vente"))*'Agences &amp; Après-vente'!$E$2:$E$1000)),"yyyy-mm-dd"),"")))))</f>
        <v/>
      </c>
      <c r="J890" s="131" t="str">
        <f aca="false">IF($T890="✓","✓",IF(ISNUMBER($T890),TEXT($T890,"yyyy-mm-dd"),IF($A890="","",IF($D890="Lisbonne","",IF(SUMPRODUCT(('Agences &amp; Après-vente'!$A$2:$A$1000=$A890)*(('Agences &amp; Après-vente'!$D$2:$D$1000="Après-vente")+('Agences &amp; Après-vente'!$D$2:$D$1000="Agences et Après-vente"))*('Agences &amp; Après-vente'!$I$2:$I$1000="DONE"))&gt;0,"✓",IF(SUMPRODUCT(MAX(('Agences &amp; Après-vente'!$A$2:$A$1000=$A890)*(('Agences &amp; Après-vente'!$D$2:$D$1000="Après-vente")+('Agences &amp; Après-vente'!$D$2:$D$1000="Agences et Après-vente"))*'Agences &amp; Après-vente'!$E$2:$E$1000))&gt;0,TEXT(SUMPRODUCT(MAX(('Agences &amp; Après-vente'!$A$2:$A$1000=$A890)*(('Agences &amp; Après-vente'!$D$2:$D$1000="Après-vente")+('Agences &amp; Après-vente'!$D$2:$D$1000="Agences et Après-vente"))*'Agences &amp; Après-vente'!$E$2:$E$1000)),"yyyy-mm-dd"),""))))))</f>
        <v/>
      </c>
      <c r="K890" s="131" t="str">
        <f aca="false">IF($U890="✓","✓",IF(ISNUMBER($U890),TEXT($U890,"yyyy-mm-dd"),IF($D890="Lisbonne","",IF($A890="","",IF(SUMPRODUCT((Evermont!$A$2:$A$1000=$A890)*(Evermont!$Q$2:$Q$1000="Terminé"))&gt;0,"✓",IF(SUMPRODUCT(MAX((Evermont!$A$2:$A$1000=$A890)*Evermont!$F$2:$F$1000))&gt;0,TEXT(SUMPRODUCT(MAX((Evermont!$A$2:$A$1000=$A890)*Evermont!$F$2:$F$1000)),"yyyy-mm-dd"),""))))))</f>
        <v/>
      </c>
      <c r="L890" s="131" t="str">
        <f aca="false">IF($A890="","",COUNTIF(E890:K890,"✓"))</f>
        <v/>
      </c>
      <c r="M890" s="131" t="str">
        <f aca="false">IF(B890="","","Active")</f>
        <v/>
      </c>
      <c r="W890" s="120" t="str">
        <f aca="false">IF($A890="","",IF($X890&lt;&gt;"",$X890,IFERROR(INDEX('Formation Initiale'!$B$2:$B$999,MATCH($A890,'Formation Initiale'!$A$2:$A$999,0)),"Général")))</f>
        <v/>
      </c>
    </row>
    <row r="891" customFormat="false" ht="15" hidden="true" customHeight="true" outlineLevel="0" collapsed="false">
      <c r="A891" s="142" t="str">
        <f aca="false">IF(B891="","","TR"&amp;TEXT(ROW()-1,"000"))</f>
        <v/>
      </c>
      <c r="E891" s="130" t="str">
        <f aca="false">IF($O891="✓","✓",IF(ISNUMBER($O891),TEXT($O891,"yyyy-mm-dd"),IF($A891="","",IF(SUMPRODUCT(('Formation Initiale'!$A$2:$A$999=$A891)*('Formation Initiale'!$R$2:$R$999="Terminé"))&gt;0,"✓",IF(SUMPRODUCT(MAX(('Formation Initiale'!$A$2:$A$999=$A891)*'Formation Initiale'!$G$2:$G$999))&gt;0,TEXT(SUMPRODUCT(MAX(('Formation Initiale'!$A$2:$A$999=$A891)*'Formation Initiale'!$G$2:$G$999)),"yyyy-mm-dd"),"")))))</f>
        <v/>
      </c>
      <c r="F891" s="131" t="str">
        <f aca="false">IF($P891="✓","✓",IF(ISNUMBER($P891),TEXT($P891,"yyyy-mm-dd"),IF($A891="","",IF($D891="Lisbonne","",IF(SUMPRODUCT(('Formation Initiale'!$A$2:$A$999=$A891)*('Formation Initiale'!$R$2:$R$999="Terminé"))&gt;0,"✓",IF(SUMPRODUCT(MAX(('Formation Initiale'!$A$2:$A$999=$A891)*'Formation Initiale'!$G$2:$G$999))&gt;0,TEXT(SUMPRODUCT(MAX(('Formation Initiale'!$A$2:$A$999=$A891)*'Formation Initiale'!$G$2:$G$999)),"yyyy-mm-dd"),""))))))</f>
        <v/>
      </c>
      <c r="G891" s="131" t="str">
        <f aca="false">IF($Q891="✓","✓",IF(ISNUMBER($Q891),TEXT($Q891,"yyyy-mm-dd"),IF($A891="","",IF(SUMPRODUCT(('Agences &amp; Après-vente'!$A$2:$A$1000=$A891)*(('Agences &amp; Après-vente'!$D$2:$D$1000="Agences")+('Agences &amp; Après-vente'!$D$2:$D$1000="Agences et Après-vente"))*('Agences &amp; Après-vente'!$I$2:$I$1000="DONE"))&gt;0,"✓",IF(SUMPRODUCT(MAX(('Agences &amp; Après-vente'!$A$2:$A$1000=$A891)*(('Agences &amp; Après-vente'!$D$2:$D$1000="Agences")+('Agences &amp; Après-vente'!$D$2:$D$1000="Agences et Après-vente"))*'Agences &amp; Après-vente'!$E$2:$E$1000))&gt;0,TEXT(SUMPRODUCT(MAX(('Agences &amp; Après-vente'!$A$2:$A$1000=$A891)*(('Agences &amp; Après-vente'!$D$2:$D$1000="Agences")+('Agences &amp; Après-vente'!$D$2:$D$1000="Agences et Après-vente"))*'Agences &amp; Après-vente'!$E$2:$E$1000)),"yyyy-mm-dd"),"")))))</f>
        <v/>
      </c>
      <c r="H891" s="131" t="str">
        <f aca="false">IF($R891="✓","✓",IF(ISNUMBER($R891),TEXT($R891,"yyyy-mm-dd"),IF($A891="","",IF($D891="Lisbonne","",IF(SUMPRODUCT(('Agences &amp; Après-vente'!$A$2:$A$1000=$A891)*(('Agences &amp; Après-vente'!$D$2:$D$1000="Agences")+('Agences &amp; Après-vente'!$D$2:$D$1000="Agences et Après-vente"))*('Agences &amp; Après-vente'!$I$2:$I$1000="DONE"))&gt;0,"✓",IF(SUMPRODUCT(MAX(('Agences &amp; Après-vente'!$A$2:$A$1000=$A891)*(('Agences &amp; Après-vente'!$D$2:$D$1000="Agences")+('Agences &amp; Après-vente'!$D$2:$D$1000="Agences et Après-vente"))*'Agences &amp; Après-vente'!$E$2:$E$1000))&gt;0,TEXT(SUMPRODUCT(MAX(('Agences &amp; Après-vente'!$A$2:$A$1000=$A891)*(('Agences &amp; Après-vente'!$D$2:$D$1000="Agences")+('Agences &amp; Après-vente'!$D$2:$D$1000="Agences et Après-vente"))*'Agences &amp; Après-vente'!$E$2:$E$1000)),"yyyy-mm-dd"),""))))))</f>
        <v/>
      </c>
      <c r="I891" s="131" t="str">
        <f aca="false">IF($S891="✓","✓",IF(ISNUMBER($S891),TEXT($S891,"yyyy-mm-dd"),IF($A891="","",IF(SUMPRODUCT(('Agences &amp; Après-vente'!$A$2:$A$1000=$A891)*(('Agences &amp; Après-vente'!$D$2:$D$1000="Après-vente")+('Agences &amp; Après-vente'!$D$2:$D$1000="Agences et Après-vente"))*('Agences &amp; Après-vente'!$I$2:$I$1000="DONE"))&gt;0,"✓",IF(SUMPRODUCT(MAX(('Agences &amp; Après-vente'!$A$2:$A$1000=$A891)*(('Agences &amp; Après-vente'!$D$2:$D$1000="Après-vente")+('Agences &amp; Après-vente'!$D$2:$D$1000="Agences et Après-vente"))*'Agences &amp; Après-vente'!$E$2:$E$1000))&gt;0,TEXT(SUMPRODUCT(MAX(('Agences &amp; Après-vente'!$A$2:$A$1000=$A891)*(('Agences &amp; Après-vente'!$D$2:$D$1000="Après-vente")+('Agences &amp; Après-vente'!$D$2:$D$1000="Agences et Après-vente"))*'Agences &amp; Après-vente'!$E$2:$E$1000)),"yyyy-mm-dd"),"")))))</f>
        <v/>
      </c>
      <c r="J891" s="131" t="str">
        <f aca="false">IF($T891="✓","✓",IF(ISNUMBER($T891),TEXT($T891,"yyyy-mm-dd"),IF($A891="","",IF($D891="Lisbonne","",IF(SUMPRODUCT(('Agences &amp; Après-vente'!$A$2:$A$1000=$A891)*(('Agences &amp; Après-vente'!$D$2:$D$1000="Après-vente")+('Agences &amp; Après-vente'!$D$2:$D$1000="Agences et Après-vente"))*('Agences &amp; Après-vente'!$I$2:$I$1000="DONE"))&gt;0,"✓",IF(SUMPRODUCT(MAX(('Agences &amp; Après-vente'!$A$2:$A$1000=$A891)*(('Agences &amp; Après-vente'!$D$2:$D$1000="Après-vente")+('Agences &amp; Après-vente'!$D$2:$D$1000="Agences et Après-vente"))*'Agences &amp; Après-vente'!$E$2:$E$1000))&gt;0,TEXT(SUMPRODUCT(MAX(('Agences &amp; Après-vente'!$A$2:$A$1000=$A891)*(('Agences &amp; Après-vente'!$D$2:$D$1000="Après-vente")+('Agences &amp; Après-vente'!$D$2:$D$1000="Agences et Après-vente"))*'Agences &amp; Après-vente'!$E$2:$E$1000)),"yyyy-mm-dd"),""))))))</f>
        <v/>
      </c>
      <c r="K891" s="131" t="str">
        <f aca="false">IF($U891="✓","✓",IF(ISNUMBER($U891),TEXT($U891,"yyyy-mm-dd"),IF($D891="Lisbonne","",IF($A891="","",IF(SUMPRODUCT((Evermont!$A$2:$A$1000=$A891)*(Evermont!$Q$2:$Q$1000="Terminé"))&gt;0,"✓",IF(SUMPRODUCT(MAX((Evermont!$A$2:$A$1000=$A891)*Evermont!$F$2:$F$1000))&gt;0,TEXT(SUMPRODUCT(MAX((Evermont!$A$2:$A$1000=$A891)*Evermont!$F$2:$F$1000)),"yyyy-mm-dd"),""))))))</f>
        <v/>
      </c>
      <c r="L891" s="131" t="str">
        <f aca="false">IF($A891="","",COUNTIF(E891:K891,"✓"))</f>
        <v/>
      </c>
      <c r="M891" s="131" t="str">
        <f aca="false">IF(B891="","","Active")</f>
        <v/>
      </c>
      <c r="W891" s="120" t="str">
        <f aca="false">IF($A891="","",IF($X891&lt;&gt;"",$X891,IFERROR(INDEX('Formation Initiale'!$B$2:$B$999,MATCH($A891,'Formation Initiale'!$A$2:$A$999,0)),"Général")))</f>
        <v/>
      </c>
    </row>
    <row r="892" customFormat="false" ht="15" hidden="true" customHeight="true" outlineLevel="0" collapsed="false">
      <c r="A892" s="142" t="str">
        <f aca="false">IF(B892="","","TR"&amp;TEXT(ROW()-1,"000"))</f>
        <v/>
      </c>
      <c r="E892" s="130" t="str">
        <f aca="false">IF($O892="✓","✓",IF(ISNUMBER($O892),TEXT($O892,"yyyy-mm-dd"),IF($A892="","",IF(SUMPRODUCT(('Formation Initiale'!$A$2:$A$999=$A892)*('Formation Initiale'!$R$2:$R$999="Terminé"))&gt;0,"✓",IF(SUMPRODUCT(MAX(('Formation Initiale'!$A$2:$A$999=$A892)*'Formation Initiale'!$G$2:$G$999))&gt;0,TEXT(SUMPRODUCT(MAX(('Formation Initiale'!$A$2:$A$999=$A892)*'Formation Initiale'!$G$2:$G$999)),"yyyy-mm-dd"),"")))))</f>
        <v/>
      </c>
      <c r="F892" s="131" t="str">
        <f aca="false">IF($P892="✓","✓",IF(ISNUMBER($P892),TEXT($P892,"yyyy-mm-dd"),IF($A892="","",IF($D892="Lisbonne","",IF(SUMPRODUCT(('Formation Initiale'!$A$2:$A$999=$A892)*('Formation Initiale'!$R$2:$R$999="Terminé"))&gt;0,"✓",IF(SUMPRODUCT(MAX(('Formation Initiale'!$A$2:$A$999=$A892)*'Formation Initiale'!$G$2:$G$999))&gt;0,TEXT(SUMPRODUCT(MAX(('Formation Initiale'!$A$2:$A$999=$A892)*'Formation Initiale'!$G$2:$G$999)),"yyyy-mm-dd"),""))))))</f>
        <v/>
      </c>
      <c r="G892" s="131" t="str">
        <f aca="false">IF($Q892="✓","✓",IF(ISNUMBER($Q892),TEXT($Q892,"yyyy-mm-dd"),IF($A892="","",IF(SUMPRODUCT(('Agences &amp; Après-vente'!$A$2:$A$1000=$A892)*(('Agences &amp; Après-vente'!$D$2:$D$1000="Agences")+('Agences &amp; Après-vente'!$D$2:$D$1000="Agences et Après-vente"))*('Agences &amp; Après-vente'!$I$2:$I$1000="DONE"))&gt;0,"✓",IF(SUMPRODUCT(MAX(('Agences &amp; Après-vente'!$A$2:$A$1000=$A892)*(('Agences &amp; Après-vente'!$D$2:$D$1000="Agences")+('Agences &amp; Après-vente'!$D$2:$D$1000="Agences et Après-vente"))*'Agences &amp; Après-vente'!$E$2:$E$1000))&gt;0,TEXT(SUMPRODUCT(MAX(('Agences &amp; Après-vente'!$A$2:$A$1000=$A892)*(('Agences &amp; Après-vente'!$D$2:$D$1000="Agences")+('Agences &amp; Après-vente'!$D$2:$D$1000="Agences et Après-vente"))*'Agences &amp; Après-vente'!$E$2:$E$1000)),"yyyy-mm-dd"),"")))))</f>
        <v/>
      </c>
      <c r="H892" s="131" t="str">
        <f aca="false">IF($R892="✓","✓",IF(ISNUMBER($R892),TEXT($R892,"yyyy-mm-dd"),IF($A892="","",IF($D892="Lisbonne","",IF(SUMPRODUCT(('Agences &amp; Après-vente'!$A$2:$A$1000=$A892)*(('Agences &amp; Après-vente'!$D$2:$D$1000="Agences")+('Agences &amp; Après-vente'!$D$2:$D$1000="Agences et Après-vente"))*('Agences &amp; Après-vente'!$I$2:$I$1000="DONE"))&gt;0,"✓",IF(SUMPRODUCT(MAX(('Agences &amp; Après-vente'!$A$2:$A$1000=$A892)*(('Agences &amp; Après-vente'!$D$2:$D$1000="Agences")+('Agences &amp; Après-vente'!$D$2:$D$1000="Agences et Après-vente"))*'Agences &amp; Après-vente'!$E$2:$E$1000))&gt;0,TEXT(SUMPRODUCT(MAX(('Agences &amp; Après-vente'!$A$2:$A$1000=$A892)*(('Agences &amp; Après-vente'!$D$2:$D$1000="Agences")+('Agences &amp; Après-vente'!$D$2:$D$1000="Agences et Après-vente"))*'Agences &amp; Après-vente'!$E$2:$E$1000)),"yyyy-mm-dd"),""))))))</f>
        <v/>
      </c>
      <c r="I892" s="131" t="str">
        <f aca="false">IF($S892="✓","✓",IF(ISNUMBER($S892),TEXT($S892,"yyyy-mm-dd"),IF($A892="","",IF(SUMPRODUCT(('Agences &amp; Après-vente'!$A$2:$A$1000=$A892)*(('Agences &amp; Après-vente'!$D$2:$D$1000="Après-vente")+('Agences &amp; Après-vente'!$D$2:$D$1000="Agences et Après-vente"))*('Agences &amp; Après-vente'!$I$2:$I$1000="DONE"))&gt;0,"✓",IF(SUMPRODUCT(MAX(('Agences &amp; Après-vente'!$A$2:$A$1000=$A892)*(('Agences &amp; Après-vente'!$D$2:$D$1000="Après-vente")+('Agences &amp; Après-vente'!$D$2:$D$1000="Agences et Après-vente"))*'Agences &amp; Après-vente'!$E$2:$E$1000))&gt;0,TEXT(SUMPRODUCT(MAX(('Agences &amp; Après-vente'!$A$2:$A$1000=$A892)*(('Agences &amp; Après-vente'!$D$2:$D$1000="Après-vente")+('Agences &amp; Après-vente'!$D$2:$D$1000="Agences et Après-vente"))*'Agences &amp; Après-vente'!$E$2:$E$1000)),"yyyy-mm-dd"),"")))))</f>
        <v/>
      </c>
      <c r="J892" s="131" t="str">
        <f aca="false">IF($T892="✓","✓",IF(ISNUMBER($T892),TEXT($T892,"yyyy-mm-dd"),IF($A892="","",IF($D892="Lisbonne","",IF(SUMPRODUCT(('Agences &amp; Après-vente'!$A$2:$A$1000=$A892)*(('Agences &amp; Après-vente'!$D$2:$D$1000="Après-vente")+('Agences &amp; Après-vente'!$D$2:$D$1000="Agences et Après-vente"))*('Agences &amp; Après-vente'!$I$2:$I$1000="DONE"))&gt;0,"✓",IF(SUMPRODUCT(MAX(('Agences &amp; Après-vente'!$A$2:$A$1000=$A892)*(('Agences &amp; Après-vente'!$D$2:$D$1000="Après-vente")+('Agences &amp; Après-vente'!$D$2:$D$1000="Agences et Après-vente"))*'Agences &amp; Après-vente'!$E$2:$E$1000))&gt;0,TEXT(SUMPRODUCT(MAX(('Agences &amp; Après-vente'!$A$2:$A$1000=$A892)*(('Agences &amp; Après-vente'!$D$2:$D$1000="Après-vente")+('Agences &amp; Après-vente'!$D$2:$D$1000="Agences et Après-vente"))*'Agences &amp; Après-vente'!$E$2:$E$1000)),"yyyy-mm-dd"),""))))))</f>
        <v/>
      </c>
      <c r="K892" s="131" t="str">
        <f aca="false">IF($U892="✓","✓",IF(ISNUMBER($U892),TEXT($U892,"yyyy-mm-dd"),IF($D892="Lisbonne","",IF($A892="","",IF(SUMPRODUCT((Evermont!$A$2:$A$1000=$A892)*(Evermont!$Q$2:$Q$1000="Terminé"))&gt;0,"✓",IF(SUMPRODUCT(MAX((Evermont!$A$2:$A$1000=$A892)*Evermont!$F$2:$F$1000))&gt;0,TEXT(SUMPRODUCT(MAX((Evermont!$A$2:$A$1000=$A892)*Evermont!$F$2:$F$1000)),"yyyy-mm-dd"),""))))))</f>
        <v/>
      </c>
      <c r="L892" s="131" t="str">
        <f aca="false">IF($A892="","",COUNTIF(E892:K892,"✓"))</f>
        <v/>
      </c>
      <c r="M892" s="131" t="str">
        <f aca="false">IF(B892="","","Active")</f>
        <v/>
      </c>
      <c r="W892" s="120" t="str">
        <f aca="false">IF($A892="","",IF($X892&lt;&gt;"",$X892,IFERROR(INDEX('Formation Initiale'!$B$2:$B$999,MATCH($A892,'Formation Initiale'!$A$2:$A$999,0)),"Général")))</f>
        <v/>
      </c>
    </row>
    <row r="893" customFormat="false" ht="15" hidden="true" customHeight="true" outlineLevel="0" collapsed="false">
      <c r="A893" s="142" t="str">
        <f aca="false">IF(B893="","","TR"&amp;TEXT(ROW()-1,"000"))</f>
        <v/>
      </c>
      <c r="E893" s="130" t="str">
        <f aca="false">IF($O893="✓","✓",IF(ISNUMBER($O893),TEXT($O893,"yyyy-mm-dd"),IF($A893="","",IF(SUMPRODUCT(('Formation Initiale'!$A$2:$A$999=$A893)*('Formation Initiale'!$R$2:$R$999="Terminé"))&gt;0,"✓",IF(SUMPRODUCT(MAX(('Formation Initiale'!$A$2:$A$999=$A893)*'Formation Initiale'!$G$2:$G$999))&gt;0,TEXT(SUMPRODUCT(MAX(('Formation Initiale'!$A$2:$A$999=$A893)*'Formation Initiale'!$G$2:$G$999)),"yyyy-mm-dd"),"")))))</f>
        <v/>
      </c>
      <c r="F893" s="131" t="str">
        <f aca="false">IF($P893="✓","✓",IF(ISNUMBER($P893),TEXT($P893,"yyyy-mm-dd"),IF($A893="","",IF($D893="Lisbonne","",IF(SUMPRODUCT(('Formation Initiale'!$A$2:$A$999=$A893)*('Formation Initiale'!$R$2:$R$999="Terminé"))&gt;0,"✓",IF(SUMPRODUCT(MAX(('Formation Initiale'!$A$2:$A$999=$A893)*'Formation Initiale'!$G$2:$G$999))&gt;0,TEXT(SUMPRODUCT(MAX(('Formation Initiale'!$A$2:$A$999=$A893)*'Formation Initiale'!$G$2:$G$999)),"yyyy-mm-dd"),""))))))</f>
        <v/>
      </c>
      <c r="G893" s="131" t="str">
        <f aca="false">IF($Q893="✓","✓",IF(ISNUMBER($Q893),TEXT($Q893,"yyyy-mm-dd"),IF($A893="","",IF(SUMPRODUCT(('Agences &amp; Après-vente'!$A$2:$A$1000=$A893)*(('Agences &amp; Après-vente'!$D$2:$D$1000="Agences")+('Agences &amp; Après-vente'!$D$2:$D$1000="Agences et Après-vente"))*('Agences &amp; Après-vente'!$I$2:$I$1000="DONE"))&gt;0,"✓",IF(SUMPRODUCT(MAX(('Agences &amp; Après-vente'!$A$2:$A$1000=$A893)*(('Agences &amp; Après-vente'!$D$2:$D$1000="Agences")+('Agences &amp; Après-vente'!$D$2:$D$1000="Agences et Après-vente"))*'Agences &amp; Après-vente'!$E$2:$E$1000))&gt;0,TEXT(SUMPRODUCT(MAX(('Agences &amp; Après-vente'!$A$2:$A$1000=$A893)*(('Agences &amp; Après-vente'!$D$2:$D$1000="Agences")+('Agences &amp; Après-vente'!$D$2:$D$1000="Agences et Après-vente"))*'Agences &amp; Après-vente'!$E$2:$E$1000)),"yyyy-mm-dd"),"")))))</f>
        <v/>
      </c>
      <c r="H893" s="131" t="str">
        <f aca="false">IF($R893="✓","✓",IF(ISNUMBER($R893),TEXT($R893,"yyyy-mm-dd"),IF($A893="","",IF($D893="Lisbonne","",IF(SUMPRODUCT(('Agences &amp; Après-vente'!$A$2:$A$1000=$A893)*(('Agences &amp; Après-vente'!$D$2:$D$1000="Agences")+('Agences &amp; Après-vente'!$D$2:$D$1000="Agences et Après-vente"))*('Agences &amp; Après-vente'!$I$2:$I$1000="DONE"))&gt;0,"✓",IF(SUMPRODUCT(MAX(('Agences &amp; Après-vente'!$A$2:$A$1000=$A893)*(('Agences &amp; Après-vente'!$D$2:$D$1000="Agences")+('Agences &amp; Après-vente'!$D$2:$D$1000="Agences et Après-vente"))*'Agences &amp; Après-vente'!$E$2:$E$1000))&gt;0,TEXT(SUMPRODUCT(MAX(('Agences &amp; Après-vente'!$A$2:$A$1000=$A893)*(('Agences &amp; Après-vente'!$D$2:$D$1000="Agences")+('Agences &amp; Après-vente'!$D$2:$D$1000="Agences et Après-vente"))*'Agences &amp; Après-vente'!$E$2:$E$1000)),"yyyy-mm-dd"),""))))))</f>
        <v/>
      </c>
      <c r="I893" s="131" t="str">
        <f aca="false">IF($S893="✓","✓",IF(ISNUMBER($S893),TEXT($S893,"yyyy-mm-dd"),IF($A893="","",IF(SUMPRODUCT(('Agences &amp; Après-vente'!$A$2:$A$1000=$A893)*(('Agences &amp; Après-vente'!$D$2:$D$1000="Après-vente")+('Agences &amp; Après-vente'!$D$2:$D$1000="Agences et Après-vente"))*('Agences &amp; Après-vente'!$I$2:$I$1000="DONE"))&gt;0,"✓",IF(SUMPRODUCT(MAX(('Agences &amp; Après-vente'!$A$2:$A$1000=$A893)*(('Agences &amp; Après-vente'!$D$2:$D$1000="Après-vente")+('Agences &amp; Après-vente'!$D$2:$D$1000="Agences et Après-vente"))*'Agences &amp; Après-vente'!$E$2:$E$1000))&gt;0,TEXT(SUMPRODUCT(MAX(('Agences &amp; Après-vente'!$A$2:$A$1000=$A893)*(('Agences &amp; Après-vente'!$D$2:$D$1000="Après-vente")+('Agences &amp; Après-vente'!$D$2:$D$1000="Agences et Après-vente"))*'Agences &amp; Après-vente'!$E$2:$E$1000)),"yyyy-mm-dd"),"")))))</f>
        <v/>
      </c>
      <c r="J893" s="131" t="str">
        <f aca="false">IF($T893="✓","✓",IF(ISNUMBER($T893),TEXT($T893,"yyyy-mm-dd"),IF($A893="","",IF($D893="Lisbonne","",IF(SUMPRODUCT(('Agences &amp; Après-vente'!$A$2:$A$1000=$A893)*(('Agences &amp; Après-vente'!$D$2:$D$1000="Après-vente")+('Agences &amp; Après-vente'!$D$2:$D$1000="Agences et Après-vente"))*('Agences &amp; Après-vente'!$I$2:$I$1000="DONE"))&gt;0,"✓",IF(SUMPRODUCT(MAX(('Agences &amp; Après-vente'!$A$2:$A$1000=$A893)*(('Agences &amp; Après-vente'!$D$2:$D$1000="Après-vente")+('Agences &amp; Après-vente'!$D$2:$D$1000="Agences et Après-vente"))*'Agences &amp; Après-vente'!$E$2:$E$1000))&gt;0,TEXT(SUMPRODUCT(MAX(('Agences &amp; Après-vente'!$A$2:$A$1000=$A893)*(('Agences &amp; Après-vente'!$D$2:$D$1000="Après-vente")+('Agences &amp; Après-vente'!$D$2:$D$1000="Agences et Après-vente"))*'Agences &amp; Après-vente'!$E$2:$E$1000)),"yyyy-mm-dd"),""))))))</f>
        <v/>
      </c>
      <c r="K893" s="131" t="str">
        <f aca="false">IF($U893="✓","✓",IF(ISNUMBER($U893),TEXT($U893,"yyyy-mm-dd"),IF($D893="Lisbonne","",IF($A893="","",IF(SUMPRODUCT((Evermont!$A$2:$A$1000=$A893)*(Evermont!$Q$2:$Q$1000="Terminé"))&gt;0,"✓",IF(SUMPRODUCT(MAX((Evermont!$A$2:$A$1000=$A893)*Evermont!$F$2:$F$1000))&gt;0,TEXT(SUMPRODUCT(MAX((Evermont!$A$2:$A$1000=$A893)*Evermont!$F$2:$F$1000)),"yyyy-mm-dd"),""))))))</f>
        <v/>
      </c>
      <c r="L893" s="131" t="str">
        <f aca="false">IF($A893="","",COUNTIF(E893:K893,"✓"))</f>
        <v/>
      </c>
      <c r="M893" s="131" t="str">
        <f aca="false">IF(B893="","","Active")</f>
        <v/>
      </c>
      <c r="W893" s="120" t="str">
        <f aca="false">IF($A893="","",IF($X893&lt;&gt;"",$X893,IFERROR(INDEX('Formation Initiale'!$B$2:$B$999,MATCH($A893,'Formation Initiale'!$A$2:$A$999,0)),"Général")))</f>
        <v/>
      </c>
    </row>
    <row r="894" customFormat="false" ht="15" hidden="true" customHeight="true" outlineLevel="0" collapsed="false">
      <c r="A894" s="142" t="str">
        <f aca="false">IF(B894="","","TR"&amp;TEXT(ROW()-1,"000"))</f>
        <v/>
      </c>
      <c r="E894" s="130" t="str">
        <f aca="false">IF($O894="✓","✓",IF(ISNUMBER($O894),TEXT($O894,"yyyy-mm-dd"),IF($A894="","",IF(SUMPRODUCT(('Formation Initiale'!$A$2:$A$999=$A894)*('Formation Initiale'!$R$2:$R$999="Terminé"))&gt;0,"✓",IF(SUMPRODUCT(MAX(('Formation Initiale'!$A$2:$A$999=$A894)*'Formation Initiale'!$G$2:$G$999))&gt;0,TEXT(SUMPRODUCT(MAX(('Formation Initiale'!$A$2:$A$999=$A894)*'Formation Initiale'!$G$2:$G$999)),"yyyy-mm-dd"),"")))))</f>
        <v/>
      </c>
      <c r="F894" s="131" t="str">
        <f aca="false">IF($P894="✓","✓",IF(ISNUMBER($P894),TEXT($P894,"yyyy-mm-dd"),IF($A894="","",IF($D894="Lisbonne","",IF(SUMPRODUCT(('Formation Initiale'!$A$2:$A$999=$A894)*('Formation Initiale'!$R$2:$R$999="Terminé"))&gt;0,"✓",IF(SUMPRODUCT(MAX(('Formation Initiale'!$A$2:$A$999=$A894)*'Formation Initiale'!$G$2:$G$999))&gt;0,TEXT(SUMPRODUCT(MAX(('Formation Initiale'!$A$2:$A$999=$A894)*'Formation Initiale'!$G$2:$G$999)),"yyyy-mm-dd"),""))))))</f>
        <v/>
      </c>
      <c r="G894" s="131" t="str">
        <f aca="false">IF($Q894="✓","✓",IF(ISNUMBER($Q894),TEXT($Q894,"yyyy-mm-dd"),IF($A894="","",IF(SUMPRODUCT(('Agences &amp; Après-vente'!$A$2:$A$1000=$A894)*(('Agences &amp; Après-vente'!$D$2:$D$1000="Agences")+('Agences &amp; Après-vente'!$D$2:$D$1000="Agences et Après-vente"))*('Agences &amp; Après-vente'!$I$2:$I$1000="DONE"))&gt;0,"✓",IF(SUMPRODUCT(MAX(('Agences &amp; Après-vente'!$A$2:$A$1000=$A894)*(('Agences &amp; Après-vente'!$D$2:$D$1000="Agences")+('Agences &amp; Après-vente'!$D$2:$D$1000="Agences et Après-vente"))*'Agences &amp; Après-vente'!$E$2:$E$1000))&gt;0,TEXT(SUMPRODUCT(MAX(('Agences &amp; Après-vente'!$A$2:$A$1000=$A894)*(('Agences &amp; Après-vente'!$D$2:$D$1000="Agences")+('Agences &amp; Après-vente'!$D$2:$D$1000="Agences et Après-vente"))*'Agences &amp; Après-vente'!$E$2:$E$1000)),"yyyy-mm-dd"),"")))))</f>
        <v/>
      </c>
      <c r="H894" s="131" t="str">
        <f aca="false">IF($R894="✓","✓",IF(ISNUMBER($R894),TEXT($R894,"yyyy-mm-dd"),IF($A894="","",IF($D894="Lisbonne","",IF(SUMPRODUCT(('Agences &amp; Après-vente'!$A$2:$A$1000=$A894)*(('Agences &amp; Après-vente'!$D$2:$D$1000="Agences")+('Agences &amp; Après-vente'!$D$2:$D$1000="Agences et Après-vente"))*('Agences &amp; Après-vente'!$I$2:$I$1000="DONE"))&gt;0,"✓",IF(SUMPRODUCT(MAX(('Agences &amp; Après-vente'!$A$2:$A$1000=$A894)*(('Agences &amp; Après-vente'!$D$2:$D$1000="Agences")+('Agences &amp; Après-vente'!$D$2:$D$1000="Agences et Après-vente"))*'Agences &amp; Après-vente'!$E$2:$E$1000))&gt;0,TEXT(SUMPRODUCT(MAX(('Agences &amp; Après-vente'!$A$2:$A$1000=$A894)*(('Agences &amp; Après-vente'!$D$2:$D$1000="Agences")+('Agences &amp; Après-vente'!$D$2:$D$1000="Agences et Après-vente"))*'Agences &amp; Après-vente'!$E$2:$E$1000)),"yyyy-mm-dd"),""))))))</f>
        <v/>
      </c>
      <c r="I894" s="131" t="str">
        <f aca="false">IF($S894="✓","✓",IF(ISNUMBER($S894),TEXT($S894,"yyyy-mm-dd"),IF($A894="","",IF(SUMPRODUCT(('Agences &amp; Après-vente'!$A$2:$A$1000=$A894)*(('Agences &amp; Après-vente'!$D$2:$D$1000="Après-vente")+('Agences &amp; Après-vente'!$D$2:$D$1000="Agences et Après-vente"))*('Agences &amp; Après-vente'!$I$2:$I$1000="DONE"))&gt;0,"✓",IF(SUMPRODUCT(MAX(('Agences &amp; Après-vente'!$A$2:$A$1000=$A894)*(('Agences &amp; Après-vente'!$D$2:$D$1000="Après-vente")+('Agences &amp; Après-vente'!$D$2:$D$1000="Agences et Après-vente"))*'Agences &amp; Après-vente'!$E$2:$E$1000))&gt;0,TEXT(SUMPRODUCT(MAX(('Agences &amp; Après-vente'!$A$2:$A$1000=$A894)*(('Agences &amp; Après-vente'!$D$2:$D$1000="Après-vente")+('Agences &amp; Après-vente'!$D$2:$D$1000="Agences et Après-vente"))*'Agences &amp; Après-vente'!$E$2:$E$1000)),"yyyy-mm-dd"),"")))))</f>
        <v/>
      </c>
      <c r="J894" s="131" t="str">
        <f aca="false">IF($T894="✓","✓",IF(ISNUMBER($T894),TEXT($T894,"yyyy-mm-dd"),IF($A894="","",IF($D894="Lisbonne","",IF(SUMPRODUCT(('Agences &amp; Après-vente'!$A$2:$A$1000=$A894)*(('Agences &amp; Après-vente'!$D$2:$D$1000="Après-vente")+('Agences &amp; Après-vente'!$D$2:$D$1000="Agences et Après-vente"))*('Agences &amp; Après-vente'!$I$2:$I$1000="DONE"))&gt;0,"✓",IF(SUMPRODUCT(MAX(('Agences &amp; Après-vente'!$A$2:$A$1000=$A894)*(('Agences &amp; Après-vente'!$D$2:$D$1000="Après-vente")+('Agences &amp; Après-vente'!$D$2:$D$1000="Agences et Après-vente"))*'Agences &amp; Après-vente'!$E$2:$E$1000))&gt;0,TEXT(SUMPRODUCT(MAX(('Agences &amp; Après-vente'!$A$2:$A$1000=$A894)*(('Agences &amp; Après-vente'!$D$2:$D$1000="Après-vente")+('Agences &amp; Après-vente'!$D$2:$D$1000="Agences et Après-vente"))*'Agences &amp; Après-vente'!$E$2:$E$1000)),"yyyy-mm-dd"),""))))))</f>
        <v/>
      </c>
      <c r="K894" s="131" t="str">
        <f aca="false">IF($U894="✓","✓",IF(ISNUMBER($U894),TEXT($U894,"yyyy-mm-dd"),IF($D894="Lisbonne","",IF($A894="","",IF(SUMPRODUCT((Evermont!$A$2:$A$1000=$A894)*(Evermont!$Q$2:$Q$1000="Terminé"))&gt;0,"✓",IF(SUMPRODUCT(MAX((Evermont!$A$2:$A$1000=$A894)*Evermont!$F$2:$F$1000))&gt;0,TEXT(SUMPRODUCT(MAX((Evermont!$A$2:$A$1000=$A894)*Evermont!$F$2:$F$1000)),"yyyy-mm-dd"),""))))))</f>
        <v/>
      </c>
      <c r="L894" s="131" t="str">
        <f aca="false">IF($A894="","",COUNTIF(E894:K894,"✓"))</f>
        <v/>
      </c>
      <c r="M894" s="131" t="str">
        <f aca="false">IF(B894="","","Active")</f>
        <v/>
      </c>
      <c r="W894" s="120" t="str">
        <f aca="false">IF($A894="","",IF($X894&lt;&gt;"",$X894,IFERROR(INDEX('Formation Initiale'!$B$2:$B$999,MATCH($A894,'Formation Initiale'!$A$2:$A$999,0)),"Général")))</f>
        <v/>
      </c>
    </row>
    <row r="895" customFormat="false" ht="15" hidden="true" customHeight="true" outlineLevel="0" collapsed="false">
      <c r="A895" s="142" t="str">
        <f aca="false">IF(B895="","","TR"&amp;TEXT(ROW()-1,"000"))</f>
        <v/>
      </c>
      <c r="E895" s="130" t="str">
        <f aca="false">IF($O895="✓","✓",IF(ISNUMBER($O895),TEXT($O895,"yyyy-mm-dd"),IF($A895="","",IF(SUMPRODUCT(('Formation Initiale'!$A$2:$A$999=$A895)*('Formation Initiale'!$R$2:$R$999="Terminé"))&gt;0,"✓",IF(SUMPRODUCT(MAX(('Formation Initiale'!$A$2:$A$999=$A895)*'Formation Initiale'!$G$2:$G$999))&gt;0,TEXT(SUMPRODUCT(MAX(('Formation Initiale'!$A$2:$A$999=$A895)*'Formation Initiale'!$G$2:$G$999)),"yyyy-mm-dd"),"")))))</f>
        <v/>
      </c>
      <c r="F895" s="131" t="str">
        <f aca="false">IF($P895="✓","✓",IF(ISNUMBER($P895),TEXT($P895,"yyyy-mm-dd"),IF($A895="","",IF($D895="Lisbonne","",IF(SUMPRODUCT(('Formation Initiale'!$A$2:$A$999=$A895)*('Formation Initiale'!$R$2:$R$999="Terminé"))&gt;0,"✓",IF(SUMPRODUCT(MAX(('Formation Initiale'!$A$2:$A$999=$A895)*'Formation Initiale'!$G$2:$G$999))&gt;0,TEXT(SUMPRODUCT(MAX(('Formation Initiale'!$A$2:$A$999=$A895)*'Formation Initiale'!$G$2:$G$999)),"yyyy-mm-dd"),""))))))</f>
        <v/>
      </c>
      <c r="G895" s="131" t="str">
        <f aca="false">IF($Q895="✓","✓",IF(ISNUMBER($Q895),TEXT($Q895,"yyyy-mm-dd"),IF($A895="","",IF(SUMPRODUCT(('Agences &amp; Après-vente'!$A$2:$A$1000=$A895)*(('Agences &amp; Après-vente'!$D$2:$D$1000="Agences")+('Agences &amp; Après-vente'!$D$2:$D$1000="Agences et Après-vente"))*('Agences &amp; Après-vente'!$I$2:$I$1000="DONE"))&gt;0,"✓",IF(SUMPRODUCT(MAX(('Agences &amp; Après-vente'!$A$2:$A$1000=$A895)*(('Agences &amp; Après-vente'!$D$2:$D$1000="Agences")+('Agences &amp; Après-vente'!$D$2:$D$1000="Agences et Après-vente"))*'Agences &amp; Après-vente'!$E$2:$E$1000))&gt;0,TEXT(SUMPRODUCT(MAX(('Agences &amp; Après-vente'!$A$2:$A$1000=$A895)*(('Agences &amp; Après-vente'!$D$2:$D$1000="Agences")+('Agences &amp; Après-vente'!$D$2:$D$1000="Agences et Après-vente"))*'Agences &amp; Après-vente'!$E$2:$E$1000)),"yyyy-mm-dd"),"")))))</f>
        <v/>
      </c>
      <c r="H895" s="131" t="str">
        <f aca="false">IF($R895="✓","✓",IF(ISNUMBER($R895),TEXT($R895,"yyyy-mm-dd"),IF($A895="","",IF($D895="Lisbonne","",IF(SUMPRODUCT(('Agences &amp; Après-vente'!$A$2:$A$1000=$A895)*(('Agences &amp; Après-vente'!$D$2:$D$1000="Agences")+('Agences &amp; Après-vente'!$D$2:$D$1000="Agences et Après-vente"))*('Agences &amp; Après-vente'!$I$2:$I$1000="DONE"))&gt;0,"✓",IF(SUMPRODUCT(MAX(('Agences &amp; Après-vente'!$A$2:$A$1000=$A895)*(('Agences &amp; Après-vente'!$D$2:$D$1000="Agences")+('Agences &amp; Après-vente'!$D$2:$D$1000="Agences et Après-vente"))*'Agences &amp; Après-vente'!$E$2:$E$1000))&gt;0,TEXT(SUMPRODUCT(MAX(('Agences &amp; Après-vente'!$A$2:$A$1000=$A895)*(('Agences &amp; Après-vente'!$D$2:$D$1000="Agences")+('Agences &amp; Après-vente'!$D$2:$D$1000="Agences et Après-vente"))*'Agences &amp; Après-vente'!$E$2:$E$1000)),"yyyy-mm-dd"),""))))))</f>
        <v/>
      </c>
      <c r="I895" s="131" t="str">
        <f aca="false">IF($S895="✓","✓",IF(ISNUMBER($S895),TEXT($S895,"yyyy-mm-dd"),IF($A895="","",IF(SUMPRODUCT(('Agences &amp; Après-vente'!$A$2:$A$1000=$A895)*(('Agences &amp; Après-vente'!$D$2:$D$1000="Après-vente")+('Agences &amp; Après-vente'!$D$2:$D$1000="Agences et Après-vente"))*('Agences &amp; Après-vente'!$I$2:$I$1000="DONE"))&gt;0,"✓",IF(SUMPRODUCT(MAX(('Agences &amp; Après-vente'!$A$2:$A$1000=$A895)*(('Agences &amp; Après-vente'!$D$2:$D$1000="Après-vente")+('Agences &amp; Après-vente'!$D$2:$D$1000="Agences et Après-vente"))*'Agences &amp; Après-vente'!$E$2:$E$1000))&gt;0,TEXT(SUMPRODUCT(MAX(('Agences &amp; Après-vente'!$A$2:$A$1000=$A895)*(('Agences &amp; Après-vente'!$D$2:$D$1000="Après-vente")+('Agences &amp; Après-vente'!$D$2:$D$1000="Agences et Après-vente"))*'Agences &amp; Après-vente'!$E$2:$E$1000)),"yyyy-mm-dd"),"")))))</f>
        <v/>
      </c>
      <c r="J895" s="131" t="str">
        <f aca="false">IF($T895="✓","✓",IF(ISNUMBER($T895),TEXT($T895,"yyyy-mm-dd"),IF($A895="","",IF($D895="Lisbonne","",IF(SUMPRODUCT(('Agences &amp; Après-vente'!$A$2:$A$1000=$A895)*(('Agences &amp; Après-vente'!$D$2:$D$1000="Après-vente")+('Agences &amp; Après-vente'!$D$2:$D$1000="Agences et Après-vente"))*('Agences &amp; Après-vente'!$I$2:$I$1000="DONE"))&gt;0,"✓",IF(SUMPRODUCT(MAX(('Agences &amp; Après-vente'!$A$2:$A$1000=$A895)*(('Agences &amp; Après-vente'!$D$2:$D$1000="Après-vente")+('Agences &amp; Après-vente'!$D$2:$D$1000="Agences et Après-vente"))*'Agences &amp; Après-vente'!$E$2:$E$1000))&gt;0,TEXT(SUMPRODUCT(MAX(('Agences &amp; Après-vente'!$A$2:$A$1000=$A895)*(('Agences &amp; Après-vente'!$D$2:$D$1000="Après-vente")+('Agences &amp; Après-vente'!$D$2:$D$1000="Agences et Après-vente"))*'Agences &amp; Après-vente'!$E$2:$E$1000)),"yyyy-mm-dd"),""))))))</f>
        <v/>
      </c>
      <c r="K895" s="131" t="str">
        <f aca="false">IF($U895="✓","✓",IF(ISNUMBER($U895),TEXT($U895,"yyyy-mm-dd"),IF($D895="Lisbonne","",IF($A895="","",IF(SUMPRODUCT((Evermont!$A$2:$A$1000=$A895)*(Evermont!$Q$2:$Q$1000="Terminé"))&gt;0,"✓",IF(SUMPRODUCT(MAX((Evermont!$A$2:$A$1000=$A895)*Evermont!$F$2:$F$1000))&gt;0,TEXT(SUMPRODUCT(MAX((Evermont!$A$2:$A$1000=$A895)*Evermont!$F$2:$F$1000)),"yyyy-mm-dd"),""))))))</f>
        <v/>
      </c>
      <c r="L895" s="131" t="str">
        <f aca="false">IF($A895="","",COUNTIF(E895:K895,"✓"))</f>
        <v/>
      </c>
      <c r="M895" s="131" t="str">
        <f aca="false">IF(B895="","","Active")</f>
        <v/>
      </c>
      <c r="W895" s="120" t="str">
        <f aca="false">IF($A895="","",IF($X895&lt;&gt;"",$X895,IFERROR(INDEX('Formation Initiale'!$B$2:$B$999,MATCH($A895,'Formation Initiale'!$A$2:$A$999,0)),"Général")))</f>
        <v/>
      </c>
    </row>
    <row r="896" customFormat="false" ht="15" hidden="true" customHeight="true" outlineLevel="0" collapsed="false">
      <c r="A896" s="142" t="str">
        <f aca="false">IF(B896="","","TR"&amp;TEXT(ROW()-1,"000"))</f>
        <v/>
      </c>
      <c r="E896" s="130" t="str">
        <f aca="false">IF($O896="✓","✓",IF(ISNUMBER($O896),TEXT($O896,"yyyy-mm-dd"),IF($A896="","",IF(SUMPRODUCT(('Formation Initiale'!$A$2:$A$999=$A896)*('Formation Initiale'!$R$2:$R$999="Terminé"))&gt;0,"✓",IF(SUMPRODUCT(MAX(('Formation Initiale'!$A$2:$A$999=$A896)*'Formation Initiale'!$G$2:$G$999))&gt;0,TEXT(SUMPRODUCT(MAX(('Formation Initiale'!$A$2:$A$999=$A896)*'Formation Initiale'!$G$2:$G$999)),"yyyy-mm-dd"),"")))))</f>
        <v/>
      </c>
      <c r="F896" s="131" t="str">
        <f aca="false">IF($P896="✓","✓",IF(ISNUMBER($P896),TEXT($P896,"yyyy-mm-dd"),IF($A896="","",IF($D896="Lisbonne","",IF(SUMPRODUCT(('Formation Initiale'!$A$2:$A$999=$A896)*('Formation Initiale'!$R$2:$R$999="Terminé"))&gt;0,"✓",IF(SUMPRODUCT(MAX(('Formation Initiale'!$A$2:$A$999=$A896)*'Formation Initiale'!$G$2:$G$999))&gt;0,TEXT(SUMPRODUCT(MAX(('Formation Initiale'!$A$2:$A$999=$A896)*'Formation Initiale'!$G$2:$G$999)),"yyyy-mm-dd"),""))))))</f>
        <v/>
      </c>
      <c r="G896" s="131" t="str">
        <f aca="false">IF($Q896="✓","✓",IF(ISNUMBER($Q896),TEXT($Q896,"yyyy-mm-dd"),IF($A896="","",IF(SUMPRODUCT(('Agences &amp; Après-vente'!$A$2:$A$1000=$A896)*(('Agences &amp; Après-vente'!$D$2:$D$1000="Agences")+('Agences &amp; Après-vente'!$D$2:$D$1000="Agences et Après-vente"))*('Agences &amp; Après-vente'!$I$2:$I$1000="DONE"))&gt;0,"✓",IF(SUMPRODUCT(MAX(('Agences &amp; Après-vente'!$A$2:$A$1000=$A896)*(('Agences &amp; Après-vente'!$D$2:$D$1000="Agences")+('Agences &amp; Après-vente'!$D$2:$D$1000="Agences et Après-vente"))*'Agences &amp; Après-vente'!$E$2:$E$1000))&gt;0,TEXT(SUMPRODUCT(MAX(('Agences &amp; Après-vente'!$A$2:$A$1000=$A896)*(('Agences &amp; Après-vente'!$D$2:$D$1000="Agences")+('Agences &amp; Après-vente'!$D$2:$D$1000="Agences et Après-vente"))*'Agences &amp; Après-vente'!$E$2:$E$1000)),"yyyy-mm-dd"),"")))))</f>
        <v/>
      </c>
      <c r="H896" s="131" t="str">
        <f aca="false">IF($R896="✓","✓",IF(ISNUMBER($R896),TEXT($R896,"yyyy-mm-dd"),IF($A896="","",IF($D896="Lisbonne","",IF(SUMPRODUCT(('Agences &amp; Après-vente'!$A$2:$A$1000=$A896)*(('Agences &amp; Après-vente'!$D$2:$D$1000="Agences")+('Agences &amp; Après-vente'!$D$2:$D$1000="Agences et Après-vente"))*('Agences &amp; Après-vente'!$I$2:$I$1000="DONE"))&gt;0,"✓",IF(SUMPRODUCT(MAX(('Agences &amp; Après-vente'!$A$2:$A$1000=$A896)*(('Agences &amp; Après-vente'!$D$2:$D$1000="Agences")+('Agences &amp; Après-vente'!$D$2:$D$1000="Agences et Après-vente"))*'Agences &amp; Après-vente'!$E$2:$E$1000))&gt;0,TEXT(SUMPRODUCT(MAX(('Agences &amp; Après-vente'!$A$2:$A$1000=$A896)*(('Agences &amp; Après-vente'!$D$2:$D$1000="Agences")+('Agences &amp; Après-vente'!$D$2:$D$1000="Agences et Après-vente"))*'Agences &amp; Après-vente'!$E$2:$E$1000)),"yyyy-mm-dd"),""))))))</f>
        <v/>
      </c>
      <c r="I896" s="131" t="str">
        <f aca="false">IF($S896="✓","✓",IF(ISNUMBER($S896),TEXT($S896,"yyyy-mm-dd"),IF($A896="","",IF(SUMPRODUCT(('Agences &amp; Après-vente'!$A$2:$A$1000=$A896)*(('Agences &amp; Après-vente'!$D$2:$D$1000="Après-vente")+('Agences &amp; Après-vente'!$D$2:$D$1000="Agences et Après-vente"))*('Agences &amp; Après-vente'!$I$2:$I$1000="DONE"))&gt;0,"✓",IF(SUMPRODUCT(MAX(('Agences &amp; Après-vente'!$A$2:$A$1000=$A896)*(('Agences &amp; Après-vente'!$D$2:$D$1000="Après-vente")+('Agences &amp; Après-vente'!$D$2:$D$1000="Agences et Après-vente"))*'Agences &amp; Après-vente'!$E$2:$E$1000))&gt;0,TEXT(SUMPRODUCT(MAX(('Agences &amp; Après-vente'!$A$2:$A$1000=$A896)*(('Agences &amp; Après-vente'!$D$2:$D$1000="Après-vente")+('Agences &amp; Après-vente'!$D$2:$D$1000="Agences et Après-vente"))*'Agences &amp; Après-vente'!$E$2:$E$1000)),"yyyy-mm-dd"),"")))))</f>
        <v/>
      </c>
      <c r="J896" s="131" t="str">
        <f aca="false">IF($T896="✓","✓",IF(ISNUMBER($T896),TEXT($T896,"yyyy-mm-dd"),IF($A896="","",IF($D896="Lisbonne","",IF(SUMPRODUCT(('Agences &amp; Après-vente'!$A$2:$A$1000=$A896)*(('Agences &amp; Après-vente'!$D$2:$D$1000="Après-vente")+('Agences &amp; Après-vente'!$D$2:$D$1000="Agences et Après-vente"))*('Agences &amp; Après-vente'!$I$2:$I$1000="DONE"))&gt;0,"✓",IF(SUMPRODUCT(MAX(('Agences &amp; Après-vente'!$A$2:$A$1000=$A896)*(('Agences &amp; Après-vente'!$D$2:$D$1000="Après-vente")+('Agences &amp; Après-vente'!$D$2:$D$1000="Agences et Après-vente"))*'Agences &amp; Après-vente'!$E$2:$E$1000))&gt;0,TEXT(SUMPRODUCT(MAX(('Agences &amp; Après-vente'!$A$2:$A$1000=$A896)*(('Agences &amp; Après-vente'!$D$2:$D$1000="Après-vente")+('Agences &amp; Après-vente'!$D$2:$D$1000="Agences et Après-vente"))*'Agences &amp; Après-vente'!$E$2:$E$1000)),"yyyy-mm-dd"),""))))))</f>
        <v/>
      </c>
      <c r="K896" s="131" t="str">
        <f aca="false">IF($U896="✓","✓",IF(ISNUMBER($U896),TEXT($U896,"yyyy-mm-dd"),IF($D896="Lisbonne","",IF($A896="","",IF(SUMPRODUCT((Evermont!$A$2:$A$1000=$A896)*(Evermont!$Q$2:$Q$1000="Terminé"))&gt;0,"✓",IF(SUMPRODUCT(MAX((Evermont!$A$2:$A$1000=$A896)*Evermont!$F$2:$F$1000))&gt;0,TEXT(SUMPRODUCT(MAX((Evermont!$A$2:$A$1000=$A896)*Evermont!$F$2:$F$1000)),"yyyy-mm-dd"),""))))))</f>
        <v/>
      </c>
      <c r="L896" s="131" t="str">
        <f aca="false">IF($A896="","",COUNTIF(E896:K896,"✓"))</f>
        <v/>
      </c>
      <c r="M896" s="131" t="str">
        <f aca="false">IF(B896="","","Active")</f>
        <v/>
      </c>
      <c r="W896" s="120" t="str">
        <f aca="false">IF($A896="","",IF($X896&lt;&gt;"",$X896,IFERROR(INDEX('Formation Initiale'!$B$2:$B$999,MATCH($A896,'Formation Initiale'!$A$2:$A$999,0)),"Général")))</f>
        <v/>
      </c>
    </row>
    <row r="897" customFormat="false" ht="15" hidden="true" customHeight="true" outlineLevel="0" collapsed="false">
      <c r="A897" s="142" t="str">
        <f aca="false">IF(B897="","","TR"&amp;TEXT(ROW()-1,"000"))</f>
        <v/>
      </c>
      <c r="E897" s="130" t="str">
        <f aca="false">IF($O897="✓","✓",IF(ISNUMBER($O897),TEXT($O897,"yyyy-mm-dd"),IF($A897="","",IF(SUMPRODUCT(('Formation Initiale'!$A$2:$A$999=$A897)*('Formation Initiale'!$R$2:$R$999="Terminé"))&gt;0,"✓",IF(SUMPRODUCT(MAX(('Formation Initiale'!$A$2:$A$999=$A897)*'Formation Initiale'!$G$2:$G$999))&gt;0,TEXT(SUMPRODUCT(MAX(('Formation Initiale'!$A$2:$A$999=$A897)*'Formation Initiale'!$G$2:$G$999)),"yyyy-mm-dd"),"")))))</f>
        <v/>
      </c>
      <c r="F897" s="131" t="str">
        <f aca="false">IF($P897="✓","✓",IF(ISNUMBER($P897),TEXT($P897,"yyyy-mm-dd"),IF($A897="","",IF($D897="Lisbonne","",IF(SUMPRODUCT(('Formation Initiale'!$A$2:$A$999=$A897)*('Formation Initiale'!$R$2:$R$999="Terminé"))&gt;0,"✓",IF(SUMPRODUCT(MAX(('Formation Initiale'!$A$2:$A$999=$A897)*'Formation Initiale'!$G$2:$G$999))&gt;0,TEXT(SUMPRODUCT(MAX(('Formation Initiale'!$A$2:$A$999=$A897)*'Formation Initiale'!$G$2:$G$999)),"yyyy-mm-dd"),""))))))</f>
        <v/>
      </c>
      <c r="G897" s="131" t="str">
        <f aca="false">IF($Q897="✓","✓",IF(ISNUMBER($Q897),TEXT($Q897,"yyyy-mm-dd"),IF($A897="","",IF(SUMPRODUCT(('Agences &amp; Après-vente'!$A$2:$A$1000=$A897)*(('Agences &amp; Après-vente'!$D$2:$D$1000="Agences")+('Agences &amp; Après-vente'!$D$2:$D$1000="Agences et Après-vente"))*('Agences &amp; Après-vente'!$I$2:$I$1000="DONE"))&gt;0,"✓",IF(SUMPRODUCT(MAX(('Agences &amp; Après-vente'!$A$2:$A$1000=$A897)*(('Agences &amp; Après-vente'!$D$2:$D$1000="Agences")+('Agences &amp; Après-vente'!$D$2:$D$1000="Agences et Après-vente"))*'Agences &amp; Après-vente'!$E$2:$E$1000))&gt;0,TEXT(SUMPRODUCT(MAX(('Agences &amp; Après-vente'!$A$2:$A$1000=$A897)*(('Agences &amp; Après-vente'!$D$2:$D$1000="Agences")+('Agences &amp; Après-vente'!$D$2:$D$1000="Agences et Après-vente"))*'Agences &amp; Après-vente'!$E$2:$E$1000)),"yyyy-mm-dd"),"")))))</f>
        <v/>
      </c>
      <c r="H897" s="131" t="str">
        <f aca="false">IF($R897="✓","✓",IF(ISNUMBER($R897),TEXT($R897,"yyyy-mm-dd"),IF($A897="","",IF($D897="Lisbonne","",IF(SUMPRODUCT(('Agences &amp; Après-vente'!$A$2:$A$1000=$A897)*(('Agences &amp; Après-vente'!$D$2:$D$1000="Agences")+('Agences &amp; Après-vente'!$D$2:$D$1000="Agences et Après-vente"))*('Agences &amp; Après-vente'!$I$2:$I$1000="DONE"))&gt;0,"✓",IF(SUMPRODUCT(MAX(('Agences &amp; Après-vente'!$A$2:$A$1000=$A897)*(('Agences &amp; Après-vente'!$D$2:$D$1000="Agences")+('Agences &amp; Après-vente'!$D$2:$D$1000="Agences et Après-vente"))*'Agences &amp; Après-vente'!$E$2:$E$1000))&gt;0,TEXT(SUMPRODUCT(MAX(('Agences &amp; Après-vente'!$A$2:$A$1000=$A897)*(('Agences &amp; Après-vente'!$D$2:$D$1000="Agences")+('Agences &amp; Après-vente'!$D$2:$D$1000="Agences et Après-vente"))*'Agences &amp; Après-vente'!$E$2:$E$1000)),"yyyy-mm-dd"),""))))))</f>
        <v/>
      </c>
      <c r="I897" s="131" t="str">
        <f aca="false">IF($S897="✓","✓",IF(ISNUMBER($S897),TEXT($S897,"yyyy-mm-dd"),IF($A897="","",IF(SUMPRODUCT(('Agences &amp; Après-vente'!$A$2:$A$1000=$A897)*(('Agences &amp; Après-vente'!$D$2:$D$1000="Après-vente")+('Agences &amp; Après-vente'!$D$2:$D$1000="Agences et Après-vente"))*('Agences &amp; Après-vente'!$I$2:$I$1000="DONE"))&gt;0,"✓",IF(SUMPRODUCT(MAX(('Agences &amp; Après-vente'!$A$2:$A$1000=$A897)*(('Agences &amp; Après-vente'!$D$2:$D$1000="Après-vente")+('Agences &amp; Après-vente'!$D$2:$D$1000="Agences et Après-vente"))*'Agences &amp; Après-vente'!$E$2:$E$1000))&gt;0,TEXT(SUMPRODUCT(MAX(('Agences &amp; Après-vente'!$A$2:$A$1000=$A897)*(('Agences &amp; Après-vente'!$D$2:$D$1000="Après-vente")+('Agences &amp; Après-vente'!$D$2:$D$1000="Agences et Après-vente"))*'Agences &amp; Après-vente'!$E$2:$E$1000)),"yyyy-mm-dd"),"")))))</f>
        <v/>
      </c>
      <c r="J897" s="131" t="str">
        <f aca="false">IF($T897="✓","✓",IF(ISNUMBER($T897),TEXT($T897,"yyyy-mm-dd"),IF($A897="","",IF($D897="Lisbonne","",IF(SUMPRODUCT(('Agences &amp; Après-vente'!$A$2:$A$1000=$A897)*(('Agences &amp; Après-vente'!$D$2:$D$1000="Après-vente")+('Agences &amp; Après-vente'!$D$2:$D$1000="Agences et Après-vente"))*('Agences &amp; Après-vente'!$I$2:$I$1000="DONE"))&gt;0,"✓",IF(SUMPRODUCT(MAX(('Agences &amp; Après-vente'!$A$2:$A$1000=$A897)*(('Agences &amp; Après-vente'!$D$2:$D$1000="Après-vente")+('Agences &amp; Après-vente'!$D$2:$D$1000="Agences et Après-vente"))*'Agences &amp; Après-vente'!$E$2:$E$1000))&gt;0,TEXT(SUMPRODUCT(MAX(('Agences &amp; Après-vente'!$A$2:$A$1000=$A897)*(('Agences &amp; Après-vente'!$D$2:$D$1000="Après-vente")+('Agences &amp; Après-vente'!$D$2:$D$1000="Agences et Après-vente"))*'Agences &amp; Après-vente'!$E$2:$E$1000)),"yyyy-mm-dd"),""))))))</f>
        <v/>
      </c>
      <c r="K897" s="131" t="str">
        <f aca="false">IF($U897="✓","✓",IF(ISNUMBER($U897),TEXT($U897,"yyyy-mm-dd"),IF($D897="Lisbonne","",IF($A897="","",IF(SUMPRODUCT((Evermont!$A$2:$A$1000=$A897)*(Evermont!$Q$2:$Q$1000="Terminé"))&gt;0,"✓",IF(SUMPRODUCT(MAX((Evermont!$A$2:$A$1000=$A897)*Evermont!$F$2:$F$1000))&gt;0,TEXT(SUMPRODUCT(MAX((Evermont!$A$2:$A$1000=$A897)*Evermont!$F$2:$F$1000)),"yyyy-mm-dd"),""))))))</f>
        <v/>
      </c>
      <c r="L897" s="131" t="str">
        <f aca="false">IF($A897="","",COUNTIF(E897:K897,"✓"))</f>
        <v/>
      </c>
      <c r="M897" s="131" t="str">
        <f aca="false">IF(B897="","","Active")</f>
        <v/>
      </c>
      <c r="W897" s="120" t="str">
        <f aca="false">IF($A897="","",IF($X897&lt;&gt;"",$X897,IFERROR(INDEX('Formation Initiale'!$B$2:$B$999,MATCH($A897,'Formation Initiale'!$A$2:$A$999,0)),"Général")))</f>
        <v/>
      </c>
    </row>
    <row r="898" customFormat="false" ht="15" hidden="true" customHeight="true" outlineLevel="0" collapsed="false">
      <c r="A898" s="142" t="str">
        <f aca="false">IF(B898="","","TR"&amp;TEXT(ROW()-1,"000"))</f>
        <v/>
      </c>
      <c r="E898" s="130" t="str">
        <f aca="false">IF($O898="✓","✓",IF(ISNUMBER($O898),TEXT($O898,"yyyy-mm-dd"),IF($A898="","",IF(SUMPRODUCT(('Formation Initiale'!$A$2:$A$999=$A898)*('Formation Initiale'!$R$2:$R$999="Terminé"))&gt;0,"✓",IF(SUMPRODUCT(MAX(('Formation Initiale'!$A$2:$A$999=$A898)*'Formation Initiale'!$G$2:$G$999))&gt;0,TEXT(SUMPRODUCT(MAX(('Formation Initiale'!$A$2:$A$999=$A898)*'Formation Initiale'!$G$2:$G$999)),"yyyy-mm-dd"),"")))))</f>
        <v/>
      </c>
      <c r="F898" s="131" t="str">
        <f aca="false">IF($P898="✓","✓",IF(ISNUMBER($P898),TEXT($P898,"yyyy-mm-dd"),IF($A898="","",IF($D898="Lisbonne","",IF(SUMPRODUCT(('Formation Initiale'!$A$2:$A$999=$A898)*('Formation Initiale'!$R$2:$R$999="Terminé"))&gt;0,"✓",IF(SUMPRODUCT(MAX(('Formation Initiale'!$A$2:$A$999=$A898)*'Formation Initiale'!$G$2:$G$999))&gt;0,TEXT(SUMPRODUCT(MAX(('Formation Initiale'!$A$2:$A$999=$A898)*'Formation Initiale'!$G$2:$G$999)),"yyyy-mm-dd"),""))))))</f>
        <v/>
      </c>
      <c r="G898" s="131" t="str">
        <f aca="false">IF($Q898="✓","✓",IF(ISNUMBER($Q898),TEXT($Q898,"yyyy-mm-dd"),IF($A898="","",IF(SUMPRODUCT(('Agences &amp; Après-vente'!$A$2:$A$1000=$A898)*(('Agences &amp; Après-vente'!$D$2:$D$1000="Agences")+('Agences &amp; Après-vente'!$D$2:$D$1000="Agences et Après-vente"))*('Agences &amp; Après-vente'!$I$2:$I$1000="DONE"))&gt;0,"✓",IF(SUMPRODUCT(MAX(('Agences &amp; Après-vente'!$A$2:$A$1000=$A898)*(('Agences &amp; Après-vente'!$D$2:$D$1000="Agences")+('Agences &amp; Après-vente'!$D$2:$D$1000="Agences et Après-vente"))*'Agences &amp; Après-vente'!$E$2:$E$1000))&gt;0,TEXT(SUMPRODUCT(MAX(('Agences &amp; Après-vente'!$A$2:$A$1000=$A898)*(('Agences &amp; Après-vente'!$D$2:$D$1000="Agences")+('Agences &amp; Après-vente'!$D$2:$D$1000="Agences et Après-vente"))*'Agences &amp; Après-vente'!$E$2:$E$1000)),"yyyy-mm-dd"),"")))))</f>
        <v/>
      </c>
      <c r="H898" s="131" t="str">
        <f aca="false">IF($R898="✓","✓",IF(ISNUMBER($R898),TEXT($R898,"yyyy-mm-dd"),IF($A898="","",IF($D898="Lisbonne","",IF(SUMPRODUCT(('Agences &amp; Après-vente'!$A$2:$A$1000=$A898)*(('Agences &amp; Après-vente'!$D$2:$D$1000="Agences")+('Agences &amp; Après-vente'!$D$2:$D$1000="Agences et Après-vente"))*('Agences &amp; Après-vente'!$I$2:$I$1000="DONE"))&gt;0,"✓",IF(SUMPRODUCT(MAX(('Agences &amp; Après-vente'!$A$2:$A$1000=$A898)*(('Agences &amp; Après-vente'!$D$2:$D$1000="Agences")+('Agences &amp; Après-vente'!$D$2:$D$1000="Agences et Après-vente"))*'Agences &amp; Après-vente'!$E$2:$E$1000))&gt;0,TEXT(SUMPRODUCT(MAX(('Agences &amp; Après-vente'!$A$2:$A$1000=$A898)*(('Agences &amp; Après-vente'!$D$2:$D$1000="Agences")+('Agences &amp; Après-vente'!$D$2:$D$1000="Agences et Après-vente"))*'Agences &amp; Après-vente'!$E$2:$E$1000)),"yyyy-mm-dd"),""))))))</f>
        <v/>
      </c>
      <c r="I898" s="131" t="str">
        <f aca="false">IF($S898="✓","✓",IF(ISNUMBER($S898),TEXT($S898,"yyyy-mm-dd"),IF($A898="","",IF(SUMPRODUCT(('Agences &amp; Après-vente'!$A$2:$A$1000=$A898)*(('Agences &amp; Après-vente'!$D$2:$D$1000="Après-vente")+('Agences &amp; Après-vente'!$D$2:$D$1000="Agences et Après-vente"))*('Agences &amp; Après-vente'!$I$2:$I$1000="DONE"))&gt;0,"✓",IF(SUMPRODUCT(MAX(('Agences &amp; Après-vente'!$A$2:$A$1000=$A898)*(('Agences &amp; Après-vente'!$D$2:$D$1000="Après-vente")+('Agences &amp; Après-vente'!$D$2:$D$1000="Agences et Après-vente"))*'Agences &amp; Après-vente'!$E$2:$E$1000))&gt;0,TEXT(SUMPRODUCT(MAX(('Agences &amp; Après-vente'!$A$2:$A$1000=$A898)*(('Agences &amp; Après-vente'!$D$2:$D$1000="Après-vente")+('Agences &amp; Après-vente'!$D$2:$D$1000="Agences et Après-vente"))*'Agences &amp; Après-vente'!$E$2:$E$1000)),"yyyy-mm-dd"),"")))))</f>
        <v/>
      </c>
      <c r="J898" s="131" t="str">
        <f aca="false">IF($T898="✓","✓",IF(ISNUMBER($T898),TEXT($T898,"yyyy-mm-dd"),IF($A898="","",IF($D898="Lisbonne","",IF(SUMPRODUCT(('Agences &amp; Après-vente'!$A$2:$A$1000=$A898)*(('Agences &amp; Après-vente'!$D$2:$D$1000="Après-vente")+('Agences &amp; Après-vente'!$D$2:$D$1000="Agences et Après-vente"))*('Agences &amp; Après-vente'!$I$2:$I$1000="DONE"))&gt;0,"✓",IF(SUMPRODUCT(MAX(('Agences &amp; Après-vente'!$A$2:$A$1000=$A898)*(('Agences &amp; Après-vente'!$D$2:$D$1000="Après-vente")+('Agences &amp; Après-vente'!$D$2:$D$1000="Agences et Après-vente"))*'Agences &amp; Après-vente'!$E$2:$E$1000))&gt;0,TEXT(SUMPRODUCT(MAX(('Agences &amp; Après-vente'!$A$2:$A$1000=$A898)*(('Agences &amp; Après-vente'!$D$2:$D$1000="Après-vente")+('Agences &amp; Après-vente'!$D$2:$D$1000="Agences et Après-vente"))*'Agences &amp; Après-vente'!$E$2:$E$1000)),"yyyy-mm-dd"),""))))))</f>
        <v/>
      </c>
      <c r="K898" s="131" t="str">
        <f aca="false">IF($U898="✓","✓",IF(ISNUMBER($U898),TEXT($U898,"yyyy-mm-dd"),IF($D898="Lisbonne","",IF($A898="","",IF(SUMPRODUCT((Evermont!$A$2:$A$1000=$A898)*(Evermont!$Q$2:$Q$1000="Terminé"))&gt;0,"✓",IF(SUMPRODUCT(MAX((Evermont!$A$2:$A$1000=$A898)*Evermont!$F$2:$F$1000))&gt;0,TEXT(SUMPRODUCT(MAX((Evermont!$A$2:$A$1000=$A898)*Evermont!$F$2:$F$1000)),"yyyy-mm-dd"),""))))))</f>
        <v/>
      </c>
      <c r="L898" s="131" t="str">
        <f aca="false">IF($A898="","",COUNTIF(E898:K898,"✓"))</f>
        <v/>
      </c>
      <c r="M898" s="131" t="str">
        <f aca="false">IF(B898="","","Active")</f>
        <v/>
      </c>
      <c r="W898" s="120" t="str">
        <f aca="false">IF($A898="","",IF($X898&lt;&gt;"",$X898,IFERROR(INDEX('Formation Initiale'!$B$2:$B$999,MATCH($A898,'Formation Initiale'!$A$2:$A$999,0)),"Général")))</f>
        <v/>
      </c>
    </row>
    <row r="899" customFormat="false" ht="15" hidden="true" customHeight="true" outlineLevel="0" collapsed="false">
      <c r="A899" s="142" t="str">
        <f aca="false">IF(B899="","","TR"&amp;TEXT(ROW()-1,"000"))</f>
        <v/>
      </c>
      <c r="E899" s="130" t="str">
        <f aca="false">IF($O899="✓","✓",IF(ISNUMBER($O899),TEXT($O899,"yyyy-mm-dd"),IF($A899="","",IF(SUMPRODUCT(('Formation Initiale'!$A$2:$A$999=$A899)*('Formation Initiale'!$R$2:$R$999="Terminé"))&gt;0,"✓",IF(SUMPRODUCT(MAX(('Formation Initiale'!$A$2:$A$999=$A899)*'Formation Initiale'!$G$2:$G$999))&gt;0,TEXT(SUMPRODUCT(MAX(('Formation Initiale'!$A$2:$A$999=$A899)*'Formation Initiale'!$G$2:$G$999)),"yyyy-mm-dd"),"")))))</f>
        <v/>
      </c>
      <c r="F899" s="131" t="str">
        <f aca="false">IF($P899="✓","✓",IF(ISNUMBER($P899),TEXT($P899,"yyyy-mm-dd"),IF($A899="","",IF($D899="Lisbonne","",IF(SUMPRODUCT(('Formation Initiale'!$A$2:$A$999=$A899)*('Formation Initiale'!$R$2:$R$999="Terminé"))&gt;0,"✓",IF(SUMPRODUCT(MAX(('Formation Initiale'!$A$2:$A$999=$A899)*'Formation Initiale'!$G$2:$G$999))&gt;0,TEXT(SUMPRODUCT(MAX(('Formation Initiale'!$A$2:$A$999=$A899)*'Formation Initiale'!$G$2:$G$999)),"yyyy-mm-dd"),""))))))</f>
        <v/>
      </c>
      <c r="G899" s="131" t="str">
        <f aca="false">IF($Q899="✓","✓",IF(ISNUMBER($Q899),TEXT($Q899,"yyyy-mm-dd"),IF($A899="","",IF(SUMPRODUCT(('Agences &amp; Après-vente'!$A$2:$A$1000=$A899)*(('Agences &amp; Après-vente'!$D$2:$D$1000="Agences")+('Agences &amp; Après-vente'!$D$2:$D$1000="Agences et Après-vente"))*('Agences &amp; Après-vente'!$I$2:$I$1000="DONE"))&gt;0,"✓",IF(SUMPRODUCT(MAX(('Agences &amp; Après-vente'!$A$2:$A$1000=$A899)*(('Agences &amp; Après-vente'!$D$2:$D$1000="Agences")+('Agences &amp; Après-vente'!$D$2:$D$1000="Agences et Après-vente"))*'Agences &amp; Après-vente'!$E$2:$E$1000))&gt;0,TEXT(SUMPRODUCT(MAX(('Agences &amp; Après-vente'!$A$2:$A$1000=$A899)*(('Agences &amp; Après-vente'!$D$2:$D$1000="Agences")+('Agences &amp; Après-vente'!$D$2:$D$1000="Agences et Après-vente"))*'Agences &amp; Après-vente'!$E$2:$E$1000)),"yyyy-mm-dd"),"")))))</f>
        <v/>
      </c>
      <c r="H899" s="131" t="str">
        <f aca="false">IF($R899="✓","✓",IF(ISNUMBER($R899),TEXT($R899,"yyyy-mm-dd"),IF($A899="","",IF($D899="Lisbonne","",IF(SUMPRODUCT(('Agences &amp; Après-vente'!$A$2:$A$1000=$A899)*(('Agences &amp; Après-vente'!$D$2:$D$1000="Agences")+('Agences &amp; Après-vente'!$D$2:$D$1000="Agences et Après-vente"))*('Agences &amp; Après-vente'!$I$2:$I$1000="DONE"))&gt;0,"✓",IF(SUMPRODUCT(MAX(('Agences &amp; Après-vente'!$A$2:$A$1000=$A899)*(('Agences &amp; Après-vente'!$D$2:$D$1000="Agences")+('Agences &amp; Après-vente'!$D$2:$D$1000="Agences et Après-vente"))*'Agences &amp; Après-vente'!$E$2:$E$1000))&gt;0,TEXT(SUMPRODUCT(MAX(('Agences &amp; Après-vente'!$A$2:$A$1000=$A899)*(('Agences &amp; Après-vente'!$D$2:$D$1000="Agences")+('Agences &amp; Après-vente'!$D$2:$D$1000="Agences et Après-vente"))*'Agences &amp; Après-vente'!$E$2:$E$1000)),"yyyy-mm-dd"),""))))))</f>
        <v/>
      </c>
      <c r="I899" s="131" t="str">
        <f aca="false">IF($S899="✓","✓",IF(ISNUMBER($S899),TEXT($S899,"yyyy-mm-dd"),IF($A899="","",IF(SUMPRODUCT(('Agences &amp; Après-vente'!$A$2:$A$1000=$A899)*(('Agences &amp; Après-vente'!$D$2:$D$1000="Après-vente")+('Agences &amp; Après-vente'!$D$2:$D$1000="Agences et Après-vente"))*('Agences &amp; Après-vente'!$I$2:$I$1000="DONE"))&gt;0,"✓",IF(SUMPRODUCT(MAX(('Agences &amp; Après-vente'!$A$2:$A$1000=$A899)*(('Agences &amp; Après-vente'!$D$2:$D$1000="Après-vente")+('Agences &amp; Après-vente'!$D$2:$D$1000="Agences et Après-vente"))*'Agences &amp; Après-vente'!$E$2:$E$1000))&gt;0,TEXT(SUMPRODUCT(MAX(('Agences &amp; Après-vente'!$A$2:$A$1000=$A899)*(('Agences &amp; Après-vente'!$D$2:$D$1000="Après-vente")+('Agences &amp; Après-vente'!$D$2:$D$1000="Agences et Après-vente"))*'Agences &amp; Après-vente'!$E$2:$E$1000)),"yyyy-mm-dd"),"")))))</f>
        <v/>
      </c>
      <c r="J899" s="131" t="str">
        <f aca="false">IF($T899="✓","✓",IF(ISNUMBER($T899),TEXT($T899,"yyyy-mm-dd"),IF($A899="","",IF($D899="Lisbonne","",IF(SUMPRODUCT(('Agences &amp; Après-vente'!$A$2:$A$1000=$A899)*(('Agences &amp; Après-vente'!$D$2:$D$1000="Après-vente")+('Agences &amp; Après-vente'!$D$2:$D$1000="Agences et Après-vente"))*('Agences &amp; Après-vente'!$I$2:$I$1000="DONE"))&gt;0,"✓",IF(SUMPRODUCT(MAX(('Agences &amp; Après-vente'!$A$2:$A$1000=$A899)*(('Agences &amp; Après-vente'!$D$2:$D$1000="Après-vente")+('Agences &amp; Après-vente'!$D$2:$D$1000="Agences et Après-vente"))*'Agences &amp; Après-vente'!$E$2:$E$1000))&gt;0,TEXT(SUMPRODUCT(MAX(('Agences &amp; Après-vente'!$A$2:$A$1000=$A899)*(('Agences &amp; Après-vente'!$D$2:$D$1000="Après-vente")+('Agences &amp; Après-vente'!$D$2:$D$1000="Agences et Après-vente"))*'Agences &amp; Après-vente'!$E$2:$E$1000)),"yyyy-mm-dd"),""))))))</f>
        <v/>
      </c>
      <c r="K899" s="131" t="str">
        <f aca="false">IF($U899="✓","✓",IF(ISNUMBER($U899),TEXT($U899,"yyyy-mm-dd"),IF($D899="Lisbonne","",IF($A899="","",IF(SUMPRODUCT((Evermont!$A$2:$A$1000=$A899)*(Evermont!$Q$2:$Q$1000="Terminé"))&gt;0,"✓",IF(SUMPRODUCT(MAX((Evermont!$A$2:$A$1000=$A899)*Evermont!$F$2:$F$1000))&gt;0,TEXT(SUMPRODUCT(MAX((Evermont!$A$2:$A$1000=$A899)*Evermont!$F$2:$F$1000)),"yyyy-mm-dd"),""))))))</f>
        <v/>
      </c>
      <c r="L899" s="131" t="str">
        <f aca="false">IF($A899="","",COUNTIF(E899:K899,"✓"))</f>
        <v/>
      </c>
      <c r="M899" s="131" t="str">
        <f aca="false">IF(B899="","","Active")</f>
        <v/>
      </c>
      <c r="W899" s="120" t="str">
        <f aca="false">IF($A899="","",IF($X899&lt;&gt;"",$X899,IFERROR(INDEX('Formation Initiale'!$B$2:$B$999,MATCH($A899,'Formation Initiale'!$A$2:$A$999,0)),"Général")))</f>
        <v/>
      </c>
    </row>
    <row r="900" customFormat="false" ht="15" hidden="true" customHeight="true" outlineLevel="0" collapsed="false">
      <c r="A900" s="142" t="str">
        <f aca="false">IF(B900="","","TR"&amp;TEXT(ROW()-1,"000"))</f>
        <v/>
      </c>
      <c r="E900" s="130" t="str">
        <f aca="false">IF($O900="✓","✓",IF(ISNUMBER($O900),TEXT($O900,"yyyy-mm-dd"),IF($A900="","",IF(SUMPRODUCT(('Formation Initiale'!$A$2:$A$999=$A900)*('Formation Initiale'!$R$2:$R$999="Terminé"))&gt;0,"✓",IF(SUMPRODUCT(MAX(('Formation Initiale'!$A$2:$A$999=$A900)*'Formation Initiale'!$G$2:$G$999))&gt;0,TEXT(SUMPRODUCT(MAX(('Formation Initiale'!$A$2:$A$999=$A900)*'Formation Initiale'!$G$2:$G$999)),"yyyy-mm-dd"),"")))))</f>
        <v/>
      </c>
      <c r="F900" s="131" t="str">
        <f aca="false">IF($P900="✓","✓",IF(ISNUMBER($P900),TEXT($P900,"yyyy-mm-dd"),IF($A900="","",IF($D900="Lisbonne","",IF(SUMPRODUCT(('Formation Initiale'!$A$2:$A$999=$A900)*('Formation Initiale'!$R$2:$R$999="Terminé"))&gt;0,"✓",IF(SUMPRODUCT(MAX(('Formation Initiale'!$A$2:$A$999=$A900)*'Formation Initiale'!$G$2:$G$999))&gt;0,TEXT(SUMPRODUCT(MAX(('Formation Initiale'!$A$2:$A$999=$A900)*'Formation Initiale'!$G$2:$G$999)),"yyyy-mm-dd"),""))))))</f>
        <v/>
      </c>
      <c r="G900" s="131" t="str">
        <f aca="false">IF($Q900="✓","✓",IF(ISNUMBER($Q900),TEXT($Q900,"yyyy-mm-dd"),IF($A900="","",IF(SUMPRODUCT(('Agences &amp; Après-vente'!$A$2:$A$1000=$A900)*(('Agences &amp; Après-vente'!$D$2:$D$1000="Agences")+('Agences &amp; Après-vente'!$D$2:$D$1000="Agences et Après-vente"))*('Agences &amp; Après-vente'!$I$2:$I$1000="DONE"))&gt;0,"✓",IF(SUMPRODUCT(MAX(('Agences &amp; Après-vente'!$A$2:$A$1000=$A900)*(('Agences &amp; Après-vente'!$D$2:$D$1000="Agences")+('Agences &amp; Après-vente'!$D$2:$D$1000="Agences et Après-vente"))*'Agences &amp; Après-vente'!$E$2:$E$1000))&gt;0,TEXT(SUMPRODUCT(MAX(('Agences &amp; Après-vente'!$A$2:$A$1000=$A900)*(('Agences &amp; Après-vente'!$D$2:$D$1000="Agences")+('Agences &amp; Après-vente'!$D$2:$D$1000="Agences et Après-vente"))*'Agences &amp; Après-vente'!$E$2:$E$1000)),"yyyy-mm-dd"),"")))))</f>
        <v/>
      </c>
      <c r="H900" s="131" t="str">
        <f aca="false">IF($R900="✓","✓",IF(ISNUMBER($R900),TEXT($R900,"yyyy-mm-dd"),IF($A900="","",IF($D900="Lisbonne","",IF(SUMPRODUCT(('Agences &amp; Après-vente'!$A$2:$A$1000=$A900)*(('Agences &amp; Après-vente'!$D$2:$D$1000="Agences")+('Agences &amp; Après-vente'!$D$2:$D$1000="Agences et Après-vente"))*('Agences &amp; Après-vente'!$I$2:$I$1000="DONE"))&gt;0,"✓",IF(SUMPRODUCT(MAX(('Agences &amp; Après-vente'!$A$2:$A$1000=$A900)*(('Agences &amp; Après-vente'!$D$2:$D$1000="Agences")+('Agences &amp; Après-vente'!$D$2:$D$1000="Agences et Après-vente"))*'Agences &amp; Après-vente'!$E$2:$E$1000))&gt;0,TEXT(SUMPRODUCT(MAX(('Agences &amp; Après-vente'!$A$2:$A$1000=$A900)*(('Agences &amp; Après-vente'!$D$2:$D$1000="Agences")+('Agences &amp; Après-vente'!$D$2:$D$1000="Agences et Après-vente"))*'Agences &amp; Après-vente'!$E$2:$E$1000)),"yyyy-mm-dd"),""))))))</f>
        <v/>
      </c>
      <c r="I900" s="131" t="str">
        <f aca="false">IF($S900="✓","✓",IF(ISNUMBER($S900),TEXT($S900,"yyyy-mm-dd"),IF($A900="","",IF(SUMPRODUCT(('Agences &amp; Après-vente'!$A$2:$A$1000=$A900)*(('Agences &amp; Après-vente'!$D$2:$D$1000="Après-vente")+('Agences &amp; Après-vente'!$D$2:$D$1000="Agences et Après-vente"))*('Agences &amp; Après-vente'!$I$2:$I$1000="DONE"))&gt;0,"✓",IF(SUMPRODUCT(MAX(('Agences &amp; Après-vente'!$A$2:$A$1000=$A900)*(('Agences &amp; Après-vente'!$D$2:$D$1000="Après-vente")+('Agences &amp; Après-vente'!$D$2:$D$1000="Agences et Après-vente"))*'Agences &amp; Après-vente'!$E$2:$E$1000))&gt;0,TEXT(SUMPRODUCT(MAX(('Agences &amp; Après-vente'!$A$2:$A$1000=$A900)*(('Agences &amp; Après-vente'!$D$2:$D$1000="Après-vente")+('Agences &amp; Après-vente'!$D$2:$D$1000="Agences et Après-vente"))*'Agences &amp; Après-vente'!$E$2:$E$1000)),"yyyy-mm-dd"),"")))))</f>
        <v/>
      </c>
      <c r="J900" s="131" t="str">
        <f aca="false">IF($T900="✓","✓",IF(ISNUMBER($T900),TEXT($T900,"yyyy-mm-dd"),IF($A900="","",IF($D900="Lisbonne","",IF(SUMPRODUCT(('Agences &amp; Après-vente'!$A$2:$A$1000=$A900)*(('Agences &amp; Après-vente'!$D$2:$D$1000="Après-vente")+('Agences &amp; Après-vente'!$D$2:$D$1000="Agences et Après-vente"))*('Agences &amp; Après-vente'!$I$2:$I$1000="DONE"))&gt;0,"✓",IF(SUMPRODUCT(MAX(('Agences &amp; Après-vente'!$A$2:$A$1000=$A900)*(('Agences &amp; Après-vente'!$D$2:$D$1000="Après-vente")+('Agences &amp; Après-vente'!$D$2:$D$1000="Agences et Après-vente"))*'Agences &amp; Après-vente'!$E$2:$E$1000))&gt;0,TEXT(SUMPRODUCT(MAX(('Agences &amp; Après-vente'!$A$2:$A$1000=$A900)*(('Agences &amp; Après-vente'!$D$2:$D$1000="Après-vente")+('Agences &amp; Après-vente'!$D$2:$D$1000="Agences et Après-vente"))*'Agences &amp; Après-vente'!$E$2:$E$1000)),"yyyy-mm-dd"),""))))))</f>
        <v/>
      </c>
      <c r="K900" s="131" t="str">
        <f aca="false">IF($U900="✓","✓",IF(ISNUMBER($U900),TEXT($U900,"yyyy-mm-dd"),IF($D900="Lisbonne","",IF($A900="","",IF(SUMPRODUCT((Evermont!$A$2:$A$1000=$A900)*(Evermont!$Q$2:$Q$1000="Terminé"))&gt;0,"✓",IF(SUMPRODUCT(MAX((Evermont!$A$2:$A$1000=$A900)*Evermont!$F$2:$F$1000))&gt;0,TEXT(SUMPRODUCT(MAX((Evermont!$A$2:$A$1000=$A900)*Evermont!$F$2:$F$1000)),"yyyy-mm-dd"),""))))))</f>
        <v/>
      </c>
      <c r="L900" s="131" t="str">
        <f aca="false">IF($A900="","",COUNTIF(E900:K900,"✓"))</f>
        <v/>
      </c>
      <c r="M900" s="131" t="str">
        <f aca="false">IF(B900="","","Active")</f>
        <v/>
      </c>
      <c r="W900" s="120" t="str">
        <f aca="false">IF($A900="","",IF($X900&lt;&gt;"",$X900,IFERROR(INDEX('Formation Initiale'!$B$2:$B$999,MATCH($A900,'Formation Initiale'!$A$2:$A$999,0)),"Général")))</f>
        <v/>
      </c>
    </row>
    <row r="901" customFormat="false" ht="15" hidden="true" customHeight="true" outlineLevel="0" collapsed="false">
      <c r="A901" s="142" t="str">
        <f aca="false">IF(B901="","","TR"&amp;TEXT(ROW()-1,"000"))</f>
        <v/>
      </c>
      <c r="E901" s="130" t="str">
        <f aca="false">IF($O901="✓","✓",IF(ISNUMBER($O901),TEXT($O901,"yyyy-mm-dd"),IF($A901="","",IF(SUMPRODUCT(('Formation Initiale'!$A$2:$A$999=$A901)*('Formation Initiale'!$R$2:$R$999="Terminé"))&gt;0,"✓",IF(SUMPRODUCT(MAX(('Formation Initiale'!$A$2:$A$999=$A901)*'Formation Initiale'!$G$2:$G$999))&gt;0,TEXT(SUMPRODUCT(MAX(('Formation Initiale'!$A$2:$A$999=$A901)*'Formation Initiale'!$G$2:$G$999)),"yyyy-mm-dd"),"")))))</f>
        <v/>
      </c>
      <c r="F901" s="131" t="str">
        <f aca="false">IF($P901="✓","✓",IF(ISNUMBER($P901),TEXT($P901,"yyyy-mm-dd"),IF($A901="","",IF($D901="Lisbonne","",IF(SUMPRODUCT(('Formation Initiale'!$A$2:$A$999=$A901)*('Formation Initiale'!$R$2:$R$999="Terminé"))&gt;0,"✓",IF(SUMPRODUCT(MAX(('Formation Initiale'!$A$2:$A$999=$A901)*'Formation Initiale'!$G$2:$G$999))&gt;0,TEXT(SUMPRODUCT(MAX(('Formation Initiale'!$A$2:$A$999=$A901)*'Formation Initiale'!$G$2:$G$999)),"yyyy-mm-dd"),""))))))</f>
        <v/>
      </c>
      <c r="G901" s="131" t="str">
        <f aca="false">IF($Q901="✓","✓",IF(ISNUMBER($Q901),TEXT($Q901,"yyyy-mm-dd"),IF($A901="","",IF(SUMPRODUCT(('Agences &amp; Après-vente'!$A$2:$A$1000=$A901)*(('Agences &amp; Après-vente'!$D$2:$D$1000="Agences")+('Agences &amp; Après-vente'!$D$2:$D$1000="Agences et Après-vente"))*('Agences &amp; Après-vente'!$I$2:$I$1000="DONE"))&gt;0,"✓",IF(SUMPRODUCT(MAX(('Agences &amp; Après-vente'!$A$2:$A$1000=$A901)*(('Agences &amp; Après-vente'!$D$2:$D$1000="Agences")+('Agences &amp; Après-vente'!$D$2:$D$1000="Agences et Après-vente"))*'Agences &amp; Après-vente'!$E$2:$E$1000))&gt;0,TEXT(SUMPRODUCT(MAX(('Agences &amp; Après-vente'!$A$2:$A$1000=$A901)*(('Agences &amp; Après-vente'!$D$2:$D$1000="Agences")+('Agences &amp; Après-vente'!$D$2:$D$1000="Agences et Après-vente"))*'Agences &amp; Après-vente'!$E$2:$E$1000)),"yyyy-mm-dd"),"")))))</f>
        <v/>
      </c>
      <c r="H901" s="131" t="str">
        <f aca="false">IF($R901="✓","✓",IF(ISNUMBER($R901),TEXT($R901,"yyyy-mm-dd"),IF($A901="","",IF($D901="Lisbonne","",IF(SUMPRODUCT(('Agences &amp; Après-vente'!$A$2:$A$1000=$A901)*(('Agences &amp; Après-vente'!$D$2:$D$1000="Agences")+('Agences &amp; Après-vente'!$D$2:$D$1000="Agences et Après-vente"))*('Agences &amp; Après-vente'!$I$2:$I$1000="DONE"))&gt;0,"✓",IF(SUMPRODUCT(MAX(('Agences &amp; Après-vente'!$A$2:$A$1000=$A901)*(('Agences &amp; Après-vente'!$D$2:$D$1000="Agences")+('Agences &amp; Après-vente'!$D$2:$D$1000="Agences et Après-vente"))*'Agences &amp; Après-vente'!$E$2:$E$1000))&gt;0,TEXT(SUMPRODUCT(MAX(('Agences &amp; Après-vente'!$A$2:$A$1000=$A901)*(('Agences &amp; Après-vente'!$D$2:$D$1000="Agences")+('Agences &amp; Après-vente'!$D$2:$D$1000="Agences et Après-vente"))*'Agences &amp; Après-vente'!$E$2:$E$1000)),"yyyy-mm-dd"),""))))))</f>
        <v/>
      </c>
      <c r="I901" s="131" t="str">
        <f aca="false">IF($S901="✓","✓",IF(ISNUMBER($S901),TEXT($S901,"yyyy-mm-dd"),IF($A901="","",IF(SUMPRODUCT(('Agences &amp; Après-vente'!$A$2:$A$1000=$A901)*(('Agences &amp; Après-vente'!$D$2:$D$1000="Après-vente")+('Agences &amp; Après-vente'!$D$2:$D$1000="Agences et Après-vente"))*('Agences &amp; Après-vente'!$I$2:$I$1000="DONE"))&gt;0,"✓",IF(SUMPRODUCT(MAX(('Agences &amp; Après-vente'!$A$2:$A$1000=$A901)*(('Agences &amp; Après-vente'!$D$2:$D$1000="Après-vente")+('Agences &amp; Après-vente'!$D$2:$D$1000="Agences et Après-vente"))*'Agences &amp; Après-vente'!$E$2:$E$1000))&gt;0,TEXT(SUMPRODUCT(MAX(('Agences &amp; Après-vente'!$A$2:$A$1000=$A901)*(('Agences &amp; Après-vente'!$D$2:$D$1000="Après-vente")+('Agences &amp; Après-vente'!$D$2:$D$1000="Agences et Après-vente"))*'Agences &amp; Après-vente'!$E$2:$E$1000)),"yyyy-mm-dd"),"")))))</f>
        <v/>
      </c>
      <c r="J901" s="131" t="str">
        <f aca="false">IF($T901="✓","✓",IF(ISNUMBER($T901),TEXT($T901,"yyyy-mm-dd"),IF($A901="","",IF($D901="Lisbonne","",IF(SUMPRODUCT(('Agences &amp; Après-vente'!$A$2:$A$1000=$A901)*(('Agences &amp; Après-vente'!$D$2:$D$1000="Après-vente")+('Agences &amp; Après-vente'!$D$2:$D$1000="Agences et Après-vente"))*('Agences &amp; Après-vente'!$I$2:$I$1000="DONE"))&gt;0,"✓",IF(SUMPRODUCT(MAX(('Agences &amp; Après-vente'!$A$2:$A$1000=$A901)*(('Agences &amp; Après-vente'!$D$2:$D$1000="Après-vente")+('Agences &amp; Après-vente'!$D$2:$D$1000="Agences et Après-vente"))*'Agences &amp; Après-vente'!$E$2:$E$1000))&gt;0,TEXT(SUMPRODUCT(MAX(('Agences &amp; Après-vente'!$A$2:$A$1000=$A901)*(('Agences &amp; Après-vente'!$D$2:$D$1000="Après-vente")+('Agences &amp; Après-vente'!$D$2:$D$1000="Agences et Après-vente"))*'Agences &amp; Après-vente'!$E$2:$E$1000)),"yyyy-mm-dd"),""))))))</f>
        <v/>
      </c>
      <c r="K901" s="131" t="str">
        <f aca="false">IF($U901="✓","✓",IF(ISNUMBER($U901),TEXT($U901,"yyyy-mm-dd"),IF($D901="Lisbonne","",IF($A901="","",IF(SUMPRODUCT((Evermont!$A$2:$A$1000=$A901)*(Evermont!$Q$2:$Q$1000="Terminé"))&gt;0,"✓",IF(SUMPRODUCT(MAX((Evermont!$A$2:$A$1000=$A901)*Evermont!$F$2:$F$1000))&gt;0,TEXT(SUMPRODUCT(MAX((Evermont!$A$2:$A$1000=$A901)*Evermont!$F$2:$F$1000)),"yyyy-mm-dd"),""))))))</f>
        <v/>
      </c>
      <c r="L901" s="131" t="str">
        <f aca="false">IF($A901="","",COUNTIF(E901:K901,"✓"))</f>
        <v/>
      </c>
      <c r="M901" s="131" t="str">
        <f aca="false">IF(B901="","","Active")</f>
        <v/>
      </c>
      <c r="W901" s="120" t="str">
        <f aca="false">IF($A901="","",IF($X901&lt;&gt;"",$X901,IFERROR(INDEX('Formation Initiale'!$B$2:$B$999,MATCH($A901,'Formation Initiale'!$A$2:$A$999,0)),"Général")))</f>
        <v/>
      </c>
    </row>
    <row r="902" customFormat="false" ht="15" hidden="true" customHeight="true" outlineLevel="0" collapsed="false">
      <c r="A902" s="142" t="str">
        <f aca="false">IF(B902="","","TR"&amp;TEXT(ROW()-1,"000"))</f>
        <v/>
      </c>
      <c r="E902" s="130" t="str">
        <f aca="false">IF($O902="✓","✓",IF(ISNUMBER($O902),TEXT($O902,"yyyy-mm-dd"),IF($A902="","",IF(SUMPRODUCT(('Formation Initiale'!$A$2:$A$999=$A902)*('Formation Initiale'!$R$2:$R$999="Terminé"))&gt;0,"✓",IF(SUMPRODUCT(MAX(('Formation Initiale'!$A$2:$A$999=$A902)*'Formation Initiale'!$G$2:$G$999))&gt;0,TEXT(SUMPRODUCT(MAX(('Formation Initiale'!$A$2:$A$999=$A902)*'Formation Initiale'!$G$2:$G$999)),"yyyy-mm-dd"),"")))))</f>
        <v/>
      </c>
      <c r="F902" s="131" t="str">
        <f aca="false">IF($P902="✓","✓",IF(ISNUMBER($P902),TEXT($P902,"yyyy-mm-dd"),IF($A902="","",IF($D902="Lisbonne","",IF(SUMPRODUCT(('Formation Initiale'!$A$2:$A$999=$A902)*('Formation Initiale'!$R$2:$R$999="Terminé"))&gt;0,"✓",IF(SUMPRODUCT(MAX(('Formation Initiale'!$A$2:$A$999=$A902)*'Formation Initiale'!$G$2:$G$999))&gt;0,TEXT(SUMPRODUCT(MAX(('Formation Initiale'!$A$2:$A$999=$A902)*'Formation Initiale'!$G$2:$G$999)),"yyyy-mm-dd"),""))))))</f>
        <v/>
      </c>
      <c r="G902" s="131" t="str">
        <f aca="false">IF($Q902="✓","✓",IF(ISNUMBER($Q902),TEXT($Q902,"yyyy-mm-dd"),IF($A902="","",IF(SUMPRODUCT(('Agences &amp; Après-vente'!$A$2:$A$1000=$A902)*(('Agences &amp; Après-vente'!$D$2:$D$1000="Agences")+('Agences &amp; Après-vente'!$D$2:$D$1000="Agences et Après-vente"))*('Agences &amp; Après-vente'!$I$2:$I$1000="DONE"))&gt;0,"✓",IF(SUMPRODUCT(MAX(('Agences &amp; Après-vente'!$A$2:$A$1000=$A902)*(('Agences &amp; Après-vente'!$D$2:$D$1000="Agences")+('Agences &amp; Après-vente'!$D$2:$D$1000="Agences et Après-vente"))*'Agences &amp; Après-vente'!$E$2:$E$1000))&gt;0,TEXT(SUMPRODUCT(MAX(('Agences &amp; Après-vente'!$A$2:$A$1000=$A902)*(('Agences &amp; Après-vente'!$D$2:$D$1000="Agences")+('Agences &amp; Après-vente'!$D$2:$D$1000="Agences et Après-vente"))*'Agences &amp; Après-vente'!$E$2:$E$1000)),"yyyy-mm-dd"),"")))))</f>
        <v/>
      </c>
      <c r="H902" s="131" t="str">
        <f aca="false">IF($R902="✓","✓",IF(ISNUMBER($R902),TEXT($R902,"yyyy-mm-dd"),IF($A902="","",IF($D902="Lisbonne","",IF(SUMPRODUCT(('Agences &amp; Après-vente'!$A$2:$A$1000=$A902)*(('Agences &amp; Après-vente'!$D$2:$D$1000="Agences")+('Agences &amp; Après-vente'!$D$2:$D$1000="Agences et Après-vente"))*('Agences &amp; Après-vente'!$I$2:$I$1000="DONE"))&gt;0,"✓",IF(SUMPRODUCT(MAX(('Agences &amp; Après-vente'!$A$2:$A$1000=$A902)*(('Agences &amp; Après-vente'!$D$2:$D$1000="Agences")+('Agences &amp; Après-vente'!$D$2:$D$1000="Agences et Après-vente"))*'Agences &amp; Après-vente'!$E$2:$E$1000))&gt;0,TEXT(SUMPRODUCT(MAX(('Agences &amp; Après-vente'!$A$2:$A$1000=$A902)*(('Agences &amp; Après-vente'!$D$2:$D$1000="Agences")+('Agences &amp; Après-vente'!$D$2:$D$1000="Agences et Après-vente"))*'Agences &amp; Après-vente'!$E$2:$E$1000)),"yyyy-mm-dd"),""))))))</f>
        <v/>
      </c>
      <c r="I902" s="131" t="str">
        <f aca="false">IF($S902="✓","✓",IF(ISNUMBER($S902),TEXT($S902,"yyyy-mm-dd"),IF($A902="","",IF(SUMPRODUCT(('Agences &amp; Après-vente'!$A$2:$A$1000=$A902)*(('Agences &amp; Après-vente'!$D$2:$D$1000="Après-vente")+('Agences &amp; Après-vente'!$D$2:$D$1000="Agences et Après-vente"))*('Agences &amp; Après-vente'!$I$2:$I$1000="DONE"))&gt;0,"✓",IF(SUMPRODUCT(MAX(('Agences &amp; Après-vente'!$A$2:$A$1000=$A902)*(('Agences &amp; Après-vente'!$D$2:$D$1000="Après-vente")+('Agences &amp; Après-vente'!$D$2:$D$1000="Agences et Après-vente"))*'Agences &amp; Après-vente'!$E$2:$E$1000))&gt;0,TEXT(SUMPRODUCT(MAX(('Agences &amp; Après-vente'!$A$2:$A$1000=$A902)*(('Agences &amp; Après-vente'!$D$2:$D$1000="Après-vente")+('Agences &amp; Après-vente'!$D$2:$D$1000="Agences et Après-vente"))*'Agences &amp; Après-vente'!$E$2:$E$1000)),"yyyy-mm-dd"),"")))))</f>
        <v/>
      </c>
      <c r="J902" s="131" t="str">
        <f aca="false">IF($T902="✓","✓",IF(ISNUMBER($T902),TEXT($T902,"yyyy-mm-dd"),IF($A902="","",IF($D902="Lisbonne","",IF(SUMPRODUCT(('Agences &amp; Après-vente'!$A$2:$A$1000=$A902)*(('Agences &amp; Après-vente'!$D$2:$D$1000="Après-vente")+('Agences &amp; Après-vente'!$D$2:$D$1000="Agences et Après-vente"))*('Agences &amp; Après-vente'!$I$2:$I$1000="DONE"))&gt;0,"✓",IF(SUMPRODUCT(MAX(('Agences &amp; Après-vente'!$A$2:$A$1000=$A902)*(('Agences &amp; Après-vente'!$D$2:$D$1000="Après-vente")+('Agences &amp; Après-vente'!$D$2:$D$1000="Agences et Après-vente"))*'Agences &amp; Après-vente'!$E$2:$E$1000))&gt;0,TEXT(SUMPRODUCT(MAX(('Agences &amp; Après-vente'!$A$2:$A$1000=$A902)*(('Agences &amp; Après-vente'!$D$2:$D$1000="Après-vente")+('Agences &amp; Après-vente'!$D$2:$D$1000="Agences et Après-vente"))*'Agences &amp; Après-vente'!$E$2:$E$1000)),"yyyy-mm-dd"),""))))))</f>
        <v/>
      </c>
      <c r="K902" s="131" t="str">
        <f aca="false">IF($U902="✓","✓",IF(ISNUMBER($U902),TEXT($U902,"yyyy-mm-dd"),IF($D902="Lisbonne","",IF($A902="","",IF(SUMPRODUCT((Evermont!$A$2:$A$1000=$A902)*(Evermont!$Q$2:$Q$1000="Terminé"))&gt;0,"✓",IF(SUMPRODUCT(MAX((Evermont!$A$2:$A$1000=$A902)*Evermont!$F$2:$F$1000))&gt;0,TEXT(SUMPRODUCT(MAX((Evermont!$A$2:$A$1000=$A902)*Evermont!$F$2:$F$1000)),"yyyy-mm-dd"),""))))))</f>
        <v/>
      </c>
      <c r="L902" s="131" t="str">
        <f aca="false">IF($A902="","",COUNTIF(E902:K902,"✓"))</f>
        <v/>
      </c>
      <c r="M902" s="131" t="str">
        <f aca="false">IF(B902="","","Active")</f>
        <v/>
      </c>
      <c r="W902" s="120" t="str">
        <f aca="false">IF($A902="","",IF($X902&lt;&gt;"",$X902,IFERROR(INDEX('Formation Initiale'!$B$2:$B$999,MATCH($A902,'Formation Initiale'!$A$2:$A$999,0)),"Général")))</f>
        <v/>
      </c>
    </row>
    <row r="903" customFormat="false" ht="15" hidden="true" customHeight="true" outlineLevel="0" collapsed="false">
      <c r="A903" s="142" t="str">
        <f aca="false">IF(B903="","","TR"&amp;TEXT(ROW()-1,"000"))</f>
        <v/>
      </c>
      <c r="E903" s="130" t="str">
        <f aca="false">IF($O903="✓","✓",IF(ISNUMBER($O903),TEXT($O903,"yyyy-mm-dd"),IF($A903="","",IF(SUMPRODUCT(('Formation Initiale'!$A$2:$A$999=$A903)*('Formation Initiale'!$R$2:$R$999="Terminé"))&gt;0,"✓",IF(SUMPRODUCT(MAX(('Formation Initiale'!$A$2:$A$999=$A903)*'Formation Initiale'!$G$2:$G$999))&gt;0,TEXT(SUMPRODUCT(MAX(('Formation Initiale'!$A$2:$A$999=$A903)*'Formation Initiale'!$G$2:$G$999)),"yyyy-mm-dd"),"")))))</f>
        <v/>
      </c>
      <c r="F903" s="131" t="str">
        <f aca="false">IF($P903="✓","✓",IF(ISNUMBER($P903),TEXT($P903,"yyyy-mm-dd"),IF($A903="","",IF($D903="Lisbonne","",IF(SUMPRODUCT(('Formation Initiale'!$A$2:$A$999=$A903)*('Formation Initiale'!$R$2:$R$999="Terminé"))&gt;0,"✓",IF(SUMPRODUCT(MAX(('Formation Initiale'!$A$2:$A$999=$A903)*'Formation Initiale'!$G$2:$G$999))&gt;0,TEXT(SUMPRODUCT(MAX(('Formation Initiale'!$A$2:$A$999=$A903)*'Formation Initiale'!$G$2:$G$999)),"yyyy-mm-dd"),""))))))</f>
        <v/>
      </c>
      <c r="G903" s="131" t="str">
        <f aca="false">IF($Q903="✓","✓",IF(ISNUMBER($Q903),TEXT($Q903,"yyyy-mm-dd"),IF($A903="","",IF(SUMPRODUCT(('Agences &amp; Après-vente'!$A$2:$A$1000=$A903)*(('Agences &amp; Après-vente'!$D$2:$D$1000="Agences")+('Agences &amp; Après-vente'!$D$2:$D$1000="Agences et Après-vente"))*('Agences &amp; Après-vente'!$I$2:$I$1000="DONE"))&gt;0,"✓",IF(SUMPRODUCT(MAX(('Agences &amp; Après-vente'!$A$2:$A$1000=$A903)*(('Agences &amp; Après-vente'!$D$2:$D$1000="Agences")+('Agences &amp; Après-vente'!$D$2:$D$1000="Agences et Après-vente"))*'Agences &amp; Après-vente'!$E$2:$E$1000))&gt;0,TEXT(SUMPRODUCT(MAX(('Agences &amp; Après-vente'!$A$2:$A$1000=$A903)*(('Agences &amp; Après-vente'!$D$2:$D$1000="Agences")+('Agences &amp; Après-vente'!$D$2:$D$1000="Agences et Après-vente"))*'Agences &amp; Après-vente'!$E$2:$E$1000)),"yyyy-mm-dd"),"")))))</f>
        <v/>
      </c>
      <c r="H903" s="131" t="str">
        <f aca="false">IF($R903="✓","✓",IF(ISNUMBER($R903),TEXT($R903,"yyyy-mm-dd"),IF($A903="","",IF($D903="Lisbonne","",IF(SUMPRODUCT(('Agences &amp; Après-vente'!$A$2:$A$1000=$A903)*(('Agences &amp; Après-vente'!$D$2:$D$1000="Agences")+('Agences &amp; Après-vente'!$D$2:$D$1000="Agences et Après-vente"))*('Agences &amp; Après-vente'!$I$2:$I$1000="DONE"))&gt;0,"✓",IF(SUMPRODUCT(MAX(('Agences &amp; Après-vente'!$A$2:$A$1000=$A903)*(('Agences &amp; Après-vente'!$D$2:$D$1000="Agences")+('Agences &amp; Après-vente'!$D$2:$D$1000="Agences et Après-vente"))*'Agences &amp; Après-vente'!$E$2:$E$1000))&gt;0,TEXT(SUMPRODUCT(MAX(('Agences &amp; Après-vente'!$A$2:$A$1000=$A903)*(('Agences &amp; Après-vente'!$D$2:$D$1000="Agences")+('Agences &amp; Après-vente'!$D$2:$D$1000="Agences et Après-vente"))*'Agences &amp; Après-vente'!$E$2:$E$1000)),"yyyy-mm-dd"),""))))))</f>
        <v/>
      </c>
      <c r="I903" s="131" t="str">
        <f aca="false">IF($S903="✓","✓",IF(ISNUMBER($S903),TEXT($S903,"yyyy-mm-dd"),IF($A903="","",IF(SUMPRODUCT(('Agences &amp; Après-vente'!$A$2:$A$1000=$A903)*(('Agences &amp; Après-vente'!$D$2:$D$1000="Après-vente")+('Agences &amp; Après-vente'!$D$2:$D$1000="Agences et Après-vente"))*('Agences &amp; Après-vente'!$I$2:$I$1000="DONE"))&gt;0,"✓",IF(SUMPRODUCT(MAX(('Agences &amp; Après-vente'!$A$2:$A$1000=$A903)*(('Agences &amp; Après-vente'!$D$2:$D$1000="Après-vente")+('Agences &amp; Après-vente'!$D$2:$D$1000="Agences et Après-vente"))*'Agences &amp; Après-vente'!$E$2:$E$1000))&gt;0,TEXT(SUMPRODUCT(MAX(('Agences &amp; Après-vente'!$A$2:$A$1000=$A903)*(('Agences &amp; Après-vente'!$D$2:$D$1000="Après-vente")+('Agences &amp; Après-vente'!$D$2:$D$1000="Agences et Après-vente"))*'Agences &amp; Après-vente'!$E$2:$E$1000)),"yyyy-mm-dd"),"")))))</f>
        <v/>
      </c>
      <c r="J903" s="131" t="str">
        <f aca="false">IF($T903="✓","✓",IF(ISNUMBER($T903),TEXT($T903,"yyyy-mm-dd"),IF($A903="","",IF($D903="Lisbonne","",IF(SUMPRODUCT(('Agences &amp; Après-vente'!$A$2:$A$1000=$A903)*(('Agences &amp; Après-vente'!$D$2:$D$1000="Après-vente")+('Agences &amp; Après-vente'!$D$2:$D$1000="Agences et Après-vente"))*('Agences &amp; Après-vente'!$I$2:$I$1000="DONE"))&gt;0,"✓",IF(SUMPRODUCT(MAX(('Agences &amp; Après-vente'!$A$2:$A$1000=$A903)*(('Agences &amp; Après-vente'!$D$2:$D$1000="Après-vente")+('Agences &amp; Après-vente'!$D$2:$D$1000="Agences et Après-vente"))*'Agences &amp; Après-vente'!$E$2:$E$1000))&gt;0,TEXT(SUMPRODUCT(MAX(('Agences &amp; Après-vente'!$A$2:$A$1000=$A903)*(('Agences &amp; Après-vente'!$D$2:$D$1000="Après-vente")+('Agences &amp; Après-vente'!$D$2:$D$1000="Agences et Après-vente"))*'Agences &amp; Après-vente'!$E$2:$E$1000)),"yyyy-mm-dd"),""))))))</f>
        <v/>
      </c>
      <c r="K903" s="131" t="str">
        <f aca="false">IF($U903="✓","✓",IF(ISNUMBER($U903),TEXT($U903,"yyyy-mm-dd"),IF($D903="Lisbonne","",IF($A903="","",IF(SUMPRODUCT((Evermont!$A$2:$A$1000=$A903)*(Evermont!$Q$2:$Q$1000="Terminé"))&gt;0,"✓",IF(SUMPRODUCT(MAX((Evermont!$A$2:$A$1000=$A903)*Evermont!$F$2:$F$1000))&gt;0,TEXT(SUMPRODUCT(MAX((Evermont!$A$2:$A$1000=$A903)*Evermont!$F$2:$F$1000)),"yyyy-mm-dd"),""))))))</f>
        <v/>
      </c>
      <c r="L903" s="131" t="str">
        <f aca="false">IF($A903="","",COUNTIF(E903:K903,"✓"))</f>
        <v/>
      </c>
      <c r="M903" s="131" t="str">
        <f aca="false">IF(B903="","","Active")</f>
        <v/>
      </c>
      <c r="W903" s="120" t="str">
        <f aca="false">IF($A903="","",IF($X903&lt;&gt;"",$X903,IFERROR(INDEX('Formation Initiale'!$B$2:$B$999,MATCH($A903,'Formation Initiale'!$A$2:$A$999,0)),"Général")))</f>
        <v/>
      </c>
    </row>
    <row r="904" customFormat="false" ht="15" hidden="true" customHeight="true" outlineLevel="0" collapsed="false">
      <c r="A904" s="142" t="str">
        <f aca="false">IF(B904="","","TR"&amp;TEXT(ROW()-1,"000"))</f>
        <v/>
      </c>
      <c r="E904" s="130" t="str">
        <f aca="false">IF($O904="✓","✓",IF(ISNUMBER($O904),TEXT($O904,"yyyy-mm-dd"),IF($A904="","",IF(SUMPRODUCT(('Formation Initiale'!$A$2:$A$999=$A904)*('Formation Initiale'!$R$2:$R$999="Terminé"))&gt;0,"✓",IF(SUMPRODUCT(MAX(('Formation Initiale'!$A$2:$A$999=$A904)*'Formation Initiale'!$G$2:$G$999))&gt;0,TEXT(SUMPRODUCT(MAX(('Formation Initiale'!$A$2:$A$999=$A904)*'Formation Initiale'!$G$2:$G$999)),"yyyy-mm-dd"),"")))))</f>
        <v/>
      </c>
      <c r="F904" s="131" t="str">
        <f aca="false">IF($P904="✓","✓",IF(ISNUMBER($P904),TEXT($P904,"yyyy-mm-dd"),IF($A904="","",IF($D904="Lisbonne","",IF(SUMPRODUCT(('Formation Initiale'!$A$2:$A$999=$A904)*('Formation Initiale'!$R$2:$R$999="Terminé"))&gt;0,"✓",IF(SUMPRODUCT(MAX(('Formation Initiale'!$A$2:$A$999=$A904)*'Formation Initiale'!$G$2:$G$999))&gt;0,TEXT(SUMPRODUCT(MAX(('Formation Initiale'!$A$2:$A$999=$A904)*'Formation Initiale'!$G$2:$G$999)),"yyyy-mm-dd"),""))))))</f>
        <v/>
      </c>
      <c r="G904" s="131" t="str">
        <f aca="false">IF($Q904="✓","✓",IF(ISNUMBER($Q904),TEXT($Q904,"yyyy-mm-dd"),IF($A904="","",IF(SUMPRODUCT(('Agences &amp; Après-vente'!$A$2:$A$1000=$A904)*(('Agences &amp; Après-vente'!$D$2:$D$1000="Agences")+('Agences &amp; Après-vente'!$D$2:$D$1000="Agences et Après-vente"))*('Agences &amp; Après-vente'!$I$2:$I$1000="DONE"))&gt;0,"✓",IF(SUMPRODUCT(MAX(('Agences &amp; Après-vente'!$A$2:$A$1000=$A904)*(('Agences &amp; Après-vente'!$D$2:$D$1000="Agences")+('Agences &amp; Après-vente'!$D$2:$D$1000="Agences et Après-vente"))*'Agences &amp; Après-vente'!$E$2:$E$1000))&gt;0,TEXT(SUMPRODUCT(MAX(('Agences &amp; Après-vente'!$A$2:$A$1000=$A904)*(('Agences &amp; Après-vente'!$D$2:$D$1000="Agences")+('Agences &amp; Après-vente'!$D$2:$D$1000="Agences et Après-vente"))*'Agences &amp; Après-vente'!$E$2:$E$1000)),"yyyy-mm-dd"),"")))))</f>
        <v/>
      </c>
      <c r="H904" s="131" t="str">
        <f aca="false">IF($R904="✓","✓",IF(ISNUMBER($R904),TEXT($R904,"yyyy-mm-dd"),IF($A904="","",IF($D904="Lisbonne","",IF(SUMPRODUCT(('Agences &amp; Après-vente'!$A$2:$A$1000=$A904)*(('Agences &amp; Après-vente'!$D$2:$D$1000="Agences")+('Agences &amp; Après-vente'!$D$2:$D$1000="Agences et Après-vente"))*('Agences &amp; Après-vente'!$I$2:$I$1000="DONE"))&gt;0,"✓",IF(SUMPRODUCT(MAX(('Agences &amp; Après-vente'!$A$2:$A$1000=$A904)*(('Agences &amp; Après-vente'!$D$2:$D$1000="Agences")+('Agences &amp; Après-vente'!$D$2:$D$1000="Agences et Après-vente"))*'Agences &amp; Après-vente'!$E$2:$E$1000))&gt;0,TEXT(SUMPRODUCT(MAX(('Agences &amp; Après-vente'!$A$2:$A$1000=$A904)*(('Agences &amp; Après-vente'!$D$2:$D$1000="Agences")+('Agences &amp; Après-vente'!$D$2:$D$1000="Agences et Après-vente"))*'Agences &amp; Après-vente'!$E$2:$E$1000)),"yyyy-mm-dd"),""))))))</f>
        <v/>
      </c>
      <c r="I904" s="131" t="str">
        <f aca="false">IF($S904="✓","✓",IF(ISNUMBER($S904),TEXT($S904,"yyyy-mm-dd"),IF($A904="","",IF(SUMPRODUCT(('Agences &amp; Après-vente'!$A$2:$A$1000=$A904)*(('Agences &amp; Après-vente'!$D$2:$D$1000="Après-vente")+('Agences &amp; Après-vente'!$D$2:$D$1000="Agences et Après-vente"))*('Agences &amp; Après-vente'!$I$2:$I$1000="DONE"))&gt;0,"✓",IF(SUMPRODUCT(MAX(('Agences &amp; Après-vente'!$A$2:$A$1000=$A904)*(('Agences &amp; Après-vente'!$D$2:$D$1000="Après-vente")+('Agences &amp; Après-vente'!$D$2:$D$1000="Agences et Après-vente"))*'Agences &amp; Après-vente'!$E$2:$E$1000))&gt;0,TEXT(SUMPRODUCT(MAX(('Agences &amp; Après-vente'!$A$2:$A$1000=$A904)*(('Agences &amp; Après-vente'!$D$2:$D$1000="Après-vente")+('Agences &amp; Après-vente'!$D$2:$D$1000="Agences et Après-vente"))*'Agences &amp; Après-vente'!$E$2:$E$1000)),"yyyy-mm-dd"),"")))))</f>
        <v/>
      </c>
      <c r="J904" s="131" t="str">
        <f aca="false">IF($T904="✓","✓",IF(ISNUMBER($T904),TEXT($T904,"yyyy-mm-dd"),IF($A904="","",IF($D904="Lisbonne","",IF(SUMPRODUCT(('Agences &amp; Après-vente'!$A$2:$A$1000=$A904)*(('Agences &amp; Après-vente'!$D$2:$D$1000="Après-vente")+('Agences &amp; Après-vente'!$D$2:$D$1000="Agences et Après-vente"))*('Agences &amp; Après-vente'!$I$2:$I$1000="DONE"))&gt;0,"✓",IF(SUMPRODUCT(MAX(('Agences &amp; Après-vente'!$A$2:$A$1000=$A904)*(('Agences &amp; Après-vente'!$D$2:$D$1000="Après-vente")+('Agences &amp; Après-vente'!$D$2:$D$1000="Agences et Après-vente"))*'Agences &amp; Après-vente'!$E$2:$E$1000))&gt;0,TEXT(SUMPRODUCT(MAX(('Agences &amp; Après-vente'!$A$2:$A$1000=$A904)*(('Agences &amp; Après-vente'!$D$2:$D$1000="Après-vente")+('Agences &amp; Après-vente'!$D$2:$D$1000="Agences et Après-vente"))*'Agences &amp; Après-vente'!$E$2:$E$1000)),"yyyy-mm-dd"),""))))))</f>
        <v/>
      </c>
      <c r="K904" s="131" t="str">
        <f aca="false">IF($U904="✓","✓",IF(ISNUMBER($U904),TEXT($U904,"yyyy-mm-dd"),IF($D904="Lisbonne","",IF($A904="","",IF(SUMPRODUCT((Evermont!$A$2:$A$1000=$A904)*(Evermont!$Q$2:$Q$1000="Terminé"))&gt;0,"✓",IF(SUMPRODUCT(MAX((Evermont!$A$2:$A$1000=$A904)*Evermont!$F$2:$F$1000))&gt;0,TEXT(SUMPRODUCT(MAX((Evermont!$A$2:$A$1000=$A904)*Evermont!$F$2:$F$1000)),"yyyy-mm-dd"),""))))))</f>
        <v/>
      </c>
      <c r="L904" s="131" t="str">
        <f aca="false">IF($A904="","",COUNTIF(E904:K904,"✓"))</f>
        <v/>
      </c>
      <c r="M904" s="131" t="str">
        <f aca="false">IF(B904="","","Active")</f>
        <v/>
      </c>
      <c r="W904" s="120" t="str">
        <f aca="false">IF($A904="","",IF($X904&lt;&gt;"",$X904,IFERROR(INDEX('Formation Initiale'!$B$2:$B$999,MATCH($A904,'Formation Initiale'!$A$2:$A$999,0)),"Général")))</f>
        <v/>
      </c>
    </row>
    <row r="905" customFormat="false" ht="15" hidden="true" customHeight="true" outlineLevel="0" collapsed="false">
      <c r="A905" s="142" t="str">
        <f aca="false">IF(B905="","","TR"&amp;TEXT(ROW()-1,"000"))</f>
        <v/>
      </c>
      <c r="E905" s="130" t="str">
        <f aca="false">IF($O905="✓","✓",IF(ISNUMBER($O905),TEXT($O905,"yyyy-mm-dd"),IF($A905="","",IF(SUMPRODUCT(('Formation Initiale'!$A$2:$A$999=$A905)*('Formation Initiale'!$R$2:$R$999="Terminé"))&gt;0,"✓",IF(SUMPRODUCT(MAX(('Formation Initiale'!$A$2:$A$999=$A905)*'Formation Initiale'!$G$2:$G$999))&gt;0,TEXT(SUMPRODUCT(MAX(('Formation Initiale'!$A$2:$A$999=$A905)*'Formation Initiale'!$G$2:$G$999)),"yyyy-mm-dd"),"")))))</f>
        <v/>
      </c>
      <c r="F905" s="131" t="str">
        <f aca="false">IF($P905="✓","✓",IF(ISNUMBER($P905),TEXT($P905,"yyyy-mm-dd"),IF($A905="","",IF($D905="Lisbonne","",IF(SUMPRODUCT(('Formation Initiale'!$A$2:$A$999=$A905)*('Formation Initiale'!$R$2:$R$999="Terminé"))&gt;0,"✓",IF(SUMPRODUCT(MAX(('Formation Initiale'!$A$2:$A$999=$A905)*'Formation Initiale'!$G$2:$G$999))&gt;0,TEXT(SUMPRODUCT(MAX(('Formation Initiale'!$A$2:$A$999=$A905)*'Formation Initiale'!$G$2:$G$999)),"yyyy-mm-dd"),""))))))</f>
        <v/>
      </c>
      <c r="G905" s="131" t="str">
        <f aca="false">IF($Q905="✓","✓",IF(ISNUMBER($Q905),TEXT($Q905,"yyyy-mm-dd"),IF($A905="","",IF(SUMPRODUCT(('Agences &amp; Après-vente'!$A$2:$A$1000=$A905)*(('Agences &amp; Après-vente'!$D$2:$D$1000="Agences")+('Agences &amp; Après-vente'!$D$2:$D$1000="Agences et Après-vente"))*('Agences &amp; Après-vente'!$I$2:$I$1000="DONE"))&gt;0,"✓",IF(SUMPRODUCT(MAX(('Agences &amp; Après-vente'!$A$2:$A$1000=$A905)*(('Agences &amp; Après-vente'!$D$2:$D$1000="Agences")+('Agences &amp; Après-vente'!$D$2:$D$1000="Agences et Après-vente"))*'Agences &amp; Après-vente'!$E$2:$E$1000))&gt;0,TEXT(SUMPRODUCT(MAX(('Agences &amp; Après-vente'!$A$2:$A$1000=$A905)*(('Agences &amp; Après-vente'!$D$2:$D$1000="Agences")+('Agences &amp; Après-vente'!$D$2:$D$1000="Agences et Après-vente"))*'Agences &amp; Après-vente'!$E$2:$E$1000)),"yyyy-mm-dd"),"")))))</f>
        <v/>
      </c>
      <c r="H905" s="131" t="str">
        <f aca="false">IF($R905="✓","✓",IF(ISNUMBER($R905),TEXT($R905,"yyyy-mm-dd"),IF($A905="","",IF($D905="Lisbonne","",IF(SUMPRODUCT(('Agences &amp; Après-vente'!$A$2:$A$1000=$A905)*(('Agences &amp; Après-vente'!$D$2:$D$1000="Agences")+('Agences &amp; Après-vente'!$D$2:$D$1000="Agences et Après-vente"))*('Agences &amp; Après-vente'!$I$2:$I$1000="DONE"))&gt;0,"✓",IF(SUMPRODUCT(MAX(('Agences &amp; Après-vente'!$A$2:$A$1000=$A905)*(('Agences &amp; Après-vente'!$D$2:$D$1000="Agences")+('Agences &amp; Après-vente'!$D$2:$D$1000="Agences et Après-vente"))*'Agences &amp; Après-vente'!$E$2:$E$1000))&gt;0,TEXT(SUMPRODUCT(MAX(('Agences &amp; Après-vente'!$A$2:$A$1000=$A905)*(('Agences &amp; Après-vente'!$D$2:$D$1000="Agences")+('Agences &amp; Après-vente'!$D$2:$D$1000="Agences et Après-vente"))*'Agences &amp; Après-vente'!$E$2:$E$1000)),"yyyy-mm-dd"),""))))))</f>
        <v/>
      </c>
      <c r="I905" s="131" t="str">
        <f aca="false">IF($S905="✓","✓",IF(ISNUMBER($S905),TEXT($S905,"yyyy-mm-dd"),IF($A905="","",IF(SUMPRODUCT(('Agences &amp; Après-vente'!$A$2:$A$1000=$A905)*(('Agences &amp; Après-vente'!$D$2:$D$1000="Après-vente")+('Agences &amp; Après-vente'!$D$2:$D$1000="Agences et Après-vente"))*('Agences &amp; Après-vente'!$I$2:$I$1000="DONE"))&gt;0,"✓",IF(SUMPRODUCT(MAX(('Agences &amp; Après-vente'!$A$2:$A$1000=$A905)*(('Agences &amp; Après-vente'!$D$2:$D$1000="Après-vente")+('Agences &amp; Après-vente'!$D$2:$D$1000="Agences et Après-vente"))*'Agences &amp; Après-vente'!$E$2:$E$1000))&gt;0,TEXT(SUMPRODUCT(MAX(('Agences &amp; Après-vente'!$A$2:$A$1000=$A905)*(('Agences &amp; Après-vente'!$D$2:$D$1000="Après-vente")+('Agences &amp; Après-vente'!$D$2:$D$1000="Agences et Après-vente"))*'Agences &amp; Après-vente'!$E$2:$E$1000)),"yyyy-mm-dd"),"")))))</f>
        <v/>
      </c>
      <c r="J905" s="131" t="str">
        <f aca="false">IF($T905="✓","✓",IF(ISNUMBER($T905),TEXT($T905,"yyyy-mm-dd"),IF($A905="","",IF($D905="Lisbonne","",IF(SUMPRODUCT(('Agences &amp; Après-vente'!$A$2:$A$1000=$A905)*(('Agences &amp; Après-vente'!$D$2:$D$1000="Après-vente")+('Agences &amp; Après-vente'!$D$2:$D$1000="Agences et Après-vente"))*('Agences &amp; Après-vente'!$I$2:$I$1000="DONE"))&gt;0,"✓",IF(SUMPRODUCT(MAX(('Agences &amp; Après-vente'!$A$2:$A$1000=$A905)*(('Agences &amp; Après-vente'!$D$2:$D$1000="Après-vente")+('Agences &amp; Après-vente'!$D$2:$D$1000="Agences et Après-vente"))*'Agences &amp; Après-vente'!$E$2:$E$1000))&gt;0,TEXT(SUMPRODUCT(MAX(('Agences &amp; Après-vente'!$A$2:$A$1000=$A905)*(('Agences &amp; Après-vente'!$D$2:$D$1000="Après-vente")+('Agences &amp; Après-vente'!$D$2:$D$1000="Agences et Après-vente"))*'Agences &amp; Après-vente'!$E$2:$E$1000)),"yyyy-mm-dd"),""))))))</f>
        <v/>
      </c>
      <c r="K905" s="131" t="str">
        <f aca="false">IF($U905="✓","✓",IF(ISNUMBER($U905),TEXT($U905,"yyyy-mm-dd"),IF($D905="Lisbonne","",IF($A905="","",IF(SUMPRODUCT((Evermont!$A$2:$A$1000=$A905)*(Evermont!$Q$2:$Q$1000="Terminé"))&gt;0,"✓",IF(SUMPRODUCT(MAX((Evermont!$A$2:$A$1000=$A905)*Evermont!$F$2:$F$1000))&gt;0,TEXT(SUMPRODUCT(MAX((Evermont!$A$2:$A$1000=$A905)*Evermont!$F$2:$F$1000)),"yyyy-mm-dd"),""))))))</f>
        <v/>
      </c>
      <c r="L905" s="131" t="str">
        <f aca="false">IF($A905="","",COUNTIF(E905:K905,"✓"))</f>
        <v/>
      </c>
      <c r="M905" s="131" t="str">
        <f aca="false">IF(B905="","","Active")</f>
        <v/>
      </c>
      <c r="W905" s="120" t="str">
        <f aca="false">IF($A905="","",IF($X905&lt;&gt;"",$X905,IFERROR(INDEX('Formation Initiale'!$B$2:$B$999,MATCH($A905,'Formation Initiale'!$A$2:$A$999,0)),"Général")))</f>
        <v/>
      </c>
    </row>
    <row r="906" customFormat="false" ht="15" hidden="true" customHeight="true" outlineLevel="0" collapsed="false">
      <c r="A906" s="142" t="str">
        <f aca="false">IF(B906="","","TR"&amp;TEXT(ROW()-1,"000"))</f>
        <v/>
      </c>
      <c r="E906" s="130" t="str">
        <f aca="false">IF($O906="✓","✓",IF(ISNUMBER($O906),TEXT($O906,"yyyy-mm-dd"),IF($A906="","",IF(SUMPRODUCT(('Formation Initiale'!$A$2:$A$999=$A906)*('Formation Initiale'!$R$2:$R$999="Terminé"))&gt;0,"✓",IF(SUMPRODUCT(MAX(('Formation Initiale'!$A$2:$A$999=$A906)*'Formation Initiale'!$G$2:$G$999))&gt;0,TEXT(SUMPRODUCT(MAX(('Formation Initiale'!$A$2:$A$999=$A906)*'Formation Initiale'!$G$2:$G$999)),"yyyy-mm-dd"),"")))))</f>
        <v/>
      </c>
      <c r="F906" s="131" t="str">
        <f aca="false">IF($P906="✓","✓",IF(ISNUMBER($P906),TEXT($P906,"yyyy-mm-dd"),IF($A906="","",IF($D906="Lisbonne","",IF(SUMPRODUCT(('Formation Initiale'!$A$2:$A$999=$A906)*('Formation Initiale'!$R$2:$R$999="Terminé"))&gt;0,"✓",IF(SUMPRODUCT(MAX(('Formation Initiale'!$A$2:$A$999=$A906)*'Formation Initiale'!$G$2:$G$999))&gt;0,TEXT(SUMPRODUCT(MAX(('Formation Initiale'!$A$2:$A$999=$A906)*'Formation Initiale'!$G$2:$G$999)),"yyyy-mm-dd"),""))))))</f>
        <v/>
      </c>
      <c r="G906" s="131" t="str">
        <f aca="false">IF($Q906="✓","✓",IF(ISNUMBER($Q906),TEXT($Q906,"yyyy-mm-dd"),IF($A906="","",IF(SUMPRODUCT(('Agences &amp; Après-vente'!$A$2:$A$1000=$A906)*(('Agences &amp; Après-vente'!$D$2:$D$1000="Agences")+('Agences &amp; Après-vente'!$D$2:$D$1000="Agences et Après-vente"))*('Agences &amp; Après-vente'!$I$2:$I$1000="DONE"))&gt;0,"✓",IF(SUMPRODUCT(MAX(('Agences &amp; Après-vente'!$A$2:$A$1000=$A906)*(('Agences &amp; Après-vente'!$D$2:$D$1000="Agences")+('Agences &amp; Après-vente'!$D$2:$D$1000="Agences et Après-vente"))*'Agences &amp; Après-vente'!$E$2:$E$1000))&gt;0,TEXT(SUMPRODUCT(MAX(('Agences &amp; Après-vente'!$A$2:$A$1000=$A906)*(('Agences &amp; Après-vente'!$D$2:$D$1000="Agences")+('Agences &amp; Après-vente'!$D$2:$D$1000="Agences et Après-vente"))*'Agences &amp; Après-vente'!$E$2:$E$1000)),"yyyy-mm-dd"),"")))))</f>
        <v/>
      </c>
      <c r="H906" s="131" t="str">
        <f aca="false">IF($R906="✓","✓",IF(ISNUMBER($R906),TEXT($R906,"yyyy-mm-dd"),IF($A906="","",IF($D906="Lisbonne","",IF(SUMPRODUCT(('Agences &amp; Après-vente'!$A$2:$A$1000=$A906)*(('Agences &amp; Après-vente'!$D$2:$D$1000="Agences")+('Agences &amp; Après-vente'!$D$2:$D$1000="Agences et Après-vente"))*('Agences &amp; Après-vente'!$I$2:$I$1000="DONE"))&gt;0,"✓",IF(SUMPRODUCT(MAX(('Agences &amp; Après-vente'!$A$2:$A$1000=$A906)*(('Agences &amp; Après-vente'!$D$2:$D$1000="Agences")+('Agences &amp; Après-vente'!$D$2:$D$1000="Agences et Après-vente"))*'Agences &amp; Après-vente'!$E$2:$E$1000))&gt;0,TEXT(SUMPRODUCT(MAX(('Agences &amp; Après-vente'!$A$2:$A$1000=$A906)*(('Agences &amp; Après-vente'!$D$2:$D$1000="Agences")+('Agences &amp; Après-vente'!$D$2:$D$1000="Agences et Après-vente"))*'Agences &amp; Après-vente'!$E$2:$E$1000)),"yyyy-mm-dd"),""))))))</f>
        <v/>
      </c>
      <c r="I906" s="131" t="str">
        <f aca="false">IF($S906="✓","✓",IF(ISNUMBER($S906),TEXT($S906,"yyyy-mm-dd"),IF($A906="","",IF(SUMPRODUCT(('Agences &amp; Après-vente'!$A$2:$A$1000=$A906)*(('Agences &amp; Après-vente'!$D$2:$D$1000="Après-vente")+('Agences &amp; Après-vente'!$D$2:$D$1000="Agences et Après-vente"))*('Agences &amp; Après-vente'!$I$2:$I$1000="DONE"))&gt;0,"✓",IF(SUMPRODUCT(MAX(('Agences &amp; Après-vente'!$A$2:$A$1000=$A906)*(('Agences &amp; Après-vente'!$D$2:$D$1000="Après-vente")+('Agences &amp; Après-vente'!$D$2:$D$1000="Agences et Après-vente"))*'Agences &amp; Après-vente'!$E$2:$E$1000))&gt;0,TEXT(SUMPRODUCT(MAX(('Agences &amp; Après-vente'!$A$2:$A$1000=$A906)*(('Agences &amp; Après-vente'!$D$2:$D$1000="Après-vente")+('Agences &amp; Après-vente'!$D$2:$D$1000="Agences et Après-vente"))*'Agences &amp; Après-vente'!$E$2:$E$1000)),"yyyy-mm-dd"),"")))))</f>
        <v/>
      </c>
      <c r="J906" s="131" t="str">
        <f aca="false">IF($T906="✓","✓",IF(ISNUMBER($T906),TEXT($T906,"yyyy-mm-dd"),IF($A906="","",IF($D906="Lisbonne","",IF(SUMPRODUCT(('Agences &amp; Après-vente'!$A$2:$A$1000=$A906)*(('Agences &amp; Après-vente'!$D$2:$D$1000="Après-vente")+('Agences &amp; Après-vente'!$D$2:$D$1000="Agences et Après-vente"))*('Agences &amp; Après-vente'!$I$2:$I$1000="DONE"))&gt;0,"✓",IF(SUMPRODUCT(MAX(('Agences &amp; Après-vente'!$A$2:$A$1000=$A906)*(('Agences &amp; Après-vente'!$D$2:$D$1000="Après-vente")+('Agences &amp; Après-vente'!$D$2:$D$1000="Agences et Après-vente"))*'Agences &amp; Après-vente'!$E$2:$E$1000))&gt;0,TEXT(SUMPRODUCT(MAX(('Agences &amp; Après-vente'!$A$2:$A$1000=$A906)*(('Agences &amp; Après-vente'!$D$2:$D$1000="Après-vente")+('Agences &amp; Après-vente'!$D$2:$D$1000="Agences et Après-vente"))*'Agences &amp; Après-vente'!$E$2:$E$1000)),"yyyy-mm-dd"),""))))))</f>
        <v/>
      </c>
      <c r="K906" s="131" t="str">
        <f aca="false">IF($U906="✓","✓",IF(ISNUMBER($U906),TEXT($U906,"yyyy-mm-dd"),IF($D906="Lisbonne","",IF($A906="","",IF(SUMPRODUCT((Evermont!$A$2:$A$1000=$A906)*(Evermont!$Q$2:$Q$1000="Terminé"))&gt;0,"✓",IF(SUMPRODUCT(MAX((Evermont!$A$2:$A$1000=$A906)*Evermont!$F$2:$F$1000))&gt;0,TEXT(SUMPRODUCT(MAX((Evermont!$A$2:$A$1000=$A906)*Evermont!$F$2:$F$1000)),"yyyy-mm-dd"),""))))))</f>
        <v/>
      </c>
      <c r="L906" s="131" t="str">
        <f aca="false">IF($A906="","",COUNTIF(E906:K906,"✓"))</f>
        <v/>
      </c>
      <c r="M906" s="131" t="str">
        <f aca="false">IF(B906="","","Active")</f>
        <v/>
      </c>
      <c r="W906" s="120" t="str">
        <f aca="false">IF($A906="","",IF($X906&lt;&gt;"",$X906,IFERROR(INDEX('Formation Initiale'!$B$2:$B$999,MATCH($A906,'Formation Initiale'!$A$2:$A$999,0)),"Général")))</f>
        <v/>
      </c>
    </row>
    <row r="907" customFormat="false" ht="15" hidden="true" customHeight="true" outlineLevel="0" collapsed="false">
      <c r="A907" s="142" t="str">
        <f aca="false">IF(B907="","","TR"&amp;TEXT(ROW()-1,"000"))</f>
        <v/>
      </c>
      <c r="E907" s="130" t="str">
        <f aca="false">IF($O907="✓","✓",IF(ISNUMBER($O907),TEXT($O907,"yyyy-mm-dd"),IF($A907="","",IF(SUMPRODUCT(('Formation Initiale'!$A$2:$A$999=$A907)*('Formation Initiale'!$R$2:$R$999="Terminé"))&gt;0,"✓",IF(SUMPRODUCT(MAX(('Formation Initiale'!$A$2:$A$999=$A907)*'Formation Initiale'!$G$2:$G$999))&gt;0,TEXT(SUMPRODUCT(MAX(('Formation Initiale'!$A$2:$A$999=$A907)*'Formation Initiale'!$G$2:$G$999)),"yyyy-mm-dd"),"")))))</f>
        <v/>
      </c>
      <c r="F907" s="131" t="str">
        <f aca="false">IF($P907="✓","✓",IF(ISNUMBER($P907),TEXT($P907,"yyyy-mm-dd"),IF($A907="","",IF($D907="Lisbonne","",IF(SUMPRODUCT(('Formation Initiale'!$A$2:$A$999=$A907)*('Formation Initiale'!$R$2:$R$999="Terminé"))&gt;0,"✓",IF(SUMPRODUCT(MAX(('Formation Initiale'!$A$2:$A$999=$A907)*'Formation Initiale'!$G$2:$G$999))&gt;0,TEXT(SUMPRODUCT(MAX(('Formation Initiale'!$A$2:$A$999=$A907)*'Formation Initiale'!$G$2:$G$999)),"yyyy-mm-dd"),""))))))</f>
        <v/>
      </c>
      <c r="G907" s="131" t="str">
        <f aca="false">IF($Q907="✓","✓",IF(ISNUMBER($Q907),TEXT($Q907,"yyyy-mm-dd"),IF($A907="","",IF(SUMPRODUCT(('Agences &amp; Après-vente'!$A$2:$A$1000=$A907)*(('Agences &amp; Après-vente'!$D$2:$D$1000="Agences")+('Agences &amp; Après-vente'!$D$2:$D$1000="Agences et Après-vente"))*('Agences &amp; Après-vente'!$I$2:$I$1000="DONE"))&gt;0,"✓",IF(SUMPRODUCT(MAX(('Agences &amp; Après-vente'!$A$2:$A$1000=$A907)*(('Agences &amp; Après-vente'!$D$2:$D$1000="Agences")+('Agences &amp; Après-vente'!$D$2:$D$1000="Agences et Après-vente"))*'Agences &amp; Après-vente'!$E$2:$E$1000))&gt;0,TEXT(SUMPRODUCT(MAX(('Agences &amp; Après-vente'!$A$2:$A$1000=$A907)*(('Agences &amp; Après-vente'!$D$2:$D$1000="Agences")+('Agences &amp; Après-vente'!$D$2:$D$1000="Agences et Après-vente"))*'Agences &amp; Après-vente'!$E$2:$E$1000)),"yyyy-mm-dd"),"")))))</f>
        <v/>
      </c>
      <c r="H907" s="131" t="str">
        <f aca="false">IF($R907="✓","✓",IF(ISNUMBER($R907),TEXT($R907,"yyyy-mm-dd"),IF($A907="","",IF($D907="Lisbonne","",IF(SUMPRODUCT(('Agences &amp; Après-vente'!$A$2:$A$1000=$A907)*(('Agences &amp; Après-vente'!$D$2:$D$1000="Agences")+('Agences &amp; Après-vente'!$D$2:$D$1000="Agences et Après-vente"))*('Agences &amp; Après-vente'!$I$2:$I$1000="DONE"))&gt;0,"✓",IF(SUMPRODUCT(MAX(('Agences &amp; Après-vente'!$A$2:$A$1000=$A907)*(('Agences &amp; Après-vente'!$D$2:$D$1000="Agences")+('Agences &amp; Après-vente'!$D$2:$D$1000="Agences et Après-vente"))*'Agences &amp; Après-vente'!$E$2:$E$1000))&gt;0,TEXT(SUMPRODUCT(MAX(('Agences &amp; Après-vente'!$A$2:$A$1000=$A907)*(('Agences &amp; Après-vente'!$D$2:$D$1000="Agences")+('Agences &amp; Après-vente'!$D$2:$D$1000="Agences et Après-vente"))*'Agences &amp; Après-vente'!$E$2:$E$1000)),"yyyy-mm-dd"),""))))))</f>
        <v/>
      </c>
      <c r="I907" s="131" t="str">
        <f aca="false">IF($S907="✓","✓",IF(ISNUMBER($S907),TEXT($S907,"yyyy-mm-dd"),IF($A907="","",IF(SUMPRODUCT(('Agences &amp; Après-vente'!$A$2:$A$1000=$A907)*(('Agences &amp; Après-vente'!$D$2:$D$1000="Après-vente")+('Agences &amp; Après-vente'!$D$2:$D$1000="Agences et Après-vente"))*('Agences &amp; Après-vente'!$I$2:$I$1000="DONE"))&gt;0,"✓",IF(SUMPRODUCT(MAX(('Agences &amp; Après-vente'!$A$2:$A$1000=$A907)*(('Agences &amp; Après-vente'!$D$2:$D$1000="Après-vente")+('Agences &amp; Après-vente'!$D$2:$D$1000="Agences et Après-vente"))*'Agences &amp; Après-vente'!$E$2:$E$1000))&gt;0,TEXT(SUMPRODUCT(MAX(('Agences &amp; Après-vente'!$A$2:$A$1000=$A907)*(('Agences &amp; Après-vente'!$D$2:$D$1000="Après-vente")+('Agences &amp; Après-vente'!$D$2:$D$1000="Agences et Après-vente"))*'Agences &amp; Après-vente'!$E$2:$E$1000)),"yyyy-mm-dd"),"")))))</f>
        <v/>
      </c>
      <c r="J907" s="131" t="str">
        <f aca="false">IF($T907="✓","✓",IF(ISNUMBER($T907),TEXT($T907,"yyyy-mm-dd"),IF($A907="","",IF($D907="Lisbonne","",IF(SUMPRODUCT(('Agences &amp; Après-vente'!$A$2:$A$1000=$A907)*(('Agences &amp; Après-vente'!$D$2:$D$1000="Après-vente")+('Agences &amp; Après-vente'!$D$2:$D$1000="Agences et Après-vente"))*('Agences &amp; Après-vente'!$I$2:$I$1000="DONE"))&gt;0,"✓",IF(SUMPRODUCT(MAX(('Agences &amp; Après-vente'!$A$2:$A$1000=$A907)*(('Agences &amp; Après-vente'!$D$2:$D$1000="Après-vente")+('Agences &amp; Après-vente'!$D$2:$D$1000="Agences et Après-vente"))*'Agences &amp; Après-vente'!$E$2:$E$1000))&gt;0,TEXT(SUMPRODUCT(MAX(('Agences &amp; Après-vente'!$A$2:$A$1000=$A907)*(('Agences &amp; Après-vente'!$D$2:$D$1000="Après-vente")+('Agences &amp; Après-vente'!$D$2:$D$1000="Agences et Après-vente"))*'Agences &amp; Après-vente'!$E$2:$E$1000)),"yyyy-mm-dd"),""))))))</f>
        <v/>
      </c>
      <c r="K907" s="131" t="str">
        <f aca="false">IF($U907="✓","✓",IF(ISNUMBER($U907),TEXT($U907,"yyyy-mm-dd"),IF($D907="Lisbonne","",IF($A907="","",IF(SUMPRODUCT((Evermont!$A$2:$A$1000=$A907)*(Evermont!$Q$2:$Q$1000="Terminé"))&gt;0,"✓",IF(SUMPRODUCT(MAX((Evermont!$A$2:$A$1000=$A907)*Evermont!$F$2:$F$1000))&gt;0,TEXT(SUMPRODUCT(MAX((Evermont!$A$2:$A$1000=$A907)*Evermont!$F$2:$F$1000)),"yyyy-mm-dd"),""))))))</f>
        <v/>
      </c>
      <c r="L907" s="131" t="str">
        <f aca="false">IF($A907="","",COUNTIF(E907:K907,"✓"))</f>
        <v/>
      </c>
      <c r="M907" s="131" t="str">
        <f aca="false">IF(B907="","","Active")</f>
        <v/>
      </c>
      <c r="W907" s="120" t="str">
        <f aca="false">IF($A907="","",IF($X907&lt;&gt;"",$X907,IFERROR(INDEX('Formation Initiale'!$B$2:$B$999,MATCH($A907,'Formation Initiale'!$A$2:$A$999,0)),"Général")))</f>
        <v/>
      </c>
    </row>
    <row r="908" customFormat="false" ht="15" hidden="true" customHeight="true" outlineLevel="0" collapsed="false">
      <c r="A908" s="142" t="str">
        <f aca="false">IF(B908="","","TR"&amp;TEXT(ROW()-1,"000"))</f>
        <v/>
      </c>
      <c r="E908" s="130" t="str">
        <f aca="false">IF($O908="✓","✓",IF(ISNUMBER($O908),TEXT($O908,"yyyy-mm-dd"),IF($A908="","",IF(SUMPRODUCT(('Formation Initiale'!$A$2:$A$999=$A908)*('Formation Initiale'!$R$2:$R$999="Terminé"))&gt;0,"✓",IF(SUMPRODUCT(MAX(('Formation Initiale'!$A$2:$A$999=$A908)*'Formation Initiale'!$G$2:$G$999))&gt;0,TEXT(SUMPRODUCT(MAX(('Formation Initiale'!$A$2:$A$999=$A908)*'Formation Initiale'!$G$2:$G$999)),"yyyy-mm-dd"),"")))))</f>
        <v/>
      </c>
      <c r="F908" s="131" t="str">
        <f aca="false">IF($P908="✓","✓",IF(ISNUMBER($P908),TEXT($P908,"yyyy-mm-dd"),IF($A908="","",IF($D908="Lisbonne","",IF(SUMPRODUCT(('Formation Initiale'!$A$2:$A$999=$A908)*('Formation Initiale'!$R$2:$R$999="Terminé"))&gt;0,"✓",IF(SUMPRODUCT(MAX(('Formation Initiale'!$A$2:$A$999=$A908)*'Formation Initiale'!$G$2:$G$999))&gt;0,TEXT(SUMPRODUCT(MAX(('Formation Initiale'!$A$2:$A$999=$A908)*'Formation Initiale'!$G$2:$G$999)),"yyyy-mm-dd"),""))))))</f>
        <v/>
      </c>
      <c r="G908" s="131" t="str">
        <f aca="false">IF($Q908="✓","✓",IF(ISNUMBER($Q908),TEXT($Q908,"yyyy-mm-dd"),IF($A908="","",IF(SUMPRODUCT(('Agences &amp; Après-vente'!$A$2:$A$1000=$A908)*(('Agences &amp; Après-vente'!$D$2:$D$1000="Agences")+('Agences &amp; Après-vente'!$D$2:$D$1000="Agences et Après-vente"))*('Agences &amp; Après-vente'!$I$2:$I$1000="DONE"))&gt;0,"✓",IF(SUMPRODUCT(MAX(('Agences &amp; Après-vente'!$A$2:$A$1000=$A908)*(('Agences &amp; Après-vente'!$D$2:$D$1000="Agences")+('Agences &amp; Après-vente'!$D$2:$D$1000="Agences et Après-vente"))*'Agences &amp; Après-vente'!$E$2:$E$1000))&gt;0,TEXT(SUMPRODUCT(MAX(('Agences &amp; Après-vente'!$A$2:$A$1000=$A908)*(('Agences &amp; Après-vente'!$D$2:$D$1000="Agences")+('Agences &amp; Après-vente'!$D$2:$D$1000="Agences et Après-vente"))*'Agences &amp; Après-vente'!$E$2:$E$1000)),"yyyy-mm-dd"),"")))))</f>
        <v/>
      </c>
      <c r="H908" s="131" t="str">
        <f aca="false">IF($R908="✓","✓",IF(ISNUMBER($R908),TEXT($R908,"yyyy-mm-dd"),IF($A908="","",IF($D908="Lisbonne","",IF(SUMPRODUCT(('Agences &amp; Après-vente'!$A$2:$A$1000=$A908)*(('Agences &amp; Après-vente'!$D$2:$D$1000="Agences")+('Agences &amp; Après-vente'!$D$2:$D$1000="Agences et Après-vente"))*('Agences &amp; Après-vente'!$I$2:$I$1000="DONE"))&gt;0,"✓",IF(SUMPRODUCT(MAX(('Agences &amp; Après-vente'!$A$2:$A$1000=$A908)*(('Agences &amp; Après-vente'!$D$2:$D$1000="Agences")+('Agences &amp; Après-vente'!$D$2:$D$1000="Agences et Après-vente"))*'Agences &amp; Après-vente'!$E$2:$E$1000))&gt;0,TEXT(SUMPRODUCT(MAX(('Agences &amp; Après-vente'!$A$2:$A$1000=$A908)*(('Agences &amp; Après-vente'!$D$2:$D$1000="Agences")+('Agences &amp; Après-vente'!$D$2:$D$1000="Agences et Après-vente"))*'Agences &amp; Après-vente'!$E$2:$E$1000)),"yyyy-mm-dd"),""))))))</f>
        <v/>
      </c>
      <c r="I908" s="131" t="str">
        <f aca="false">IF($S908="✓","✓",IF(ISNUMBER($S908),TEXT($S908,"yyyy-mm-dd"),IF($A908="","",IF(SUMPRODUCT(('Agences &amp; Après-vente'!$A$2:$A$1000=$A908)*(('Agences &amp; Après-vente'!$D$2:$D$1000="Après-vente")+('Agences &amp; Après-vente'!$D$2:$D$1000="Agences et Après-vente"))*('Agences &amp; Après-vente'!$I$2:$I$1000="DONE"))&gt;0,"✓",IF(SUMPRODUCT(MAX(('Agences &amp; Après-vente'!$A$2:$A$1000=$A908)*(('Agences &amp; Après-vente'!$D$2:$D$1000="Après-vente")+('Agences &amp; Après-vente'!$D$2:$D$1000="Agences et Après-vente"))*'Agences &amp; Après-vente'!$E$2:$E$1000))&gt;0,TEXT(SUMPRODUCT(MAX(('Agences &amp; Après-vente'!$A$2:$A$1000=$A908)*(('Agences &amp; Après-vente'!$D$2:$D$1000="Après-vente")+('Agences &amp; Après-vente'!$D$2:$D$1000="Agences et Après-vente"))*'Agences &amp; Après-vente'!$E$2:$E$1000)),"yyyy-mm-dd"),"")))))</f>
        <v/>
      </c>
      <c r="J908" s="131" t="str">
        <f aca="false">IF($T908="✓","✓",IF(ISNUMBER($T908),TEXT($T908,"yyyy-mm-dd"),IF($A908="","",IF($D908="Lisbonne","",IF(SUMPRODUCT(('Agences &amp; Après-vente'!$A$2:$A$1000=$A908)*(('Agences &amp; Après-vente'!$D$2:$D$1000="Après-vente")+('Agences &amp; Après-vente'!$D$2:$D$1000="Agences et Après-vente"))*('Agences &amp; Après-vente'!$I$2:$I$1000="DONE"))&gt;0,"✓",IF(SUMPRODUCT(MAX(('Agences &amp; Après-vente'!$A$2:$A$1000=$A908)*(('Agences &amp; Après-vente'!$D$2:$D$1000="Après-vente")+('Agences &amp; Après-vente'!$D$2:$D$1000="Agences et Après-vente"))*'Agences &amp; Après-vente'!$E$2:$E$1000))&gt;0,TEXT(SUMPRODUCT(MAX(('Agences &amp; Après-vente'!$A$2:$A$1000=$A908)*(('Agences &amp; Après-vente'!$D$2:$D$1000="Après-vente")+('Agences &amp; Après-vente'!$D$2:$D$1000="Agences et Après-vente"))*'Agences &amp; Après-vente'!$E$2:$E$1000)),"yyyy-mm-dd"),""))))))</f>
        <v/>
      </c>
      <c r="K908" s="131" t="str">
        <f aca="false">IF($U908="✓","✓",IF(ISNUMBER($U908),TEXT($U908,"yyyy-mm-dd"),IF($D908="Lisbonne","",IF($A908="","",IF(SUMPRODUCT((Evermont!$A$2:$A$1000=$A908)*(Evermont!$Q$2:$Q$1000="Terminé"))&gt;0,"✓",IF(SUMPRODUCT(MAX((Evermont!$A$2:$A$1000=$A908)*Evermont!$F$2:$F$1000))&gt;0,TEXT(SUMPRODUCT(MAX((Evermont!$A$2:$A$1000=$A908)*Evermont!$F$2:$F$1000)),"yyyy-mm-dd"),""))))))</f>
        <v/>
      </c>
      <c r="L908" s="131" t="str">
        <f aca="false">IF($A908="","",COUNTIF(E908:K908,"✓"))</f>
        <v/>
      </c>
      <c r="M908" s="131" t="str">
        <f aca="false">IF(B908="","","Active")</f>
        <v/>
      </c>
      <c r="W908" s="120" t="str">
        <f aca="false">IF($A908="","",IF($X908&lt;&gt;"",$X908,IFERROR(INDEX('Formation Initiale'!$B$2:$B$999,MATCH($A908,'Formation Initiale'!$A$2:$A$999,0)),"Général")))</f>
        <v/>
      </c>
    </row>
    <row r="909" customFormat="false" ht="15" hidden="true" customHeight="true" outlineLevel="0" collapsed="false">
      <c r="A909" s="142" t="str">
        <f aca="false">IF(B909="","","TR"&amp;TEXT(ROW()-1,"000"))</f>
        <v/>
      </c>
      <c r="E909" s="130" t="str">
        <f aca="false">IF($O909="✓","✓",IF(ISNUMBER($O909),TEXT($O909,"yyyy-mm-dd"),IF($A909="","",IF(SUMPRODUCT(('Formation Initiale'!$A$2:$A$999=$A909)*('Formation Initiale'!$R$2:$R$999="Terminé"))&gt;0,"✓",IF(SUMPRODUCT(MAX(('Formation Initiale'!$A$2:$A$999=$A909)*'Formation Initiale'!$G$2:$G$999))&gt;0,TEXT(SUMPRODUCT(MAX(('Formation Initiale'!$A$2:$A$999=$A909)*'Formation Initiale'!$G$2:$G$999)),"yyyy-mm-dd"),"")))))</f>
        <v/>
      </c>
      <c r="F909" s="131" t="str">
        <f aca="false">IF($P909="✓","✓",IF(ISNUMBER($P909),TEXT($P909,"yyyy-mm-dd"),IF($A909="","",IF($D909="Lisbonne","",IF(SUMPRODUCT(('Formation Initiale'!$A$2:$A$999=$A909)*('Formation Initiale'!$R$2:$R$999="Terminé"))&gt;0,"✓",IF(SUMPRODUCT(MAX(('Formation Initiale'!$A$2:$A$999=$A909)*'Formation Initiale'!$G$2:$G$999))&gt;0,TEXT(SUMPRODUCT(MAX(('Formation Initiale'!$A$2:$A$999=$A909)*'Formation Initiale'!$G$2:$G$999)),"yyyy-mm-dd"),""))))))</f>
        <v/>
      </c>
      <c r="G909" s="131" t="str">
        <f aca="false">IF($Q909="✓","✓",IF(ISNUMBER($Q909),TEXT($Q909,"yyyy-mm-dd"),IF($A909="","",IF(SUMPRODUCT(('Agences &amp; Après-vente'!$A$2:$A$1000=$A909)*(('Agences &amp; Après-vente'!$D$2:$D$1000="Agences")+('Agences &amp; Après-vente'!$D$2:$D$1000="Agences et Après-vente"))*('Agences &amp; Après-vente'!$I$2:$I$1000="DONE"))&gt;0,"✓",IF(SUMPRODUCT(MAX(('Agences &amp; Après-vente'!$A$2:$A$1000=$A909)*(('Agences &amp; Après-vente'!$D$2:$D$1000="Agences")+('Agences &amp; Après-vente'!$D$2:$D$1000="Agences et Après-vente"))*'Agences &amp; Après-vente'!$E$2:$E$1000))&gt;0,TEXT(SUMPRODUCT(MAX(('Agences &amp; Après-vente'!$A$2:$A$1000=$A909)*(('Agences &amp; Après-vente'!$D$2:$D$1000="Agences")+('Agences &amp; Après-vente'!$D$2:$D$1000="Agences et Après-vente"))*'Agences &amp; Après-vente'!$E$2:$E$1000)),"yyyy-mm-dd"),"")))))</f>
        <v/>
      </c>
      <c r="H909" s="131" t="str">
        <f aca="false">IF($R909="✓","✓",IF(ISNUMBER($R909),TEXT($R909,"yyyy-mm-dd"),IF($A909="","",IF($D909="Lisbonne","",IF(SUMPRODUCT(('Agences &amp; Après-vente'!$A$2:$A$1000=$A909)*(('Agences &amp; Après-vente'!$D$2:$D$1000="Agences")+('Agences &amp; Après-vente'!$D$2:$D$1000="Agences et Après-vente"))*('Agences &amp; Après-vente'!$I$2:$I$1000="DONE"))&gt;0,"✓",IF(SUMPRODUCT(MAX(('Agences &amp; Après-vente'!$A$2:$A$1000=$A909)*(('Agences &amp; Après-vente'!$D$2:$D$1000="Agences")+('Agences &amp; Après-vente'!$D$2:$D$1000="Agences et Après-vente"))*'Agences &amp; Après-vente'!$E$2:$E$1000))&gt;0,TEXT(SUMPRODUCT(MAX(('Agences &amp; Après-vente'!$A$2:$A$1000=$A909)*(('Agences &amp; Après-vente'!$D$2:$D$1000="Agences")+('Agences &amp; Après-vente'!$D$2:$D$1000="Agences et Après-vente"))*'Agences &amp; Après-vente'!$E$2:$E$1000)),"yyyy-mm-dd"),""))))))</f>
        <v/>
      </c>
      <c r="I909" s="131" t="str">
        <f aca="false">IF($S909="✓","✓",IF(ISNUMBER($S909),TEXT($S909,"yyyy-mm-dd"),IF($A909="","",IF(SUMPRODUCT(('Agences &amp; Après-vente'!$A$2:$A$1000=$A909)*(('Agences &amp; Après-vente'!$D$2:$D$1000="Après-vente")+('Agences &amp; Après-vente'!$D$2:$D$1000="Agences et Après-vente"))*('Agences &amp; Après-vente'!$I$2:$I$1000="DONE"))&gt;0,"✓",IF(SUMPRODUCT(MAX(('Agences &amp; Après-vente'!$A$2:$A$1000=$A909)*(('Agences &amp; Après-vente'!$D$2:$D$1000="Après-vente")+('Agences &amp; Après-vente'!$D$2:$D$1000="Agences et Après-vente"))*'Agences &amp; Après-vente'!$E$2:$E$1000))&gt;0,TEXT(SUMPRODUCT(MAX(('Agences &amp; Après-vente'!$A$2:$A$1000=$A909)*(('Agences &amp; Après-vente'!$D$2:$D$1000="Après-vente")+('Agences &amp; Après-vente'!$D$2:$D$1000="Agences et Après-vente"))*'Agences &amp; Après-vente'!$E$2:$E$1000)),"yyyy-mm-dd"),"")))))</f>
        <v/>
      </c>
      <c r="J909" s="131" t="str">
        <f aca="false">IF($T909="✓","✓",IF(ISNUMBER($T909),TEXT($T909,"yyyy-mm-dd"),IF($A909="","",IF($D909="Lisbonne","",IF(SUMPRODUCT(('Agences &amp; Après-vente'!$A$2:$A$1000=$A909)*(('Agences &amp; Après-vente'!$D$2:$D$1000="Après-vente")+('Agences &amp; Après-vente'!$D$2:$D$1000="Agences et Après-vente"))*('Agences &amp; Après-vente'!$I$2:$I$1000="DONE"))&gt;0,"✓",IF(SUMPRODUCT(MAX(('Agences &amp; Après-vente'!$A$2:$A$1000=$A909)*(('Agences &amp; Après-vente'!$D$2:$D$1000="Après-vente")+('Agences &amp; Après-vente'!$D$2:$D$1000="Agences et Après-vente"))*'Agences &amp; Après-vente'!$E$2:$E$1000))&gt;0,TEXT(SUMPRODUCT(MAX(('Agences &amp; Après-vente'!$A$2:$A$1000=$A909)*(('Agences &amp; Après-vente'!$D$2:$D$1000="Après-vente")+('Agences &amp; Après-vente'!$D$2:$D$1000="Agences et Après-vente"))*'Agences &amp; Après-vente'!$E$2:$E$1000)),"yyyy-mm-dd"),""))))))</f>
        <v/>
      </c>
      <c r="K909" s="131" t="str">
        <f aca="false">IF($U909="✓","✓",IF(ISNUMBER($U909),TEXT($U909,"yyyy-mm-dd"),IF($D909="Lisbonne","",IF($A909="","",IF(SUMPRODUCT((Evermont!$A$2:$A$1000=$A909)*(Evermont!$Q$2:$Q$1000="Terminé"))&gt;0,"✓",IF(SUMPRODUCT(MAX((Evermont!$A$2:$A$1000=$A909)*Evermont!$F$2:$F$1000))&gt;0,TEXT(SUMPRODUCT(MAX((Evermont!$A$2:$A$1000=$A909)*Evermont!$F$2:$F$1000)),"yyyy-mm-dd"),""))))))</f>
        <v/>
      </c>
      <c r="L909" s="131" t="str">
        <f aca="false">IF($A909="","",COUNTIF(E909:K909,"✓"))</f>
        <v/>
      </c>
      <c r="M909" s="131" t="str">
        <f aca="false">IF(B909="","","Active")</f>
        <v/>
      </c>
      <c r="W909" s="120" t="str">
        <f aca="false">IF($A909="","",IF($X909&lt;&gt;"",$X909,IFERROR(INDEX('Formation Initiale'!$B$2:$B$999,MATCH($A909,'Formation Initiale'!$A$2:$A$999,0)),"Général")))</f>
        <v/>
      </c>
    </row>
    <row r="910" customFormat="false" ht="15" hidden="true" customHeight="true" outlineLevel="0" collapsed="false">
      <c r="A910" s="142" t="str">
        <f aca="false">IF(B910="","","TR"&amp;TEXT(ROW()-1,"000"))</f>
        <v/>
      </c>
      <c r="E910" s="130" t="str">
        <f aca="false">IF($O910="✓","✓",IF(ISNUMBER($O910),TEXT($O910,"yyyy-mm-dd"),IF($A910="","",IF(SUMPRODUCT(('Formation Initiale'!$A$2:$A$999=$A910)*('Formation Initiale'!$R$2:$R$999="Terminé"))&gt;0,"✓",IF(SUMPRODUCT(MAX(('Formation Initiale'!$A$2:$A$999=$A910)*'Formation Initiale'!$G$2:$G$999))&gt;0,TEXT(SUMPRODUCT(MAX(('Formation Initiale'!$A$2:$A$999=$A910)*'Formation Initiale'!$G$2:$G$999)),"yyyy-mm-dd"),"")))))</f>
        <v/>
      </c>
      <c r="F910" s="131" t="str">
        <f aca="false">IF($P910="✓","✓",IF(ISNUMBER($P910),TEXT($P910,"yyyy-mm-dd"),IF($A910="","",IF($D910="Lisbonne","",IF(SUMPRODUCT(('Formation Initiale'!$A$2:$A$999=$A910)*('Formation Initiale'!$R$2:$R$999="Terminé"))&gt;0,"✓",IF(SUMPRODUCT(MAX(('Formation Initiale'!$A$2:$A$999=$A910)*'Formation Initiale'!$G$2:$G$999))&gt;0,TEXT(SUMPRODUCT(MAX(('Formation Initiale'!$A$2:$A$999=$A910)*'Formation Initiale'!$G$2:$G$999)),"yyyy-mm-dd"),""))))))</f>
        <v/>
      </c>
      <c r="G910" s="131" t="str">
        <f aca="false">IF($Q910="✓","✓",IF(ISNUMBER($Q910),TEXT($Q910,"yyyy-mm-dd"),IF($A910="","",IF(SUMPRODUCT(('Agences &amp; Après-vente'!$A$2:$A$1000=$A910)*(('Agences &amp; Après-vente'!$D$2:$D$1000="Agences")+('Agences &amp; Après-vente'!$D$2:$D$1000="Agences et Après-vente"))*('Agences &amp; Après-vente'!$I$2:$I$1000="DONE"))&gt;0,"✓",IF(SUMPRODUCT(MAX(('Agences &amp; Après-vente'!$A$2:$A$1000=$A910)*(('Agences &amp; Après-vente'!$D$2:$D$1000="Agences")+('Agences &amp; Après-vente'!$D$2:$D$1000="Agences et Après-vente"))*'Agences &amp; Après-vente'!$E$2:$E$1000))&gt;0,TEXT(SUMPRODUCT(MAX(('Agences &amp; Après-vente'!$A$2:$A$1000=$A910)*(('Agences &amp; Après-vente'!$D$2:$D$1000="Agences")+('Agences &amp; Après-vente'!$D$2:$D$1000="Agences et Après-vente"))*'Agences &amp; Après-vente'!$E$2:$E$1000)),"yyyy-mm-dd"),"")))))</f>
        <v/>
      </c>
      <c r="H910" s="131" t="str">
        <f aca="false">IF($R910="✓","✓",IF(ISNUMBER($R910),TEXT($R910,"yyyy-mm-dd"),IF($A910="","",IF($D910="Lisbonne","",IF(SUMPRODUCT(('Agences &amp; Après-vente'!$A$2:$A$1000=$A910)*(('Agences &amp; Après-vente'!$D$2:$D$1000="Agences")+('Agences &amp; Après-vente'!$D$2:$D$1000="Agences et Après-vente"))*('Agences &amp; Après-vente'!$I$2:$I$1000="DONE"))&gt;0,"✓",IF(SUMPRODUCT(MAX(('Agences &amp; Après-vente'!$A$2:$A$1000=$A910)*(('Agences &amp; Après-vente'!$D$2:$D$1000="Agences")+('Agences &amp; Après-vente'!$D$2:$D$1000="Agences et Après-vente"))*'Agences &amp; Après-vente'!$E$2:$E$1000))&gt;0,TEXT(SUMPRODUCT(MAX(('Agences &amp; Après-vente'!$A$2:$A$1000=$A910)*(('Agences &amp; Après-vente'!$D$2:$D$1000="Agences")+('Agences &amp; Après-vente'!$D$2:$D$1000="Agences et Après-vente"))*'Agences &amp; Après-vente'!$E$2:$E$1000)),"yyyy-mm-dd"),""))))))</f>
        <v/>
      </c>
      <c r="I910" s="131" t="str">
        <f aca="false">IF($S910="✓","✓",IF(ISNUMBER($S910),TEXT($S910,"yyyy-mm-dd"),IF($A910="","",IF(SUMPRODUCT(('Agences &amp; Après-vente'!$A$2:$A$1000=$A910)*(('Agences &amp; Après-vente'!$D$2:$D$1000="Après-vente")+('Agences &amp; Après-vente'!$D$2:$D$1000="Agences et Après-vente"))*('Agences &amp; Après-vente'!$I$2:$I$1000="DONE"))&gt;0,"✓",IF(SUMPRODUCT(MAX(('Agences &amp; Après-vente'!$A$2:$A$1000=$A910)*(('Agences &amp; Après-vente'!$D$2:$D$1000="Après-vente")+('Agences &amp; Après-vente'!$D$2:$D$1000="Agences et Après-vente"))*'Agences &amp; Après-vente'!$E$2:$E$1000))&gt;0,TEXT(SUMPRODUCT(MAX(('Agences &amp; Après-vente'!$A$2:$A$1000=$A910)*(('Agences &amp; Après-vente'!$D$2:$D$1000="Après-vente")+('Agences &amp; Après-vente'!$D$2:$D$1000="Agences et Après-vente"))*'Agences &amp; Après-vente'!$E$2:$E$1000)),"yyyy-mm-dd"),"")))))</f>
        <v/>
      </c>
      <c r="J910" s="131" t="str">
        <f aca="false">IF($T910="✓","✓",IF(ISNUMBER($T910),TEXT($T910,"yyyy-mm-dd"),IF($A910="","",IF($D910="Lisbonne","",IF(SUMPRODUCT(('Agences &amp; Après-vente'!$A$2:$A$1000=$A910)*(('Agences &amp; Après-vente'!$D$2:$D$1000="Après-vente")+('Agences &amp; Après-vente'!$D$2:$D$1000="Agences et Après-vente"))*('Agences &amp; Après-vente'!$I$2:$I$1000="DONE"))&gt;0,"✓",IF(SUMPRODUCT(MAX(('Agences &amp; Après-vente'!$A$2:$A$1000=$A910)*(('Agences &amp; Après-vente'!$D$2:$D$1000="Après-vente")+('Agences &amp; Après-vente'!$D$2:$D$1000="Agences et Après-vente"))*'Agences &amp; Après-vente'!$E$2:$E$1000))&gt;0,TEXT(SUMPRODUCT(MAX(('Agences &amp; Après-vente'!$A$2:$A$1000=$A910)*(('Agences &amp; Après-vente'!$D$2:$D$1000="Après-vente")+('Agences &amp; Après-vente'!$D$2:$D$1000="Agences et Après-vente"))*'Agences &amp; Après-vente'!$E$2:$E$1000)),"yyyy-mm-dd"),""))))))</f>
        <v/>
      </c>
      <c r="K910" s="131" t="str">
        <f aca="false">IF($U910="✓","✓",IF(ISNUMBER($U910),TEXT($U910,"yyyy-mm-dd"),IF($D910="Lisbonne","",IF($A910="","",IF(SUMPRODUCT((Evermont!$A$2:$A$1000=$A910)*(Evermont!$Q$2:$Q$1000="Terminé"))&gt;0,"✓",IF(SUMPRODUCT(MAX((Evermont!$A$2:$A$1000=$A910)*Evermont!$F$2:$F$1000))&gt;0,TEXT(SUMPRODUCT(MAX((Evermont!$A$2:$A$1000=$A910)*Evermont!$F$2:$F$1000)),"yyyy-mm-dd"),""))))))</f>
        <v/>
      </c>
      <c r="L910" s="131" t="str">
        <f aca="false">IF($A910="","",COUNTIF(E910:K910,"✓"))</f>
        <v/>
      </c>
      <c r="M910" s="131" t="str">
        <f aca="false">IF(B910="","","Active")</f>
        <v/>
      </c>
      <c r="W910" s="120" t="str">
        <f aca="false">IF($A910="","",IF($X910&lt;&gt;"",$X910,IFERROR(INDEX('Formation Initiale'!$B$2:$B$999,MATCH($A910,'Formation Initiale'!$A$2:$A$999,0)),"Général")))</f>
        <v/>
      </c>
    </row>
    <row r="911" customFormat="false" ht="15" hidden="true" customHeight="true" outlineLevel="0" collapsed="false">
      <c r="A911" s="142" t="str">
        <f aca="false">IF(B911="","","TR"&amp;TEXT(ROW()-1,"000"))</f>
        <v/>
      </c>
      <c r="E911" s="130" t="str">
        <f aca="false">IF($O911="✓","✓",IF(ISNUMBER($O911),TEXT($O911,"yyyy-mm-dd"),IF($A911="","",IF(SUMPRODUCT(('Formation Initiale'!$A$2:$A$999=$A911)*('Formation Initiale'!$R$2:$R$999="Terminé"))&gt;0,"✓",IF(SUMPRODUCT(MAX(('Formation Initiale'!$A$2:$A$999=$A911)*'Formation Initiale'!$G$2:$G$999))&gt;0,TEXT(SUMPRODUCT(MAX(('Formation Initiale'!$A$2:$A$999=$A911)*'Formation Initiale'!$G$2:$G$999)),"yyyy-mm-dd"),"")))))</f>
        <v/>
      </c>
      <c r="F911" s="131" t="str">
        <f aca="false">IF($P911="✓","✓",IF(ISNUMBER($P911),TEXT($P911,"yyyy-mm-dd"),IF($A911="","",IF($D911="Lisbonne","",IF(SUMPRODUCT(('Formation Initiale'!$A$2:$A$999=$A911)*('Formation Initiale'!$R$2:$R$999="Terminé"))&gt;0,"✓",IF(SUMPRODUCT(MAX(('Formation Initiale'!$A$2:$A$999=$A911)*'Formation Initiale'!$G$2:$G$999))&gt;0,TEXT(SUMPRODUCT(MAX(('Formation Initiale'!$A$2:$A$999=$A911)*'Formation Initiale'!$G$2:$G$999)),"yyyy-mm-dd"),""))))))</f>
        <v/>
      </c>
      <c r="G911" s="131" t="str">
        <f aca="false">IF($Q911="✓","✓",IF(ISNUMBER($Q911),TEXT($Q911,"yyyy-mm-dd"),IF($A911="","",IF(SUMPRODUCT(('Agences &amp; Après-vente'!$A$2:$A$1000=$A911)*(('Agences &amp; Après-vente'!$D$2:$D$1000="Agences")+('Agences &amp; Après-vente'!$D$2:$D$1000="Agences et Après-vente"))*('Agences &amp; Après-vente'!$I$2:$I$1000="DONE"))&gt;0,"✓",IF(SUMPRODUCT(MAX(('Agences &amp; Après-vente'!$A$2:$A$1000=$A911)*(('Agences &amp; Après-vente'!$D$2:$D$1000="Agences")+('Agences &amp; Après-vente'!$D$2:$D$1000="Agences et Après-vente"))*'Agences &amp; Après-vente'!$E$2:$E$1000))&gt;0,TEXT(SUMPRODUCT(MAX(('Agences &amp; Après-vente'!$A$2:$A$1000=$A911)*(('Agences &amp; Après-vente'!$D$2:$D$1000="Agences")+('Agences &amp; Après-vente'!$D$2:$D$1000="Agences et Après-vente"))*'Agences &amp; Après-vente'!$E$2:$E$1000)),"yyyy-mm-dd"),"")))))</f>
        <v/>
      </c>
      <c r="H911" s="131" t="str">
        <f aca="false">IF($R911="✓","✓",IF(ISNUMBER($R911),TEXT($R911,"yyyy-mm-dd"),IF($A911="","",IF($D911="Lisbonne","",IF(SUMPRODUCT(('Agences &amp; Après-vente'!$A$2:$A$1000=$A911)*(('Agences &amp; Après-vente'!$D$2:$D$1000="Agences")+('Agences &amp; Après-vente'!$D$2:$D$1000="Agences et Après-vente"))*('Agences &amp; Après-vente'!$I$2:$I$1000="DONE"))&gt;0,"✓",IF(SUMPRODUCT(MAX(('Agences &amp; Après-vente'!$A$2:$A$1000=$A911)*(('Agences &amp; Après-vente'!$D$2:$D$1000="Agences")+('Agences &amp; Après-vente'!$D$2:$D$1000="Agences et Après-vente"))*'Agences &amp; Après-vente'!$E$2:$E$1000))&gt;0,TEXT(SUMPRODUCT(MAX(('Agences &amp; Après-vente'!$A$2:$A$1000=$A911)*(('Agences &amp; Après-vente'!$D$2:$D$1000="Agences")+('Agences &amp; Après-vente'!$D$2:$D$1000="Agences et Après-vente"))*'Agences &amp; Après-vente'!$E$2:$E$1000)),"yyyy-mm-dd"),""))))))</f>
        <v/>
      </c>
      <c r="I911" s="131" t="str">
        <f aca="false">IF($S911="✓","✓",IF(ISNUMBER($S911),TEXT($S911,"yyyy-mm-dd"),IF($A911="","",IF(SUMPRODUCT(('Agences &amp; Après-vente'!$A$2:$A$1000=$A911)*(('Agences &amp; Après-vente'!$D$2:$D$1000="Après-vente")+('Agences &amp; Après-vente'!$D$2:$D$1000="Agences et Après-vente"))*('Agences &amp; Après-vente'!$I$2:$I$1000="DONE"))&gt;0,"✓",IF(SUMPRODUCT(MAX(('Agences &amp; Après-vente'!$A$2:$A$1000=$A911)*(('Agences &amp; Après-vente'!$D$2:$D$1000="Après-vente")+('Agences &amp; Après-vente'!$D$2:$D$1000="Agences et Après-vente"))*'Agences &amp; Après-vente'!$E$2:$E$1000))&gt;0,TEXT(SUMPRODUCT(MAX(('Agences &amp; Après-vente'!$A$2:$A$1000=$A911)*(('Agences &amp; Après-vente'!$D$2:$D$1000="Après-vente")+('Agences &amp; Après-vente'!$D$2:$D$1000="Agences et Après-vente"))*'Agences &amp; Après-vente'!$E$2:$E$1000)),"yyyy-mm-dd"),"")))))</f>
        <v/>
      </c>
      <c r="J911" s="131" t="str">
        <f aca="false">IF($T911="✓","✓",IF(ISNUMBER($T911),TEXT($T911,"yyyy-mm-dd"),IF($A911="","",IF($D911="Lisbonne","",IF(SUMPRODUCT(('Agences &amp; Après-vente'!$A$2:$A$1000=$A911)*(('Agences &amp; Après-vente'!$D$2:$D$1000="Après-vente")+('Agences &amp; Après-vente'!$D$2:$D$1000="Agences et Après-vente"))*('Agences &amp; Après-vente'!$I$2:$I$1000="DONE"))&gt;0,"✓",IF(SUMPRODUCT(MAX(('Agences &amp; Après-vente'!$A$2:$A$1000=$A911)*(('Agences &amp; Après-vente'!$D$2:$D$1000="Après-vente")+('Agences &amp; Après-vente'!$D$2:$D$1000="Agences et Après-vente"))*'Agences &amp; Après-vente'!$E$2:$E$1000))&gt;0,TEXT(SUMPRODUCT(MAX(('Agences &amp; Après-vente'!$A$2:$A$1000=$A911)*(('Agences &amp; Après-vente'!$D$2:$D$1000="Après-vente")+('Agences &amp; Après-vente'!$D$2:$D$1000="Agences et Après-vente"))*'Agences &amp; Après-vente'!$E$2:$E$1000)),"yyyy-mm-dd"),""))))))</f>
        <v/>
      </c>
      <c r="K911" s="131" t="str">
        <f aca="false">IF($U911="✓","✓",IF(ISNUMBER($U911),TEXT($U911,"yyyy-mm-dd"),IF($D911="Lisbonne","",IF($A911="","",IF(SUMPRODUCT((Evermont!$A$2:$A$1000=$A911)*(Evermont!$Q$2:$Q$1000="Terminé"))&gt;0,"✓",IF(SUMPRODUCT(MAX((Evermont!$A$2:$A$1000=$A911)*Evermont!$F$2:$F$1000))&gt;0,TEXT(SUMPRODUCT(MAX((Evermont!$A$2:$A$1000=$A911)*Evermont!$F$2:$F$1000)),"yyyy-mm-dd"),""))))))</f>
        <v/>
      </c>
      <c r="L911" s="131" t="str">
        <f aca="false">IF($A911="","",COUNTIF(E911:K911,"✓"))</f>
        <v/>
      </c>
      <c r="M911" s="131" t="str">
        <f aca="false">IF(B911="","","Active")</f>
        <v/>
      </c>
      <c r="W911" s="120" t="str">
        <f aca="false">IF($A911="","",IF($X911&lt;&gt;"",$X911,IFERROR(INDEX('Formation Initiale'!$B$2:$B$999,MATCH($A911,'Formation Initiale'!$A$2:$A$999,0)),"Général")))</f>
        <v/>
      </c>
    </row>
    <row r="912" customFormat="false" ht="15" hidden="true" customHeight="true" outlineLevel="0" collapsed="false">
      <c r="A912" s="142" t="str">
        <f aca="false">IF(B912="","","TR"&amp;TEXT(ROW()-1,"000"))</f>
        <v/>
      </c>
      <c r="E912" s="130" t="str">
        <f aca="false">IF($O912="✓","✓",IF(ISNUMBER($O912),TEXT($O912,"yyyy-mm-dd"),IF($A912="","",IF(SUMPRODUCT(('Formation Initiale'!$A$2:$A$999=$A912)*('Formation Initiale'!$R$2:$R$999="Terminé"))&gt;0,"✓",IF(SUMPRODUCT(MAX(('Formation Initiale'!$A$2:$A$999=$A912)*'Formation Initiale'!$G$2:$G$999))&gt;0,TEXT(SUMPRODUCT(MAX(('Formation Initiale'!$A$2:$A$999=$A912)*'Formation Initiale'!$G$2:$G$999)),"yyyy-mm-dd"),"")))))</f>
        <v/>
      </c>
      <c r="F912" s="131" t="str">
        <f aca="false">IF($P912="✓","✓",IF(ISNUMBER($P912),TEXT($P912,"yyyy-mm-dd"),IF($A912="","",IF($D912="Lisbonne","",IF(SUMPRODUCT(('Formation Initiale'!$A$2:$A$999=$A912)*('Formation Initiale'!$R$2:$R$999="Terminé"))&gt;0,"✓",IF(SUMPRODUCT(MAX(('Formation Initiale'!$A$2:$A$999=$A912)*'Formation Initiale'!$G$2:$G$999))&gt;0,TEXT(SUMPRODUCT(MAX(('Formation Initiale'!$A$2:$A$999=$A912)*'Formation Initiale'!$G$2:$G$999)),"yyyy-mm-dd"),""))))))</f>
        <v/>
      </c>
      <c r="G912" s="131" t="str">
        <f aca="false">IF($Q912="✓","✓",IF(ISNUMBER($Q912),TEXT($Q912,"yyyy-mm-dd"),IF($A912="","",IF(SUMPRODUCT(('Agences &amp; Après-vente'!$A$2:$A$1000=$A912)*(('Agences &amp; Après-vente'!$D$2:$D$1000="Agences")+('Agences &amp; Après-vente'!$D$2:$D$1000="Agences et Après-vente"))*('Agences &amp; Après-vente'!$I$2:$I$1000="DONE"))&gt;0,"✓",IF(SUMPRODUCT(MAX(('Agences &amp; Après-vente'!$A$2:$A$1000=$A912)*(('Agences &amp; Après-vente'!$D$2:$D$1000="Agences")+('Agences &amp; Après-vente'!$D$2:$D$1000="Agences et Après-vente"))*'Agences &amp; Après-vente'!$E$2:$E$1000))&gt;0,TEXT(SUMPRODUCT(MAX(('Agences &amp; Après-vente'!$A$2:$A$1000=$A912)*(('Agences &amp; Après-vente'!$D$2:$D$1000="Agences")+('Agences &amp; Après-vente'!$D$2:$D$1000="Agences et Après-vente"))*'Agences &amp; Après-vente'!$E$2:$E$1000)),"yyyy-mm-dd"),"")))))</f>
        <v/>
      </c>
      <c r="H912" s="131" t="str">
        <f aca="false">IF($R912="✓","✓",IF(ISNUMBER($R912),TEXT($R912,"yyyy-mm-dd"),IF($A912="","",IF($D912="Lisbonne","",IF(SUMPRODUCT(('Agences &amp; Après-vente'!$A$2:$A$1000=$A912)*(('Agences &amp; Après-vente'!$D$2:$D$1000="Agences")+('Agences &amp; Après-vente'!$D$2:$D$1000="Agences et Après-vente"))*('Agences &amp; Après-vente'!$I$2:$I$1000="DONE"))&gt;0,"✓",IF(SUMPRODUCT(MAX(('Agences &amp; Après-vente'!$A$2:$A$1000=$A912)*(('Agences &amp; Après-vente'!$D$2:$D$1000="Agences")+('Agences &amp; Après-vente'!$D$2:$D$1000="Agences et Après-vente"))*'Agences &amp; Après-vente'!$E$2:$E$1000))&gt;0,TEXT(SUMPRODUCT(MAX(('Agences &amp; Après-vente'!$A$2:$A$1000=$A912)*(('Agences &amp; Après-vente'!$D$2:$D$1000="Agences")+('Agences &amp; Après-vente'!$D$2:$D$1000="Agences et Après-vente"))*'Agences &amp; Après-vente'!$E$2:$E$1000)),"yyyy-mm-dd"),""))))))</f>
        <v/>
      </c>
      <c r="I912" s="131" t="str">
        <f aca="false">IF($S912="✓","✓",IF(ISNUMBER($S912),TEXT($S912,"yyyy-mm-dd"),IF($A912="","",IF(SUMPRODUCT(('Agences &amp; Après-vente'!$A$2:$A$1000=$A912)*(('Agences &amp; Après-vente'!$D$2:$D$1000="Après-vente")+('Agences &amp; Après-vente'!$D$2:$D$1000="Agences et Après-vente"))*('Agences &amp; Après-vente'!$I$2:$I$1000="DONE"))&gt;0,"✓",IF(SUMPRODUCT(MAX(('Agences &amp; Après-vente'!$A$2:$A$1000=$A912)*(('Agences &amp; Après-vente'!$D$2:$D$1000="Après-vente")+('Agences &amp; Après-vente'!$D$2:$D$1000="Agences et Après-vente"))*'Agences &amp; Après-vente'!$E$2:$E$1000))&gt;0,TEXT(SUMPRODUCT(MAX(('Agences &amp; Après-vente'!$A$2:$A$1000=$A912)*(('Agences &amp; Après-vente'!$D$2:$D$1000="Après-vente")+('Agences &amp; Après-vente'!$D$2:$D$1000="Agences et Après-vente"))*'Agences &amp; Après-vente'!$E$2:$E$1000)),"yyyy-mm-dd"),"")))))</f>
        <v/>
      </c>
      <c r="J912" s="131" t="str">
        <f aca="false">IF($T912="✓","✓",IF(ISNUMBER($T912),TEXT($T912,"yyyy-mm-dd"),IF($A912="","",IF($D912="Lisbonne","",IF(SUMPRODUCT(('Agences &amp; Après-vente'!$A$2:$A$1000=$A912)*(('Agences &amp; Après-vente'!$D$2:$D$1000="Après-vente")+('Agences &amp; Après-vente'!$D$2:$D$1000="Agences et Après-vente"))*('Agences &amp; Après-vente'!$I$2:$I$1000="DONE"))&gt;0,"✓",IF(SUMPRODUCT(MAX(('Agences &amp; Après-vente'!$A$2:$A$1000=$A912)*(('Agences &amp; Après-vente'!$D$2:$D$1000="Après-vente")+('Agences &amp; Après-vente'!$D$2:$D$1000="Agences et Après-vente"))*'Agences &amp; Après-vente'!$E$2:$E$1000))&gt;0,TEXT(SUMPRODUCT(MAX(('Agences &amp; Après-vente'!$A$2:$A$1000=$A912)*(('Agences &amp; Après-vente'!$D$2:$D$1000="Après-vente")+('Agences &amp; Après-vente'!$D$2:$D$1000="Agences et Après-vente"))*'Agences &amp; Après-vente'!$E$2:$E$1000)),"yyyy-mm-dd"),""))))))</f>
        <v/>
      </c>
      <c r="K912" s="131" t="str">
        <f aca="false">IF($U912="✓","✓",IF(ISNUMBER($U912),TEXT($U912,"yyyy-mm-dd"),IF($D912="Lisbonne","",IF($A912="","",IF(SUMPRODUCT((Evermont!$A$2:$A$1000=$A912)*(Evermont!$Q$2:$Q$1000="Terminé"))&gt;0,"✓",IF(SUMPRODUCT(MAX((Evermont!$A$2:$A$1000=$A912)*Evermont!$F$2:$F$1000))&gt;0,TEXT(SUMPRODUCT(MAX((Evermont!$A$2:$A$1000=$A912)*Evermont!$F$2:$F$1000)),"yyyy-mm-dd"),""))))))</f>
        <v/>
      </c>
      <c r="L912" s="131" t="str">
        <f aca="false">IF($A912="","",COUNTIF(E912:K912,"✓"))</f>
        <v/>
      </c>
      <c r="M912" s="131" t="str">
        <f aca="false">IF(B912="","","Active")</f>
        <v/>
      </c>
      <c r="W912" s="120" t="str">
        <f aca="false">IF($A912="","",IF($X912&lt;&gt;"",$X912,IFERROR(INDEX('Formation Initiale'!$B$2:$B$999,MATCH($A912,'Formation Initiale'!$A$2:$A$999,0)),"Général")))</f>
        <v/>
      </c>
    </row>
    <row r="913" customFormat="false" ht="15" hidden="true" customHeight="true" outlineLevel="0" collapsed="false">
      <c r="A913" s="142" t="str">
        <f aca="false">IF(B913="","","TR"&amp;TEXT(ROW()-1,"000"))</f>
        <v/>
      </c>
      <c r="E913" s="130" t="str">
        <f aca="false">IF($O913="✓","✓",IF(ISNUMBER($O913),TEXT($O913,"yyyy-mm-dd"),IF($A913="","",IF(SUMPRODUCT(('Formation Initiale'!$A$2:$A$999=$A913)*('Formation Initiale'!$R$2:$R$999="Terminé"))&gt;0,"✓",IF(SUMPRODUCT(MAX(('Formation Initiale'!$A$2:$A$999=$A913)*'Formation Initiale'!$G$2:$G$999))&gt;0,TEXT(SUMPRODUCT(MAX(('Formation Initiale'!$A$2:$A$999=$A913)*'Formation Initiale'!$G$2:$G$999)),"yyyy-mm-dd"),"")))))</f>
        <v/>
      </c>
      <c r="F913" s="131" t="str">
        <f aca="false">IF($P913="✓","✓",IF(ISNUMBER($P913),TEXT($P913,"yyyy-mm-dd"),IF($A913="","",IF($D913="Lisbonne","",IF(SUMPRODUCT(('Formation Initiale'!$A$2:$A$999=$A913)*('Formation Initiale'!$R$2:$R$999="Terminé"))&gt;0,"✓",IF(SUMPRODUCT(MAX(('Formation Initiale'!$A$2:$A$999=$A913)*'Formation Initiale'!$G$2:$G$999))&gt;0,TEXT(SUMPRODUCT(MAX(('Formation Initiale'!$A$2:$A$999=$A913)*'Formation Initiale'!$G$2:$G$999)),"yyyy-mm-dd"),""))))))</f>
        <v/>
      </c>
      <c r="G913" s="131" t="str">
        <f aca="false">IF($Q913="✓","✓",IF(ISNUMBER($Q913),TEXT($Q913,"yyyy-mm-dd"),IF($A913="","",IF(SUMPRODUCT(('Agences &amp; Après-vente'!$A$2:$A$1000=$A913)*(('Agences &amp; Après-vente'!$D$2:$D$1000="Agences")+('Agences &amp; Après-vente'!$D$2:$D$1000="Agences et Après-vente"))*('Agences &amp; Après-vente'!$I$2:$I$1000="DONE"))&gt;0,"✓",IF(SUMPRODUCT(MAX(('Agences &amp; Après-vente'!$A$2:$A$1000=$A913)*(('Agences &amp; Après-vente'!$D$2:$D$1000="Agences")+('Agences &amp; Après-vente'!$D$2:$D$1000="Agences et Après-vente"))*'Agences &amp; Après-vente'!$E$2:$E$1000))&gt;0,TEXT(SUMPRODUCT(MAX(('Agences &amp; Après-vente'!$A$2:$A$1000=$A913)*(('Agences &amp; Après-vente'!$D$2:$D$1000="Agences")+('Agences &amp; Après-vente'!$D$2:$D$1000="Agences et Après-vente"))*'Agences &amp; Après-vente'!$E$2:$E$1000)),"yyyy-mm-dd"),"")))))</f>
        <v/>
      </c>
      <c r="H913" s="131" t="str">
        <f aca="false">IF($R913="✓","✓",IF(ISNUMBER($R913),TEXT($R913,"yyyy-mm-dd"),IF($A913="","",IF($D913="Lisbonne","",IF(SUMPRODUCT(('Agences &amp; Après-vente'!$A$2:$A$1000=$A913)*(('Agences &amp; Après-vente'!$D$2:$D$1000="Agences")+('Agences &amp; Après-vente'!$D$2:$D$1000="Agences et Après-vente"))*('Agences &amp; Après-vente'!$I$2:$I$1000="DONE"))&gt;0,"✓",IF(SUMPRODUCT(MAX(('Agences &amp; Après-vente'!$A$2:$A$1000=$A913)*(('Agences &amp; Après-vente'!$D$2:$D$1000="Agences")+('Agences &amp; Après-vente'!$D$2:$D$1000="Agences et Après-vente"))*'Agences &amp; Après-vente'!$E$2:$E$1000))&gt;0,TEXT(SUMPRODUCT(MAX(('Agences &amp; Après-vente'!$A$2:$A$1000=$A913)*(('Agences &amp; Après-vente'!$D$2:$D$1000="Agences")+('Agences &amp; Après-vente'!$D$2:$D$1000="Agences et Après-vente"))*'Agences &amp; Après-vente'!$E$2:$E$1000)),"yyyy-mm-dd"),""))))))</f>
        <v/>
      </c>
      <c r="I913" s="131" t="str">
        <f aca="false">IF($S913="✓","✓",IF(ISNUMBER($S913),TEXT($S913,"yyyy-mm-dd"),IF($A913="","",IF(SUMPRODUCT(('Agences &amp; Après-vente'!$A$2:$A$1000=$A913)*(('Agences &amp; Après-vente'!$D$2:$D$1000="Après-vente")+('Agences &amp; Après-vente'!$D$2:$D$1000="Agences et Après-vente"))*('Agences &amp; Après-vente'!$I$2:$I$1000="DONE"))&gt;0,"✓",IF(SUMPRODUCT(MAX(('Agences &amp; Après-vente'!$A$2:$A$1000=$A913)*(('Agences &amp; Après-vente'!$D$2:$D$1000="Après-vente")+('Agences &amp; Après-vente'!$D$2:$D$1000="Agences et Après-vente"))*'Agences &amp; Après-vente'!$E$2:$E$1000))&gt;0,TEXT(SUMPRODUCT(MAX(('Agences &amp; Après-vente'!$A$2:$A$1000=$A913)*(('Agences &amp; Après-vente'!$D$2:$D$1000="Après-vente")+('Agences &amp; Après-vente'!$D$2:$D$1000="Agences et Après-vente"))*'Agences &amp; Après-vente'!$E$2:$E$1000)),"yyyy-mm-dd"),"")))))</f>
        <v/>
      </c>
      <c r="J913" s="131" t="str">
        <f aca="false">IF($T913="✓","✓",IF(ISNUMBER($T913),TEXT($T913,"yyyy-mm-dd"),IF($A913="","",IF($D913="Lisbonne","",IF(SUMPRODUCT(('Agences &amp; Après-vente'!$A$2:$A$1000=$A913)*(('Agences &amp; Après-vente'!$D$2:$D$1000="Après-vente")+('Agences &amp; Après-vente'!$D$2:$D$1000="Agences et Après-vente"))*('Agences &amp; Après-vente'!$I$2:$I$1000="DONE"))&gt;0,"✓",IF(SUMPRODUCT(MAX(('Agences &amp; Après-vente'!$A$2:$A$1000=$A913)*(('Agences &amp; Après-vente'!$D$2:$D$1000="Après-vente")+('Agences &amp; Après-vente'!$D$2:$D$1000="Agences et Après-vente"))*'Agences &amp; Après-vente'!$E$2:$E$1000))&gt;0,TEXT(SUMPRODUCT(MAX(('Agences &amp; Après-vente'!$A$2:$A$1000=$A913)*(('Agences &amp; Après-vente'!$D$2:$D$1000="Après-vente")+('Agences &amp; Après-vente'!$D$2:$D$1000="Agences et Après-vente"))*'Agences &amp; Après-vente'!$E$2:$E$1000)),"yyyy-mm-dd"),""))))))</f>
        <v/>
      </c>
      <c r="K913" s="131" t="str">
        <f aca="false">IF($U913="✓","✓",IF(ISNUMBER($U913),TEXT($U913,"yyyy-mm-dd"),IF($D913="Lisbonne","",IF($A913="","",IF(SUMPRODUCT((Evermont!$A$2:$A$1000=$A913)*(Evermont!$Q$2:$Q$1000="Terminé"))&gt;0,"✓",IF(SUMPRODUCT(MAX((Evermont!$A$2:$A$1000=$A913)*Evermont!$F$2:$F$1000))&gt;0,TEXT(SUMPRODUCT(MAX((Evermont!$A$2:$A$1000=$A913)*Evermont!$F$2:$F$1000)),"yyyy-mm-dd"),""))))))</f>
        <v/>
      </c>
      <c r="L913" s="131" t="str">
        <f aca="false">IF($A913="","",COUNTIF(E913:K913,"✓"))</f>
        <v/>
      </c>
      <c r="M913" s="131" t="str">
        <f aca="false">IF(B913="","","Active")</f>
        <v/>
      </c>
      <c r="W913" s="120" t="str">
        <f aca="false">IF($A913="","",IF($X913&lt;&gt;"",$X913,IFERROR(INDEX('Formation Initiale'!$B$2:$B$999,MATCH($A913,'Formation Initiale'!$A$2:$A$999,0)),"Général")))</f>
        <v/>
      </c>
    </row>
    <row r="914" customFormat="false" ht="15" hidden="true" customHeight="true" outlineLevel="0" collapsed="false">
      <c r="A914" s="142" t="str">
        <f aca="false">IF(B914="","","TR"&amp;TEXT(ROW()-1,"000"))</f>
        <v/>
      </c>
      <c r="E914" s="130" t="str">
        <f aca="false">IF($O914="✓","✓",IF(ISNUMBER($O914),TEXT($O914,"yyyy-mm-dd"),IF($A914="","",IF(SUMPRODUCT(('Formation Initiale'!$A$2:$A$999=$A914)*('Formation Initiale'!$R$2:$R$999="Terminé"))&gt;0,"✓",IF(SUMPRODUCT(MAX(('Formation Initiale'!$A$2:$A$999=$A914)*'Formation Initiale'!$G$2:$G$999))&gt;0,TEXT(SUMPRODUCT(MAX(('Formation Initiale'!$A$2:$A$999=$A914)*'Formation Initiale'!$G$2:$G$999)),"yyyy-mm-dd"),"")))))</f>
        <v/>
      </c>
      <c r="F914" s="131" t="str">
        <f aca="false">IF($P914="✓","✓",IF(ISNUMBER($P914),TEXT($P914,"yyyy-mm-dd"),IF($A914="","",IF($D914="Lisbonne","",IF(SUMPRODUCT(('Formation Initiale'!$A$2:$A$999=$A914)*('Formation Initiale'!$R$2:$R$999="Terminé"))&gt;0,"✓",IF(SUMPRODUCT(MAX(('Formation Initiale'!$A$2:$A$999=$A914)*'Formation Initiale'!$G$2:$G$999))&gt;0,TEXT(SUMPRODUCT(MAX(('Formation Initiale'!$A$2:$A$999=$A914)*'Formation Initiale'!$G$2:$G$999)),"yyyy-mm-dd"),""))))))</f>
        <v/>
      </c>
      <c r="G914" s="131" t="str">
        <f aca="false">IF($Q914="✓","✓",IF(ISNUMBER($Q914),TEXT($Q914,"yyyy-mm-dd"),IF($A914="","",IF(SUMPRODUCT(('Agences &amp; Après-vente'!$A$2:$A$1000=$A914)*(('Agences &amp; Après-vente'!$D$2:$D$1000="Agences")+('Agences &amp; Après-vente'!$D$2:$D$1000="Agences et Après-vente"))*('Agences &amp; Après-vente'!$I$2:$I$1000="DONE"))&gt;0,"✓",IF(SUMPRODUCT(MAX(('Agences &amp; Après-vente'!$A$2:$A$1000=$A914)*(('Agences &amp; Après-vente'!$D$2:$D$1000="Agences")+('Agences &amp; Après-vente'!$D$2:$D$1000="Agences et Après-vente"))*'Agences &amp; Après-vente'!$E$2:$E$1000))&gt;0,TEXT(SUMPRODUCT(MAX(('Agences &amp; Après-vente'!$A$2:$A$1000=$A914)*(('Agences &amp; Après-vente'!$D$2:$D$1000="Agences")+('Agences &amp; Après-vente'!$D$2:$D$1000="Agences et Après-vente"))*'Agences &amp; Après-vente'!$E$2:$E$1000)),"yyyy-mm-dd"),"")))))</f>
        <v/>
      </c>
      <c r="H914" s="131" t="str">
        <f aca="false">IF($R914="✓","✓",IF(ISNUMBER($R914),TEXT($R914,"yyyy-mm-dd"),IF($A914="","",IF($D914="Lisbonne","",IF(SUMPRODUCT(('Agences &amp; Après-vente'!$A$2:$A$1000=$A914)*(('Agences &amp; Après-vente'!$D$2:$D$1000="Agences")+('Agences &amp; Après-vente'!$D$2:$D$1000="Agences et Après-vente"))*('Agences &amp; Après-vente'!$I$2:$I$1000="DONE"))&gt;0,"✓",IF(SUMPRODUCT(MAX(('Agences &amp; Après-vente'!$A$2:$A$1000=$A914)*(('Agences &amp; Après-vente'!$D$2:$D$1000="Agences")+('Agences &amp; Après-vente'!$D$2:$D$1000="Agences et Après-vente"))*'Agences &amp; Après-vente'!$E$2:$E$1000))&gt;0,TEXT(SUMPRODUCT(MAX(('Agences &amp; Après-vente'!$A$2:$A$1000=$A914)*(('Agences &amp; Après-vente'!$D$2:$D$1000="Agences")+('Agences &amp; Après-vente'!$D$2:$D$1000="Agences et Après-vente"))*'Agences &amp; Après-vente'!$E$2:$E$1000)),"yyyy-mm-dd"),""))))))</f>
        <v/>
      </c>
      <c r="I914" s="131" t="str">
        <f aca="false">IF($S914="✓","✓",IF(ISNUMBER($S914),TEXT($S914,"yyyy-mm-dd"),IF($A914="","",IF(SUMPRODUCT(('Agences &amp; Après-vente'!$A$2:$A$1000=$A914)*(('Agences &amp; Après-vente'!$D$2:$D$1000="Après-vente")+('Agences &amp; Après-vente'!$D$2:$D$1000="Agences et Après-vente"))*('Agences &amp; Après-vente'!$I$2:$I$1000="DONE"))&gt;0,"✓",IF(SUMPRODUCT(MAX(('Agences &amp; Après-vente'!$A$2:$A$1000=$A914)*(('Agences &amp; Après-vente'!$D$2:$D$1000="Après-vente")+('Agences &amp; Après-vente'!$D$2:$D$1000="Agences et Après-vente"))*'Agences &amp; Après-vente'!$E$2:$E$1000))&gt;0,TEXT(SUMPRODUCT(MAX(('Agences &amp; Après-vente'!$A$2:$A$1000=$A914)*(('Agences &amp; Après-vente'!$D$2:$D$1000="Après-vente")+('Agences &amp; Après-vente'!$D$2:$D$1000="Agences et Après-vente"))*'Agences &amp; Après-vente'!$E$2:$E$1000)),"yyyy-mm-dd"),"")))))</f>
        <v/>
      </c>
      <c r="J914" s="131" t="str">
        <f aca="false">IF($T914="✓","✓",IF(ISNUMBER($T914),TEXT($T914,"yyyy-mm-dd"),IF($A914="","",IF($D914="Lisbonne","",IF(SUMPRODUCT(('Agences &amp; Après-vente'!$A$2:$A$1000=$A914)*(('Agences &amp; Après-vente'!$D$2:$D$1000="Après-vente")+('Agences &amp; Après-vente'!$D$2:$D$1000="Agences et Après-vente"))*('Agences &amp; Après-vente'!$I$2:$I$1000="DONE"))&gt;0,"✓",IF(SUMPRODUCT(MAX(('Agences &amp; Après-vente'!$A$2:$A$1000=$A914)*(('Agences &amp; Après-vente'!$D$2:$D$1000="Après-vente")+('Agences &amp; Après-vente'!$D$2:$D$1000="Agences et Après-vente"))*'Agences &amp; Après-vente'!$E$2:$E$1000))&gt;0,TEXT(SUMPRODUCT(MAX(('Agences &amp; Après-vente'!$A$2:$A$1000=$A914)*(('Agences &amp; Après-vente'!$D$2:$D$1000="Après-vente")+('Agences &amp; Après-vente'!$D$2:$D$1000="Agences et Après-vente"))*'Agences &amp; Après-vente'!$E$2:$E$1000)),"yyyy-mm-dd"),""))))))</f>
        <v/>
      </c>
      <c r="K914" s="131" t="str">
        <f aca="false">IF($U914="✓","✓",IF(ISNUMBER($U914),TEXT($U914,"yyyy-mm-dd"),IF($D914="Lisbonne","",IF($A914="","",IF(SUMPRODUCT((Evermont!$A$2:$A$1000=$A914)*(Evermont!$Q$2:$Q$1000="Terminé"))&gt;0,"✓",IF(SUMPRODUCT(MAX((Evermont!$A$2:$A$1000=$A914)*Evermont!$F$2:$F$1000))&gt;0,TEXT(SUMPRODUCT(MAX((Evermont!$A$2:$A$1000=$A914)*Evermont!$F$2:$F$1000)),"yyyy-mm-dd"),""))))))</f>
        <v/>
      </c>
      <c r="L914" s="131" t="str">
        <f aca="false">IF($A914="","",COUNTIF(E914:K914,"✓"))</f>
        <v/>
      </c>
      <c r="M914" s="131" t="str">
        <f aca="false">IF(B914="","","Active")</f>
        <v/>
      </c>
      <c r="W914" s="120" t="str">
        <f aca="false">IF($A914="","",IF($X914&lt;&gt;"",$X914,IFERROR(INDEX('Formation Initiale'!$B$2:$B$999,MATCH($A914,'Formation Initiale'!$A$2:$A$999,0)),"Général")))</f>
        <v/>
      </c>
    </row>
    <row r="915" customFormat="false" ht="15" hidden="true" customHeight="true" outlineLevel="0" collapsed="false">
      <c r="A915" s="142" t="str">
        <f aca="false">IF(B915="","","TR"&amp;TEXT(ROW()-1,"000"))</f>
        <v/>
      </c>
      <c r="E915" s="130" t="str">
        <f aca="false">IF($O915="✓","✓",IF(ISNUMBER($O915),TEXT($O915,"yyyy-mm-dd"),IF($A915="","",IF(SUMPRODUCT(('Formation Initiale'!$A$2:$A$999=$A915)*('Formation Initiale'!$R$2:$R$999="Terminé"))&gt;0,"✓",IF(SUMPRODUCT(MAX(('Formation Initiale'!$A$2:$A$999=$A915)*'Formation Initiale'!$G$2:$G$999))&gt;0,TEXT(SUMPRODUCT(MAX(('Formation Initiale'!$A$2:$A$999=$A915)*'Formation Initiale'!$G$2:$G$999)),"yyyy-mm-dd"),"")))))</f>
        <v/>
      </c>
      <c r="F915" s="131" t="str">
        <f aca="false">IF($P915="✓","✓",IF(ISNUMBER($P915),TEXT($P915,"yyyy-mm-dd"),IF($A915="","",IF($D915="Lisbonne","",IF(SUMPRODUCT(('Formation Initiale'!$A$2:$A$999=$A915)*('Formation Initiale'!$R$2:$R$999="Terminé"))&gt;0,"✓",IF(SUMPRODUCT(MAX(('Formation Initiale'!$A$2:$A$999=$A915)*'Formation Initiale'!$G$2:$G$999))&gt;0,TEXT(SUMPRODUCT(MAX(('Formation Initiale'!$A$2:$A$999=$A915)*'Formation Initiale'!$G$2:$G$999)),"yyyy-mm-dd"),""))))))</f>
        <v/>
      </c>
      <c r="G915" s="131" t="str">
        <f aca="false">IF($Q915="✓","✓",IF(ISNUMBER($Q915),TEXT($Q915,"yyyy-mm-dd"),IF($A915="","",IF(SUMPRODUCT(('Agences &amp; Après-vente'!$A$2:$A$1000=$A915)*(('Agences &amp; Après-vente'!$D$2:$D$1000="Agences")+('Agences &amp; Après-vente'!$D$2:$D$1000="Agences et Après-vente"))*('Agences &amp; Après-vente'!$I$2:$I$1000="DONE"))&gt;0,"✓",IF(SUMPRODUCT(MAX(('Agences &amp; Après-vente'!$A$2:$A$1000=$A915)*(('Agences &amp; Après-vente'!$D$2:$D$1000="Agences")+('Agences &amp; Après-vente'!$D$2:$D$1000="Agences et Après-vente"))*'Agences &amp; Après-vente'!$E$2:$E$1000))&gt;0,TEXT(SUMPRODUCT(MAX(('Agences &amp; Après-vente'!$A$2:$A$1000=$A915)*(('Agences &amp; Après-vente'!$D$2:$D$1000="Agences")+('Agences &amp; Après-vente'!$D$2:$D$1000="Agences et Après-vente"))*'Agences &amp; Après-vente'!$E$2:$E$1000)),"yyyy-mm-dd"),"")))))</f>
        <v/>
      </c>
      <c r="H915" s="131" t="str">
        <f aca="false">IF($R915="✓","✓",IF(ISNUMBER($R915),TEXT($R915,"yyyy-mm-dd"),IF($A915="","",IF($D915="Lisbonne","",IF(SUMPRODUCT(('Agences &amp; Après-vente'!$A$2:$A$1000=$A915)*(('Agences &amp; Après-vente'!$D$2:$D$1000="Agences")+('Agences &amp; Après-vente'!$D$2:$D$1000="Agences et Après-vente"))*('Agences &amp; Après-vente'!$I$2:$I$1000="DONE"))&gt;0,"✓",IF(SUMPRODUCT(MAX(('Agences &amp; Après-vente'!$A$2:$A$1000=$A915)*(('Agences &amp; Après-vente'!$D$2:$D$1000="Agences")+('Agences &amp; Après-vente'!$D$2:$D$1000="Agences et Après-vente"))*'Agences &amp; Après-vente'!$E$2:$E$1000))&gt;0,TEXT(SUMPRODUCT(MAX(('Agences &amp; Après-vente'!$A$2:$A$1000=$A915)*(('Agences &amp; Après-vente'!$D$2:$D$1000="Agences")+('Agences &amp; Après-vente'!$D$2:$D$1000="Agences et Après-vente"))*'Agences &amp; Après-vente'!$E$2:$E$1000)),"yyyy-mm-dd"),""))))))</f>
        <v/>
      </c>
      <c r="I915" s="131" t="str">
        <f aca="false">IF($S915="✓","✓",IF(ISNUMBER($S915),TEXT($S915,"yyyy-mm-dd"),IF($A915="","",IF(SUMPRODUCT(('Agences &amp; Après-vente'!$A$2:$A$1000=$A915)*(('Agences &amp; Après-vente'!$D$2:$D$1000="Après-vente")+('Agences &amp; Après-vente'!$D$2:$D$1000="Agences et Après-vente"))*('Agences &amp; Après-vente'!$I$2:$I$1000="DONE"))&gt;0,"✓",IF(SUMPRODUCT(MAX(('Agences &amp; Après-vente'!$A$2:$A$1000=$A915)*(('Agences &amp; Après-vente'!$D$2:$D$1000="Après-vente")+('Agences &amp; Après-vente'!$D$2:$D$1000="Agences et Après-vente"))*'Agences &amp; Après-vente'!$E$2:$E$1000))&gt;0,TEXT(SUMPRODUCT(MAX(('Agences &amp; Après-vente'!$A$2:$A$1000=$A915)*(('Agences &amp; Après-vente'!$D$2:$D$1000="Après-vente")+('Agences &amp; Après-vente'!$D$2:$D$1000="Agences et Après-vente"))*'Agences &amp; Après-vente'!$E$2:$E$1000)),"yyyy-mm-dd"),"")))))</f>
        <v/>
      </c>
      <c r="J915" s="131" t="str">
        <f aca="false">IF($T915="✓","✓",IF(ISNUMBER($T915),TEXT($T915,"yyyy-mm-dd"),IF($A915="","",IF($D915="Lisbonne","",IF(SUMPRODUCT(('Agences &amp; Après-vente'!$A$2:$A$1000=$A915)*(('Agences &amp; Après-vente'!$D$2:$D$1000="Après-vente")+('Agences &amp; Après-vente'!$D$2:$D$1000="Agences et Après-vente"))*('Agences &amp; Après-vente'!$I$2:$I$1000="DONE"))&gt;0,"✓",IF(SUMPRODUCT(MAX(('Agences &amp; Après-vente'!$A$2:$A$1000=$A915)*(('Agences &amp; Après-vente'!$D$2:$D$1000="Après-vente")+('Agences &amp; Après-vente'!$D$2:$D$1000="Agences et Après-vente"))*'Agences &amp; Après-vente'!$E$2:$E$1000))&gt;0,TEXT(SUMPRODUCT(MAX(('Agences &amp; Après-vente'!$A$2:$A$1000=$A915)*(('Agences &amp; Après-vente'!$D$2:$D$1000="Après-vente")+('Agences &amp; Après-vente'!$D$2:$D$1000="Agences et Après-vente"))*'Agences &amp; Après-vente'!$E$2:$E$1000)),"yyyy-mm-dd"),""))))))</f>
        <v/>
      </c>
      <c r="K915" s="131" t="str">
        <f aca="false">IF($U915="✓","✓",IF(ISNUMBER($U915),TEXT($U915,"yyyy-mm-dd"),IF($D915="Lisbonne","",IF($A915="","",IF(SUMPRODUCT((Evermont!$A$2:$A$1000=$A915)*(Evermont!$Q$2:$Q$1000="Terminé"))&gt;0,"✓",IF(SUMPRODUCT(MAX((Evermont!$A$2:$A$1000=$A915)*Evermont!$F$2:$F$1000))&gt;0,TEXT(SUMPRODUCT(MAX((Evermont!$A$2:$A$1000=$A915)*Evermont!$F$2:$F$1000)),"yyyy-mm-dd"),""))))))</f>
        <v/>
      </c>
      <c r="L915" s="131" t="str">
        <f aca="false">IF($A915="","",COUNTIF(E915:K915,"✓"))</f>
        <v/>
      </c>
      <c r="M915" s="131" t="str">
        <f aca="false">IF(B915="","","Active")</f>
        <v/>
      </c>
      <c r="W915" s="120" t="str">
        <f aca="false">IF($A915="","",IF($X915&lt;&gt;"",$X915,IFERROR(INDEX('Formation Initiale'!$B$2:$B$999,MATCH($A915,'Formation Initiale'!$A$2:$A$999,0)),"Général")))</f>
        <v/>
      </c>
    </row>
    <row r="916" customFormat="false" ht="15" hidden="true" customHeight="true" outlineLevel="0" collapsed="false">
      <c r="A916" s="142" t="str">
        <f aca="false">IF(B916="","","TR"&amp;TEXT(ROW()-1,"000"))</f>
        <v/>
      </c>
      <c r="E916" s="130" t="str">
        <f aca="false">IF($O916="✓","✓",IF(ISNUMBER($O916),TEXT($O916,"yyyy-mm-dd"),IF($A916="","",IF(SUMPRODUCT(('Formation Initiale'!$A$2:$A$999=$A916)*('Formation Initiale'!$R$2:$R$999="Terminé"))&gt;0,"✓",IF(SUMPRODUCT(MAX(('Formation Initiale'!$A$2:$A$999=$A916)*'Formation Initiale'!$G$2:$G$999))&gt;0,TEXT(SUMPRODUCT(MAX(('Formation Initiale'!$A$2:$A$999=$A916)*'Formation Initiale'!$G$2:$G$999)),"yyyy-mm-dd"),"")))))</f>
        <v/>
      </c>
      <c r="F916" s="131" t="str">
        <f aca="false">IF($P916="✓","✓",IF(ISNUMBER($P916),TEXT($P916,"yyyy-mm-dd"),IF($A916="","",IF($D916="Lisbonne","",IF(SUMPRODUCT(('Formation Initiale'!$A$2:$A$999=$A916)*('Formation Initiale'!$R$2:$R$999="Terminé"))&gt;0,"✓",IF(SUMPRODUCT(MAX(('Formation Initiale'!$A$2:$A$999=$A916)*'Formation Initiale'!$G$2:$G$999))&gt;0,TEXT(SUMPRODUCT(MAX(('Formation Initiale'!$A$2:$A$999=$A916)*'Formation Initiale'!$G$2:$G$999)),"yyyy-mm-dd"),""))))))</f>
        <v/>
      </c>
      <c r="G916" s="131" t="str">
        <f aca="false">IF($Q916="✓","✓",IF(ISNUMBER($Q916),TEXT($Q916,"yyyy-mm-dd"),IF($A916="","",IF(SUMPRODUCT(('Agences &amp; Après-vente'!$A$2:$A$1000=$A916)*(('Agences &amp; Après-vente'!$D$2:$D$1000="Agences")+('Agences &amp; Après-vente'!$D$2:$D$1000="Agences et Après-vente"))*('Agences &amp; Après-vente'!$I$2:$I$1000="DONE"))&gt;0,"✓",IF(SUMPRODUCT(MAX(('Agences &amp; Après-vente'!$A$2:$A$1000=$A916)*(('Agences &amp; Après-vente'!$D$2:$D$1000="Agences")+('Agences &amp; Après-vente'!$D$2:$D$1000="Agences et Après-vente"))*'Agences &amp; Après-vente'!$E$2:$E$1000))&gt;0,TEXT(SUMPRODUCT(MAX(('Agences &amp; Après-vente'!$A$2:$A$1000=$A916)*(('Agences &amp; Après-vente'!$D$2:$D$1000="Agences")+('Agences &amp; Après-vente'!$D$2:$D$1000="Agences et Après-vente"))*'Agences &amp; Après-vente'!$E$2:$E$1000)),"yyyy-mm-dd"),"")))))</f>
        <v/>
      </c>
      <c r="H916" s="131" t="str">
        <f aca="false">IF($R916="✓","✓",IF(ISNUMBER($R916),TEXT($R916,"yyyy-mm-dd"),IF($A916="","",IF($D916="Lisbonne","",IF(SUMPRODUCT(('Agences &amp; Après-vente'!$A$2:$A$1000=$A916)*(('Agences &amp; Après-vente'!$D$2:$D$1000="Agences")+('Agences &amp; Après-vente'!$D$2:$D$1000="Agences et Après-vente"))*('Agences &amp; Après-vente'!$I$2:$I$1000="DONE"))&gt;0,"✓",IF(SUMPRODUCT(MAX(('Agences &amp; Après-vente'!$A$2:$A$1000=$A916)*(('Agences &amp; Après-vente'!$D$2:$D$1000="Agences")+('Agences &amp; Après-vente'!$D$2:$D$1000="Agences et Après-vente"))*'Agences &amp; Après-vente'!$E$2:$E$1000))&gt;0,TEXT(SUMPRODUCT(MAX(('Agences &amp; Après-vente'!$A$2:$A$1000=$A916)*(('Agences &amp; Après-vente'!$D$2:$D$1000="Agences")+('Agences &amp; Après-vente'!$D$2:$D$1000="Agences et Après-vente"))*'Agences &amp; Après-vente'!$E$2:$E$1000)),"yyyy-mm-dd"),""))))))</f>
        <v/>
      </c>
      <c r="I916" s="131" t="str">
        <f aca="false">IF($S916="✓","✓",IF(ISNUMBER($S916),TEXT($S916,"yyyy-mm-dd"),IF($A916="","",IF(SUMPRODUCT(('Agences &amp; Après-vente'!$A$2:$A$1000=$A916)*(('Agences &amp; Après-vente'!$D$2:$D$1000="Après-vente")+('Agences &amp; Après-vente'!$D$2:$D$1000="Agences et Après-vente"))*('Agences &amp; Après-vente'!$I$2:$I$1000="DONE"))&gt;0,"✓",IF(SUMPRODUCT(MAX(('Agences &amp; Après-vente'!$A$2:$A$1000=$A916)*(('Agences &amp; Après-vente'!$D$2:$D$1000="Après-vente")+('Agences &amp; Après-vente'!$D$2:$D$1000="Agences et Après-vente"))*'Agences &amp; Après-vente'!$E$2:$E$1000))&gt;0,TEXT(SUMPRODUCT(MAX(('Agences &amp; Après-vente'!$A$2:$A$1000=$A916)*(('Agences &amp; Après-vente'!$D$2:$D$1000="Après-vente")+('Agences &amp; Après-vente'!$D$2:$D$1000="Agences et Après-vente"))*'Agences &amp; Après-vente'!$E$2:$E$1000)),"yyyy-mm-dd"),"")))))</f>
        <v/>
      </c>
      <c r="J916" s="131" t="str">
        <f aca="false">IF($T916="✓","✓",IF(ISNUMBER($T916),TEXT($T916,"yyyy-mm-dd"),IF($A916="","",IF($D916="Lisbonne","",IF(SUMPRODUCT(('Agences &amp; Après-vente'!$A$2:$A$1000=$A916)*(('Agences &amp; Après-vente'!$D$2:$D$1000="Après-vente")+('Agences &amp; Après-vente'!$D$2:$D$1000="Agences et Après-vente"))*('Agences &amp; Après-vente'!$I$2:$I$1000="DONE"))&gt;0,"✓",IF(SUMPRODUCT(MAX(('Agences &amp; Après-vente'!$A$2:$A$1000=$A916)*(('Agences &amp; Après-vente'!$D$2:$D$1000="Après-vente")+('Agences &amp; Après-vente'!$D$2:$D$1000="Agences et Après-vente"))*'Agences &amp; Après-vente'!$E$2:$E$1000))&gt;0,TEXT(SUMPRODUCT(MAX(('Agences &amp; Après-vente'!$A$2:$A$1000=$A916)*(('Agences &amp; Après-vente'!$D$2:$D$1000="Après-vente")+('Agences &amp; Après-vente'!$D$2:$D$1000="Agences et Après-vente"))*'Agences &amp; Après-vente'!$E$2:$E$1000)),"yyyy-mm-dd"),""))))))</f>
        <v/>
      </c>
      <c r="K916" s="131" t="str">
        <f aca="false">IF($U916="✓","✓",IF(ISNUMBER($U916),TEXT($U916,"yyyy-mm-dd"),IF($D916="Lisbonne","",IF($A916="","",IF(SUMPRODUCT((Evermont!$A$2:$A$1000=$A916)*(Evermont!$Q$2:$Q$1000="Terminé"))&gt;0,"✓",IF(SUMPRODUCT(MAX((Evermont!$A$2:$A$1000=$A916)*Evermont!$F$2:$F$1000))&gt;0,TEXT(SUMPRODUCT(MAX((Evermont!$A$2:$A$1000=$A916)*Evermont!$F$2:$F$1000)),"yyyy-mm-dd"),""))))))</f>
        <v/>
      </c>
      <c r="L916" s="131" t="str">
        <f aca="false">IF($A916="","",COUNTIF(E916:K916,"✓"))</f>
        <v/>
      </c>
      <c r="M916" s="131" t="str">
        <f aca="false">IF(B916="","","Active")</f>
        <v/>
      </c>
      <c r="W916" s="120" t="str">
        <f aca="false">IF($A916="","",IF($X916&lt;&gt;"",$X916,IFERROR(INDEX('Formation Initiale'!$B$2:$B$999,MATCH($A916,'Formation Initiale'!$A$2:$A$999,0)),"Général")))</f>
        <v/>
      </c>
    </row>
    <row r="917" customFormat="false" ht="15" hidden="true" customHeight="true" outlineLevel="0" collapsed="false">
      <c r="A917" s="142" t="str">
        <f aca="false">IF(B917="","","TR"&amp;TEXT(ROW()-1,"000"))</f>
        <v/>
      </c>
      <c r="E917" s="130" t="str">
        <f aca="false">IF($O917="✓","✓",IF(ISNUMBER($O917),TEXT($O917,"yyyy-mm-dd"),IF($A917="","",IF(SUMPRODUCT(('Formation Initiale'!$A$2:$A$999=$A917)*('Formation Initiale'!$R$2:$R$999="Terminé"))&gt;0,"✓",IF(SUMPRODUCT(MAX(('Formation Initiale'!$A$2:$A$999=$A917)*'Formation Initiale'!$G$2:$G$999))&gt;0,TEXT(SUMPRODUCT(MAX(('Formation Initiale'!$A$2:$A$999=$A917)*'Formation Initiale'!$G$2:$G$999)),"yyyy-mm-dd"),"")))))</f>
        <v/>
      </c>
      <c r="F917" s="131" t="str">
        <f aca="false">IF($P917="✓","✓",IF(ISNUMBER($P917),TEXT($P917,"yyyy-mm-dd"),IF($A917="","",IF($D917="Lisbonne","",IF(SUMPRODUCT(('Formation Initiale'!$A$2:$A$999=$A917)*('Formation Initiale'!$R$2:$R$999="Terminé"))&gt;0,"✓",IF(SUMPRODUCT(MAX(('Formation Initiale'!$A$2:$A$999=$A917)*'Formation Initiale'!$G$2:$G$999))&gt;0,TEXT(SUMPRODUCT(MAX(('Formation Initiale'!$A$2:$A$999=$A917)*'Formation Initiale'!$G$2:$G$999)),"yyyy-mm-dd"),""))))))</f>
        <v/>
      </c>
      <c r="G917" s="131" t="str">
        <f aca="false">IF($Q917="✓","✓",IF(ISNUMBER($Q917),TEXT($Q917,"yyyy-mm-dd"),IF($A917="","",IF(SUMPRODUCT(('Agences &amp; Après-vente'!$A$2:$A$1000=$A917)*(('Agences &amp; Après-vente'!$D$2:$D$1000="Agences")+('Agences &amp; Après-vente'!$D$2:$D$1000="Agences et Après-vente"))*('Agences &amp; Après-vente'!$I$2:$I$1000="DONE"))&gt;0,"✓",IF(SUMPRODUCT(MAX(('Agences &amp; Après-vente'!$A$2:$A$1000=$A917)*(('Agences &amp; Après-vente'!$D$2:$D$1000="Agences")+('Agences &amp; Après-vente'!$D$2:$D$1000="Agences et Après-vente"))*'Agences &amp; Après-vente'!$E$2:$E$1000))&gt;0,TEXT(SUMPRODUCT(MAX(('Agences &amp; Après-vente'!$A$2:$A$1000=$A917)*(('Agences &amp; Après-vente'!$D$2:$D$1000="Agences")+('Agences &amp; Après-vente'!$D$2:$D$1000="Agences et Après-vente"))*'Agences &amp; Après-vente'!$E$2:$E$1000)),"yyyy-mm-dd"),"")))))</f>
        <v/>
      </c>
      <c r="H917" s="131" t="str">
        <f aca="false">IF($R917="✓","✓",IF(ISNUMBER($R917),TEXT($R917,"yyyy-mm-dd"),IF($A917="","",IF($D917="Lisbonne","",IF(SUMPRODUCT(('Agences &amp; Après-vente'!$A$2:$A$1000=$A917)*(('Agences &amp; Après-vente'!$D$2:$D$1000="Agences")+('Agences &amp; Après-vente'!$D$2:$D$1000="Agences et Après-vente"))*('Agences &amp; Après-vente'!$I$2:$I$1000="DONE"))&gt;0,"✓",IF(SUMPRODUCT(MAX(('Agences &amp; Après-vente'!$A$2:$A$1000=$A917)*(('Agences &amp; Après-vente'!$D$2:$D$1000="Agences")+('Agences &amp; Après-vente'!$D$2:$D$1000="Agences et Après-vente"))*'Agences &amp; Après-vente'!$E$2:$E$1000))&gt;0,TEXT(SUMPRODUCT(MAX(('Agences &amp; Après-vente'!$A$2:$A$1000=$A917)*(('Agences &amp; Après-vente'!$D$2:$D$1000="Agences")+('Agences &amp; Après-vente'!$D$2:$D$1000="Agences et Après-vente"))*'Agences &amp; Après-vente'!$E$2:$E$1000)),"yyyy-mm-dd"),""))))))</f>
        <v/>
      </c>
      <c r="I917" s="131" t="str">
        <f aca="false">IF($S917="✓","✓",IF(ISNUMBER($S917),TEXT($S917,"yyyy-mm-dd"),IF($A917="","",IF(SUMPRODUCT(('Agences &amp; Après-vente'!$A$2:$A$1000=$A917)*(('Agences &amp; Après-vente'!$D$2:$D$1000="Après-vente")+('Agences &amp; Après-vente'!$D$2:$D$1000="Agences et Après-vente"))*('Agences &amp; Après-vente'!$I$2:$I$1000="DONE"))&gt;0,"✓",IF(SUMPRODUCT(MAX(('Agences &amp; Après-vente'!$A$2:$A$1000=$A917)*(('Agences &amp; Après-vente'!$D$2:$D$1000="Après-vente")+('Agences &amp; Après-vente'!$D$2:$D$1000="Agences et Après-vente"))*'Agences &amp; Après-vente'!$E$2:$E$1000))&gt;0,TEXT(SUMPRODUCT(MAX(('Agences &amp; Après-vente'!$A$2:$A$1000=$A917)*(('Agences &amp; Après-vente'!$D$2:$D$1000="Après-vente")+('Agences &amp; Après-vente'!$D$2:$D$1000="Agences et Après-vente"))*'Agences &amp; Après-vente'!$E$2:$E$1000)),"yyyy-mm-dd"),"")))))</f>
        <v/>
      </c>
      <c r="J917" s="131" t="str">
        <f aca="false">IF($T917="✓","✓",IF(ISNUMBER($T917),TEXT($T917,"yyyy-mm-dd"),IF($A917="","",IF($D917="Lisbonne","",IF(SUMPRODUCT(('Agences &amp; Après-vente'!$A$2:$A$1000=$A917)*(('Agences &amp; Après-vente'!$D$2:$D$1000="Après-vente")+('Agences &amp; Après-vente'!$D$2:$D$1000="Agences et Après-vente"))*('Agences &amp; Après-vente'!$I$2:$I$1000="DONE"))&gt;0,"✓",IF(SUMPRODUCT(MAX(('Agences &amp; Après-vente'!$A$2:$A$1000=$A917)*(('Agences &amp; Après-vente'!$D$2:$D$1000="Après-vente")+('Agences &amp; Après-vente'!$D$2:$D$1000="Agences et Après-vente"))*'Agences &amp; Après-vente'!$E$2:$E$1000))&gt;0,TEXT(SUMPRODUCT(MAX(('Agences &amp; Après-vente'!$A$2:$A$1000=$A917)*(('Agences &amp; Après-vente'!$D$2:$D$1000="Après-vente")+('Agences &amp; Après-vente'!$D$2:$D$1000="Agences et Après-vente"))*'Agences &amp; Après-vente'!$E$2:$E$1000)),"yyyy-mm-dd"),""))))))</f>
        <v/>
      </c>
      <c r="K917" s="131" t="str">
        <f aca="false">IF($U917="✓","✓",IF(ISNUMBER($U917),TEXT($U917,"yyyy-mm-dd"),IF($D917="Lisbonne","",IF($A917="","",IF(SUMPRODUCT((Evermont!$A$2:$A$1000=$A917)*(Evermont!$Q$2:$Q$1000="Terminé"))&gt;0,"✓",IF(SUMPRODUCT(MAX((Evermont!$A$2:$A$1000=$A917)*Evermont!$F$2:$F$1000))&gt;0,TEXT(SUMPRODUCT(MAX((Evermont!$A$2:$A$1000=$A917)*Evermont!$F$2:$F$1000)),"yyyy-mm-dd"),""))))))</f>
        <v/>
      </c>
      <c r="L917" s="131" t="str">
        <f aca="false">IF($A917="","",COUNTIF(E917:K917,"✓"))</f>
        <v/>
      </c>
      <c r="M917" s="131" t="str">
        <f aca="false">IF(B917="","","Active")</f>
        <v/>
      </c>
      <c r="W917" s="120" t="str">
        <f aca="false">IF($A917="","",IF($X917&lt;&gt;"",$X917,IFERROR(INDEX('Formation Initiale'!$B$2:$B$999,MATCH($A917,'Formation Initiale'!$A$2:$A$999,0)),"Général")))</f>
        <v/>
      </c>
    </row>
    <row r="918" customFormat="false" ht="15" hidden="true" customHeight="true" outlineLevel="0" collapsed="false">
      <c r="A918" s="142" t="str">
        <f aca="false">IF(B918="","","TR"&amp;TEXT(ROW()-1,"000"))</f>
        <v/>
      </c>
      <c r="E918" s="130" t="str">
        <f aca="false">IF($O918="✓","✓",IF(ISNUMBER($O918),TEXT($O918,"yyyy-mm-dd"),IF($A918="","",IF(SUMPRODUCT(('Formation Initiale'!$A$2:$A$999=$A918)*('Formation Initiale'!$R$2:$R$999="Terminé"))&gt;0,"✓",IF(SUMPRODUCT(MAX(('Formation Initiale'!$A$2:$A$999=$A918)*'Formation Initiale'!$G$2:$G$999))&gt;0,TEXT(SUMPRODUCT(MAX(('Formation Initiale'!$A$2:$A$999=$A918)*'Formation Initiale'!$G$2:$G$999)),"yyyy-mm-dd"),"")))))</f>
        <v/>
      </c>
      <c r="F918" s="131" t="str">
        <f aca="false">IF($P918="✓","✓",IF(ISNUMBER($P918),TEXT($P918,"yyyy-mm-dd"),IF($A918="","",IF($D918="Lisbonne","",IF(SUMPRODUCT(('Formation Initiale'!$A$2:$A$999=$A918)*('Formation Initiale'!$R$2:$R$999="Terminé"))&gt;0,"✓",IF(SUMPRODUCT(MAX(('Formation Initiale'!$A$2:$A$999=$A918)*'Formation Initiale'!$G$2:$G$999))&gt;0,TEXT(SUMPRODUCT(MAX(('Formation Initiale'!$A$2:$A$999=$A918)*'Formation Initiale'!$G$2:$G$999)),"yyyy-mm-dd"),""))))))</f>
        <v/>
      </c>
      <c r="G918" s="131" t="str">
        <f aca="false">IF($Q918="✓","✓",IF(ISNUMBER($Q918),TEXT($Q918,"yyyy-mm-dd"),IF($A918="","",IF(SUMPRODUCT(('Agences &amp; Après-vente'!$A$2:$A$1000=$A918)*(('Agences &amp; Après-vente'!$D$2:$D$1000="Agences")+('Agences &amp; Après-vente'!$D$2:$D$1000="Agences et Après-vente"))*('Agences &amp; Après-vente'!$I$2:$I$1000="DONE"))&gt;0,"✓",IF(SUMPRODUCT(MAX(('Agences &amp; Après-vente'!$A$2:$A$1000=$A918)*(('Agences &amp; Après-vente'!$D$2:$D$1000="Agences")+('Agences &amp; Après-vente'!$D$2:$D$1000="Agences et Après-vente"))*'Agences &amp; Après-vente'!$E$2:$E$1000))&gt;0,TEXT(SUMPRODUCT(MAX(('Agences &amp; Après-vente'!$A$2:$A$1000=$A918)*(('Agences &amp; Après-vente'!$D$2:$D$1000="Agences")+('Agences &amp; Après-vente'!$D$2:$D$1000="Agences et Après-vente"))*'Agences &amp; Après-vente'!$E$2:$E$1000)),"yyyy-mm-dd"),"")))))</f>
        <v/>
      </c>
      <c r="H918" s="131" t="str">
        <f aca="false">IF($R918="✓","✓",IF(ISNUMBER($R918),TEXT($R918,"yyyy-mm-dd"),IF($A918="","",IF($D918="Lisbonne","",IF(SUMPRODUCT(('Agences &amp; Après-vente'!$A$2:$A$1000=$A918)*(('Agences &amp; Après-vente'!$D$2:$D$1000="Agences")+('Agences &amp; Après-vente'!$D$2:$D$1000="Agences et Après-vente"))*('Agences &amp; Après-vente'!$I$2:$I$1000="DONE"))&gt;0,"✓",IF(SUMPRODUCT(MAX(('Agences &amp; Après-vente'!$A$2:$A$1000=$A918)*(('Agences &amp; Après-vente'!$D$2:$D$1000="Agences")+('Agences &amp; Après-vente'!$D$2:$D$1000="Agences et Après-vente"))*'Agences &amp; Après-vente'!$E$2:$E$1000))&gt;0,TEXT(SUMPRODUCT(MAX(('Agences &amp; Après-vente'!$A$2:$A$1000=$A918)*(('Agences &amp; Après-vente'!$D$2:$D$1000="Agences")+('Agences &amp; Après-vente'!$D$2:$D$1000="Agences et Après-vente"))*'Agences &amp; Après-vente'!$E$2:$E$1000)),"yyyy-mm-dd"),""))))))</f>
        <v/>
      </c>
      <c r="I918" s="131" t="str">
        <f aca="false">IF($S918="✓","✓",IF(ISNUMBER($S918),TEXT($S918,"yyyy-mm-dd"),IF($A918="","",IF(SUMPRODUCT(('Agences &amp; Après-vente'!$A$2:$A$1000=$A918)*(('Agences &amp; Après-vente'!$D$2:$D$1000="Après-vente")+('Agences &amp; Après-vente'!$D$2:$D$1000="Agences et Après-vente"))*('Agences &amp; Après-vente'!$I$2:$I$1000="DONE"))&gt;0,"✓",IF(SUMPRODUCT(MAX(('Agences &amp; Après-vente'!$A$2:$A$1000=$A918)*(('Agences &amp; Après-vente'!$D$2:$D$1000="Après-vente")+('Agences &amp; Après-vente'!$D$2:$D$1000="Agences et Après-vente"))*'Agences &amp; Après-vente'!$E$2:$E$1000))&gt;0,TEXT(SUMPRODUCT(MAX(('Agences &amp; Après-vente'!$A$2:$A$1000=$A918)*(('Agences &amp; Après-vente'!$D$2:$D$1000="Après-vente")+('Agences &amp; Après-vente'!$D$2:$D$1000="Agences et Après-vente"))*'Agences &amp; Après-vente'!$E$2:$E$1000)),"yyyy-mm-dd"),"")))))</f>
        <v/>
      </c>
      <c r="J918" s="131" t="str">
        <f aca="false">IF($T918="✓","✓",IF(ISNUMBER($T918),TEXT($T918,"yyyy-mm-dd"),IF($A918="","",IF($D918="Lisbonne","",IF(SUMPRODUCT(('Agences &amp; Après-vente'!$A$2:$A$1000=$A918)*(('Agences &amp; Après-vente'!$D$2:$D$1000="Après-vente")+('Agences &amp; Après-vente'!$D$2:$D$1000="Agences et Après-vente"))*('Agences &amp; Après-vente'!$I$2:$I$1000="DONE"))&gt;0,"✓",IF(SUMPRODUCT(MAX(('Agences &amp; Après-vente'!$A$2:$A$1000=$A918)*(('Agences &amp; Après-vente'!$D$2:$D$1000="Après-vente")+('Agences &amp; Après-vente'!$D$2:$D$1000="Agences et Après-vente"))*'Agences &amp; Après-vente'!$E$2:$E$1000))&gt;0,TEXT(SUMPRODUCT(MAX(('Agences &amp; Après-vente'!$A$2:$A$1000=$A918)*(('Agences &amp; Après-vente'!$D$2:$D$1000="Après-vente")+('Agences &amp; Après-vente'!$D$2:$D$1000="Agences et Après-vente"))*'Agences &amp; Après-vente'!$E$2:$E$1000)),"yyyy-mm-dd"),""))))))</f>
        <v/>
      </c>
      <c r="K918" s="131" t="str">
        <f aca="false">IF($U918="✓","✓",IF(ISNUMBER($U918),TEXT($U918,"yyyy-mm-dd"),IF($D918="Lisbonne","",IF($A918="","",IF(SUMPRODUCT((Evermont!$A$2:$A$1000=$A918)*(Evermont!$Q$2:$Q$1000="Terminé"))&gt;0,"✓",IF(SUMPRODUCT(MAX((Evermont!$A$2:$A$1000=$A918)*Evermont!$F$2:$F$1000))&gt;0,TEXT(SUMPRODUCT(MAX((Evermont!$A$2:$A$1000=$A918)*Evermont!$F$2:$F$1000)),"yyyy-mm-dd"),""))))))</f>
        <v/>
      </c>
      <c r="L918" s="131" t="str">
        <f aca="false">IF($A918="","",COUNTIF(E918:K918,"✓"))</f>
        <v/>
      </c>
      <c r="M918" s="131" t="str">
        <f aca="false">IF(B918="","","Active")</f>
        <v/>
      </c>
      <c r="W918" s="120" t="str">
        <f aca="false">IF($A918="","",IF($X918&lt;&gt;"",$X918,IFERROR(INDEX('Formation Initiale'!$B$2:$B$999,MATCH($A918,'Formation Initiale'!$A$2:$A$999,0)),"Général")))</f>
        <v/>
      </c>
    </row>
    <row r="919" customFormat="false" ht="15" hidden="true" customHeight="true" outlineLevel="0" collapsed="false">
      <c r="A919" s="142" t="str">
        <f aca="false">IF(B919="","","TR"&amp;TEXT(ROW()-1,"000"))</f>
        <v/>
      </c>
      <c r="E919" s="130" t="str">
        <f aca="false">IF($O919="✓","✓",IF(ISNUMBER($O919),TEXT($O919,"yyyy-mm-dd"),IF($A919="","",IF(SUMPRODUCT(('Formation Initiale'!$A$2:$A$999=$A919)*('Formation Initiale'!$R$2:$R$999="Terminé"))&gt;0,"✓",IF(SUMPRODUCT(MAX(('Formation Initiale'!$A$2:$A$999=$A919)*'Formation Initiale'!$G$2:$G$999))&gt;0,TEXT(SUMPRODUCT(MAX(('Formation Initiale'!$A$2:$A$999=$A919)*'Formation Initiale'!$G$2:$G$999)),"yyyy-mm-dd"),"")))))</f>
        <v/>
      </c>
      <c r="F919" s="131" t="str">
        <f aca="false">IF($P919="✓","✓",IF(ISNUMBER($P919),TEXT($P919,"yyyy-mm-dd"),IF($A919="","",IF($D919="Lisbonne","",IF(SUMPRODUCT(('Formation Initiale'!$A$2:$A$999=$A919)*('Formation Initiale'!$R$2:$R$999="Terminé"))&gt;0,"✓",IF(SUMPRODUCT(MAX(('Formation Initiale'!$A$2:$A$999=$A919)*'Formation Initiale'!$G$2:$G$999))&gt;0,TEXT(SUMPRODUCT(MAX(('Formation Initiale'!$A$2:$A$999=$A919)*'Formation Initiale'!$G$2:$G$999)),"yyyy-mm-dd"),""))))))</f>
        <v/>
      </c>
      <c r="G919" s="131" t="str">
        <f aca="false">IF($Q919="✓","✓",IF(ISNUMBER($Q919),TEXT($Q919,"yyyy-mm-dd"),IF($A919="","",IF(SUMPRODUCT(('Agences &amp; Après-vente'!$A$2:$A$1000=$A919)*(('Agences &amp; Après-vente'!$D$2:$D$1000="Agences")+('Agences &amp; Après-vente'!$D$2:$D$1000="Agences et Après-vente"))*('Agences &amp; Après-vente'!$I$2:$I$1000="DONE"))&gt;0,"✓",IF(SUMPRODUCT(MAX(('Agences &amp; Après-vente'!$A$2:$A$1000=$A919)*(('Agences &amp; Après-vente'!$D$2:$D$1000="Agences")+('Agences &amp; Après-vente'!$D$2:$D$1000="Agences et Après-vente"))*'Agences &amp; Après-vente'!$E$2:$E$1000))&gt;0,TEXT(SUMPRODUCT(MAX(('Agences &amp; Après-vente'!$A$2:$A$1000=$A919)*(('Agences &amp; Après-vente'!$D$2:$D$1000="Agences")+('Agences &amp; Après-vente'!$D$2:$D$1000="Agences et Après-vente"))*'Agences &amp; Après-vente'!$E$2:$E$1000)),"yyyy-mm-dd"),"")))))</f>
        <v/>
      </c>
      <c r="H919" s="131" t="str">
        <f aca="false">IF($R919="✓","✓",IF(ISNUMBER($R919),TEXT($R919,"yyyy-mm-dd"),IF($A919="","",IF($D919="Lisbonne","",IF(SUMPRODUCT(('Agences &amp; Après-vente'!$A$2:$A$1000=$A919)*(('Agences &amp; Après-vente'!$D$2:$D$1000="Agences")+('Agences &amp; Après-vente'!$D$2:$D$1000="Agences et Après-vente"))*('Agences &amp; Après-vente'!$I$2:$I$1000="DONE"))&gt;0,"✓",IF(SUMPRODUCT(MAX(('Agences &amp; Après-vente'!$A$2:$A$1000=$A919)*(('Agences &amp; Après-vente'!$D$2:$D$1000="Agences")+('Agences &amp; Après-vente'!$D$2:$D$1000="Agences et Après-vente"))*'Agences &amp; Après-vente'!$E$2:$E$1000))&gt;0,TEXT(SUMPRODUCT(MAX(('Agences &amp; Après-vente'!$A$2:$A$1000=$A919)*(('Agences &amp; Après-vente'!$D$2:$D$1000="Agences")+('Agences &amp; Après-vente'!$D$2:$D$1000="Agences et Après-vente"))*'Agences &amp; Après-vente'!$E$2:$E$1000)),"yyyy-mm-dd"),""))))))</f>
        <v/>
      </c>
      <c r="I919" s="131" t="str">
        <f aca="false">IF($S919="✓","✓",IF(ISNUMBER($S919),TEXT($S919,"yyyy-mm-dd"),IF($A919="","",IF(SUMPRODUCT(('Agences &amp; Après-vente'!$A$2:$A$1000=$A919)*(('Agences &amp; Après-vente'!$D$2:$D$1000="Après-vente")+('Agences &amp; Après-vente'!$D$2:$D$1000="Agences et Après-vente"))*('Agences &amp; Après-vente'!$I$2:$I$1000="DONE"))&gt;0,"✓",IF(SUMPRODUCT(MAX(('Agences &amp; Après-vente'!$A$2:$A$1000=$A919)*(('Agences &amp; Après-vente'!$D$2:$D$1000="Après-vente")+('Agences &amp; Après-vente'!$D$2:$D$1000="Agences et Après-vente"))*'Agences &amp; Après-vente'!$E$2:$E$1000))&gt;0,TEXT(SUMPRODUCT(MAX(('Agences &amp; Après-vente'!$A$2:$A$1000=$A919)*(('Agences &amp; Après-vente'!$D$2:$D$1000="Après-vente")+('Agences &amp; Après-vente'!$D$2:$D$1000="Agences et Après-vente"))*'Agences &amp; Après-vente'!$E$2:$E$1000)),"yyyy-mm-dd"),"")))))</f>
        <v/>
      </c>
      <c r="J919" s="131" t="str">
        <f aca="false">IF($T919="✓","✓",IF(ISNUMBER($T919),TEXT($T919,"yyyy-mm-dd"),IF($A919="","",IF($D919="Lisbonne","",IF(SUMPRODUCT(('Agences &amp; Après-vente'!$A$2:$A$1000=$A919)*(('Agences &amp; Après-vente'!$D$2:$D$1000="Après-vente")+('Agences &amp; Après-vente'!$D$2:$D$1000="Agences et Après-vente"))*('Agences &amp; Après-vente'!$I$2:$I$1000="DONE"))&gt;0,"✓",IF(SUMPRODUCT(MAX(('Agences &amp; Après-vente'!$A$2:$A$1000=$A919)*(('Agences &amp; Après-vente'!$D$2:$D$1000="Après-vente")+('Agences &amp; Après-vente'!$D$2:$D$1000="Agences et Après-vente"))*'Agences &amp; Après-vente'!$E$2:$E$1000))&gt;0,TEXT(SUMPRODUCT(MAX(('Agences &amp; Après-vente'!$A$2:$A$1000=$A919)*(('Agences &amp; Après-vente'!$D$2:$D$1000="Après-vente")+('Agences &amp; Après-vente'!$D$2:$D$1000="Agences et Après-vente"))*'Agences &amp; Après-vente'!$E$2:$E$1000)),"yyyy-mm-dd"),""))))))</f>
        <v/>
      </c>
      <c r="K919" s="131" t="str">
        <f aca="false">IF($U919="✓","✓",IF(ISNUMBER($U919),TEXT($U919,"yyyy-mm-dd"),IF($D919="Lisbonne","",IF($A919="","",IF(SUMPRODUCT((Evermont!$A$2:$A$1000=$A919)*(Evermont!$Q$2:$Q$1000="Terminé"))&gt;0,"✓",IF(SUMPRODUCT(MAX((Evermont!$A$2:$A$1000=$A919)*Evermont!$F$2:$F$1000))&gt;0,TEXT(SUMPRODUCT(MAX((Evermont!$A$2:$A$1000=$A919)*Evermont!$F$2:$F$1000)),"yyyy-mm-dd"),""))))))</f>
        <v/>
      </c>
      <c r="L919" s="131" t="str">
        <f aca="false">IF($A919="","",COUNTIF(E919:K919,"✓"))</f>
        <v/>
      </c>
      <c r="M919" s="131" t="str">
        <f aca="false">IF(B919="","","Active")</f>
        <v/>
      </c>
      <c r="W919" s="120" t="str">
        <f aca="false">IF($A919="","",IF($X919&lt;&gt;"",$X919,IFERROR(INDEX('Formation Initiale'!$B$2:$B$999,MATCH($A919,'Formation Initiale'!$A$2:$A$999,0)),"Général")))</f>
        <v/>
      </c>
    </row>
    <row r="920" customFormat="false" ht="15" hidden="true" customHeight="true" outlineLevel="0" collapsed="false">
      <c r="A920" s="142" t="str">
        <f aca="false">IF(B920="","","TR"&amp;TEXT(ROW()-1,"000"))</f>
        <v/>
      </c>
      <c r="E920" s="130" t="str">
        <f aca="false">IF($O920="✓","✓",IF(ISNUMBER($O920),TEXT($O920,"yyyy-mm-dd"),IF($A920="","",IF(SUMPRODUCT(('Formation Initiale'!$A$2:$A$999=$A920)*('Formation Initiale'!$R$2:$R$999="Terminé"))&gt;0,"✓",IF(SUMPRODUCT(MAX(('Formation Initiale'!$A$2:$A$999=$A920)*'Formation Initiale'!$G$2:$G$999))&gt;0,TEXT(SUMPRODUCT(MAX(('Formation Initiale'!$A$2:$A$999=$A920)*'Formation Initiale'!$G$2:$G$999)),"yyyy-mm-dd"),"")))))</f>
        <v/>
      </c>
      <c r="F920" s="131" t="str">
        <f aca="false">IF($P920="✓","✓",IF(ISNUMBER($P920),TEXT($P920,"yyyy-mm-dd"),IF($A920="","",IF($D920="Lisbonne","",IF(SUMPRODUCT(('Formation Initiale'!$A$2:$A$999=$A920)*('Formation Initiale'!$R$2:$R$999="Terminé"))&gt;0,"✓",IF(SUMPRODUCT(MAX(('Formation Initiale'!$A$2:$A$999=$A920)*'Formation Initiale'!$G$2:$G$999))&gt;0,TEXT(SUMPRODUCT(MAX(('Formation Initiale'!$A$2:$A$999=$A920)*'Formation Initiale'!$G$2:$G$999)),"yyyy-mm-dd"),""))))))</f>
        <v/>
      </c>
      <c r="G920" s="131" t="str">
        <f aca="false">IF($Q920="✓","✓",IF(ISNUMBER($Q920),TEXT($Q920,"yyyy-mm-dd"),IF($A920="","",IF(SUMPRODUCT(('Agences &amp; Après-vente'!$A$2:$A$1000=$A920)*(('Agences &amp; Après-vente'!$D$2:$D$1000="Agences")+('Agences &amp; Après-vente'!$D$2:$D$1000="Agences et Après-vente"))*('Agences &amp; Après-vente'!$I$2:$I$1000="DONE"))&gt;0,"✓",IF(SUMPRODUCT(MAX(('Agences &amp; Après-vente'!$A$2:$A$1000=$A920)*(('Agences &amp; Après-vente'!$D$2:$D$1000="Agences")+('Agences &amp; Après-vente'!$D$2:$D$1000="Agences et Après-vente"))*'Agences &amp; Après-vente'!$E$2:$E$1000))&gt;0,TEXT(SUMPRODUCT(MAX(('Agences &amp; Après-vente'!$A$2:$A$1000=$A920)*(('Agences &amp; Après-vente'!$D$2:$D$1000="Agences")+('Agences &amp; Après-vente'!$D$2:$D$1000="Agences et Après-vente"))*'Agences &amp; Après-vente'!$E$2:$E$1000)),"yyyy-mm-dd"),"")))))</f>
        <v/>
      </c>
      <c r="H920" s="131" t="str">
        <f aca="false">IF($R920="✓","✓",IF(ISNUMBER($R920),TEXT($R920,"yyyy-mm-dd"),IF($A920="","",IF($D920="Lisbonne","",IF(SUMPRODUCT(('Agences &amp; Après-vente'!$A$2:$A$1000=$A920)*(('Agences &amp; Après-vente'!$D$2:$D$1000="Agences")+('Agences &amp; Après-vente'!$D$2:$D$1000="Agences et Après-vente"))*('Agences &amp; Après-vente'!$I$2:$I$1000="DONE"))&gt;0,"✓",IF(SUMPRODUCT(MAX(('Agences &amp; Après-vente'!$A$2:$A$1000=$A920)*(('Agences &amp; Après-vente'!$D$2:$D$1000="Agences")+('Agences &amp; Après-vente'!$D$2:$D$1000="Agences et Après-vente"))*'Agences &amp; Après-vente'!$E$2:$E$1000))&gt;0,TEXT(SUMPRODUCT(MAX(('Agences &amp; Après-vente'!$A$2:$A$1000=$A920)*(('Agences &amp; Après-vente'!$D$2:$D$1000="Agences")+('Agences &amp; Après-vente'!$D$2:$D$1000="Agences et Après-vente"))*'Agences &amp; Après-vente'!$E$2:$E$1000)),"yyyy-mm-dd"),""))))))</f>
        <v/>
      </c>
      <c r="I920" s="131" t="str">
        <f aca="false">IF($S920="✓","✓",IF(ISNUMBER($S920),TEXT($S920,"yyyy-mm-dd"),IF($A920="","",IF(SUMPRODUCT(('Agences &amp; Après-vente'!$A$2:$A$1000=$A920)*(('Agences &amp; Après-vente'!$D$2:$D$1000="Après-vente")+('Agences &amp; Après-vente'!$D$2:$D$1000="Agences et Après-vente"))*('Agences &amp; Après-vente'!$I$2:$I$1000="DONE"))&gt;0,"✓",IF(SUMPRODUCT(MAX(('Agences &amp; Après-vente'!$A$2:$A$1000=$A920)*(('Agences &amp; Après-vente'!$D$2:$D$1000="Après-vente")+('Agences &amp; Après-vente'!$D$2:$D$1000="Agences et Après-vente"))*'Agences &amp; Après-vente'!$E$2:$E$1000))&gt;0,TEXT(SUMPRODUCT(MAX(('Agences &amp; Après-vente'!$A$2:$A$1000=$A920)*(('Agences &amp; Après-vente'!$D$2:$D$1000="Après-vente")+('Agences &amp; Après-vente'!$D$2:$D$1000="Agences et Après-vente"))*'Agences &amp; Après-vente'!$E$2:$E$1000)),"yyyy-mm-dd"),"")))))</f>
        <v/>
      </c>
      <c r="J920" s="131" t="str">
        <f aca="false">IF($T920="✓","✓",IF(ISNUMBER($T920),TEXT($T920,"yyyy-mm-dd"),IF($A920="","",IF($D920="Lisbonne","",IF(SUMPRODUCT(('Agences &amp; Après-vente'!$A$2:$A$1000=$A920)*(('Agences &amp; Après-vente'!$D$2:$D$1000="Après-vente")+('Agences &amp; Après-vente'!$D$2:$D$1000="Agences et Après-vente"))*('Agences &amp; Après-vente'!$I$2:$I$1000="DONE"))&gt;0,"✓",IF(SUMPRODUCT(MAX(('Agences &amp; Après-vente'!$A$2:$A$1000=$A920)*(('Agences &amp; Après-vente'!$D$2:$D$1000="Après-vente")+('Agences &amp; Après-vente'!$D$2:$D$1000="Agences et Après-vente"))*'Agences &amp; Après-vente'!$E$2:$E$1000))&gt;0,TEXT(SUMPRODUCT(MAX(('Agences &amp; Après-vente'!$A$2:$A$1000=$A920)*(('Agences &amp; Après-vente'!$D$2:$D$1000="Après-vente")+('Agences &amp; Après-vente'!$D$2:$D$1000="Agences et Après-vente"))*'Agences &amp; Après-vente'!$E$2:$E$1000)),"yyyy-mm-dd"),""))))))</f>
        <v/>
      </c>
      <c r="K920" s="131" t="str">
        <f aca="false">IF($U920="✓","✓",IF(ISNUMBER($U920),TEXT($U920,"yyyy-mm-dd"),IF($D920="Lisbonne","",IF($A920="","",IF(SUMPRODUCT((Evermont!$A$2:$A$1000=$A920)*(Evermont!$Q$2:$Q$1000="Terminé"))&gt;0,"✓",IF(SUMPRODUCT(MAX((Evermont!$A$2:$A$1000=$A920)*Evermont!$F$2:$F$1000))&gt;0,TEXT(SUMPRODUCT(MAX((Evermont!$A$2:$A$1000=$A920)*Evermont!$F$2:$F$1000)),"yyyy-mm-dd"),""))))))</f>
        <v/>
      </c>
      <c r="L920" s="131" t="str">
        <f aca="false">IF($A920="","",COUNTIF(E920:K920,"✓"))</f>
        <v/>
      </c>
      <c r="M920" s="131" t="str">
        <f aca="false">IF(B920="","","Active")</f>
        <v/>
      </c>
      <c r="W920" s="120" t="str">
        <f aca="false">IF($A920="","",IF($X920&lt;&gt;"",$X920,IFERROR(INDEX('Formation Initiale'!$B$2:$B$999,MATCH($A920,'Formation Initiale'!$A$2:$A$999,0)),"Général")))</f>
        <v/>
      </c>
    </row>
    <row r="921" customFormat="false" ht="15" hidden="true" customHeight="true" outlineLevel="0" collapsed="false">
      <c r="A921" s="142" t="str">
        <f aca="false">IF(B921="","","TR"&amp;TEXT(ROW()-1,"000"))</f>
        <v/>
      </c>
      <c r="E921" s="130" t="str">
        <f aca="false">IF($O921="✓","✓",IF(ISNUMBER($O921),TEXT($O921,"yyyy-mm-dd"),IF($A921="","",IF(SUMPRODUCT(('Formation Initiale'!$A$2:$A$999=$A921)*('Formation Initiale'!$R$2:$R$999="Terminé"))&gt;0,"✓",IF(SUMPRODUCT(MAX(('Formation Initiale'!$A$2:$A$999=$A921)*'Formation Initiale'!$G$2:$G$999))&gt;0,TEXT(SUMPRODUCT(MAX(('Formation Initiale'!$A$2:$A$999=$A921)*'Formation Initiale'!$G$2:$G$999)),"yyyy-mm-dd"),"")))))</f>
        <v/>
      </c>
      <c r="F921" s="131" t="str">
        <f aca="false">IF($P921="✓","✓",IF(ISNUMBER($P921),TEXT($P921,"yyyy-mm-dd"),IF($A921="","",IF($D921="Lisbonne","",IF(SUMPRODUCT(('Formation Initiale'!$A$2:$A$999=$A921)*('Formation Initiale'!$R$2:$R$999="Terminé"))&gt;0,"✓",IF(SUMPRODUCT(MAX(('Formation Initiale'!$A$2:$A$999=$A921)*'Formation Initiale'!$G$2:$G$999))&gt;0,TEXT(SUMPRODUCT(MAX(('Formation Initiale'!$A$2:$A$999=$A921)*'Formation Initiale'!$G$2:$G$999)),"yyyy-mm-dd"),""))))))</f>
        <v/>
      </c>
      <c r="G921" s="131" t="str">
        <f aca="false">IF($Q921="✓","✓",IF(ISNUMBER($Q921),TEXT($Q921,"yyyy-mm-dd"),IF($A921="","",IF(SUMPRODUCT(('Agences &amp; Après-vente'!$A$2:$A$1000=$A921)*(('Agences &amp; Après-vente'!$D$2:$D$1000="Agences")+('Agences &amp; Après-vente'!$D$2:$D$1000="Agences et Après-vente"))*('Agences &amp; Après-vente'!$I$2:$I$1000="DONE"))&gt;0,"✓",IF(SUMPRODUCT(MAX(('Agences &amp; Après-vente'!$A$2:$A$1000=$A921)*(('Agences &amp; Après-vente'!$D$2:$D$1000="Agences")+('Agences &amp; Après-vente'!$D$2:$D$1000="Agences et Après-vente"))*'Agences &amp; Après-vente'!$E$2:$E$1000))&gt;0,TEXT(SUMPRODUCT(MAX(('Agences &amp; Après-vente'!$A$2:$A$1000=$A921)*(('Agences &amp; Après-vente'!$D$2:$D$1000="Agences")+('Agences &amp; Après-vente'!$D$2:$D$1000="Agences et Après-vente"))*'Agences &amp; Après-vente'!$E$2:$E$1000)),"yyyy-mm-dd"),"")))))</f>
        <v/>
      </c>
      <c r="H921" s="131" t="str">
        <f aca="false">IF($R921="✓","✓",IF(ISNUMBER($R921),TEXT($R921,"yyyy-mm-dd"),IF($A921="","",IF($D921="Lisbonne","",IF(SUMPRODUCT(('Agences &amp; Après-vente'!$A$2:$A$1000=$A921)*(('Agences &amp; Après-vente'!$D$2:$D$1000="Agences")+('Agences &amp; Après-vente'!$D$2:$D$1000="Agences et Après-vente"))*('Agences &amp; Après-vente'!$I$2:$I$1000="DONE"))&gt;0,"✓",IF(SUMPRODUCT(MAX(('Agences &amp; Après-vente'!$A$2:$A$1000=$A921)*(('Agences &amp; Après-vente'!$D$2:$D$1000="Agences")+('Agences &amp; Après-vente'!$D$2:$D$1000="Agences et Après-vente"))*'Agences &amp; Après-vente'!$E$2:$E$1000))&gt;0,TEXT(SUMPRODUCT(MAX(('Agences &amp; Après-vente'!$A$2:$A$1000=$A921)*(('Agences &amp; Après-vente'!$D$2:$D$1000="Agences")+('Agences &amp; Après-vente'!$D$2:$D$1000="Agences et Après-vente"))*'Agences &amp; Après-vente'!$E$2:$E$1000)),"yyyy-mm-dd"),""))))))</f>
        <v/>
      </c>
      <c r="I921" s="131" t="str">
        <f aca="false">IF($S921="✓","✓",IF(ISNUMBER($S921),TEXT($S921,"yyyy-mm-dd"),IF($A921="","",IF(SUMPRODUCT(('Agences &amp; Après-vente'!$A$2:$A$1000=$A921)*(('Agences &amp; Après-vente'!$D$2:$D$1000="Après-vente")+('Agences &amp; Après-vente'!$D$2:$D$1000="Agences et Après-vente"))*('Agences &amp; Après-vente'!$I$2:$I$1000="DONE"))&gt;0,"✓",IF(SUMPRODUCT(MAX(('Agences &amp; Après-vente'!$A$2:$A$1000=$A921)*(('Agences &amp; Après-vente'!$D$2:$D$1000="Après-vente")+('Agences &amp; Après-vente'!$D$2:$D$1000="Agences et Après-vente"))*'Agences &amp; Après-vente'!$E$2:$E$1000))&gt;0,TEXT(SUMPRODUCT(MAX(('Agences &amp; Après-vente'!$A$2:$A$1000=$A921)*(('Agences &amp; Après-vente'!$D$2:$D$1000="Après-vente")+('Agences &amp; Après-vente'!$D$2:$D$1000="Agences et Après-vente"))*'Agences &amp; Après-vente'!$E$2:$E$1000)),"yyyy-mm-dd"),"")))))</f>
        <v/>
      </c>
      <c r="J921" s="131" t="str">
        <f aca="false">IF($T921="✓","✓",IF(ISNUMBER($T921),TEXT($T921,"yyyy-mm-dd"),IF($A921="","",IF($D921="Lisbonne","",IF(SUMPRODUCT(('Agences &amp; Après-vente'!$A$2:$A$1000=$A921)*(('Agences &amp; Après-vente'!$D$2:$D$1000="Après-vente")+('Agences &amp; Après-vente'!$D$2:$D$1000="Agences et Après-vente"))*('Agences &amp; Après-vente'!$I$2:$I$1000="DONE"))&gt;0,"✓",IF(SUMPRODUCT(MAX(('Agences &amp; Après-vente'!$A$2:$A$1000=$A921)*(('Agences &amp; Après-vente'!$D$2:$D$1000="Après-vente")+('Agences &amp; Après-vente'!$D$2:$D$1000="Agences et Après-vente"))*'Agences &amp; Après-vente'!$E$2:$E$1000))&gt;0,TEXT(SUMPRODUCT(MAX(('Agences &amp; Après-vente'!$A$2:$A$1000=$A921)*(('Agences &amp; Après-vente'!$D$2:$D$1000="Après-vente")+('Agences &amp; Après-vente'!$D$2:$D$1000="Agences et Après-vente"))*'Agences &amp; Après-vente'!$E$2:$E$1000)),"yyyy-mm-dd"),""))))))</f>
        <v/>
      </c>
      <c r="K921" s="131" t="str">
        <f aca="false">IF($U921="✓","✓",IF(ISNUMBER($U921),TEXT($U921,"yyyy-mm-dd"),IF($D921="Lisbonne","",IF($A921="","",IF(SUMPRODUCT((Evermont!$A$2:$A$1000=$A921)*(Evermont!$Q$2:$Q$1000="Terminé"))&gt;0,"✓",IF(SUMPRODUCT(MAX((Evermont!$A$2:$A$1000=$A921)*Evermont!$F$2:$F$1000))&gt;0,TEXT(SUMPRODUCT(MAX((Evermont!$A$2:$A$1000=$A921)*Evermont!$F$2:$F$1000)),"yyyy-mm-dd"),""))))))</f>
        <v/>
      </c>
      <c r="L921" s="131" t="str">
        <f aca="false">IF($A921="","",COUNTIF(E921:K921,"✓"))</f>
        <v/>
      </c>
      <c r="M921" s="131" t="str">
        <f aca="false">IF(B921="","","Active")</f>
        <v/>
      </c>
      <c r="W921" s="120" t="str">
        <f aca="false">IF($A921="","",IF($X921&lt;&gt;"",$X921,IFERROR(INDEX('Formation Initiale'!$B$2:$B$999,MATCH($A921,'Formation Initiale'!$A$2:$A$999,0)),"Général")))</f>
        <v/>
      </c>
    </row>
    <row r="922" customFormat="false" ht="15" hidden="true" customHeight="true" outlineLevel="0" collapsed="false">
      <c r="A922" s="142" t="str">
        <f aca="false">IF(B922="","","TR"&amp;TEXT(ROW()-1,"000"))</f>
        <v/>
      </c>
      <c r="E922" s="130" t="str">
        <f aca="false">IF($O922="✓","✓",IF(ISNUMBER($O922),TEXT($O922,"yyyy-mm-dd"),IF($A922="","",IF(SUMPRODUCT(('Formation Initiale'!$A$2:$A$999=$A922)*('Formation Initiale'!$R$2:$R$999="Terminé"))&gt;0,"✓",IF(SUMPRODUCT(MAX(('Formation Initiale'!$A$2:$A$999=$A922)*'Formation Initiale'!$G$2:$G$999))&gt;0,TEXT(SUMPRODUCT(MAX(('Formation Initiale'!$A$2:$A$999=$A922)*'Formation Initiale'!$G$2:$G$999)),"yyyy-mm-dd"),"")))))</f>
        <v/>
      </c>
      <c r="F922" s="131" t="str">
        <f aca="false">IF($P922="✓","✓",IF(ISNUMBER($P922),TEXT($P922,"yyyy-mm-dd"),IF($A922="","",IF($D922="Lisbonne","",IF(SUMPRODUCT(('Formation Initiale'!$A$2:$A$999=$A922)*('Formation Initiale'!$R$2:$R$999="Terminé"))&gt;0,"✓",IF(SUMPRODUCT(MAX(('Formation Initiale'!$A$2:$A$999=$A922)*'Formation Initiale'!$G$2:$G$999))&gt;0,TEXT(SUMPRODUCT(MAX(('Formation Initiale'!$A$2:$A$999=$A922)*'Formation Initiale'!$G$2:$G$999)),"yyyy-mm-dd"),""))))))</f>
        <v/>
      </c>
      <c r="G922" s="131" t="str">
        <f aca="false">IF($Q922="✓","✓",IF(ISNUMBER($Q922),TEXT($Q922,"yyyy-mm-dd"),IF($A922="","",IF(SUMPRODUCT(('Agences &amp; Après-vente'!$A$2:$A$1000=$A922)*(('Agences &amp; Après-vente'!$D$2:$D$1000="Agences")+('Agences &amp; Après-vente'!$D$2:$D$1000="Agences et Après-vente"))*('Agences &amp; Après-vente'!$I$2:$I$1000="DONE"))&gt;0,"✓",IF(SUMPRODUCT(MAX(('Agences &amp; Après-vente'!$A$2:$A$1000=$A922)*(('Agences &amp; Après-vente'!$D$2:$D$1000="Agences")+('Agences &amp; Après-vente'!$D$2:$D$1000="Agences et Après-vente"))*'Agences &amp; Après-vente'!$E$2:$E$1000))&gt;0,TEXT(SUMPRODUCT(MAX(('Agences &amp; Après-vente'!$A$2:$A$1000=$A922)*(('Agences &amp; Après-vente'!$D$2:$D$1000="Agences")+('Agences &amp; Après-vente'!$D$2:$D$1000="Agences et Après-vente"))*'Agences &amp; Après-vente'!$E$2:$E$1000)),"yyyy-mm-dd"),"")))))</f>
        <v/>
      </c>
      <c r="H922" s="131" t="str">
        <f aca="false">IF($R922="✓","✓",IF(ISNUMBER($R922),TEXT($R922,"yyyy-mm-dd"),IF($A922="","",IF($D922="Lisbonne","",IF(SUMPRODUCT(('Agences &amp; Après-vente'!$A$2:$A$1000=$A922)*(('Agences &amp; Après-vente'!$D$2:$D$1000="Agences")+('Agences &amp; Après-vente'!$D$2:$D$1000="Agences et Après-vente"))*('Agences &amp; Après-vente'!$I$2:$I$1000="DONE"))&gt;0,"✓",IF(SUMPRODUCT(MAX(('Agences &amp; Après-vente'!$A$2:$A$1000=$A922)*(('Agences &amp; Après-vente'!$D$2:$D$1000="Agences")+('Agences &amp; Après-vente'!$D$2:$D$1000="Agences et Après-vente"))*'Agences &amp; Après-vente'!$E$2:$E$1000))&gt;0,TEXT(SUMPRODUCT(MAX(('Agences &amp; Après-vente'!$A$2:$A$1000=$A922)*(('Agences &amp; Après-vente'!$D$2:$D$1000="Agences")+('Agences &amp; Après-vente'!$D$2:$D$1000="Agences et Après-vente"))*'Agences &amp; Après-vente'!$E$2:$E$1000)),"yyyy-mm-dd"),""))))))</f>
        <v/>
      </c>
      <c r="I922" s="131" t="str">
        <f aca="false">IF($S922="✓","✓",IF(ISNUMBER($S922),TEXT($S922,"yyyy-mm-dd"),IF($A922="","",IF(SUMPRODUCT(('Agences &amp; Après-vente'!$A$2:$A$1000=$A922)*(('Agences &amp; Après-vente'!$D$2:$D$1000="Après-vente")+('Agences &amp; Après-vente'!$D$2:$D$1000="Agences et Après-vente"))*('Agences &amp; Après-vente'!$I$2:$I$1000="DONE"))&gt;0,"✓",IF(SUMPRODUCT(MAX(('Agences &amp; Après-vente'!$A$2:$A$1000=$A922)*(('Agences &amp; Après-vente'!$D$2:$D$1000="Après-vente")+('Agences &amp; Après-vente'!$D$2:$D$1000="Agences et Après-vente"))*'Agences &amp; Après-vente'!$E$2:$E$1000))&gt;0,TEXT(SUMPRODUCT(MAX(('Agences &amp; Après-vente'!$A$2:$A$1000=$A922)*(('Agences &amp; Après-vente'!$D$2:$D$1000="Après-vente")+('Agences &amp; Après-vente'!$D$2:$D$1000="Agences et Après-vente"))*'Agences &amp; Après-vente'!$E$2:$E$1000)),"yyyy-mm-dd"),"")))))</f>
        <v/>
      </c>
      <c r="J922" s="131" t="str">
        <f aca="false">IF($T922="✓","✓",IF(ISNUMBER($T922),TEXT($T922,"yyyy-mm-dd"),IF($A922="","",IF($D922="Lisbonne","",IF(SUMPRODUCT(('Agences &amp; Après-vente'!$A$2:$A$1000=$A922)*(('Agences &amp; Après-vente'!$D$2:$D$1000="Après-vente")+('Agences &amp; Après-vente'!$D$2:$D$1000="Agences et Après-vente"))*('Agences &amp; Après-vente'!$I$2:$I$1000="DONE"))&gt;0,"✓",IF(SUMPRODUCT(MAX(('Agences &amp; Après-vente'!$A$2:$A$1000=$A922)*(('Agences &amp; Après-vente'!$D$2:$D$1000="Après-vente")+('Agences &amp; Après-vente'!$D$2:$D$1000="Agences et Après-vente"))*'Agences &amp; Après-vente'!$E$2:$E$1000))&gt;0,TEXT(SUMPRODUCT(MAX(('Agences &amp; Après-vente'!$A$2:$A$1000=$A922)*(('Agences &amp; Après-vente'!$D$2:$D$1000="Après-vente")+('Agences &amp; Après-vente'!$D$2:$D$1000="Agences et Après-vente"))*'Agences &amp; Après-vente'!$E$2:$E$1000)),"yyyy-mm-dd"),""))))))</f>
        <v/>
      </c>
      <c r="K922" s="131" t="str">
        <f aca="false">IF($U922="✓","✓",IF(ISNUMBER($U922),TEXT($U922,"yyyy-mm-dd"),IF($D922="Lisbonne","",IF($A922="","",IF(SUMPRODUCT((Evermont!$A$2:$A$1000=$A922)*(Evermont!$Q$2:$Q$1000="Terminé"))&gt;0,"✓",IF(SUMPRODUCT(MAX((Evermont!$A$2:$A$1000=$A922)*Evermont!$F$2:$F$1000))&gt;0,TEXT(SUMPRODUCT(MAX((Evermont!$A$2:$A$1000=$A922)*Evermont!$F$2:$F$1000)),"yyyy-mm-dd"),""))))))</f>
        <v/>
      </c>
      <c r="L922" s="131" t="str">
        <f aca="false">IF($A922="","",COUNTIF(E922:K922,"✓"))</f>
        <v/>
      </c>
      <c r="M922" s="131" t="str">
        <f aca="false">IF(B922="","","Active")</f>
        <v/>
      </c>
      <c r="W922" s="120" t="str">
        <f aca="false">IF($A922="","",IF($X922&lt;&gt;"",$X922,IFERROR(INDEX('Formation Initiale'!$B$2:$B$999,MATCH($A922,'Formation Initiale'!$A$2:$A$999,0)),"Général")))</f>
        <v/>
      </c>
    </row>
    <row r="923" customFormat="false" ht="15" hidden="true" customHeight="true" outlineLevel="0" collapsed="false">
      <c r="A923" s="142" t="str">
        <f aca="false">IF(B923="","","TR"&amp;TEXT(ROW()-1,"000"))</f>
        <v/>
      </c>
      <c r="E923" s="130" t="str">
        <f aca="false">IF($O923="✓","✓",IF(ISNUMBER($O923),TEXT($O923,"yyyy-mm-dd"),IF($A923="","",IF(SUMPRODUCT(('Formation Initiale'!$A$2:$A$999=$A923)*('Formation Initiale'!$R$2:$R$999="Terminé"))&gt;0,"✓",IF(SUMPRODUCT(MAX(('Formation Initiale'!$A$2:$A$999=$A923)*'Formation Initiale'!$G$2:$G$999))&gt;0,TEXT(SUMPRODUCT(MAX(('Formation Initiale'!$A$2:$A$999=$A923)*'Formation Initiale'!$G$2:$G$999)),"yyyy-mm-dd"),"")))))</f>
        <v/>
      </c>
      <c r="F923" s="131" t="str">
        <f aca="false">IF($P923="✓","✓",IF(ISNUMBER($P923),TEXT($P923,"yyyy-mm-dd"),IF($A923="","",IF($D923="Lisbonne","",IF(SUMPRODUCT(('Formation Initiale'!$A$2:$A$999=$A923)*('Formation Initiale'!$R$2:$R$999="Terminé"))&gt;0,"✓",IF(SUMPRODUCT(MAX(('Formation Initiale'!$A$2:$A$999=$A923)*'Formation Initiale'!$G$2:$G$999))&gt;0,TEXT(SUMPRODUCT(MAX(('Formation Initiale'!$A$2:$A$999=$A923)*'Formation Initiale'!$G$2:$G$999)),"yyyy-mm-dd"),""))))))</f>
        <v/>
      </c>
      <c r="G923" s="131" t="str">
        <f aca="false">IF($Q923="✓","✓",IF(ISNUMBER($Q923),TEXT($Q923,"yyyy-mm-dd"),IF($A923="","",IF(SUMPRODUCT(('Agences &amp; Après-vente'!$A$2:$A$1000=$A923)*(('Agences &amp; Après-vente'!$D$2:$D$1000="Agences")+('Agences &amp; Après-vente'!$D$2:$D$1000="Agences et Après-vente"))*('Agences &amp; Après-vente'!$I$2:$I$1000="DONE"))&gt;0,"✓",IF(SUMPRODUCT(MAX(('Agences &amp; Après-vente'!$A$2:$A$1000=$A923)*(('Agences &amp; Après-vente'!$D$2:$D$1000="Agences")+('Agences &amp; Après-vente'!$D$2:$D$1000="Agences et Après-vente"))*'Agences &amp; Après-vente'!$E$2:$E$1000))&gt;0,TEXT(SUMPRODUCT(MAX(('Agences &amp; Après-vente'!$A$2:$A$1000=$A923)*(('Agences &amp; Après-vente'!$D$2:$D$1000="Agences")+('Agences &amp; Après-vente'!$D$2:$D$1000="Agences et Après-vente"))*'Agences &amp; Après-vente'!$E$2:$E$1000)),"yyyy-mm-dd"),"")))))</f>
        <v/>
      </c>
      <c r="H923" s="131" t="str">
        <f aca="false">IF($R923="✓","✓",IF(ISNUMBER($R923),TEXT($R923,"yyyy-mm-dd"),IF($A923="","",IF($D923="Lisbonne","",IF(SUMPRODUCT(('Agences &amp; Après-vente'!$A$2:$A$1000=$A923)*(('Agences &amp; Après-vente'!$D$2:$D$1000="Agences")+('Agences &amp; Après-vente'!$D$2:$D$1000="Agences et Après-vente"))*('Agences &amp; Après-vente'!$I$2:$I$1000="DONE"))&gt;0,"✓",IF(SUMPRODUCT(MAX(('Agences &amp; Après-vente'!$A$2:$A$1000=$A923)*(('Agences &amp; Après-vente'!$D$2:$D$1000="Agences")+('Agences &amp; Après-vente'!$D$2:$D$1000="Agences et Après-vente"))*'Agences &amp; Après-vente'!$E$2:$E$1000))&gt;0,TEXT(SUMPRODUCT(MAX(('Agences &amp; Après-vente'!$A$2:$A$1000=$A923)*(('Agences &amp; Après-vente'!$D$2:$D$1000="Agences")+('Agences &amp; Après-vente'!$D$2:$D$1000="Agences et Après-vente"))*'Agences &amp; Après-vente'!$E$2:$E$1000)),"yyyy-mm-dd"),""))))))</f>
        <v/>
      </c>
      <c r="I923" s="131" t="str">
        <f aca="false">IF($S923="✓","✓",IF(ISNUMBER($S923),TEXT($S923,"yyyy-mm-dd"),IF($A923="","",IF(SUMPRODUCT(('Agences &amp; Après-vente'!$A$2:$A$1000=$A923)*(('Agences &amp; Après-vente'!$D$2:$D$1000="Après-vente")+('Agences &amp; Après-vente'!$D$2:$D$1000="Agences et Après-vente"))*('Agences &amp; Après-vente'!$I$2:$I$1000="DONE"))&gt;0,"✓",IF(SUMPRODUCT(MAX(('Agences &amp; Après-vente'!$A$2:$A$1000=$A923)*(('Agences &amp; Après-vente'!$D$2:$D$1000="Après-vente")+('Agences &amp; Après-vente'!$D$2:$D$1000="Agences et Après-vente"))*'Agences &amp; Après-vente'!$E$2:$E$1000))&gt;0,TEXT(SUMPRODUCT(MAX(('Agences &amp; Après-vente'!$A$2:$A$1000=$A923)*(('Agences &amp; Après-vente'!$D$2:$D$1000="Après-vente")+('Agences &amp; Après-vente'!$D$2:$D$1000="Agences et Après-vente"))*'Agences &amp; Après-vente'!$E$2:$E$1000)),"yyyy-mm-dd"),"")))))</f>
        <v/>
      </c>
      <c r="J923" s="131" t="str">
        <f aca="false">IF($T923="✓","✓",IF(ISNUMBER($T923),TEXT($T923,"yyyy-mm-dd"),IF($A923="","",IF($D923="Lisbonne","",IF(SUMPRODUCT(('Agences &amp; Après-vente'!$A$2:$A$1000=$A923)*(('Agences &amp; Après-vente'!$D$2:$D$1000="Après-vente")+('Agences &amp; Après-vente'!$D$2:$D$1000="Agences et Après-vente"))*('Agences &amp; Après-vente'!$I$2:$I$1000="DONE"))&gt;0,"✓",IF(SUMPRODUCT(MAX(('Agences &amp; Après-vente'!$A$2:$A$1000=$A923)*(('Agences &amp; Après-vente'!$D$2:$D$1000="Après-vente")+('Agences &amp; Après-vente'!$D$2:$D$1000="Agences et Après-vente"))*'Agences &amp; Après-vente'!$E$2:$E$1000))&gt;0,TEXT(SUMPRODUCT(MAX(('Agences &amp; Après-vente'!$A$2:$A$1000=$A923)*(('Agences &amp; Après-vente'!$D$2:$D$1000="Après-vente")+('Agences &amp; Après-vente'!$D$2:$D$1000="Agences et Après-vente"))*'Agences &amp; Après-vente'!$E$2:$E$1000)),"yyyy-mm-dd"),""))))))</f>
        <v/>
      </c>
      <c r="K923" s="131" t="str">
        <f aca="false">IF($U923="✓","✓",IF(ISNUMBER($U923),TEXT($U923,"yyyy-mm-dd"),IF($D923="Lisbonne","",IF($A923="","",IF(SUMPRODUCT((Evermont!$A$2:$A$1000=$A923)*(Evermont!$Q$2:$Q$1000="Terminé"))&gt;0,"✓",IF(SUMPRODUCT(MAX((Evermont!$A$2:$A$1000=$A923)*Evermont!$F$2:$F$1000))&gt;0,TEXT(SUMPRODUCT(MAX((Evermont!$A$2:$A$1000=$A923)*Evermont!$F$2:$F$1000)),"yyyy-mm-dd"),""))))))</f>
        <v/>
      </c>
      <c r="L923" s="131" t="str">
        <f aca="false">IF($A923="","",COUNTIF(E923:K923,"✓"))</f>
        <v/>
      </c>
      <c r="M923" s="131" t="str">
        <f aca="false">IF(B923="","","Active")</f>
        <v/>
      </c>
      <c r="W923" s="120" t="str">
        <f aca="false">IF($A923="","",IF($X923&lt;&gt;"",$X923,IFERROR(INDEX('Formation Initiale'!$B$2:$B$999,MATCH($A923,'Formation Initiale'!$A$2:$A$999,0)),"Général")))</f>
        <v/>
      </c>
    </row>
    <row r="924" customFormat="false" ht="15" hidden="true" customHeight="true" outlineLevel="0" collapsed="false">
      <c r="A924" s="142" t="str">
        <f aca="false">IF(B924="","","TR"&amp;TEXT(ROW()-1,"000"))</f>
        <v/>
      </c>
      <c r="E924" s="130" t="str">
        <f aca="false">IF($O924="✓","✓",IF(ISNUMBER($O924),TEXT($O924,"yyyy-mm-dd"),IF($A924="","",IF(SUMPRODUCT(('Formation Initiale'!$A$2:$A$999=$A924)*('Formation Initiale'!$R$2:$R$999="Terminé"))&gt;0,"✓",IF(SUMPRODUCT(MAX(('Formation Initiale'!$A$2:$A$999=$A924)*'Formation Initiale'!$G$2:$G$999))&gt;0,TEXT(SUMPRODUCT(MAX(('Formation Initiale'!$A$2:$A$999=$A924)*'Formation Initiale'!$G$2:$G$999)),"yyyy-mm-dd"),"")))))</f>
        <v/>
      </c>
      <c r="F924" s="131" t="str">
        <f aca="false">IF($P924="✓","✓",IF(ISNUMBER($P924),TEXT($P924,"yyyy-mm-dd"),IF($A924="","",IF($D924="Lisbonne","",IF(SUMPRODUCT(('Formation Initiale'!$A$2:$A$999=$A924)*('Formation Initiale'!$R$2:$R$999="Terminé"))&gt;0,"✓",IF(SUMPRODUCT(MAX(('Formation Initiale'!$A$2:$A$999=$A924)*'Formation Initiale'!$G$2:$G$999))&gt;0,TEXT(SUMPRODUCT(MAX(('Formation Initiale'!$A$2:$A$999=$A924)*'Formation Initiale'!$G$2:$G$999)),"yyyy-mm-dd"),""))))))</f>
        <v/>
      </c>
      <c r="G924" s="131" t="str">
        <f aca="false">IF($Q924="✓","✓",IF(ISNUMBER($Q924),TEXT($Q924,"yyyy-mm-dd"),IF($A924="","",IF(SUMPRODUCT(('Agences &amp; Après-vente'!$A$2:$A$1000=$A924)*(('Agences &amp; Après-vente'!$D$2:$D$1000="Agences")+('Agences &amp; Après-vente'!$D$2:$D$1000="Agences et Après-vente"))*('Agences &amp; Après-vente'!$I$2:$I$1000="DONE"))&gt;0,"✓",IF(SUMPRODUCT(MAX(('Agences &amp; Après-vente'!$A$2:$A$1000=$A924)*(('Agences &amp; Après-vente'!$D$2:$D$1000="Agences")+('Agences &amp; Après-vente'!$D$2:$D$1000="Agences et Après-vente"))*'Agences &amp; Après-vente'!$E$2:$E$1000))&gt;0,TEXT(SUMPRODUCT(MAX(('Agences &amp; Après-vente'!$A$2:$A$1000=$A924)*(('Agences &amp; Après-vente'!$D$2:$D$1000="Agences")+('Agences &amp; Après-vente'!$D$2:$D$1000="Agences et Après-vente"))*'Agences &amp; Après-vente'!$E$2:$E$1000)),"yyyy-mm-dd"),"")))))</f>
        <v/>
      </c>
      <c r="H924" s="131" t="str">
        <f aca="false">IF($R924="✓","✓",IF(ISNUMBER($R924),TEXT($R924,"yyyy-mm-dd"),IF($A924="","",IF($D924="Lisbonne","",IF(SUMPRODUCT(('Agences &amp; Après-vente'!$A$2:$A$1000=$A924)*(('Agences &amp; Après-vente'!$D$2:$D$1000="Agences")+('Agences &amp; Après-vente'!$D$2:$D$1000="Agences et Après-vente"))*('Agences &amp; Après-vente'!$I$2:$I$1000="DONE"))&gt;0,"✓",IF(SUMPRODUCT(MAX(('Agences &amp; Après-vente'!$A$2:$A$1000=$A924)*(('Agences &amp; Après-vente'!$D$2:$D$1000="Agences")+('Agences &amp; Après-vente'!$D$2:$D$1000="Agences et Après-vente"))*'Agences &amp; Après-vente'!$E$2:$E$1000))&gt;0,TEXT(SUMPRODUCT(MAX(('Agences &amp; Après-vente'!$A$2:$A$1000=$A924)*(('Agences &amp; Après-vente'!$D$2:$D$1000="Agences")+('Agences &amp; Après-vente'!$D$2:$D$1000="Agences et Après-vente"))*'Agences &amp; Après-vente'!$E$2:$E$1000)),"yyyy-mm-dd"),""))))))</f>
        <v/>
      </c>
      <c r="I924" s="131" t="str">
        <f aca="false">IF($S924="✓","✓",IF(ISNUMBER($S924),TEXT($S924,"yyyy-mm-dd"),IF($A924="","",IF(SUMPRODUCT(('Agences &amp; Après-vente'!$A$2:$A$1000=$A924)*(('Agences &amp; Après-vente'!$D$2:$D$1000="Après-vente")+('Agences &amp; Après-vente'!$D$2:$D$1000="Agences et Après-vente"))*('Agences &amp; Après-vente'!$I$2:$I$1000="DONE"))&gt;0,"✓",IF(SUMPRODUCT(MAX(('Agences &amp; Après-vente'!$A$2:$A$1000=$A924)*(('Agences &amp; Après-vente'!$D$2:$D$1000="Après-vente")+('Agences &amp; Après-vente'!$D$2:$D$1000="Agences et Après-vente"))*'Agences &amp; Après-vente'!$E$2:$E$1000))&gt;0,TEXT(SUMPRODUCT(MAX(('Agences &amp; Après-vente'!$A$2:$A$1000=$A924)*(('Agences &amp; Après-vente'!$D$2:$D$1000="Après-vente")+('Agences &amp; Après-vente'!$D$2:$D$1000="Agences et Après-vente"))*'Agences &amp; Après-vente'!$E$2:$E$1000)),"yyyy-mm-dd"),"")))))</f>
        <v/>
      </c>
      <c r="J924" s="131" t="str">
        <f aca="false">IF($T924="✓","✓",IF(ISNUMBER($T924),TEXT($T924,"yyyy-mm-dd"),IF($A924="","",IF($D924="Lisbonne","",IF(SUMPRODUCT(('Agences &amp; Après-vente'!$A$2:$A$1000=$A924)*(('Agences &amp; Après-vente'!$D$2:$D$1000="Après-vente")+('Agences &amp; Après-vente'!$D$2:$D$1000="Agences et Après-vente"))*('Agences &amp; Après-vente'!$I$2:$I$1000="DONE"))&gt;0,"✓",IF(SUMPRODUCT(MAX(('Agences &amp; Après-vente'!$A$2:$A$1000=$A924)*(('Agences &amp; Après-vente'!$D$2:$D$1000="Après-vente")+('Agences &amp; Après-vente'!$D$2:$D$1000="Agences et Après-vente"))*'Agences &amp; Après-vente'!$E$2:$E$1000))&gt;0,TEXT(SUMPRODUCT(MAX(('Agences &amp; Après-vente'!$A$2:$A$1000=$A924)*(('Agences &amp; Après-vente'!$D$2:$D$1000="Après-vente")+('Agences &amp; Après-vente'!$D$2:$D$1000="Agences et Après-vente"))*'Agences &amp; Après-vente'!$E$2:$E$1000)),"yyyy-mm-dd"),""))))))</f>
        <v/>
      </c>
      <c r="K924" s="131" t="str">
        <f aca="false">IF($U924="✓","✓",IF(ISNUMBER($U924),TEXT($U924,"yyyy-mm-dd"),IF($D924="Lisbonne","",IF($A924="","",IF(SUMPRODUCT((Evermont!$A$2:$A$1000=$A924)*(Evermont!$Q$2:$Q$1000="Terminé"))&gt;0,"✓",IF(SUMPRODUCT(MAX((Evermont!$A$2:$A$1000=$A924)*Evermont!$F$2:$F$1000))&gt;0,TEXT(SUMPRODUCT(MAX((Evermont!$A$2:$A$1000=$A924)*Evermont!$F$2:$F$1000)),"yyyy-mm-dd"),""))))))</f>
        <v/>
      </c>
      <c r="L924" s="131" t="str">
        <f aca="false">IF($A924="","",COUNTIF(E924:K924,"✓"))</f>
        <v/>
      </c>
      <c r="M924" s="131" t="str">
        <f aca="false">IF(B924="","","Active")</f>
        <v/>
      </c>
      <c r="W924" s="120" t="str">
        <f aca="false">IF($A924="","",IF($X924&lt;&gt;"",$X924,IFERROR(INDEX('Formation Initiale'!$B$2:$B$999,MATCH($A924,'Formation Initiale'!$A$2:$A$999,0)),"Général")))</f>
        <v/>
      </c>
    </row>
    <row r="925" customFormat="false" ht="15" hidden="true" customHeight="true" outlineLevel="0" collapsed="false">
      <c r="A925" s="142" t="str">
        <f aca="false">IF(B925="","","TR"&amp;TEXT(ROW()-1,"000"))</f>
        <v/>
      </c>
      <c r="E925" s="130" t="str">
        <f aca="false">IF($O925="✓","✓",IF(ISNUMBER($O925),TEXT($O925,"yyyy-mm-dd"),IF($A925="","",IF(SUMPRODUCT(('Formation Initiale'!$A$2:$A$999=$A925)*('Formation Initiale'!$R$2:$R$999="Terminé"))&gt;0,"✓",IF(SUMPRODUCT(MAX(('Formation Initiale'!$A$2:$A$999=$A925)*'Formation Initiale'!$G$2:$G$999))&gt;0,TEXT(SUMPRODUCT(MAX(('Formation Initiale'!$A$2:$A$999=$A925)*'Formation Initiale'!$G$2:$G$999)),"yyyy-mm-dd"),"")))))</f>
        <v/>
      </c>
      <c r="F925" s="131" t="str">
        <f aca="false">IF($P925="✓","✓",IF(ISNUMBER($P925),TEXT($P925,"yyyy-mm-dd"),IF($A925="","",IF($D925="Lisbonne","",IF(SUMPRODUCT(('Formation Initiale'!$A$2:$A$999=$A925)*('Formation Initiale'!$R$2:$R$999="Terminé"))&gt;0,"✓",IF(SUMPRODUCT(MAX(('Formation Initiale'!$A$2:$A$999=$A925)*'Formation Initiale'!$G$2:$G$999))&gt;0,TEXT(SUMPRODUCT(MAX(('Formation Initiale'!$A$2:$A$999=$A925)*'Formation Initiale'!$G$2:$G$999)),"yyyy-mm-dd"),""))))))</f>
        <v/>
      </c>
      <c r="G925" s="131" t="str">
        <f aca="false">IF($Q925="✓","✓",IF(ISNUMBER($Q925),TEXT($Q925,"yyyy-mm-dd"),IF($A925="","",IF(SUMPRODUCT(('Agences &amp; Après-vente'!$A$2:$A$1000=$A925)*(('Agences &amp; Après-vente'!$D$2:$D$1000="Agences")+('Agences &amp; Après-vente'!$D$2:$D$1000="Agences et Après-vente"))*('Agences &amp; Après-vente'!$I$2:$I$1000="DONE"))&gt;0,"✓",IF(SUMPRODUCT(MAX(('Agences &amp; Après-vente'!$A$2:$A$1000=$A925)*(('Agences &amp; Après-vente'!$D$2:$D$1000="Agences")+('Agences &amp; Après-vente'!$D$2:$D$1000="Agences et Après-vente"))*'Agences &amp; Après-vente'!$E$2:$E$1000))&gt;0,TEXT(SUMPRODUCT(MAX(('Agences &amp; Après-vente'!$A$2:$A$1000=$A925)*(('Agences &amp; Après-vente'!$D$2:$D$1000="Agences")+('Agences &amp; Après-vente'!$D$2:$D$1000="Agences et Après-vente"))*'Agences &amp; Après-vente'!$E$2:$E$1000)),"yyyy-mm-dd"),"")))))</f>
        <v/>
      </c>
      <c r="H925" s="131" t="str">
        <f aca="false">IF($R925="✓","✓",IF(ISNUMBER($R925),TEXT($R925,"yyyy-mm-dd"),IF($A925="","",IF($D925="Lisbonne","",IF(SUMPRODUCT(('Agences &amp; Après-vente'!$A$2:$A$1000=$A925)*(('Agences &amp; Après-vente'!$D$2:$D$1000="Agences")+('Agences &amp; Après-vente'!$D$2:$D$1000="Agences et Après-vente"))*('Agences &amp; Après-vente'!$I$2:$I$1000="DONE"))&gt;0,"✓",IF(SUMPRODUCT(MAX(('Agences &amp; Après-vente'!$A$2:$A$1000=$A925)*(('Agences &amp; Après-vente'!$D$2:$D$1000="Agences")+('Agences &amp; Après-vente'!$D$2:$D$1000="Agences et Après-vente"))*'Agences &amp; Après-vente'!$E$2:$E$1000))&gt;0,TEXT(SUMPRODUCT(MAX(('Agences &amp; Après-vente'!$A$2:$A$1000=$A925)*(('Agences &amp; Après-vente'!$D$2:$D$1000="Agences")+('Agences &amp; Après-vente'!$D$2:$D$1000="Agences et Après-vente"))*'Agences &amp; Après-vente'!$E$2:$E$1000)),"yyyy-mm-dd"),""))))))</f>
        <v/>
      </c>
      <c r="I925" s="131" t="str">
        <f aca="false">IF($S925="✓","✓",IF(ISNUMBER($S925),TEXT($S925,"yyyy-mm-dd"),IF($A925="","",IF(SUMPRODUCT(('Agences &amp; Après-vente'!$A$2:$A$1000=$A925)*(('Agences &amp; Après-vente'!$D$2:$D$1000="Après-vente")+('Agences &amp; Après-vente'!$D$2:$D$1000="Agences et Après-vente"))*('Agences &amp; Après-vente'!$I$2:$I$1000="DONE"))&gt;0,"✓",IF(SUMPRODUCT(MAX(('Agences &amp; Après-vente'!$A$2:$A$1000=$A925)*(('Agences &amp; Après-vente'!$D$2:$D$1000="Après-vente")+('Agences &amp; Après-vente'!$D$2:$D$1000="Agences et Après-vente"))*'Agences &amp; Après-vente'!$E$2:$E$1000))&gt;0,TEXT(SUMPRODUCT(MAX(('Agences &amp; Après-vente'!$A$2:$A$1000=$A925)*(('Agences &amp; Après-vente'!$D$2:$D$1000="Après-vente")+('Agences &amp; Après-vente'!$D$2:$D$1000="Agences et Après-vente"))*'Agences &amp; Après-vente'!$E$2:$E$1000)),"yyyy-mm-dd"),"")))))</f>
        <v/>
      </c>
      <c r="J925" s="131" t="str">
        <f aca="false">IF($T925="✓","✓",IF(ISNUMBER($T925),TEXT($T925,"yyyy-mm-dd"),IF($A925="","",IF($D925="Lisbonne","",IF(SUMPRODUCT(('Agences &amp; Après-vente'!$A$2:$A$1000=$A925)*(('Agences &amp; Après-vente'!$D$2:$D$1000="Après-vente")+('Agences &amp; Après-vente'!$D$2:$D$1000="Agences et Après-vente"))*('Agences &amp; Après-vente'!$I$2:$I$1000="DONE"))&gt;0,"✓",IF(SUMPRODUCT(MAX(('Agences &amp; Après-vente'!$A$2:$A$1000=$A925)*(('Agences &amp; Après-vente'!$D$2:$D$1000="Après-vente")+('Agences &amp; Après-vente'!$D$2:$D$1000="Agences et Après-vente"))*'Agences &amp; Après-vente'!$E$2:$E$1000))&gt;0,TEXT(SUMPRODUCT(MAX(('Agences &amp; Après-vente'!$A$2:$A$1000=$A925)*(('Agences &amp; Après-vente'!$D$2:$D$1000="Après-vente")+('Agences &amp; Après-vente'!$D$2:$D$1000="Agences et Après-vente"))*'Agences &amp; Après-vente'!$E$2:$E$1000)),"yyyy-mm-dd"),""))))))</f>
        <v/>
      </c>
      <c r="K925" s="131" t="str">
        <f aca="false">IF($U925="✓","✓",IF(ISNUMBER($U925),TEXT($U925,"yyyy-mm-dd"),IF($D925="Lisbonne","",IF($A925="","",IF(SUMPRODUCT((Evermont!$A$2:$A$1000=$A925)*(Evermont!$Q$2:$Q$1000="Terminé"))&gt;0,"✓",IF(SUMPRODUCT(MAX((Evermont!$A$2:$A$1000=$A925)*Evermont!$F$2:$F$1000))&gt;0,TEXT(SUMPRODUCT(MAX((Evermont!$A$2:$A$1000=$A925)*Evermont!$F$2:$F$1000)),"yyyy-mm-dd"),""))))))</f>
        <v/>
      </c>
      <c r="L925" s="131" t="str">
        <f aca="false">IF($A925="","",COUNTIF(E925:K925,"✓"))</f>
        <v/>
      </c>
      <c r="M925" s="131" t="str">
        <f aca="false">IF(B925="","","Active")</f>
        <v/>
      </c>
      <c r="W925" s="120" t="str">
        <f aca="false">IF($A925="","",IF($X925&lt;&gt;"",$X925,IFERROR(INDEX('Formation Initiale'!$B$2:$B$999,MATCH($A925,'Formation Initiale'!$A$2:$A$999,0)),"Général")))</f>
        <v/>
      </c>
    </row>
    <row r="926" customFormat="false" ht="15" hidden="true" customHeight="true" outlineLevel="0" collapsed="false">
      <c r="A926" s="142" t="str">
        <f aca="false">IF(B926="","","TR"&amp;TEXT(ROW()-1,"000"))</f>
        <v/>
      </c>
      <c r="E926" s="130" t="str">
        <f aca="false">IF($O926="✓","✓",IF(ISNUMBER($O926),TEXT($O926,"yyyy-mm-dd"),IF($A926="","",IF(SUMPRODUCT(('Formation Initiale'!$A$2:$A$999=$A926)*('Formation Initiale'!$R$2:$R$999="Terminé"))&gt;0,"✓",IF(SUMPRODUCT(MAX(('Formation Initiale'!$A$2:$A$999=$A926)*'Formation Initiale'!$G$2:$G$999))&gt;0,TEXT(SUMPRODUCT(MAX(('Formation Initiale'!$A$2:$A$999=$A926)*'Formation Initiale'!$G$2:$G$999)),"yyyy-mm-dd"),"")))))</f>
        <v/>
      </c>
      <c r="F926" s="131" t="str">
        <f aca="false">IF($P926="✓","✓",IF(ISNUMBER($P926),TEXT($P926,"yyyy-mm-dd"),IF($A926="","",IF($D926="Lisbonne","",IF(SUMPRODUCT(('Formation Initiale'!$A$2:$A$999=$A926)*('Formation Initiale'!$R$2:$R$999="Terminé"))&gt;0,"✓",IF(SUMPRODUCT(MAX(('Formation Initiale'!$A$2:$A$999=$A926)*'Formation Initiale'!$G$2:$G$999))&gt;0,TEXT(SUMPRODUCT(MAX(('Formation Initiale'!$A$2:$A$999=$A926)*'Formation Initiale'!$G$2:$G$999)),"yyyy-mm-dd"),""))))))</f>
        <v/>
      </c>
      <c r="G926" s="131" t="str">
        <f aca="false">IF($Q926="✓","✓",IF(ISNUMBER($Q926),TEXT($Q926,"yyyy-mm-dd"),IF($A926="","",IF(SUMPRODUCT(('Agences &amp; Après-vente'!$A$2:$A$1000=$A926)*(('Agences &amp; Après-vente'!$D$2:$D$1000="Agences")+('Agences &amp; Après-vente'!$D$2:$D$1000="Agences et Après-vente"))*('Agences &amp; Après-vente'!$I$2:$I$1000="DONE"))&gt;0,"✓",IF(SUMPRODUCT(MAX(('Agences &amp; Après-vente'!$A$2:$A$1000=$A926)*(('Agences &amp; Après-vente'!$D$2:$D$1000="Agences")+('Agences &amp; Après-vente'!$D$2:$D$1000="Agences et Après-vente"))*'Agences &amp; Après-vente'!$E$2:$E$1000))&gt;0,TEXT(SUMPRODUCT(MAX(('Agences &amp; Après-vente'!$A$2:$A$1000=$A926)*(('Agences &amp; Après-vente'!$D$2:$D$1000="Agences")+('Agences &amp; Après-vente'!$D$2:$D$1000="Agences et Après-vente"))*'Agences &amp; Après-vente'!$E$2:$E$1000)),"yyyy-mm-dd"),"")))))</f>
        <v/>
      </c>
      <c r="H926" s="131" t="str">
        <f aca="false">IF($R926="✓","✓",IF(ISNUMBER($R926),TEXT($R926,"yyyy-mm-dd"),IF($A926="","",IF($D926="Lisbonne","",IF(SUMPRODUCT(('Agences &amp; Après-vente'!$A$2:$A$1000=$A926)*(('Agences &amp; Après-vente'!$D$2:$D$1000="Agences")+('Agences &amp; Après-vente'!$D$2:$D$1000="Agences et Après-vente"))*('Agences &amp; Après-vente'!$I$2:$I$1000="DONE"))&gt;0,"✓",IF(SUMPRODUCT(MAX(('Agences &amp; Après-vente'!$A$2:$A$1000=$A926)*(('Agences &amp; Après-vente'!$D$2:$D$1000="Agences")+('Agences &amp; Après-vente'!$D$2:$D$1000="Agences et Après-vente"))*'Agences &amp; Après-vente'!$E$2:$E$1000))&gt;0,TEXT(SUMPRODUCT(MAX(('Agences &amp; Après-vente'!$A$2:$A$1000=$A926)*(('Agences &amp; Après-vente'!$D$2:$D$1000="Agences")+('Agences &amp; Après-vente'!$D$2:$D$1000="Agences et Après-vente"))*'Agences &amp; Après-vente'!$E$2:$E$1000)),"yyyy-mm-dd"),""))))))</f>
        <v/>
      </c>
      <c r="I926" s="131" t="str">
        <f aca="false">IF($S926="✓","✓",IF(ISNUMBER($S926),TEXT($S926,"yyyy-mm-dd"),IF($A926="","",IF(SUMPRODUCT(('Agences &amp; Après-vente'!$A$2:$A$1000=$A926)*(('Agences &amp; Après-vente'!$D$2:$D$1000="Après-vente")+('Agences &amp; Après-vente'!$D$2:$D$1000="Agences et Après-vente"))*('Agences &amp; Après-vente'!$I$2:$I$1000="DONE"))&gt;0,"✓",IF(SUMPRODUCT(MAX(('Agences &amp; Après-vente'!$A$2:$A$1000=$A926)*(('Agences &amp; Après-vente'!$D$2:$D$1000="Après-vente")+('Agences &amp; Après-vente'!$D$2:$D$1000="Agences et Après-vente"))*'Agences &amp; Après-vente'!$E$2:$E$1000))&gt;0,TEXT(SUMPRODUCT(MAX(('Agences &amp; Après-vente'!$A$2:$A$1000=$A926)*(('Agences &amp; Après-vente'!$D$2:$D$1000="Après-vente")+('Agences &amp; Après-vente'!$D$2:$D$1000="Agences et Après-vente"))*'Agences &amp; Après-vente'!$E$2:$E$1000)),"yyyy-mm-dd"),"")))))</f>
        <v/>
      </c>
      <c r="J926" s="131" t="str">
        <f aca="false">IF($T926="✓","✓",IF(ISNUMBER($T926),TEXT($T926,"yyyy-mm-dd"),IF($A926="","",IF($D926="Lisbonne","",IF(SUMPRODUCT(('Agences &amp; Après-vente'!$A$2:$A$1000=$A926)*(('Agences &amp; Après-vente'!$D$2:$D$1000="Après-vente")+('Agences &amp; Après-vente'!$D$2:$D$1000="Agences et Après-vente"))*('Agences &amp; Après-vente'!$I$2:$I$1000="DONE"))&gt;0,"✓",IF(SUMPRODUCT(MAX(('Agences &amp; Après-vente'!$A$2:$A$1000=$A926)*(('Agences &amp; Après-vente'!$D$2:$D$1000="Après-vente")+('Agences &amp; Après-vente'!$D$2:$D$1000="Agences et Après-vente"))*'Agences &amp; Après-vente'!$E$2:$E$1000))&gt;0,TEXT(SUMPRODUCT(MAX(('Agences &amp; Après-vente'!$A$2:$A$1000=$A926)*(('Agences &amp; Après-vente'!$D$2:$D$1000="Après-vente")+('Agences &amp; Après-vente'!$D$2:$D$1000="Agences et Après-vente"))*'Agences &amp; Après-vente'!$E$2:$E$1000)),"yyyy-mm-dd"),""))))))</f>
        <v/>
      </c>
      <c r="K926" s="131" t="str">
        <f aca="false">IF($U926="✓","✓",IF(ISNUMBER($U926),TEXT($U926,"yyyy-mm-dd"),IF($D926="Lisbonne","",IF($A926="","",IF(SUMPRODUCT((Evermont!$A$2:$A$1000=$A926)*(Evermont!$Q$2:$Q$1000="Terminé"))&gt;0,"✓",IF(SUMPRODUCT(MAX((Evermont!$A$2:$A$1000=$A926)*Evermont!$F$2:$F$1000))&gt;0,TEXT(SUMPRODUCT(MAX((Evermont!$A$2:$A$1000=$A926)*Evermont!$F$2:$F$1000)),"yyyy-mm-dd"),""))))))</f>
        <v/>
      </c>
      <c r="L926" s="131" t="str">
        <f aca="false">IF($A926="","",COUNTIF(E926:K926,"✓"))</f>
        <v/>
      </c>
      <c r="M926" s="131" t="str">
        <f aca="false">IF(B926="","","Active")</f>
        <v/>
      </c>
      <c r="W926" s="120" t="str">
        <f aca="false">IF($A926="","",IF($X926&lt;&gt;"",$X926,IFERROR(INDEX('Formation Initiale'!$B$2:$B$999,MATCH($A926,'Formation Initiale'!$A$2:$A$999,0)),"Général")))</f>
        <v/>
      </c>
    </row>
    <row r="927" customFormat="false" ht="15" hidden="true" customHeight="true" outlineLevel="0" collapsed="false">
      <c r="A927" s="142" t="str">
        <f aca="false">IF(B927="","","TR"&amp;TEXT(ROW()-1,"000"))</f>
        <v/>
      </c>
      <c r="E927" s="130" t="str">
        <f aca="false">IF($O927="✓","✓",IF(ISNUMBER($O927),TEXT($O927,"yyyy-mm-dd"),IF($A927="","",IF(SUMPRODUCT(('Formation Initiale'!$A$2:$A$999=$A927)*('Formation Initiale'!$R$2:$R$999="Terminé"))&gt;0,"✓",IF(SUMPRODUCT(MAX(('Formation Initiale'!$A$2:$A$999=$A927)*'Formation Initiale'!$G$2:$G$999))&gt;0,TEXT(SUMPRODUCT(MAX(('Formation Initiale'!$A$2:$A$999=$A927)*'Formation Initiale'!$G$2:$G$999)),"yyyy-mm-dd"),"")))))</f>
        <v/>
      </c>
      <c r="F927" s="131" t="str">
        <f aca="false">IF($P927="✓","✓",IF(ISNUMBER($P927),TEXT($P927,"yyyy-mm-dd"),IF($A927="","",IF($D927="Lisbonne","",IF(SUMPRODUCT(('Formation Initiale'!$A$2:$A$999=$A927)*('Formation Initiale'!$R$2:$R$999="Terminé"))&gt;0,"✓",IF(SUMPRODUCT(MAX(('Formation Initiale'!$A$2:$A$999=$A927)*'Formation Initiale'!$G$2:$G$999))&gt;0,TEXT(SUMPRODUCT(MAX(('Formation Initiale'!$A$2:$A$999=$A927)*'Formation Initiale'!$G$2:$G$999)),"yyyy-mm-dd"),""))))))</f>
        <v/>
      </c>
      <c r="G927" s="131" t="str">
        <f aca="false">IF($Q927="✓","✓",IF(ISNUMBER($Q927),TEXT($Q927,"yyyy-mm-dd"),IF($A927="","",IF(SUMPRODUCT(('Agences &amp; Après-vente'!$A$2:$A$1000=$A927)*(('Agences &amp; Après-vente'!$D$2:$D$1000="Agences")+('Agences &amp; Après-vente'!$D$2:$D$1000="Agences et Après-vente"))*('Agences &amp; Après-vente'!$I$2:$I$1000="DONE"))&gt;0,"✓",IF(SUMPRODUCT(MAX(('Agences &amp; Après-vente'!$A$2:$A$1000=$A927)*(('Agences &amp; Après-vente'!$D$2:$D$1000="Agences")+('Agences &amp; Après-vente'!$D$2:$D$1000="Agences et Après-vente"))*'Agences &amp; Après-vente'!$E$2:$E$1000))&gt;0,TEXT(SUMPRODUCT(MAX(('Agences &amp; Après-vente'!$A$2:$A$1000=$A927)*(('Agences &amp; Après-vente'!$D$2:$D$1000="Agences")+('Agences &amp; Après-vente'!$D$2:$D$1000="Agences et Après-vente"))*'Agences &amp; Après-vente'!$E$2:$E$1000)),"yyyy-mm-dd"),"")))))</f>
        <v/>
      </c>
      <c r="H927" s="131" t="str">
        <f aca="false">IF($R927="✓","✓",IF(ISNUMBER($R927),TEXT($R927,"yyyy-mm-dd"),IF($A927="","",IF($D927="Lisbonne","",IF(SUMPRODUCT(('Agences &amp; Après-vente'!$A$2:$A$1000=$A927)*(('Agences &amp; Après-vente'!$D$2:$D$1000="Agences")+('Agences &amp; Après-vente'!$D$2:$D$1000="Agences et Après-vente"))*('Agences &amp; Après-vente'!$I$2:$I$1000="DONE"))&gt;0,"✓",IF(SUMPRODUCT(MAX(('Agences &amp; Après-vente'!$A$2:$A$1000=$A927)*(('Agences &amp; Après-vente'!$D$2:$D$1000="Agences")+('Agences &amp; Après-vente'!$D$2:$D$1000="Agences et Après-vente"))*'Agences &amp; Après-vente'!$E$2:$E$1000))&gt;0,TEXT(SUMPRODUCT(MAX(('Agences &amp; Après-vente'!$A$2:$A$1000=$A927)*(('Agences &amp; Après-vente'!$D$2:$D$1000="Agences")+('Agences &amp; Après-vente'!$D$2:$D$1000="Agences et Après-vente"))*'Agences &amp; Après-vente'!$E$2:$E$1000)),"yyyy-mm-dd"),""))))))</f>
        <v/>
      </c>
      <c r="I927" s="131" t="str">
        <f aca="false">IF($S927="✓","✓",IF(ISNUMBER($S927),TEXT($S927,"yyyy-mm-dd"),IF($A927="","",IF(SUMPRODUCT(('Agences &amp; Après-vente'!$A$2:$A$1000=$A927)*(('Agences &amp; Après-vente'!$D$2:$D$1000="Après-vente")+('Agences &amp; Après-vente'!$D$2:$D$1000="Agences et Après-vente"))*('Agences &amp; Après-vente'!$I$2:$I$1000="DONE"))&gt;0,"✓",IF(SUMPRODUCT(MAX(('Agences &amp; Après-vente'!$A$2:$A$1000=$A927)*(('Agences &amp; Après-vente'!$D$2:$D$1000="Après-vente")+('Agences &amp; Après-vente'!$D$2:$D$1000="Agences et Après-vente"))*'Agences &amp; Après-vente'!$E$2:$E$1000))&gt;0,TEXT(SUMPRODUCT(MAX(('Agences &amp; Après-vente'!$A$2:$A$1000=$A927)*(('Agences &amp; Après-vente'!$D$2:$D$1000="Après-vente")+('Agences &amp; Après-vente'!$D$2:$D$1000="Agences et Après-vente"))*'Agences &amp; Après-vente'!$E$2:$E$1000)),"yyyy-mm-dd"),"")))))</f>
        <v/>
      </c>
      <c r="J927" s="131" t="str">
        <f aca="false">IF($T927="✓","✓",IF(ISNUMBER($T927),TEXT($T927,"yyyy-mm-dd"),IF($A927="","",IF($D927="Lisbonne","",IF(SUMPRODUCT(('Agences &amp; Après-vente'!$A$2:$A$1000=$A927)*(('Agences &amp; Après-vente'!$D$2:$D$1000="Après-vente")+('Agences &amp; Après-vente'!$D$2:$D$1000="Agences et Après-vente"))*('Agences &amp; Après-vente'!$I$2:$I$1000="DONE"))&gt;0,"✓",IF(SUMPRODUCT(MAX(('Agences &amp; Après-vente'!$A$2:$A$1000=$A927)*(('Agences &amp; Après-vente'!$D$2:$D$1000="Après-vente")+('Agences &amp; Après-vente'!$D$2:$D$1000="Agences et Après-vente"))*'Agences &amp; Après-vente'!$E$2:$E$1000))&gt;0,TEXT(SUMPRODUCT(MAX(('Agences &amp; Après-vente'!$A$2:$A$1000=$A927)*(('Agences &amp; Après-vente'!$D$2:$D$1000="Après-vente")+('Agences &amp; Après-vente'!$D$2:$D$1000="Agences et Après-vente"))*'Agences &amp; Après-vente'!$E$2:$E$1000)),"yyyy-mm-dd"),""))))))</f>
        <v/>
      </c>
      <c r="K927" s="131" t="str">
        <f aca="false">IF($U927="✓","✓",IF(ISNUMBER($U927),TEXT($U927,"yyyy-mm-dd"),IF($D927="Lisbonne","",IF($A927="","",IF(SUMPRODUCT((Evermont!$A$2:$A$1000=$A927)*(Evermont!$Q$2:$Q$1000="Terminé"))&gt;0,"✓",IF(SUMPRODUCT(MAX((Evermont!$A$2:$A$1000=$A927)*Evermont!$F$2:$F$1000))&gt;0,TEXT(SUMPRODUCT(MAX((Evermont!$A$2:$A$1000=$A927)*Evermont!$F$2:$F$1000)),"yyyy-mm-dd"),""))))))</f>
        <v/>
      </c>
      <c r="L927" s="131" t="str">
        <f aca="false">IF($A927="","",COUNTIF(E927:K927,"✓"))</f>
        <v/>
      </c>
      <c r="M927" s="131" t="str">
        <f aca="false">IF(B927="","","Active")</f>
        <v/>
      </c>
      <c r="W927" s="120" t="str">
        <f aca="false">IF($A927="","",IF($X927&lt;&gt;"",$X927,IFERROR(INDEX('Formation Initiale'!$B$2:$B$999,MATCH($A927,'Formation Initiale'!$A$2:$A$999,0)),"Général")))</f>
        <v/>
      </c>
    </row>
    <row r="928" customFormat="false" ht="15" hidden="true" customHeight="true" outlineLevel="0" collapsed="false">
      <c r="A928" s="142" t="str">
        <f aca="false">IF(B928="","","TR"&amp;TEXT(ROW()-1,"000"))</f>
        <v/>
      </c>
      <c r="E928" s="130" t="str">
        <f aca="false">IF($O928="✓","✓",IF(ISNUMBER($O928),TEXT($O928,"yyyy-mm-dd"),IF($A928="","",IF(SUMPRODUCT(('Formation Initiale'!$A$2:$A$999=$A928)*('Formation Initiale'!$R$2:$R$999="Terminé"))&gt;0,"✓",IF(SUMPRODUCT(MAX(('Formation Initiale'!$A$2:$A$999=$A928)*'Formation Initiale'!$G$2:$G$999))&gt;0,TEXT(SUMPRODUCT(MAX(('Formation Initiale'!$A$2:$A$999=$A928)*'Formation Initiale'!$G$2:$G$999)),"yyyy-mm-dd"),"")))))</f>
        <v/>
      </c>
      <c r="F928" s="131" t="str">
        <f aca="false">IF($P928="✓","✓",IF(ISNUMBER($P928),TEXT($P928,"yyyy-mm-dd"),IF($A928="","",IF($D928="Lisbonne","",IF(SUMPRODUCT(('Formation Initiale'!$A$2:$A$999=$A928)*('Formation Initiale'!$R$2:$R$999="Terminé"))&gt;0,"✓",IF(SUMPRODUCT(MAX(('Formation Initiale'!$A$2:$A$999=$A928)*'Formation Initiale'!$G$2:$G$999))&gt;0,TEXT(SUMPRODUCT(MAX(('Formation Initiale'!$A$2:$A$999=$A928)*'Formation Initiale'!$G$2:$G$999)),"yyyy-mm-dd"),""))))))</f>
        <v/>
      </c>
      <c r="G928" s="131" t="str">
        <f aca="false">IF($Q928="✓","✓",IF(ISNUMBER($Q928),TEXT($Q928,"yyyy-mm-dd"),IF($A928="","",IF(SUMPRODUCT(('Agences &amp; Après-vente'!$A$2:$A$1000=$A928)*(('Agences &amp; Après-vente'!$D$2:$D$1000="Agences")+('Agences &amp; Après-vente'!$D$2:$D$1000="Agences et Après-vente"))*('Agences &amp; Après-vente'!$I$2:$I$1000="DONE"))&gt;0,"✓",IF(SUMPRODUCT(MAX(('Agences &amp; Après-vente'!$A$2:$A$1000=$A928)*(('Agences &amp; Après-vente'!$D$2:$D$1000="Agences")+('Agences &amp; Après-vente'!$D$2:$D$1000="Agences et Après-vente"))*'Agences &amp; Après-vente'!$E$2:$E$1000))&gt;0,TEXT(SUMPRODUCT(MAX(('Agences &amp; Après-vente'!$A$2:$A$1000=$A928)*(('Agences &amp; Après-vente'!$D$2:$D$1000="Agences")+('Agences &amp; Après-vente'!$D$2:$D$1000="Agences et Après-vente"))*'Agences &amp; Après-vente'!$E$2:$E$1000)),"yyyy-mm-dd"),"")))))</f>
        <v/>
      </c>
      <c r="H928" s="131" t="str">
        <f aca="false">IF($R928="✓","✓",IF(ISNUMBER($R928),TEXT($R928,"yyyy-mm-dd"),IF($A928="","",IF($D928="Lisbonne","",IF(SUMPRODUCT(('Agences &amp; Après-vente'!$A$2:$A$1000=$A928)*(('Agences &amp; Après-vente'!$D$2:$D$1000="Agences")+('Agences &amp; Après-vente'!$D$2:$D$1000="Agences et Après-vente"))*('Agences &amp; Après-vente'!$I$2:$I$1000="DONE"))&gt;0,"✓",IF(SUMPRODUCT(MAX(('Agences &amp; Après-vente'!$A$2:$A$1000=$A928)*(('Agences &amp; Après-vente'!$D$2:$D$1000="Agences")+('Agences &amp; Après-vente'!$D$2:$D$1000="Agences et Après-vente"))*'Agences &amp; Après-vente'!$E$2:$E$1000))&gt;0,TEXT(SUMPRODUCT(MAX(('Agences &amp; Après-vente'!$A$2:$A$1000=$A928)*(('Agences &amp; Après-vente'!$D$2:$D$1000="Agences")+('Agences &amp; Après-vente'!$D$2:$D$1000="Agences et Après-vente"))*'Agences &amp; Après-vente'!$E$2:$E$1000)),"yyyy-mm-dd"),""))))))</f>
        <v/>
      </c>
      <c r="I928" s="131" t="str">
        <f aca="false">IF($S928="✓","✓",IF(ISNUMBER($S928),TEXT($S928,"yyyy-mm-dd"),IF($A928="","",IF(SUMPRODUCT(('Agences &amp; Après-vente'!$A$2:$A$1000=$A928)*(('Agences &amp; Après-vente'!$D$2:$D$1000="Après-vente")+('Agences &amp; Après-vente'!$D$2:$D$1000="Agences et Après-vente"))*('Agences &amp; Après-vente'!$I$2:$I$1000="DONE"))&gt;0,"✓",IF(SUMPRODUCT(MAX(('Agences &amp; Après-vente'!$A$2:$A$1000=$A928)*(('Agences &amp; Après-vente'!$D$2:$D$1000="Après-vente")+('Agences &amp; Après-vente'!$D$2:$D$1000="Agences et Après-vente"))*'Agences &amp; Après-vente'!$E$2:$E$1000))&gt;0,TEXT(SUMPRODUCT(MAX(('Agences &amp; Après-vente'!$A$2:$A$1000=$A928)*(('Agences &amp; Après-vente'!$D$2:$D$1000="Après-vente")+('Agences &amp; Après-vente'!$D$2:$D$1000="Agences et Après-vente"))*'Agences &amp; Après-vente'!$E$2:$E$1000)),"yyyy-mm-dd"),"")))))</f>
        <v/>
      </c>
      <c r="J928" s="131" t="str">
        <f aca="false">IF($T928="✓","✓",IF(ISNUMBER($T928),TEXT($T928,"yyyy-mm-dd"),IF($A928="","",IF($D928="Lisbonne","",IF(SUMPRODUCT(('Agences &amp; Après-vente'!$A$2:$A$1000=$A928)*(('Agences &amp; Après-vente'!$D$2:$D$1000="Après-vente")+('Agences &amp; Après-vente'!$D$2:$D$1000="Agences et Après-vente"))*('Agences &amp; Après-vente'!$I$2:$I$1000="DONE"))&gt;0,"✓",IF(SUMPRODUCT(MAX(('Agences &amp; Après-vente'!$A$2:$A$1000=$A928)*(('Agences &amp; Après-vente'!$D$2:$D$1000="Après-vente")+('Agences &amp; Après-vente'!$D$2:$D$1000="Agences et Après-vente"))*'Agences &amp; Après-vente'!$E$2:$E$1000))&gt;0,TEXT(SUMPRODUCT(MAX(('Agences &amp; Après-vente'!$A$2:$A$1000=$A928)*(('Agences &amp; Après-vente'!$D$2:$D$1000="Après-vente")+('Agences &amp; Après-vente'!$D$2:$D$1000="Agences et Après-vente"))*'Agences &amp; Après-vente'!$E$2:$E$1000)),"yyyy-mm-dd"),""))))))</f>
        <v/>
      </c>
      <c r="K928" s="131" t="str">
        <f aca="false">IF($U928="✓","✓",IF(ISNUMBER($U928),TEXT($U928,"yyyy-mm-dd"),IF($D928="Lisbonne","",IF($A928="","",IF(SUMPRODUCT((Evermont!$A$2:$A$1000=$A928)*(Evermont!$Q$2:$Q$1000="Terminé"))&gt;0,"✓",IF(SUMPRODUCT(MAX((Evermont!$A$2:$A$1000=$A928)*Evermont!$F$2:$F$1000))&gt;0,TEXT(SUMPRODUCT(MAX((Evermont!$A$2:$A$1000=$A928)*Evermont!$F$2:$F$1000)),"yyyy-mm-dd"),""))))))</f>
        <v/>
      </c>
      <c r="L928" s="131" t="str">
        <f aca="false">IF($A928="","",COUNTIF(E928:K928,"✓"))</f>
        <v/>
      </c>
      <c r="M928" s="131" t="str">
        <f aca="false">IF(B928="","","Active")</f>
        <v/>
      </c>
      <c r="W928" s="120" t="str">
        <f aca="false">IF($A928="","",IF($X928&lt;&gt;"",$X928,IFERROR(INDEX('Formation Initiale'!$B$2:$B$999,MATCH($A928,'Formation Initiale'!$A$2:$A$999,0)),"Général")))</f>
        <v/>
      </c>
    </row>
    <row r="929" customFormat="false" ht="15" hidden="true" customHeight="true" outlineLevel="0" collapsed="false">
      <c r="A929" s="142" t="str">
        <f aca="false">IF(B929="","","TR"&amp;TEXT(ROW()-1,"000"))</f>
        <v/>
      </c>
      <c r="E929" s="130" t="str">
        <f aca="false">IF($O929="✓","✓",IF(ISNUMBER($O929),TEXT($O929,"yyyy-mm-dd"),IF($A929="","",IF(SUMPRODUCT(('Formation Initiale'!$A$2:$A$999=$A929)*('Formation Initiale'!$R$2:$R$999="Terminé"))&gt;0,"✓",IF(SUMPRODUCT(MAX(('Formation Initiale'!$A$2:$A$999=$A929)*'Formation Initiale'!$G$2:$G$999))&gt;0,TEXT(SUMPRODUCT(MAX(('Formation Initiale'!$A$2:$A$999=$A929)*'Formation Initiale'!$G$2:$G$999)),"yyyy-mm-dd"),"")))))</f>
        <v/>
      </c>
      <c r="F929" s="131" t="str">
        <f aca="false">IF($P929="✓","✓",IF(ISNUMBER($P929),TEXT($P929,"yyyy-mm-dd"),IF($A929="","",IF($D929="Lisbonne","",IF(SUMPRODUCT(('Formation Initiale'!$A$2:$A$999=$A929)*('Formation Initiale'!$R$2:$R$999="Terminé"))&gt;0,"✓",IF(SUMPRODUCT(MAX(('Formation Initiale'!$A$2:$A$999=$A929)*'Formation Initiale'!$G$2:$G$999))&gt;0,TEXT(SUMPRODUCT(MAX(('Formation Initiale'!$A$2:$A$999=$A929)*'Formation Initiale'!$G$2:$G$999)),"yyyy-mm-dd"),""))))))</f>
        <v/>
      </c>
      <c r="G929" s="131" t="str">
        <f aca="false">IF($Q929="✓","✓",IF(ISNUMBER($Q929),TEXT($Q929,"yyyy-mm-dd"),IF($A929="","",IF(SUMPRODUCT(('Agences &amp; Après-vente'!$A$2:$A$1000=$A929)*(('Agences &amp; Après-vente'!$D$2:$D$1000="Agences")+('Agences &amp; Après-vente'!$D$2:$D$1000="Agences et Après-vente"))*('Agences &amp; Après-vente'!$I$2:$I$1000="DONE"))&gt;0,"✓",IF(SUMPRODUCT(MAX(('Agences &amp; Après-vente'!$A$2:$A$1000=$A929)*(('Agences &amp; Après-vente'!$D$2:$D$1000="Agences")+('Agences &amp; Après-vente'!$D$2:$D$1000="Agences et Après-vente"))*'Agences &amp; Après-vente'!$E$2:$E$1000))&gt;0,TEXT(SUMPRODUCT(MAX(('Agences &amp; Après-vente'!$A$2:$A$1000=$A929)*(('Agences &amp; Après-vente'!$D$2:$D$1000="Agences")+('Agences &amp; Après-vente'!$D$2:$D$1000="Agences et Après-vente"))*'Agences &amp; Après-vente'!$E$2:$E$1000)),"yyyy-mm-dd"),"")))))</f>
        <v/>
      </c>
      <c r="H929" s="131" t="str">
        <f aca="false">IF($R929="✓","✓",IF(ISNUMBER($R929),TEXT($R929,"yyyy-mm-dd"),IF($A929="","",IF($D929="Lisbonne","",IF(SUMPRODUCT(('Agences &amp; Après-vente'!$A$2:$A$1000=$A929)*(('Agences &amp; Après-vente'!$D$2:$D$1000="Agences")+('Agences &amp; Après-vente'!$D$2:$D$1000="Agences et Après-vente"))*('Agences &amp; Après-vente'!$I$2:$I$1000="DONE"))&gt;0,"✓",IF(SUMPRODUCT(MAX(('Agences &amp; Après-vente'!$A$2:$A$1000=$A929)*(('Agences &amp; Après-vente'!$D$2:$D$1000="Agences")+('Agences &amp; Après-vente'!$D$2:$D$1000="Agences et Après-vente"))*'Agences &amp; Après-vente'!$E$2:$E$1000))&gt;0,TEXT(SUMPRODUCT(MAX(('Agences &amp; Après-vente'!$A$2:$A$1000=$A929)*(('Agences &amp; Après-vente'!$D$2:$D$1000="Agences")+('Agences &amp; Après-vente'!$D$2:$D$1000="Agences et Après-vente"))*'Agences &amp; Après-vente'!$E$2:$E$1000)),"yyyy-mm-dd"),""))))))</f>
        <v/>
      </c>
      <c r="I929" s="131" t="str">
        <f aca="false">IF($S929="✓","✓",IF(ISNUMBER($S929),TEXT($S929,"yyyy-mm-dd"),IF($A929="","",IF(SUMPRODUCT(('Agences &amp; Après-vente'!$A$2:$A$1000=$A929)*(('Agences &amp; Après-vente'!$D$2:$D$1000="Après-vente")+('Agences &amp; Après-vente'!$D$2:$D$1000="Agences et Après-vente"))*('Agences &amp; Après-vente'!$I$2:$I$1000="DONE"))&gt;0,"✓",IF(SUMPRODUCT(MAX(('Agences &amp; Après-vente'!$A$2:$A$1000=$A929)*(('Agences &amp; Après-vente'!$D$2:$D$1000="Après-vente")+('Agences &amp; Après-vente'!$D$2:$D$1000="Agences et Après-vente"))*'Agences &amp; Après-vente'!$E$2:$E$1000))&gt;0,TEXT(SUMPRODUCT(MAX(('Agences &amp; Après-vente'!$A$2:$A$1000=$A929)*(('Agences &amp; Après-vente'!$D$2:$D$1000="Après-vente")+('Agences &amp; Après-vente'!$D$2:$D$1000="Agences et Après-vente"))*'Agences &amp; Après-vente'!$E$2:$E$1000)),"yyyy-mm-dd"),"")))))</f>
        <v/>
      </c>
      <c r="J929" s="131" t="str">
        <f aca="false">IF($T929="✓","✓",IF(ISNUMBER($T929),TEXT($T929,"yyyy-mm-dd"),IF($A929="","",IF($D929="Lisbonne","",IF(SUMPRODUCT(('Agences &amp; Après-vente'!$A$2:$A$1000=$A929)*(('Agences &amp; Après-vente'!$D$2:$D$1000="Après-vente")+('Agences &amp; Après-vente'!$D$2:$D$1000="Agences et Après-vente"))*('Agences &amp; Après-vente'!$I$2:$I$1000="DONE"))&gt;0,"✓",IF(SUMPRODUCT(MAX(('Agences &amp; Après-vente'!$A$2:$A$1000=$A929)*(('Agences &amp; Après-vente'!$D$2:$D$1000="Après-vente")+('Agences &amp; Après-vente'!$D$2:$D$1000="Agences et Après-vente"))*'Agences &amp; Après-vente'!$E$2:$E$1000))&gt;0,TEXT(SUMPRODUCT(MAX(('Agences &amp; Après-vente'!$A$2:$A$1000=$A929)*(('Agences &amp; Après-vente'!$D$2:$D$1000="Après-vente")+('Agences &amp; Après-vente'!$D$2:$D$1000="Agences et Après-vente"))*'Agences &amp; Après-vente'!$E$2:$E$1000)),"yyyy-mm-dd"),""))))))</f>
        <v/>
      </c>
      <c r="K929" s="131" t="str">
        <f aca="false">IF($U929="✓","✓",IF(ISNUMBER($U929),TEXT($U929,"yyyy-mm-dd"),IF($D929="Lisbonne","",IF($A929="","",IF(SUMPRODUCT((Evermont!$A$2:$A$1000=$A929)*(Evermont!$Q$2:$Q$1000="Terminé"))&gt;0,"✓",IF(SUMPRODUCT(MAX((Evermont!$A$2:$A$1000=$A929)*Evermont!$F$2:$F$1000))&gt;0,TEXT(SUMPRODUCT(MAX((Evermont!$A$2:$A$1000=$A929)*Evermont!$F$2:$F$1000)),"yyyy-mm-dd"),""))))))</f>
        <v/>
      </c>
      <c r="L929" s="131" t="str">
        <f aca="false">IF($A929="","",COUNTIF(E929:K929,"✓"))</f>
        <v/>
      </c>
      <c r="M929" s="131" t="str">
        <f aca="false">IF(B929="","","Active")</f>
        <v/>
      </c>
      <c r="W929" s="120" t="str">
        <f aca="false">IF($A929="","",IF($X929&lt;&gt;"",$X929,IFERROR(INDEX('Formation Initiale'!$B$2:$B$999,MATCH($A929,'Formation Initiale'!$A$2:$A$999,0)),"Général")))</f>
        <v/>
      </c>
    </row>
    <row r="930" customFormat="false" ht="15" hidden="true" customHeight="true" outlineLevel="0" collapsed="false">
      <c r="A930" s="142" t="str">
        <f aca="false">IF(B930="","","TR"&amp;TEXT(ROW()-1,"000"))</f>
        <v/>
      </c>
      <c r="E930" s="130" t="str">
        <f aca="false">IF($O930="✓","✓",IF(ISNUMBER($O930),TEXT($O930,"yyyy-mm-dd"),IF($A930="","",IF(SUMPRODUCT(('Formation Initiale'!$A$2:$A$999=$A930)*('Formation Initiale'!$R$2:$R$999="Terminé"))&gt;0,"✓",IF(SUMPRODUCT(MAX(('Formation Initiale'!$A$2:$A$999=$A930)*'Formation Initiale'!$G$2:$G$999))&gt;0,TEXT(SUMPRODUCT(MAX(('Formation Initiale'!$A$2:$A$999=$A930)*'Formation Initiale'!$G$2:$G$999)),"yyyy-mm-dd"),"")))))</f>
        <v/>
      </c>
      <c r="F930" s="131" t="str">
        <f aca="false">IF($P930="✓","✓",IF(ISNUMBER($P930),TEXT($P930,"yyyy-mm-dd"),IF($A930="","",IF($D930="Lisbonne","",IF(SUMPRODUCT(('Formation Initiale'!$A$2:$A$999=$A930)*('Formation Initiale'!$R$2:$R$999="Terminé"))&gt;0,"✓",IF(SUMPRODUCT(MAX(('Formation Initiale'!$A$2:$A$999=$A930)*'Formation Initiale'!$G$2:$G$999))&gt;0,TEXT(SUMPRODUCT(MAX(('Formation Initiale'!$A$2:$A$999=$A930)*'Formation Initiale'!$G$2:$G$999)),"yyyy-mm-dd"),""))))))</f>
        <v/>
      </c>
      <c r="G930" s="131" t="str">
        <f aca="false">IF($Q930="✓","✓",IF(ISNUMBER($Q930),TEXT($Q930,"yyyy-mm-dd"),IF($A930="","",IF(SUMPRODUCT(('Agences &amp; Après-vente'!$A$2:$A$1000=$A930)*(('Agences &amp; Après-vente'!$D$2:$D$1000="Agences")+('Agences &amp; Après-vente'!$D$2:$D$1000="Agences et Après-vente"))*('Agences &amp; Après-vente'!$I$2:$I$1000="DONE"))&gt;0,"✓",IF(SUMPRODUCT(MAX(('Agences &amp; Après-vente'!$A$2:$A$1000=$A930)*(('Agences &amp; Après-vente'!$D$2:$D$1000="Agences")+('Agences &amp; Après-vente'!$D$2:$D$1000="Agences et Après-vente"))*'Agences &amp; Après-vente'!$E$2:$E$1000))&gt;0,TEXT(SUMPRODUCT(MAX(('Agences &amp; Après-vente'!$A$2:$A$1000=$A930)*(('Agences &amp; Après-vente'!$D$2:$D$1000="Agences")+('Agences &amp; Après-vente'!$D$2:$D$1000="Agences et Après-vente"))*'Agences &amp; Après-vente'!$E$2:$E$1000)),"yyyy-mm-dd"),"")))))</f>
        <v/>
      </c>
      <c r="H930" s="131" t="str">
        <f aca="false">IF($R930="✓","✓",IF(ISNUMBER($R930),TEXT($R930,"yyyy-mm-dd"),IF($A930="","",IF($D930="Lisbonne","",IF(SUMPRODUCT(('Agences &amp; Après-vente'!$A$2:$A$1000=$A930)*(('Agences &amp; Après-vente'!$D$2:$D$1000="Agences")+('Agences &amp; Après-vente'!$D$2:$D$1000="Agences et Après-vente"))*('Agences &amp; Après-vente'!$I$2:$I$1000="DONE"))&gt;0,"✓",IF(SUMPRODUCT(MAX(('Agences &amp; Après-vente'!$A$2:$A$1000=$A930)*(('Agences &amp; Après-vente'!$D$2:$D$1000="Agences")+('Agences &amp; Après-vente'!$D$2:$D$1000="Agences et Après-vente"))*'Agences &amp; Après-vente'!$E$2:$E$1000))&gt;0,TEXT(SUMPRODUCT(MAX(('Agences &amp; Après-vente'!$A$2:$A$1000=$A930)*(('Agences &amp; Après-vente'!$D$2:$D$1000="Agences")+('Agences &amp; Après-vente'!$D$2:$D$1000="Agences et Après-vente"))*'Agences &amp; Après-vente'!$E$2:$E$1000)),"yyyy-mm-dd"),""))))))</f>
        <v/>
      </c>
      <c r="I930" s="131" t="str">
        <f aca="false">IF($S930="✓","✓",IF(ISNUMBER($S930),TEXT($S930,"yyyy-mm-dd"),IF($A930="","",IF(SUMPRODUCT(('Agences &amp; Après-vente'!$A$2:$A$1000=$A930)*(('Agences &amp; Après-vente'!$D$2:$D$1000="Après-vente")+('Agences &amp; Après-vente'!$D$2:$D$1000="Agences et Après-vente"))*('Agences &amp; Après-vente'!$I$2:$I$1000="DONE"))&gt;0,"✓",IF(SUMPRODUCT(MAX(('Agences &amp; Après-vente'!$A$2:$A$1000=$A930)*(('Agences &amp; Après-vente'!$D$2:$D$1000="Après-vente")+('Agences &amp; Après-vente'!$D$2:$D$1000="Agences et Après-vente"))*'Agences &amp; Après-vente'!$E$2:$E$1000))&gt;0,TEXT(SUMPRODUCT(MAX(('Agences &amp; Après-vente'!$A$2:$A$1000=$A930)*(('Agences &amp; Après-vente'!$D$2:$D$1000="Après-vente")+('Agences &amp; Après-vente'!$D$2:$D$1000="Agences et Après-vente"))*'Agences &amp; Après-vente'!$E$2:$E$1000)),"yyyy-mm-dd"),"")))))</f>
        <v/>
      </c>
      <c r="J930" s="131" t="str">
        <f aca="false">IF($T930="✓","✓",IF(ISNUMBER($T930),TEXT($T930,"yyyy-mm-dd"),IF($A930="","",IF($D930="Lisbonne","",IF(SUMPRODUCT(('Agences &amp; Après-vente'!$A$2:$A$1000=$A930)*(('Agences &amp; Après-vente'!$D$2:$D$1000="Après-vente")+('Agences &amp; Après-vente'!$D$2:$D$1000="Agences et Après-vente"))*('Agences &amp; Après-vente'!$I$2:$I$1000="DONE"))&gt;0,"✓",IF(SUMPRODUCT(MAX(('Agences &amp; Après-vente'!$A$2:$A$1000=$A930)*(('Agences &amp; Après-vente'!$D$2:$D$1000="Après-vente")+('Agences &amp; Après-vente'!$D$2:$D$1000="Agences et Après-vente"))*'Agences &amp; Après-vente'!$E$2:$E$1000))&gt;0,TEXT(SUMPRODUCT(MAX(('Agences &amp; Après-vente'!$A$2:$A$1000=$A930)*(('Agences &amp; Après-vente'!$D$2:$D$1000="Après-vente")+('Agences &amp; Après-vente'!$D$2:$D$1000="Agences et Après-vente"))*'Agences &amp; Après-vente'!$E$2:$E$1000)),"yyyy-mm-dd"),""))))))</f>
        <v/>
      </c>
      <c r="K930" s="131" t="str">
        <f aca="false">IF($U930="✓","✓",IF(ISNUMBER($U930),TEXT($U930,"yyyy-mm-dd"),IF($D930="Lisbonne","",IF($A930="","",IF(SUMPRODUCT((Evermont!$A$2:$A$1000=$A930)*(Evermont!$Q$2:$Q$1000="Terminé"))&gt;0,"✓",IF(SUMPRODUCT(MAX((Evermont!$A$2:$A$1000=$A930)*Evermont!$F$2:$F$1000))&gt;0,TEXT(SUMPRODUCT(MAX((Evermont!$A$2:$A$1000=$A930)*Evermont!$F$2:$F$1000)),"yyyy-mm-dd"),""))))))</f>
        <v/>
      </c>
      <c r="L930" s="131" t="str">
        <f aca="false">IF($A930="","",COUNTIF(E930:K930,"✓"))</f>
        <v/>
      </c>
      <c r="M930" s="131" t="str">
        <f aca="false">IF(B930="","","Active")</f>
        <v/>
      </c>
      <c r="W930" s="120" t="str">
        <f aca="false">IF($A930="","",IF($X930&lt;&gt;"",$X930,IFERROR(INDEX('Formation Initiale'!$B$2:$B$999,MATCH($A930,'Formation Initiale'!$A$2:$A$999,0)),"Général")))</f>
        <v/>
      </c>
    </row>
    <row r="931" customFormat="false" ht="15" hidden="true" customHeight="true" outlineLevel="0" collapsed="false">
      <c r="A931" s="142" t="str">
        <f aca="false">IF(B931="","","TR"&amp;TEXT(ROW()-1,"000"))</f>
        <v/>
      </c>
      <c r="E931" s="130" t="str">
        <f aca="false">IF($O931="✓","✓",IF(ISNUMBER($O931),TEXT($O931,"yyyy-mm-dd"),IF($A931="","",IF(SUMPRODUCT(('Formation Initiale'!$A$2:$A$999=$A931)*('Formation Initiale'!$R$2:$R$999="Terminé"))&gt;0,"✓",IF(SUMPRODUCT(MAX(('Formation Initiale'!$A$2:$A$999=$A931)*'Formation Initiale'!$G$2:$G$999))&gt;0,TEXT(SUMPRODUCT(MAX(('Formation Initiale'!$A$2:$A$999=$A931)*'Formation Initiale'!$G$2:$G$999)),"yyyy-mm-dd"),"")))))</f>
        <v/>
      </c>
      <c r="F931" s="131" t="str">
        <f aca="false">IF($P931="✓","✓",IF(ISNUMBER($P931),TEXT($P931,"yyyy-mm-dd"),IF($A931="","",IF($D931="Lisbonne","",IF(SUMPRODUCT(('Formation Initiale'!$A$2:$A$999=$A931)*('Formation Initiale'!$R$2:$R$999="Terminé"))&gt;0,"✓",IF(SUMPRODUCT(MAX(('Formation Initiale'!$A$2:$A$999=$A931)*'Formation Initiale'!$G$2:$G$999))&gt;0,TEXT(SUMPRODUCT(MAX(('Formation Initiale'!$A$2:$A$999=$A931)*'Formation Initiale'!$G$2:$G$999)),"yyyy-mm-dd"),""))))))</f>
        <v/>
      </c>
      <c r="G931" s="131" t="str">
        <f aca="false">IF($Q931="✓","✓",IF(ISNUMBER($Q931),TEXT($Q931,"yyyy-mm-dd"),IF($A931="","",IF(SUMPRODUCT(('Agences &amp; Après-vente'!$A$2:$A$1000=$A931)*(('Agences &amp; Après-vente'!$D$2:$D$1000="Agences")+('Agences &amp; Après-vente'!$D$2:$D$1000="Agences et Après-vente"))*('Agences &amp; Après-vente'!$I$2:$I$1000="DONE"))&gt;0,"✓",IF(SUMPRODUCT(MAX(('Agences &amp; Après-vente'!$A$2:$A$1000=$A931)*(('Agences &amp; Après-vente'!$D$2:$D$1000="Agences")+('Agences &amp; Après-vente'!$D$2:$D$1000="Agences et Après-vente"))*'Agences &amp; Après-vente'!$E$2:$E$1000))&gt;0,TEXT(SUMPRODUCT(MAX(('Agences &amp; Après-vente'!$A$2:$A$1000=$A931)*(('Agences &amp; Après-vente'!$D$2:$D$1000="Agences")+('Agences &amp; Après-vente'!$D$2:$D$1000="Agences et Après-vente"))*'Agences &amp; Après-vente'!$E$2:$E$1000)),"yyyy-mm-dd"),"")))))</f>
        <v/>
      </c>
      <c r="H931" s="131" t="str">
        <f aca="false">IF($R931="✓","✓",IF(ISNUMBER($R931),TEXT($R931,"yyyy-mm-dd"),IF($A931="","",IF($D931="Lisbonne","",IF(SUMPRODUCT(('Agences &amp; Après-vente'!$A$2:$A$1000=$A931)*(('Agences &amp; Après-vente'!$D$2:$D$1000="Agences")+('Agences &amp; Après-vente'!$D$2:$D$1000="Agences et Après-vente"))*('Agences &amp; Après-vente'!$I$2:$I$1000="DONE"))&gt;0,"✓",IF(SUMPRODUCT(MAX(('Agences &amp; Après-vente'!$A$2:$A$1000=$A931)*(('Agences &amp; Après-vente'!$D$2:$D$1000="Agences")+('Agences &amp; Après-vente'!$D$2:$D$1000="Agences et Après-vente"))*'Agences &amp; Après-vente'!$E$2:$E$1000))&gt;0,TEXT(SUMPRODUCT(MAX(('Agences &amp; Après-vente'!$A$2:$A$1000=$A931)*(('Agences &amp; Après-vente'!$D$2:$D$1000="Agences")+('Agences &amp; Après-vente'!$D$2:$D$1000="Agences et Après-vente"))*'Agences &amp; Après-vente'!$E$2:$E$1000)),"yyyy-mm-dd"),""))))))</f>
        <v/>
      </c>
      <c r="I931" s="131" t="str">
        <f aca="false">IF($S931="✓","✓",IF(ISNUMBER($S931),TEXT($S931,"yyyy-mm-dd"),IF($A931="","",IF(SUMPRODUCT(('Agences &amp; Après-vente'!$A$2:$A$1000=$A931)*(('Agences &amp; Après-vente'!$D$2:$D$1000="Après-vente")+('Agences &amp; Après-vente'!$D$2:$D$1000="Agences et Après-vente"))*('Agences &amp; Après-vente'!$I$2:$I$1000="DONE"))&gt;0,"✓",IF(SUMPRODUCT(MAX(('Agences &amp; Après-vente'!$A$2:$A$1000=$A931)*(('Agences &amp; Après-vente'!$D$2:$D$1000="Après-vente")+('Agences &amp; Après-vente'!$D$2:$D$1000="Agences et Après-vente"))*'Agences &amp; Après-vente'!$E$2:$E$1000))&gt;0,TEXT(SUMPRODUCT(MAX(('Agences &amp; Après-vente'!$A$2:$A$1000=$A931)*(('Agences &amp; Après-vente'!$D$2:$D$1000="Après-vente")+('Agences &amp; Après-vente'!$D$2:$D$1000="Agences et Après-vente"))*'Agences &amp; Après-vente'!$E$2:$E$1000)),"yyyy-mm-dd"),"")))))</f>
        <v/>
      </c>
      <c r="J931" s="131" t="str">
        <f aca="false">IF($T931="✓","✓",IF(ISNUMBER($T931),TEXT($T931,"yyyy-mm-dd"),IF($A931="","",IF($D931="Lisbonne","",IF(SUMPRODUCT(('Agences &amp; Après-vente'!$A$2:$A$1000=$A931)*(('Agences &amp; Après-vente'!$D$2:$D$1000="Après-vente")+('Agences &amp; Après-vente'!$D$2:$D$1000="Agences et Après-vente"))*('Agences &amp; Après-vente'!$I$2:$I$1000="DONE"))&gt;0,"✓",IF(SUMPRODUCT(MAX(('Agences &amp; Après-vente'!$A$2:$A$1000=$A931)*(('Agences &amp; Après-vente'!$D$2:$D$1000="Après-vente")+('Agences &amp; Après-vente'!$D$2:$D$1000="Agences et Après-vente"))*'Agences &amp; Après-vente'!$E$2:$E$1000))&gt;0,TEXT(SUMPRODUCT(MAX(('Agences &amp; Après-vente'!$A$2:$A$1000=$A931)*(('Agences &amp; Après-vente'!$D$2:$D$1000="Après-vente")+('Agences &amp; Après-vente'!$D$2:$D$1000="Agences et Après-vente"))*'Agences &amp; Après-vente'!$E$2:$E$1000)),"yyyy-mm-dd"),""))))))</f>
        <v/>
      </c>
      <c r="K931" s="131" t="str">
        <f aca="false">IF($U931="✓","✓",IF(ISNUMBER($U931),TEXT($U931,"yyyy-mm-dd"),IF($D931="Lisbonne","",IF($A931="","",IF(SUMPRODUCT((Evermont!$A$2:$A$1000=$A931)*(Evermont!$Q$2:$Q$1000="Terminé"))&gt;0,"✓",IF(SUMPRODUCT(MAX((Evermont!$A$2:$A$1000=$A931)*Evermont!$F$2:$F$1000))&gt;0,TEXT(SUMPRODUCT(MAX((Evermont!$A$2:$A$1000=$A931)*Evermont!$F$2:$F$1000)),"yyyy-mm-dd"),""))))))</f>
        <v/>
      </c>
      <c r="L931" s="131" t="str">
        <f aca="false">IF($A931="","",COUNTIF(E931:K931,"✓"))</f>
        <v/>
      </c>
      <c r="M931" s="131" t="str">
        <f aca="false">IF(B931="","","Active")</f>
        <v/>
      </c>
      <c r="W931" s="120" t="str">
        <f aca="false">IF($A931="","",IF($X931&lt;&gt;"",$X931,IFERROR(INDEX('Formation Initiale'!$B$2:$B$999,MATCH($A931,'Formation Initiale'!$A$2:$A$999,0)),"Général")))</f>
        <v/>
      </c>
    </row>
    <row r="932" customFormat="false" ht="15" hidden="true" customHeight="true" outlineLevel="0" collapsed="false">
      <c r="A932" s="142" t="str">
        <f aca="false">IF(B932="","","TR"&amp;TEXT(ROW()-1,"000"))</f>
        <v/>
      </c>
      <c r="E932" s="130" t="str">
        <f aca="false">IF($O932="✓","✓",IF(ISNUMBER($O932),TEXT($O932,"yyyy-mm-dd"),IF($A932="","",IF(SUMPRODUCT(('Formation Initiale'!$A$2:$A$999=$A932)*('Formation Initiale'!$R$2:$R$999="Terminé"))&gt;0,"✓",IF(SUMPRODUCT(MAX(('Formation Initiale'!$A$2:$A$999=$A932)*'Formation Initiale'!$G$2:$G$999))&gt;0,TEXT(SUMPRODUCT(MAX(('Formation Initiale'!$A$2:$A$999=$A932)*'Formation Initiale'!$G$2:$G$999)),"yyyy-mm-dd"),"")))))</f>
        <v/>
      </c>
      <c r="F932" s="131" t="str">
        <f aca="false">IF($P932="✓","✓",IF(ISNUMBER($P932),TEXT($P932,"yyyy-mm-dd"),IF($A932="","",IF($D932="Lisbonne","",IF(SUMPRODUCT(('Formation Initiale'!$A$2:$A$999=$A932)*('Formation Initiale'!$R$2:$R$999="Terminé"))&gt;0,"✓",IF(SUMPRODUCT(MAX(('Formation Initiale'!$A$2:$A$999=$A932)*'Formation Initiale'!$G$2:$G$999))&gt;0,TEXT(SUMPRODUCT(MAX(('Formation Initiale'!$A$2:$A$999=$A932)*'Formation Initiale'!$G$2:$G$999)),"yyyy-mm-dd"),""))))))</f>
        <v/>
      </c>
      <c r="G932" s="131" t="str">
        <f aca="false">IF($Q932="✓","✓",IF(ISNUMBER($Q932),TEXT($Q932,"yyyy-mm-dd"),IF($A932="","",IF(SUMPRODUCT(('Agences &amp; Après-vente'!$A$2:$A$1000=$A932)*(('Agences &amp; Après-vente'!$D$2:$D$1000="Agences")+('Agences &amp; Après-vente'!$D$2:$D$1000="Agences et Après-vente"))*('Agences &amp; Après-vente'!$I$2:$I$1000="DONE"))&gt;0,"✓",IF(SUMPRODUCT(MAX(('Agences &amp; Après-vente'!$A$2:$A$1000=$A932)*(('Agences &amp; Après-vente'!$D$2:$D$1000="Agences")+('Agences &amp; Après-vente'!$D$2:$D$1000="Agences et Après-vente"))*'Agences &amp; Après-vente'!$E$2:$E$1000))&gt;0,TEXT(SUMPRODUCT(MAX(('Agences &amp; Après-vente'!$A$2:$A$1000=$A932)*(('Agences &amp; Après-vente'!$D$2:$D$1000="Agences")+('Agences &amp; Après-vente'!$D$2:$D$1000="Agences et Après-vente"))*'Agences &amp; Après-vente'!$E$2:$E$1000)),"yyyy-mm-dd"),"")))))</f>
        <v/>
      </c>
      <c r="H932" s="131" t="str">
        <f aca="false">IF($R932="✓","✓",IF(ISNUMBER($R932),TEXT($R932,"yyyy-mm-dd"),IF($A932="","",IF($D932="Lisbonne","",IF(SUMPRODUCT(('Agences &amp; Après-vente'!$A$2:$A$1000=$A932)*(('Agences &amp; Après-vente'!$D$2:$D$1000="Agences")+('Agences &amp; Après-vente'!$D$2:$D$1000="Agences et Après-vente"))*('Agences &amp; Après-vente'!$I$2:$I$1000="DONE"))&gt;0,"✓",IF(SUMPRODUCT(MAX(('Agences &amp; Après-vente'!$A$2:$A$1000=$A932)*(('Agences &amp; Après-vente'!$D$2:$D$1000="Agences")+('Agences &amp; Après-vente'!$D$2:$D$1000="Agences et Après-vente"))*'Agences &amp; Après-vente'!$E$2:$E$1000))&gt;0,TEXT(SUMPRODUCT(MAX(('Agences &amp; Après-vente'!$A$2:$A$1000=$A932)*(('Agences &amp; Après-vente'!$D$2:$D$1000="Agences")+('Agences &amp; Après-vente'!$D$2:$D$1000="Agences et Après-vente"))*'Agences &amp; Après-vente'!$E$2:$E$1000)),"yyyy-mm-dd"),""))))))</f>
        <v/>
      </c>
      <c r="I932" s="131" t="str">
        <f aca="false">IF($S932="✓","✓",IF(ISNUMBER($S932),TEXT($S932,"yyyy-mm-dd"),IF($A932="","",IF(SUMPRODUCT(('Agences &amp; Après-vente'!$A$2:$A$1000=$A932)*(('Agences &amp; Après-vente'!$D$2:$D$1000="Après-vente")+('Agences &amp; Après-vente'!$D$2:$D$1000="Agences et Après-vente"))*('Agences &amp; Après-vente'!$I$2:$I$1000="DONE"))&gt;0,"✓",IF(SUMPRODUCT(MAX(('Agences &amp; Après-vente'!$A$2:$A$1000=$A932)*(('Agences &amp; Après-vente'!$D$2:$D$1000="Après-vente")+('Agences &amp; Après-vente'!$D$2:$D$1000="Agences et Après-vente"))*'Agences &amp; Après-vente'!$E$2:$E$1000))&gt;0,TEXT(SUMPRODUCT(MAX(('Agences &amp; Après-vente'!$A$2:$A$1000=$A932)*(('Agences &amp; Après-vente'!$D$2:$D$1000="Après-vente")+('Agences &amp; Après-vente'!$D$2:$D$1000="Agences et Après-vente"))*'Agences &amp; Après-vente'!$E$2:$E$1000)),"yyyy-mm-dd"),"")))))</f>
        <v/>
      </c>
      <c r="J932" s="131" t="str">
        <f aca="false">IF($T932="✓","✓",IF(ISNUMBER($T932),TEXT($T932,"yyyy-mm-dd"),IF($A932="","",IF($D932="Lisbonne","",IF(SUMPRODUCT(('Agences &amp; Après-vente'!$A$2:$A$1000=$A932)*(('Agences &amp; Après-vente'!$D$2:$D$1000="Après-vente")+('Agences &amp; Après-vente'!$D$2:$D$1000="Agences et Après-vente"))*('Agences &amp; Après-vente'!$I$2:$I$1000="DONE"))&gt;0,"✓",IF(SUMPRODUCT(MAX(('Agences &amp; Après-vente'!$A$2:$A$1000=$A932)*(('Agences &amp; Après-vente'!$D$2:$D$1000="Après-vente")+('Agences &amp; Après-vente'!$D$2:$D$1000="Agences et Après-vente"))*'Agences &amp; Après-vente'!$E$2:$E$1000))&gt;0,TEXT(SUMPRODUCT(MAX(('Agences &amp; Après-vente'!$A$2:$A$1000=$A932)*(('Agences &amp; Après-vente'!$D$2:$D$1000="Après-vente")+('Agences &amp; Après-vente'!$D$2:$D$1000="Agences et Après-vente"))*'Agences &amp; Après-vente'!$E$2:$E$1000)),"yyyy-mm-dd"),""))))))</f>
        <v/>
      </c>
      <c r="K932" s="131" t="str">
        <f aca="false">IF($U932="✓","✓",IF(ISNUMBER($U932),TEXT($U932,"yyyy-mm-dd"),IF($D932="Lisbonne","",IF($A932="","",IF(SUMPRODUCT((Evermont!$A$2:$A$1000=$A932)*(Evermont!$Q$2:$Q$1000="Terminé"))&gt;0,"✓",IF(SUMPRODUCT(MAX((Evermont!$A$2:$A$1000=$A932)*Evermont!$F$2:$F$1000))&gt;0,TEXT(SUMPRODUCT(MAX((Evermont!$A$2:$A$1000=$A932)*Evermont!$F$2:$F$1000)),"yyyy-mm-dd"),""))))))</f>
        <v/>
      </c>
      <c r="L932" s="131" t="str">
        <f aca="false">IF($A932="","",COUNTIF(E932:K932,"✓"))</f>
        <v/>
      </c>
      <c r="M932" s="131" t="str">
        <f aca="false">IF(B932="","","Active")</f>
        <v/>
      </c>
      <c r="W932" s="120" t="str">
        <f aca="false">IF($A932="","",IF($X932&lt;&gt;"",$X932,IFERROR(INDEX('Formation Initiale'!$B$2:$B$999,MATCH($A932,'Formation Initiale'!$A$2:$A$999,0)),"Général")))</f>
        <v/>
      </c>
    </row>
    <row r="933" customFormat="false" ht="15" hidden="true" customHeight="true" outlineLevel="0" collapsed="false">
      <c r="A933" s="142" t="str">
        <f aca="false">IF(B933="","","TR"&amp;TEXT(ROW()-1,"000"))</f>
        <v/>
      </c>
      <c r="E933" s="130" t="str">
        <f aca="false">IF($O933="✓","✓",IF(ISNUMBER($O933),TEXT($O933,"yyyy-mm-dd"),IF($A933="","",IF(SUMPRODUCT(('Formation Initiale'!$A$2:$A$999=$A933)*('Formation Initiale'!$R$2:$R$999="Terminé"))&gt;0,"✓",IF(SUMPRODUCT(MAX(('Formation Initiale'!$A$2:$A$999=$A933)*'Formation Initiale'!$G$2:$G$999))&gt;0,TEXT(SUMPRODUCT(MAX(('Formation Initiale'!$A$2:$A$999=$A933)*'Formation Initiale'!$G$2:$G$999)),"yyyy-mm-dd"),"")))))</f>
        <v/>
      </c>
      <c r="F933" s="131" t="str">
        <f aca="false">IF($P933="✓","✓",IF(ISNUMBER($P933),TEXT($P933,"yyyy-mm-dd"),IF($A933="","",IF($D933="Lisbonne","",IF(SUMPRODUCT(('Formation Initiale'!$A$2:$A$999=$A933)*('Formation Initiale'!$R$2:$R$999="Terminé"))&gt;0,"✓",IF(SUMPRODUCT(MAX(('Formation Initiale'!$A$2:$A$999=$A933)*'Formation Initiale'!$G$2:$G$999))&gt;0,TEXT(SUMPRODUCT(MAX(('Formation Initiale'!$A$2:$A$999=$A933)*'Formation Initiale'!$G$2:$G$999)),"yyyy-mm-dd"),""))))))</f>
        <v/>
      </c>
      <c r="G933" s="131" t="str">
        <f aca="false">IF($Q933="✓","✓",IF(ISNUMBER($Q933),TEXT($Q933,"yyyy-mm-dd"),IF($A933="","",IF(SUMPRODUCT(('Agences &amp; Après-vente'!$A$2:$A$1000=$A933)*(('Agences &amp; Après-vente'!$D$2:$D$1000="Agences")+('Agences &amp; Après-vente'!$D$2:$D$1000="Agences et Après-vente"))*('Agences &amp; Après-vente'!$I$2:$I$1000="DONE"))&gt;0,"✓",IF(SUMPRODUCT(MAX(('Agences &amp; Après-vente'!$A$2:$A$1000=$A933)*(('Agences &amp; Après-vente'!$D$2:$D$1000="Agences")+('Agences &amp; Après-vente'!$D$2:$D$1000="Agences et Après-vente"))*'Agences &amp; Après-vente'!$E$2:$E$1000))&gt;0,TEXT(SUMPRODUCT(MAX(('Agences &amp; Après-vente'!$A$2:$A$1000=$A933)*(('Agences &amp; Après-vente'!$D$2:$D$1000="Agences")+('Agences &amp; Après-vente'!$D$2:$D$1000="Agences et Après-vente"))*'Agences &amp; Après-vente'!$E$2:$E$1000)),"yyyy-mm-dd"),"")))))</f>
        <v/>
      </c>
      <c r="H933" s="131" t="str">
        <f aca="false">IF($R933="✓","✓",IF(ISNUMBER($R933),TEXT($R933,"yyyy-mm-dd"),IF($A933="","",IF($D933="Lisbonne","",IF(SUMPRODUCT(('Agences &amp; Après-vente'!$A$2:$A$1000=$A933)*(('Agences &amp; Après-vente'!$D$2:$D$1000="Agences")+('Agences &amp; Après-vente'!$D$2:$D$1000="Agences et Après-vente"))*('Agences &amp; Après-vente'!$I$2:$I$1000="DONE"))&gt;0,"✓",IF(SUMPRODUCT(MAX(('Agences &amp; Après-vente'!$A$2:$A$1000=$A933)*(('Agences &amp; Après-vente'!$D$2:$D$1000="Agences")+('Agences &amp; Après-vente'!$D$2:$D$1000="Agences et Après-vente"))*'Agences &amp; Après-vente'!$E$2:$E$1000))&gt;0,TEXT(SUMPRODUCT(MAX(('Agences &amp; Après-vente'!$A$2:$A$1000=$A933)*(('Agences &amp; Après-vente'!$D$2:$D$1000="Agences")+('Agences &amp; Après-vente'!$D$2:$D$1000="Agences et Après-vente"))*'Agences &amp; Après-vente'!$E$2:$E$1000)),"yyyy-mm-dd"),""))))))</f>
        <v/>
      </c>
      <c r="I933" s="131" t="str">
        <f aca="false">IF($S933="✓","✓",IF(ISNUMBER($S933),TEXT($S933,"yyyy-mm-dd"),IF($A933="","",IF(SUMPRODUCT(('Agences &amp; Après-vente'!$A$2:$A$1000=$A933)*(('Agences &amp; Après-vente'!$D$2:$D$1000="Après-vente")+('Agences &amp; Après-vente'!$D$2:$D$1000="Agences et Après-vente"))*('Agences &amp; Après-vente'!$I$2:$I$1000="DONE"))&gt;0,"✓",IF(SUMPRODUCT(MAX(('Agences &amp; Après-vente'!$A$2:$A$1000=$A933)*(('Agences &amp; Après-vente'!$D$2:$D$1000="Après-vente")+('Agences &amp; Après-vente'!$D$2:$D$1000="Agences et Après-vente"))*'Agences &amp; Après-vente'!$E$2:$E$1000))&gt;0,TEXT(SUMPRODUCT(MAX(('Agences &amp; Après-vente'!$A$2:$A$1000=$A933)*(('Agences &amp; Après-vente'!$D$2:$D$1000="Après-vente")+('Agences &amp; Après-vente'!$D$2:$D$1000="Agences et Après-vente"))*'Agences &amp; Après-vente'!$E$2:$E$1000)),"yyyy-mm-dd"),"")))))</f>
        <v/>
      </c>
      <c r="J933" s="131" t="str">
        <f aca="false">IF($T933="✓","✓",IF(ISNUMBER($T933),TEXT($T933,"yyyy-mm-dd"),IF($A933="","",IF($D933="Lisbonne","",IF(SUMPRODUCT(('Agences &amp; Après-vente'!$A$2:$A$1000=$A933)*(('Agences &amp; Après-vente'!$D$2:$D$1000="Après-vente")+('Agences &amp; Après-vente'!$D$2:$D$1000="Agences et Après-vente"))*('Agences &amp; Après-vente'!$I$2:$I$1000="DONE"))&gt;0,"✓",IF(SUMPRODUCT(MAX(('Agences &amp; Après-vente'!$A$2:$A$1000=$A933)*(('Agences &amp; Après-vente'!$D$2:$D$1000="Après-vente")+('Agences &amp; Après-vente'!$D$2:$D$1000="Agences et Après-vente"))*'Agences &amp; Après-vente'!$E$2:$E$1000))&gt;0,TEXT(SUMPRODUCT(MAX(('Agences &amp; Après-vente'!$A$2:$A$1000=$A933)*(('Agences &amp; Après-vente'!$D$2:$D$1000="Après-vente")+('Agences &amp; Après-vente'!$D$2:$D$1000="Agences et Après-vente"))*'Agences &amp; Après-vente'!$E$2:$E$1000)),"yyyy-mm-dd"),""))))))</f>
        <v/>
      </c>
      <c r="K933" s="131" t="str">
        <f aca="false">IF($U933="✓","✓",IF(ISNUMBER($U933),TEXT($U933,"yyyy-mm-dd"),IF($D933="Lisbonne","",IF($A933="","",IF(SUMPRODUCT((Evermont!$A$2:$A$1000=$A933)*(Evermont!$Q$2:$Q$1000="Terminé"))&gt;0,"✓",IF(SUMPRODUCT(MAX((Evermont!$A$2:$A$1000=$A933)*Evermont!$F$2:$F$1000))&gt;0,TEXT(SUMPRODUCT(MAX((Evermont!$A$2:$A$1000=$A933)*Evermont!$F$2:$F$1000)),"yyyy-mm-dd"),""))))))</f>
        <v/>
      </c>
      <c r="L933" s="131" t="str">
        <f aca="false">IF($A933="","",COUNTIF(E933:K933,"✓"))</f>
        <v/>
      </c>
      <c r="M933" s="131" t="str">
        <f aca="false">IF(B933="","","Active")</f>
        <v/>
      </c>
      <c r="W933" s="120" t="str">
        <f aca="false">IF($A933="","",IF($X933&lt;&gt;"",$X933,IFERROR(INDEX('Formation Initiale'!$B$2:$B$999,MATCH($A933,'Formation Initiale'!$A$2:$A$999,0)),"Général")))</f>
        <v/>
      </c>
    </row>
    <row r="934" customFormat="false" ht="15" hidden="true" customHeight="true" outlineLevel="0" collapsed="false">
      <c r="A934" s="142" t="str">
        <f aca="false">IF(B934="","","TR"&amp;TEXT(ROW()-1,"000"))</f>
        <v/>
      </c>
      <c r="E934" s="130" t="str">
        <f aca="false">IF($O934="✓","✓",IF(ISNUMBER($O934),TEXT($O934,"yyyy-mm-dd"),IF($A934="","",IF(SUMPRODUCT(('Formation Initiale'!$A$2:$A$999=$A934)*('Formation Initiale'!$R$2:$R$999="Terminé"))&gt;0,"✓",IF(SUMPRODUCT(MAX(('Formation Initiale'!$A$2:$A$999=$A934)*'Formation Initiale'!$G$2:$G$999))&gt;0,TEXT(SUMPRODUCT(MAX(('Formation Initiale'!$A$2:$A$999=$A934)*'Formation Initiale'!$G$2:$G$999)),"yyyy-mm-dd"),"")))))</f>
        <v/>
      </c>
      <c r="F934" s="131" t="str">
        <f aca="false">IF($P934="✓","✓",IF(ISNUMBER($P934),TEXT($P934,"yyyy-mm-dd"),IF($A934="","",IF($D934="Lisbonne","",IF(SUMPRODUCT(('Formation Initiale'!$A$2:$A$999=$A934)*('Formation Initiale'!$R$2:$R$999="Terminé"))&gt;0,"✓",IF(SUMPRODUCT(MAX(('Formation Initiale'!$A$2:$A$999=$A934)*'Formation Initiale'!$G$2:$G$999))&gt;0,TEXT(SUMPRODUCT(MAX(('Formation Initiale'!$A$2:$A$999=$A934)*'Formation Initiale'!$G$2:$G$999)),"yyyy-mm-dd"),""))))))</f>
        <v/>
      </c>
      <c r="G934" s="131" t="str">
        <f aca="false">IF($Q934="✓","✓",IF(ISNUMBER($Q934),TEXT($Q934,"yyyy-mm-dd"),IF($A934="","",IF(SUMPRODUCT(('Agences &amp; Après-vente'!$A$2:$A$1000=$A934)*(('Agences &amp; Après-vente'!$D$2:$D$1000="Agences")+('Agences &amp; Après-vente'!$D$2:$D$1000="Agences et Après-vente"))*('Agences &amp; Après-vente'!$I$2:$I$1000="DONE"))&gt;0,"✓",IF(SUMPRODUCT(MAX(('Agences &amp; Après-vente'!$A$2:$A$1000=$A934)*(('Agences &amp; Après-vente'!$D$2:$D$1000="Agences")+('Agences &amp; Après-vente'!$D$2:$D$1000="Agences et Après-vente"))*'Agences &amp; Après-vente'!$E$2:$E$1000))&gt;0,TEXT(SUMPRODUCT(MAX(('Agences &amp; Après-vente'!$A$2:$A$1000=$A934)*(('Agences &amp; Après-vente'!$D$2:$D$1000="Agences")+('Agences &amp; Après-vente'!$D$2:$D$1000="Agences et Après-vente"))*'Agences &amp; Après-vente'!$E$2:$E$1000)),"yyyy-mm-dd"),"")))))</f>
        <v/>
      </c>
      <c r="H934" s="131" t="str">
        <f aca="false">IF($R934="✓","✓",IF(ISNUMBER($R934),TEXT($R934,"yyyy-mm-dd"),IF($A934="","",IF($D934="Lisbonne","",IF(SUMPRODUCT(('Agences &amp; Après-vente'!$A$2:$A$1000=$A934)*(('Agences &amp; Après-vente'!$D$2:$D$1000="Agences")+('Agences &amp; Après-vente'!$D$2:$D$1000="Agences et Après-vente"))*('Agences &amp; Après-vente'!$I$2:$I$1000="DONE"))&gt;0,"✓",IF(SUMPRODUCT(MAX(('Agences &amp; Après-vente'!$A$2:$A$1000=$A934)*(('Agences &amp; Après-vente'!$D$2:$D$1000="Agences")+('Agences &amp; Après-vente'!$D$2:$D$1000="Agences et Après-vente"))*'Agences &amp; Après-vente'!$E$2:$E$1000))&gt;0,TEXT(SUMPRODUCT(MAX(('Agences &amp; Après-vente'!$A$2:$A$1000=$A934)*(('Agences &amp; Après-vente'!$D$2:$D$1000="Agences")+('Agences &amp; Après-vente'!$D$2:$D$1000="Agences et Après-vente"))*'Agences &amp; Après-vente'!$E$2:$E$1000)),"yyyy-mm-dd"),""))))))</f>
        <v/>
      </c>
      <c r="I934" s="131" t="str">
        <f aca="false">IF($S934="✓","✓",IF(ISNUMBER($S934),TEXT($S934,"yyyy-mm-dd"),IF($A934="","",IF(SUMPRODUCT(('Agences &amp; Après-vente'!$A$2:$A$1000=$A934)*(('Agences &amp; Après-vente'!$D$2:$D$1000="Après-vente")+('Agences &amp; Après-vente'!$D$2:$D$1000="Agences et Après-vente"))*('Agences &amp; Après-vente'!$I$2:$I$1000="DONE"))&gt;0,"✓",IF(SUMPRODUCT(MAX(('Agences &amp; Après-vente'!$A$2:$A$1000=$A934)*(('Agences &amp; Après-vente'!$D$2:$D$1000="Après-vente")+('Agences &amp; Après-vente'!$D$2:$D$1000="Agences et Après-vente"))*'Agences &amp; Après-vente'!$E$2:$E$1000))&gt;0,TEXT(SUMPRODUCT(MAX(('Agences &amp; Après-vente'!$A$2:$A$1000=$A934)*(('Agences &amp; Après-vente'!$D$2:$D$1000="Après-vente")+('Agences &amp; Après-vente'!$D$2:$D$1000="Agences et Après-vente"))*'Agences &amp; Après-vente'!$E$2:$E$1000)),"yyyy-mm-dd"),"")))))</f>
        <v/>
      </c>
      <c r="J934" s="131" t="str">
        <f aca="false">IF($T934="✓","✓",IF(ISNUMBER($T934),TEXT($T934,"yyyy-mm-dd"),IF($A934="","",IF($D934="Lisbonne","",IF(SUMPRODUCT(('Agences &amp; Après-vente'!$A$2:$A$1000=$A934)*(('Agences &amp; Après-vente'!$D$2:$D$1000="Après-vente")+('Agences &amp; Après-vente'!$D$2:$D$1000="Agences et Après-vente"))*('Agences &amp; Après-vente'!$I$2:$I$1000="DONE"))&gt;0,"✓",IF(SUMPRODUCT(MAX(('Agences &amp; Après-vente'!$A$2:$A$1000=$A934)*(('Agences &amp; Après-vente'!$D$2:$D$1000="Après-vente")+('Agences &amp; Après-vente'!$D$2:$D$1000="Agences et Après-vente"))*'Agences &amp; Après-vente'!$E$2:$E$1000))&gt;0,TEXT(SUMPRODUCT(MAX(('Agences &amp; Après-vente'!$A$2:$A$1000=$A934)*(('Agences &amp; Après-vente'!$D$2:$D$1000="Après-vente")+('Agences &amp; Après-vente'!$D$2:$D$1000="Agences et Après-vente"))*'Agences &amp; Après-vente'!$E$2:$E$1000)),"yyyy-mm-dd"),""))))))</f>
        <v/>
      </c>
      <c r="K934" s="131" t="str">
        <f aca="false">IF($U934="✓","✓",IF(ISNUMBER($U934),TEXT($U934,"yyyy-mm-dd"),IF($D934="Lisbonne","",IF($A934="","",IF(SUMPRODUCT((Evermont!$A$2:$A$1000=$A934)*(Evermont!$Q$2:$Q$1000="Terminé"))&gt;0,"✓",IF(SUMPRODUCT(MAX((Evermont!$A$2:$A$1000=$A934)*Evermont!$F$2:$F$1000))&gt;0,TEXT(SUMPRODUCT(MAX((Evermont!$A$2:$A$1000=$A934)*Evermont!$F$2:$F$1000)),"yyyy-mm-dd"),""))))))</f>
        <v/>
      </c>
      <c r="L934" s="131" t="str">
        <f aca="false">IF($A934="","",COUNTIF(E934:K934,"✓"))</f>
        <v/>
      </c>
      <c r="M934" s="131" t="str">
        <f aca="false">IF(B934="","","Active")</f>
        <v/>
      </c>
      <c r="W934" s="120" t="str">
        <f aca="false">IF($A934="","",IF($X934&lt;&gt;"",$X934,IFERROR(INDEX('Formation Initiale'!$B$2:$B$999,MATCH($A934,'Formation Initiale'!$A$2:$A$999,0)),"Général")))</f>
        <v/>
      </c>
    </row>
    <row r="935" customFormat="false" ht="15" hidden="true" customHeight="true" outlineLevel="0" collapsed="false">
      <c r="A935" s="142" t="str">
        <f aca="false">IF(B935="","","TR"&amp;TEXT(ROW()-1,"000"))</f>
        <v/>
      </c>
      <c r="E935" s="130" t="str">
        <f aca="false">IF($O935="✓","✓",IF(ISNUMBER($O935),TEXT($O935,"yyyy-mm-dd"),IF($A935="","",IF(SUMPRODUCT(('Formation Initiale'!$A$2:$A$999=$A935)*('Formation Initiale'!$R$2:$R$999="Terminé"))&gt;0,"✓",IF(SUMPRODUCT(MAX(('Formation Initiale'!$A$2:$A$999=$A935)*'Formation Initiale'!$G$2:$G$999))&gt;0,TEXT(SUMPRODUCT(MAX(('Formation Initiale'!$A$2:$A$999=$A935)*'Formation Initiale'!$G$2:$G$999)),"yyyy-mm-dd"),"")))))</f>
        <v/>
      </c>
      <c r="F935" s="131" t="str">
        <f aca="false">IF($P935="✓","✓",IF(ISNUMBER($P935),TEXT($P935,"yyyy-mm-dd"),IF($A935="","",IF($D935="Lisbonne","",IF(SUMPRODUCT(('Formation Initiale'!$A$2:$A$999=$A935)*('Formation Initiale'!$R$2:$R$999="Terminé"))&gt;0,"✓",IF(SUMPRODUCT(MAX(('Formation Initiale'!$A$2:$A$999=$A935)*'Formation Initiale'!$G$2:$G$999))&gt;0,TEXT(SUMPRODUCT(MAX(('Formation Initiale'!$A$2:$A$999=$A935)*'Formation Initiale'!$G$2:$G$999)),"yyyy-mm-dd"),""))))))</f>
        <v/>
      </c>
      <c r="G935" s="131" t="str">
        <f aca="false">IF($Q935="✓","✓",IF(ISNUMBER($Q935),TEXT($Q935,"yyyy-mm-dd"),IF($A935="","",IF(SUMPRODUCT(('Agences &amp; Après-vente'!$A$2:$A$1000=$A935)*(('Agences &amp; Après-vente'!$D$2:$D$1000="Agences")+('Agences &amp; Après-vente'!$D$2:$D$1000="Agences et Après-vente"))*('Agences &amp; Après-vente'!$I$2:$I$1000="DONE"))&gt;0,"✓",IF(SUMPRODUCT(MAX(('Agences &amp; Après-vente'!$A$2:$A$1000=$A935)*(('Agences &amp; Après-vente'!$D$2:$D$1000="Agences")+('Agences &amp; Après-vente'!$D$2:$D$1000="Agences et Après-vente"))*'Agences &amp; Après-vente'!$E$2:$E$1000))&gt;0,TEXT(SUMPRODUCT(MAX(('Agences &amp; Après-vente'!$A$2:$A$1000=$A935)*(('Agences &amp; Après-vente'!$D$2:$D$1000="Agences")+('Agences &amp; Après-vente'!$D$2:$D$1000="Agences et Après-vente"))*'Agences &amp; Après-vente'!$E$2:$E$1000)),"yyyy-mm-dd"),"")))))</f>
        <v/>
      </c>
      <c r="H935" s="131" t="str">
        <f aca="false">IF($R935="✓","✓",IF(ISNUMBER($R935),TEXT($R935,"yyyy-mm-dd"),IF($A935="","",IF($D935="Lisbonne","",IF(SUMPRODUCT(('Agences &amp; Après-vente'!$A$2:$A$1000=$A935)*(('Agences &amp; Après-vente'!$D$2:$D$1000="Agences")+('Agences &amp; Après-vente'!$D$2:$D$1000="Agences et Après-vente"))*('Agences &amp; Après-vente'!$I$2:$I$1000="DONE"))&gt;0,"✓",IF(SUMPRODUCT(MAX(('Agences &amp; Après-vente'!$A$2:$A$1000=$A935)*(('Agences &amp; Après-vente'!$D$2:$D$1000="Agences")+('Agences &amp; Après-vente'!$D$2:$D$1000="Agences et Après-vente"))*'Agences &amp; Après-vente'!$E$2:$E$1000))&gt;0,TEXT(SUMPRODUCT(MAX(('Agences &amp; Après-vente'!$A$2:$A$1000=$A935)*(('Agences &amp; Après-vente'!$D$2:$D$1000="Agences")+('Agences &amp; Après-vente'!$D$2:$D$1000="Agences et Après-vente"))*'Agences &amp; Après-vente'!$E$2:$E$1000)),"yyyy-mm-dd"),""))))))</f>
        <v/>
      </c>
      <c r="I935" s="131" t="str">
        <f aca="false">IF($S935="✓","✓",IF(ISNUMBER($S935),TEXT($S935,"yyyy-mm-dd"),IF($A935="","",IF(SUMPRODUCT(('Agences &amp; Après-vente'!$A$2:$A$1000=$A935)*(('Agences &amp; Après-vente'!$D$2:$D$1000="Après-vente")+('Agences &amp; Après-vente'!$D$2:$D$1000="Agences et Après-vente"))*('Agences &amp; Après-vente'!$I$2:$I$1000="DONE"))&gt;0,"✓",IF(SUMPRODUCT(MAX(('Agences &amp; Après-vente'!$A$2:$A$1000=$A935)*(('Agences &amp; Après-vente'!$D$2:$D$1000="Après-vente")+('Agences &amp; Après-vente'!$D$2:$D$1000="Agences et Après-vente"))*'Agences &amp; Après-vente'!$E$2:$E$1000))&gt;0,TEXT(SUMPRODUCT(MAX(('Agences &amp; Après-vente'!$A$2:$A$1000=$A935)*(('Agences &amp; Après-vente'!$D$2:$D$1000="Après-vente")+('Agences &amp; Après-vente'!$D$2:$D$1000="Agences et Après-vente"))*'Agences &amp; Après-vente'!$E$2:$E$1000)),"yyyy-mm-dd"),"")))))</f>
        <v/>
      </c>
      <c r="J935" s="131" t="str">
        <f aca="false">IF($T935="✓","✓",IF(ISNUMBER($T935),TEXT($T935,"yyyy-mm-dd"),IF($A935="","",IF($D935="Lisbonne","",IF(SUMPRODUCT(('Agences &amp; Après-vente'!$A$2:$A$1000=$A935)*(('Agences &amp; Après-vente'!$D$2:$D$1000="Après-vente")+('Agences &amp; Après-vente'!$D$2:$D$1000="Agences et Après-vente"))*('Agences &amp; Après-vente'!$I$2:$I$1000="DONE"))&gt;0,"✓",IF(SUMPRODUCT(MAX(('Agences &amp; Après-vente'!$A$2:$A$1000=$A935)*(('Agences &amp; Après-vente'!$D$2:$D$1000="Après-vente")+('Agences &amp; Après-vente'!$D$2:$D$1000="Agences et Après-vente"))*'Agences &amp; Après-vente'!$E$2:$E$1000))&gt;0,TEXT(SUMPRODUCT(MAX(('Agences &amp; Après-vente'!$A$2:$A$1000=$A935)*(('Agences &amp; Après-vente'!$D$2:$D$1000="Après-vente")+('Agences &amp; Après-vente'!$D$2:$D$1000="Agences et Après-vente"))*'Agences &amp; Après-vente'!$E$2:$E$1000)),"yyyy-mm-dd"),""))))))</f>
        <v/>
      </c>
      <c r="K935" s="131" t="str">
        <f aca="false">IF($U935="✓","✓",IF(ISNUMBER($U935),TEXT($U935,"yyyy-mm-dd"),IF($D935="Lisbonne","",IF($A935="","",IF(SUMPRODUCT((Evermont!$A$2:$A$1000=$A935)*(Evermont!$Q$2:$Q$1000="Terminé"))&gt;0,"✓",IF(SUMPRODUCT(MAX((Evermont!$A$2:$A$1000=$A935)*Evermont!$F$2:$F$1000))&gt;0,TEXT(SUMPRODUCT(MAX((Evermont!$A$2:$A$1000=$A935)*Evermont!$F$2:$F$1000)),"yyyy-mm-dd"),""))))))</f>
        <v/>
      </c>
      <c r="L935" s="131" t="str">
        <f aca="false">IF($A935="","",COUNTIF(E935:K935,"✓"))</f>
        <v/>
      </c>
      <c r="M935" s="131" t="str">
        <f aca="false">IF(B935="","","Active")</f>
        <v/>
      </c>
      <c r="W935" s="120" t="str">
        <f aca="false">IF($A935="","",IF($X935&lt;&gt;"",$X935,IFERROR(INDEX('Formation Initiale'!$B$2:$B$999,MATCH($A935,'Formation Initiale'!$A$2:$A$999,0)),"Général")))</f>
        <v/>
      </c>
    </row>
    <row r="936" customFormat="false" ht="15" hidden="true" customHeight="true" outlineLevel="0" collapsed="false">
      <c r="A936" s="142" t="str">
        <f aca="false">IF(B936="","","TR"&amp;TEXT(ROW()-1,"000"))</f>
        <v/>
      </c>
      <c r="E936" s="130" t="str">
        <f aca="false">IF($O936="✓","✓",IF(ISNUMBER($O936),TEXT($O936,"yyyy-mm-dd"),IF($A936="","",IF(SUMPRODUCT(('Formation Initiale'!$A$2:$A$999=$A936)*('Formation Initiale'!$R$2:$R$999="Terminé"))&gt;0,"✓",IF(SUMPRODUCT(MAX(('Formation Initiale'!$A$2:$A$999=$A936)*'Formation Initiale'!$G$2:$G$999))&gt;0,TEXT(SUMPRODUCT(MAX(('Formation Initiale'!$A$2:$A$999=$A936)*'Formation Initiale'!$G$2:$G$999)),"yyyy-mm-dd"),"")))))</f>
        <v/>
      </c>
      <c r="F936" s="131" t="str">
        <f aca="false">IF($P936="✓","✓",IF(ISNUMBER($P936),TEXT($P936,"yyyy-mm-dd"),IF($A936="","",IF($D936="Lisbonne","",IF(SUMPRODUCT(('Formation Initiale'!$A$2:$A$999=$A936)*('Formation Initiale'!$R$2:$R$999="Terminé"))&gt;0,"✓",IF(SUMPRODUCT(MAX(('Formation Initiale'!$A$2:$A$999=$A936)*'Formation Initiale'!$G$2:$G$999))&gt;0,TEXT(SUMPRODUCT(MAX(('Formation Initiale'!$A$2:$A$999=$A936)*'Formation Initiale'!$G$2:$G$999)),"yyyy-mm-dd"),""))))))</f>
        <v/>
      </c>
      <c r="G936" s="131" t="str">
        <f aca="false">IF($Q936="✓","✓",IF(ISNUMBER($Q936),TEXT($Q936,"yyyy-mm-dd"),IF($A936="","",IF(SUMPRODUCT(('Agences &amp; Après-vente'!$A$2:$A$1000=$A936)*(('Agences &amp; Après-vente'!$D$2:$D$1000="Agences")+('Agences &amp; Après-vente'!$D$2:$D$1000="Agences et Après-vente"))*('Agences &amp; Après-vente'!$I$2:$I$1000="DONE"))&gt;0,"✓",IF(SUMPRODUCT(MAX(('Agences &amp; Après-vente'!$A$2:$A$1000=$A936)*(('Agences &amp; Après-vente'!$D$2:$D$1000="Agences")+('Agences &amp; Après-vente'!$D$2:$D$1000="Agences et Après-vente"))*'Agences &amp; Après-vente'!$E$2:$E$1000))&gt;0,TEXT(SUMPRODUCT(MAX(('Agences &amp; Après-vente'!$A$2:$A$1000=$A936)*(('Agences &amp; Après-vente'!$D$2:$D$1000="Agences")+('Agences &amp; Après-vente'!$D$2:$D$1000="Agences et Après-vente"))*'Agences &amp; Après-vente'!$E$2:$E$1000)),"yyyy-mm-dd"),"")))))</f>
        <v/>
      </c>
      <c r="H936" s="131" t="str">
        <f aca="false">IF($R936="✓","✓",IF(ISNUMBER($R936),TEXT($R936,"yyyy-mm-dd"),IF($A936="","",IF($D936="Lisbonne","",IF(SUMPRODUCT(('Agences &amp; Après-vente'!$A$2:$A$1000=$A936)*(('Agences &amp; Après-vente'!$D$2:$D$1000="Agences")+('Agences &amp; Après-vente'!$D$2:$D$1000="Agences et Après-vente"))*('Agences &amp; Après-vente'!$I$2:$I$1000="DONE"))&gt;0,"✓",IF(SUMPRODUCT(MAX(('Agences &amp; Après-vente'!$A$2:$A$1000=$A936)*(('Agences &amp; Après-vente'!$D$2:$D$1000="Agences")+('Agences &amp; Après-vente'!$D$2:$D$1000="Agences et Après-vente"))*'Agences &amp; Après-vente'!$E$2:$E$1000))&gt;0,TEXT(SUMPRODUCT(MAX(('Agences &amp; Après-vente'!$A$2:$A$1000=$A936)*(('Agences &amp; Après-vente'!$D$2:$D$1000="Agences")+('Agences &amp; Après-vente'!$D$2:$D$1000="Agences et Après-vente"))*'Agences &amp; Après-vente'!$E$2:$E$1000)),"yyyy-mm-dd"),""))))))</f>
        <v/>
      </c>
      <c r="I936" s="131" t="str">
        <f aca="false">IF($S936="✓","✓",IF(ISNUMBER($S936),TEXT($S936,"yyyy-mm-dd"),IF($A936="","",IF(SUMPRODUCT(('Agences &amp; Après-vente'!$A$2:$A$1000=$A936)*(('Agences &amp; Après-vente'!$D$2:$D$1000="Après-vente")+('Agences &amp; Après-vente'!$D$2:$D$1000="Agences et Après-vente"))*('Agences &amp; Après-vente'!$I$2:$I$1000="DONE"))&gt;0,"✓",IF(SUMPRODUCT(MAX(('Agences &amp; Après-vente'!$A$2:$A$1000=$A936)*(('Agences &amp; Après-vente'!$D$2:$D$1000="Après-vente")+('Agences &amp; Après-vente'!$D$2:$D$1000="Agences et Après-vente"))*'Agences &amp; Après-vente'!$E$2:$E$1000))&gt;0,TEXT(SUMPRODUCT(MAX(('Agences &amp; Après-vente'!$A$2:$A$1000=$A936)*(('Agences &amp; Après-vente'!$D$2:$D$1000="Après-vente")+('Agences &amp; Après-vente'!$D$2:$D$1000="Agences et Après-vente"))*'Agences &amp; Après-vente'!$E$2:$E$1000)),"yyyy-mm-dd"),"")))))</f>
        <v/>
      </c>
      <c r="J936" s="131" t="str">
        <f aca="false">IF($T936="✓","✓",IF(ISNUMBER($T936),TEXT($T936,"yyyy-mm-dd"),IF($A936="","",IF($D936="Lisbonne","",IF(SUMPRODUCT(('Agences &amp; Après-vente'!$A$2:$A$1000=$A936)*(('Agences &amp; Après-vente'!$D$2:$D$1000="Après-vente")+('Agences &amp; Après-vente'!$D$2:$D$1000="Agences et Après-vente"))*('Agences &amp; Après-vente'!$I$2:$I$1000="DONE"))&gt;0,"✓",IF(SUMPRODUCT(MAX(('Agences &amp; Après-vente'!$A$2:$A$1000=$A936)*(('Agences &amp; Après-vente'!$D$2:$D$1000="Après-vente")+('Agences &amp; Après-vente'!$D$2:$D$1000="Agences et Après-vente"))*'Agences &amp; Après-vente'!$E$2:$E$1000))&gt;0,TEXT(SUMPRODUCT(MAX(('Agences &amp; Après-vente'!$A$2:$A$1000=$A936)*(('Agences &amp; Après-vente'!$D$2:$D$1000="Après-vente")+('Agences &amp; Après-vente'!$D$2:$D$1000="Agences et Après-vente"))*'Agences &amp; Après-vente'!$E$2:$E$1000)),"yyyy-mm-dd"),""))))))</f>
        <v/>
      </c>
      <c r="K936" s="131" t="str">
        <f aca="false">IF($U936="✓","✓",IF(ISNUMBER($U936),TEXT($U936,"yyyy-mm-dd"),IF($D936="Lisbonne","",IF($A936="","",IF(SUMPRODUCT((Evermont!$A$2:$A$1000=$A936)*(Evermont!$Q$2:$Q$1000="Terminé"))&gt;0,"✓",IF(SUMPRODUCT(MAX((Evermont!$A$2:$A$1000=$A936)*Evermont!$F$2:$F$1000))&gt;0,TEXT(SUMPRODUCT(MAX((Evermont!$A$2:$A$1000=$A936)*Evermont!$F$2:$F$1000)),"yyyy-mm-dd"),""))))))</f>
        <v/>
      </c>
      <c r="L936" s="131" t="str">
        <f aca="false">IF($A936="","",COUNTIF(E936:K936,"✓"))</f>
        <v/>
      </c>
      <c r="M936" s="131" t="str">
        <f aca="false">IF(B936="","","Active")</f>
        <v/>
      </c>
      <c r="W936" s="120" t="str">
        <f aca="false">IF($A936="","",IF($X936&lt;&gt;"",$X936,IFERROR(INDEX('Formation Initiale'!$B$2:$B$999,MATCH($A936,'Formation Initiale'!$A$2:$A$999,0)),"Général")))</f>
        <v/>
      </c>
    </row>
    <row r="937" customFormat="false" ht="15" hidden="true" customHeight="true" outlineLevel="0" collapsed="false">
      <c r="A937" s="142" t="str">
        <f aca="false">IF(B937="","","TR"&amp;TEXT(ROW()-1,"000"))</f>
        <v/>
      </c>
      <c r="E937" s="130" t="str">
        <f aca="false">IF($O937="✓","✓",IF(ISNUMBER($O937),TEXT($O937,"yyyy-mm-dd"),IF($A937="","",IF(SUMPRODUCT(('Formation Initiale'!$A$2:$A$999=$A937)*('Formation Initiale'!$R$2:$R$999="Terminé"))&gt;0,"✓",IF(SUMPRODUCT(MAX(('Formation Initiale'!$A$2:$A$999=$A937)*'Formation Initiale'!$G$2:$G$999))&gt;0,TEXT(SUMPRODUCT(MAX(('Formation Initiale'!$A$2:$A$999=$A937)*'Formation Initiale'!$G$2:$G$999)),"yyyy-mm-dd"),"")))))</f>
        <v/>
      </c>
      <c r="F937" s="131" t="str">
        <f aca="false">IF($P937="✓","✓",IF(ISNUMBER($P937),TEXT($P937,"yyyy-mm-dd"),IF($A937="","",IF($D937="Lisbonne","",IF(SUMPRODUCT(('Formation Initiale'!$A$2:$A$999=$A937)*('Formation Initiale'!$R$2:$R$999="Terminé"))&gt;0,"✓",IF(SUMPRODUCT(MAX(('Formation Initiale'!$A$2:$A$999=$A937)*'Formation Initiale'!$G$2:$G$999))&gt;0,TEXT(SUMPRODUCT(MAX(('Formation Initiale'!$A$2:$A$999=$A937)*'Formation Initiale'!$G$2:$G$999)),"yyyy-mm-dd"),""))))))</f>
        <v/>
      </c>
      <c r="G937" s="131" t="str">
        <f aca="false">IF($Q937="✓","✓",IF(ISNUMBER($Q937),TEXT($Q937,"yyyy-mm-dd"),IF($A937="","",IF(SUMPRODUCT(('Agences &amp; Après-vente'!$A$2:$A$1000=$A937)*(('Agences &amp; Après-vente'!$D$2:$D$1000="Agences")+('Agences &amp; Après-vente'!$D$2:$D$1000="Agences et Après-vente"))*('Agences &amp; Après-vente'!$I$2:$I$1000="DONE"))&gt;0,"✓",IF(SUMPRODUCT(MAX(('Agences &amp; Après-vente'!$A$2:$A$1000=$A937)*(('Agences &amp; Après-vente'!$D$2:$D$1000="Agences")+('Agences &amp; Après-vente'!$D$2:$D$1000="Agences et Après-vente"))*'Agences &amp; Après-vente'!$E$2:$E$1000))&gt;0,TEXT(SUMPRODUCT(MAX(('Agences &amp; Après-vente'!$A$2:$A$1000=$A937)*(('Agences &amp; Après-vente'!$D$2:$D$1000="Agences")+('Agences &amp; Après-vente'!$D$2:$D$1000="Agences et Après-vente"))*'Agences &amp; Après-vente'!$E$2:$E$1000)),"yyyy-mm-dd"),"")))))</f>
        <v/>
      </c>
      <c r="H937" s="131" t="str">
        <f aca="false">IF($R937="✓","✓",IF(ISNUMBER($R937),TEXT($R937,"yyyy-mm-dd"),IF($A937="","",IF($D937="Lisbonne","",IF(SUMPRODUCT(('Agences &amp; Après-vente'!$A$2:$A$1000=$A937)*(('Agences &amp; Après-vente'!$D$2:$D$1000="Agences")+('Agences &amp; Après-vente'!$D$2:$D$1000="Agences et Après-vente"))*('Agences &amp; Après-vente'!$I$2:$I$1000="DONE"))&gt;0,"✓",IF(SUMPRODUCT(MAX(('Agences &amp; Après-vente'!$A$2:$A$1000=$A937)*(('Agences &amp; Après-vente'!$D$2:$D$1000="Agences")+('Agences &amp; Après-vente'!$D$2:$D$1000="Agences et Après-vente"))*'Agences &amp; Après-vente'!$E$2:$E$1000))&gt;0,TEXT(SUMPRODUCT(MAX(('Agences &amp; Après-vente'!$A$2:$A$1000=$A937)*(('Agences &amp; Après-vente'!$D$2:$D$1000="Agences")+('Agences &amp; Après-vente'!$D$2:$D$1000="Agences et Après-vente"))*'Agences &amp; Après-vente'!$E$2:$E$1000)),"yyyy-mm-dd"),""))))))</f>
        <v/>
      </c>
      <c r="I937" s="131" t="str">
        <f aca="false">IF($S937="✓","✓",IF(ISNUMBER($S937),TEXT($S937,"yyyy-mm-dd"),IF($A937="","",IF(SUMPRODUCT(('Agences &amp; Après-vente'!$A$2:$A$1000=$A937)*(('Agences &amp; Après-vente'!$D$2:$D$1000="Après-vente")+('Agences &amp; Après-vente'!$D$2:$D$1000="Agences et Après-vente"))*('Agences &amp; Après-vente'!$I$2:$I$1000="DONE"))&gt;0,"✓",IF(SUMPRODUCT(MAX(('Agences &amp; Après-vente'!$A$2:$A$1000=$A937)*(('Agences &amp; Après-vente'!$D$2:$D$1000="Après-vente")+('Agences &amp; Après-vente'!$D$2:$D$1000="Agences et Après-vente"))*'Agences &amp; Après-vente'!$E$2:$E$1000))&gt;0,TEXT(SUMPRODUCT(MAX(('Agences &amp; Après-vente'!$A$2:$A$1000=$A937)*(('Agences &amp; Après-vente'!$D$2:$D$1000="Après-vente")+('Agences &amp; Après-vente'!$D$2:$D$1000="Agences et Après-vente"))*'Agences &amp; Après-vente'!$E$2:$E$1000)),"yyyy-mm-dd"),"")))))</f>
        <v/>
      </c>
      <c r="J937" s="131" t="str">
        <f aca="false">IF($T937="✓","✓",IF(ISNUMBER($T937),TEXT($T937,"yyyy-mm-dd"),IF($A937="","",IF($D937="Lisbonne","",IF(SUMPRODUCT(('Agences &amp; Après-vente'!$A$2:$A$1000=$A937)*(('Agences &amp; Après-vente'!$D$2:$D$1000="Après-vente")+('Agences &amp; Après-vente'!$D$2:$D$1000="Agences et Après-vente"))*('Agences &amp; Après-vente'!$I$2:$I$1000="DONE"))&gt;0,"✓",IF(SUMPRODUCT(MAX(('Agences &amp; Après-vente'!$A$2:$A$1000=$A937)*(('Agences &amp; Après-vente'!$D$2:$D$1000="Après-vente")+('Agences &amp; Après-vente'!$D$2:$D$1000="Agences et Après-vente"))*'Agences &amp; Après-vente'!$E$2:$E$1000))&gt;0,TEXT(SUMPRODUCT(MAX(('Agences &amp; Après-vente'!$A$2:$A$1000=$A937)*(('Agences &amp; Après-vente'!$D$2:$D$1000="Après-vente")+('Agences &amp; Après-vente'!$D$2:$D$1000="Agences et Après-vente"))*'Agences &amp; Après-vente'!$E$2:$E$1000)),"yyyy-mm-dd"),""))))))</f>
        <v/>
      </c>
      <c r="K937" s="131" t="str">
        <f aca="false">IF($U937="✓","✓",IF(ISNUMBER($U937),TEXT($U937,"yyyy-mm-dd"),IF($D937="Lisbonne","",IF($A937="","",IF(SUMPRODUCT((Evermont!$A$2:$A$1000=$A937)*(Evermont!$Q$2:$Q$1000="Terminé"))&gt;0,"✓",IF(SUMPRODUCT(MAX((Evermont!$A$2:$A$1000=$A937)*Evermont!$F$2:$F$1000))&gt;0,TEXT(SUMPRODUCT(MAX((Evermont!$A$2:$A$1000=$A937)*Evermont!$F$2:$F$1000)),"yyyy-mm-dd"),""))))))</f>
        <v/>
      </c>
      <c r="L937" s="131" t="str">
        <f aca="false">IF($A937="","",COUNTIF(E937:K937,"✓"))</f>
        <v/>
      </c>
      <c r="M937" s="131" t="str">
        <f aca="false">IF(B937="","","Active")</f>
        <v/>
      </c>
      <c r="W937" s="120" t="str">
        <f aca="false">IF($A937="","",IF($X937&lt;&gt;"",$X937,IFERROR(INDEX('Formation Initiale'!$B$2:$B$999,MATCH($A937,'Formation Initiale'!$A$2:$A$999,0)),"Général")))</f>
        <v/>
      </c>
    </row>
    <row r="938" customFormat="false" ht="15" hidden="true" customHeight="true" outlineLevel="0" collapsed="false">
      <c r="A938" s="142" t="str">
        <f aca="false">IF(B938="","","TR"&amp;TEXT(ROW()-1,"000"))</f>
        <v/>
      </c>
      <c r="E938" s="130" t="str">
        <f aca="false">IF($O938="✓","✓",IF(ISNUMBER($O938),TEXT($O938,"yyyy-mm-dd"),IF($A938="","",IF(SUMPRODUCT(('Formation Initiale'!$A$2:$A$999=$A938)*('Formation Initiale'!$R$2:$R$999="Terminé"))&gt;0,"✓",IF(SUMPRODUCT(MAX(('Formation Initiale'!$A$2:$A$999=$A938)*'Formation Initiale'!$G$2:$G$999))&gt;0,TEXT(SUMPRODUCT(MAX(('Formation Initiale'!$A$2:$A$999=$A938)*'Formation Initiale'!$G$2:$G$999)),"yyyy-mm-dd"),"")))))</f>
        <v/>
      </c>
      <c r="F938" s="131" t="str">
        <f aca="false">IF($P938="✓","✓",IF(ISNUMBER($P938),TEXT($P938,"yyyy-mm-dd"),IF($A938="","",IF($D938="Lisbonne","",IF(SUMPRODUCT(('Formation Initiale'!$A$2:$A$999=$A938)*('Formation Initiale'!$R$2:$R$999="Terminé"))&gt;0,"✓",IF(SUMPRODUCT(MAX(('Formation Initiale'!$A$2:$A$999=$A938)*'Formation Initiale'!$G$2:$G$999))&gt;0,TEXT(SUMPRODUCT(MAX(('Formation Initiale'!$A$2:$A$999=$A938)*'Formation Initiale'!$G$2:$G$999)),"yyyy-mm-dd"),""))))))</f>
        <v/>
      </c>
      <c r="G938" s="131" t="str">
        <f aca="false">IF($Q938="✓","✓",IF(ISNUMBER($Q938),TEXT($Q938,"yyyy-mm-dd"),IF($A938="","",IF(SUMPRODUCT(('Agences &amp; Après-vente'!$A$2:$A$1000=$A938)*(('Agences &amp; Après-vente'!$D$2:$D$1000="Agences")+('Agences &amp; Après-vente'!$D$2:$D$1000="Agences et Après-vente"))*('Agences &amp; Après-vente'!$I$2:$I$1000="DONE"))&gt;0,"✓",IF(SUMPRODUCT(MAX(('Agences &amp; Après-vente'!$A$2:$A$1000=$A938)*(('Agences &amp; Après-vente'!$D$2:$D$1000="Agences")+('Agences &amp; Après-vente'!$D$2:$D$1000="Agences et Après-vente"))*'Agences &amp; Après-vente'!$E$2:$E$1000))&gt;0,TEXT(SUMPRODUCT(MAX(('Agences &amp; Après-vente'!$A$2:$A$1000=$A938)*(('Agences &amp; Après-vente'!$D$2:$D$1000="Agences")+('Agences &amp; Après-vente'!$D$2:$D$1000="Agences et Après-vente"))*'Agences &amp; Après-vente'!$E$2:$E$1000)),"yyyy-mm-dd"),"")))))</f>
        <v/>
      </c>
      <c r="H938" s="131" t="str">
        <f aca="false">IF($R938="✓","✓",IF(ISNUMBER($R938),TEXT($R938,"yyyy-mm-dd"),IF($A938="","",IF($D938="Lisbonne","",IF(SUMPRODUCT(('Agences &amp; Après-vente'!$A$2:$A$1000=$A938)*(('Agences &amp; Après-vente'!$D$2:$D$1000="Agences")+('Agences &amp; Après-vente'!$D$2:$D$1000="Agences et Après-vente"))*('Agences &amp; Après-vente'!$I$2:$I$1000="DONE"))&gt;0,"✓",IF(SUMPRODUCT(MAX(('Agences &amp; Après-vente'!$A$2:$A$1000=$A938)*(('Agences &amp; Après-vente'!$D$2:$D$1000="Agences")+('Agences &amp; Après-vente'!$D$2:$D$1000="Agences et Après-vente"))*'Agences &amp; Après-vente'!$E$2:$E$1000))&gt;0,TEXT(SUMPRODUCT(MAX(('Agences &amp; Après-vente'!$A$2:$A$1000=$A938)*(('Agences &amp; Après-vente'!$D$2:$D$1000="Agences")+('Agences &amp; Après-vente'!$D$2:$D$1000="Agences et Après-vente"))*'Agences &amp; Après-vente'!$E$2:$E$1000)),"yyyy-mm-dd"),""))))))</f>
        <v/>
      </c>
      <c r="I938" s="131" t="str">
        <f aca="false">IF($S938="✓","✓",IF(ISNUMBER($S938),TEXT($S938,"yyyy-mm-dd"),IF($A938="","",IF(SUMPRODUCT(('Agences &amp; Après-vente'!$A$2:$A$1000=$A938)*(('Agences &amp; Après-vente'!$D$2:$D$1000="Après-vente")+('Agences &amp; Après-vente'!$D$2:$D$1000="Agences et Après-vente"))*('Agences &amp; Après-vente'!$I$2:$I$1000="DONE"))&gt;0,"✓",IF(SUMPRODUCT(MAX(('Agences &amp; Après-vente'!$A$2:$A$1000=$A938)*(('Agences &amp; Après-vente'!$D$2:$D$1000="Après-vente")+('Agences &amp; Après-vente'!$D$2:$D$1000="Agences et Après-vente"))*'Agences &amp; Après-vente'!$E$2:$E$1000))&gt;0,TEXT(SUMPRODUCT(MAX(('Agences &amp; Après-vente'!$A$2:$A$1000=$A938)*(('Agences &amp; Après-vente'!$D$2:$D$1000="Après-vente")+('Agences &amp; Après-vente'!$D$2:$D$1000="Agences et Après-vente"))*'Agences &amp; Après-vente'!$E$2:$E$1000)),"yyyy-mm-dd"),"")))))</f>
        <v/>
      </c>
      <c r="J938" s="131" t="str">
        <f aca="false">IF($T938="✓","✓",IF(ISNUMBER($T938),TEXT($T938,"yyyy-mm-dd"),IF($A938="","",IF($D938="Lisbonne","",IF(SUMPRODUCT(('Agences &amp; Après-vente'!$A$2:$A$1000=$A938)*(('Agences &amp; Après-vente'!$D$2:$D$1000="Après-vente")+('Agences &amp; Après-vente'!$D$2:$D$1000="Agences et Après-vente"))*('Agences &amp; Après-vente'!$I$2:$I$1000="DONE"))&gt;0,"✓",IF(SUMPRODUCT(MAX(('Agences &amp; Après-vente'!$A$2:$A$1000=$A938)*(('Agences &amp; Après-vente'!$D$2:$D$1000="Après-vente")+('Agences &amp; Après-vente'!$D$2:$D$1000="Agences et Après-vente"))*'Agences &amp; Après-vente'!$E$2:$E$1000))&gt;0,TEXT(SUMPRODUCT(MAX(('Agences &amp; Après-vente'!$A$2:$A$1000=$A938)*(('Agences &amp; Après-vente'!$D$2:$D$1000="Après-vente")+('Agences &amp; Après-vente'!$D$2:$D$1000="Agences et Après-vente"))*'Agences &amp; Après-vente'!$E$2:$E$1000)),"yyyy-mm-dd"),""))))))</f>
        <v/>
      </c>
      <c r="K938" s="131" t="str">
        <f aca="false">IF($U938="✓","✓",IF(ISNUMBER($U938),TEXT($U938,"yyyy-mm-dd"),IF($D938="Lisbonne","",IF($A938="","",IF(SUMPRODUCT((Evermont!$A$2:$A$1000=$A938)*(Evermont!$Q$2:$Q$1000="Terminé"))&gt;0,"✓",IF(SUMPRODUCT(MAX((Evermont!$A$2:$A$1000=$A938)*Evermont!$F$2:$F$1000))&gt;0,TEXT(SUMPRODUCT(MAX((Evermont!$A$2:$A$1000=$A938)*Evermont!$F$2:$F$1000)),"yyyy-mm-dd"),""))))))</f>
        <v/>
      </c>
      <c r="L938" s="131" t="str">
        <f aca="false">IF($A938="","",COUNTIF(E938:K938,"✓"))</f>
        <v/>
      </c>
      <c r="M938" s="131" t="str">
        <f aca="false">IF(B938="","","Active")</f>
        <v/>
      </c>
      <c r="W938" s="120" t="str">
        <f aca="false">IF($A938="","",IF($X938&lt;&gt;"",$X938,IFERROR(INDEX('Formation Initiale'!$B$2:$B$999,MATCH($A938,'Formation Initiale'!$A$2:$A$999,0)),"Général")))</f>
        <v/>
      </c>
    </row>
    <row r="939" customFormat="false" ht="15" hidden="true" customHeight="true" outlineLevel="0" collapsed="false">
      <c r="A939" s="142" t="str">
        <f aca="false">IF(B939="","","TR"&amp;TEXT(ROW()-1,"000"))</f>
        <v/>
      </c>
      <c r="E939" s="130" t="str">
        <f aca="false">IF($O939="✓","✓",IF(ISNUMBER($O939),TEXT($O939,"yyyy-mm-dd"),IF($A939="","",IF(SUMPRODUCT(('Formation Initiale'!$A$2:$A$999=$A939)*('Formation Initiale'!$R$2:$R$999="Terminé"))&gt;0,"✓",IF(SUMPRODUCT(MAX(('Formation Initiale'!$A$2:$A$999=$A939)*'Formation Initiale'!$G$2:$G$999))&gt;0,TEXT(SUMPRODUCT(MAX(('Formation Initiale'!$A$2:$A$999=$A939)*'Formation Initiale'!$G$2:$G$999)),"yyyy-mm-dd"),"")))))</f>
        <v/>
      </c>
      <c r="F939" s="131" t="str">
        <f aca="false">IF($P939="✓","✓",IF(ISNUMBER($P939),TEXT($P939,"yyyy-mm-dd"),IF($A939="","",IF($D939="Lisbonne","",IF(SUMPRODUCT(('Formation Initiale'!$A$2:$A$999=$A939)*('Formation Initiale'!$R$2:$R$999="Terminé"))&gt;0,"✓",IF(SUMPRODUCT(MAX(('Formation Initiale'!$A$2:$A$999=$A939)*'Formation Initiale'!$G$2:$G$999))&gt;0,TEXT(SUMPRODUCT(MAX(('Formation Initiale'!$A$2:$A$999=$A939)*'Formation Initiale'!$G$2:$G$999)),"yyyy-mm-dd"),""))))))</f>
        <v/>
      </c>
      <c r="G939" s="131" t="str">
        <f aca="false">IF($Q939="✓","✓",IF(ISNUMBER($Q939),TEXT($Q939,"yyyy-mm-dd"),IF($A939="","",IF(SUMPRODUCT(('Agences &amp; Après-vente'!$A$2:$A$1000=$A939)*(('Agences &amp; Après-vente'!$D$2:$D$1000="Agences")+('Agences &amp; Après-vente'!$D$2:$D$1000="Agences et Après-vente"))*('Agences &amp; Après-vente'!$I$2:$I$1000="DONE"))&gt;0,"✓",IF(SUMPRODUCT(MAX(('Agences &amp; Après-vente'!$A$2:$A$1000=$A939)*(('Agences &amp; Après-vente'!$D$2:$D$1000="Agences")+('Agences &amp; Après-vente'!$D$2:$D$1000="Agences et Après-vente"))*'Agences &amp; Après-vente'!$E$2:$E$1000))&gt;0,TEXT(SUMPRODUCT(MAX(('Agences &amp; Après-vente'!$A$2:$A$1000=$A939)*(('Agences &amp; Après-vente'!$D$2:$D$1000="Agences")+('Agences &amp; Après-vente'!$D$2:$D$1000="Agences et Après-vente"))*'Agences &amp; Après-vente'!$E$2:$E$1000)),"yyyy-mm-dd"),"")))))</f>
        <v/>
      </c>
      <c r="H939" s="131" t="str">
        <f aca="false">IF($R939="✓","✓",IF(ISNUMBER($R939),TEXT($R939,"yyyy-mm-dd"),IF($A939="","",IF($D939="Lisbonne","",IF(SUMPRODUCT(('Agences &amp; Après-vente'!$A$2:$A$1000=$A939)*(('Agences &amp; Après-vente'!$D$2:$D$1000="Agences")+('Agences &amp; Après-vente'!$D$2:$D$1000="Agences et Après-vente"))*('Agences &amp; Après-vente'!$I$2:$I$1000="DONE"))&gt;0,"✓",IF(SUMPRODUCT(MAX(('Agences &amp; Après-vente'!$A$2:$A$1000=$A939)*(('Agences &amp; Après-vente'!$D$2:$D$1000="Agences")+('Agences &amp; Après-vente'!$D$2:$D$1000="Agences et Après-vente"))*'Agences &amp; Après-vente'!$E$2:$E$1000))&gt;0,TEXT(SUMPRODUCT(MAX(('Agences &amp; Après-vente'!$A$2:$A$1000=$A939)*(('Agences &amp; Après-vente'!$D$2:$D$1000="Agences")+('Agences &amp; Après-vente'!$D$2:$D$1000="Agences et Après-vente"))*'Agences &amp; Après-vente'!$E$2:$E$1000)),"yyyy-mm-dd"),""))))))</f>
        <v/>
      </c>
      <c r="I939" s="131" t="str">
        <f aca="false">IF($S939="✓","✓",IF(ISNUMBER($S939),TEXT($S939,"yyyy-mm-dd"),IF($A939="","",IF(SUMPRODUCT(('Agences &amp; Après-vente'!$A$2:$A$1000=$A939)*(('Agences &amp; Après-vente'!$D$2:$D$1000="Après-vente")+('Agences &amp; Après-vente'!$D$2:$D$1000="Agences et Après-vente"))*('Agences &amp; Après-vente'!$I$2:$I$1000="DONE"))&gt;0,"✓",IF(SUMPRODUCT(MAX(('Agences &amp; Après-vente'!$A$2:$A$1000=$A939)*(('Agences &amp; Après-vente'!$D$2:$D$1000="Après-vente")+('Agences &amp; Après-vente'!$D$2:$D$1000="Agences et Après-vente"))*'Agences &amp; Après-vente'!$E$2:$E$1000))&gt;0,TEXT(SUMPRODUCT(MAX(('Agences &amp; Après-vente'!$A$2:$A$1000=$A939)*(('Agences &amp; Après-vente'!$D$2:$D$1000="Après-vente")+('Agences &amp; Après-vente'!$D$2:$D$1000="Agences et Après-vente"))*'Agences &amp; Après-vente'!$E$2:$E$1000)),"yyyy-mm-dd"),"")))))</f>
        <v/>
      </c>
      <c r="J939" s="131" t="str">
        <f aca="false">IF($T939="✓","✓",IF(ISNUMBER($T939),TEXT($T939,"yyyy-mm-dd"),IF($A939="","",IF($D939="Lisbonne","",IF(SUMPRODUCT(('Agences &amp; Après-vente'!$A$2:$A$1000=$A939)*(('Agences &amp; Après-vente'!$D$2:$D$1000="Après-vente")+('Agences &amp; Après-vente'!$D$2:$D$1000="Agences et Après-vente"))*('Agences &amp; Après-vente'!$I$2:$I$1000="DONE"))&gt;0,"✓",IF(SUMPRODUCT(MAX(('Agences &amp; Après-vente'!$A$2:$A$1000=$A939)*(('Agences &amp; Après-vente'!$D$2:$D$1000="Après-vente")+('Agences &amp; Après-vente'!$D$2:$D$1000="Agences et Après-vente"))*'Agences &amp; Après-vente'!$E$2:$E$1000))&gt;0,TEXT(SUMPRODUCT(MAX(('Agences &amp; Après-vente'!$A$2:$A$1000=$A939)*(('Agences &amp; Après-vente'!$D$2:$D$1000="Après-vente")+('Agences &amp; Après-vente'!$D$2:$D$1000="Agences et Après-vente"))*'Agences &amp; Après-vente'!$E$2:$E$1000)),"yyyy-mm-dd"),""))))))</f>
        <v/>
      </c>
      <c r="K939" s="131" t="str">
        <f aca="false">IF($U939="✓","✓",IF(ISNUMBER($U939),TEXT($U939,"yyyy-mm-dd"),IF($D939="Lisbonne","",IF($A939="","",IF(SUMPRODUCT((Evermont!$A$2:$A$1000=$A939)*(Evermont!$Q$2:$Q$1000="Terminé"))&gt;0,"✓",IF(SUMPRODUCT(MAX((Evermont!$A$2:$A$1000=$A939)*Evermont!$F$2:$F$1000))&gt;0,TEXT(SUMPRODUCT(MAX((Evermont!$A$2:$A$1000=$A939)*Evermont!$F$2:$F$1000)),"yyyy-mm-dd"),""))))))</f>
        <v/>
      </c>
      <c r="L939" s="131" t="str">
        <f aca="false">IF($A939="","",COUNTIF(E939:K939,"✓"))</f>
        <v/>
      </c>
      <c r="M939" s="131" t="str">
        <f aca="false">IF(B939="","","Active")</f>
        <v/>
      </c>
      <c r="W939" s="120" t="str">
        <f aca="false">IF($A939="","",IF($X939&lt;&gt;"",$X939,IFERROR(INDEX('Formation Initiale'!$B$2:$B$999,MATCH($A939,'Formation Initiale'!$A$2:$A$999,0)),"Général")))</f>
        <v/>
      </c>
    </row>
    <row r="940" customFormat="false" ht="15" hidden="true" customHeight="true" outlineLevel="0" collapsed="false">
      <c r="A940" s="142" t="str">
        <f aca="false">IF(B940="","","TR"&amp;TEXT(ROW()-1,"000"))</f>
        <v/>
      </c>
      <c r="E940" s="130" t="str">
        <f aca="false">IF($O940="✓","✓",IF(ISNUMBER($O940),TEXT($O940,"yyyy-mm-dd"),IF($A940="","",IF(SUMPRODUCT(('Formation Initiale'!$A$2:$A$999=$A940)*('Formation Initiale'!$R$2:$R$999="Terminé"))&gt;0,"✓",IF(SUMPRODUCT(MAX(('Formation Initiale'!$A$2:$A$999=$A940)*'Formation Initiale'!$G$2:$G$999))&gt;0,TEXT(SUMPRODUCT(MAX(('Formation Initiale'!$A$2:$A$999=$A940)*'Formation Initiale'!$G$2:$G$999)),"yyyy-mm-dd"),"")))))</f>
        <v/>
      </c>
      <c r="F940" s="131" t="str">
        <f aca="false">IF($P940="✓","✓",IF(ISNUMBER($P940),TEXT($P940,"yyyy-mm-dd"),IF($A940="","",IF($D940="Lisbonne","",IF(SUMPRODUCT(('Formation Initiale'!$A$2:$A$999=$A940)*('Formation Initiale'!$R$2:$R$999="Terminé"))&gt;0,"✓",IF(SUMPRODUCT(MAX(('Formation Initiale'!$A$2:$A$999=$A940)*'Formation Initiale'!$G$2:$G$999))&gt;0,TEXT(SUMPRODUCT(MAX(('Formation Initiale'!$A$2:$A$999=$A940)*'Formation Initiale'!$G$2:$G$999)),"yyyy-mm-dd"),""))))))</f>
        <v/>
      </c>
      <c r="G940" s="131" t="str">
        <f aca="false">IF($Q940="✓","✓",IF(ISNUMBER($Q940),TEXT($Q940,"yyyy-mm-dd"),IF($A940="","",IF(SUMPRODUCT(('Agences &amp; Après-vente'!$A$2:$A$1000=$A940)*(('Agences &amp; Après-vente'!$D$2:$D$1000="Agences")+('Agences &amp; Après-vente'!$D$2:$D$1000="Agences et Après-vente"))*('Agences &amp; Après-vente'!$I$2:$I$1000="DONE"))&gt;0,"✓",IF(SUMPRODUCT(MAX(('Agences &amp; Après-vente'!$A$2:$A$1000=$A940)*(('Agences &amp; Après-vente'!$D$2:$D$1000="Agences")+('Agences &amp; Après-vente'!$D$2:$D$1000="Agences et Après-vente"))*'Agences &amp; Après-vente'!$E$2:$E$1000))&gt;0,TEXT(SUMPRODUCT(MAX(('Agences &amp; Après-vente'!$A$2:$A$1000=$A940)*(('Agences &amp; Après-vente'!$D$2:$D$1000="Agences")+('Agences &amp; Après-vente'!$D$2:$D$1000="Agences et Après-vente"))*'Agences &amp; Après-vente'!$E$2:$E$1000)),"yyyy-mm-dd"),"")))))</f>
        <v/>
      </c>
      <c r="H940" s="131" t="str">
        <f aca="false">IF($R940="✓","✓",IF(ISNUMBER($R940),TEXT($R940,"yyyy-mm-dd"),IF($A940="","",IF($D940="Lisbonne","",IF(SUMPRODUCT(('Agences &amp; Après-vente'!$A$2:$A$1000=$A940)*(('Agences &amp; Après-vente'!$D$2:$D$1000="Agences")+('Agences &amp; Après-vente'!$D$2:$D$1000="Agences et Après-vente"))*('Agences &amp; Après-vente'!$I$2:$I$1000="DONE"))&gt;0,"✓",IF(SUMPRODUCT(MAX(('Agences &amp; Après-vente'!$A$2:$A$1000=$A940)*(('Agences &amp; Après-vente'!$D$2:$D$1000="Agences")+('Agences &amp; Après-vente'!$D$2:$D$1000="Agences et Après-vente"))*'Agences &amp; Après-vente'!$E$2:$E$1000))&gt;0,TEXT(SUMPRODUCT(MAX(('Agences &amp; Après-vente'!$A$2:$A$1000=$A940)*(('Agences &amp; Après-vente'!$D$2:$D$1000="Agences")+('Agences &amp; Après-vente'!$D$2:$D$1000="Agences et Après-vente"))*'Agences &amp; Après-vente'!$E$2:$E$1000)),"yyyy-mm-dd"),""))))))</f>
        <v/>
      </c>
      <c r="I940" s="131" t="str">
        <f aca="false">IF($S940="✓","✓",IF(ISNUMBER($S940),TEXT($S940,"yyyy-mm-dd"),IF($A940="","",IF(SUMPRODUCT(('Agences &amp; Après-vente'!$A$2:$A$1000=$A940)*(('Agences &amp; Après-vente'!$D$2:$D$1000="Après-vente")+('Agences &amp; Après-vente'!$D$2:$D$1000="Agences et Après-vente"))*('Agences &amp; Après-vente'!$I$2:$I$1000="DONE"))&gt;0,"✓",IF(SUMPRODUCT(MAX(('Agences &amp; Après-vente'!$A$2:$A$1000=$A940)*(('Agences &amp; Après-vente'!$D$2:$D$1000="Après-vente")+('Agences &amp; Après-vente'!$D$2:$D$1000="Agences et Après-vente"))*'Agences &amp; Après-vente'!$E$2:$E$1000))&gt;0,TEXT(SUMPRODUCT(MAX(('Agences &amp; Après-vente'!$A$2:$A$1000=$A940)*(('Agences &amp; Après-vente'!$D$2:$D$1000="Après-vente")+('Agences &amp; Après-vente'!$D$2:$D$1000="Agences et Après-vente"))*'Agences &amp; Après-vente'!$E$2:$E$1000)),"yyyy-mm-dd"),"")))))</f>
        <v/>
      </c>
      <c r="J940" s="131" t="str">
        <f aca="false">IF($T940="✓","✓",IF(ISNUMBER($T940),TEXT($T940,"yyyy-mm-dd"),IF($A940="","",IF($D940="Lisbonne","",IF(SUMPRODUCT(('Agences &amp; Après-vente'!$A$2:$A$1000=$A940)*(('Agences &amp; Après-vente'!$D$2:$D$1000="Après-vente")+('Agences &amp; Après-vente'!$D$2:$D$1000="Agences et Après-vente"))*('Agences &amp; Après-vente'!$I$2:$I$1000="DONE"))&gt;0,"✓",IF(SUMPRODUCT(MAX(('Agences &amp; Après-vente'!$A$2:$A$1000=$A940)*(('Agences &amp; Après-vente'!$D$2:$D$1000="Après-vente")+('Agences &amp; Après-vente'!$D$2:$D$1000="Agences et Après-vente"))*'Agences &amp; Après-vente'!$E$2:$E$1000))&gt;0,TEXT(SUMPRODUCT(MAX(('Agences &amp; Après-vente'!$A$2:$A$1000=$A940)*(('Agences &amp; Après-vente'!$D$2:$D$1000="Après-vente")+('Agences &amp; Après-vente'!$D$2:$D$1000="Agences et Après-vente"))*'Agences &amp; Après-vente'!$E$2:$E$1000)),"yyyy-mm-dd"),""))))))</f>
        <v/>
      </c>
      <c r="K940" s="131" t="str">
        <f aca="false">IF($U940="✓","✓",IF(ISNUMBER($U940),TEXT($U940,"yyyy-mm-dd"),IF($D940="Lisbonne","",IF($A940="","",IF(SUMPRODUCT((Evermont!$A$2:$A$1000=$A940)*(Evermont!$Q$2:$Q$1000="Terminé"))&gt;0,"✓",IF(SUMPRODUCT(MAX((Evermont!$A$2:$A$1000=$A940)*Evermont!$F$2:$F$1000))&gt;0,TEXT(SUMPRODUCT(MAX((Evermont!$A$2:$A$1000=$A940)*Evermont!$F$2:$F$1000)),"yyyy-mm-dd"),""))))))</f>
        <v/>
      </c>
      <c r="L940" s="131" t="str">
        <f aca="false">IF($A940="","",COUNTIF(E940:K940,"✓"))</f>
        <v/>
      </c>
      <c r="M940" s="131" t="str">
        <f aca="false">IF(B940="","","Active")</f>
        <v/>
      </c>
      <c r="W940" s="120" t="str">
        <f aca="false">IF($A940="","",IF($X940&lt;&gt;"",$X940,IFERROR(INDEX('Formation Initiale'!$B$2:$B$999,MATCH($A940,'Formation Initiale'!$A$2:$A$999,0)),"Général")))</f>
        <v/>
      </c>
    </row>
    <row r="941" customFormat="false" ht="15" hidden="true" customHeight="true" outlineLevel="0" collapsed="false">
      <c r="A941" s="142" t="str">
        <f aca="false">IF(B941="","","TR"&amp;TEXT(ROW()-1,"000"))</f>
        <v/>
      </c>
      <c r="E941" s="130" t="str">
        <f aca="false">IF($O941="✓","✓",IF(ISNUMBER($O941),TEXT($O941,"yyyy-mm-dd"),IF($A941="","",IF(SUMPRODUCT(('Formation Initiale'!$A$2:$A$999=$A941)*('Formation Initiale'!$R$2:$R$999="Terminé"))&gt;0,"✓",IF(SUMPRODUCT(MAX(('Formation Initiale'!$A$2:$A$999=$A941)*'Formation Initiale'!$G$2:$G$999))&gt;0,TEXT(SUMPRODUCT(MAX(('Formation Initiale'!$A$2:$A$999=$A941)*'Formation Initiale'!$G$2:$G$999)),"yyyy-mm-dd"),"")))))</f>
        <v/>
      </c>
      <c r="F941" s="131" t="str">
        <f aca="false">IF($P941="✓","✓",IF(ISNUMBER($P941),TEXT($P941,"yyyy-mm-dd"),IF($A941="","",IF($D941="Lisbonne","",IF(SUMPRODUCT(('Formation Initiale'!$A$2:$A$999=$A941)*('Formation Initiale'!$R$2:$R$999="Terminé"))&gt;0,"✓",IF(SUMPRODUCT(MAX(('Formation Initiale'!$A$2:$A$999=$A941)*'Formation Initiale'!$G$2:$G$999))&gt;0,TEXT(SUMPRODUCT(MAX(('Formation Initiale'!$A$2:$A$999=$A941)*'Formation Initiale'!$G$2:$G$999)),"yyyy-mm-dd"),""))))))</f>
        <v/>
      </c>
      <c r="G941" s="131" t="str">
        <f aca="false">IF($Q941="✓","✓",IF(ISNUMBER($Q941),TEXT($Q941,"yyyy-mm-dd"),IF($A941="","",IF(SUMPRODUCT(('Agences &amp; Après-vente'!$A$2:$A$1000=$A941)*(('Agences &amp; Après-vente'!$D$2:$D$1000="Agences")+('Agences &amp; Après-vente'!$D$2:$D$1000="Agences et Après-vente"))*('Agences &amp; Après-vente'!$I$2:$I$1000="DONE"))&gt;0,"✓",IF(SUMPRODUCT(MAX(('Agences &amp; Après-vente'!$A$2:$A$1000=$A941)*(('Agences &amp; Après-vente'!$D$2:$D$1000="Agences")+('Agences &amp; Après-vente'!$D$2:$D$1000="Agences et Après-vente"))*'Agences &amp; Après-vente'!$E$2:$E$1000))&gt;0,TEXT(SUMPRODUCT(MAX(('Agences &amp; Après-vente'!$A$2:$A$1000=$A941)*(('Agences &amp; Après-vente'!$D$2:$D$1000="Agences")+('Agences &amp; Après-vente'!$D$2:$D$1000="Agences et Après-vente"))*'Agences &amp; Après-vente'!$E$2:$E$1000)),"yyyy-mm-dd"),"")))))</f>
        <v/>
      </c>
      <c r="H941" s="131" t="str">
        <f aca="false">IF($R941="✓","✓",IF(ISNUMBER($R941),TEXT($R941,"yyyy-mm-dd"),IF($A941="","",IF($D941="Lisbonne","",IF(SUMPRODUCT(('Agences &amp; Après-vente'!$A$2:$A$1000=$A941)*(('Agences &amp; Après-vente'!$D$2:$D$1000="Agences")+('Agences &amp; Après-vente'!$D$2:$D$1000="Agences et Après-vente"))*('Agences &amp; Après-vente'!$I$2:$I$1000="DONE"))&gt;0,"✓",IF(SUMPRODUCT(MAX(('Agences &amp; Après-vente'!$A$2:$A$1000=$A941)*(('Agences &amp; Après-vente'!$D$2:$D$1000="Agences")+('Agences &amp; Après-vente'!$D$2:$D$1000="Agences et Après-vente"))*'Agences &amp; Après-vente'!$E$2:$E$1000))&gt;0,TEXT(SUMPRODUCT(MAX(('Agences &amp; Après-vente'!$A$2:$A$1000=$A941)*(('Agences &amp; Après-vente'!$D$2:$D$1000="Agences")+('Agences &amp; Après-vente'!$D$2:$D$1000="Agences et Après-vente"))*'Agences &amp; Après-vente'!$E$2:$E$1000)),"yyyy-mm-dd"),""))))))</f>
        <v/>
      </c>
      <c r="I941" s="131" t="str">
        <f aca="false">IF($S941="✓","✓",IF(ISNUMBER($S941),TEXT($S941,"yyyy-mm-dd"),IF($A941="","",IF(SUMPRODUCT(('Agences &amp; Après-vente'!$A$2:$A$1000=$A941)*(('Agences &amp; Après-vente'!$D$2:$D$1000="Après-vente")+('Agences &amp; Après-vente'!$D$2:$D$1000="Agences et Après-vente"))*('Agences &amp; Après-vente'!$I$2:$I$1000="DONE"))&gt;0,"✓",IF(SUMPRODUCT(MAX(('Agences &amp; Après-vente'!$A$2:$A$1000=$A941)*(('Agences &amp; Après-vente'!$D$2:$D$1000="Après-vente")+('Agences &amp; Après-vente'!$D$2:$D$1000="Agences et Après-vente"))*'Agences &amp; Après-vente'!$E$2:$E$1000))&gt;0,TEXT(SUMPRODUCT(MAX(('Agences &amp; Après-vente'!$A$2:$A$1000=$A941)*(('Agences &amp; Après-vente'!$D$2:$D$1000="Après-vente")+('Agences &amp; Après-vente'!$D$2:$D$1000="Agences et Après-vente"))*'Agences &amp; Après-vente'!$E$2:$E$1000)),"yyyy-mm-dd"),"")))))</f>
        <v/>
      </c>
      <c r="J941" s="131" t="str">
        <f aca="false">IF($T941="✓","✓",IF(ISNUMBER($T941),TEXT($T941,"yyyy-mm-dd"),IF($A941="","",IF($D941="Lisbonne","",IF(SUMPRODUCT(('Agences &amp; Après-vente'!$A$2:$A$1000=$A941)*(('Agences &amp; Après-vente'!$D$2:$D$1000="Après-vente")+('Agences &amp; Après-vente'!$D$2:$D$1000="Agences et Après-vente"))*('Agences &amp; Après-vente'!$I$2:$I$1000="DONE"))&gt;0,"✓",IF(SUMPRODUCT(MAX(('Agences &amp; Après-vente'!$A$2:$A$1000=$A941)*(('Agences &amp; Après-vente'!$D$2:$D$1000="Après-vente")+('Agences &amp; Après-vente'!$D$2:$D$1000="Agences et Après-vente"))*'Agences &amp; Après-vente'!$E$2:$E$1000))&gt;0,TEXT(SUMPRODUCT(MAX(('Agences &amp; Après-vente'!$A$2:$A$1000=$A941)*(('Agences &amp; Après-vente'!$D$2:$D$1000="Après-vente")+('Agences &amp; Après-vente'!$D$2:$D$1000="Agences et Après-vente"))*'Agences &amp; Après-vente'!$E$2:$E$1000)),"yyyy-mm-dd"),""))))))</f>
        <v/>
      </c>
      <c r="K941" s="131" t="str">
        <f aca="false">IF($U941="✓","✓",IF(ISNUMBER($U941),TEXT($U941,"yyyy-mm-dd"),IF($D941="Lisbonne","",IF($A941="","",IF(SUMPRODUCT((Evermont!$A$2:$A$1000=$A941)*(Evermont!$Q$2:$Q$1000="Terminé"))&gt;0,"✓",IF(SUMPRODUCT(MAX((Evermont!$A$2:$A$1000=$A941)*Evermont!$F$2:$F$1000))&gt;0,TEXT(SUMPRODUCT(MAX((Evermont!$A$2:$A$1000=$A941)*Evermont!$F$2:$F$1000)),"yyyy-mm-dd"),""))))))</f>
        <v/>
      </c>
      <c r="L941" s="131" t="str">
        <f aca="false">IF($A941="","",COUNTIF(E941:K941,"✓"))</f>
        <v/>
      </c>
      <c r="M941" s="131" t="str">
        <f aca="false">IF(B941="","","Active")</f>
        <v/>
      </c>
      <c r="W941" s="120" t="str">
        <f aca="false">IF($A941="","",IF($X941&lt;&gt;"",$X941,IFERROR(INDEX('Formation Initiale'!$B$2:$B$999,MATCH($A941,'Formation Initiale'!$A$2:$A$999,0)),"Général")))</f>
        <v/>
      </c>
    </row>
    <row r="942" customFormat="false" ht="15" hidden="true" customHeight="true" outlineLevel="0" collapsed="false">
      <c r="A942" s="142" t="str">
        <f aca="false">IF(B942="","","TR"&amp;TEXT(ROW()-1,"000"))</f>
        <v/>
      </c>
      <c r="E942" s="130" t="str">
        <f aca="false">IF($O942="✓","✓",IF(ISNUMBER($O942),TEXT($O942,"yyyy-mm-dd"),IF($A942="","",IF(SUMPRODUCT(('Formation Initiale'!$A$2:$A$999=$A942)*('Formation Initiale'!$R$2:$R$999="Terminé"))&gt;0,"✓",IF(SUMPRODUCT(MAX(('Formation Initiale'!$A$2:$A$999=$A942)*'Formation Initiale'!$G$2:$G$999))&gt;0,TEXT(SUMPRODUCT(MAX(('Formation Initiale'!$A$2:$A$999=$A942)*'Formation Initiale'!$G$2:$G$999)),"yyyy-mm-dd"),"")))))</f>
        <v/>
      </c>
      <c r="F942" s="131" t="str">
        <f aca="false">IF($P942="✓","✓",IF(ISNUMBER($P942),TEXT($P942,"yyyy-mm-dd"),IF($A942="","",IF($D942="Lisbonne","",IF(SUMPRODUCT(('Formation Initiale'!$A$2:$A$999=$A942)*('Formation Initiale'!$R$2:$R$999="Terminé"))&gt;0,"✓",IF(SUMPRODUCT(MAX(('Formation Initiale'!$A$2:$A$999=$A942)*'Formation Initiale'!$G$2:$G$999))&gt;0,TEXT(SUMPRODUCT(MAX(('Formation Initiale'!$A$2:$A$999=$A942)*'Formation Initiale'!$G$2:$G$999)),"yyyy-mm-dd"),""))))))</f>
        <v/>
      </c>
      <c r="G942" s="131" t="str">
        <f aca="false">IF($Q942="✓","✓",IF(ISNUMBER($Q942),TEXT($Q942,"yyyy-mm-dd"),IF($A942="","",IF(SUMPRODUCT(('Agences &amp; Après-vente'!$A$2:$A$1000=$A942)*(('Agences &amp; Après-vente'!$D$2:$D$1000="Agences")+('Agences &amp; Après-vente'!$D$2:$D$1000="Agences et Après-vente"))*('Agences &amp; Après-vente'!$I$2:$I$1000="DONE"))&gt;0,"✓",IF(SUMPRODUCT(MAX(('Agences &amp; Après-vente'!$A$2:$A$1000=$A942)*(('Agences &amp; Après-vente'!$D$2:$D$1000="Agences")+('Agences &amp; Après-vente'!$D$2:$D$1000="Agences et Après-vente"))*'Agences &amp; Après-vente'!$E$2:$E$1000))&gt;0,TEXT(SUMPRODUCT(MAX(('Agences &amp; Après-vente'!$A$2:$A$1000=$A942)*(('Agences &amp; Après-vente'!$D$2:$D$1000="Agences")+('Agences &amp; Après-vente'!$D$2:$D$1000="Agences et Après-vente"))*'Agences &amp; Après-vente'!$E$2:$E$1000)),"yyyy-mm-dd"),"")))))</f>
        <v/>
      </c>
      <c r="H942" s="131" t="str">
        <f aca="false">IF($R942="✓","✓",IF(ISNUMBER($R942),TEXT($R942,"yyyy-mm-dd"),IF($A942="","",IF($D942="Lisbonne","",IF(SUMPRODUCT(('Agences &amp; Après-vente'!$A$2:$A$1000=$A942)*(('Agences &amp; Après-vente'!$D$2:$D$1000="Agences")+('Agences &amp; Après-vente'!$D$2:$D$1000="Agences et Après-vente"))*('Agences &amp; Après-vente'!$I$2:$I$1000="DONE"))&gt;0,"✓",IF(SUMPRODUCT(MAX(('Agences &amp; Après-vente'!$A$2:$A$1000=$A942)*(('Agences &amp; Après-vente'!$D$2:$D$1000="Agences")+('Agences &amp; Après-vente'!$D$2:$D$1000="Agences et Après-vente"))*'Agences &amp; Après-vente'!$E$2:$E$1000))&gt;0,TEXT(SUMPRODUCT(MAX(('Agences &amp; Après-vente'!$A$2:$A$1000=$A942)*(('Agences &amp; Après-vente'!$D$2:$D$1000="Agences")+('Agences &amp; Après-vente'!$D$2:$D$1000="Agences et Après-vente"))*'Agences &amp; Après-vente'!$E$2:$E$1000)),"yyyy-mm-dd"),""))))))</f>
        <v/>
      </c>
      <c r="I942" s="131" t="str">
        <f aca="false">IF($S942="✓","✓",IF(ISNUMBER($S942),TEXT($S942,"yyyy-mm-dd"),IF($A942="","",IF(SUMPRODUCT(('Agences &amp; Après-vente'!$A$2:$A$1000=$A942)*(('Agences &amp; Après-vente'!$D$2:$D$1000="Après-vente")+('Agences &amp; Après-vente'!$D$2:$D$1000="Agences et Après-vente"))*('Agences &amp; Après-vente'!$I$2:$I$1000="DONE"))&gt;0,"✓",IF(SUMPRODUCT(MAX(('Agences &amp; Après-vente'!$A$2:$A$1000=$A942)*(('Agences &amp; Après-vente'!$D$2:$D$1000="Après-vente")+('Agences &amp; Après-vente'!$D$2:$D$1000="Agences et Après-vente"))*'Agences &amp; Après-vente'!$E$2:$E$1000))&gt;0,TEXT(SUMPRODUCT(MAX(('Agences &amp; Après-vente'!$A$2:$A$1000=$A942)*(('Agences &amp; Après-vente'!$D$2:$D$1000="Après-vente")+('Agences &amp; Après-vente'!$D$2:$D$1000="Agences et Après-vente"))*'Agences &amp; Après-vente'!$E$2:$E$1000)),"yyyy-mm-dd"),"")))))</f>
        <v/>
      </c>
      <c r="J942" s="131" t="str">
        <f aca="false">IF($T942="✓","✓",IF(ISNUMBER($T942),TEXT($T942,"yyyy-mm-dd"),IF($A942="","",IF($D942="Lisbonne","",IF(SUMPRODUCT(('Agences &amp; Après-vente'!$A$2:$A$1000=$A942)*(('Agences &amp; Après-vente'!$D$2:$D$1000="Après-vente")+('Agences &amp; Après-vente'!$D$2:$D$1000="Agences et Après-vente"))*('Agences &amp; Après-vente'!$I$2:$I$1000="DONE"))&gt;0,"✓",IF(SUMPRODUCT(MAX(('Agences &amp; Après-vente'!$A$2:$A$1000=$A942)*(('Agences &amp; Après-vente'!$D$2:$D$1000="Après-vente")+('Agences &amp; Après-vente'!$D$2:$D$1000="Agences et Après-vente"))*'Agences &amp; Après-vente'!$E$2:$E$1000))&gt;0,TEXT(SUMPRODUCT(MAX(('Agences &amp; Après-vente'!$A$2:$A$1000=$A942)*(('Agences &amp; Après-vente'!$D$2:$D$1000="Après-vente")+('Agences &amp; Après-vente'!$D$2:$D$1000="Agences et Après-vente"))*'Agences &amp; Après-vente'!$E$2:$E$1000)),"yyyy-mm-dd"),""))))))</f>
        <v/>
      </c>
      <c r="K942" s="131" t="str">
        <f aca="false">IF($U942="✓","✓",IF(ISNUMBER($U942),TEXT($U942,"yyyy-mm-dd"),IF($D942="Lisbonne","",IF($A942="","",IF(SUMPRODUCT((Evermont!$A$2:$A$1000=$A942)*(Evermont!$Q$2:$Q$1000="Terminé"))&gt;0,"✓",IF(SUMPRODUCT(MAX((Evermont!$A$2:$A$1000=$A942)*Evermont!$F$2:$F$1000))&gt;0,TEXT(SUMPRODUCT(MAX((Evermont!$A$2:$A$1000=$A942)*Evermont!$F$2:$F$1000)),"yyyy-mm-dd"),""))))))</f>
        <v/>
      </c>
      <c r="L942" s="131" t="str">
        <f aca="false">IF($A942="","",COUNTIF(E942:K942,"✓"))</f>
        <v/>
      </c>
      <c r="M942" s="131" t="str">
        <f aca="false">IF(B942="","","Active")</f>
        <v/>
      </c>
      <c r="W942" s="120" t="str">
        <f aca="false">IF($A942="","",IF($X942&lt;&gt;"",$X942,IFERROR(INDEX('Formation Initiale'!$B$2:$B$999,MATCH($A942,'Formation Initiale'!$A$2:$A$999,0)),"Général")))</f>
        <v/>
      </c>
    </row>
    <row r="943" customFormat="false" ht="15" hidden="true" customHeight="true" outlineLevel="0" collapsed="false">
      <c r="A943" s="142" t="str">
        <f aca="false">IF(B943="","","TR"&amp;TEXT(ROW()-1,"000"))</f>
        <v/>
      </c>
      <c r="E943" s="130" t="str">
        <f aca="false">IF($O943="✓","✓",IF(ISNUMBER($O943),TEXT($O943,"yyyy-mm-dd"),IF($A943="","",IF(SUMPRODUCT(('Formation Initiale'!$A$2:$A$999=$A943)*('Formation Initiale'!$R$2:$R$999="Terminé"))&gt;0,"✓",IF(SUMPRODUCT(MAX(('Formation Initiale'!$A$2:$A$999=$A943)*'Formation Initiale'!$G$2:$G$999))&gt;0,TEXT(SUMPRODUCT(MAX(('Formation Initiale'!$A$2:$A$999=$A943)*'Formation Initiale'!$G$2:$G$999)),"yyyy-mm-dd"),"")))))</f>
        <v/>
      </c>
      <c r="F943" s="131" t="str">
        <f aca="false">IF($P943="✓","✓",IF(ISNUMBER($P943),TEXT($P943,"yyyy-mm-dd"),IF($A943="","",IF($D943="Lisbonne","",IF(SUMPRODUCT(('Formation Initiale'!$A$2:$A$999=$A943)*('Formation Initiale'!$R$2:$R$999="Terminé"))&gt;0,"✓",IF(SUMPRODUCT(MAX(('Formation Initiale'!$A$2:$A$999=$A943)*'Formation Initiale'!$G$2:$G$999))&gt;0,TEXT(SUMPRODUCT(MAX(('Formation Initiale'!$A$2:$A$999=$A943)*'Formation Initiale'!$G$2:$G$999)),"yyyy-mm-dd"),""))))))</f>
        <v/>
      </c>
      <c r="G943" s="131" t="str">
        <f aca="false">IF($Q943="✓","✓",IF(ISNUMBER($Q943),TEXT($Q943,"yyyy-mm-dd"),IF($A943="","",IF(SUMPRODUCT(('Agences &amp; Après-vente'!$A$2:$A$1000=$A943)*(('Agences &amp; Après-vente'!$D$2:$D$1000="Agences")+('Agences &amp; Après-vente'!$D$2:$D$1000="Agences et Après-vente"))*('Agences &amp; Après-vente'!$I$2:$I$1000="DONE"))&gt;0,"✓",IF(SUMPRODUCT(MAX(('Agences &amp; Après-vente'!$A$2:$A$1000=$A943)*(('Agences &amp; Après-vente'!$D$2:$D$1000="Agences")+('Agences &amp; Après-vente'!$D$2:$D$1000="Agences et Après-vente"))*'Agences &amp; Après-vente'!$E$2:$E$1000))&gt;0,TEXT(SUMPRODUCT(MAX(('Agences &amp; Après-vente'!$A$2:$A$1000=$A943)*(('Agences &amp; Après-vente'!$D$2:$D$1000="Agences")+('Agences &amp; Après-vente'!$D$2:$D$1000="Agences et Après-vente"))*'Agences &amp; Après-vente'!$E$2:$E$1000)),"yyyy-mm-dd"),"")))))</f>
        <v/>
      </c>
      <c r="H943" s="131" t="str">
        <f aca="false">IF($R943="✓","✓",IF(ISNUMBER($R943),TEXT($R943,"yyyy-mm-dd"),IF($A943="","",IF($D943="Lisbonne","",IF(SUMPRODUCT(('Agences &amp; Après-vente'!$A$2:$A$1000=$A943)*(('Agences &amp; Après-vente'!$D$2:$D$1000="Agences")+('Agences &amp; Après-vente'!$D$2:$D$1000="Agences et Après-vente"))*('Agences &amp; Après-vente'!$I$2:$I$1000="DONE"))&gt;0,"✓",IF(SUMPRODUCT(MAX(('Agences &amp; Après-vente'!$A$2:$A$1000=$A943)*(('Agences &amp; Après-vente'!$D$2:$D$1000="Agences")+('Agences &amp; Après-vente'!$D$2:$D$1000="Agences et Après-vente"))*'Agences &amp; Après-vente'!$E$2:$E$1000))&gt;0,TEXT(SUMPRODUCT(MAX(('Agences &amp; Après-vente'!$A$2:$A$1000=$A943)*(('Agences &amp; Après-vente'!$D$2:$D$1000="Agences")+('Agences &amp; Après-vente'!$D$2:$D$1000="Agences et Après-vente"))*'Agences &amp; Après-vente'!$E$2:$E$1000)),"yyyy-mm-dd"),""))))))</f>
        <v/>
      </c>
      <c r="I943" s="131" t="str">
        <f aca="false">IF($S943="✓","✓",IF(ISNUMBER($S943),TEXT($S943,"yyyy-mm-dd"),IF($A943="","",IF(SUMPRODUCT(('Agences &amp; Après-vente'!$A$2:$A$1000=$A943)*(('Agences &amp; Après-vente'!$D$2:$D$1000="Après-vente")+('Agences &amp; Après-vente'!$D$2:$D$1000="Agences et Après-vente"))*('Agences &amp; Après-vente'!$I$2:$I$1000="DONE"))&gt;0,"✓",IF(SUMPRODUCT(MAX(('Agences &amp; Après-vente'!$A$2:$A$1000=$A943)*(('Agences &amp; Après-vente'!$D$2:$D$1000="Après-vente")+('Agences &amp; Après-vente'!$D$2:$D$1000="Agences et Après-vente"))*'Agences &amp; Après-vente'!$E$2:$E$1000))&gt;0,TEXT(SUMPRODUCT(MAX(('Agences &amp; Après-vente'!$A$2:$A$1000=$A943)*(('Agences &amp; Après-vente'!$D$2:$D$1000="Après-vente")+('Agences &amp; Après-vente'!$D$2:$D$1000="Agences et Après-vente"))*'Agences &amp; Après-vente'!$E$2:$E$1000)),"yyyy-mm-dd"),"")))))</f>
        <v/>
      </c>
      <c r="J943" s="131" t="str">
        <f aca="false">IF($T943="✓","✓",IF(ISNUMBER($T943),TEXT($T943,"yyyy-mm-dd"),IF($A943="","",IF($D943="Lisbonne","",IF(SUMPRODUCT(('Agences &amp; Après-vente'!$A$2:$A$1000=$A943)*(('Agences &amp; Après-vente'!$D$2:$D$1000="Après-vente")+('Agences &amp; Après-vente'!$D$2:$D$1000="Agences et Après-vente"))*('Agences &amp; Après-vente'!$I$2:$I$1000="DONE"))&gt;0,"✓",IF(SUMPRODUCT(MAX(('Agences &amp; Après-vente'!$A$2:$A$1000=$A943)*(('Agences &amp; Après-vente'!$D$2:$D$1000="Après-vente")+('Agences &amp; Après-vente'!$D$2:$D$1000="Agences et Après-vente"))*'Agences &amp; Après-vente'!$E$2:$E$1000))&gt;0,TEXT(SUMPRODUCT(MAX(('Agences &amp; Après-vente'!$A$2:$A$1000=$A943)*(('Agences &amp; Après-vente'!$D$2:$D$1000="Après-vente")+('Agences &amp; Après-vente'!$D$2:$D$1000="Agences et Après-vente"))*'Agences &amp; Après-vente'!$E$2:$E$1000)),"yyyy-mm-dd"),""))))))</f>
        <v/>
      </c>
      <c r="K943" s="131" t="str">
        <f aca="false">IF($U943="✓","✓",IF(ISNUMBER($U943),TEXT($U943,"yyyy-mm-dd"),IF($D943="Lisbonne","",IF($A943="","",IF(SUMPRODUCT((Evermont!$A$2:$A$1000=$A943)*(Evermont!$Q$2:$Q$1000="Terminé"))&gt;0,"✓",IF(SUMPRODUCT(MAX((Evermont!$A$2:$A$1000=$A943)*Evermont!$F$2:$F$1000))&gt;0,TEXT(SUMPRODUCT(MAX((Evermont!$A$2:$A$1000=$A943)*Evermont!$F$2:$F$1000)),"yyyy-mm-dd"),""))))))</f>
        <v/>
      </c>
      <c r="L943" s="131" t="str">
        <f aca="false">IF($A943="","",COUNTIF(E943:K943,"✓"))</f>
        <v/>
      </c>
      <c r="M943" s="131" t="str">
        <f aca="false">IF(B943="","","Active")</f>
        <v/>
      </c>
      <c r="W943" s="120" t="str">
        <f aca="false">IF($A943="","",IF($X943&lt;&gt;"",$X943,IFERROR(INDEX('Formation Initiale'!$B$2:$B$999,MATCH($A943,'Formation Initiale'!$A$2:$A$999,0)),"Général")))</f>
        <v/>
      </c>
    </row>
    <row r="944" customFormat="false" ht="15" hidden="true" customHeight="true" outlineLevel="0" collapsed="false">
      <c r="A944" s="142" t="str">
        <f aca="false">IF(B944="","","TR"&amp;TEXT(ROW()-1,"000"))</f>
        <v/>
      </c>
      <c r="E944" s="130" t="str">
        <f aca="false">IF($O944="✓","✓",IF(ISNUMBER($O944),TEXT($O944,"yyyy-mm-dd"),IF($A944="","",IF(SUMPRODUCT(('Formation Initiale'!$A$2:$A$999=$A944)*('Formation Initiale'!$R$2:$R$999="Terminé"))&gt;0,"✓",IF(SUMPRODUCT(MAX(('Formation Initiale'!$A$2:$A$999=$A944)*'Formation Initiale'!$G$2:$G$999))&gt;0,TEXT(SUMPRODUCT(MAX(('Formation Initiale'!$A$2:$A$999=$A944)*'Formation Initiale'!$G$2:$G$999)),"yyyy-mm-dd"),"")))))</f>
        <v/>
      </c>
      <c r="F944" s="131" t="str">
        <f aca="false">IF($P944="✓","✓",IF(ISNUMBER($P944),TEXT($P944,"yyyy-mm-dd"),IF($A944="","",IF($D944="Lisbonne","",IF(SUMPRODUCT(('Formation Initiale'!$A$2:$A$999=$A944)*('Formation Initiale'!$R$2:$R$999="Terminé"))&gt;0,"✓",IF(SUMPRODUCT(MAX(('Formation Initiale'!$A$2:$A$999=$A944)*'Formation Initiale'!$G$2:$G$999))&gt;0,TEXT(SUMPRODUCT(MAX(('Formation Initiale'!$A$2:$A$999=$A944)*'Formation Initiale'!$G$2:$G$999)),"yyyy-mm-dd"),""))))))</f>
        <v/>
      </c>
      <c r="G944" s="131" t="str">
        <f aca="false">IF($Q944="✓","✓",IF(ISNUMBER($Q944),TEXT($Q944,"yyyy-mm-dd"),IF($A944="","",IF(SUMPRODUCT(('Agences &amp; Après-vente'!$A$2:$A$1000=$A944)*(('Agences &amp; Après-vente'!$D$2:$D$1000="Agences")+('Agences &amp; Après-vente'!$D$2:$D$1000="Agences et Après-vente"))*('Agences &amp; Après-vente'!$I$2:$I$1000="DONE"))&gt;0,"✓",IF(SUMPRODUCT(MAX(('Agences &amp; Après-vente'!$A$2:$A$1000=$A944)*(('Agences &amp; Après-vente'!$D$2:$D$1000="Agences")+('Agences &amp; Après-vente'!$D$2:$D$1000="Agences et Après-vente"))*'Agences &amp; Après-vente'!$E$2:$E$1000))&gt;0,TEXT(SUMPRODUCT(MAX(('Agences &amp; Après-vente'!$A$2:$A$1000=$A944)*(('Agences &amp; Après-vente'!$D$2:$D$1000="Agences")+('Agences &amp; Après-vente'!$D$2:$D$1000="Agences et Après-vente"))*'Agences &amp; Après-vente'!$E$2:$E$1000)),"yyyy-mm-dd"),"")))))</f>
        <v/>
      </c>
      <c r="H944" s="131" t="str">
        <f aca="false">IF($R944="✓","✓",IF(ISNUMBER($R944),TEXT($R944,"yyyy-mm-dd"),IF($A944="","",IF($D944="Lisbonne","",IF(SUMPRODUCT(('Agences &amp; Après-vente'!$A$2:$A$1000=$A944)*(('Agences &amp; Après-vente'!$D$2:$D$1000="Agences")+('Agences &amp; Après-vente'!$D$2:$D$1000="Agences et Après-vente"))*('Agences &amp; Après-vente'!$I$2:$I$1000="DONE"))&gt;0,"✓",IF(SUMPRODUCT(MAX(('Agences &amp; Après-vente'!$A$2:$A$1000=$A944)*(('Agences &amp; Après-vente'!$D$2:$D$1000="Agences")+('Agences &amp; Après-vente'!$D$2:$D$1000="Agences et Après-vente"))*'Agences &amp; Après-vente'!$E$2:$E$1000))&gt;0,TEXT(SUMPRODUCT(MAX(('Agences &amp; Après-vente'!$A$2:$A$1000=$A944)*(('Agences &amp; Après-vente'!$D$2:$D$1000="Agences")+('Agences &amp; Après-vente'!$D$2:$D$1000="Agences et Après-vente"))*'Agences &amp; Après-vente'!$E$2:$E$1000)),"yyyy-mm-dd"),""))))))</f>
        <v/>
      </c>
      <c r="I944" s="131" t="str">
        <f aca="false">IF($S944="✓","✓",IF(ISNUMBER($S944),TEXT($S944,"yyyy-mm-dd"),IF($A944="","",IF(SUMPRODUCT(('Agences &amp; Après-vente'!$A$2:$A$1000=$A944)*(('Agences &amp; Après-vente'!$D$2:$D$1000="Après-vente")+('Agences &amp; Après-vente'!$D$2:$D$1000="Agences et Après-vente"))*('Agences &amp; Après-vente'!$I$2:$I$1000="DONE"))&gt;0,"✓",IF(SUMPRODUCT(MAX(('Agences &amp; Après-vente'!$A$2:$A$1000=$A944)*(('Agences &amp; Après-vente'!$D$2:$D$1000="Après-vente")+('Agences &amp; Après-vente'!$D$2:$D$1000="Agences et Après-vente"))*'Agences &amp; Après-vente'!$E$2:$E$1000))&gt;0,TEXT(SUMPRODUCT(MAX(('Agences &amp; Après-vente'!$A$2:$A$1000=$A944)*(('Agences &amp; Après-vente'!$D$2:$D$1000="Après-vente")+('Agences &amp; Après-vente'!$D$2:$D$1000="Agences et Après-vente"))*'Agences &amp; Après-vente'!$E$2:$E$1000)),"yyyy-mm-dd"),"")))))</f>
        <v/>
      </c>
      <c r="J944" s="131" t="str">
        <f aca="false">IF($T944="✓","✓",IF(ISNUMBER($T944),TEXT($T944,"yyyy-mm-dd"),IF($A944="","",IF($D944="Lisbonne","",IF(SUMPRODUCT(('Agences &amp; Après-vente'!$A$2:$A$1000=$A944)*(('Agences &amp; Après-vente'!$D$2:$D$1000="Après-vente")+('Agences &amp; Après-vente'!$D$2:$D$1000="Agences et Après-vente"))*('Agences &amp; Après-vente'!$I$2:$I$1000="DONE"))&gt;0,"✓",IF(SUMPRODUCT(MAX(('Agences &amp; Après-vente'!$A$2:$A$1000=$A944)*(('Agences &amp; Après-vente'!$D$2:$D$1000="Après-vente")+('Agences &amp; Après-vente'!$D$2:$D$1000="Agences et Après-vente"))*'Agences &amp; Après-vente'!$E$2:$E$1000))&gt;0,TEXT(SUMPRODUCT(MAX(('Agences &amp; Après-vente'!$A$2:$A$1000=$A944)*(('Agences &amp; Après-vente'!$D$2:$D$1000="Après-vente")+('Agences &amp; Après-vente'!$D$2:$D$1000="Agences et Après-vente"))*'Agences &amp; Après-vente'!$E$2:$E$1000)),"yyyy-mm-dd"),""))))))</f>
        <v/>
      </c>
      <c r="K944" s="131" t="str">
        <f aca="false">IF($U944="✓","✓",IF(ISNUMBER($U944),TEXT($U944,"yyyy-mm-dd"),IF($D944="Lisbonne","",IF($A944="","",IF(SUMPRODUCT((Evermont!$A$2:$A$1000=$A944)*(Evermont!$Q$2:$Q$1000="Terminé"))&gt;0,"✓",IF(SUMPRODUCT(MAX((Evermont!$A$2:$A$1000=$A944)*Evermont!$F$2:$F$1000))&gt;0,TEXT(SUMPRODUCT(MAX((Evermont!$A$2:$A$1000=$A944)*Evermont!$F$2:$F$1000)),"yyyy-mm-dd"),""))))))</f>
        <v/>
      </c>
      <c r="L944" s="131" t="str">
        <f aca="false">IF($A944="","",COUNTIF(E944:K944,"✓"))</f>
        <v/>
      </c>
      <c r="M944" s="131" t="str">
        <f aca="false">IF(B944="","","Active")</f>
        <v/>
      </c>
      <c r="W944" s="120" t="str">
        <f aca="false">IF($A944="","",IF($X944&lt;&gt;"",$X944,IFERROR(INDEX('Formation Initiale'!$B$2:$B$999,MATCH($A944,'Formation Initiale'!$A$2:$A$999,0)),"Général")))</f>
        <v/>
      </c>
    </row>
    <row r="945" customFormat="false" ht="15" hidden="true" customHeight="true" outlineLevel="0" collapsed="false">
      <c r="A945" s="142" t="str">
        <f aca="false">IF(B945="","","TR"&amp;TEXT(ROW()-1,"000"))</f>
        <v/>
      </c>
      <c r="E945" s="130" t="str">
        <f aca="false">IF($O945="✓","✓",IF(ISNUMBER($O945),TEXT($O945,"yyyy-mm-dd"),IF($A945="","",IF(SUMPRODUCT(('Formation Initiale'!$A$2:$A$999=$A945)*('Formation Initiale'!$R$2:$R$999="Terminé"))&gt;0,"✓",IF(SUMPRODUCT(MAX(('Formation Initiale'!$A$2:$A$999=$A945)*'Formation Initiale'!$G$2:$G$999))&gt;0,TEXT(SUMPRODUCT(MAX(('Formation Initiale'!$A$2:$A$999=$A945)*'Formation Initiale'!$G$2:$G$999)),"yyyy-mm-dd"),"")))))</f>
        <v/>
      </c>
      <c r="F945" s="131" t="str">
        <f aca="false">IF($P945="✓","✓",IF(ISNUMBER($P945),TEXT($P945,"yyyy-mm-dd"),IF($A945="","",IF($D945="Lisbonne","",IF(SUMPRODUCT(('Formation Initiale'!$A$2:$A$999=$A945)*('Formation Initiale'!$R$2:$R$999="Terminé"))&gt;0,"✓",IF(SUMPRODUCT(MAX(('Formation Initiale'!$A$2:$A$999=$A945)*'Formation Initiale'!$G$2:$G$999))&gt;0,TEXT(SUMPRODUCT(MAX(('Formation Initiale'!$A$2:$A$999=$A945)*'Formation Initiale'!$G$2:$G$999)),"yyyy-mm-dd"),""))))))</f>
        <v/>
      </c>
      <c r="G945" s="131" t="str">
        <f aca="false">IF($Q945="✓","✓",IF(ISNUMBER($Q945),TEXT($Q945,"yyyy-mm-dd"),IF($A945="","",IF(SUMPRODUCT(('Agences &amp; Après-vente'!$A$2:$A$1000=$A945)*(('Agences &amp; Après-vente'!$D$2:$D$1000="Agences")+('Agences &amp; Après-vente'!$D$2:$D$1000="Agences et Après-vente"))*('Agences &amp; Après-vente'!$I$2:$I$1000="DONE"))&gt;0,"✓",IF(SUMPRODUCT(MAX(('Agences &amp; Après-vente'!$A$2:$A$1000=$A945)*(('Agences &amp; Après-vente'!$D$2:$D$1000="Agences")+('Agences &amp; Après-vente'!$D$2:$D$1000="Agences et Après-vente"))*'Agences &amp; Après-vente'!$E$2:$E$1000))&gt;0,TEXT(SUMPRODUCT(MAX(('Agences &amp; Après-vente'!$A$2:$A$1000=$A945)*(('Agences &amp; Après-vente'!$D$2:$D$1000="Agences")+('Agences &amp; Après-vente'!$D$2:$D$1000="Agences et Après-vente"))*'Agences &amp; Après-vente'!$E$2:$E$1000)),"yyyy-mm-dd"),"")))))</f>
        <v/>
      </c>
      <c r="H945" s="131" t="str">
        <f aca="false">IF($R945="✓","✓",IF(ISNUMBER($R945),TEXT($R945,"yyyy-mm-dd"),IF($A945="","",IF($D945="Lisbonne","",IF(SUMPRODUCT(('Agences &amp; Après-vente'!$A$2:$A$1000=$A945)*(('Agences &amp; Après-vente'!$D$2:$D$1000="Agences")+('Agences &amp; Après-vente'!$D$2:$D$1000="Agences et Après-vente"))*('Agences &amp; Après-vente'!$I$2:$I$1000="DONE"))&gt;0,"✓",IF(SUMPRODUCT(MAX(('Agences &amp; Après-vente'!$A$2:$A$1000=$A945)*(('Agences &amp; Après-vente'!$D$2:$D$1000="Agences")+('Agences &amp; Après-vente'!$D$2:$D$1000="Agences et Après-vente"))*'Agences &amp; Après-vente'!$E$2:$E$1000))&gt;0,TEXT(SUMPRODUCT(MAX(('Agences &amp; Après-vente'!$A$2:$A$1000=$A945)*(('Agences &amp; Après-vente'!$D$2:$D$1000="Agences")+('Agences &amp; Après-vente'!$D$2:$D$1000="Agences et Après-vente"))*'Agences &amp; Après-vente'!$E$2:$E$1000)),"yyyy-mm-dd"),""))))))</f>
        <v/>
      </c>
      <c r="I945" s="131" t="str">
        <f aca="false">IF($S945="✓","✓",IF(ISNUMBER($S945),TEXT($S945,"yyyy-mm-dd"),IF($A945="","",IF(SUMPRODUCT(('Agences &amp; Après-vente'!$A$2:$A$1000=$A945)*(('Agences &amp; Après-vente'!$D$2:$D$1000="Après-vente")+('Agences &amp; Après-vente'!$D$2:$D$1000="Agences et Après-vente"))*('Agences &amp; Après-vente'!$I$2:$I$1000="DONE"))&gt;0,"✓",IF(SUMPRODUCT(MAX(('Agences &amp; Après-vente'!$A$2:$A$1000=$A945)*(('Agences &amp; Après-vente'!$D$2:$D$1000="Après-vente")+('Agences &amp; Après-vente'!$D$2:$D$1000="Agences et Après-vente"))*'Agences &amp; Après-vente'!$E$2:$E$1000))&gt;0,TEXT(SUMPRODUCT(MAX(('Agences &amp; Après-vente'!$A$2:$A$1000=$A945)*(('Agences &amp; Après-vente'!$D$2:$D$1000="Après-vente")+('Agences &amp; Après-vente'!$D$2:$D$1000="Agences et Après-vente"))*'Agences &amp; Après-vente'!$E$2:$E$1000)),"yyyy-mm-dd"),"")))))</f>
        <v/>
      </c>
      <c r="J945" s="131" t="str">
        <f aca="false">IF($T945="✓","✓",IF(ISNUMBER($T945),TEXT($T945,"yyyy-mm-dd"),IF($A945="","",IF($D945="Lisbonne","",IF(SUMPRODUCT(('Agences &amp; Après-vente'!$A$2:$A$1000=$A945)*(('Agences &amp; Après-vente'!$D$2:$D$1000="Après-vente")+('Agences &amp; Après-vente'!$D$2:$D$1000="Agences et Après-vente"))*('Agences &amp; Après-vente'!$I$2:$I$1000="DONE"))&gt;0,"✓",IF(SUMPRODUCT(MAX(('Agences &amp; Après-vente'!$A$2:$A$1000=$A945)*(('Agences &amp; Après-vente'!$D$2:$D$1000="Après-vente")+('Agences &amp; Après-vente'!$D$2:$D$1000="Agences et Après-vente"))*'Agences &amp; Après-vente'!$E$2:$E$1000))&gt;0,TEXT(SUMPRODUCT(MAX(('Agences &amp; Après-vente'!$A$2:$A$1000=$A945)*(('Agences &amp; Après-vente'!$D$2:$D$1000="Après-vente")+('Agences &amp; Après-vente'!$D$2:$D$1000="Agences et Après-vente"))*'Agences &amp; Après-vente'!$E$2:$E$1000)),"yyyy-mm-dd"),""))))))</f>
        <v/>
      </c>
      <c r="K945" s="131" t="str">
        <f aca="false">IF($U945="✓","✓",IF(ISNUMBER($U945),TEXT($U945,"yyyy-mm-dd"),IF($D945="Lisbonne","",IF($A945="","",IF(SUMPRODUCT((Evermont!$A$2:$A$1000=$A945)*(Evermont!$Q$2:$Q$1000="Terminé"))&gt;0,"✓",IF(SUMPRODUCT(MAX((Evermont!$A$2:$A$1000=$A945)*Evermont!$F$2:$F$1000))&gt;0,TEXT(SUMPRODUCT(MAX((Evermont!$A$2:$A$1000=$A945)*Evermont!$F$2:$F$1000)),"yyyy-mm-dd"),""))))))</f>
        <v/>
      </c>
      <c r="L945" s="131" t="str">
        <f aca="false">IF($A945="","",COUNTIF(E945:K945,"✓"))</f>
        <v/>
      </c>
      <c r="M945" s="131" t="str">
        <f aca="false">IF(B945="","","Active")</f>
        <v/>
      </c>
      <c r="W945" s="120" t="str">
        <f aca="false">IF($A945="","",IF($X945&lt;&gt;"",$X945,IFERROR(INDEX('Formation Initiale'!$B$2:$B$999,MATCH($A945,'Formation Initiale'!$A$2:$A$999,0)),"Général")))</f>
        <v/>
      </c>
    </row>
    <row r="946" customFormat="false" ht="15" hidden="true" customHeight="true" outlineLevel="0" collapsed="false">
      <c r="A946" s="142" t="str">
        <f aca="false">IF(B946="","","TR"&amp;TEXT(ROW()-1,"000"))</f>
        <v/>
      </c>
      <c r="E946" s="130" t="str">
        <f aca="false">IF($O946="✓","✓",IF(ISNUMBER($O946),TEXT($O946,"yyyy-mm-dd"),IF($A946="","",IF(SUMPRODUCT(('Formation Initiale'!$A$2:$A$999=$A946)*('Formation Initiale'!$R$2:$R$999="Terminé"))&gt;0,"✓",IF(SUMPRODUCT(MAX(('Formation Initiale'!$A$2:$A$999=$A946)*'Formation Initiale'!$G$2:$G$999))&gt;0,TEXT(SUMPRODUCT(MAX(('Formation Initiale'!$A$2:$A$999=$A946)*'Formation Initiale'!$G$2:$G$999)),"yyyy-mm-dd"),"")))))</f>
        <v/>
      </c>
      <c r="F946" s="131" t="str">
        <f aca="false">IF($P946="✓","✓",IF(ISNUMBER($P946),TEXT($P946,"yyyy-mm-dd"),IF($A946="","",IF($D946="Lisbonne","",IF(SUMPRODUCT(('Formation Initiale'!$A$2:$A$999=$A946)*('Formation Initiale'!$R$2:$R$999="Terminé"))&gt;0,"✓",IF(SUMPRODUCT(MAX(('Formation Initiale'!$A$2:$A$999=$A946)*'Formation Initiale'!$G$2:$G$999))&gt;0,TEXT(SUMPRODUCT(MAX(('Formation Initiale'!$A$2:$A$999=$A946)*'Formation Initiale'!$G$2:$G$999)),"yyyy-mm-dd"),""))))))</f>
        <v/>
      </c>
      <c r="G946" s="131" t="str">
        <f aca="false">IF($Q946="✓","✓",IF(ISNUMBER($Q946),TEXT($Q946,"yyyy-mm-dd"),IF($A946="","",IF(SUMPRODUCT(('Agences &amp; Après-vente'!$A$2:$A$1000=$A946)*(('Agences &amp; Après-vente'!$D$2:$D$1000="Agences")+('Agences &amp; Après-vente'!$D$2:$D$1000="Agences et Après-vente"))*('Agences &amp; Après-vente'!$I$2:$I$1000="DONE"))&gt;0,"✓",IF(SUMPRODUCT(MAX(('Agences &amp; Après-vente'!$A$2:$A$1000=$A946)*(('Agences &amp; Après-vente'!$D$2:$D$1000="Agences")+('Agences &amp; Après-vente'!$D$2:$D$1000="Agences et Après-vente"))*'Agences &amp; Après-vente'!$E$2:$E$1000))&gt;0,TEXT(SUMPRODUCT(MAX(('Agences &amp; Après-vente'!$A$2:$A$1000=$A946)*(('Agences &amp; Après-vente'!$D$2:$D$1000="Agences")+('Agences &amp; Après-vente'!$D$2:$D$1000="Agences et Après-vente"))*'Agences &amp; Après-vente'!$E$2:$E$1000)),"yyyy-mm-dd"),"")))))</f>
        <v/>
      </c>
      <c r="H946" s="131" t="str">
        <f aca="false">IF($R946="✓","✓",IF(ISNUMBER($R946),TEXT($R946,"yyyy-mm-dd"),IF($A946="","",IF($D946="Lisbonne","",IF(SUMPRODUCT(('Agences &amp; Après-vente'!$A$2:$A$1000=$A946)*(('Agences &amp; Après-vente'!$D$2:$D$1000="Agences")+('Agences &amp; Après-vente'!$D$2:$D$1000="Agences et Après-vente"))*('Agences &amp; Après-vente'!$I$2:$I$1000="DONE"))&gt;0,"✓",IF(SUMPRODUCT(MAX(('Agences &amp; Après-vente'!$A$2:$A$1000=$A946)*(('Agences &amp; Après-vente'!$D$2:$D$1000="Agences")+('Agences &amp; Après-vente'!$D$2:$D$1000="Agences et Après-vente"))*'Agences &amp; Après-vente'!$E$2:$E$1000))&gt;0,TEXT(SUMPRODUCT(MAX(('Agences &amp; Après-vente'!$A$2:$A$1000=$A946)*(('Agences &amp; Après-vente'!$D$2:$D$1000="Agences")+('Agences &amp; Après-vente'!$D$2:$D$1000="Agences et Après-vente"))*'Agences &amp; Après-vente'!$E$2:$E$1000)),"yyyy-mm-dd"),""))))))</f>
        <v/>
      </c>
      <c r="I946" s="131" t="str">
        <f aca="false">IF($S946="✓","✓",IF(ISNUMBER($S946),TEXT($S946,"yyyy-mm-dd"),IF($A946="","",IF(SUMPRODUCT(('Agences &amp; Après-vente'!$A$2:$A$1000=$A946)*(('Agences &amp; Après-vente'!$D$2:$D$1000="Après-vente")+('Agences &amp; Après-vente'!$D$2:$D$1000="Agences et Après-vente"))*('Agences &amp; Après-vente'!$I$2:$I$1000="DONE"))&gt;0,"✓",IF(SUMPRODUCT(MAX(('Agences &amp; Après-vente'!$A$2:$A$1000=$A946)*(('Agences &amp; Après-vente'!$D$2:$D$1000="Après-vente")+('Agences &amp; Après-vente'!$D$2:$D$1000="Agences et Après-vente"))*'Agences &amp; Après-vente'!$E$2:$E$1000))&gt;0,TEXT(SUMPRODUCT(MAX(('Agences &amp; Après-vente'!$A$2:$A$1000=$A946)*(('Agences &amp; Après-vente'!$D$2:$D$1000="Après-vente")+('Agences &amp; Après-vente'!$D$2:$D$1000="Agences et Après-vente"))*'Agences &amp; Après-vente'!$E$2:$E$1000)),"yyyy-mm-dd"),"")))))</f>
        <v/>
      </c>
      <c r="J946" s="131" t="str">
        <f aca="false">IF($T946="✓","✓",IF(ISNUMBER($T946),TEXT($T946,"yyyy-mm-dd"),IF($A946="","",IF($D946="Lisbonne","",IF(SUMPRODUCT(('Agences &amp; Après-vente'!$A$2:$A$1000=$A946)*(('Agences &amp; Après-vente'!$D$2:$D$1000="Après-vente")+('Agences &amp; Après-vente'!$D$2:$D$1000="Agences et Après-vente"))*('Agences &amp; Après-vente'!$I$2:$I$1000="DONE"))&gt;0,"✓",IF(SUMPRODUCT(MAX(('Agences &amp; Après-vente'!$A$2:$A$1000=$A946)*(('Agences &amp; Après-vente'!$D$2:$D$1000="Après-vente")+('Agences &amp; Après-vente'!$D$2:$D$1000="Agences et Après-vente"))*'Agences &amp; Après-vente'!$E$2:$E$1000))&gt;0,TEXT(SUMPRODUCT(MAX(('Agences &amp; Après-vente'!$A$2:$A$1000=$A946)*(('Agences &amp; Après-vente'!$D$2:$D$1000="Après-vente")+('Agences &amp; Après-vente'!$D$2:$D$1000="Agences et Après-vente"))*'Agences &amp; Après-vente'!$E$2:$E$1000)),"yyyy-mm-dd"),""))))))</f>
        <v/>
      </c>
      <c r="K946" s="131" t="str">
        <f aca="false">IF($U946="✓","✓",IF(ISNUMBER($U946),TEXT($U946,"yyyy-mm-dd"),IF($D946="Lisbonne","",IF($A946="","",IF(SUMPRODUCT((Evermont!$A$2:$A$1000=$A946)*(Evermont!$Q$2:$Q$1000="Terminé"))&gt;0,"✓",IF(SUMPRODUCT(MAX((Evermont!$A$2:$A$1000=$A946)*Evermont!$F$2:$F$1000))&gt;0,TEXT(SUMPRODUCT(MAX((Evermont!$A$2:$A$1000=$A946)*Evermont!$F$2:$F$1000)),"yyyy-mm-dd"),""))))))</f>
        <v/>
      </c>
      <c r="L946" s="131" t="str">
        <f aca="false">IF($A946="","",COUNTIF(E946:K946,"✓"))</f>
        <v/>
      </c>
      <c r="M946" s="131" t="str">
        <f aca="false">IF(B946="","","Active")</f>
        <v/>
      </c>
      <c r="W946" s="120" t="str">
        <f aca="false">IF($A946="","",IF($X946&lt;&gt;"",$X946,IFERROR(INDEX('Formation Initiale'!$B$2:$B$999,MATCH($A946,'Formation Initiale'!$A$2:$A$999,0)),"Général")))</f>
        <v/>
      </c>
    </row>
    <row r="947" customFormat="false" ht="15" hidden="true" customHeight="true" outlineLevel="0" collapsed="false">
      <c r="A947" s="142" t="str">
        <f aca="false">IF(B947="","","TR"&amp;TEXT(ROW()-1,"000"))</f>
        <v/>
      </c>
      <c r="E947" s="130" t="str">
        <f aca="false">IF($O947="✓","✓",IF(ISNUMBER($O947),TEXT($O947,"yyyy-mm-dd"),IF($A947="","",IF(SUMPRODUCT(('Formation Initiale'!$A$2:$A$999=$A947)*('Formation Initiale'!$R$2:$R$999="Terminé"))&gt;0,"✓",IF(SUMPRODUCT(MAX(('Formation Initiale'!$A$2:$A$999=$A947)*'Formation Initiale'!$G$2:$G$999))&gt;0,TEXT(SUMPRODUCT(MAX(('Formation Initiale'!$A$2:$A$999=$A947)*'Formation Initiale'!$G$2:$G$999)),"yyyy-mm-dd"),"")))))</f>
        <v/>
      </c>
      <c r="F947" s="131" t="str">
        <f aca="false">IF($P947="✓","✓",IF(ISNUMBER($P947),TEXT($P947,"yyyy-mm-dd"),IF($A947="","",IF($D947="Lisbonne","",IF(SUMPRODUCT(('Formation Initiale'!$A$2:$A$999=$A947)*('Formation Initiale'!$R$2:$R$999="Terminé"))&gt;0,"✓",IF(SUMPRODUCT(MAX(('Formation Initiale'!$A$2:$A$999=$A947)*'Formation Initiale'!$G$2:$G$999))&gt;0,TEXT(SUMPRODUCT(MAX(('Formation Initiale'!$A$2:$A$999=$A947)*'Formation Initiale'!$G$2:$G$999)),"yyyy-mm-dd"),""))))))</f>
        <v/>
      </c>
      <c r="G947" s="131" t="str">
        <f aca="false">IF($Q947="✓","✓",IF(ISNUMBER($Q947),TEXT($Q947,"yyyy-mm-dd"),IF($A947="","",IF(SUMPRODUCT(('Agences &amp; Après-vente'!$A$2:$A$1000=$A947)*(('Agences &amp; Après-vente'!$D$2:$D$1000="Agences")+('Agences &amp; Après-vente'!$D$2:$D$1000="Agences et Après-vente"))*('Agences &amp; Après-vente'!$I$2:$I$1000="DONE"))&gt;0,"✓",IF(SUMPRODUCT(MAX(('Agences &amp; Après-vente'!$A$2:$A$1000=$A947)*(('Agences &amp; Après-vente'!$D$2:$D$1000="Agences")+('Agences &amp; Après-vente'!$D$2:$D$1000="Agences et Après-vente"))*'Agences &amp; Après-vente'!$E$2:$E$1000))&gt;0,TEXT(SUMPRODUCT(MAX(('Agences &amp; Après-vente'!$A$2:$A$1000=$A947)*(('Agences &amp; Après-vente'!$D$2:$D$1000="Agences")+('Agences &amp; Après-vente'!$D$2:$D$1000="Agences et Après-vente"))*'Agences &amp; Après-vente'!$E$2:$E$1000)),"yyyy-mm-dd"),"")))))</f>
        <v/>
      </c>
      <c r="H947" s="131" t="str">
        <f aca="false">IF($R947="✓","✓",IF(ISNUMBER($R947),TEXT($R947,"yyyy-mm-dd"),IF($A947="","",IF($D947="Lisbonne","",IF(SUMPRODUCT(('Agences &amp; Après-vente'!$A$2:$A$1000=$A947)*(('Agences &amp; Après-vente'!$D$2:$D$1000="Agences")+('Agences &amp; Après-vente'!$D$2:$D$1000="Agences et Après-vente"))*('Agences &amp; Après-vente'!$I$2:$I$1000="DONE"))&gt;0,"✓",IF(SUMPRODUCT(MAX(('Agences &amp; Après-vente'!$A$2:$A$1000=$A947)*(('Agences &amp; Après-vente'!$D$2:$D$1000="Agences")+('Agences &amp; Après-vente'!$D$2:$D$1000="Agences et Après-vente"))*'Agences &amp; Après-vente'!$E$2:$E$1000))&gt;0,TEXT(SUMPRODUCT(MAX(('Agences &amp; Après-vente'!$A$2:$A$1000=$A947)*(('Agences &amp; Après-vente'!$D$2:$D$1000="Agences")+('Agences &amp; Après-vente'!$D$2:$D$1000="Agences et Après-vente"))*'Agences &amp; Après-vente'!$E$2:$E$1000)),"yyyy-mm-dd"),""))))))</f>
        <v/>
      </c>
      <c r="I947" s="131" t="str">
        <f aca="false">IF($S947="✓","✓",IF(ISNUMBER($S947),TEXT($S947,"yyyy-mm-dd"),IF($A947="","",IF(SUMPRODUCT(('Agences &amp; Après-vente'!$A$2:$A$1000=$A947)*(('Agences &amp; Après-vente'!$D$2:$D$1000="Après-vente")+('Agences &amp; Après-vente'!$D$2:$D$1000="Agences et Après-vente"))*('Agences &amp; Après-vente'!$I$2:$I$1000="DONE"))&gt;0,"✓",IF(SUMPRODUCT(MAX(('Agences &amp; Après-vente'!$A$2:$A$1000=$A947)*(('Agences &amp; Après-vente'!$D$2:$D$1000="Après-vente")+('Agences &amp; Après-vente'!$D$2:$D$1000="Agences et Après-vente"))*'Agences &amp; Après-vente'!$E$2:$E$1000))&gt;0,TEXT(SUMPRODUCT(MAX(('Agences &amp; Après-vente'!$A$2:$A$1000=$A947)*(('Agences &amp; Après-vente'!$D$2:$D$1000="Après-vente")+('Agences &amp; Après-vente'!$D$2:$D$1000="Agences et Après-vente"))*'Agences &amp; Après-vente'!$E$2:$E$1000)),"yyyy-mm-dd"),"")))))</f>
        <v/>
      </c>
      <c r="J947" s="131" t="str">
        <f aca="false">IF($T947="✓","✓",IF(ISNUMBER($T947),TEXT($T947,"yyyy-mm-dd"),IF($A947="","",IF($D947="Lisbonne","",IF(SUMPRODUCT(('Agences &amp; Après-vente'!$A$2:$A$1000=$A947)*(('Agences &amp; Après-vente'!$D$2:$D$1000="Après-vente")+('Agences &amp; Après-vente'!$D$2:$D$1000="Agences et Après-vente"))*('Agences &amp; Après-vente'!$I$2:$I$1000="DONE"))&gt;0,"✓",IF(SUMPRODUCT(MAX(('Agences &amp; Après-vente'!$A$2:$A$1000=$A947)*(('Agences &amp; Après-vente'!$D$2:$D$1000="Après-vente")+('Agences &amp; Après-vente'!$D$2:$D$1000="Agences et Après-vente"))*'Agences &amp; Après-vente'!$E$2:$E$1000))&gt;0,TEXT(SUMPRODUCT(MAX(('Agences &amp; Après-vente'!$A$2:$A$1000=$A947)*(('Agences &amp; Après-vente'!$D$2:$D$1000="Après-vente")+('Agences &amp; Après-vente'!$D$2:$D$1000="Agences et Après-vente"))*'Agences &amp; Après-vente'!$E$2:$E$1000)),"yyyy-mm-dd"),""))))))</f>
        <v/>
      </c>
      <c r="K947" s="131" t="str">
        <f aca="false">IF($U947="✓","✓",IF(ISNUMBER($U947),TEXT($U947,"yyyy-mm-dd"),IF($D947="Lisbonne","",IF($A947="","",IF(SUMPRODUCT((Evermont!$A$2:$A$1000=$A947)*(Evermont!$Q$2:$Q$1000="Terminé"))&gt;0,"✓",IF(SUMPRODUCT(MAX((Evermont!$A$2:$A$1000=$A947)*Evermont!$F$2:$F$1000))&gt;0,TEXT(SUMPRODUCT(MAX((Evermont!$A$2:$A$1000=$A947)*Evermont!$F$2:$F$1000)),"yyyy-mm-dd"),""))))))</f>
        <v/>
      </c>
      <c r="L947" s="131" t="str">
        <f aca="false">IF($A947="","",COUNTIF(E947:K947,"✓"))</f>
        <v/>
      </c>
      <c r="M947" s="131" t="str">
        <f aca="false">IF(B947="","","Active")</f>
        <v/>
      </c>
      <c r="W947" s="120" t="str">
        <f aca="false">IF($A947="","",IF($X947&lt;&gt;"",$X947,IFERROR(INDEX('Formation Initiale'!$B$2:$B$999,MATCH($A947,'Formation Initiale'!$A$2:$A$999,0)),"Général")))</f>
        <v/>
      </c>
    </row>
    <row r="948" customFormat="false" ht="15" hidden="true" customHeight="true" outlineLevel="0" collapsed="false">
      <c r="A948" s="142" t="str">
        <f aca="false">IF(B948="","","TR"&amp;TEXT(ROW()-1,"000"))</f>
        <v/>
      </c>
      <c r="E948" s="130" t="str">
        <f aca="false">IF($O948="✓","✓",IF(ISNUMBER($O948),TEXT($O948,"yyyy-mm-dd"),IF($A948="","",IF(SUMPRODUCT(('Formation Initiale'!$A$2:$A$999=$A948)*('Formation Initiale'!$R$2:$R$999="Terminé"))&gt;0,"✓",IF(SUMPRODUCT(MAX(('Formation Initiale'!$A$2:$A$999=$A948)*'Formation Initiale'!$G$2:$G$999))&gt;0,TEXT(SUMPRODUCT(MAX(('Formation Initiale'!$A$2:$A$999=$A948)*'Formation Initiale'!$G$2:$G$999)),"yyyy-mm-dd"),"")))))</f>
        <v/>
      </c>
      <c r="F948" s="131" t="str">
        <f aca="false">IF($P948="✓","✓",IF(ISNUMBER($P948),TEXT($P948,"yyyy-mm-dd"),IF($A948="","",IF($D948="Lisbonne","",IF(SUMPRODUCT(('Formation Initiale'!$A$2:$A$999=$A948)*('Formation Initiale'!$R$2:$R$999="Terminé"))&gt;0,"✓",IF(SUMPRODUCT(MAX(('Formation Initiale'!$A$2:$A$999=$A948)*'Formation Initiale'!$G$2:$G$999))&gt;0,TEXT(SUMPRODUCT(MAX(('Formation Initiale'!$A$2:$A$999=$A948)*'Formation Initiale'!$G$2:$G$999)),"yyyy-mm-dd"),""))))))</f>
        <v/>
      </c>
      <c r="G948" s="131" t="str">
        <f aca="false">IF($Q948="✓","✓",IF(ISNUMBER($Q948),TEXT($Q948,"yyyy-mm-dd"),IF($A948="","",IF(SUMPRODUCT(('Agences &amp; Après-vente'!$A$2:$A$1000=$A948)*(('Agences &amp; Après-vente'!$D$2:$D$1000="Agences")+('Agences &amp; Après-vente'!$D$2:$D$1000="Agences et Après-vente"))*('Agences &amp; Après-vente'!$I$2:$I$1000="DONE"))&gt;0,"✓",IF(SUMPRODUCT(MAX(('Agences &amp; Après-vente'!$A$2:$A$1000=$A948)*(('Agences &amp; Après-vente'!$D$2:$D$1000="Agences")+('Agences &amp; Après-vente'!$D$2:$D$1000="Agences et Après-vente"))*'Agences &amp; Après-vente'!$E$2:$E$1000))&gt;0,TEXT(SUMPRODUCT(MAX(('Agences &amp; Après-vente'!$A$2:$A$1000=$A948)*(('Agences &amp; Après-vente'!$D$2:$D$1000="Agences")+('Agences &amp; Après-vente'!$D$2:$D$1000="Agences et Après-vente"))*'Agences &amp; Après-vente'!$E$2:$E$1000)),"yyyy-mm-dd"),"")))))</f>
        <v/>
      </c>
      <c r="H948" s="131" t="str">
        <f aca="false">IF($R948="✓","✓",IF(ISNUMBER($R948),TEXT($R948,"yyyy-mm-dd"),IF($A948="","",IF($D948="Lisbonne","",IF(SUMPRODUCT(('Agences &amp; Après-vente'!$A$2:$A$1000=$A948)*(('Agences &amp; Après-vente'!$D$2:$D$1000="Agences")+('Agences &amp; Après-vente'!$D$2:$D$1000="Agences et Après-vente"))*('Agences &amp; Après-vente'!$I$2:$I$1000="DONE"))&gt;0,"✓",IF(SUMPRODUCT(MAX(('Agences &amp; Après-vente'!$A$2:$A$1000=$A948)*(('Agences &amp; Après-vente'!$D$2:$D$1000="Agences")+('Agences &amp; Après-vente'!$D$2:$D$1000="Agences et Après-vente"))*'Agences &amp; Après-vente'!$E$2:$E$1000))&gt;0,TEXT(SUMPRODUCT(MAX(('Agences &amp; Après-vente'!$A$2:$A$1000=$A948)*(('Agences &amp; Après-vente'!$D$2:$D$1000="Agences")+('Agences &amp; Après-vente'!$D$2:$D$1000="Agences et Après-vente"))*'Agences &amp; Après-vente'!$E$2:$E$1000)),"yyyy-mm-dd"),""))))))</f>
        <v/>
      </c>
      <c r="I948" s="131" t="str">
        <f aca="false">IF($S948="✓","✓",IF(ISNUMBER($S948),TEXT($S948,"yyyy-mm-dd"),IF($A948="","",IF(SUMPRODUCT(('Agences &amp; Après-vente'!$A$2:$A$1000=$A948)*(('Agences &amp; Après-vente'!$D$2:$D$1000="Après-vente")+('Agences &amp; Après-vente'!$D$2:$D$1000="Agences et Après-vente"))*('Agences &amp; Après-vente'!$I$2:$I$1000="DONE"))&gt;0,"✓",IF(SUMPRODUCT(MAX(('Agences &amp; Après-vente'!$A$2:$A$1000=$A948)*(('Agences &amp; Après-vente'!$D$2:$D$1000="Après-vente")+('Agences &amp; Après-vente'!$D$2:$D$1000="Agences et Après-vente"))*'Agences &amp; Après-vente'!$E$2:$E$1000))&gt;0,TEXT(SUMPRODUCT(MAX(('Agences &amp; Après-vente'!$A$2:$A$1000=$A948)*(('Agences &amp; Après-vente'!$D$2:$D$1000="Après-vente")+('Agences &amp; Après-vente'!$D$2:$D$1000="Agences et Après-vente"))*'Agences &amp; Après-vente'!$E$2:$E$1000)),"yyyy-mm-dd"),"")))))</f>
        <v/>
      </c>
      <c r="J948" s="131" t="str">
        <f aca="false">IF($T948="✓","✓",IF(ISNUMBER($T948),TEXT($T948,"yyyy-mm-dd"),IF($A948="","",IF($D948="Lisbonne","",IF(SUMPRODUCT(('Agences &amp; Après-vente'!$A$2:$A$1000=$A948)*(('Agences &amp; Après-vente'!$D$2:$D$1000="Après-vente")+('Agences &amp; Après-vente'!$D$2:$D$1000="Agences et Après-vente"))*('Agences &amp; Après-vente'!$I$2:$I$1000="DONE"))&gt;0,"✓",IF(SUMPRODUCT(MAX(('Agences &amp; Après-vente'!$A$2:$A$1000=$A948)*(('Agences &amp; Après-vente'!$D$2:$D$1000="Après-vente")+('Agences &amp; Après-vente'!$D$2:$D$1000="Agences et Après-vente"))*'Agences &amp; Après-vente'!$E$2:$E$1000))&gt;0,TEXT(SUMPRODUCT(MAX(('Agences &amp; Après-vente'!$A$2:$A$1000=$A948)*(('Agences &amp; Après-vente'!$D$2:$D$1000="Après-vente")+('Agences &amp; Après-vente'!$D$2:$D$1000="Agences et Après-vente"))*'Agences &amp; Après-vente'!$E$2:$E$1000)),"yyyy-mm-dd"),""))))))</f>
        <v/>
      </c>
      <c r="K948" s="131" t="str">
        <f aca="false">IF($U948="✓","✓",IF(ISNUMBER($U948),TEXT($U948,"yyyy-mm-dd"),IF($D948="Lisbonne","",IF($A948="","",IF(SUMPRODUCT((Evermont!$A$2:$A$1000=$A948)*(Evermont!$Q$2:$Q$1000="Terminé"))&gt;0,"✓",IF(SUMPRODUCT(MAX((Evermont!$A$2:$A$1000=$A948)*Evermont!$F$2:$F$1000))&gt;0,TEXT(SUMPRODUCT(MAX((Evermont!$A$2:$A$1000=$A948)*Evermont!$F$2:$F$1000)),"yyyy-mm-dd"),""))))))</f>
        <v/>
      </c>
      <c r="L948" s="131" t="str">
        <f aca="false">IF($A948="","",COUNTIF(E948:K948,"✓"))</f>
        <v/>
      </c>
      <c r="M948" s="131" t="str">
        <f aca="false">IF(B948="","","Active")</f>
        <v/>
      </c>
      <c r="W948" s="120" t="str">
        <f aca="false">IF($A948="","",IF($X948&lt;&gt;"",$X948,IFERROR(INDEX('Formation Initiale'!$B$2:$B$999,MATCH($A948,'Formation Initiale'!$A$2:$A$999,0)),"Général")))</f>
        <v/>
      </c>
    </row>
    <row r="949" customFormat="false" ht="15" hidden="true" customHeight="true" outlineLevel="0" collapsed="false">
      <c r="A949" s="142" t="str">
        <f aca="false">IF(B949="","","TR"&amp;TEXT(ROW()-1,"000"))</f>
        <v/>
      </c>
      <c r="E949" s="130" t="str">
        <f aca="false">IF($O949="✓","✓",IF(ISNUMBER($O949),TEXT($O949,"yyyy-mm-dd"),IF($A949="","",IF(SUMPRODUCT(('Formation Initiale'!$A$2:$A$999=$A949)*('Formation Initiale'!$R$2:$R$999="Terminé"))&gt;0,"✓",IF(SUMPRODUCT(MAX(('Formation Initiale'!$A$2:$A$999=$A949)*'Formation Initiale'!$G$2:$G$999))&gt;0,TEXT(SUMPRODUCT(MAX(('Formation Initiale'!$A$2:$A$999=$A949)*'Formation Initiale'!$G$2:$G$999)),"yyyy-mm-dd"),"")))))</f>
        <v/>
      </c>
      <c r="F949" s="131" t="str">
        <f aca="false">IF($P949="✓","✓",IF(ISNUMBER($P949),TEXT($P949,"yyyy-mm-dd"),IF($A949="","",IF($D949="Lisbonne","",IF(SUMPRODUCT(('Formation Initiale'!$A$2:$A$999=$A949)*('Formation Initiale'!$R$2:$R$999="Terminé"))&gt;0,"✓",IF(SUMPRODUCT(MAX(('Formation Initiale'!$A$2:$A$999=$A949)*'Formation Initiale'!$G$2:$G$999))&gt;0,TEXT(SUMPRODUCT(MAX(('Formation Initiale'!$A$2:$A$999=$A949)*'Formation Initiale'!$G$2:$G$999)),"yyyy-mm-dd"),""))))))</f>
        <v/>
      </c>
      <c r="G949" s="131" t="str">
        <f aca="false">IF($Q949="✓","✓",IF(ISNUMBER($Q949),TEXT($Q949,"yyyy-mm-dd"),IF($A949="","",IF(SUMPRODUCT(('Agences &amp; Après-vente'!$A$2:$A$1000=$A949)*(('Agences &amp; Après-vente'!$D$2:$D$1000="Agences")+('Agences &amp; Après-vente'!$D$2:$D$1000="Agences et Après-vente"))*('Agences &amp; Après-vente'!$I$2:$I$1000="DONE"))&gt;0,"✓",IF(SUMPRODUCT(MAX(('Agences &amp; Après-vente'!$A$2:$A$1000=$A949)*(('Agences &amp; Après-vente'!$D$2:$D$1000="Agences")+('Agences &amp; Après-vente'!$D$2:$D$1000="Agences et Après-vente"))*'Agences &amp; Après-vente'!$E$2:$E$1000))&gt;0,TEXT(SUMPRODUCT(MAX(('Agences &amp; Après-vente'!$A$2:$A$1000=$A949)*(('Agences &amp; Après-vente'!$D$2:$D$1000="Agences")+('Agences &amp; Après-vente'!$D$2:$D$1000="Agences et Après-vente"))*'Agences &amp; Après-vente'!$E$2:$E$1000)),"yyyy-mm-dd"),"")))))</f>
        <v/>
      </c>
      <c r="H949" s="131" t="str">
        <f aca="false">IF($R949="✓","✓",IF(ISNUMBER($R949),TEXT($R949,"yyyy-mm-dd"),IF($A949="","",IF($D949="Lisbonne","",IF(SUMPRODUCT(('Agences &amp; Après-vente'!$A$2:$A$1000=$A949)*(('Agences &amp; Après-vente'!$D$2:$D$1000="Agences")+('Agences &amp; Après-vente'!$D$2:$D$1000="Agences et Après-vente"))*('Agences &amp; Après-vente'!$I$2:$I$1000="DONE"))&gt;0,"✓",IF(SUMPRODUCT(MAX(('Agences &amp; Après-vente'!$A$2:$A$1000=$A949)*(('Agences &amp; Après-vente'!$D$2:$D$1000="Agences")+('Agences &amp; Après-vente'!$D$2:$D$1000="Agences et Après-vente"))*'Agences &amp; Après-vente'!$E$2:$E$1000))&gt;0,TEXT(SUMPRODUCT(MAX(('Agences &amp; Après-vente'!$A$2:$A$1000=$A949)*(('Agences &amp; Après-vente'!$D$2:$D$1000="Agences")+('Agences &amp; Après-vente'!$D$2:$D$1000="Agences et Après-vente"))*'Agences &amp; Après-vente'!$E$2:$E$1000)),"yyyy-mm-dd"),""))))))</f>
        <v/>
      </c>
      <c r="I949" s="131" t="str">
        <f aca="false">IF($S949="✓","✓",IF(ISNUMBER($S949),TEXT($S949,"yyyy-mm-dd"),IF($A949="","",IF(SUMPRODUCT(('Agences &amp; Après-vente'!$A$2:$A$1000=$A949)*(('Agences &amp; Après-vente'!$D$2:$D$1000="Après-vente")+('Agences &amp; Après-vente'!$D$2:$D$1000="Agences et Après-vente"))*('Agences &amp; Après-vente'!$I$2:$I$1000="DONE"))&gt;0,"✓",IF(SUMPRODUCT(MAX(('Agences &amp; Après-vente'!$A$2:$A$1000=$A949)*(('Agences &amp; Après-vente'!$D$2:$D$1000="Après-vente")+('Agences &amp; Après-vente'!$D$2:$D$1000="Agences et Après-vente"))*'Agences &amp; Après-vente'!$E$2:$E$1000))&gt;0,TEXT(SUMPRODUCT(MAX(('Agences &amp; Après-vente'!$A$2:$A$1000=$A949)*(('Agences &amp; Après-vente'!$D$2:$D$1000="Après-vente")+('Agences &amp; Après-vente'!$D$2:$D$1000="Agences et Après-vente"))*'Agences &amp; Après-vente'!$E$2:$E$1000)),"yyyy-mm-dd"),"")))))</f>
        <v/>
      </c>
      <c r="J949" s="131" t="str">
        <f aca="false">IF($T949="✓","✓",IF(ISNUMBER($T949),TEXT($T949,"yyyy-mm-dd"),IF($A949="","",IF($D949="Lisbonne","",IF(SUMPRODUCT(('Agences &amp; Après-vente'!$A$2:$A$1000=$A949)*(('Agences &amp; Après-vente'!$D$2:$D$1000="Après-vente")+('Agences &amp; Après-vente'!$D$2:$D$1000="Agences et Après-vente"))*('Agences &amp; Après-vente'!$I$2:$I$1000="DONE"))&gt;0,"✓",IF(SUMPRODUCT(MAX(('Agences &amp; Après-vente'!$A$2:$A$1000=$A949)*(('Agences &amp; Après-vente'!$D$2:$D$1000="Après-vente")+('Agences &amp; Après-vente'!$D$2:$D$1000="Agences et Après-vente"))*'Agences &amp; Après-vente'!$E$2:$E$1000))&gt;0,TEXT(SUMPRODUCT(MAX(('Agences &amp; Après-vente'!$A$2:$A$1000=$A949)*(('Agences &amp; Après-vente'!$D$2:$D$1000="Après-vente")+('Agences &amp; Après-vente'!$D$2:$D$1000="Agences et Après-vente"))*'Agences &amp; Après-vente'!$E$2:$E$1000)),"yyyy-mm-dd"),""))))))</f>
        <v/>
      </c>
      <c r="K949" s="131" t="str">
        <f aca="false">IF($U949="✓","✓",IF(ISNUMBER($U949),TEXT($U949,"yyyy-mm-dd"),IF($D949="Lisbonne","",IF($A949="","",IF(SUMPRODUCT((Evermont!$A$2:$A$1000=$A949)*(Evermont!$Q$2:$Q$1000="Terminé"))&gt;0,"✓",IF(SUMPRODUCT(MAX((Evermont!$A$2:$A$1000=$A949)*Evermont!$F$2:$F$1000))&gt;0,TEXT(SUMPRODUCT(MAX((Evermont!$A$2:$A$1000=$A949)*Evermont!$F$2:$F$1000)),"yyyy-mm-dd"),""))))))</f>
        <v/>
      </c>
      <c r="L949" s="131" t="str">
        <f aca="false">IF($A949="","",COUNTIF(E949:K949,"✓"))</f>
        <v/>
      </c>
      <c r="M949" s="131" t="str">
        <f aca="false">IF(B949="","","Active")</f>
        <v/>
      </c>
      <c r="W949" s="120" t="str">
        <f aca="false">IF($A949="","",IF($X949&lt;&gt;"",$X949,IFERROR(INDEX('Formation Initiale'!$B$2:$B$999,MATCH($A949,'Formation Initiale'!$A$2:$A$999,0)),"Général")))</f>
        <v/>
      </c>
    </row>
    <row r="950" customFormat="false" ht="15" hidden="true" customHeight="true" outlineLevel="0" collapsed="false">
      <c r="A950" s="142" t="str">
        <f aca="false">IF(B950="","","TR"&amp;TEXT(ROW()-1,"000"))</f>
        <v/>
      </c>
      <c r="E950" s="130" t="str">
        <f aca="false">IF($O950="✓","✓",IF(ISNUMBER($O950),TEXT($O950,"yyyy-mm-dd"),IF($A950="","",IF(SUMPRODUCT(('Formation Initiale'!$A$2:$A$999=$A950)*('Formation Initiale'!$R$2:$R$999="Terminé"))&gt;0,"✓",IF(SUMPRODUCT(MAX(('Formation Initiale'!$A$2:$A$999=$A950)*'Formation Initiale'!$G$2:$G$999))&gt;0,TEXT(SUMPRODUCT(MAX(('Formation Initiale'!$A$2:$A$999=$A950)*'Formation Initiale'!$G$2:$G$999)),"yyyy-mm-dd"),"")))))</f>
        <v/>
      </c>
      <c r="F950" s="131" t="str">
        <f aca="false">IF($P950="✓","✓",IF(ISNUMBER($P950),TEXT($P950,"yyyy-mm-dd"),IF($A950="","",IF($D950="Lisbonne","",IF(SUMPRODUCT(('Formation Initiale'!$A$2:$A$999=$A950)*('Formation Initiale'!$R$2:$R$999="Terminé"))&gt;0,"✓",IF(SUMPRODUCT(MAX(('Formation Initiale'!$A$2:$A$999=$A950)*'Formation Initiale'!$G$2:$G$999))&gt;0,TEXT(SUMPRODUCT(MAX(('Formation Initiale'!$A$2:$A$999=$A950)*'Formation Initiale'!$G$2:$G$999)),"yyyy-mm-dd"),""))))))</f>
        <v/>
      </c>
      <c r="G950" s="131" t="str">
        <f aca="false">IF($Q950="✓","✓",IF(ISNUMBER($Q950),TEXT($Q950,"yyyy-mm-dd"),IF($A950="","",IF(SUMPRODUCT(('Agences &amp; Après-vente'!$A$2:$A$1000=$A950)*(('Agences &amp; Après-vente'!$D$2:$D$1000="Agences")+('Agences &amp; Après-vente'!$D$2:$D$1000="Agences et Après-vente"))*('Agences &amp; Après-vente'!$I$2:$I$1000="DONE"))&gt;0,"✓",IF(SUMPRODUCT(MAX(('Agences &amp; Après-vente'!$A$2:$A$1000=$A950)*(('Agences &amp; Après-vente'!$D$2:$D$1000="Agences")+('Agences &amp; Après-vente'!$D$2:$D$1000="Agences et Après-vente"))*'Agences &amp; Après-vente'!$E$2:$E$1000))&gt;0,TEXT(SUMPRODUCT(MAX(('Agences &amp; Après-vente'!$A$2:$A$1000=$A950)*(('Agences &amp; Après-vente'!$D$2:$D$1000="Agences")+('Agences &amp; Après-vente'!$D$2:$D$1000="Agences et Après-vente"))*'Agences &amp; Après-vente'!$E$2:$E$1000)),"yyyy-mm-dd"),"")))))</f>
        <v/>
      </c>
      <c r="H950" s="131" t="str">
        <f aca="false">IF($R950="✓","✓",IF(ISNUMBER($R950),TEXT($R950,"yyyy-mm-dd"),IF($A950="","",IF($D950="Lisbonne","",IF(SUMPRODUCT(('Agences &amp; Après-vente'!$A$2:$A$1000=$A950)*(('Agences &amp; Après-vente'!$D$2:$D$1000="Agences")+('Agences &amp; Après-vente'!$D$2:$D$1000="Agences et Après-vente"))*('Agences &amp; Après-vente'!$I$2:$I$1000="DONE"))&gt;0,"✓",IF(SUMPRODUCT(MAX(('Agences &amp; Après-vente'!$A$2:$A$1000=$A950)*(('Agences &amp; Après-vente'!$D$2:$D$1000="Agences")+('Agences &amp; Après-vente'!$D$2:$D$1000="Agences et Après-vente"))*'Agences &amp; Après-vente'!$E$2:$E$1000))&gt;0,TEXT(SUMPRODUCT(MAX(('Agences &amp; Après-vente'!$A$2:$A$1000=$A950)*(('Agences &amp; Après-vente'!$D$2:$D$1000="Agences")+('Agences &amp; Après-vente'!$D$2:$D$1000="Agences et Après-vente"))*'Agences &amp; Après-vente'!$E$2:$E$1000)),"yyyy-mm-dd"),""))))))</f>
        <v/>
      </c>
      <c r="I950" s="131" t="str">
        <f aca="false">IF($S950="✓","✓",IF(ISNUMBER($S950),TEXT($S950,"yyyy-mm-dd"),IF($A950="","",IF(SUMPRODUCT(('Agences &amp; Après-vente'!$A$2:$A$1000=$A950)*(('Agences &amp; Après-vente'!$D$2:$D$1000="Après-vente")+('Agences &amp; Après-vente'!$D$2:$D$1000="Agences et Après-vente"))*('Agences &amp; Après-vente'!$I$2:$I$1000="DONE"))&gt;0,"✓",IF(SUMPRODUCT(MAX(('Agences &amp; Après-vente'!$A$2:$A$1000=$A950)*(('Agences &amp; Après-vente'!$D$2:$D$1000="Après-vente")+('Agences &amp; Après-vente'!$D$2:$D$1000="Agences et Après-vente"))*'Agences &amp; Après-vente'!$E$2:$E$1000))&gt;0,TEXT(SUMPRODUCT(MAX(('Agences &amp; Après-vente'!$A$2:$A$1000=$A950)*(('Agences &amp; Après-vente'!$D$2:$D$1000="Après-vente")+('Agences &amp; Après-vente'!$D$2:$D$1000="Agences et Après-vente"))*'Agences &amp; Après-vente'!$E$2:$E$1000)),"yyyy-mm-dd"),"")))))</f>
        <v/>
      </c>
      <c r="J950" s="131" t="str">
        <f aca="false">IF($T950="✓","✓",IF(ISNUMBER($T950),TEXT($T950,"yyyy-mm-dd"),IF($A950="","",IF($D950="Lisbonne","",IF(SUMPRODUCT(('Agences &amp; Après-vente'!$A$2:$A$1000=$A950)*(('Agences &amp; Après-vente'!$D$2:$D$1000="Après-vente")+('Agences &amp; Après-vente'!$D$2:$D$1000="Agences et Après-vente"))*('Agences &amp; Après-vente'!$I$2:$I$1000="DONE"))&gt;0,"✓",IF(SUMPRODUCT(MAX(('Agences &amp; Après-vente'!$A$2:$A$1000=$A950)*(('Agences &amp; Après-vente'!$D$2:$D$1000="Après-vente")+('Agences &amp; Après-vente'!$D$2:$D$1000="Agences et Après-vente"))*'Agences &amp; Après-vente'!$E$2:$E$1000))&gt;0,TEXT(SUMPRODUCT(MAX(('Agences &amp; Après-vente'!$A$2:$A$1000=$A950)*(('Agences &amp; Après-vente'!$D$2:$D$1000="Après-vente")+('Agences &amp; Après-vente'!$D$2:$D$1000="Agences et Après-vente"))*'Agences &amp; Après-vente'!$E$2:$E$1000)),"yyyy-mm-dd"),""))))))</f>
        <v/>
      </c>
      <c r="K950" s="131" t="str">
        <f aca="false">IF($U950="✓","✓",IF(ISNUMBER($U950),TEXT($U950,"yyyy-mm-dd"),IF($D950="Lisbonne","",IF($A950="","",IF(SUMPRODUCT((Evermont!$A$2:$A$1000=$A950)*(Evermont!$Q$2:$Q$1000="Terminé"))&gt;0,"✓",IF(SUMPRODUCT(MAX((Evermont!$A$2:$A$1000=$A950)*Evermont!$F$2:$F$1000))&gt;0,TEXT(SUMPRODUCT(MAX((Evermont!$A$2:$A$1000=$A950)*Evermont!$F$2:$F$1000)),"yyyy-mm-dd"),""))))))</f>
        <v/>
      </c>
      <c r="L950" s="131" t="str">
        <f aca="false">IF($A950="","",COUNTIF(E950:K950,"✓"))</f>
        <v/>
      </c>
      <c r="M950" s="131" t="str">
        <f aca="false">IF(B950="","","Active")</f>
        <v/>
      </c>
      <c r="W950" s="120" t="str">
        <f aca="false">IF($A950="","",IF($X950&lt;&gt;"",$X950,IFERROR(INDEX('Formation Initiale'!$B$2:$B$999,MATCH($A950,'Formation Initiale'!$A$2:$A$999,0)),"Général")))</f>
        <v/>
      </c>
    </row>
    <row r="951" customFormat="false" ht="15" hidden="true" customHeight="true" outlineLevel="0" collapsed="false">
      <c r="A951" s="142" t="str">
        <f aca="false">IF(B951="","","TR"&amp;TEXT(ROW()-1,"000"))</f>
        <v/>
      </c>
      <c r="E951" s="130" t="str">
        <f aca="false">IF($O951="✓","✓",IF(ISNUMBER($O951),TEXT($O951,"yyyy-mm-dd"),IF($A951="","",IF(SUMPRODUCT(('Formation Initiale'!$A$2:$A$999=$A951)*('Formation Initiale'!$R$2:$R$999="Terminé"))&gt;0,"✓",IF(SUMPRODUCT(MAX(('Formation Initiale'!$A$2:$A$999=$A951)*'Formation Initiale'!$G$2:$G$999))&gt;0,TEXT(SUMPRODUCT(MAX(('Formation Initiale'!$A$2:$A$999=$A951)*'Formation Initiale'!$G$2:$G$999)),"yyyy-mm-dd"),"")))))</f>
        <v/>
      </c>
      <c r="F951" s="131" t="str">
        <f aca="false">IF($P951="✓","✓",IF(ISNUMBER($P951),TEXT($P951,"yyyy-mm-dd"),IF($A951="","",IF($D951="Lisbonne","",IF(SUMPRODUCT(('Formation Initiale'!$A$2:$A$999=$A951)*('Formation Initiale'!$R$2:$R$999="Terminé"))&gt;0,"✓",IF(SUMPRODUCT(MAX(('Formation Initiale'!$A$2:$A$999=$A951)*'Formation Initiale'!$G$2:$G$999))&gt;0,TEXT(SUMPRODUCT(MAX(('Formation Initiale'!$A$2:$A$999=$A951)*'Formation Initiale'!$G$2:$G$999)),"yyyy-mm-dd"),""))))))</f>
        <v/>
      </c>
      <c r="G951" s="131" t="str">
        <f aca="false">IF($Q951="✓","✓",IF(ISNUMBER($Q951),TEXT($Q951,"yyyy-mm-dd"),IF($A951="","",IF(SUMPRODUCT(('Agences &amp; Après-vente'!$A$2:$A$1000=$A951)*(('Agences &amp; Après-vente'!$D$2:$D$1000="Agences")+('Agences &amp; Après-vente'!$D$2:$D$1000="Agences et Après-vente"))*('Agences &amp; Après-vente'!$I$2:$I$1000="DONE"))&gt;0,"✓",IF(SUMPRODUCT(MAX(('Agences &amp; Après-vente'!$A$2:$A$1000=$A951)*(('Agences &amp; Après-vente'!$D$2:$D$1000="Agences")+('Agences &amp; Après-vente'!$D$2:$D$1000="Agences et Après-vente"))*'Agences &amp; Après-vente'!$E$2:$E$1000))&gt;0,TEXT(SUMPRODUCT(MAX(('Agences &amp; Après-vente'!$A$2:$A$1000=$A951)*(('Agences &amp; Après-vente'!$D$2:$D$1000="Agences")+('Agences &amp; Après-vente'!$D$2:$D$1000="Agences et Après-vente"))*'Agences &amp; Après-vente'!$E$2:$E$1000)),"yyyy-mm-dd"),"")))))</f>
        <v/>
      </c>
      <c r="H951" s="131" t="str">
        <f aca="false">IF($R951="✓","✓",IF(ISNUMBER($R951),TEXT($R951,"yyyy-mm-dd"),IF($A951="","",IF($D951="Lisbonne","",IF(SUMPRODUCT(('Agences &amp; Après-vente'!$A$2:$A$1000=$A951)*(('Agences &amp; Après-vente'!$D$2:$D$1000="Agences")+('Agences &amp; Après-vente'!$D$2:$D$1000="Agences et Après-vente"))*('Agences &amp; Après-vente'!$I$2:$I$1000="DONE"))&gt;0,"✓",IF(SUMPRODUCT(MAX(('Agences &amp; Après-vente'!$A$2:$A$1000=$A951)*(('Agences &amp; Après-vente'!$D$2:$D$1000="Agences")+('Agences &amp; Après-vente'!$D$2:$D$1000="Agences et Après-vente"))*'Agences &amp; Après-vente'!$E$2:$E$1000))&gt;0,TEXT(SUMPRODUCT(MAX(('Agences &amp; Après-vente'!$A$2:$A$1000=$A951)*(('Agences &amp; Après-vente'!$D$2:$D$1000="Agences")+('Agences &amp; Après-vente'!$D$2:$D$1000="Agences et Après-vente"))*'Agences &amp; Après-vente'!$E$2:$E$1000)),"yyyy-mm-dd"),""))))))</f>
        <v/>
      </c>
      <c r="I951" s="131" t="str">
        <f aca="false">IF($S951="✓","✓",IF(ISNUMBER($S951),TEXT($S951,"yyyy-mm-dd"),IF($A951="","",IF(SUMPRODUCT(('Agences &amp; Après-vente'!$A$2:$A$1000=$A951)*(('Agences &amp; Après-vente'!$D$2:$D$1000="Après-vente")+('Agences &amp; Après-vente'!$D$2:$D$1000="Agences et Après-vente"))*('Agences &amp; Après-vente'!$I$2:$I$1000="DONE"))&gt;0,"✓",IF(SUMPRODUCT(MAX(('Agences &amp; Après-vente'!$A$2:$A$1000=$A951)*(('Agences &amp; Après-vente'!$D$2:$D$1000="Après-vente")+('Agences &amp; Après-vente'!$D$2:$D$1000="Agences et Après-vente"))*'Agences &amp; Après-vente'!$E$2:$E$1000))&gt;0,TEXT(SUMPRODUCT(MAX(('Agences &amp; Après-vente'!$A$2:$A$1000=$A951)*(('Agences &amp; Après-vente'!$D$2:$D$1000="Après-vente")+('Agences &amp; Après-vente'!$D$2:$D$1000="Agences et Après-vente"))*'Agences &amp; Après-vente'!$E$2:$E$1000)),"yyyy-mm-dd"),"")))))</f>
        <v/>
      </c>
      <c r="J951" s="131" t="str">
        <f aca="false">IF($T951="✓","✓",IF(ISNUMBER($T951),TEXT($T951,"yyyy-mm-dd"),IF($A951="","",IF($D951="Lisbonne","",IF(SUMPRODUCT(('Agences &amp; Après-vente'!$A$2:$A$1000=$A951)*(('Agences &amp; Après-vente'!$D$2:$D$1000="Après-vente")+('Agences &amp; Après-vente'!$D$2:$D$1000="Agences et Après-vente"))*('Agences &amp; Après-vente'!$I$2:$I$1000="DONE"))&gt;0,"✓",IF(SUMPRODUCT(MAX(('Agences &amp; Après-vente'!$A$2:$A$1000=$A951)*(('Agences &amp; Après-vente'!$D$2:$D$1000="Après-vente")+('Agences &amp; Après-vente'!$D$2:$D$1000="Agences et Après-vente"))*'Agences &amp; Après-vente'!$E$2:$E$1000))&gt;0,TEXT(SUMPRODUCT(MAX(('Agences &amp; Après-vente'!$A$2:$A$1000=$A951)*(('Agences &amp; Après-vente'!$D$2:$D$1000="Après-vente")+('Agences &amp; Après-vente'!$D$2:$D$1000="Agences et Après-vente"))*'Agences &amp; Après-vente'!$E$2:$E$1000)),"yyyy-mm-dd"),""))))))</f>
        <v/>
      </c>
      <c r="K951" s="131" t="str">
        <f aca="false">IF($U951="✓","✓",IF(ISNUMBER($U951),TEXT($U951,"yyyy-mm-dd"),IF($D951="Lisbonne","",IF($A951="","",IF(SUMPRODUCT((Evermont!$A$2:$A$1000=$A951)*(Evermont!$Q$2:$Q$1000="Terminé"))&gt;0,"✓",IF(SUMPRODUCT(MAX((Evermont!$A$2:$A$1000=$A951)*Evermont!$F$2:$F$1000))&gt;0,TEXT(SUMPRODUCT(MAX((Evermont!$A$2:$A$1000=$A951)*Evermont!$F$2:$F$1000)),"yyyy-mm-dd"),""))))))</f>
        <v/>
      </c>
      <c r="L951" s="131" t="str">
        <f aca="false">IF($A951="","",COUNTIF(E951:K951,"✓"))</f>
        <v/>
      </c>
      <c r="M951" s="131" t="str">
        <f aca="false">IF(B951="","","Active")</f>
        <v/>
      </c>
      <c r="W951" s="120" t="str">
        <f aca="false">IF($A951="","",IF($X951&lt;&gt;"",$X951,IFERROR(INDEX('Formation Initiale'!$B$2:$B$999,MATCH($A951,'Formation Initiale'!$A$2:$A$999,0)),"Général")))</f>
        <v/>
      </c>
    </row>
    <row r="952" customFormat="false" ht="15" hidden="true" customHeight="true" outlineLevel="0" collapsed="false">
      <c r="A952" s="142" t="str">
        <f aca="false">IF(B952="","","TR"&amp;TEXT(ROW()-1,"000"))</f>
        <v/>
      </c>
      <c r="E952" s="130" t="str">
        <f aca="false">IF($O952="✓","✓",IF(ISNUMBER($O952),TEXT($O952,"yyyy-mm-dd"),IF($A952="","",IF(SUMPRODUCT(('Formation Initiale'!$A$2:$A$999=$A952)*('Formation Initiale'!$R$2:$R$999="Terminé"))&gt;0,"✓",IF(SUMPRODUCT(MAX(('Formation Initiale'!$A$2:$A$999=$A952)*'Formation Initiale'!$G$2:$G$999))&gt;0,TEXT(SUMPRODUCT(MAX(('Formation Initiale'!$A$2:$A$999=$A952)*'Formation Initiale'!$G$2:$G$999)),"yyyy-mm-dd"),"")))))</f>
        <v/>
      </c>
      <c r="F952" s="131" t="str">
        <f aca="false">IF($P952="✓","✓",IF(ISNUMBER($P952),TEXT($P952,"yyyy-mm-dd"),IF($A952="","",IF($D952="Lisbonne","",IF(SUMPRODUCT(('Formation Initiale'!$A$2:$A$999=$A952)*('Formation Initiale'!$R$2:$R$999="Terminé"))&gt;0,"✓",IF(SUMPRODUCT(MAX(('Formation Initiale'!$A$2:$A$999=$A952)*'Formation Initiale'!$G$2:$G$999))&gt;0,TEXT(SUMPRODUCT(MAX(('Formation Initiale'!$A$2:$A$999=$A952)*'Formation Initiale'!$G$2:$G$999)),"yyyy-mm-dd"),""))))))</f>
        <v/>
      </c>
      <c r="G952" s="131" t="str">
        <f aca="false">IF($Q952="✓","✓",IF(ISNUMBER($Q952),TEXT($Q952,"yyyy-mm-dd"),IF($A952="","",IF(SUMPRODUCT(('Agences &amp; Après-vente'!$A$2:$A$1000=$A952)*(('Agences &amp; Après-vente'!$D$2:$D$1000="Agences")+('Agences &amp; Après-vente'!$D$2:$D$1000="Agences et Après-vente"))*('Agences &amp; Après-vente'!$I$2:$I$1000="DONE"))&gt;0,"✓",IF(SUMPRODUCT(MAX(('Agences &amp; Après-vente'!$A$2:$A$1000=$A952)*(('Agences &amp; Après-vente'!$D$2:$D$1000="Agences")+('Agences &amp; Après-vente'!$D$2:$D$1000="Agences et Après-vente"))*'Agences &amp; Après-vente'!$E$2:$E$1000))&gt;0,TEXT(SUMPRODUCT(MAX(('Agences &amp; Après-vente'!$A$2:$A$1000=$A952)*(('Agences &amp; Après-vente'!$D$2:$D$1000="Agences")+('Agences &amp; Après-vente'!$D$2:$D$1000="Agences et Après-vente"))*'Agences &amp; Après-vente'!$E$2:$E$1000)),"yyyy-mm-dd"),"")))))</f>
        <v/>
      </c>
      <c r="H952" s="131" t="str">
        <f aca="false">IF($R952="✓","✓",IF(ISNUMBER($R952),TEXT($R952,"yyyy-mm-dd"),IF($A952="","",IF($D952="Lisbonne","",IF(SUMPRODUCT(('Agences &amp; Après-vente'!$A$2:$A$1000=$A952)*(('Agences &amp; Après-vente'!$D$2:$D$1000="Agences")+('Agences &amp; Après-vente'!$D$2:$D$1000="Agences et Après-vente"))*('Agences &amp; Après-vente'!$I$2:$I$1000="DONE"))&gt;0,"✓",IF(SUMPRODUCT(MAX(('Agences &amp; Après-vente'!$A$2:$A$1000=$A952)*(('Agences &amp; Après-vente'!$D$2:$D$1000="Agences")+('Agences &amp; Après-vente'!$D$2:$D$1000="Agences et Après-vente"))*'Agences &amp; Après-vente'!$E$2:$E$1000))&gt;0,TEXT(SUMPRODUCT(MAX(('Agences &amp; Après-vente'!$A$2:$A$1000=$A952)*(('Agences &amp; Après-vente'!$D$2:$D$1000="Agences")+('Agences &amp; Après-vente'!$D$2:$D$1000="Agences et Après-vente"))*'Agences &amp; Après-vente'!$E$2:$E$1000)),"yyyy-mm-dd"),""))))))</f>
        <v/>
      </c>
      <c r="I952" s="131" t="str">
        <f aca="false">IF($S952="✓","✓",IF(ISNUMBER($S952),TEXT($S952,"yyyy-mm-dd"),IF($A952="","",IF(SUMPRODUCT(('Agences &amp; Après-vente'!$A$2:$A$1000=$A952)*(('Agences &amp; Après-vente'!$D$2:$D$1000="Après-vente")+('Agences &amp; Après-vente'!$D$2:$D$1000="Agences et Après-vente"))*('Agences &amp; Après-vente'!$I$2:$I$1000="DONE"))&gt;0,"✓",IF(SUMPRODUCT(MAX(('Agences &amp; Après-vente'!$A$2:$A$1000=$A952)*(('Agences &amp; Après-vente'!$D$2:$D$1000="Après-vente")+('Agences &amp; Après-vente'!$D$2:$D$1000="Agences et Après-vente"))*'Agences &amp; Après-vente'!$E$2:$E$1000))&gt;0,TEXT(SUMPRODUCT(MAX(('Agences &amp; Après-vente'!$A$2:$A$1000=$A952)*(('Agences &amp; Après-vente'!$D$2:$D$1000="Après-vente")+('Agences &amp; Après-vente'!$D$2:$D$1000="Agences et Après-vente"))*'Agences &amp; Après-vente'!$E$2:$E$1000)),"yyyy-mm-dd"),"")))))</f>
        <v/>
      </c>
      <c r="J952" s="131" t="str">
        <f aca="false">IF($T952="✓","✓",IF(ISNUMBER($T952),TEXT($T952,"yyyy-mm-dd"),IF($A952="","",IF($D952="Lisbonne","",IF(SUMPRODUCT(('Agences &amp; Après-vente'!$A$2:$A$1000=$A952)*(('Agences &amp; Après-vente'!$D$2:$D$1000="Après-vente")+('Agences &amp; Après-vente'!$D$2:$D$1000="Agences et Après-vente"))*('Agences &amp; Après-vente'!$I$2:$I$1000="DONE"))&gt;0,"✓",IF(SUMPRODUCT(MAX(('Agences &amp; Après-vente'!$A$2:$A$1000=$A952)*(('Agences &amp; Après-vente'!$D$2:$D$1000="Après-vente")+('Agences &amp; Après-vente'!$D$2:$D$1000="Agences et Après-vente"))*'Agences &amp; Après-vente'!$E$2:$E$1000))&gt;0,TEXT(SUMPRODUCT(MAX(('Agences &amp; Après-vente'!$A$2:$A$1000=$A952)*(('Agences &amp; Après-vente'!$D$2:$D$1000="Après-vente")+('Agences &amp; Après-vente'!$D$2:$D$1000="Agences et Après-vente"))*'Agences &amp; Après-vente'!$E$2:$E$1000)),"yyyy-mm-dd"),""))))))</f>
        <v/>
      </c>
      <c r="K952" s="131" t="str">
        <f aca="false">IF($U952="✓","✓",IF(ISNUMBER($U952),TEXT($U952,"yyyy-mm-dd"),IF($D952="Lisbonne","",IF($A952="","",IF(SUMPRODUCT((Evermont!$A$2:$A$1000=$A952)*(Evermont!$Q$2:$Q$1000="Terminé"))&gt;0,"✓",IF(SUMPRODUCT(MAX((Evermont!$A$2:$A$1000=$A952)*Evermont!$F$2:$F$1000))&gt;0,TEXT(SUMPRODUCT(MAX((Evermont!$A$2:$A$1000=$A952)*Evermont!$F$2:$F$1000)),"yyyy-mm-dd"),""))))))</f>
        <v/>
      </c>
      <c r="L952" s="131" t="str">
        <f aca="false">IF($A952="","",COUNTIF(E952:K952,"✓"))</f>
        <v/>
      </c>
      <c r="M952" s="131" t="str">
        <f aca="false">IF(B952="","","Active")</f>
        <v/>
      </c>
      <c r="W952" s="120" t="str">
        <f aca="false">IF($A952="","",IF($X952&lt;&gt;"",$X952,IFERROR(INDEX('Formation Initiale'!$B$2:$B$999,MATCH($A952,'Formation Initiale'!$A$2:$A$999,0)),"Général")))</f>
        <v/>
      </c>
    </row>
    <row r="953" customFormat="false" ht="15" hidden="true" customHeight="true" outlineLevel="0" collapsed="false">
      <c r="A953" s="142" t="str">
        <f aca="false">IF(B953="","","TR"&amp;TEXT(ROW()-1,"000"))</f>
        <v/>
      </c>
      <c r="E953" s="130" t="str">
        <f aca="false">IF($O953="✓","✓",IF(ISNUMBER($O953),TEXT($O953,"yyyy-mm-dd"),IF($A953="","",IF(SUMPRODUCT(('Formation Initiale'!$A$2:$A$999=$A953)*('Formation Initiale'!$R$2:$R$999="Terminé"))&gt;0,"✓",IF(SUMPRODUCT(MAX(('Formation Initiale'!$A$2:$A$999=$A953)*'Formation Initiale'!$G$2:$G$999))&gt;0,TEXT(SUMPRODUCT(MAX(('Formation Initiale'!$A$2:$A$999=$A953)*'Formation Initiale'!$G$2:$G$999)),"yyyy-mm-dd"),"")))))</f>
        <v/>
      </c>
      <c r="F953" s="131" t="str">
        <f aca="false">IF($P953="✓","✓",IF(ISNUMBER($P953),TEXT($P953,"yyyy-mm-dd"),IF($A953="","",IF($D953="Lisbonne","",IF(SUMPRODUCT(('Formation Initiale'!$A$2:$A$999=$A953)*('Formation Initiale'!$R$2:$R$999="Terminé"))&gt;0,"✓",IF(SUMPRODUCT(MAX(('Formation Initiale'!$A$2:$A$999=$A953)*'Formation Initiale'!$G$2:$G$999))&gt;0,TEXT(SUMPRODUCT(MAX(('Formation Initiale'!$A$2:$A$999=$A953)*'Formation Initiale'!$G$2:$G$999)),"yyyy-mm-dd"),""))))))</f>
        <v/>
      </c>
      <c r="G953" s="131" t="str">
        <f aca="false">IF($Q953="✓","✓",IF(ISNUMBER($Q953),TEXT($Q953,"yyyy-mm-dd"),IF($A953="","",IF(SUMPRODUCT(('Agences &amp; Après-vente'!$A$2:$A$1000=$A953)*(('Agences &amp; Après-vente'!$D$2:$D$1000="Agences")+('Agences &amp; Après-vente'!$D$2:$D$1000="Agences et Après-vente"))*('Agences &amp; Après-vente'!$I$2:$I$1000="DONE"))&gt;0,"✓",IF(SUMPRODUCT(MAX(('Agences &amp; Après-vente'!$A$2:$A$1000=$A953)*(('Agences &amp; Après-vente'!$D$2:$D$1000="Agences")+('Agences &amp; Après-vente'!$D$2:$D$1000="Agences et Après-vente"))*'Agences &amp; Après-vente'!$E$2:$E$1000))&gt;0,TEXT(SUMPRODUCT(MAX(('Agences &amp; Après-vente'!$A$2:$A$1000=$A953)*(('Agences &amp; Après-vente'!$D$2:$D$1000="Agences")+('Agences &amp; Après-vente'!$D$2:$D$1000="Agences et Après-vente"))*'Agences &amp; Après-vente'!$E$2:$E$1000)),"yyyy-mm-dd"),"")))))</f>
        <v/>
      </c>
      <c r="H953" s="131" t="str">
        <f aca="false">IF($R953="✓","✓",IF(ISNUMBER($R953),TEXT($R953,"yyyy-mm-dd"),IF($A953="","",IF($D953="Lisbonne","",IF(SUMPRODUCT(('Agences &amp; Après-vente'!$A$2:$A$1000=$A953)*(('Agences &amp; Après-vente'!$D$2:$D$1000="Agences")+('Agences &amp; Après-vente'!$D$2:$D$1000="Agences et Après-vente"))*('Agences &amp; Après-vente'!$I$2:$I$1000="DONE"))&gt;0,"✓",IF(SUMPRODUCT(MAX(('Agences &amp; Après-vente'!$A$2:$A$1000=$A953)*(('Agences &amp; Après-vente'!$D$2:$D$1000="Agences")+('Agences &amp; Après-vente'!$D$2:$D$1000="Agences et Après-vente"))*'Agences &amp; Après-vente'!$E$2:$E$1000))&gt;0,TEXT(SUMPRODUCT(MAX(('Agences &amp; Après-vente'!$A$2:$A$1000=$A953)*(('Agences &amp; Après-vente'!$D$2:$D$1000="Agences")+('Agences &amp; Après-vente'!$D$2:$D$1000="Agences et Après-vente"))*'Agences &amp; Après-vente'!$E$2:$E$1000)),"yyyy-mm-dd"),""))))))</f>
        <v/>
      </c>
      <c r="I953" s="131" t="str">
        <f aca="false">IF($S953="✓","✓",IF(ISNUMBER($S953),TEXT($S953,"yyyy-mm-dd"),IF($A953="","",IF(SUMPRODUCT(('Agences &amp; Après-vente'!$A$2:$A$1000=$A953)*(('Agences &amp; Après-vente'!$D$2:$D$1000="Après-vente")+('Agences &amp; Après-vente'!$D$2:$D$1000="Agences et Après-vente"))*('Agences &amp; Après-vente'!$I$2:$I$1000="DONE"))&gt;0,"✓",IF(SUMPRODUCT(MAX(('Agences &amp; Après-vente'!$A$2:$A$1000=$A953)*(('Agences &amp; Après-vente'!$D$2:$D$1000="Après-vente")+('Agences &amp; Après-vente'!$D$2:$D$1000="Agences et Après-vente"))*'Agences &amp; Après-vente'!$E$2:$E$1000))&gt;0,TEXT(SUMPRODUCT(MAX(('Agences &amp; Après-vente'!$A$2:$A$1000=$A953)*(('Agences &amp; Après-vente'!$D$2:$D$1000="Après-vente")+('Agences &amp; Après-vente'!$D$2:$D$1000="Agences et Après-vente"))*'Agences &amp; Après-vente'!$E$2:$E$1000)),"yyyy-mm-dd"),"")))))</f>
        <v/>
      </c>
      <c r="J953" s="131" t="str">
        <f aca="false">IF($T953="✓","✓",IF(ISNUMBER($T953),TEXT($T953,"yyyy-mm-dd"),IF($A953="","",IF($D953="Lisbonne","",IF(SUMPRODUCT(('Agences &amp; Après-vente'!$A$2:$A$1000=$A953)*(('Agences &amp; Après-vente'!$D$2:$D$1000="Après-vente")+('Agences &amp; Après-vente'!$D$2:$D$1000="Agences et Après-vente"))*('Agences &amp; Après-vente'!$I$2:$I$1000="DONE"))&gt;0,"✓",IF(SUMPRODUCT(MAX(('Agences &amp; Après-vente'!$A$2:$A$1000=$A953)*(('Agences &amp; Après-vente'!$D$2:$D$1000="Après-vente")+('Agences &amp; Après-vente'!$D$2:$D$1000="Agences et Après-vente"))*'Agences &amp; Après-vente'!$E$2:$E$1000))&gt;0,TEXT(SUMPRODUCT(MAX(('Agences &amp; Après-vente'!$A$2:$A$1000=$A953)*(('Agences &amp; Après-vente'!$D$2:$D$1000="Après-vente")+('Agences &amp; Après-vente'!$D$2:$D$1000="Agences et Après-vente"))*'Agences &amp; Après-vente'!$E$2:$E$1000)),"yyyy-mm-dd"),""))))))</f>
        <v/>
      </c>
      <c r="K953" s="131" t="str">
        <f aca="false">IF($U953="✓","✓",IF(ISNUMBER($U953),TEXT($U953,"yyyy-mm-dd"),IF($D953="Lisbonne","",IF($A953="","",IF(SUMPRODUCT((Evermont!$A$2:$A$1000=$A953)*(Evermont!$Q$2:$Q$1000="Terminé"))&gt;0,"✓",IF(SUMPRODUCT(MAX((Evermont!$A$2:$A$1000=$A953)*Evermont!$F$2:$F$1000))&gt;0,TEXT(SUMPRODUCT(MAX((Evermont!$A$2:$A$1000=$A953)*Evermont!$F$2:$F$1000)),"yyyy-mm-dd"),""))))))</f>
        <v/>
      </c>
      <c r="L953" s="131" t="str">
        <f aca="false">IF($A953="","",COUNTIF(E953:K953,"✓"))</f>
        <v/>
      </c>
      <c r="M953" s="131" t="str">
        <f aca="false">IF(B953="","","Active")</f>
        <v/>
      </c>
      <c r="W953" s="120" t="str">
        <f aca="false">IF($A953="","",IF($X953&lt;&gt;"",$X953,IFERROR(INDEX('Formation Initiale'!$B$2:$B$999,MATCH($A953,'Formation Initiale'!$A$2:$A$999,0)),"Général")))</f>
        <v/>
      </c>
    </row>
    <row r="954" customFormat="false" ht="15" hidden="true" customHeight="true" outlineLevel="0" collapsed="false">
      <c r="A954" s="142" t="str">
        <f aca="false">IF(B954="","","TR"&amp;TEXT(ROW()-1,"000"))</f>
        <v/>
      </c>
      <c r="E954" s="130" t="str">
        <f aca="false">IF($O954="✓","✓",IF(ISNUMBER($O954),TEXT($O954,"yyyy-mm-dd"),IF($A954="","",IF(SUMPRODUCT(('Formation Initiale'!$A$2:$A$999=$A954)*('Formation Initiale'!$R$2:$R$999="Terminé"))&gt;0,"✓",IF(SUMPRODUCT(MAX(('Formation Initiale'!$A$2:$A$999=$A954)*'Formation Initiale'!$G$2:$G$999))&gt;0,TEXT(SUMPRODUCT(MAX(('Formation Initiale'!$A$2:$A$999=$A954)*'Formation Initiale'!$G$2:$G$999)),"yyyy-mm-dd"),"")))))</f>
        <v/>
      </c>
      <c r="F954" s="131" t="str">
        <f aca="false">IF($P954="✓","✓",IF(ISNUMBER($P954),TEXT($P954,"yyyy-mm-dd"),IF($A954="","",IF($D954="Lisbonne","",IF(SUMPRODUCT(('Formation Initiale'!$A$2:$A$999=$A954)*('Formation Initiale'!$R$2:$R$999="Terminé"))&gt;0,"✓",IF(SUMPRODUCT(MAX(('Formation Initiale'!$A$2:$A$999=$A954)*'Formation Initiale'!$G$2:$G$999))&gt;0,TEXT(SUMPRODUCT(MAX(('Formation Initiale'!$A$2:$A$999=$A954)*'Formation Initiale'!$G$2:$G$999)),"yyyy-mm-dd"),""))))))</f>
        <v/>
      </c>
      <c r="G954" s="131" t="str">
        <f aca="false">IF($Q954="✓","✓",IF(ISNUMBER($Q954),TEXT($Q954,"yyyy-mm-dd"),IF($A954="","",IF(SUMPRODUCT(('Agences &amp; Après-vente'!$A$2:$A$1000=$A954)*(('Agences &amp; Après-vente'!$D$2:$D$1000="Agences")+('Agences &amp; Après-vente'!$D$2:$D$1000="Agences et Après-vente"))*('Agences &amp; Après-vente'!$I$2:$I$1000="DONE"))&gt;0,"✓",IF(SUMPRODUCT(MAX(('Agences &amp; Après-vente'!$A$2:$A$1000=$A954)*(('Agences &amp; Après-vente'!$D$2:$D$1000="Agences")+('Agences &amp; Après-vente'!$D$2:$D$1000="Agences et Après-vente"))*'Agences &amp; Après-vente'!$E$2:$E$1000))&gt;0,TEXT(SUMPRODUCT(MAX(('Agences &amp; Après-vente'!$A$2:$A$1000=$A954)*(('Agences &amp; Après-vente'!$D$2:$D$1000="Agences")+('Agences &amp; Après-vente'!$D$2:$D$1000="Agences et Après-vente"))*'Agences &amp; Après-vente'!$E$2:$E$1000)),"yyyy-mm-dd"),"")))))</f>
        <v/>
      </c>
      <c r="H954" s="131" t="str">
        <f aca="false">IF($R954="✓","✓",IF(ISNUMBER($R954),TEXT($R954,"yyyy-mm-dd"),IF($A954="","",IF($D954="Lisbonne","",IF(SUMPRODUCT(('Agences &amp; Après-vente'!$A$2:$A$1000=$A954)*(('Agences &amp; Après-vente'!$D$2:$D$1000="Agences")+('Agences &amp; Après-vente'!$D$2:$D$1000="Agences et Après-vente"))*('Agences &amp; Après-vente'!$I$2:$I$1000="DONE"))&gt;0,"✓",IF(SUMPRODUCT(MAX(('Agences &amp; Après-vente'!$A$2:$A$1000=$A954)*(('Agences &amp; Après-vente'!$D$2:$D$1000="Agences")+('Agences &amp; Après-vente'!$D$2:$D$1000="Agences et Après-vente"))*'Agences &amp; Après-vente'!$E$2:$E$1000))&gt;0,TEXT(SUMPRODUCT(MAX(('Agences &amp; Après-vente'!$A$2:$A$1000=$A954)*(('Agences &amp; Après-vente'!$D$2:$D$1000="Agences")+('Agences &amp; Après-vente'!$D$2:$D$1000="Agences et Après-vente"))*'Agences &amp; Après-vente'!$E$2:$E$1000)),"yyyy-mm-dd"),""))))))</f>
        <v/>
      </c>
      <c r="I954" s="131" t="str">
        <f aca="false">IF($S954="✓","✓",IF(ISNUMBER($S954),TEXT($S954,"yyyy-mm-dd"),IF($A954="","",IF(SUMPRODUCT(('Agences &amp; Après-vente'!$A$2:$A$1000=$A954)*(('Agences &amp; Après-vente'!$D$2:$D$1000="Après-vente")+('Agences &amp; Après-vente'!$D$2:$D$1000="Agences et Après-vente"))*('Agences &amp; Après-vente'!$I$2:$I$1000="DONE"))&gt;0,"✓",IF(SUMPRODUCT(MAX(('Agences &amp; Après-vente'!$A$2:$A$1000=$A954)*(('Agences &amp; Après-vente'!$D$2:$D$1000="Après-vente")+('Agences &amp; Après-vente'!$D$2:$D$1000="Agences et Après-vente"))*'Agences &amp; Après-vente'!$E$2:$E$1000))&gt;0,TEXT(SUMPRODUCT(MAX(('Agences &amp; Après-vente'!$A$2:$A$1000=$A954)*(('Agences &amp; Après-vente'!$D$2:$D$1000="Après-vente")+('Agences &amp; Après-vente'!$D$2:$D$1000="Agences et Après-vente"))*'Agences &amp; Après-vente'!$E$2:$E$1000)),"yyyy-mm-dd"),"")))))</f>
        <v/>
      </c>
      <c r="J954" s="131" t="str">
        <f aca="false">IF($T954="✓","✓",IF(ISNUMBER($T954),TEXT($T954,"yyyy-mm-dd"),IF($A954="","",IF($D954="Lisbonne","",IF(SUMPRODUCT(('Agences &amp; Après-vente'!$A$2:$A$1000=$A954)*(('Agences &amp; Après-vente'!$D$2:$D$1000="Après-vente")+('Agences &amp; Après-vente'!$D$2:$D$1000="Agences et Après-vente"))*('Agences &amp; Après-vente'!$I$2:$I$1000="DONE"))&gt;0,"✓",IF(SUMPRODUCT(MAX(('Agences &amp; Après-vente'!$A$2:$A$1000=$A954)*(('Agences &amp; Après-vente'!$D$2:$D$1000="Après-vente")+('Agences &amp; Après-vente'!$D$2:$D$1000="Agences et Après-vente"))*'Agences &amp; Après-vente'!$E$2:$E$1000))&gt;0,TEXT(SUMPRODUCT(MAX(('Agences &amp; Après-vente'!$A$2:$A$1000=$A954)*(('Agences &amp; Après-vente'!$D$2:$D$1000="Après-vente")+('Agences &amp; Après-vente'!$D$2:$D$1000="Agences et Après-vente"))*'Agences &amp; Après-vente'!$E$2:$E$1000)),"yyyy-mm-dd"),""))))))</f>
        <v/>
      </c>
      <c r="K954" s="131" t="str">
        <f aca="false">IF($U954="✓","✓",IF(ISNUMBER($U954),TEXT($U954,"yyyy-mm-dd"),IF($D954="Lisbonne","",IF($A954="","",IF(SUMPRODUCT((Evermont!$A$2:$A$1000=$A954)*(Evermont!$Q$2:$Q$1000="Terminé"))&gt;0,"✓",IF(SUMPRODUCT(MAX((Evermont!$A$2:$A$1000=$A954)*Evermont!$F$2:$F$1000))&gt;0,TEXT(SUMPRODUCT(MAX((Evermont!$A$2:$A$1000=$A954)*Evermont!$F$2:$F$1000)),"yyyy-mm-dd"),""))))))</f>
        <v/>
      </c>
      <c r="L954" s="131" t="str">
        <f aca="false">IF($A954="","",COUNTIF(E954:K954,"✓"))</f>
        <v/>
      </c>
      <c r="M954" s="131" t="str">
        <f aca="false">IF(B954="","","Active")</f>
        <v/>
      </c>
      <c r="W954" s="120" t="str">
        <f aca="false">IF($A954="","",IF($X954&lt;&gt;"",$X954,IFERROR(INDEX('Formation Initiale'!$B$2:$B$999,MATCH($A954,'Formation Initiale'!$A$2:$A$999,0)),"Général")))</f>
        <v/>
      </c>
    </row>
    <row r="955" customFormat="false" ht="15" hidden="true" customHeight="true" outlineLevel="0" collapsed="false">
      <c r="A955" s="142" t="str">
        <f aca="false">IF(B955="","","TR"&amp;TEXT(ROW()-1,"000"))</f>
        <v/>
      </c>
      <c r="E955" s="130" t="str">
        <f aca="false">IF($O955="✓","✓",IF(ISNUMBER($O955),TEXT($O955,"yyyy-mm-dd"),IF($A955="","",IF(SUMPRODUCT(('Formation Initiale'!$A$2:$A$999=$A955)*('Formation Initiale'!$R$2:$R$999="Terminé"))&gt;0,"✓",IF(SUMPRODUCT(MAX(('Formation Initiale'!$A$2:$A$999=$A955)*'Formation Initiale'!$G$2:$G$999))&gt;0,TEXT(SUMPRODUCT(MAX(('Formation Initiale'!$A$2:$A$999=$A955)*'Formation Initiale'!$G$2:$G$999)),"yyyy-mm-dd"),"")))))</f>
        <v/>
      </c>
      <c r="F955" s="131" t="str">
        <f aca="false">IF($P955="✓","✓",IF(ISNUMBER($P955),TEXT($P955,"yyyy-mm-dd"),IF($A955="","",IF($D955="Lisbonne","",IF(SUMPRODUCT(('Formation Initiale'!$A$2:$A$999=$A955)*('Formation Initiale'!$R$2:$R$999="Terminé"))&gt;0,"✓",IF(SUMPRODUCT(MAX(('Formation Initiale'!$A$2:$A$999=$A955)*'Formation Initiale'!$G$2:$G$999))&gt;0,TEXT(SUMPRODUCT(MAX(('Formation Initiale'!$A$2:$A$999=$A955)*'Formation Initiale'!$G$2:$G$999)),"yyyy-mm-dd"),""))))))</f>
        <v/>
      </c>
      <c r="G955" s="131" t="str">
        <f aca="false">IF($Q955="✓","✓",IF(ISNUMBER($Q955),TEXT($Q955,"yyyy-mm-dd"),IF($A955="","",IF(SUMPRODUCT(('Agences &amp; Après-vente'!$A$2:$A$1000=$A955)*(('Agences &amp; Après-vente'!$D$2:$D$1000="Agences")+('Agences &amp; Après-vente'!$D$2:$D$1000="Agences et Après-vente"))*('Agences &amp; Après-vente'!$I$2:$I$1000="DONE"))&gt;0,"✓",IF(SUMPRODUCT(MAX(('Agences &amp; Après-vente'!$A$2:$A$1000=$A955)*(('Agences &amp; Après-vente'!$D$2:$D$1000="Agences")+('Agences &amp; Après-vente'!$D$2:$D$1000="Agences et Après-vente"))*'Agences &amp; Après-vente'!$E$2:$E$1000))&gt;0,TEXT(SUMPRODUCT(MAX(('Agences &amp; Après-vente'!$A$2:$A$1000=$A955)*(('Agences &amp; Après-vente'!$D$2:$D$1000="Agences")+('Agences &amp; Après-vente'!$D$2:$D$1000="Agences et Après-vente"))*'Agences &amp; Après-vente'!$E$2:$E$1000)),"yyyy-mm-dd"),"")))))</f>
        <v/>
      </c>
      <c r="H955" s="131" t="str">
        <f aca="false">IF($R955="✓","✓",IF(ISNUMBER($R955),TEXT($R955,"yyyy-mm-dd"),IF($A955="","",IF($D955="Lisbonne","",IF(SUMPRODUCT(('Agences &amp; Après-vente'!$A$2:$A$1000=$A955)*(('Agences &amp; Après-vente'!$D$2:$D$1000="Agences")+('Agences &amp; Après-vente'!$D$2:$D$1000="Agences et Après-vente"))*('Agences &amp; Après-vente'!$I$2:$I$1000="DONE"))&gt;0,"✓",IF(SUMPRODUCT(MAX(('Agences &amp; Après-vente'!$A$2:$A$1000=$A955)*(('Agences &amp; Après-vente'!$D$2:$D$1000="Agences")+('Agences &amp; Après-vente'!$D$2:$D$1000="Agences et Après-vente"))*'Agences &amp; Après-vente'!$E$2:$E$1000))&gt;0,TEXT(SUMPRODUCT(MAX(('Agences &amp; Après-vente'!$A$2:$A$1000=$A955)*(('Agences &amp; Après-vente'!$D$2:$D$1000="Agences")+('Agences &amp; Après-vente'!$D$2:$D$1000="Agences et Après-vente"))*'Agences &amp; Après-vente'!$E$2:$E$1000)),"yyyy-mm-dd"),""))))))</f>
        <v/>
      </c>
      <c r="I955" s="131" t="str">
        <f aca="false">IF($S955="✓","✓",IF(ISNUMBER($S955),TEXT($S955,"yyyy-mm-dd"),IF($A955="","",IF(SUMPRODUCT(('Agences &amp; Après-vente'!$A$2:$A$1000=$A955)*(('Agences &amp; Après-vente'!$D$2:$D$1000="Après-vente")+('Agences &amp; Après-vente'!$D$2:$D$1000="Agences et Après-vente"))*('Agences &amp; Après-vente'!$I$2:$I$1000="DONE"))&gt;0,"✓",IF(SUMPRODUCT(MAX(('Agences &amp; Après-vente'!$A$2:$A$1000=$A955)*(('Agences &amp; Après-vente'!$D$2:$D$1000="Après-vente")+('Agences &amp; Après-vente'!$D$2:$D$1000="Agences et Après-vente"))*'Agences &amp; Après-vente'!$E$2:$E$1000))&gt;0,TEXT(SUMPRODUCT(MAX(('Agences &amp; Après-vente'!$A$2:$A$1000=$A955)*(('Agences &amp; Après-vente'!$D$2:$D$1000="Après-vente")+('Agences &amp; Après-vente'!$D$2:$D$1000="Agences et Après-vente"))*'Agences &amp; Après-vente'!$E$2:$E$1000)),"yyyy-mm-dd"),"")))))</f>
        <v/>
      </c>
      <c r="J955" s="131" t="str">
        <f aca="false">IF($T955="✓","✓",IF(ISNUMBER($T955),TEXT($T955,"yyyy-mm-dd"),IF($A955="","",IF($D955="Lisbonne","",IF(SUMPRODUCT(('Agences &amp; Après-vente'!$A$2:$A$1000=$A955)*(('Agences &amp; Après-vente'!$D$2:$D$1000="Après-vente")+('Agences &amp; Après-vente'!$D$2:$D$1000="Agences et Après-vente"))*('Agences &amp; Après-vente'!$I$2:$I$1000="DONE"))&gt;0,"✓",IF(SUMPRODUCT(MAX(('Agences &amp; Après-vente'!$A$2:$A$1000=$A955)*(('Agences &amp; Après-vente'!$D$2:$D$1000="Après-vente")+('Agences &amp; Après-vente'!$D$2:$D$1000="Agences et Après-vente"))*'Agences &amp; Après-vente'!$E$2:$E$1000))&gt;0,TEXT(SUMPRODUCT(MAX(('Agences &amp; Après-vente'!$A$2:$A$1000=$A955)*(('Agences &amp; Après-vente'!$D$2:$D$1000="Après-vente")+('Agences &amp; Après-vente'!$D$2:$D$1000="Agences et Après-vente"))*'Agences &amp; Après-vente'!$E$2:$E$1000)),"yyyy-mm-dd"),""))))))</f>
        <v/>
      </c>
      <c r="K955" s="131" t="str">
        <f aca="false">IF($U955="✓","✓",IF(ISNUMBER($U955),TEXT($U955,"yyyy-mm-dd"),IF($D955="Lisbonne","",IF($A955="","",IF(SUMPRODUCT((Evermont!$A$2:$A$1000=$A955)*(Evermont!$Q$2:$Q$1000="Terminé"))&gt;0,"✓",IF(SUMPRODUCT(MAX((Evermont!$A$2:$A$1000=$A955)*Evermont!$F$2:$F$1000))&gt;0,TEXT(SUMPRODUCT(MAX((Evermont!$A$2:$A$1000=$A955)*Evermont!$F$2:$F$1000)),"yyyy-mm-dd"),""))))))</f>
        <v/>
      </c>
      <c r="L955" s="131" t="str">
        <f aca="false">IF($A955="","",COUNTIF(E955:K955,"✓"))</f>
        <v/>
      </c>
      <c r="M955" s="131" t="str">
        <f aca="false">IF(B955="","","Active")</f>
        <v/>
      </c>
      <c r="W955" s="120" t="str">
        <f aca="false">IF($A955="","",IF($X955&lt;&gt;"",$X955,IFERROR(INDEX('Formation Initiale'!$B$2:$B$999,MATCH($A955,'Formation Initiale'!$A$2:$A$999,0)),"Général")))</f>
        <v/>
      </c>
    </row>
    <row r="956" customFormat="false" ht="15" hidden="true" customHeight="true" outlineLevel="0" collapsed="false">
      <c r="A956" s="142" t="str">
        <f aca="false">IF(B956="","","TR"&amp;TEXT(ROW()-1,"000"))</f>
        <v/>
      </c>
      <c r="E956" s="130" t="str">
        <f aca="false">IF($O956="✓","✓",IF(ISNUMBER($O956),TEXT($O956,"yyyy-mm-dd"),IF($A956="","",IF(SUMPRODUCT(('Formation Initiale'!$A$2:$A$999=$A956)*('Formation Initiale'!$R$2:$R$999="Terminé"))&gt;0,"✓",IF(SUMPRODUCT(MAX(('Formation Initiale'!$A$2:$A$999=$A956)*'Formation Initiale'!$G$2:$G$999))&gt;0,TEXT(SUMPRODUCT(MAX(('Formation Initiale'!$A$2:$A$999=$A956)*'Formation Initiale'!$G$2:$G$999)),"yyyy-mm-dd"),"")))))</f>
        <v/>
      </c>
      <c r="F956" s="131" t="str">
        <f aca="false">IF($P956="✓","✓",IF(ISNUMBER($P956),TEXT($P956,"yyyy-mm-dd"),IF($A956="","",IF($D956="Lisbonne","",IF(SUMPRODUCT(('Formation Initiale'!$A$2:$A$999=$A956)*('Formation Initiale'!$R$2:$R$999="Terminé"))&gt;0,"✓",IF(SUMPRODUCT(MAX(('Formation Initiale'!$A$2:$A$999=$A956)*'Formation Initiale'!$G$2:$G$999))&gt;0,TEXT(SUMPRODUCT(MAX(('Formation Initiale'!$A$2:$A$999=$A956)*'Formation Initiale'!$G$2:$G$999)),"yyyy-mm-dd"),""))))))</f>
        <v/>
      </c>
      <c r="G956" s="131" t="str">
        <f aca="false">IF($Q956="✓","✓",IF(ISNUMBER($Q956),TEXT($Q956,"yyyy-mm-dd"),IF($A956="","",IF(SUMPRODUCT(('Agences &amp; Après-vente'!$A$2:$A$1000=$A956)*(('Agences &amp; Après-vente'!$D$2:$D$1000="Agences")+('Agences &amp; Après-vente'!$D$2:$D$1000="Agences et Après-vente"))*('Agences &amp; Après-vente'!$I$2:$I$1000="DONE"))&gt;0,"✓",IF(SUMPRODUCT(MAX(('Agences &amp; Après-vente'!$A$2:$A$1000=$A956)*(('Agences &amp; Après-vente'!$D$2:$D$1000="Agences")+('Agences &amp; Après-vente'!$D$2:$D$1000="Agences et Après-vente"))*'Agences &amp; Après-vente'!$E$2:$E$1000))&gt;0,TEXT(SUMPRODUCT(MAX(('Agences &amp; Après-vente'!$A$2:$A$1000=$A956)*(('Agences &amp; Après-vente'!$D$2:$D$1000="Agences")+('Agences &amp; Après-vente'!$D$2:$D$1000="Agences et Après-vente"))*'Agences &amp; Après-vente'!$E$2:$E$1000)),"yyyy-mm-dd"),"")))))</f>
        <v/>
      </c>
      <c r="H956" s="131" t="str">
        <f aca="false">IF($R956="✓","✓",IF(ISNUMBER($R956),TEXT($R956,"yyyy-mm-dd"),IF($A956="","",IF($D956="Lisbonne","",IF(SUMPRODUCT(('Agences &amp; Après-vente'!$A$2:$A$1000=$A956)*(('Agences &amp; Après-vente'!$D$2:$D$1000="Agences")+('Agences &amp; Après-vente'!$D$2:$D$1000="Agences et Après-vente"))*('Agences &amp; Après-vente'!$I$2:$I$1000="DONE"))&gt;0,"✓",IF(SUMPRODUCT(MAX(('Agences &amp; Après-vente'!$A$2:$A$1000=$A956)*(('Agences &amp; Après-vente'!$D$2:$D$1000="Agences")+('Agences &amp; Après-vente'!$D$2:$D$1000="Agences et Après-vente"))*'Agences &amp; Après-vente'!$E$2:$E$1000))&gt;0,TEXT(SUMPRODUCT(MAX(('Agences &amp; Après-vente'!$A$2:$A$1000=$A956)*(('Agences &amp; Après-vente'!$D$2:$D$1000="Agences")+('Agences &amp; Après-vente'!$D$2:$D$1000="Agences et Après-vente"))*'Agences &amp; Après-vente'!$E$2:$E$1000)),"yyyy-mm-dd"),""))))))</f>
        <v/>
      </c>
      <c r="I956" s="131" t="str">
        <f aca="false">IF($S956="✓","✓",IF(ISNUMBER($S956),TEXT($S956,"yyyy-mm-dd"),IF($A956="","",IF(SUMPRODUCT(('Agences &amp; Après-vente'!$A$2:$A$1000=$A956)*(('Agences &amp; Après-vente'!$D$2:$D$1000="Après-vente")+('Agences &amp; Après-vente'!$D$2:$D$1000="Agences et Après-vente"))*('Agences &amp; Après-vente'!$I$2:$I$1000="DONE"))&gt;0,"✓",IF(SUMPRODUCT(MAX(('Agences &amp; Après-vente'!$A$2:$A$1000=$A956)*(('Agences &amp; Après-vente'!$D$2:$D$1000="Après-vente")+('Agences &amp; Après-vente'!$D$2:$D$1000="Agences et Après-vente"))*'Agences &amp; Après-vente'!$E$2:$E$1000))&gt;0,TEXT(SUMPRODUCT(MAX(('Agences &amp; Après-vente'!$A$2:$A$1000=$A956)*(('Agences &amp; Après-vente'!$D$2:$D$1000="Après-vente")+('Agences &amp; Après-vente'!$D$2:$D$1000="Agences et Après-vente"))*'Agences &amp; Après-vente'!$E$2:$E$1000)),"yyyy-mm-dd"),"")))))</f>
        <v/>
      </c>
      <c r="J956" s="131" t="str">
        <f aca="false">IF($T956="✓","✓",IF(ISNUMBER($T956),TEXT($T956,"yyyy-mm-dd"),IF($A956="","",IF($D956="Lisbonne","",IF(SUMPRODUCT(('Agences &amp; Après-vente'!$A$2:$A$1000=$A956)*(('Agences &amp; Après-vente'!$D$2:$D$1000="Après-vente")+('Agences &amp; Après-vente'!$D$2:$D$1000="Agences et Après-vente"))*('Agences &amp; Après-vente'!$I$2:$I$1000="DONE"))&gt;0,"✓",IF(SUMPRODUCT(MAX(('Agences &amp; Après-vente'!$A$2:$A$1000=$A956)*(('Agences &amp; Après-vente'!$D$2:$D$1000="Après-vente")+('Agences &amp; Après-vente'!$D$2:$D$1000="Agences et Après-vente"))*'Agences &amp; Après-vente'!$E$2:$E$1000))&gt;0,TEXT(SUMPRODUCT(MAX(('Agences &amp; Après-vente'!$A$2:$A$1000=$A956)*(('Agences &amp; Après-vente'!$D$2:$D$1000="Après-vente")+('Agences &amp; Après-vente'!$D$2:$D$1000="Agences et Après-vente"))*'Agences &amp; Après-vente'!$E$2:$E$1000)),"yyyy-mm-dd"),""))))))</f>
        <v/>
      </c>
      <c r="K956" s="131" t="str">
        <f aca="false">IF($U956="✓","✓",IF(ISNUMBER($U956),TEXT($U956,"yyyy-mm-dd"),IF($D956="Lisbonne","",IF($A956="","",IF(SUMPRODUCT((Evermont!$A$2:$A$1000=$A956)*(Evermont!$Q$2:$Q$1000="Terminé"))&gt;0,"✓",IF(SUMPRODUCT(MAX((Evermont!$A$2:$A$1000=$A956)*Evermont!$F$2:$F$1000))&gt;0,TEXT(SUMPRODUCT(MAX((Evermont!$A$2:$A$1000=$A956)*Evermont!$F$2:$F$1000)),"yyyy-mm-dd"),""))))))</f>
        <v/>
      </c>
      <c r="L956" s="131" t="str">
        <f aca="false">IF($A956="","",COUNTIF(E956:K956,"✓"))</f>
        <v/>
      </c>
      <c r="M956" s="131" t="str">
        <f aca="false">IF(B956="","","Active")</f>
        <v/>
      </c>
      <c r="W956" s="120" t="str">
        <f aca="false">IF($A956="","",IF($X956&lt;&gt;"",$X956,IFERROR(INDEX('Formation Initiale'!$B$2:$B$999,MATCH($A956,'Formation Initiale'!$A$2:$A$999,0)),"Général")))</f>
        <v/>
      </c>
    </row>
    <row r="957" customFormat="false" ht="15" hidden="true" customHeight="true" outlineLevel="0" collapsed="false">
      <c r="A957" s="142" t="str">
        <f aca="false">IF(B957="","","TR"&amp;TEXT(ROW()-1,"000"))</f>
        <v/>
      </c>
      <c r="E957" s="130" t="str">
        <f aca="false">IF($O957="✓","✓",IF(ISNUMBER($O957),TEXT($O957,"yyyy-mm-dd"),IF($A957="","",IF(SUMPRODUCT(('Formation Initiale'!$A$2:$A$999=$A957)*('Formation Initiale'!$R$2:$R$999="Terminé"))&gt;0,"✓",IF(SUMPRODUCT(MAX(('Formation Initiale'!$A$2:$A$999=$A957)*'Formation Initiale'!$G$2:$G$999))&gt;0,TEXT(SUMPRODUCT(MAX(('Formation Initiale'!$A$2:$A$999=$A957)*'Formation Initiale'!$G$2:$G$999)),"yyyy-mm-dd"),"")))))</f>
        <v/>
      </c>
      <c r="F957" s="131" t="str">
        <f aca="false">IF($P957="✓","✓",IF(ISNUMBER($P957),TEXT($P957,"yyyy-mm-dd"),IF($A957="","",IF($D957="Lisbonne","",IF(SUMPRODUCT(('Formation Initiale'!$A$2:$A$999=$A957)*('Formation Initiale'!$R$2:$R$999="Terminé"))&gt;0,"✓",IF(SUMPRODUCT(MAX(('Formation Initiale'!$A$2:$A$999=$A957)*'Formation Initiale'!$G$2:$G$999))&gt;0,TEXT(SUMPRODUCT(MAX(('Formation Initiale'!$A$2:$A$999=$A957)*'Formation Initiale'!$G$2:$G$999)),"yyyy-mm-dd"),""))))))</f>
        <v/>
      </c>
      <c r="G957" s="131" t="str">
        <f aca="false">IF($Q957="✓","✓",IF(ISNUMBER($Q957),TEXT($Q957,"yyyy-mm-dd"),IF($A957="","",IF(SUMPRODUCT(('Agences &amp; Après-vente'!$A$2:$A$1000=$A957)*(('Agences &amp; Après-vente'!$D$2:$D$1000="Agences")+('Agences &amp; Après-vente'!$D$2:$D$1000="Agences et Après-vente"))*('Agences &amp; Après-vente'!$I$2:$I$1000="DONE"))&gt;0,"✓",IF(SUMPRODUCT(MAX(('Agences &amp; Après-vente'!$A$2:$A$1000=$A957)*(('Agences &amp; Après-vente'!$D$2:$D$1000="Agences")+('Agences &amp; Après-vente'!$D$2:$D$1000="Agences et Après-vente"))*'Agences &amp; Après-vente'!$E$2:$E$1000))&gt;0,TEXT(SUMPRODUCT(MAX(('Agences &amp; Après-vente'!$A$2:$A$1000=$A957)*(('Agences &amp; Après-vente'!$D$2:$D$1000="Agences")+('Agences &amp; Après-vente'!$D$2:$D$1000="Agences et Après-vente"))*'Agences &amp; Après-vente'!$E$2:$E$1000)),"yyyy-mm-dd"),"")))))</f>
        <v/>
      </c>
      <c r="H957" s="131" t="str">
        <f aca="false">IF($R957="✓","✓",IF(ISNUMBER($R957),TEXT($R957,"yyyy-mm-dd"),IF($A957="","",IF($D957="Lisbonne","",IF(SUMPRODUCT(('Agences &amp; Après-vente'!$A$2:$A$1000=$A957)*(('Agences &amp; Après-vente'!$D$2:$D$1000="Agences")+('Agences &amp; Après-vente'!$D$2:$D$1000="Agences et Après-vente"))*('Agences &amp; Après-vente'!$I$2:$I$1000="DONE"))&gt;0,"✓",IF(SUMPRODUCT(MAX(('Agences &amp; Après-vente'!$A$2:$A$1000=$A957)*(('Agences &amp; Après-vente'!$D$2:$D$1000="Agences")+('Agences &amp; Après-vente'!$D$2:$D$1000="Agences et Après-vente"))*'Agences &amp; Après-vente'!$E$2:$E$1000))&gt;0,TEXT(SUMPRODUCT(MAX(('Agences &amp; Après-vente'!$A$2:$A$1000=$A957)*(('Agences &amp; Après-vente'!$D$2:$D$1000="Agences")+('Agences &amp; Après-vente'!$D$2:$D$1000="Agences et Après-vente"))*'Agences &amp; Après-vente'!$E$2:$E$1000)),"yyyy-mm-dd"),""))))))</f>
        <v/>
      </c>
      <c r="I957" s="131" t="str">
        <f aca="false">IF($S957="✓","✓",IF(ISNUMBER($S957),TEXT($S957,"yyyy-mm-dd"),IF($A957="","",IF(SUMPRODUCT(('Agences &amp; Après-vente'!$A$2:$A$1000=$A957)*(('Agences &amp; Après-vente'!$D$2:$D$1000="Après-vente")+('Agences &amp; Après-vente'!$D$2:$D$1000="Agences et Après-vente"))*('Agences &amp; Après-vente'!$I$2:$I$1000="DONE"))&gt;0,"✓",IF(SUMPRODUCT(MAX(('Agences &amp; Après-vente'!$A$2:$A$1000=$A957)*(('Agences &amp; Après-vente'!$D$2:$D$1000="Après-vente")+('Agences &amp; Après-vente'!$D$2:$D$1000="Agences et Après-vente"))*'Agences &amp; Après-vente'!$E$2:$E$1000))&gt;0,TEXT(SUMPRODUCT(MAX(('Agences &amp; Après-vente'!$A$2:$A$1000=$A957)*(('Agences &amp; Après-vente'!$D$2:$D$1000="Après-vente")+('Agences &amp; Après-vente'!$D$2:$D$1000="Agences et Après-vente"))*'Agences &amp; Après-vente'!$E$2:$E$1000)),"yyyy-mm-dd"),"")))))</f>
        <v/>
      </c>
      <c r="J957" s="131" t="str">
        <f aca="false">IF($T957="✓","✓",IF(ISNUMBER($T957),TEXT($T957,"yyyy-mm-dd"),IF($A957="","",IF($D957="Lisbonne","",IF(SUMPRODUCT(('Agences &amp; Après-vente'!$A$2:$A$1000=$A957)*(('Agences &amp; Après-vente'!$D$2:$D$1000="Après-vente")+('Agences &amp; Après-vente'!$D$2:$D$1000="Agences et Après-vente"))*('Agences &amp; Après-vente'!$I$2:$I$1000="DONE"))&gt;0,"✓",IF(SUMPRODUCT(MAX(('Agences &amp; Après-vente'!$A$2:$A$1000=$A957)*(('Agences &amp; Après-vente'!$D$2:$D$1000="Après-vente")+('Agences &amp; Après-vente'!$D$2:$D$1000="Agences et Après-vente"))*'Agences &amp; Après-vente'!$E$2:$E$1000))&gt;0,TEXT(SUMPRODUCT(MAX(('Agences &amp; Après-vente'!$A$2:$A$1000=$A957)*(('Agences &amp; Après-vente'!$D$2:$D$1000="Après-vente")+('Agences &amp; Après-vente'!$D$2:$D$1000="Agences et Après-vente"))*'Agences &amp; Après-vente'!$E$2:$E$1000)),"yyyy-mm-dd"),""))))))</f>
        <v/>
      </c>
      <c r="K957" s="131" t="str">
        <f aca="false">IF($U957="✓","✓",IF(ISNUMBER($U957),TEXT($U957,"yyyy-mm-dd"),IF($D957="Lisbonne","",IF($A957="","",IF(SUMPRODUCT((Evermont!$A$2:$A$1000=$A957)*(Evermont!$Q$2:$Q$1000="Terminé"))&gt;0,"✓",IF(SUMPRODUCT(MAX((Evermont!$A$2:$A$1000=$A957)*Evermont!$F$2:$F$1000))&gt;0,TEXT(SUMPRODUCT(MAX((Evermont!$A$2:$A$1000=$A957)*Evermont!$F$2:$F$1000)),"yyyy-mm-dd"),""))))))</f>
        <v/>
      </c>
      <c r="L957" s="131" t="str">
        <f aca="false">IF($A957="","",COUNTIF(E957:K957,"✓"))</f>
        <v/>
      </c>
      <c r="M957" s="131" t="str">
        <f aca="false">IF(B957="","","Active")</f>
        <v/>
      </c>
      <c r="W957" s="120" t="str">
        <f aca="false">IF($A957="","",IF($X957&lt;&gt;"",$X957,IFERROR(INDEX('Formation Initiale'!$B$2:$B$999,MATCH($A957,'Formation Initiale'!$A$2:$A$999,0)),"Général")))</f>
        <v/>
      </c>
    </row>
    <row r="958" customFormat="false" ht="15" hidden="true" customHeight="true" outlineLevel="0" collapsed="false">
      <c r="A958" s="142" t="str">
        <f aca="false">IF(B958="","","TR"&amp;TEXT(ROW()-1,"000"))</f>
        <v/>
      </c>
      <c r="E958" s="130" t="str">
        <f aca="false">IF($O958="✓","✓",IF(ISNUMBER($O958),TEXT($O958,"yyyy-mm-dd"),IF($A958="","",IF(SUMPRODUCT(('Formation Initiale'!$A$2:$A$999=$A958)*('Formation Initiale'!$R$2:$R$999="Terminé"))&gt;0,"✓",IF(SUMPRODUCT(MAX(('Formation Initiale'!$A$2:$A$999=$A958)*'Formation Initiale'!$G$2:$G$999))&gt;0,TEXT(SUMPRODUCT(MAX(('Formation Initiale'!$A$2:$A$999=$A958)*'Formation Initiale'!$G$2:$G$999)),"yyyy-mm-dd"),"")))))</f>
        <v/>
      </c>
      <c r="F958" s="131" t="str">
        <f aca="false">IF($P958="✓","✓",IF(ISNUMBER($P958),TEXT($P958,"yyyy-mm-dd"),IF($A958="","",IF($D958="Lisbonne","",IF(SUMPRODUCT(('Formation Initiale'!$A$2:$A$999=$A958)*('Formation Initiale'!$R$2:$R$999="Terminé"))&gt;0,"✓",IF(SUMPRODUCT(MAX(('Formation Initiale'!$A$2:$A$999=$A958)*'Formation Initiale'!$G$2:$G$999))&gt;0,TEXT(SUMPRODUCT(MAX(('Formation Initiale'!$A$2:$A$999=$A958)*'Formation Initiale'!$G$2:$G$999)),"yyyy-mm-dd"),""))))))</f>
        <v/>
      </c>
      <c r="G958" s="131" t="str">
        <f aca="false">IF($Q958="✓","✓",IF(ISNUMBER($Q958),TEXT($Q958,"yyyy-mm-dd"),IF($A958="","",IF(SUMPRODUCT(('Agences &amp; Après-vente'!$A$2:$A$1000=$A958)*(('Agences &amp; Après-vente'!$D$2:$D$1000="Agences")+('Agences &amp; Après-vente'!$D$2:$D$1000="Agences et Après-vente"))*('Agences &amp; Après-vente'!$I$2:$I$1000="DONE"))&gt;0,"✓",IF(SUMPRODUCT(MAX(('Agences &amp; Après-vente'!$A$2:$A$1000=$A958)*(('Agences &amp; Après-vente'!$D$2:$D$1000="Agences")+('Agences &amp; Après-vente'!$D$2:$D$1000="Agences et Après-vente"))*'Agences &amp; Après-vente'!$E$2:$E$1000))&gt;0,TEXT(SUMPRODUCT(MAX(('Agences &amp; Après-vente'!$A$2:$A$1000=$A958)*(('Agences &amp; Après-vente'!$D$2:$D$1000="Agences")+('Agences &amp; Après-vente'!$D$2:$D$1000="Agences et Après-vente"))*'Agences &amp; Après-vente'!$E$2:$E$1000)),"yyyy-mm-dd"),"")))))</f>
        <v/>
      </c>
      <c r="H958" s="131" t="str">
        <f aca="false">IF($R958="✓","✓",IF(ISNUMBER($R958),TEXT($R958,"yyyy-mm-dd"),IF($A958="","",IF($D958="Lisbonne","",IF(SUMPRODUCT(('Agences &amp; Après-vente'!$A$2:$A$1000=$A958)*(('Agences &amp; Après-vente'!$D$2:$D$1000="Agences")+('Agences &amp; Après-vente'!$D$2:$D$1000="Agences et Après-vente"))*('Agences &amp; Après-vente'!$I$2:$I$1000="DONE"))&gt;0,"✓",IF(SUMPRODUCT(MAX(('Agences &amp; Après-vente'!$A$2:$A$1000=$A958)*(('Agences &amp; Après-vente'!$D$2:$D$1000="Agences")+('Agences &amp; Après-vente'!$D$2:$D$1000="Agences et Après-vente"))*'Agences &amp; Après-vente'!$E$2:$E$1000))&gt;0,TEXT(SUMPRODUCT(MAX(('Agences &amp; Après-vente'!$A$2:$A$1000=$A958)*(('Agences &amp; Après-vente'!$D$2:$D$1000="Agences")+('Agences &amp; Après-vente'!$D$2:$D$1000="Agences et Après-vente"))*'Agences &amp; Après-vente'!$E$2:$E$1000)),"yyyy-mm-dd"),""))))))</f>
        <v/>
      </c>
      <c r="I958" s="131" t="str">
        <f aca="false">IF($S958="✓","✓",IF(ISNUMBER($S958),TEXT($S958,"yyyy-mm-dd"),IF($A958="","",IF(SUMPRODUCT(('Agences &amp; Après-vente'!$A$2:$A$1000=$A958)*(('Agences &amp; Après-vente'!$D$2:$D$1000="Après-vente")+('Agences &amp; Après-vente'!$D$2:$D$1000="Agences et Après-vente"))*('Agences &amp; Après-vente'!$I$2:$I$1000="DONE"))&gt;0,"✓",IF(SUMPRODUCT(MAX(('Agences &amp; Après-vente'!$A$2:$A$1000=$A958)*(('Agences &amp; Après-vente'!$D$2:$D$1000="Après-vente")+('Agences &amp; Après-vente'!$D$2:$D$1000="Agences et Après-vente"))*'Agences &amp; Après-vente'!$E$2:$E$1000))&gt;0,TEXT(SUMPRODUCT(MAX(('Agences &amp; Après-vente'!$A$2:$A$1000=$A958)*(('Agences &amp; Après-vente'!$D$2:$D$1000="Après-vente")+('Agences &amp; Après-vente'!$D$2:$D$1000="Agences et Après-vente"))*'Agences &amp; Après-vente'!$E$2:$E$1000)),"yyyy-mm-dd"),"")))))</f>
        <v/>
      </c>
      <c r="J958" s="131" t="str">
        <f aca="false">IF($T958="✓","✓",IF(ISNUMBER($T958),TEXT($T958,"yyyy-mm-dd"),IF($A958="","",IF($D958="Lisbonne","",IF(SUMPRODUCT(('Agences &amp; Après-vente'!$A$2:$A$1000=$A958)*(('Agences &amp; Après-vente'!$D$2:$D$1000="Après-vente")+('Agences &amp; Après-vente'!$D$2:$D$1000="Agences et Après-vente"))*('Agences &amp; Après-vente'!$I$2:$I$1000="DONE"))&gt;0,"✓",IF(SUMPRODUCT(MAX(('Agences &amp; Après-vente'!$A$2:$A$1000=$A958)*(('Agences &amp; Après-vente'!$D$2:$D$1000="Après-vente")+('Agences &amp; Après-vente'!$D$2:$D$1000="Agences et Après-vente"))*'Agences &amp; Après-vente'!$E$2:$E$1000))&gt;0,TEXT(SUMPRODUCT(MAX(('Agences &amp; Après-vente'!$A$2:$A$1000=$A958)*(('Agences &amp; Après-vente'!$D$2:$D$1000="Après-vente")+('Agences &amp; Après-vente'!$D$2:$D$1000="Agences et Après-vente"))*'Agences &amp; Après-vente'!$E$2:$E$1000)),"yyyy-mm-dd"),""))))))</f>
        <v/>
      </c>
      <c r="K958" s="131" t="str">
        <f aca="false">IF($U958="✓","✓",IF(ISNUMBER($U958),TEXT($U958,"yyyy-mm-dd"),IF($D958="Lisbonne","",IF($A958="","",IF(SUMPRODUCT((Evermont!$A$2:$A$1000=$A958)*(Evermont!$Q$2:$Q$1000="Terminé"))&gt;0,"✓",IF(SUMPRODUCT(MAX((Evermont!$A$2:$A$1000=$A958)*Evermont!$F$2:$F$1000))&gt;0,TEXT(SUMPRODUCT(MAX((Evermont!$A$2:$A$1000=$A958)*Evermont!$F$2:$F$1000)),"yyyy-mm-dd"),""))))))</f>
        <v/>
      </c>
      <c r="L958" s="131" t="str">
        <f aca="false">IF($A958="","",COUNTIF(E958:K958,"✓"))</f>
        <v/>
      </c>
      <c r="M958" s="131" t="str">
        <f aca="false">IF(B958="","","Active")</f>
        <v/>
      </c>
      <c r="W958" s="120" t="str">
        <f aca="false">IF($A958="","",IF($X958&lt;&gt;"",$X958,IFERROR(INDEX('Formation Initiale'!$B$2:$B$999,MATCH($A958,'Formation Initiale'!$A$2:$A$999,0)),"Général")))</f>
        <v/>
      </c>
    </row>
    <row r="959" customFormat="false" ht="15" hidden="true" customHeight="true" outlineLevel="0" collapsed="false">
      <c r="A959" s="142" t="str">
        <f aca="false">IF(B959="","","TR"&amp;TEXT(ROW()-1,"000"))</f>
        <v/>
      </c>
      <c r="E959" s="130" t="str">
        <f aca="false">IF($O959="✓","✓",IF(ISNUMBER($O959),TEXT($O959,"yyyy-mm-dd"),IF($A959="","",IF(SUMPRODUCT(('Formation Initiale'!$A$2:$A$999=$A959)*('Formation Initiale'!$R$2:$R$999="Terminé"))&gt;0,"✓",IF(SUMPRODUCT(MAX(('Formation Initiale'!$A$2:$A$999=$A959)*'Formation Initiale'!$G$2:$G$999))&gt;0,TEXT(SUMPRODUCT(MAX(('Formation Initiale'!$A$2:$A$999=$A959)*'Formation Initiale'!$G$2:$G$999)),"yyyy-mm-dd"),"")))))</f>
        <v/>
      </c>
      <c r="F959" s="131" t="str">
        <f aca="false">IF($P959="✓","✓",IF(ISNUMBER($P959),TEXT($P959,"yyyy-mm-dd"),IF($A959="","",IF($D959="Lisbonne","",IF(SUMPRODUCT(('Formation Initiale'!$A$2:$A$999=$A959)*('Formation Initiale'!$R$2:$R$999="Terminé"))&gt;0,"✓",IF(SUMPRODUCT(MAX(('Formation Initiale'!$A$2:$A$999=$A959)*'Formation Initiale'!$G$2:$G$999))&gt;0,TEXT(SUMPRODUCT(MAX(('Formation Initiale'!$A$2:$A$999=$A959)*'Formation Initiale'!$G$2:$G$999)),"yyyy-mm-dd"),""))))))</f>
        <v/>
      </c>
      <c r="G959" s="131" t="str">
        <f aca="false">IF($Q959="✓","✓",IF(ISNUMBER($Q959),TEXT($Q959,"yyyy-mm-dd"),IF($A959="","",IF(SUMPRODUCT(('Agences &amp; Après-vente'!$A$2:$A$1000=$A959)*(('Agences &amp; Après-vente'!$D$2:$D$1000="Agences")+('Agences &amp; Après-vente'!$D$2:$D$1000="Agences et Après-vente"))*('Agences &amp; Après-vente'!$I$2:$I$1000="DONE"))&gt;0,"✓",IF(SUMPRODUCT(MAX(('Agences &amp; Après-vente'!$A$2:$A$1000=$A959)*(('Agences &amp; Après-vente'!$D$2:$D$1000="Agences")+('Agences &amp; Après-vente'!$D$2:$D$1000="Agences et Après-vente"))*'Agences &amp; Après-vente'!$E$2:$E$1000))&gt;0,TEXT(SUMPRODUCT(MAX(('Agences &amp; Après-vente'!$A$2:$A$1000=$A959)*(('Agences &amp; Après-vente'!$D$2:$D$1000="Agences")+('Agences &amp; Après-vente'!$D$2:$D$1000="Agences et Après-vente"))*'Agences &amp; Après-vente'!$E$2:$E$1000)),"yyyy-mm-dd"),"")))))</f>
        <v/>
      </c>
      <c r="H959" s="131" t="str">
        <f aca="false">IF($R959="✓","✓",IF(ISNUMBER($R959),TEXT($R959,"yyyy-mm-dd"),IF($A959="","",IF($D959="Lisbonne","",IF(SUMPRODUCT(('Agences &amp; Après-vente'!$A$2:$A$1000=$A959)*(('Agences &amp; Après-vente'!$D$2:$D$1000="Agences")+('Agences &amp; Après-vente'!$D$2:$D$1000="Agences et Après-vente"))*('Agences &amp; Après-vente'!$I$2:$I$1000="DONE"))&gt;0,"✓",IF(SUMPRODUCT(MAX(('Agences &amp; Après-vente'!$A$2:$A$1000=$A959)*(('Agences &amp; Après-vente'!$D$2:$D$1000="Agences")+('Agences &amp; Après-vente'!$D$2:$D$1000="Agences et Après-vente"))*'Agences &amp; Après-vente'!$E$2:$E$1000))&gt;0,TEXT(SUMPRODUCT(MAX(('Agences &amp; Après-vente'!$A$2:$A$1000=$A959)*(('Agences &amp; Après-vente'!$D$2:$D$1000="Agences")+('Agences &amp; Après-vente'!$D$2:$D$1000="Agences et Après-vente"))*'Agences &amp; Après-vente'!$E$2:$E$1000)),"yyyy-mm-dd"),""))))))</f>
        <v/>
      </c>
      <c r="I959" s="131" t="str">
        <f aca="false">IF($S959="✓","✓",IF(ISNUMBER($S959),TEXT($S959,"yyyy-mm-dd"),IF($A959="","",IF(SUMPRODUCT(('Agences &amp; Après-vente'!$A$2:$A$1000=$A959)*(('Agences &amp; Après-vente'!$D$2:$D$1000="Après-vente")+('Agences &amp; Après-vente'!$D$2:$D$1000="Agences et Après-vente"))*('Agences &amp; Après-vente'!$I$2:$I$1000="DONE"))&gt;0,"✓",IF(SUMPRODUCT(MAX(('Agences &amp; Après-vente'!$A$2:$A$1000=$A959)*(('Agences &amp; Après-vente'!$D$2:$D$1000="Après-vente")+('Agences &amp; Après-vente'!$D$2:$D$1000="Agences et Après-vente"))*'Agences &amp; Après-vente'!$E$2:$E$1000))&gt;0,TEXT(SUMPRODUCT(MAX(('Agences &amp; Après-vente'!$A$2:$A$1000=$A959)*(('Agences &amp; Après-vente'!$D$2:$D$1000="Après-vente")+('Agences &amp; Après-vente'!$D$2:$D$1000="Agences et Après-vente"))*'Agences &amp; Après-vente'!$E$2:$E$1000)),"yyyy-mm-dd"),"")))))</f>
        <v/>
      </c>
      <c r="J959" s="131" t="str">
        <f aca="false">IF($T959="✓","✓",IF(ISNUMBER($T959),TEXT($T959,"yyyy-mm-dd"),IF($A959="","",IF($D959="Lisbonne","",IF(SUMPRODUCT(('Agences &amp; Après-vente'!$A$2:$A$1000=$A959)*(('Agences &amp; Après-vente'!$D$2:$D$1000="Après-vente")+('Agences &amp; Après-vente'!$D$2:$D$1000="Agences et Après-vente"))*('Agences &amp; Après-vente'!$I$2:$I$1000="DONE"))&gt;0,"✓",IF(SUMPRODUCT(MAX(('Agences &amp; Après-vente'!$A$2:$A$1000=$A959)*(('Agences &amp; Après-vente'!$D$2:$D$1000="Après-vente")+('Agences &amp; Après-vente'!$D$2:$D$1000="Agences et Après-vente"))*'Agences &amp; Après-vente'!$E$2:$E$1000))&gt;0,TEXT(SUMPRODUCT(MAX(('Agences &amp; Après-vente'!$A$2:$A$1000=$A959)*(('Agences &amp; Après-vente'!$D$2:$D$1000="Après-vente")+('Agences &amp; Après-vente'!$D$2:$D$1000="Agences et Après-vente"))*'Agences &amp; Après-vente'!$E$2:$E$1000)),"yyyy-mm-dd"),""))))))</f>
        <v/>
      </c>
      <c r="K959" s="131" t="str">
        <f aca="false">IF($U959="✓","✓",IF(ISNUMBER($U959),TEXT($U959,"yyyy-mm-dd"),IF($D959="Lisbonne","",IF($A959="","",IF(SUMPRODUCT((Evermont!$A$2:$A$1000=$A959)*(Evermont!$Q$2:$Q$1000="Terminé"))&gt;0,"✓",IF(SUMPRODUCT(MAX((Evermont!$A$2:$A$1000=$A959)*Evermont!$F$2:$F$1000))&gt;0,TEXT(SUMPRODUCT(MAX((Evermont!$A$2:$A$1000=$A959)*Evermont!$F$2:$F$1000)),"yyyy-mm-dd"),""))))))</f>
        <v/>
      </c>
      <c r="L959" s="131" t="str">
        <f aca="false">IF($A959="","",COUNTIF(E959:K959,"✓"))</f>
        <v/>
      </c>
      <c r="M959" s="131" t="str">
        <f aca="false">IF(B959="","","Active")</f>
        <v/>
      </c>
      <c r="W959" s="120" t="str">
        <f aca="false">IF($A959="","",IF($X959&lt;&gt;"",$X959,IFERROR(INDEX('Formation Initiale'!$B$2:$B$999,MATCH($A959,'Formation Initiale'!$A$2:$A$999,0)),"Général")))</f>
        <v/>
      </c>
    </row>
    <row r="960" customFormat="false" ht="15" hidden="true" customHeight="true" outlineLevel="0" collapsed="false">
      <c r="A960" s="142" t="str">
        <f aca="false">IF(B960="","","TR"&amp;TEXT(ROW()-1,"000"))</f>
        <v/>
      </c>
      <c r="E960" s="130" t="str">
        <f aca="false">IF($O960="✓","✓",IF(ISNUMBER($O960),TEXT($O960,"yyyy-mm-dd"),IF($A960="","",IF(SUMPRODUCT(('Formation Initiale'!$A$2:$A$999=$A960)*('Formation Initiale'!$R$2:$R$999="Terminé"))&gt;0,"✓",IF(SUMPRODUCT(MAX(('Formation Initiale'!$A$2:$A$999=$A960)*'Formation Initiale'!$G$2:$G$999))&gt;0,TEXT(SUMPRODUCT(MAX(('Formation Initiale'!$A$2:$A$999=$A960)*'Formation Initiale'!$G$2:$G$999)),"yyyy-mm-dd"),"")))))</f>
        <v/>
      </c>
      <c r="F960" s="131" t="str">
        <f aca="false">IF($P960="✓","✓",IF(ISNUMBER($P960),TEXT($P960,"yyyy-mm-dd"),IF($A960="","",IF($D960="Lisbonne","",IF(SUMPRODUCT(('Formation Initiale'!$A$2:$A$999=$A960)*('Formation Initiale'!$R$2:$R$999="Terminé"))&gt;0,"✓",IF(SUMPRODUCT(MAX(('Formation Initiale'!$A$2:$A$999=$A960)*'Formation Initiale'!$G$2:$G$999))&gt;0,TEXT(SUMPRODUCT(MAX(('Formation Initiale'!$A$2:$A$999=$A960)*'Formation Initiale'!$G$2:$G$999)),"yyyy-mm-dd"),""))))))</f>
        <v/>
      </c>
      <c r="G960" s="131" t="str">
        <f aca="false">IF($Q960="✓","✓",IF(ISNUMBER($Q960),TEXT($Q960,"yyyy-mm-dd"),IF($A960="","",IF(SUMPRODUCT(('Agences &amp; Après-vente'!$A$2:$A$1000=$A960)*(('Agences &amp; Après-vente'!$D$2:$D$1000="Agences")+('Agences &amp; Après-vente'!$D$2:$D$1000="Agences et Après-vente"))*('Agences &amp; Après-vente'!$I$2:$I$1000="DONE"))&gt;0,"✓",IF(SUMPRODUCT(MAX(('Agences &amp; Après-vente'!$A$2:$A$1000=$A960)*(('Agences &amp; Après-vente'!$D$2:$D$1000="Agences")+('Agences &amp; Après-vente'!$D$2:$D$1000="Agences et Après-vente"))*'Agences &amp; Après-vente'!$E$2:$E$1000))&gt;0,TEXT(SUMPRODUCT(MAX(('Agences &amp; Après-vente'!$A$2:$A$1000=$A960)*(('Agences &amp; Après-vente'!$D$2:$D$1000="Agences")+('Agences &amp; Après-vente'!$D$2:$D$1000="Agences et Après-vente"))*'Agences &amp; Après-vente'!$E$2:$E$1000)),"yyyy-mm-dd"),"")))))</f>
        <v/>
      </c>
      <c r="H960" s="131" t="str">
        <f aca="false">IF($R960="✓","✓",IF(ISNUMBER($R960),TEXT($R960,"yyyy-mm-dd"),IF($A960="","",IF($D960="Lisbonne","",IF(SUMPRODUCT(('Agences &amp; Après-vente'!$A$2:$A$1000=$A960)*(('Agences &amp; Après-vente'!$D$2:$D$1000="Agences")+('Agences &amp; Après-vente'!$D$2:$D$1000="Agences et Après-vente"))*('Agences &amp; Après-vente'!$I$2:$I$1000="DONE"))&gt;0,"✓",IF(SUMPRODUCT(MAX(('Agences &amp; Après-vente'!$A$2:$A$1000=$A960)*(('Agences &amp; Après-vente'!$D$2:$D$1000="Agences")+('Agences &amp; Après-vente'!$D$2:$D$1000="Agences et Après-vente"))*'Agences &amp; Après-vente'!$E$2:$E$1000))&gt;0,TEXT(SUMPRODUCT(MAX(('Agences &amp; Après-vente'!$A$2:$A$1000=$A960)*(('Agences &amp; Après-vente'!$D$2:$D$1000="Agences")+('Agences &amp; Après-vente'!$D$2:$D$1000="Agences et Après-vente"))*'Agences &amp; Après-vente'!$E$2:$E$1000)),"yyyy-mm-dd"),""))))))</f>
        <v/>
      </c>
      <c r="I960" s="131" t="str">
        <f aca="false">IF($S960="✓","✓",IF(ISNUMBER($S960),TEXT($S960,"yyyy-mm-dd"),IF($A960="","",IF(SUMPRODUCT(('Agences &amp; Après-vente'!$A$2:$A$1000=$A960)*(('Agences &amp; Après-vente'!$D$2:$D$1000="Après-vente")+('Agences &amp; Après-vente'!$D$2:$D$1000="Agences et Après-vente"))*('Agences &amp; Après-vente'!$I$2:$I$1000="DONE"))&gt;0,"✓",IF(SUMPRODUCT(MAX(('Agences &amp; Après-vente'!$A$2:$A$1000=$A960)*(('Agences &amp; Après-vente'!$D$2:$D$1000="Après-vente")+('Agences &amp; Après-vente'!$D$2:$D$1000="Agences et Après-vente"))*'Agences &amp; Après-vente'!$E$2:$E$1000))&gt;0,TEXT(SUMPRODUCT(MAX(('Agences &amp; Après-vente'!$A$2:$A$1000=$A960)*(('Agences &amp; Après-vente'!$D$2:$D$1000="Après-vente")+('Agences &amp; Après-vente'!$D$2:$D$1000="Agences et Après-vente"))*'Agences &amp; Après-vente'!$E$2:$E$1000)),"yyyy-mm-dd"),"")))))</f>
        <v/>
      </c>
      <c r="J960" s="131" t="str">
        <f aca="false">IF($T960="✓","✓",IF(ISNUMBER($T960),TEXT($T960,"yyyy-mm-dd"),IF($A960="","",IF($D960="Lisbonne","",IF(SUMPRODUCT(('Agences &amp; Après-vente'!$A$2:$A$1000=$A960)*(('Agences &amp; Après-vente'!$D$2:$D$1000="Après-vente")+('Agences &amp; Après-vente'!$D$2:$D$1000="Agences et Après-vente"))*('Agences &amp; Après-vente'!$I$2:$I$1000="DONE"))&gt;0,"✓",IF(SUMPRODUCT(MAX(('Agences &amp; Après-vente'!$A$2:$A$1000=$A960)*(('Agences &amp; Après-vente'!$D$2:$D$1000="Après-vente")+('Agences &amp; Après-vente'!$D$2:$D$1000="Agences et Après-vente"))*'Agences &amp; Après-vente'!$E$2:$E$1000))&gt;0,TEXT(SUMPRODUCT(MAX(('Agences &amp; Après-vente'!$A$2:$A$1000=$A960)*(('Agences &amp; Après-vente'!$D$2:$D$1000="Après-vente")+('Agences &amp; Après-vente'!$D$2:$D$1000="Agences et Après-vente"))*'Agences &amp; Après-vente'!$E$2:$E$1000)),"yyyy-mm-dd"),""))))))</f>
        <v/>
      </c>
      <c r="K960" s="131" t="str">
        <f aca="false">IF($U960="✓","✓",IF(ISNUMBER($U960),TEXT($U960,"yyyy-mm-dd"),IF($D960="Lisbonne","",IF($A960="","",IF(SUMPRODUCT((Evermont!$A$2:$A$1000=$A960)*(Evermont!$Q$2:$Q$1000="Terminé"))&gt;0,"✓",IF(SUMPRODUCT(MAX((Evermont!$A$2:$A$1000=$A960)*Evermont!$F$2:$F$1000))&gt;0,TEXT(SUMPRODUCT(MAX((Evermont!$A$2:$A$1000=$A960)*Evermont!$F$2:$F$1000)),"yyyy-mm-dd"),""))))))</f>
        <v/>
      </c>
      <c r="L960" s="131" t="str">
        <f aca="false">IF($A960="","",COUNTIF(E960:K960,"✓"))</f>
        <v/>
      </c>
      <c r="M960" s="131" t="str">
        <f aca="false">IF(B960="","","Active")</f>
        <v/>
      </c>
      <c r="W960" s="120" t="str">
        <f aca="false">IF($A960="","",IF($X960&lt;&gt;"",$X960,IFERROR(INDEX('Formation Initiale'!$B$2:$B$999,MATCH($A960,'Formation Initiale'!$A$2:$A$999,0)),"Général")))</f>
        <v/>
      </c>
    </row>
    <row r="961" customFormat="false" ht="15" hidden="true" customHeight="true" outlineLevel="0" collapsed="false">
      <c r="A961" s="142" t="str">
        <f aca="false">IF(B961="","","TR"&amp;TEXT(ROW()-1,"000"))</f>
        <v/>
      </c>
      <c r="E961" s="130" t="str">
        <f aca="false">IF($O961="✓","✓",IF(ISNUMBER($O961),TEXT($O961,"yyyy-mm-dd"),IF($A961="","",IF(SUMPRODUCT(('Formation Initiale'!$A$2:$A$999=$A961)*('Formation Initiale'!$R$2:$R$999="Terminé"))&gt;0,"✓",IF(SUMPRODUCT(MAX(('Formation Initiale'!$A$2:$A$999=$A961)*'Formation Initiale'!$G$2:$G$999))&gt;0,TEXT(SUMPRODUCT(MAX(('Formation Initiale'!$A$2:$A$999=$A961)*'Formation Initiale'!$G$2:$G$999)),"yyyy-mm-dd"),"")))))</f>
        <v/>
      </c>
      <c r="F961" s="131" t="str">
        <f aca="false">IF($P961="✓","✓",IF(ISNUMBER($P961),TEXT($P961,"yyyy-mm-dd"),IF($A961="","",IF($D961="Lisbonne","",IF(SUMPRODUCT(('Formation Initiale'!$A$2:$A$999=$A961)*('Formation Initiale'!$R$2:$R$999="Terminé"))&gt;0,"✓",IF(SUMPRODUCT(MAX(('Formation Initiale'!$A$2:$A$999=$A961)*'Formation Initiale'!$G$2:$G$999))&gt;0,TEXT(SUMPRODUCT(MAX(('Formation Initiale'!$A$2:$A$999=$A961)*'Formation Initiale'!$G$2:$G$999)),"yyyy-mm-dd"),""))))))</f>
        <v/>
      </c>
      <c r="G961" s="131" t="str">
        <f aca="false">IF($Q961="✓","✓",IF(ISNUMBER($Q961),TEXT($Q961,"yyyy-mm-dd"),IF($A961="","",IF(SUMPRODUCT(('Agences &amp; Après-vente'!$A$2:$A$1000=$A961)*(('Agences &amp; Après-vente'!$D$2:$D$1000="Agences")+('Agences &amp; Après-vente'!$D$2:$D$1000="Agences et Après-vente"))*('Agences &amp; Après-vente'!$I$2:$I$1000="DONE"))&gt;0,"✓",IF(SUMPRODUCT(MAX(('Agences &amp; Après-vente'!$A$2:$A$1000=$A961)*(('Agences &amp; Après-vente'!$D$2:$D$1000="Agences")+('Agences &amp; Après-vente'!$D$2:$D$1000="Agences et Après-vente"))*'Agences &amp; Après-vente'!$E$2:$E$1000))&gt;0,TEXT(SUMPRODUCT(MAX(('Agences &amp; Après-vente'!$A$2:$A$1000=$A961)*(('Agences &amp; Après-vente'!$D$2:$D$1000="Agences")+('Agences &amp; Après-vente'!$D$2:$D$1000="Agences et Après-vente"))*'Agences &amp; Après-vente'!$E$2:$E$1000)),"yyyy-mm-dd"),"")))))</f>
        <v/>
      </c>
      <c r="H961" s="131" t="str">
        <f aca="false">IF($R961="✓","✓",IF(ISNUMBER($R961),TEXT($R961,"yyyy-mm-dd"),IF($A961="","",IF($D961="Lisbonne","",IF(SUMPRODUCT(('Agences &amp; Après-vente'!$A$2:$A$1000=$A961)*(('Agences &amp; Après-vente'!$D$2:$D$1000="Agences")+('Agences &amp; Après-vente'!$D$2:$D$1000="Agences et Après-vente"))*('Agences &amp; Après-vente'!$I$2:$I$1000="DONE"))&gt;0,"✓",IF(SUMPRODUCT(MAX(('Agences &amp; Après-vente'!$A$2:$A$1000=$A961)*(('Agences &amp; Après-vente'!$D$2:$D$1000="Agences")+('Agences &amp; Après-vente'!$D$2:$D$1000="Agences et Après-vente"))*'Agences &amp; Après-vente'!$E$2:$E$1000))&gt;0,TEXT(SUMPRODUCT(MAX(('Agences &amp; Après-vente'!$A$2:$A$1000=$A961)*(('Agences &amp; Après-vente'!$D$2:$D$1000="Agences")+('Agences &amp; Après-vente'!$D$2:$D$1000="Agences et Après-vente"))*'Agences &amp; Après-vente'!$E$2:$E$1000)),"yyyy-mm-dd"),""))))))</f>
        <v/>
      </c>
      <c r="I961" s="131" t="str">
        <f aca="false">IF($S961="✓","✓",IF(ISNUMBER($S961),TEXT($S961,"yyyy-mm-dd"),IF($A961="","",IF(SUMPRODUCT(('Agences &amp; Après-vente'!$A$2:$A$1000=$A961)*(('Agences &amp; Après-vente'!$D$2:$D$1000="Après-vente")+('Agences &amp; Après-vente'!$D$2:$D$1000="Agences et Après-vente"))*('Agences &amp; Après-vente'!$I$2:$I$1000="DONE"))&gt;0,"✓",IF(SUMPRODUCT(MAX(('Agences &amp; Après-vente'!$A$2:$A$1000=$A961)*(('Agences &amp; Après-vente'!$D$2:$D$1000="Après-vente")+('Agences &amp; Après-vente'!$D$2:$D$1000="Agences et Après-vente"))*'Agences &amp; Après-vente'!$E$2:$E$1000))&gt;0,TEXT(SUMPRODUCT(MAX(('Agences &amp; Après-vente'!$A$2:$A$1000=$A961)*(('Agences &amp; Après-vente'!$D$2:$D$1000="Après-vente")+('Agences &amp; Après-vente'!$D$2:$D$1000="Agences et Après-vente"))*'Agences &amp; Après-vente'!$E$2:$E$1000)),"yyyy-mm-dd"),"")))))</f>
        <v/>
      </c>
      <c r="J961" s="131" t="str">
        <f aca="false">IF($T961="✓","✓",IF(ISNUMBER($T961),TEXT($T961,"yyyy-mm-dd"),IF($A961="","",IF($D961="Lisbonne","",IF(SUMPRODUCT(('Agences &amp; Après-vente'!$A$2:$A$1000=$A961)*(('Agences &amp; Après-vente'!$D$2:$D$1000="Après-vente")+('Agences &amp; Après-vente'!$D$2:$D$1000="Agences et Après-vente"))*('Agences &amp; Après-vente'!$I$2:$I$1000="DONE"))&gt;0,"✓",IF(SUMPRODUCT(MAX(('Agences &amp; Après-vente'!$A$2:$A$1000=$A961)*(('Agences &amp; Après-vente'!$D$2:$D$1000="Après-vente")+('Agences &amp; Après-vente'!$D$2:$D$1000="Agences et Après-vente"))*'Agences &amp; Après-vente'!$E$2:$E$1000))&gt;0,TEXT(SUMPRODUCT(MAX(('Agences &amp; Après-vente'!$A$2:$A$1000=$A961)*(('Agences &amp; Après-vente'!$D$2:$D$1000="Après-vente")+('Agences &amp; Après-vente'!$D$2:$D$1000="Agences et Après-vente"))*'Agences &amp; Après-vente'!$E$2:$E$1000)),"yyyy-mm-dd"),""))))))</f>
        <v/>
      </c>
      <c r="K961" s="131" t="str">
        <f aca="false">IF($U961="✓","✓",IF(ISNUMBER($U961),TEXT($U961,"yyyy-mm-dd"),IF($D961="Lisbonne","",IF($A961="","",IF(SUMPRODUCT((Evermont!$A$2:$A$1000=$A961)*(Evermont!$Q$2:$Q$1000="Terminé"))&gt;0,"✓",IF(SUMPRODUCT(MAX((Evermont!$A$2:$A$1000=$A961)*Evermont!$F$2:$F$1000))&gt;0,TEXT(SUMPRODUCT(MAX((Evermont!$A$2:$A$1000=$A961)*Evermont!$F$2:$F$1000)),"yyyy-mm-dd"),""))))))</f>
        <v/>
      </c>
      <c r="L961" s="131" t="str">
        <f aca="false">IF($A961="","",COUNTIF(E961:K961,"✓"))</f>
        <v/>
      </c>
      <c r="M961" s="131" t="str">
        <f aca="false">IF(B961="","","Active")</f>
        <v/>
      </c>
      <c r="W961" s="120" t="str">
        <f aca="false">IF($A961="","",IF($X961&lt;&gt;"",$X961,IFERROR(INDEX('Formation Initiale'!$B$2:$B$999,MATCH($A961,'Formation Initiale'!$A$2:$A$999,0)),"Général")))</f>
        <v/>
      </c>
    </row>
    <row r="962" customFormat="false" ht="15" hidden="true" customHeight="true" outlineLevel="0" collapsed="false">
      <c r="A962" s="142" t="str">
        <f aca="false">IF(B962="","","TR"&amp;TEXT(ROW()-1,"000"))</f>
        <v/>
      </c>
      <c r="E962" s="130" t="str">
        <f aca="false">IF($O962="✓","✓",IF(ISNUMBER($O962),TEXT($O962,"yyyy-mm-dd"),IF($A962="","",IF(SUMPRODUCT(('Formation Initiale'!$A$2:$A$999=$A962)*('Formation Initiale'!$R$2:$R$999="Terminé"))&gt;0,"✓",IF(SUMPRODUCT(MAX(('Formation Initiale'!$A$2:$A$999=$A962)*'Formation Initiale'!$G$2:$G$999))&gt;0,TEXT(SUMPRODUCT(MAX(('Formation Initiale'!$A$2:$A$999=$A962)*'Formation Initiale'!$G$2:$G$999)),"yyyy-mm-dd"),"")))))</f>
        <v/>
      </c>
      <c r="F962" s="131" t="str">
        <f aca="false">IF($P962="✓","✓",IF(ISNUMBER($P962),TEXT($P962,"yyyy-mm-dd"),IF($A962="","",IF($D962="Lisbonne","",IF(SUMPRODUCT(('Formation Initiale'!$A$2:$A$999=$A962)*('Formation Initiale'!$R$2:$R$999="Terminé"))&gt;0,"✓",IF(SUMPRODUCT(MAX(('Formation Initiale'!$A$2:$A$999=$A962)*'Formation Initiale'!$G$2:$G$999))&gt;0,TEXT(SUMPRODUCT(MAX(('Formation Initiale'!$A$2:$A$999=$A962)*'Formation Initiale'!$G$2:$G$999)),"yyyy-mm-dd"),""))))))</f>
        <v/>
      </c>
      <c r="G962" s="131" t="str">
        <f aca="false">IF($Q962="✓","✓",IF(ISNUMBER($Q962),TEXT($Q962,"yyyy-mm-dd"),IF($A962="","",IF(SUMPRODUCT(('Agences &amp; Après-vente'!$A$2:$A$1000=$A962)*(('Agences &amp; Après-vente'!$D$2:$D$1000="Agences")+('Agences &amp; Après-vente'!$D$2:$D$1000="Agences et Après-vente"))*('Agences &amp; Après-vente'!$I$2:$I$1000="DONE"))&gt;0,"✓",IF(SUMPRODUCT(MAX(('Agences &amp; Après-vente'!$A$2:$A$1000=$A962)*(('Agences &amp; Après-vente'!$D$2:$D$1000="Agences")+('Agences &amp; Après-vente'!$D$2:$D$1000="Agences et Après-vente"))*'Agences &amp; Après-vente'!$E$2:$E$1000))&gt;0,TEXT(SUMPRODUCT(MAX(('Agences &amp; Après-vente'!$A$2:$A$1000=$A962)*(('Agences &amp; Après-vente'!$D$2:$D$1000="Agences")+('Agences &amp; Après-vente'!$D$2:$D$1000="Agences et Après-vente"))*'Agences &amp; Après-vente'!$E$2:$E$1000)),"yyyy-mm-dd"),"")))))</f>
        <v/>
      </c>
      <c r="H962" s="131" t="str">
        <f aca="false">IF($R962="✓","✓",IF(ISNUMBER($R962),TEXT($R962,"yyyy-mm-dd"),IF($A962="","",IF($D962="Lisbonne","",IF(SUMPRODUCT(('Agences &amp; Après-vente'!$A$2:$A$1000=$A962)*(('Agences &amp; Après-vente'!$D$2:$D$1000="Agences")+('Agences &amp; Après-vente'!$D$2:$D$1000="Agences et Après-vente"))*('Agences &amp; Après-vente'!$I$2:$I$1000="DONE"))&gt;0,"✓",IF(SUMPRODUCT(MAX(('Agences &amp; Après-vente'!$A$2:$A$1000=$A962)*(('Agences &amp; Après-vente'!$D$2:$D$1000="Agences")+('Agences &amp; Après-vente'!$D$2:$D$1000="Agences et Après-vente"))*'Agences &amp; Après-vente'!$E$2:$E$1000))&gt;0,TEXT(SUMPRODUCT(MAX(('Agences &amp; Après-vente'!$A$2:$A$1000=$A962)*(('Agences &amp; Après-vente'!$D$2:$D$1000="Agences")+('Agences &amp; Après-vente'!$D$2:$D$1000="Agences et Après-vente"))*'Agences &amp; Après-vente'!$E$2:$E$1000)),"yyyy-mm-dd"),""))))))</f>
        <v/>
      </c>
      <c r="I962" s="131" t="str">
        <f aca="false">IF($S962="✓","✓",IF(ISNUMBER($S962),TEXT($S962,"yyyy-mm-dd"),IF($A962="","",IF(SUMPRODUCT(('Agences &amp; Après-vente'!$A$2:$A$1000=$A962)*(('Agences &amp; Après-vente'!$D$2:$D$1000="Après-vente")+('Agences &amp; Après-vente'!$D$2:$D$1000="Agences et Après-vente"))*('Agences &amp; Après-vente'!$I$2:$I$1000="DONE"))&gt;0,"✓",IF(SUMPRODUCT(MAX(('Agences &amp; Après-vente'!$A$2:$A$1000=$A962)*(('Agences &amp; Après-vente'!$D$2:$D$1000="Après-vente")+('Agences &amp; Après-vente'!$D$2:$D$1000="Agences et Après-vente"))*'Agences &amp; Après-vente'!$E$2:$E$1000))&gt;0,TEXT(SUMPRODUCT(MAX(('Agences &amp; Après-vente'!$A$2:$A$1000=$A962)*(('Agences &amp; Après-vente'!$D$2:$D$1000="Après-vente")+('Agences &amp; Après-vente'!$D$2:$D$1000="Agences et Après-vente"))*'Agences &amp; Après-vente'!$E$2:$E$1000)),"yyyy-mm-dd"),"")))))</f>
        <v/>
      </c>
      <c r="J962" s="131" t="str">
        <f aca="false">IF($T962="✓","✓",IF(ISNUMBER($T962),TEXT($T962,"yyyy-mm-dd"),IF($A962="","",IF($D962="Lisbonne","",IF(SUMPRODUCT(('Agences &amp; Après-vente'!$A$2:$A$1000=$A962)*(('Agences &amp; Après-vente'!$D$2:$D$1000="Après-vente")+('Agences &amp; Après-vente'!$D$2:$D$1000="Agences et Après-vente"))*('Agences &amp; Après-vente'!$I$2:$I$1000="DONE"))&gt;0,"✓",IF(SUMPRODUCT(MAX(('Agences &amp; Après-vente'!$A$2:$A$1000=$A962)*(('Agences &amp; Après-vente'!$D$2:$D$1000="Après-vente")+('Agences &amp; Après-vente'!$D$2:$D$1000="Agences et Après-vente"))*'Agences &amp; Après-vente'!$E$2:$E$1000))&gt;0,TEXT(SUMPRODUCT(MAX(('Agences &amp; Après-vente'!$A$2:$A$1000=$A962)*(('Agences &amp; Après-vente'!$D$2:$D$1000="Après-vente")+('Agences &amp; Après-vente'!$D$2:$D$1000="Agences et Après-vente"))*'Agences &amp; Après-vente'!$E$2:$E$1000)),"yyyy-mm-dd"),""))))))</f>
        <v/>
      </c>
      <c r="K962" s="131" t="str">
        <f aca="false">IF($U962="✓","✓",IF(ISNUMBER($U962),TEXT($U962,"yyyy-mm-dd"),IF($D962="Lisbonne","",IF($A962="","",IF(SUMPRODUCT((Evermont!$A$2:$A$1000=$A962)*(Evermont!$Q$2:$Q$1000="Terminé"))&gt;0,"✓",IF(SUMPRODUCT(MAX((Evermont!$A$2:$A$1000=$A962)*Evermont!$F$2:$F$1000))&gt;0,TEXT(SUMPRODUCT(MAX((Evermont!$A$2:$A$1000=$A962)*Evermont!$F$2:$F$1000)),"yyyy-mm-dd"),""))))))</f>
        <v/>
      </c>
      <c r="L962" s="131" t="str">
        <f aca="false">IF($A962="","",COUNTIF(E962:K962,"✓"))</f>
        <v/>
      </c>
      <c r="M962" s="131" t="str">
        <f aca="false">IF(B962="","","Active")</f>
        <v/>
      </c>
      <c r="W962" s="120" t="str">
        <f aca="false">IF($A962="","",IF($X962&lt;&gt;"",$X962,IFERROR(INDEX('Formation Initiale'!$B$2:$B$999,MATCH($A962,'Formation Initiale'!$A$2:$A$999,0)),"Général")))</f>
        <v/>
      </c>
    </row>
    <row r="963" customFormat="false" ht="15" hidden="true" customHeight="true" outlineLevel="0" collapsed="false">
      <c r="A963" s="142" t="str">
        <f aca="false">IF(B963="","","TR"&amp;TEXT(ROW()-1,"000"))</f>
        <v/>
      </c>
      <c r="E963" s="130" t="str">
        <f aca="false">IF($O963="✓","✓",IF(ISNUMBER($O963),TEXT($O963,"yyyy-mm-dd"),IF($A963="","",IF(SUMPRODUCT(('Formation Initiale'!$A$2:$A$999=$A963)*('Formation Initiale'!$R$2:$R$999="Terminé"))&gt;0,"✓",IF(SUMPRODUCT(MAX(('Formation Initiale'!$A$2:$A$999=$A963)*'Formation Initiale'!$G$2:$G$999))&gt;0,TEXT(SUMPRODUCT(MAX(('Formation Initiale'!$A$2:$A$999=$A963)*'Formation Initiale'!$G$2:$G$999)),"yyyy-mm-dd"),"")))))</f>
        <v/>
      </c>
      <c r="F963" s="131" t="str">
        <f aca="false">IF($P963="✓","✓",IF(ISNUMBER($P963),TEXT($P963,"yyyy-mm-dd"),IF($A963="","",IF($D963="Lisbonne","",IF(SUMPRODUCT(('Formation Initiale'!$A$2:$A$999=$A963)*('Formation Initiale'!$R$2:$R$999="Terminé"))&gt;0,"✓",IF(SUMPRODUCT(MAX(('Formation Initiale'!$A$2:$A$999=$A963)*'Formation Initiale'!$G$2:$G$999))&gt;0,TEXT(SUMPRODUCT(MAX(('Formation Initiale'!$A$2:$A$999=$A963)*'Formation Initiale'!$G$2:$G$999)),"yyyy-mm-dd"),""))))))</f>
        <v/>
      </c>
      <c r="G963" s="131" t="str">
        <f aca="false">IF($Q963="✓","✓",IF(ISNUMBER($Q963),TEXT($Q963,"yyyy-mm-dd"),IF($A963="","",IF(SUMPRODUCT(('Agences &amp; Après-vente'!$A$2:$A$1000=$A963)*(('Agences &amp; Après-vente'!$D$2:$D$1000="Agences")+('Agences &amp; Après-vente'!$D$2:$D$1000="Agences et Après-vente"))*('Agences &amp; Après-vente'!$I$2:$I$1000="DONE"))&gt;0,"✓",IF(SUMPRODUCT(MAX(('Agences &amp; Après-vente'!$A$2:$A$1000=$A963)*(('Agences &amp; Après-vente'!$D$2:$D$1000="Agences")+('Agences &amp; Après-vente'!$D$2:$D$1000="Agences et Après-vente"))*'Agences &amp; Après-vente'!$E$2:$E$1000))&gt;0,TEXT(SUMPRODUCT(MAX(('Agences &amp; Après-vente'!$A$2:$A$1000=$A963)*(('Agences &amp; Après-vente'!$D$2:$D$1000="Agences")+('Agences &amp; Après-vente'!$D$2:$D$1000="Agences et Après-vente"))*'Agences &amp; Après-vente'!$E$2:$E$1000)),"yyyy-mm-dd"),"")))))</f>
        <v/>
      </c>
      <c r="H963" s="131" t="str">
        <f aca="false">IF($R963="✓","✓",IF(ISNUMBER($R963),TEXT($R963,"yyyy-mm-dd"),IF($A963="","",IF($D963="Lisbonne","",IF(SUMPRODUCT(('Agences &amp; Après-vente'!$A$2:$A$1000=$A963)*(('Agences &amp; Après-vente'!$D$2:$D$1000="Agences")+('Agences &amp; Après-vente'!$D$2:$D$1000="Agences et Après-vente"))*('Agences &amp; Après-vente'!$I$2:$I$1000="DONE"))&gt;0,"✓",IF(SUMPRODUCT(MAX(('Agences &amp; Après-vente'!$A$2:$A$1000=$A963)*(('Agences &amp; Après-vente'!$D$2:$D$1000="Agences")+('Agences &amp; Après-vente'!$D$2:$D$1000="Agences et Après-vente"))*'Agences &amp; Après-vente'!$E$2:$E$1000))&gt;0,TEXT(SUMPRODUCT(MAX(('Agences &amp; Après-vente'!$A$2:$A$1000=$A963)*(('Agences &amp; Après-vente'!$D$2:$D$1000="Agences")+('Agences &amp; Après-vente'!$D$2:$D$1000="Agences et Après-vente"))*'Agences &amp; Après-vente'!$E$2:$E$1000)),"yyyy-mm-dd"),""))))))</f>
        <v/>
      </c>
      <c r="I963" s="131" t="str">
        <f aca="false">IF($S963="✓","✓",IF(ISNUMBER($S963),TEXT($S963,"yyyy-mm-dd"),IF($A963="","",IF(SUMPRODUCT(('Agences &amp; Après-vente'!$A$2:$A$1000=$A963)*(('Agences &amp; Après-vente'!$D$2:$D$1000="Après-vente")+('Agences &amp; Après-vente'!$D$2:$D$1000="Agences et Après-vente"))*('Agences &amp; Après-vente'!$I$2:$I$1000="DONE"))&gt;0,"✓",IF(SUMPRODUCT(MAX(('Agences &amp; Après-vente'!$A$2:$A$1000=$A963)*(('Agences &amp; Après-vente'!$D$2:$D$1000="Après-vente")+('Agences &amp; Après-vente'!$D$2:$D$1000="Agences et Après-vente"))*'Agences &amp; Après-vente'!$E$2:$E$1000))&gt;0,TEXT(SUMPRODUCT(MAX(('Agences &amp; Après-vente'!$A$2:$A$1000=$A963)*(('Agences &amp; Après-vente'!$D$2:$D$1000="Après-vente")+('Agences &amp; Après-vente'!$D$2:$D$1000="Agences et Après-vente"))*'Agences &amp; Après-vente'!$E$2:$E$1000)),"yyyy-mm-dd"),"")))))</f>
        <v/>
      </c>
      <c r="J963" s="131" t="str">
        <f aca="false">IF($T963="✓","✓",IF(ISNUMBER($T963),TEXT($T963,"yyyy-mm-dd"),IF($A963="","",IF($D963="Lisbonne","",IF(SUMPRODUCT(('Agences &amp; Après-vente'!$A$2:$A$1000=$A963)*(('Agences &amp; Après-vente'!$D$2:$D$1000="Après-vente")+('Agences &amp; Après-vente'!$D$2:$D$1000="Agences et Après-vente"))*('Agences &amp; Après-vente'!$I$2:$I$1000="DONE"))&gt;0,"✓",IF(SUMPRODUCT(MAX(('Agences &amp; Après-vente'!$A$2:$A$1000=$A963)*(('Agences &amp; Après-vente'!$D$2:$D$1000="Après-vente")+('Agences &amp; Après-vente'!$D$2:$D$1000="Agences et Après-vente"))*'Agences &amp; Après-vente'!$E$2:$E$1000))&gt;0,TEXT(SUMPRODUCT(MAX(('Agences &amp; Après-vente'!$A$2:$A$1000=$A963)*(('Agences &amp; Après-vente'!$D$2:$D$1000="Après-vente")+('Agences &amp; Après-vente'!$D$2:$D$1000="Agences et Après-vente"))*'Agences &amp; Après-vente'!$E$2:$E$1000)),"yyyy-mm-dd"),""))))))</f>
        <v/>
      </c>
      <c r="K963" s="131" t="str">
        <f aca="false">IF($U963="✓","✓",IF(ISNUMBER($U963),TEXT($U963,"yyyy-mm-dd"),IF($D963="Lisbonne","",IF($A963="","",IF(SUMPRODUCT((Evermont!$A$2:$A$1000=$A963)*(Evermont!$Q$2:$Q$1000="Terminé"))&gt;0,"✓",IF(SUMPRODUCT(MAX((Evermont!$A$2:$A$1000=$A963)*Evermont!$F$2:$F$1000))&gt;0,TEXT(SUMPRODUCT(MAX((Evermont!$A$2:$A$1000=$A963)*Evermont!$F$2:$F$1000)),"yyyy-mm-dd"),""))))))</f>
        <v/>
      </c>
      <c r="L963" s="131" t="str">
        <f aca="false">IF($A963="","",COUNTIF(E963:K963,"✓"))</f>
        <v/>
      </c>
      <c r="M963" s="131" t="str">
        <f aca="false">IF(B963="","","Active")</f>
        <v/>
      </c>
      <c r="W963" s="120" t="str">
        <f aca="false">IF($A963="","",IF($X963&lt;&gt;"",$X963,IFERROR(INDEX('Formation Initiale'!$B$2:$B$999,MATCH($A963,'Formation Initiale'!$A$2:$A$999,0)),"Général")))</f>
        <v/>
      </c>
    </row>
    <row r="964" customFormat="false" ht="15" hidden="true" customHeight="true" outlineLevel="0" collapsed="false">
      <c r="A964" s="142" t="str">
        <f aca="false">IF(B964="","","TR"&amp;TEXT(ROW()-1,"000"))</f>
        <v/>
      </c>
      <c r="E964" s="130" t="str">
        <f aca="false">IF($O964="✓","✓",IF(ISNUMBER($O964),TEXT($O964,"yyyy-mm-dd"),IF($A964="","",IF(SUMPRODUCT(('Formation Initiale'!$A$2:$A$999=$A964)*('Formation Initiale'!$R$2:$R$999="Terminé"))&gt;0,"✓",IF(SUMPRODUCT(MAX(('Formation Initiale'!$A$2:$A$999=$A964)*'Formation Initiale'!$G$2:$G$999))&gt;0,TEXT(SUMPRODUCT(MAX(('Formation Initiale'!$A$2:$A$999=$A964)*'Formation Initiale'!$G$2:$G$999)),"yyyy-mm-dd"),"")))))</f>
        <v/>
      </c>
      <c r="F964" s="131" t="str">
        <f aca="false">IF($P964="✓","✓",IF(ISNUMBER($P964),TEXT($P964,"yyyy-mm-dd"),IF($A964="","",IF($D964="Lisbonne","",IF(SUMPRODUCT(('Formation Initiale'!$A$2:$A$999=$A964)*('Formation Initiale'!$R$2:$R$999="Terminé"))&gt;0,"✓",IF(SUMPRODUCT(MAX(('Formation Initiale'!$A$2:$A$999=$A964)*'Formation Initiale'!$G$2:$G$999))&gt;0,TEXT(SUMPRODUCT(MAX(('Formation Initiale'!$A$2:$A$999=$A964)*'Formation Initiale'!$G$2:$G$999)),"yyyy-mm-dd"),""))))))</f>
        <v/>
      </c>
      <c r="G964" s="131" t="str">
        <f aca="false">IF($Q964="✓","✓",IF(ISNUMBER($Q964),TEXT($Q964,"yyyy-mm-dd"),IF($A964="","",IF(SUMPRODUCT(('Agences &amp; Après-vente'!$A$2:$A$1000=$A964)*(('Agences &amp; Après-vente'!$D$2:$D$1000="Agences")+('Agences &amp; Après-vente'!$D$2:$D$1000="Agences et Après-vente"))*('Agences &amp; Après-vente'!$I$2:$I$1000="DONE"))&gt;0,"✓",IF(SUMPRODUCT(MAX(('Agences &amp; Après-vente'!$A$2:$A$1000=$A964)*(('Agences &amp; Après-vente'!$D$2:$D$1000="Agences")+('Agences &amp; Après-vente'!$D$2:$D$1000="Agences et Après-vente"))*'Agences &amp; Après-vente'!$E$2:$E$1000))&gt;0,TEXT(SUMPRODUCT(MAX(('Agences &amp; Après-vente'!$A$2:$A$1000=$A964)*(('Agences &amp; Après-vente'!$D$2:$D$1000="Agences")+('Agences &amp; Après-vente'!$D$2:$D$1000="Agences et Après-vente"))*'Agences &amp; Après-vente'!$E$2:$E$1000)),"yyyy-mm-dd"),"")))))</f>
        <v/>
      </c>
      <c r="H964" s="131" t="str">
        <f aca="false">IF($R964="✓","✓",IF(ISNUMBER($R964),TEXT($R964,"yyyy-mm-dd"),IF($A964="","",IF($D964="Lisbonne","",IF(SUMPRODUCT(('Agences &amp; Après-vente'!$A$2:$A$1000=$A964)*(('Agences &amp; Après-vente'!$D$2:$D$1000="Agences")+('Agences &amp; Après-vente'!$D$2:$D$1000="Agences et Après-vente"))*('Agences &amp; Après-vente'!$I$2:$I$1000="DONE"))&gt;0,"✓",IF(SUMPRODUCT(MAX(('Agences &amp; Après-vente'!$A$2:$A$1000=$A964)*(('Agences &amp; Après-vente'!$D$2:$D$1000="Agences")+('Agences &amp; Après-vente'!$D$2:$D$1000="Agences et Après-vente"))*'Agences &amp; Après-vente'!$E$2:$E$1000))&gt;0,TEXT(SUMPRODUCT(MAX(('Agences &amp; Après-vente'!$A$2:$A$1000=$A964)*(('Agences &amp; Après-vente'!$D$2:$D$1000="Agences")+('Agences &amp; Après-vente'!$D$2:$D$1000="Agences et Après-vente"))*'Agences &amp; Après-vente'!$E$2:$E$1000)),"yyyy-mm-dd"),""))))))</f>
        <v/>
      </c>
      <c r="I964" s="131" t="str">
        <f aca="false">IF($S964="✓","✓",IF(ISNUMBER($S964),TEXT($S964,"yyyy-mm-dd"),IF($A964="","",IF(SUMPRODUCT(('Agences &amp; Après-vente'!$A$2:$A$1000=$A964)*(('Agences &amp; Après-vente'!$D$2:$D$1000="Après-vente")+('Agences &amp; Après-vente'!$D$2:$D$1000="Agences et Après-vente"))*('Agences &amp; Après-vente'!$I$2:$I$1000="DONE"))&gt;0,"✓",IF(SUMPRODUCT(MAX(('Agences &amp; Après-vente'!$A$2:$A$1000=$A964)*(('Agences &amp; Après-vente'!$D$2:$D$1000="Après-vente")+('Agences &amp; Après-vente'!$D$2:$D$1000="Agences et Après-vente"))*'Agences &amp; Après-vente'!$E$2:$E$1000))&gt;0,TEXT(SUMPRODUCT(MAX(('Agences &amp; Après-vente'!$A$2:$A$1000=$A964)*(('Agences &amp; Après-vente'!$D$2:$D$1000="Après-vente")+('Agences &amp; Après-vente'!$D$2:$D$1000="Agences et Après-vente"))*'Agences &amp; Après-vente'!$E$2:$E$1000)),"yyyy-mm-dd"),"")))))</f>
        <v/>
      </c>
      <c r="J964" s="131" t="str">
        <f aca="false">IF($T964="✓","✓",IF(ISNUMBER($T964),TEXT($T964,"yyyy-mm-dd"),IF($A964="","",IF($D964="Lisbonne","",IF(SUMPRODUCT(('Agences &amp; Après-vente'!$A$2:$A$1000=$A964)*(('Agences &amp; Après-vente'!$D$2:$D$1000="Après-vente")+('Agences &amp; Après-vente'!$D$2:$D$1000="Agences et Après-vente"))*('Agences &amp; Après-vente'!$I$2:$I$1000="DONE"))&gt;0,"✓",IF(SUMPRODUCT(MAX(('Agences &amp; Après-vente'!$A$2:$A$1000=$A964)*(('Agences &amp; Après-vente'!$D$2:$D$1000="Après-vente")+('Agences &amp; Après-vente'!$D$2:$D$1000="Agences et Après-vente"))*'Agences &amp; Après-vente'!$E$2:$E$1000))&gt;0,TEXT(SUMPRODUCT(MAX(('Agences &amp; Après-vente'!$A$2:$A$1000=$A964)*(('Agences &amp; Après-vente'!$D$2:$D$1000="Après-vente")+('Agences &amp; Après-vente'!$D$2:$D$1000="Agences et Après-vente"))*'Agences &amp; Après-vente'!$E$2:$E$1000)),"yyyy-mm-dd"),""))))))</f>
        <v/>
      </c>
      <c r="K964" s="131" t="str">
        <f aca="false">IF($U964="✓","✓",IF(ISNUMBER($U964),TEXT($U964,"yyyy-mm-dd"),IF($D964="Lisbonne","",IF($A964="","",IF(SUMPRODUCT((Evermont!$A$2:$A$1000=$A964)*(Evermont!$Q$2:$Q$1000="Terminé"))&gt;0,"✓",IF(SUMPRODUCT(MAX((Evermont!$A$2:$A$1000=$A964)*Evermont!$F$2:$F$1000))&gt;0,TEXT(SUMPRODUCT(MAX((Evermont!$A$2:$A$1000=$A964)*Evermont!$F$2:$F$1000)),"yyyy-mm-dd"),""))))))</f>
        <v/>
      </c>
      <c r="L964" s="131" t="str">
        <f aca="false">IF($A964="","",COUNTIF(E964:K964,"✓"))</f>
        <v/>
      </c>
      <c r="M964" s="131" t="str">
        <f aca="false">IF(B964="","","Active")</f>
        <v/>
      </c>
      <c r="W964" s="120" t="str">
        <f aca="false">IF($A964="","",IF($X964&lt;&gt;"",$X964,IFERROR(INDEX('Formation Initiale'!$B$2:$B$999,MATCH($A964,'Formation Initiale'!$A$2:$A$999,0)),"Général")))</f>
        <v/>
      </c>
    </row>
    <row r="965" customFormat="false" ht="15" hidden="true" customHeight="true" outlineLevel="0" collapsed="false">
      <c r="A965" s="142" t="str">
        <f aca="false">IF(B965="","","TR"&amp;TEXT(ROW()-1,"000"))</f>
        <v/>
      </c>
      <c r="E965" s="130" t="str">
        <f aca="false">IF($O965="✓","✓",IF(ISNUMBER($O965),TEXT($O965,"yyyy-mm-dd"),IF($A965="","",IF(SUMPRODUCT(('Formation Initiale'!$A$2:$A$999=$A965)*('Formation Initiale'!$R$2:$R$999="Terminé"))&gt;0,"✓",IF(SUMPRODUCT(MAX(('Formation Initiale'!$A$2:$A$999=$A965)*'Formation Initiale'!$G$2:$G$999))&gt;0,TEXT(SUMPRODUCT(MAX(('Formation Initiale'!$A$2:$A$999=$A965)*'Formation Initiale'!$G$2:$G$999)),"yyyy-mm-dd"),"")))))</f>
        <v/>
      </c>
      <c r="F965" s="131" t="str">
        <f aca="false">IF($P965="✓","✓",IF(ISNUMBER($P965),TEXT($P965,"yyyy-mm-dd"),IF($A965="","",IF($D965="Lisbonne","",IF(SUMPRODUCT(('Formation Initiale'!$A$2:$A$999=$A965)*('Formation Initiale'!$R$2:$R$999="Terminé"))&gt;0,"✓",IF(SUMPRODUCT(MAX(('Formation Initiale'!$A$2:$A$999=$A965)*'Formation Initiale'!$G$2:$G$999))&gt;0,TEXT(SUMPRODUCT(MAX(('Formation Initiale'!$A$2:$A$999=$A965)*'Formation Initiale'!$G$2:$G$999)),"yyyy-mm-dd"),""))))))</f>
        <v/>
      </c>
      <c r="G965" s="131" t="str">
        <f aca="false">IF($Q965="✓","✓",IF(ISNUMBER($Q965),TEXT($Q965,"yyyy-mm-dd"),IF($A965="","",IF(SUMPRODUCT(('Agences &amp; Après-vente'!$A$2:$A$1000=$A965)*(('Agences &amp; Après-vente'!$D$2:$D$1000="Agences")+('Agences &amp; Après-vente'!$D$2:$D$1000="Agences et Après-vente"))*('Agences &amp; Après-vente'!$I$2:$I$1000="DONE"))&gt;0,"✓",IF(SUMPRODUCT(MAX(('Agences &amp; Après-vente'!$A$2:$A$1000=$A965)*(('Agences &amp; Après-vente'!$D$2:$D$1000="Agences")+('Agences &amp; Après-vente'!$D$2:$D$1000="Agences et Après-vente"))*'Agences &amp; Après-vente'!$E$2:$E$1000))&gt;0,TEXT(SUMPRODUCT(MAX(('Agences &amp; Après-vente'!$A$2:$A$1000=$A965)*(('Agences &amp; Après-vente'!$D$2:$D$1000="Agences")+('Agences &amp; Après-vente'!$D$2:$D$1000="Agences et Après-vente"))*'Agences &amp; Après-vente'!$E$2:$E$1000)),"yyyy-mm-dd"),"")))))</f>
        <v/>
      </c>
      <c r="H965" s="131" t="str">
        <f aca="false">IF($R965="✓","✓",IF(ISNUMBER($R965),TEXT($R965,"yyyy-mm-dd"),IF($A965="","",IF($D965="Lisbonne","",IF(SUMPRODUCT(('Agences &amp; Après-vente'!$A$2:$A$1000=$A965)*(('Agences &amp; Après-vente'!$D$2:$D$1000="Agences")+('Agences &amp; Après-vente'!$D$2:$D$1000="Agences et Après-vente"))*('Agences &amp; Après-vente'!$I$2:$I$1000="DONE"))&gt;0,"✓",IF(SUMPRODUCT(MAX(('Agences &amp; Après-vente'!$A$2:$A$1000=$A965)*(('Agences &amp; Après-vente'!$D$2:$D$1000="Agences")+('Agences &amp; Après-vente'!$D$2:$D$1000="Agences et Après-vente"))*'Agences &amp; Après-vente'!$E$2:$E$1000))&gt;0,TEXT(SUMPRODUCT(MAX(('Agences &amp; Après-vente'!$A$2:$A$1000=$A965)*(('Agences &amp; Après-vente'!$D$2:$D$1000="Agences")+('Agences &amp; Après-vente'!$D$2:$D$1000="Agences et Après-vente"))*'Agences &amp; Après-vente'!$E$2:$E$1000)),"yyyy-mm-dd"),""))))))</f>
        <v/>
      </c>
      <c r="I965" s="131" t="str">
        <f aca="false">IF($S965="✓","✓",IF(ISNUMBER($S965),TEXT($S965,"yyyy-mm-dd"),IF($A965="","",IF(SUMPRODUCT(('Agences &amp; Après-vente'!$A$2:$A$1000=$A965)*(('Agences &amp; Après-vente'!$D$2:$D$1000="Après-vente")+('Agences &amp; Après-vente'!$D$2:$D$1000="Agences et Après-vente"))*('Agences &amp; Après-vente'!$I$2:$I$1000="DONE"))&gt;0,"✓",IF(SUMPRODUCT(MAX(('Agences &amp; Après-vente'!$A$2:$A$1000=$A965)*(('Agences &amp; Après-vente'!$D$2:$D$1000="Après-vente")+('Agences &amp; Après-vente'!$D$2:$D$1000="Agences et Après-vente"))*'Agences &amp; Après-vente'!$E$2:$E$1000))&gt;0,TEXT(SUMPRODUCT(MAX(('Agences &amp; Après-vente'!$A$2:$A$1000=$A965)*(('Agences &amp; Après-vente'!$D$2:$D$1000="Après-vente")+('Agences &amp; Après-vente'!$D$2:$D$1000="Agences et Après-vente"))*'Agences &amp; Après-vente'!$E$2:$E$1000)),"yyyy-mm-dd"),"")))))</f>
        <v/>
      </c>
      <c r="J965" s="131" t="str">
        <f aca="false">IF($T965="✓","✓",IF(ISNUMBER($T965),TEXT($T965,"yyyy-mm-dd"),IF($A965="","",IF($D965="Lisbonne","",IF(SUMPRODUCT(('Agences &amp; Après-vente'!$A$2:$A$1000=$A965)*(('Agences &amp; Après-vente'!$D$2:$D$1000="Après-vente")+('Agences &amp; Après-vente'!$D$2:$D$1000="Agences et Après-vente"))*('Agences &amp; Après-vente'!$I$2:$I$1000="DONE"))&gt;0,"✓",IF(SUMPRODUCT(MAX(('Agences &amp; Après-vente'!$A$2:$A$1000=$A965)*(('Agences &amp; Après-vente'!$D$2:$D$1000="Après-vente")+('Agences &amp; Après-vente'!$D$2:$D$1000="Agences et Après-vente"))*'Agences &amp; Après-vente'!$E$2:$E$1000))&gt;0,TEXT(SUMPRODUCT(MAX(('Agences &amp; Après-vente'!$A$2:$A$1000=$A965)*(('Agences &amp; Après-vente'!$D$2:$D$1000="Après-vente")+('Agences &amp; Après-vente'!$D$2:$D$1000="Agences et Après-vente"))*'Agences &amp; Après-vente'!$E$2:$E$1000)),"yyyy-mm-dd"),""))))))</f>
        <v/>
      </c>
      <c r="K965" s="131" t="str">
        <f aca="false">IF($U965="✓","✓",IF(ISNUMBER($U965),TEXT($U965,"yyyy-mm-dd"),IF($D965="Lisbonne","",IF($A965="","",IF(SUMPRODUCT((Evermont!$A$2:$A$1000=$A965)*(Evermont!$Q$2:$Q$1000="Terminé"))&gt;0,"✓",IF(SUMPRODUCT(MAX((Evermont!$A$2:$A$1000=$A965)*Evermont!$F$2:$F$1000))&gt;0,TEXT(SUMPRODUCT(MAX((Evermont!$A$2:$A$1000=$A965)*Evermont!$F$2:$F$1000)),"yyyy-mm-dd"),""))))))</f>
        <v/>
      </c>
      <c r="L965" s="131" t="str">
        <f aca="false">IF($A965="","",COUNTIF(E965:K965,"✓"))</f>
        <v/>
      </c>
      <c r="M965" s="131" t="str">
        <f aca="false">IF(B965="","","Active")</f>
        <v/>
      </c>
      <c r="W965" s="120" t="str">
        <f aca="false">IF($A965="","",IF($X965&lt;&gt;"",$X965,IFERROR(INDEX('Formation Initiale'!$B$2:$B$999,MATCH($A965,'Formation Initiale'!$A$2:$A$999,0)),"Général")))</f>
        <v/>
      </c>
    </row>
    <row r="966" customFormat="false" ht="15" hidden="true" customHeight="true" outlineLevel="0" collapsed="false">
      <c r="A966" s="142" t="str">
        <f aca="false">IF(B966="","","TR"&amp;TEXT(ROW()-1,"000"))</f>
        <v/>
      </c>
      <c r="E966" s="130" t="str">
        <f aca="false">IF($O966="✓","✓",IF(ISNUMBER($O966),TEXT($O966,"yyyy-mm-dd"),IF($A966="","",IF(SUMPRODUCT(('Formation Initiale'!$A$2:$A$999=$A966)*('Formation Initiale'!$R$2:$R$999="Terminé"))&gt;0,"✓",IF(SUMPRODUCT(MAX(('Formation Initiale'!$A$2:$A$999=$A966)*'Formation Initiale'!$G$2:$G$999))&gt;0,TEXT(SUMPRODUCT(MAX(('Formation Initiale'!$A$2:$A$999=$A966)*'Formation Initiale'!$G$2:$G$999)),"yyyy-mm-dd"),"")))))</f>
        <v/>
      </c>
      <c r="F966" s="131" t="str">
        <f aca="false">IF($P966="✓","✓",IF(ISNUMBER($P966),TEXT($P966,"yyyy-mm-dd"),IF($A966="","",IF($D966="Lisbonne","",IF(SUMPRODUCT(('Formation Initiale'!$A$2:$A$999=$A966)*('Formation Initiale'!$R$2:$R$999="Terminé"))&gt;0,"✓",IF(SUMPRODUCT(MAX(('Formation Initiale'!$A$2:$A$999=$A966)*'Formation Initiale'!$G$2:$G$999))&gt;0,TEXT(SUMPRODUCT(MAX(('Formation Initiale'!$A$2:$A$999=$A966)*'Formation Initiale'!$G$2:$G$999)),"yyyy-mm-dd"),""))))))</f>
        <v/>
      </c>
      <c r="G966" s="131" t="str">
        <f aca="false">IF($Q966="✓","✓",IF(ISNUMBER($Q966),TEXT($Q966,"yyyy-mm-dd"),IF($A966="","",IF(SUMPRODUCT(('Agences &amp; Après-vente'!$A$2:$A$1000=$A966)*(('Agences &amp; Après-vente'!$D$2:$D$1000="Agences")+('Agences &amp; Après-vente'!$D$2:$D$1000="Agences et Après-vente"))*('Agences &amp; Après-vente'!$I$2:$I$1000="DONE"))&gt;0,"✓",IF(SUMPRODUCT(MAX(('Agences &amp; Après-vente'!$A$2:$A$1000=$A966)*(('Agences &amp; Après-vente'!$D$2:$D$1000="Agences")+('Agences &amp; Après-vente'!$D$2:$D$1000="Agences et Après-vente"))*'Agences &amp; Après-vente'!$E$2:$E$1000))&gt;0,TEXT(SUMPRODUCT(MAX(('Agences &amp; Après-vente'!$A$2:$A$1000=$A966)*(('Agences &amp; Après-vente'!$D$2:$D$1000="Agences")+('Agences &amp; Après-vente'!$D$2:$D$1000="Agences et Après-vente"))*'Agences &amp; Après-vente'!$E$2:$E$1000)),"yyyy-mm-dd"),"")))))</f>
        <v/>
      </c>
      <c r="H966" s="131" t="str">
        <f aca="false">IF($R966="✓","✓",IF(ISNUMBER($R966),TEXT($R966,"yyyy-mm-dd"),IF($A966="","",IF($D966="Lisbonne","",IF(SUMPRODUCT(('Agences &amp; Après-vente'!$A$2:$A$1000=$A966)*(('Agences &amp; Après-vente'!$D$2:$D$1000="Agences")+('Agences &amp; Après-vente'!$D$2:$D$1000="Agences et Après-vente"))*('Agences &amp; Après-vente'!$I$2:$I$1000="DONE"))&gt;0,"✓",IF(SUMPRODUCT(MAX(('Agences &amp; Après-vente'!$A$2:$A$1000=$A966)*(('Agences &amp; Après-vente'!$D$2:$D$1000="Agences")+('Agences &amp; Après-vente'!$D$2:$D$1000="Agences et Après-vente"))*'Agences &amp; Après-vente'!$E$2:$E$1000))&gt;0,TEXT(SUMPRODUCT(MAX(('Agences &amp; Après-vente'!$A$2:$A$1000=$A966)*(('Agences &amp; Après-vente'!$D$2:$D$1000="Agences")+('Agences &amp; Après-vente'!$D$2:$D$1000="Agences et Après-vente"))*'Agences &amp; Après-vente'!$E$2:$E$1000)),"yyyy-mm-dd"),""))))))</f>
        <v/>
      </c>
      <c r="I966" s="131" t="str">
        <f aca="false">IF($S966="✓","✓",IF(ISNUMBER($S966),TEXT($S966,"yyyy-mm-dd"),IF($A966="","",IF(SUMPRODUCT(('Agences &amp; Après-vente'!$A$2:$A$1000=$A966)*(('Agences &amp; Après-vente'!$D$2:$D$1000="Après-vente")+('Agences &amp; Après-vente'!$D$2:$D$1000="Agences et Après-vente"))*('Agences &amp; Après-vente'!$I$2:$I$1000="DONE"))&gt;0,"✓",IF(SUMPRODUCT(MAX(('Agences &amp; Après-vente'!$A$2:$A$1000=$A966)*(('Agences &amp; Après-vente'!$D$2:$D$1000="Après-vente")+('Agences &amp; Après-vente'!$D$2:$D$1000="Agences et Après-vente"))*'Agences &amp; Après-vente'!$E$2:$E$1000))&gt;0,TEXT(SUMPRODUCT(MAX(('Agences &amp; Après-vente'!$A$2:$A$1000=$A966)*(('Agences &amp; Après-vente'!$D$2:$D$1000="Après-vente")+('Agences &amp; Après-vente'!$D$2:$D$1000="Agences et Après-vente"))*'Agences &amp; Après-vente'!$E$2:$E$1000)),"yyyy-mm-dd"),"")))))</f>
        <v/>
      </c>
      <c r="J966" s="131" t="str">
        <f aca="false">IF($T966="✓","✓",IF(ISNUMBER($T966),TEXT($T966,"yyyy-mm-dd"),IF($A966="","",IF($D966="Lisbonne","",IF(SUMPRODUCT(('Agences &amp; Après-vente'!$A$2:$A$1000=$A966)*(('Agences &amp; Après-vente'!$D$2:$D$1000="Après-vente")+('Agences &amp; Après-vente'!$D$2:$D$1000="Agences et Après-vente"))*('Agences &amp; Après-vente'!$I$2:$I$1000="DONE"))&gt;0,"✓",IF(SUMPRODUCT(MAX(('Agences &amp; Après-vente'!$A$2:$A$1000=$A966)*(('Agences &amp; Après-vente'!$D$2:$D$1000="Après-vente")+('Agences &amp; Après-vente'!$D$2:$D$1000="Agences et Après-vente"))*'Agences &amp; Après-vente'!$E$2:$E$1000))&gt;0,TEXT(SUMPRODUCT(MAX(('Agences &amp; Après-vente'!$A$2:$A$1000=$A966)*(('Agences &amp; Après-vente'!$D$2:$D$1000="Après-vente")+('Agences &amp; Après-vente'!$D$2:$D$1000="Agences et Après-vente"))*'Agences &amp; Après-vente'!$E$2:$E$1000)),"yyyy-mm-dd"),""))))))</f>
        <v/>
      </c>
      <c r="K966" s="131" t="str">
        <f aca="false">IF($U966="✓","✓",IF(ISNUMBER($U966),TEXT($U966,"yyyy-mm-dd"),IF($D966="Lisbonne","",IF($A966="","",IF(SUMPRODUCT((Evermont!$A$2:$A$1000=$A966)*(Evermont!$Q$2:$Q$1000="Terminé"))&gt;0,"✓",IF(SUMPRODUCT(MAX((Evermont!$A$2:$A$1000=$A966)*Evermont!$F$2:$F$1000))&gt;0,TEXT(SUMPRODUCT(MAX((Evermont!$A$2:$A$1000=$A966)*Evermont!$F$2:$F$1000)),"yyyy-mm-dd"),""))))))</f>
        <v/>
      </c>
      <c r="L966" s="131" t="str">
        <f aca="false">IF($A966="","",COUNTIF(E966:K966,"✓"))</f>
        <v/>
      </c>
      <c r="M966" s="131" t="str">
        <f aca="false">IF(B966="","","Active")</f>
        <v/>
      </c>
      <c r="W966" s="120" t="str">
        <f aca="false">IF($A966="","",IF($X966&lt;&gt;"",$X966,IFERROR(INDEX('Formation Initiale'!$B$2:$B$999,MATCH($A966,'Formation Initiale'!$A$2:$A$999,0)),"Général")))</f>
        <v/>
      </c>
    </row>
    <row r="967" customFormat="false" ht="15" hidden="true" customHeight="true" outlineLevel="0" collapsed="false">
      <c r="A967" s="142" t="str">
        <f aca="false">IF(B967="","","TR"&amp;TEXT(ROW()-1,"000"))</f>
        <v/>
      </c>
      <c r="E967" s="130" t="str">
        <f aca="false">IF($O967="✓","✓",IF(ISNUMBER($O967),TEXT($O967,"yyyy-mm-dd"),IF($A967="","",IF(SUMPRODUCT(('Formation Initiale'!$A$2:$A$999=$A967)*('Formation Initiale'!$R$2:$R$999="Terminé"))&gt;0,"✓",IF(SUMPRODUCT(MAX(('Formation Initiale'!$A$2:$A$999=$A967)*'Formation Initiale'!$G$2:$G$999))&gt;0,TEXT(SUMPRODUCT(MAX(('Formation Initiale'!$A$2:$A$999=$A967)*'Formation Initiale'!$G$2:$G$999)),"yyyy-mm-dd"),"")))))</f>
        <v/>
      </c>
      <c r="F967" s="131" t="str">
        <f aca="false">IF($P967="✓","✓",IF(ISNUMBER($P967),TEXT($P967,"yyyy-mm-dd"),IF($A967="","",IF($D967="Lisbonne","",IF(SUMPRODUCT(('Formation Initiale'!$A$2:$A$999=$A967)*('Formation Initiale'!$R$2:$R$999="Terminé"))&gt;0,"✓",IF(SUMPRODUCT(MAX(('Formation Initiale'!$A$2:$A$999=$A967)*'Formation Initiale'!$G$2:$G$999))&gt;0,TEXT(SUMPRODUCT(MAX(('Formation Initiale'!$A$2:$A$999=$A967)*'Formation Initiale'!$G$2:$G$999)),"yyyy-mm-dd"),""))))))</f>
        <v/>
      </c>
      <c r="G967" s="131" t="str">
        <f aca="false">IF($Q967="✓","✓",IF(ISNUMBER($Q967),TEXT($Q967,"yyyy-mm-dd"),IF($A967="","",IF(SUMPRODUCT(('Agences &amp; Après-vente'!$A$2:$A$1000=$A967)*(('Agences &amp; Après-vente'!$D$2:$D$1000="Agences")+('Agences &amp; Après-vente'!$D$2:$D$1000="Agences et Après-vente"))*('Agences &amp; Après-vente'!$I$2:$I$1000="DONE"))&gt;0,"✓",IF(SUMPRODUCT(MAX(('Agences &amp; Après-vente'!$A$2:$A$1000=$A967)*(('Agences &amp; Après-vente'!$D$2:$D$1000="Agences")+('Agences &amp; Après-vente'!$D$2:$D$1000="Agences et Après-vente"))*'Agences &amp; Après-vente'!$E$2:$E$1000))&gt;0,TEXT(SUMPRODUCT(MAX(('Agences &amp; Après-vente'!$A$2:$A$1000=$A967)*(('Agences &amp; Après-vente'!$D$2:$D$1000="Agences")+('Agences &amp; Après-vente'!$D$2:$D$1000="Agences et Après-vente"))*'Agences &amp; Après-vente'!$E$2:$E$1000)),"yyyy-mm-dd"),"")))))</f>
        <v/>
      </c>
      <c r="H967" s="131" t="str">
        <f aca="false">IF($R967="✓","✓",IF(ISNUMBER($R967),TEXT($R967,"yyyy-mm-dd"),IF($A967="","",IF($D967="Lisbonne","",IF(SUMPRODUCT(('Agences &amp; Après-vente'!$A$2:$A$1000=$A967)*(('Agences &amp; Après-vente'!$D$2:$D$1000="Agences")+('Agences &amp; Après-vente'!$D$2:$D$1000="Agences et Après-vente"))*('Agences &amp; Après-vente'!$I$2:$I$1000="DONE"))&gt;0,"✓",IF(SUMPRODUCT(MAX(('Agences &amp; Après-vente'!$A$2:$A$1000=$A967)*(('Agences &amp; Après-vente'!$D$2:$D$1000="Agences")+('Agences &amp; Après-vente'!$D$2:$D$1000="Agences et Après-vente"))*'Agences &amp; Après-vente'!$E$2:$E$1000))&gt;0,TEXT(SUMPRODUCT(MAX(('Agences &amp; Après-vente'!$A$2:$A$1000=$A967)*(('Agences &amp; Après-vente'!$D$2:$D$1000="Agences")+('Agences &amp; Après-vente'!$D$2:$D$1000="Agences et Après-vente"))*'Agences &amp; Après-vente'!$E$2:$E$1000)),"yyyy-mm-dd"),""))))))</f>
        <v/>
      </c>
      <c r="I967" s="131" t="str">
        <f aca="false">IF($S967="✓","✓",IF(ISNUMBER($S967),TEXT($S967,"yyyy-mm-dd"),IF($A967="","",IF(SUMPRODUCT(('Agences &amp; Après-vente'!$A$2:$A$1000=$A967)*(('Agences &amp; Après-vente'!$D$2:$D$1000="Après-vente")+('Agences &amp; Après-vente'!$D$2:$D$1000="Agences et Après-vente"))*('Agences &amp; Après-vente'!$I$2:$I$1000="DONE"))&gt;0,"✓",IF(SUMPRODUCT(MAX(('Agences &amp; Après-vente'!$A$2:$A$1000=$A967)*(('Agences &amp; Après-vente'!$D$2:$D$1000="Après-vente")+('Agences &amp; Après-vente'!$D$2:$D$1000="Agences et Après-vente"))*'Agences &amp; Après-vente'!$E$2:$E$1000))&gt;0,TEXT(SUMPRODUCT(MAX(('Agences &amp; Après-vente'!$A$2:$A$1000=$A967)*(('Agences &amp; Après-vente'!$D$2:$D$1000="Après-vente")+('Agences &amp; Après-vente'!$D$2:$D$1000="Agences et Après-vente"))*'Agences &amp; Après-vente'!$E$2:$E$1000)),"yyyy-mm-dd"),"")))))</f>
        <v/>
      </c>
      <c r="J967" s="131" t="str">
        <f aca="false">IF($T967="✓","✓",IF(ISNUMBER($T967),TEXT($T967,"yyyy-mm-dd"),IF($A967="","",IF($D967="Lisbonne","",IF(SUMPRODUCT(('Agences &amp; Après-vente'!$A$2:$A$1000=$A967)*(('Agences &amp; Après-vente'!$D$2:$D$1000="Après-vente")+('Agences &amp; Après-vente'!$D$2:$D$1000="Agences et Après-vente"))*('Agences &amp; Après-vente'!$I$2:$I$1000="DONE"))&gt;0,"✓",IF(SUMPRODUCT(MAX(('Agences &amp; Après-vente'!$A$2:$A$1000=$A967)*(('Agences &amp; Après-vente'!$D$2:$D$1000="Après-vente")+('Agences &amp; Après-vente'!$D$2:$D$1000="Agences et Après-vente"))*'Agences &amp; Après-vente'!$E$2:$E$1000))&gt;0,TEXT(SUMPRODUCT(MAX(('Agences &amp; Après-vente'!$A$2:$A$1000=$A967)*(('Agences &amp; Après-vente'!$D$2:$D$1000="Après-vente")+('Agences &amp; Après-vente'!$D$2:$D$1000="Agences et Après-vente"))*'Agences &amp; Après-vente'!$E$2:$E$1000)),"yyyy-mm-dd"),""))))))</f>
        <v/>
      </c>
      <c r="K967" s="131" t="str">
        <f aca="false">IF($U967="✓","✓",IF(ISNUMBER($U967),TEXT($U967,"yyyy-mm-dd"),IF($D967="Lisbonne","",IF($A967="","",IF(SUMPRODUCT((Evermont!$A$2:$A$1000=$A967)*(Evermont!$Q$2:$Q$1000="Terminé"))&gt;0,"✓",IF(SUMPRODUCT(MAX((Evermont!$A$2:$A$1000=$A967)*Evermont!$F$2:$F$1000))&gt;0,TEXT(SUMPRODUCT(MAX((Evermont!$A$2:$A$1000=$A967)*Evermont!$F$2:$F$1000)),"yyyy-mm-dd"),""))))))</f>
        <v/>
      </c>
      <c r="L967" s="131" t="str">
        <f aca="false">IF($A967="","",COUNTIF(E967:K967,"✓"))</f>
        <v/>
      </c>
      <c r="M967" s="131" t="str">
        <f aca="false">IF(B967="","","Active")</f>
        <v/>
      </c>
      <c r="W967" s="120" t="str">
        <f aca="false">IF($A967="","",IF($X967&lt;&gt;"",$X967,IFERROR(INDEX('Formation Initiale'!$B$2:$B$999,MATCH($A967,'Formation Initiale'!$A$2:$A$999,0)),"Général")))</f>
        <v/>
      </c>
    </row>
    <row r="968" customFormat="false" ht="15" hidden="true" customHeight="true" outlineLevel="0" collapsed="false">
      <c r="A968" s="142" t="str">
        <f aca="false">IF(B968="","","TR"&amp;TEXT(ROW()-1,"000"))</f>
        <v/>
      </c>
      <c r="E968" s="130" t="str">
        <f aca="false">IF($O968="✓","✓",IF(ISNUMBER($O968),TEXT($O968,"yyyy-mm-dd"),IF($A968="","",IF(SUMPRODUCT(('Formation Initiale'!$A$2:$A$999=$A968)*('Formation Initiale'!$R$2:$R$999="Terminé"))&gt;0,"✓",IF(SUMPRODUCT(MAX(('Formation Initiale'!$A$2:$A$999=$A968)*'Formation Initiale'!$G$2:$G$999))&gt;0,TEXT(SUMPRODUCT(MAX(('Formation Initiale'!$A$2:$A$999=$A968)*'Formation Initiale'!$G$2:$G$999)),"yyyy-mm-dd"),"")))))</f>
        <v/>
      </c>
      <c r="F968" s="131" t="str">
        <f aca="false">IF($P968="✓","✓",IF(ISNUMBER($P968),TEXT($P968,"yyyy-mm-dd"),IF($A968="","",IF($D968="Lisbonne","",IF(SUMPRODUCT(('Formation Initiale'!$A$2:$A$999=$A968)*('Formation Initiale'!$R$2:$R$999="Terminé"))&gt;0,"✓",IF(SUMPRODUCT(MAX(('Formation Initiale'!$A$2:$A$999=$A968)*'Formation Initiale'!$G$2:$G$999))&gt;0,TEXT(SUMPRODUCT(MAX(('Formation Initiale'!$A$2:$A$999=$A968)*'Formation Initiale'!$G$2:$G$999)),"yyyy-mm-dd"),""))))))</f>
        <v/>
      </c>
      <c r="G968" s="131" t="str">
        <f aca="false">IF($Q968="✓","✓",IF(ISNUMBER($Q968),TEXT($Q968,"yyyy-mm-dd"),IF($A968="","",IF(SUMPRODUCT(('Agences &amp; Après-vente'!$A$2:$A$1000=$A968)*(('Agences &amp; Après-vente'!$D$2:$D$1000="Agences")+('Agences &amp; Après-vente'!$D$2:$D$1000="Agences et Après-vente"))*('Agences &amp; Après-vente'!$I$2:$I$1000="DONE"))&gt;0,"✓",IF(SUMPRODUCT(MAX(('Agences &amp; Après-vente'!$A$2:$A$1000=$A968)*(('Agences &amp; Après-vente'!$D$2:$D$1000="Agences")+('Agences &amp; Après-vente'!$D$2:$D$1000="Agences et Après-vente"))*'Agences &amp; Après-vente'!$E$2:$E$1000))&gt;0,TEXT(SUMPRODUCT(MAX(('Agences &amp; Après-vente'!$A$2:$A$1000=$A968)*(('Agences &amp; Après-vente'!$D$2:$D$1000="Agences")+('Agences &amp; Après-vente'!$D$2:$D$1000="Agences et Après-vente"))*'Agences &amp; Après-vente'!$E$2:$E$1000)),"yyyy-mm-dd"),"")))))</f>
        <v/>
      </c>
      <c r="H968" s="131" t="str">
        <f aca="false">IF($R968="✓","✓",IF(ISNUMBER($R968),TEXT($R968,"yyyy-mm-dd"),IF($A968="","",IF($D968="Lisbonne","",IF(SUMPRODUCT(('Agences &amp; Après-vente'!$A$2:$A$1000=$A968)*(('Agences &amp; Après-vente'!$D$2:$D$1000="Agences")+('Agences &amp; Après-vente'!$D$2:$D$1000="Agences et Après-vente"))*('Agences &amp; Après-vente'!$I$2:$I$1000="DONE"))&gt;0,"✓",IF(SUMPRODUCT(MAX(('Agences &amp; Après-vente'!$A$2:$A$1000=$A968)*(('Agences &amp; Après-vente'!$D$2:$D$1000="Agences")+('Agences &amp; Après-vente'!$D$2:$D$1000="Agences et Après-vente"))*'Agences &amp; Après-vente'!$E$2:$E$1000))&gt;0,TEXT(SUMPRODUCT(MAX(('Agences &amp; Après-vente'!$A$2:$A$1000=$A968)*(('Agences &amp; Après-vente'!$D$2:$D$1000="Agences")+('Agences &amp; Après-vente'!$D$2:$D$1000="Agences et Après-vente"))*'Agences &amp; Après-vente'!$E$2:$E$1000)),"yyyy-mm-dd"),""))))))</f>
        <v/>
      </c>
      <c r="I968" s="131" t="str">
        <f aca="false">IF($S968="✓","✓",IF(ISNUMBER($S968),TEXT($S968,"yyyy-mm-dd"),IF($A968="","",IF(SUMPRODUCT(('Agences &amp; Après-vente'!$A$2:$A$1000=$A968)*(('Agences &amp; Après-vente'!$D$2:$D$1000="Après-vente")+('Agences &amp; Après-vente'!$D$2:$D$1000="Agences et Après-vente"))*('Agences &amp; Après-vente'!$I$2:$I$1000="DONE"))&gt;0,"✓",IF(SUMPRODUCT(MAX(('Agences &amp; Après-vente'!$A$2:$A$1000=$A968)*(('Agences &amp; Après-vente'!$D$2:$D$1000="Après-vente")+('Agences &amp; Après-vente'!$D$2:$D$1000="Agences et Après-vente"))*'Agences &amp; Après-vente'!$E$2:$E$1000))&gt;0,TEXT(SUMPRODUCT(MAX(('Agences &amp; Après-vente'!$A$2:$A$1000=$A968)*(('Agences &amp; Après-vente'!$D$2:$D$1000="Après-vente")+('Agences &amp; Après-vente'!$D$2:$D$1000="Agences et Après-vente"))*'Agences &amp; Après-vente'!$E$2:$E$1000)),"yyyy-mm-dd"),"")))))</f>
        <v/>
      </c>
      <c r="J968" s="131" t="str">
        <f aca="false">IF($T968="✓","✓",IF(ISNUMBER($T968),TEXT($T968,"yyyy-mm-dd"),IF($A968="","",IF($D968="Lisbonne","",IF(SUMPRODUCT(('Agences &amp; Après-vente'!$A$2:$A$1000=$A968)*(('Agences &amp; Après-vente'!$D$2:$D$1000="Après-vente")+('Agences &amp; Après-vente'!$D$2:$D$1000="Agences et Après-vente"))*('Agences &amp; Après-vente'!$I$2:$I$1000="DONE"))&gt;0,"✓",IF(SUMPRODUCT(MAX(('Agences &amp; Après-vente'!$A$2:$A$1000=$A968)*(('Agences &amp; Après-vente'!$D$2:$D$1000="Après-vente")+('Agences &amp; Après-vente'!$D$2:$D$1000="Agences et Après-vente"))*'Agences &amp; Après-vente'!$E$2:$E$1000))&gt;0,TEXT(SUMPRODUCT(MAX(('Agences &amp; Après-vente'!$A$2:$A$1000=$A968)*(('Agences &amp; Après-vente'!$D$2:$D$1000="Après-vente")+('Agences &amp; Après-vente'!$D$2:$D$1000="Agences et Après-vente"))*'Agences &amp; Après-vente'!$E$2:$E$1000)),"yyyy-mm-dd"),""))))))</f>
        <v/>
      </c>
      <c r="K968" s="131" t="str">
        <f aca="false">IF($U968="✓","✓",IF(ISNUMBER($U968),TEXT($U968,"yyyy-mm-dd"),IF($D968="Lisbonne","",IF($A968="","",IF(SUMPRODUCT((Evermont!$A$2:$A$1000=$A968)*(Evermont!$Q$2:$Q$1000="Terminé"))&gt;0,"✓",IF(SUMPRODUCT(MAX((Evermont!$A$2:$A$1000=$A968)*Evermont!$F$2:$F$1000))&gt;0,TEXT(SUMPRODUCT(MAX((Evermont!$A$2:$A$1000=$A968)*Evermont!$F$2:$F$1000)),"yyyy-mm-dd"),""))))))</f>
        <v/>
      </c>
      <c r="L968" s="131" t="str">
        <f aca="false">IF($A968="","",COUNTIF(E968:K968,"✓"))</f>
        <v/>
      </c>
      <c r="M968" s="131" t="str">
        <f aca="false">IF(B968="","","Active")</f>
        <v/>
      </c>
      <c r="W968" s="120" t="str">
        <f aca="false">IF($A968="","",IF($X968&lt;&gt;"",$X968,IFERROR(INDEX('Formation Initiale'!$B$2:$B$999,MATCH($A968,'Formation Initiale'!$A$2:$A$999,0)),"Général")))</f>
        <v/>
      </c>
    </row>
    <row r="969" customFormat="false" ht="15" hidden="true" customHeight="true" outlineLevel="0" collapsed="false">
      <c r="A969" s="142" t="str">
        <f aca="false">IF(B969="","","TR"&amp;TEXT(ROW()-1,"000"))</f>
        <v/>
      </c>
      <c r="E969" s="130" t="str">
        <f aca="false">IF($O969="✓","✓",IF(ISNUMBER($O969),TEXT($O969,"yyyy-mm-dd"),IF($A969="","",IF(SUMPRODUCT(('Formation Initiale'!$A$2:$A$999=$A969)*('Formation Initiale'!$R$2:$R$999="Terminé"))&gt;0,"✓",IF(SUMPRODUCT(MAX(('Formation Initiale'!$A$2:$A$999=$A969)*'Formation Initiale'!$G$2:$G$999))&gt;0,TEXT(SUMPRODUCT(MAX(('Formation Initiale'!$A$2:$A$999=$A969)*'Formation Initiale'!$G$2:$G$999)),"yyyy-mm-dd"),"")))))</f>
        <v/>
      </c>
      <c r="F969" s="131" t="str">
        <f aca="false">IF($P969="✓","✓",IF(ISNUMBER($P969),TEXT($P969,"yyyy-mm-dd"),IF($A969="","",IF($D969="Lisbonne","",IF(SUMPRODUCT(('Formation Initiale'!$A$2:$A$999=$A969)*('Formation Initiale'!$R$2:$R$999="Terminé"))&gt;0,"✓",IF(SUMPRODUCT(MAX(('Formation Initiale'!$A$2:$A$999=$A969)*'Formation Initiale'!$G$2:$G$999))&gt;0,TEXT(SUMPRODUCT(MAX(('Formation Initiale'!$A$2:$A$999=$A969)*'Formation Initiale'!$G$2:$G$999)),"yyyy-mm-dd"),""))))))</f>
        <v/>
      </c>
      <c r="G969" s="131" t="str">
        <f aca="false">IF($Q969="✓","✓",IF(ISNUMBER($Q969),TEXT($Q969,"yyyy-mm-dd"),IF($A969="","",IF(SUMPRODUCT(('Agences &amp; Après-vente'!$A$2:$A$1000=$A969)*(('Agences &amp; Après-vente'!$D$2:$D$1000="Agences")+('Agences &amp; Après-vente'!$D$2:$D$1000="Agences et Après-vente"))*('Agences &amp; Après-vente'!$I$2:$I$1000="DONE"))&gt;0,"✓",IF(SUMPRODUCT(MAX(('Agences &amp; Après-vente'!$A$2:$A$1000=$A969)*(('Agences &amp; Après-vente'!$D$2:$D$1000="Agences")+('Agences &amp; Après-vente'!$D$2:$D$1000="Agences et Après-vente"))*'Agences &amp; Après-vente'!$E$2:$E$1000))&gt;0,TEXT(SUMPRODUCT(MAX(('Agences &amp; Après-vente'!$A$2:$A$1000=$A969)*(('Agences &amp; Après-vente'!$D$2:$D$1000="Agences")+('Agences &amp; Après-vente'!$D$2:$D$1000="Agences et Après-vente"))*'Agences &amp; Après-vente'!$E$2:$E$1000)),"yyyy-mm-dd"),"")))))</f>
        <v/>
      </c>
      <c r="H969" s="131" t="str">
        <f aca="false">IF($R969="✓","✓",IF(ISNUMBER($R969),TEXT($R969,"yyyy-mm-dd"),IF($A969="","",IF($D969="Lisbonne","",IF(SUMPRODUCT(('Agences &amp; Après-vente'!$A$2:$A$1000=$A969)*(('Agences &amp; Après-vente'!$D$2:$D$1000="Agences")+('Agences &amp; Après-vente'!$D$2:$D$1000="Agences et Après-vente"))*('Agences &amp; Après-vente'!$I$2:$I$1000="DONE"))&gt;0,"✓",IF(SUMPRODUCT(MAX(('Agences &amp; Après-vente'!$A$2:$A$1000=$A969)*(('Agences &amp; Après-vente'!$D$2:$D$1000="Agences")+('Agences &amp; Après-vente'!$D$2:$D$1000="Agences et Après-vente"))*'Agences &amp; Après-vente'!$E$2:$E$1000))&gt;0,TEXT(SUMPRODUCT(MAX(('Agences &amp; Après-vente'!$A$2:$A$1000=$A969)*(('Agences &amp; Après-vente'!$D$2:$D$1000="Agences")+('Agences &amp; Après-vente'!$D$2:$D$1000="Agences et Après-vente"))*'Agences &amp; Après-vente'!$E$2:$E$1000)),"yyyy-mm-dd"),""))))))</f>
        <v/>
      </c>
      <c r="I969" s="131" t="str">
        <f aca="false">IF($S969="✓","✓",IF(ISNUMBER($S969),TEXT($S969,"yyyy-mm-dd"),IF($A969="","",IF(SUMPRODUCT(('Agences &amp; Après-vente'!$A$2:$A$1000=$A969)*(('Agences &amp; Après-vente'!$D$2:$D$1000="Après-vente")+('Agences &amp; Après-vente'!$D$2:$D$1000="Agences et Après-vente"))*('Agences &amp; Après-vente'!$I$2:$I$1000="DONE"))&gt;0,"✓",IF(SUMPRODUCT(MAX(('Agences &amp; Après-vente'!$A$2:$A$1000=$A969)*(('Agences &amp; Après-vente'!$D$2:$D$1000="Après-vente")+('Agences &amp; Après-vente'!$D$2:$D$1000="Agences et Après-vente"))*'Agences &amp; Après-vente'!$E$2:$E$1000))&gt;0,TEXT(SUMPRODUCT(MAX(('Agences &amp; Après-vente'!$A$2:$A$1000=$A969)*(('Agences &amp; Après-vente'!$D$2:$D$1000="Après-vente")+('Agences &amp; Après-vente'!$D$2:$D$1000="Agences et Après-vente"))*'Agences &amp; Après-vente'!$E$2:$E$1000)),"yyyy-mm-dd"),"")))))</f>
        <v/>
      </c>
      <c r="J969" s="131" t="str">
        <f aca="false">IF($T969="✓","✓",IF(ISNUMBER($T969),TEXT($T969,"yyyy-mm-dd"),IF($A969="","",IF($D969="Lisbonne","",IF(SUMPRODUCT(('Agences &amp; Après-vente'!$A$2:$A$1000=$A969)*(('Agences &amp; Après-vente'!$D$2:$D$1000="Après-vente")+('Agences &amp; Après-vente'!$D$2:$D$1000="Agences et Après-vente"))*('Agences &amp; Après-vente'!$I$2:$I$1000="DONE"))&gt;0,"✓",IF(SUMPRODUCT(MAX(('Agences &amp; Après-vente'!$A$2:$A$1000=$A969)*(('Agences &amp; Après-vente'!$D$2:$D$1000="Après-vente")+('Agences &amp; Après-vente'!$D$2:$D$1000="Agences et Après-vente"))*'Agences &amp; Après-vente'!$E$2:$E$1000))&gt;0,TEXT(SUMPRODUCT(MAX(('Agences &amp; Après-vente'!$A$2:$A$1000=$A969)*(('Agences &amp; Après-vente'!$D$2:$D$1000="Après-vente")+('Agences &amp; Après-vente'!$D$2:$D$1000="Agences et Après-vente"))*'Agences &amp; Après-vente'!$E$2:$E$1000)),"yyyy-mm-dd"),""))))))</f>
        <v/>
      </c>
      <c r="K969" s="131" t="str">
        <f aca="false">IF($U969="✓","✓",IF(ISNUMBER($U969),TEXT($U969,"yyyy-mm-dd"),IF($D969="Lisbonne","",IF($A969="","",IF(SUMPRODUCT((Evermont!$A$2:$A$1000=$A969)*(Evermont!$Q$2:$Q$1000="Terminé"))&gt;0,"✓",IF(SUMPRODUCT(MAX((Evermont!$A$2:$A$1000=$A969)*Evermont!$F$2:$F$1000))&gt;0,TEXT(SUMPRODUCT(MAX((Evermont!$A$2:$A$1000=$A969)*Evermont!$F$2:$F$1000)),"yyyy-mm-dd"),""))))))</f>
        <v/>
      </c>
      <c r="L969" s="131" t="str">
        <f aca="false">IF($A969="","",COUNTIF(E969:K969,"✓"))</f>
        <v/>
      </c>
      <c r="M969" s="131" t="str">
        <f aca="false">IF(B969="","","Active")</f>
        <v/>
      </c>
      <c r="W969" s="120" t="str">
        <f aca="false">IF($A969="","",IF($X969&lt;&gt;"",$X969,IFERROR(INDEX('Formation Initiale'!$B$2:$B$999,MATCH($A969,'Formation Initiale'!$A$2:$A$999,0)),"Général")))</f>
        <v/>
      </c>
    </row>
    <row r="970" customFormat="false" ht="15" hidden="true" customHeight="true" outlineLevel="0" collapsed="false">
      <c r="A970" s="142" t="str">
        <f aca="false">IF(B970="","","TR"&amp;TEXT(ROW()-1,"000"))</f>
        <v/>
      </c>
      <c r="E970" s="130" t="str">
        <f aca="false">IF($O970="✓","✓",IF(ISNUMBER($O970),TEXT($O970,"yyyy-mm-dd"),IF($A970="","",IF(SUMPRODUCT(('Formation Initiale'!$A$2:$A$999=$A970)*('Formation Initiale'!$R$2:$R$999="Terminé"))&gt;0,"✓",IF(SUMPRODUCT(MAX(('Formation Initiale'!$A$2:$A$999=$A970)*'Formation Initiale'!$G$2:$G$999))&gt;0,TEXT(SUMPRODUCT(MAX(('Formation Initiale'!$A$2:$A$999=$A970)*'Formation Initiale'!$G$2:$G$999)),"yyyy-mm-dd"),"")))))</f>
        <v/>
      </c>
      <c r="F970" s="131" t="str">
        <f aca="false">IF($P970="✓","✓",IF(ISNUMBER($P970),TEXT($P970,"yyyy-mm-dd"),IF($A970="","",IF($D970="Lisbonne","",IF(SUMPRODUCT(('Formation Initiale'!$A$2:$A$999=$A970)*('Formation Initiale'!$R$2:$R$999="Terminé"))&gt;0,"✓",IF(SUMPRODUCT(MAX(('Formation Initiale'!$A$2:$A$999=$A970)*'Formation Initiale'!$G$2:$G$999))&gt;0,TEXT(SUMPRODUCT(MAX(('Formation Initiale'!$A$2:$A$999=$A970)*'Formation Initiale'!$G$2:$G$999)),"yyyy-mm-dd"),""))))))</f>
        <v/>
      </c>
      <c r="G970" s="131" t="str">
        <f aca="false">IF($Q970="✓","✓",IF(ISNUMBER($Q970),TEXT($Q970,"yyyy-mm-dd"),IF($A970="","",IF(SUMPRODUCT(('Agences &amp; Après-vente'!$A$2:$A$1000=$A970)*(('Agences &amp; Après-vente'!$D$2:$D$1000="Agences")+('Agences &amp; Après-vente'!$D$2:$D$1000="Agences et Après-vente"))*('Agences &amp; Après-vente'!$I$2:$I$1000="DONE"))&gt;0,"✓",IF(SUMPRODUCT(MAX(('Agences &amp; Après-vente'!$A$2:$A$1000=$A970)*(('Agences &amp; Après-vente'!$D$2:$D$1000="Agences")+('Agences &amp; Après-vente'!$D$2:$D$1000="Agences et Après-vente"))*'Agences &amp; Après-vente'!$E$2:$E$1000))&gt;0,TEXT(SUMPRODUCT(MAX(('Agences &amp; Après-vente'!$A$2:$A$1000=$A970)*(('Agences &amp; Après-vente'!$D$2:$D$1000="Agences")+('Agences &amp; Après-vente'!$D$2:$D$1000="Agences et Après-vente"))*'Agences &amp; Après-vente'!$E$2:$E$1000)),"yyyy-mm-dd"),"")))))</f>
        <v/>
      </c>
      <c r="H970" s="131" t="str">
        <f aca="false">IF($R970="✓","✓",IF(ISNUMBER($R970),TEXT($R970,"yyyy-mm-dd"),IF($A970="","",IF($D970="Lisbonne","",IF(SUMPRODUCT(('Agences &amp; Après-vente'!$A$2:$A$1000=$A970)*(('Agences &amp; Après-vente'!$D$2:$D$1000="Agences")+('Agences &amp; Après-vente'!$D$2:$D$1000="Agences et Après-vente"))*('Agences &amp; Après-vente'!$I$2:$I$1000="DONE"))&gt;0,"✓",IF(SUMPRODUCT(MAX(('Agences &amp; Après-vente'!$A$2:$A$1000=$A970)*(('Agences &amp; Après-vente'!$D$2:$D$1000="Agences")+('Agences &amp; Après-vente'!$D$2:$D$1000="Agences et Après-vente"))*'Agences &amp; Après-vente'!$E$2:$E$1000))&gt;0,TEXT(SUMPRODUCT(MAX(('Agences &amp; Après-vente'!$A$2:$A$1000=$A970)*(('Agences &amp; Après-vente'!$D$2:$D$1000="Agences")+('Agences &amp; Après-vente'!$D$2:$D$1000="Agences et Après-vente"))*'Agences &amp; Après-vente'!$E$2:$E$1000)),"yyyy-mm-dd"),""))))))</f>
        <v/>
      </c>
      <c r="I970" s="131" t="str">
        <f aca="false">IF($S970="✓","✓",IF(ISNUMBER($S970),TEXT($S970,"yyyy-mm-dd"),IF($A970="","",IF(SUMPRODUCT(('Agences &amp; Après-vente'!$A$2:$A$1000=$A970)*(('Agences &amp; Après-vente'!$D$2:$D$1000="Après-vente")+('Agences &amp; Après-vente'!$D$2:$D$1000="Agences et Après-vente"))*('Agences &amp; Après-vente'!$I$2:$I$1000="DONE"))&gt;0,"✓",IF(SUMPRODUCT(MAX(('Agences &amp; Après-vente'!$A$2:$A$1000=$A970)*(('Agences &amp; Après-vente'!$D$2:$D$1000="Après-vente")+('Agences &amp; Après-vente'!$D$2:$D$1000="Agences et Après-vente"))*'Agences &amp; Après-vente'!$E$2:$E$1000))&gt;0,TEXT(SUMPRODUCT(MAX(('Agences &amp; Après-vente'!$A$2:$A$1000=$A970)*(('Agences &amp; Après-vente'!$D$2:$D$1000="Après-vente")+('Agences &amp; Après-vente'!$D$2:$D$1000="Agences et Après-vente"))*'Agences &amp; Après-vente'!$E$2:$E$1000)),"yyyy-mm-dd"),"")))))</f>
        <v/>
      </c>
      <c r="J970" s="131" t="str">
        <f aca="false">IF($T970="✓","✓",IF(ISNUMBER($T970),TEXT($T970,"yyyy-mm-dd"),IF($A970="","",IF($D970="Lisbonne","",IF(SUMPRODUCT(('Agences &amp; Après-vente'!$A$2:$A$1000=$A970)*(('Agences &amp; Après-vente'!$D$2:$D$1000="Après-vente")+('Agences &amp; Après-vente'!$D$2:$D$1000="Agences et Après-vente"))*('Agences &amp; Après-vente'!$I$2:$I$1000="DONE"))&gt;0,"✓",IF(SUMPRODUCT(MAX(('Agences &amp; Après-vente'!$A$2:$A$1000=$A970)*(('Agences &amp; Après-vente'!$D$2:$D$1000="Après-vente")+('Agences &amp; Après-vente'!$D$2:$D$1000="Agences et Après-vente"))*'Agences &amp; Après-vente'!$E$2:$E$1000))&gt;0,TEXT(SUMPRODUCT(MAX(('Agences &amp; Après-vente'!$A$2:$A$1000=$A970)*(('Agences &amp; Après-vente'!$D$2:$D$1000="Après-vente")+('Agences &amp; Après-vente'!$D$2:$D$1000="Agences et Après-vente"))*'Agences &amp; Après-vente'!$E$2:$E$1000)),"yyyy-mm-dd"),""))))))</f>
        <v/>
      </c>
      <c r="K970" s="131" t="str">
        <f aca="false">IF($U970="✓","✓",IF(ISNUMBER($U970),TEXT($U970,"yyyy-mm-dd"),IF($D970="Lisbonne","",IF($A970="","",IF(SUMPRODUCT((Evermont!$A$2:$A$1000=$A970)*(Evermont!$Q$2:$Q$1000="Terminé"))&gt;0,"✓",IF(SUMPRODUCT(MAX((Evermont!$A$2:$A$1000=$A970)*Evermont!$F$2:$F$1000))&gt;0,TEXT(SUMPRODUCT(MAX((Evermont!$A$2:$A$1000=$A970)*Evermont!$F$2:$F$1000)),"yyyy-mm-dd"),""))))))</f>
        <v/>
      </c>
      <c r="L970" s="131" t="str">
        <f aca="false">IF($A970="","",COUNTIF(E970:K970,"✓"))</f>
        <v/>
      </c>
      <c r="M970" s="131" t="str">
        <f aca="false">IF(B970="","","Active")</f>
        <v/>
      </c>
      <c r="W970" s="120" t="str">
        <f aca="false">IF($A970="","",IF($X970&lt;&gt;"",$X970,IFERROR(INDEX('Formation Initiale'!$B$2:$B$999,MATCH($A970,'Formation Initiale'!$A$2:$A$999,0)),"Général")))</f>
        <v/>
      </c>
    </row>
    <row r="971" customFormat="false" ht="15" hidden="true" customHeight="true" outlineLevel="0" collapsed="false">
      <c r="A971" s="142" t="str">
        <f aca="false">IF(B971="","","TR"&amp;TEXT(ROW()-1,"000"))</f>
        <v/>
      </c>
      <c r="E971" s="130" t="str">
        <f aca="false">IF($O971="✓","✓",IF(ISNUMBER($O971),TEXT($O971,"yyyy-mm-dd"),IF($A971="","",IF(SUMPRODUCT(('Formation Initiale'!$A$2:$A$999=$A971)*('Formation Initiale'!$R$2:$R$999="Terminé"))&gt;0,"✓",IF(SUMPRODUCT(MAX(('Formation Initiale'!$A$2:$A$999=$A971)*'Formation Initiale'!$G$2:$G$999))&gt;0,TEXT(SUMPRODUCT(MAX(('Formation Initiale'!$A$2:$A$999=$A971)*'Formation Initiale'!$G$2:$G$999)),"yyyy-mm-dd"),"")))))</f>
        <v/>
      </c>
      <c r="F971" s="131" t="str">
        <f aca="false">IF($P971="✓","✓",IF(ISNUMBER($P971),TEXT($P971,"yyyy-mm-dd"),IF($A971="","",IF($D971="Lisbonne","",IF(SUMPRODUCT(('Formation Initiale'!$A$2:$A$999=$A971)*('Formation Initiale'!$R$2:$R$999="Terminé"))&gt;0,"✓",IF(SUMPRODUCT(MAX(('Formation Initiale'!$A$2:$A$999=$A971)*'Formation Initiale'!$G$2:$G$999))&gt;0,TEXT(SUMPRODUCT(MAX(('Formation Initiale'!$A$2:$A$999=$A971)*'Formation Initiale'!$G$2:$G$999)),"yyyy-mm-dd"),""))))))</f>
        <v/>
      </c>
      <c r="G971" s="131" t="str">
        <f aca="false">IF($Q971="✓","✓",IF(ISNUMBER($Q971),TEXT($Q971,"yyyy-mm-dd"),IF($A971="","",IF(SUMPRODUCT(('Agences &amp; Après-vente'!$A$2:$A$1000=$A971)*(('Agences &amp; Après-vente'!$D$2:$D$1000="Agences")+('Agences &amp; Après-vente'!$D$2:$D$1000="Agences et Après-vente"))*('Agences &amp; Après-vente'!$I$2:$I$1000="DONE"))&gt;0,"✓",IF(SUMPRODUCT(MAX(('Agences &amp; Après-vente'!$A$2:$A$1000=$A971)*(('Agences &amp; Après-vente'!$D$2:$D$1000="Agences")+('Agences &amp; Après-vente'!$D$2:$D$1000="Agences et Après-vente"))*'Agences &amp; Après-vente'!$E$2:$E$1000))&gt;0,TEXT(SUMPRODUCT(MAX(('Agences &amp; Après-vente'!$A$2:$A$1000=$A971)*(('Agences &amp; Après-vente'!$D$2:$D$1000="Agences")+('Agences &amp; Après-vente'!$D$2:$D$1000="Agences et Après-vente"))*'Agences &amp; Après-vente'!$E$2:$E$1000)),"yyyy-mm-dd"),"")))))</f>
        <v/>
      </c>
      <c r="H971" s="131" t="str">
        <f aca="false">IF($R971="✓","✓",IF(ISNUMBER($R971),TEXT($R971,"yyyy-mm-dd"),IF($A971="","",IF($D971="Lisbonne","",IF(SUMPRODUCT(('Agences &amp; Après-vente'!$A$2:$A$1000=$A971)*(('Agences &amp; Après-vente'!$D$2:$D$1000="Agences")+('Agences &amp; Après-vente'!$D$2:$D$1000="Agences et Après-vente"))*('Agences &amp; Après-vente'!$I$2:$I$1000="DONE"))&gt;0,"✓",IF(SUMPRODUCT(MAX(('Agences &amp; Après-vente'!$A$2:$A$1000=$A971)*(('Agences &amp; Après-vente'!$D$2:$D$1000="Agences")+('Agences &amp; Après-vente'!$D$2:$D$1000="Agences et Après-vente"))*'Agences &amp; Après-vente'!$E$2:$E$1000))&gt;0,TEXT(SUMPRODUCT(MAX(('Agences &amp; Après-vente'!$A$2:$A$1000=$A971)*(('Agences &amp; Après-vente'!$D$2:$D$1000="Agences")+('Agences &amp; Après-vente'!$D$2:$D$1000="Agences et Après-vente"))*'Agences &amp; Après-vente'!$E$2:$E$1000)),"yyyy-mm-dd"),""))))))</f>
        <v/>
      </c>
      <c r="I971" s="131" t="str">
        <f aca="false">IF($S971="✓","✓",IF(ISNUMBER($S971),TEXT($S971,"yyyy-mm-dd"),IF($A971="","",IF(SUMPRODUCT(('Agences &amp; Après-vente'!$A$2:$A$1000=$A971)*(('Agences &amp; Après-vente'!$D$2:$D$1000="Après-vente")+('Agences &amp; Après-vente'!$D$2:$D$1000="Agences et Après-vente"))*('Agences &amp; Après-vente'!$I$2:$I$1000="DONE"))&gt;0,"✓",IF(SUMPRODUCT(MAX(('Agences &amp; Après-vente'!$A$2:$A$1000=$A971)*(('Agences &amp; Après-vente'!$D$2:$D$1000="Après-vente")+('Agences &amp; Après-vente'!$D$2:$D$1000="Agences et Après-vente"))*'Agences &amp; Après-vente'!$E$2:$E$1000))&gt;0,TEXT(SUMPRODUCT(MAX(('Agences &amp; Après-vente'!$A$2:$A$1000=$A971)*(('Agences &amp; Après-vente'!$D$2:$D$1000="Après-vente")+('Agences &amp; Après-vente'!$D$2:$D$1000="Agences et Après-vente"))*'Agences &amp; Après-vente'!$E$2:$E$1000)),"yyyy-mm-dd"),"")))))</f>
        <v/>
      </c>
      <c r="J971" s="131" t="str">
        <f aca="false">IF($T971="✓","✓",IF(ISNUMBER($T971),TEXT($T971,"yyyy-mm-dd"),IF($A971="","",IF($D971="Lisbonne","",IF(SUMPRODUCT(('Agences &amp; Après-vente'!$A$2:$A$1000=$A971)*(('Agences &amp; Après-vente'!$D$2:$D$1000="Après-vente")+('Agences &amp; Après-vente'!$D$2:$D$1000="Agences et Après-vente"))*('Agences &amp; Après-vente'!$I$2:$I$1000="DONE"))&gt;0,"✓",IF(SUMPRODUCT(MAX(('Agences &amp; Après-vente'!$A$2:$A$1000=$A971)*(('Agences &amp; Après-vente'!$D$2:$D$1000="Après-vente")+('Agences &amp; Après-vente'!$D$2:$D$1000="Agences et Après-vente"))*'Agences &amp; Après-vente'!$E$2:$E$1000))&gt;0,TEXT(SUMPRODUCT(MAX(('Agences &amp; Après-vente'!$A$2:$A$1000=$A971)*(('Agences &amp; Après-vente'!$D$2:$D$1000="Après-vente")+('Agences &amp; Après-vente'!$D$2:$D$1000="Agences et Après-vente"))*'Agences &amp; Après-vente'!$E$2:$E$1000)),"yyyy-mm-dd"),""))))))</f>
        <v/>
      </c>
      <c r="K971" s="131" t="str">
        <f aca="false">IF($U971="✓","✓",IF(ISNUMBER($U971),TEXT($U971,"yyyy-mm-dd"),IF($D971="Lisbonne","",IF($A971="","",IF(SUMPRODUCT((Evermont!$A$2:$A$1000=$A971)*(Evermont!$Q$2:$Q$1000="Terminé"))&gt;0,"✓",IF(SUMPRODUCT(MAX((Evermont!$A$2:$A$1000=$A971)*Evermont!$F$2:$F$1000))&gt;0,TEXT(SUMPRODUCT(MAX((Evermont!$A$2:$A$1000=$A971)*Evermont!$F$2:$F$1000)),"yyyy-mm-dd"),""))))))</f>
        <v/>
      </c>
      <c r="L971" s="131" t="str">
        <f aca="false">IF($A971="","",COUNTIF(E971:K971,"✓"))</f>
        <v/>
      </c>
      <c r="M971" s="131" t="str">
        <f aca="false">IF(B971="","","Active")</f>
        <v/>
      </c>
      <c r="W971" s="120" t="str">
        <f aca="false">IF($A971="","",IF($X971&lt;&gt;"",$X971,IFERROR(INDEX('Formation Initiale'!$B$2:$B$999,MATCH($A971,'Formation Initiale'!$A$2:$A$999,0)),"Général")))</f>
        <v/>
      </c>
    </row>
    <row r="972" customFormat="false" ht="15" hidden="true" customHeight="true" outlineLevel="0" collapsed="false">
      <c r="A972" s="142" t="str">
        <f aca="false">IF(B972="","","TR"&amp;TEXT(ROW()-1,"000"))</f>
        <v/>
      </c>
      <c r="E972" s="130" t="str">
        <f aca="false">IF($O972="✓","✓",IF(ISNUMBER($O972),TEXT($O972,"yyyy-mm-dd"),IF($A972="","",IF(SUMPRODUCT(('Formation Initiale'!$A$2:$A$999=$A972)*('Formation Initiale'!$R$2:$R$999="Terminé"))&gt;0,"✓",IF(SUMPRODUCT(MAX(('Formation Initiale'!$A$2:$A$999=$A972)*'Formation Initiale'!$G$2:$G$999))&gt;0,TEXT(SUMPRODUCT(MAX(('Formation Initiale'!$A$2:$A$999=$A972)*'Formation Initiale'!$G$2:$G$999)),"yyyy-mm-dd"),"")))))</f>
        <v/>
      </c>
      <c r="F972" s="131" t="str">
        <f aca="false">IF($P972="✓","✓",IF(ISNUMBER($P972),TEXT($P972,"yyyy-mm-dd"),IF($A972="","",IF($D972="Lisbonne","",IF(SUMPRODUCT(('Formation Initiale'!$A$2:$A$999=$A972)*('Formation Initiale'!$R$2:$R$999="Terminé"))&gt;0,"✓",IF(SUMPRODUCT(MAX(('Formation Initiale'!$A$2:$A$999=$A972)*'Formation Initiale'!$G$2:$G$999))&gt;0,TEXT(SUMPRODUCT(MAX(('Formation Initiale'!$A$2:$A$999=$A972)*'Formation Initiale'!$G$2:$G$999)),"yyyy-mm-dd"),""))))))</f>
        <v/>
      </c>
      <c r="G972" s="131" t="str">
        <f aca="false">IF($Q972="✓","✓",IF(ISNUMBER($Q972),TEXT($Q972,"yyyy-mm-dd"),IF($A972="","",IF(SUMPRODUCT(('Agences &amp; Après-vente'!$A$2:$A$1000=$A972)*(('Agences &amp; Après-vente'!$D$2:$D$1000="Agences")+('Agences &amp; Après-vente'!$D$2:$D$1000="Agences et Après-vente"))*('Agences &amp; Après-vente'!$I$2:$I$1000="DONE"))&gt;0,"✓",IF(SUMPRODUCT(MAX(('Agences &amp; Après-vente'!$A$2:$A$1000=$A972)*(('Agences &amp; Après-vente'!$D$2:$D$1000="Agences")+('Agences &amp; Après-vente'!$D$2:$D$1000="Agences et Après-vente"))*'Agences &amp; Après-vente'!$E$2:$E$1000))&gt;0,TEXT(SUMPRODUCT(MAX(('Agences &amp; Après-vente'!$A$2:$A$1000=$A972)*(('Agences &amp; Après-vente'!$D$2:$D$1000="Agences")+('Agences &amp; Après-vente'!$D$2:$D$1000="Agences et Après-vente"))*'Agences &amp; Après-vente'!$E$2:$E$1000)),"yyyy-mm-dd"),"")))))</f>
        <v/>
      </c>
      <c r="H972" s="131" t="str">
        <f aca="false">IF($R972="✓","✓",IF(ISNUMBER($R972),TEXT($R972,"yyyy-mm-dd"),IF($A972="","",IF($D972="Lisbonne","",IF(SUMPRODUCT(('Agences &amp; Après-vente'!$A$2:$A$1000=$A972)*(('Agences &amp; Après-vente'!$D$2:$D$1000="Agences")+('Agences &amp; Après-vente'!$D$2:$D$1000="Agences et Après-vente"))*('Agences &amp; Après-vente'!$I$2:$I$1000="DONE"))&gt;0,"✓",IF(SUMPRODUCT(MAX(('Agences &amp; Après-vente'!$A$2:$A$1000=$A972)*(('Agences &amp; Après-vente'!$D$2:$D$1000="Agences")+('Agences &amp; Après-vente'!$D$2:$D$1000="Agences et Après-vente"))*'Agences &amp; Après-vente'!$E$2:$E$1000))&gt;0,TEXT(SUMPRODUCT(MAX(('Agences &amp; Après-vente'!$A$2:$A$1000=$A972)*(('Agences &amp; Après-vente'!$D$2:$D$1000="Agences")+('Agences &amp; Après-vente'!$D$2:$D$1000="Agences et Après-vente"))*'Agences &amp; Après-vente'!$E$2:$E$1000)),"yyyy-mm-dd"),""))))))</f>
        <v/>
      </c>
      <c r="I972" s="131" t="str">
        <f aca="false">IF($S972="✓","✓",IF(ISNUMBER($S972),TEXT($S972,"yyyy-mm-dd"),IF($A972="","",IF(SUMPRODUCT(('Agences &amp; Après-vente'!$A$2:$A$1000=$A972)*(('Agences &amp; Après-vente'!$D$2:$D$1000="Après-vente")+('Agences &amp; Après-vente'!$D$2:$D$1000="Agences et Après-vente"))*('Agences &amp; Après-vente'!$I$2:$I$1000="DONE"))&gt;0,"✓",IF(SUMPRODUCT(MAX(('Agences &amp; Après-vente'!$A$2:$A$1000=$A972)*(('Agences &amp; Après-vente'!$D$2:$D$1000="Après-vente")+('Agences &amp; Après-vente'!$D$2:$D$1000="Agences et Après-vente"))*'Agences &amp; Après-vente'!$E$2:$E$1000))&gt;0,TEXT(SUMPRODUCT(MAX(('Agences &amp; Après-vente'!$A$2:$A$1000=$A972)*(('Agences &amp; Après-vente'!$D$2:$D$1000="Après-vente")+('Agences &amp; Après-vente'!$D$2:$D$1000="Agences et Après-vente"))*'Agences &amp; Après-vente'!$E$2:$E$1000)),"yyyy-mm-dd"),"")))))</f>
        <v/>
      </c>
      <c r="J972" s="131" t="str">
        <f aca="false">IF($T972="✓","✓",IF(ISNUMBER($T972),TEXT($T972,"yyyy-mm-dd"),IF($A972="","",IF($D972="Lisbonne","",IF(SUMPRODUCT(('Agences &amp; Après-vente'!$A$2:$A$1000=$A972)*(('Agences &amp; Après-vente'!$D$2:$D$1000="Après-vente")+('Agences &amp; Après-vente'!$D$2:$D$1000="Agences et Après-vente"))*('Agences &amp; Après-vente'!$I$2:$I$1000="DONE"))&gt;0,"✓",IF(SUMPRODUCT(MAX(('Agences &amp; Après-vente'!$A$2:$A$1000=$A972)*(('Agences &amp; Après-vente'!$D$2:$D$1000="Après-vente")+('Agences &amp; Après-vente'!$D$2:$D$1000="Agences et Après-vente"))*'Agences &amp; Après-vente'!$E$2:$E$1000))&gt;0,TEXT(SUMPRODUCT(MAX(('Agences &amp; Après-vente'!$A$2:$A$1000=$A972)*(('Agences &amp; Après-vente'!$D$2:$D$1000="Après-vente")+('Agences &amp; Après-vente'!$D$2:$D$1000="Agences et Après-vente"))*'Agences &amp; Après-vente'!$E$2:$E$1000)),"yyyy-mm-dd"),""))))))</f>
        <v/>
      </c>
      <c r="K972" s="131" t="str">
        <f aca="false">IF($U972="✓","✓",IF(ISNUMBER($U972),TEXT($U972,"yyyy-mm-dd"),IF($D972="Lisbonne","",IF($A972="","",IF(SUMPRODUCT((Evermont!$A$2:$A$1000=$A972)*(Evermont!$Q$2:$Q$1000="Terminé"))&gt;0,"✓",IF(SUMPRODUCT(MAX((Evermont!$A$2:$A$1000=$A972)*Evermont!$F$2:$F$1000))&gt;0,TEXT(SUMPRODUCT(MAX((Evermont!$A$2:$A$1000=$A972)*Evermont!$F$2:$F$1000)),"yyyy-mm-dd"),""))))))</f>
        <v/>
      </c>
      <c r="L972" s="131" t="str">
        <f aca="false">IF($A972="","",COUNTIF(E972:K972,"✓"))</f>
        <v/>
      </c>
      <c r="M972" s="131" t="str">
        <f aca="false">IF(B972="","","Active")</f>
        <v/>
      </c>
      <c r="W972" s="120" t="str">
        <f aca="false">IF($A972="","",IF($X972&lt;&gt;"",$X972,IFERROR(INDEX('Formation Initiale'!$B$2:$B$999,MATCH($A972,'Formation Initiale'!$A$2:$A$999,0)),"Général")))</f>
        <v/>
      </c>
    </row>
    <row r="973" customFormat="false" ht="15" hidden="true" customHeight="true" outlineLevel="0" collapsed="false">
      <c r="A973" s="142" t="str">
        <f aca="false">IF(B973="","","TR"&amp;TEXT(ROW()-1,"000"))</f>
        <v/>
      </c>
      <c r="E973" s="130" t="str">
        <f aca="false">IF($O973="✓","✓",IF(ISNUMBER($O973),TEXT($O973,"yyyy-mm-dd"),IF($A973="","",IF(SUMPRODUCT(('Formation Initiale'!$A$2:$A$999=$A973)*('Formation Initiale'!$R$2:$R$999="Terminé"))&gt;0,"✓",IF(SUMPRODUCT(MAX(('Formation Initiale'!$A$2:$A$999=$A973)*'Formation Initiale'!$G$2:$G$999))&gt;0,TEXT(SUMPRODUCT(MAX(('Formation Initiale'!$A$2:$A$999=$A973)*'Formation Initiale'!$G$2:$G$999)),"yyyy-mm-dd"),"")))))</f>
        <v/>
      </c>
      <c r="F973" s="131" t="str">
        <f aca="false">IF($P973="✓","✓",IF(ISNUMBER($P973),TEXT($P973,"yyyy-mm-dd"),IF($A973="","",IF($D973="Lisbonne","",IF(SUMPRODUCT(('Formation Initiale'!$A$2:$A$999=$A973)*('Formation Initiale'!$R$2:$R$999="Terminé"))&gt;0,"✓",IF(SUMPRODUCT(MAX(('Formation Initiale'!$A$2:$A$999=$A973)*'Formation Initiale'!$G$2:$G$999))&gt;0,TEXT(SUMPRODUCT(MAX(('Formation Initiale'!$A$2:$A$999=$A973)*'Formation Initiale'!$G$2:$G$999)),"yyyy-mm-dd"),""))))))</f>
        <v/>
      </c>
      <c r="G973" s="131" t="str">
        <f aca="false">IF($Q973="✓","✓",IF(ISNUMBER($Q973),TEXT($Q973,"yyyy-mm-dd"),IF($A973="","",IF(SUMPRODUCT(('Agences &amp; Après-vente'!$A$2:$A$1000=$A973)*(('Agences &amp; Après-vente'!$D$2:$D$1000="Agences")+('Agences &amp; Après-vente'!$D$2:$D$1000="Agences et Après-vente"))*('Agences &amp; Après-vente'!$I$2:$I$1000="DONE"))&gt;0,"✓",IF(SUMPRODUCT(MAX(('Agences &amp; Après-vente'!$A$2:$A$1000=$A973)*(('Agences &amp; Après-vente'!$D$2:$D$1000="Agences")+('Agences &amp; Après-vente'!$D$2:$D$1000="Agences et Après-vente"))*'Agences &amp; Après-vente'!$E$2:$E$1000))&gt;0,TEXT(SUMPRODUCT(MAX(('Agences &amp; Après-vente'!$A$2:$A$1000=$A973)*(('Agences &amp; Après-vente'!$D$2:$D$1000="Agences")+('Agences &amp; Après-vente'!$D$2:$D$1000="Agences et Après-vente"))*'Agences &amp; Après-vente'!$E$2:$E$1000)),"yyyy-mm-dd"),"")))))</f>
        <v/>
      </c>
      <c r="H973" s="131" t="str">
        <f aca="false">IF($R973="✓","✓",IF(ISNUMBER($R973),TEXT($R973,"yyyy-mm-dd"),IF($A973="","",IF($D973="Lisbonne","",IF(SUMPRODUCT(('Agences &amp; Après-vente'!$A$2:$A$1000=$A973)*(('Agences &amp; Après-vente'!$D$2:$D$1000="Agences")+('Agences &amp; Après-vente'!$D$2:$D$1000="Agences et Après-vente"))*('Agences &amp; Après-vente'!$I$2:$I$1000="DONE"))&gt;0,"✓",IF(SUMPRODUCT(MAX(('Agences &amp; Après-vente'!$A$2:$A$1000=$A973)*(('Agences &amp; Après-vente'!$D$2:$D$1000="Agences")+('Agences &amp; Après-vente'!$D$2:$D$1000="Agences et Après-vente"))*'Agences &amp; Après-vente'!$E$2:$E$1000))&gt;0,TEXT(SUMPRODUCT(MAX(('Agences &amp; Après-vente'!$A$2:$A$1000=$A973)*(('Agences &amp; Après-vente'!$D$2:$D$1000="Agences")+('Agences &amp; Après-vente'!$D$2:$D$1000="Agences et Après-vente"))*'Agences &amp; Après-vente'!$E$2:$E$1000)),"yyyy-mm-dd"),""))))))</f>
        <v/>
      </c>
      <c r="I973" s="131" t="str">
        <f aca="false">IF($S973="✓","✓",IF(ISNUMBER($S973),TEXT($S973,"yyyy-mm-dd"),IF($A973="","",IF(SUMPRODUCT(('Agences &amp; Après-vente'!$A$2:$A$1000=$A973)*(('Agences &amp; Après-vente'!$D$2:$D$1000="Après-vente")+('Agences &amp; Après-vente'!$D$2:$D$1000="Agences et Après-vente"))*('Agences &amp; Après-vente'!$I$2:$I$1000="DONE"))&gt;0,"✓",IF(SUMPRODUCT(MAX(('Agences &amp; Après-vente'!$A$2:$A$1000=$A973)*(('Agences &amp; Après-vente'!$D$2:$D$1000="Après-vente")+('Agences &amp; Après-vente'!$D$2:$D$1000="Agences et Après-vente"))*'Agences &amp; Après-vente'!$E$2:$E$1000))&gt;0,TEXT(SUMPRODUCT(MAX(('Agences &amp; Après-vente'!$A$2:$A$1000=$A973)*(('Agences &amp; Après-vente'!$D$2:$D$1000="Après-vente")+('Agences &amp; Après-vente'!$D$2:$D$1000="Agences et Après-vente"))*'Agences &amp; Après-vente'!$E$2:$E$1000)),"yyyy-mm-dd"),"")))))</f>
        <v/>
      </c>
      <c r="J973" s="131" t="str">
        <f aca="false">IF($T973="✓","✓",IF(ISNUMBER($T973),TEXT($T973,"yyyy-mm-dd"),IF($A973="","",IF($D973="Lisbonne","",IF(SUMPRODUCT(('Agences &amp; Après-vente'!$A$2:$A$1000=$A973)*(('Agences &amp; Après-vente'!$D$2:$D$1000="Après-vente")+('Agences &amp; Après-vente'!$D$2:$D$1000="Agences et Après-vente"))*('Agences &amp; Après-vente'!$I$2:$I$1000="DONE"))&gt;0,"✓",IF(SUMPRODUCT(MAX(('Agences &amp; Après-vente'!$A$2:$A$1000=$A973)*(('Agences &amp; Après-vente'!$D$2:$D$1000="Après-vente")+('Agences &amp; Après-vente'!$D$2:$D$1000="Agences et Après-vente"))*'Agences &amp; Après-vente'!$E$2:$E$1000))&gt;0,TEXT(SUMPRODUCT(MAX(('Agences &amp; Après-vente'!$A$2:$A$1000=$A973)*(('Agences &amp; Après-vente'!$D$2:$D$1000="Après-vente")+('Agences &amp; Après-vente'!$D$2:$D$1000="Agences et Après-vente"))*'Agences &amp; Après-vente'!$E$2:$E$1000)),"yyyy-mm-dd"),""))))))</f>
        <v/>
      </c>
      <c r="K973" s="131" t="str">
        <f aca="false">IF($U973="✓","✓",IF(ISNUMBER($U973),TEXT($U973,"yyyy-mm-dd"),IF($D973="Lisbonne","",IF($A973="","",IF(SUMPRODUCT((Evermont!$A$2:$A$1000=$A973)*(Evermont!$Q$2:$Q$1000="Terminé"))&gt;0,"✓",IF(SUMPRODUCT(MAX((Evermont!$A$2:$A$1000=$A973)*Evermont!$F$2:$F$1000))&gt;0,TEXT(SUMPRODUCT(MAX((Evermont!$A$2:$A$1000=$A973)*Evermont!$F$2:$F$1000)),"yyyy-mm-dd"),""))))))</f>
        <v/>
      </c>
      <c r="L973" s="131" t="str">
        <f aca="false">IF($A973="","",COUNTIF(E973:K973,"✓"))</f>
        <v/>
      </c>
      <c r="M973" s="131" t="str">
        <f aca="false">IF(B973="","","Active")</f>
        <v/>
      </c>
      <c r="W973" s="120" t="str">
        <f aca="false">IF($A973="","",IF($X973&lt;&gt;"",$X973,IFERROR(INDEX('Formation Initiale'!$B$2:$B$999,MATCH($A973,'Formation Initiale'!$A$2:$A$999,0)),"Général")))</f>
        <v/>
      </c>
    </row>
    <row r="974" customFormat="false" ht="15" hidden="true" customHeight="true" outlineLevel="0" collapsed="false">
      <c r="A974" s="142" t="str">
        <f aca="false">IF(B974="","","TR"&amp;TEXT(ROW()-1,"000"))</f>
        <v/>
      </c>
      <c r="E974" s="130" t="str">
        <f aca="false">IF($O974="✓","✓",IF(ISNUMBER($O974),TEXT($O974,"yyyy-mm-dd"),IF($A974="","",IF(SUMPRODUCT(('Formation Initiale'!$A$2:$A$999=$A974)*('Formation Initiale'!$R$2:$R$999="Terminé"))&gt;0,"✓",IF(SUMPRODUCT(MAX(('Formation Initiale'!$A$2:$A$999=$A974)*'Formation Initiale'!$G$2:$G$999))&gt;0,TEXT(SUMPRODUCT(MAX(('Formation Initiale'!$A$2:$A$999=$A974)*'Formation Initiale'!$G$2:$G$999)),"yyyy-mm-dd"),"")))))</f>
        <v/>
      </c>
      <c r="F974" s="131" t="str">
        <f aca="false">IF($P974="✓","✓",IF(ISNUMBER($P974),TEXT($P974,"yyyy-mm-dd"),IF($A974="","",IF($D974="Lisbonne","",IF(SUMPRODUCT(('Formation Initiale'!$A$2:$A$999=$A974)*('Formation Initiale'!$R$2:$R$999="Terminé"))&gt;0,"✓",IF(SUMPRODUCT(MAX(('Formation Initiale'!$A$2:$A$999=$A974)*'Formation Initiale'!$G$2:$G$999))&gt;0,TEXT(SUMPRODUCT(MAX(('Formation Initiale'!$A$2:$A$999=$A974)*'Formation Initiale'!$G$2:$G$999)),"yyyy-mm-dd"),""))))))</f>
        <v/>
      </c>
      <c r="G974" s="131" t="str">
        <f aca="false">IF($Q974="✓","✓",IF(ISNUMBER($Q974),TEXT($Q974,"yyyy-mm-dd"),IF($A974="","",IF(SUMPRODUCT(('Agences &amp; Après-vente'!$A$2:$A$1000=$A974)*(('Agences &amp; Après-vente'!$D$2:$D$1000="Agences")+('Agences &amp; Après-vente'!$D$2:$D$1000="Agences et Après-vente"))*('Agences &amp; Après-vente'!$I$2:$I$1000="DONE"))&gt;0,"✓",IF(SUMPRODUCT(MAX(('Agences &amp; Après-vente'!$A$2:$A$1000=$A974)*(('Agences &amp; Après-vente'!$D$2:$D$1000="Agences")+('Agences &amp; Après-vente'!$D$2:$D$1000="Agences et Après-vente"))*'Agences &amp; Après-vente'!$E$2:$E$1000))&gt;0,TEXT(SUMPRODUCT(MAX(('Agences &amp; Après-vente'!$A$2:$A$1000=$A974)*(('Agences &amp; Après-vente'!$D$2:$D$1000="Agences")+('Agences &amp; Après-vente'!$D$2:$D$1000="Agences et Après-vente"))*'Agences &amp; Après-vente'!$E$2:$E$1000)),"yyyy-mm-dd"),"")))))</f>
        <v/>
      </c>
      <c r="H974" s="131" t="str">
        <f aca="false">IF($R974="✓","✓",IF(ISNUMBER($R974),TEXT($R974,"yyyy-mm-dd"),IF($A974="","",IF($D974="Lisbonne","",IF(SUMPRODUCT(('Agences &amp; Après-vente'!$A$2:$A$1000=$A974)*(('Agences &amp; Après-vente'!$D$2:$D$1000="Agences")+('Agences &amp; Après-vente'!$D$2:$D$1000="Agences et Après-vente"))*('Agences &amp; Après-vente'!$I$2:$I$1000="DONE"))&gt;0,"✓",IF(SUMPRODUCT(MAX(('Agences &amp; Après-vente'!$A$2:$A$1000=$A974)*(('Agences &amp; Après-vente'!$D$2:$D$1000="Agences")+('Agences &amp; Après-vente'!$D$2:$D$1000="Agences et Après-vente"))*'Agences &amp; Après-vente'!$E$2:$E$1000))&gt;0,TEXT(SUMPRODUCT(MAX(('Agences &amp; Après-vente'!$A$2:$A$1000=$A974)*(('Agences &amp; Après-vente'!$D$2:$D$1000="Agences")+('Agences &amp; Après-vente'!$D$2:$D$1000="Agences et Après-vente"))*'Agences &amp; Après-vente'!$E$2:$E$1000)),"yyyy-mm-dd"),""))))))</f>
        <v/>
      </c>
      <c r="I974" s="131" t="str">
        <f aca="false">IF($S974="✓","✓",IF(ISNUMBER($S974),TEXT($S974,"yyyy-mm-dd"),IF($A974="","",IF(SUMPRODUCT(('Agences &amp; Après-vente'!$A$2:$A$1000=$A974)*(('Agences &amp; Après-vente'!$D$2:$D$1000="Après-vente")+('Agences &amp; Après-vente'!$D$2:$D$1000="Agences et Après-vente"))*('Agences &amp; Après-vente'!$I$2:$I$1000="DONE"))&gt;0,"✓",IF(SUMPRODUCT(MAX(('Agences &amp; Après-vente'!$A$2:$A$1000=$A974)*(('Agences &amp; Après-vente'!$D$2:$D$1000="Après-vente")+('Agences &amp; Après-vente'!$D$2:$D$1000="Agences et Après-vente"))*'Agences &amp; Après-vente'!$E$2:$E$1000))&gt;0,TEXT(SUMPRODUCT(MAX(('Agences &amp; Après-vente'!$A$2:$A$1000=$A974)*(('Agences &amp; Après-vente'!$D$2:$D$1000="Après-vente")+('Agences &amp; Après-vente'!$D$2:$D$1000="Agences et Après-vente"))*'Agences &amp; Après-vente'!$E$2:$E$1000)),"yyyy-mm-dd"),"")))))</f>
        <v/>
      </c>
      <c r="J974" s="131" t="str">
        <f aca="false">IF($T974="✓","✓",IF(ISNUMBER($T974),TEXT($T974,"yyyy-mm-dd"),IF($A974="","",IF($D974="Lisbonne","",IF(SUMPRODUCT(('Agences &amp; Après-vente'!$A$2:$A$1000=$A974)*(('Agences &amp; Après-vente'!$D$2:$D$1000="Après-vente")+('Agences &amp; Après-vente'!$D$2:$D$1000="Agences et Après-vente"))*('Agences &amp; Après-vente'!$I$2:$I$1000="DONE"))&gt;0,"✓",IF(SUMPRODUCT(MAX(('Agences &amp; Après-vente'!$A$2:$A$1000=$A974)*(('Agences &amp; Après-vente'!$D$2:$D$1000="Après-vente")+('Agences &amp; Après-vente'!$D$2:$D$1000="Agences et Après-vente"))*'Agences &amp; Après-vente'!$E$2:$E$1000))&gt;0,TEXT(SUMPRODUCT(MAX(('Agences &amp; Après-vente'!$A$2:$A$1000=$A974)*(('Agences &amp; Après-vente'!$D$2:$D$1000="Après-vente")+('Agences &amp; Après-vente'!$D$2:$D$1000="Agences et Après-vente"))*'Agences &amp; Après-vente'!$E$2:$E$1000)),"yyyy-mm-dd"),""))))))</f>
        <v/>
      </c>
      <c r="K974" s="131" t="str">
        <f aca="false">IF($U974="✓","✓",IF(ISNUMBER($U974),TEXT($U974,"yyyy-mm-dd"),IF($D974="Lisbonne","",IF($A974="","",IF(SUMPRODUCT((Evermont!$A$2:$A$1000=$A974)*(Evermont!$Q$2:$Q$1000="Terminé"))&gt;0,"✓",IF(SUMPRODUCT(MAX((Evermont!$A$2:$A$1000=$A974)*Evermont!$F$2:$F$1000))&gt;0,TEXT(SUMPRODUCT(MAX((Evermont!$A$2:$A$1000=$A974)*Evermont!$F$2:$F$1000)),"yyyy-mm-dd"),""))))))</f>
        <v/>
      </c>
      <c r="L974" s="131" t="str">
        <f aca="false">IF($A974="","",COUNTIF(E974:K974,"✓"))</f>
        <v/>
      </c>
      <c r="M974" s="131" t="str">
        <f aca="false">IF(B974="","","Active")</f>
        <v/>
      </c>
      <c r="W974" s="120" t="str">
        <f aca="false">IF($A974="","",IF($X974&lt;&gt;"",$X974,IFERROR(INDEX('Formation Initiale'!$B$2:$B$999,MATCH($A974,'Formation Initiale'!$A$2:$A$999,0)),"Général")))</f>
        <v/>
      </c>
    </row>
    <row r="975" customFormat="false" ht="15" hidden="true" customHeight="true" outlineLevel="0" collapsed="false">
      <c r="A975" s="142" t="str">
        <f aca="false">IF(B975="","","TR"&amp;TEXT(ROW()-1,"000"))</f>
        <v/>
      </c>
      <c r="E975" s="130" t="str">
        <f aca="false">IF($O975="✓","✓",IF(ISNUMBER($O975),TEXT($O975,"yyyy-mm-dd"),IF($A975="","",IF(SUMPRODUCT(('Formation Initiale'!$A$2:$A$999=$A975)*('Formation Initiale'!$R$2:$R$999="Terminé"))&gt;0,"✓",IF(SUMPRODUCT(MAX(('Formation Initiale'!$A$2:$A$999=$A975)*'Formation Initiale'!$G$2:$G$999))&gt;0,TEXT(SUMPRODUCT(MAX(('Formation Initiale'!$A$2:$A$999=$A975)*'Formation Initiale'!$G$2:$G$999)),"yyyy-mm-dd"),"")))))</f>
        <v/>
      </c>
      <c r="F975" s="131" t="str">
        <f aca="false">IF($P975="✓","✓",IF(ISNUMBER($P975),TEXT($P975,"yyyy-mm-dd"),IF($A975="","",IF($D975="Lisbonne","",IF(SUMPRODUCT(('Formation Initiale'!$A$2:$A$999=$A975)*('Formation Initiale'!$R$2:$R$999="Terminé"))&gt;0,"✓",IF(SUMPRODUCT(MAX(('Formation Initiale'!$A$2:$A$999=$A975)*'Formation Initiale'!$G$2:$G$999))&gt;0,TEXT(SUMPRODUCT(MAX(('Formation Initiale'!$A$2:$A$999=$A975)*'Formation Initiale'!$G$2:$G$999)),"yyyy-mm-dd"),""))))))</f>
        <v/>
      </c>
      <c r="G975" s="131" t="str">
        <f aca="false">IF($Q975="✓","✓",IF(ISNUMBER($Q975),TEXT($Q975,"yyyy-mm-dd"),IF($A975="","",IF(SUMPRODUCT(('Agences &amp; Après-vente'!$A$2:$A$1000=$A975)*(('Agences &amp; Après-vente'!$D$2:$D$1000="Agences")+('Agences &amp; Après-vente'!$D$2:$D$1000="Agences et Après-vente"))*('Agences &amp; Après-vente'!$I$2:$I$1000="DONE"))&gt;0,"✓",IF(SUMPRODUCT(MAX(('Agences &amp; Après-vente'!$A$2:$A$1000=$A975)*(('Agences &amp; Après-vente'!$D$2:$D$1000="Agences")+('Agences &amp; Après-vente'!$D$2:$D$1000="Agences et Après-vente"))*'Agences &amp; Après-vente'!$E$2:$E$1000))&gt;0,TEXT(SUMPRODUCT(MAX(('Agences &amp; Après-vente'!$A$2:$A$1000=$A975)*(('Agences &amp; Après-vente'!$D$2:$D$1000="Agences")+('Agences &amp; Après-vente'!$D$2:$D$1000="Agences et Après-vente"))*'Agences &amp; Après-vente'!$E$2:$E$1000)),"yyyy-mm-dd"),"")))))</f>
        <v/>
      </c>
      <c r="H975" s="131" t="str">
        <f aca="false">IF($R975="✓","✓",IF(ISNUMBER($R975),TEXT($R975,"yyyy-mm-dd"),IF($A975="","",IF($D975="Lisbonne","",IF(SUMPRODUCT(('Agences &amp; Après-vente'!$A$2:$A$1000=$A975)*(('Agences &amp; Après-vente'!$D$2:$D$1000="Agences")+('Agences &amp; Après-vente'!$D$2:$D$1000="Agences et Après-vente"))*('Agences &amp; Après-vente'!$I$2:$I$1000="DONE"))&gt;0,"✓",IF(SUMPRODUCT(MAX(('Agences &amp; Après-vente'!$A$2:$A$1000=$A975)*(('Agences &amp; Après-vente'!$D$2:$D$1000="Agences")+('Agences &amp; Après-vente'!$D$2:$D$1000="Agences et Après-vente"))*'Agences &amp; Après-vente'!$E$2:$E$1000))&gt;0,TEXT(SUMPRODUCT(MAX(('Agences &amp; Après-vente'!$A$2:$A$1000=$A975)*(('Agences &amp; Après-vente'!$D$2:$D$1000="Agences")+('Agences &amp; Après-vente'!$D$2:$D$1000="Agences et Après-vente"))*'Agences &amp; Après-vente'!$E$2:$E$1000)),"yyyy-mm-dd"),""))))))</f>
        <v/>
      </c>
      <c r="I975" s="131" t="str">
        <f aca="false">IF($S975="✓","✓",IF(ISNUMBER($S975),TEXT($S975,"yyyy-mm-dd"),IF($A975="","",IF(SUMPRODUCT(('Agences &amp; Après-vente'!$A$2:$A$1000=$A975)*(('Agences &amp; Après-vente'!$D$2:$D$1000="Après-vente")+('Agences &amp; Après-vente'!$D$2:$D$1000="Agences et Après-vente"))*('Agences &amp; Après-vente'!$I$2:$I$1000="DONE"))&gt;0,"✓",IF(SUMPRODUCT(MAX(('Agences &amp; Après-vente'!$A$2:$A$1000=$A975)*(('Agences &amp; Après-vente'!$D$2:$D$1000="Après-vente")+('Agences &amp; Après-vente'!$D$2:$D$1000="Agences et Après-vente"))*'Agences &amp; Après-vente'!$E$2:$E$1000))&gt;0,TEXT(SUMPRODUCT(MAX(('Agences &amp; Après-vente'!$A$2:$A$1000=$A975)*(('Agences &amp; Après-vente'!$D$2:$D$1000="Après-vente")+('Agences &amp; Après-vente'!$D$2:$D$1000="Agences et Après-vente"))*'Agences &amp; Après-vente'!$E$2:$E$1000)),"yyyy-mm-dd"),"")))))</f>
        <v/>
      </c>
      <c r="J975" s="131" t="str">
        <f aca="false">IF($T975="✓","✓",IF(ISNUMBER($T975),TEXT($T975,"yyyy-mm-dd"),IF($A975="","",IF($D975="Lisbonne","",IF(SUMPRODUCT(('Agences &amp; Après-vente'!$A$2:$A$1000=$A975)*(('Agences &amp; Après-vente'!$D$2:$D$1000="Après-vente")+('Agences &amp; Après-vente'!$D$2:$D$1000="Agences et Après-vente"))*('Agences &amp; Après-vente'!$I$2:$I$1000="DONE"))&gt;0,"✓",IF(SUMPRODUCT(MAX(('Agences &amp; Après-vente'!$A$2:$A$1000=$A975)*(('Agences &amp; Après-vente'!$D$2:$D$1000="Après-vente")+('Agences &amp; Après-vente'!$D$2:$D$1000="Agences et Après-vente"))*'Agences &amp; Après-vente'!$E$2:$E$1000))&gt;0,TEXT(SUMPRODUCT(MAX(('Agences &amp; Après-vente'!$A$2:$A$1000=$A975)*(('Agences &amp; Après-vente'!$D$2:$D$1000="Après-vente")+('Agences &amp; Après-vente'!$D$2:$D$1000="Agences et Après-vente"))*'Agences &amp; Après-vente'!$E$2:$E$1000)),"yyyy-mm-dd"),""))))))</f>
        <v/>
      </c>
      <c r="K975" s="131" t="str">
        <f aca="false">IF($U975="✓","✓",IF(ISNUMBER($U975),TEXT($U975,"yyyy-mm-dd"),IF($D975="Lisbonne","",IF($A975="","",IF(SUMPRODUCT((Evermont!$A$2:$A$1000=$A975)*(Evermont!$Q$2:$Q$1000="Terminé"))&gt;0,"✓",IF(SUMPRODUCT(MAX((Evermont!$A$2:$A$1000=$A975)*Evermont!$F$2:$F$1000))&gt;0,TEXT(SUMPRODUCT(MAX((Evermont!$A$2:$A$1000=$A975)*Evermont!$F$2:$F$1000)),"yyyy-mm-dd"),""))))))</f>
        <v/>
      </c>
      <c r="L975" s="131" t="str">
        <f aca="false">IF($A975="","",COUNTIF(E975:K975,"✓"))</f>
        <v/>
      </c>
      <c r="M975" s="131" t="str">
        <f aca="false">IF(B975="","","Active")</f>
        <v/>
      </c>
      <c r="W975" s="120" t="str">
        <f aca="false">IF($A975="","",IF($X975&lt;&gt;"",$X975,IFERROR(INDEX('Formation Initiale'!$B$2:$B$999,MATCH($A975,'Formation Initiale'!$A$2:$A$999,0)),"Général")))</f>
        <v/>
      </c>
    </row>
    <row r="976" customFormat="false" ht="15" hidden="true" customHeight="true" outlineLevel="0" collapsed="false">
      <c r="A976" s="142" t="str">
        <f aca="false">IF(B976="","","TR"&amp;TEXT(ROW()-1,"000"))</f>
        <v/>
      </c>
      <c r="E976" s="130" t="str">
        <f aca="false">IF($O976="✓","✓",IF(ISNUMBER($O976),TEXT($O976,"yyyy-mm-dd"),IF($A976="","",IF(SUMPRODUCT(('Formation Initiale'!$A$2:$A$999=$A976)*('Formation Initiale'!$R$2:$R$999="Terminé"))&gt;0,"✓",IF(SUMPRODUCT(MAX(('Formation Initiale'!$A$2:$A$999=$A976)*'Formation Initiale'!$G$2:$G$999))&gt;0,TEXT(SUMPRODUCT(MAX(('Formation Initiale'!$A$2:$A$999=$A976)*'Formation Initiale'!$G$2:$G$999)),"yyyy-mm-dd"),"")))))</f>
        <v/>
      </c>
      <c r="F976" s="131" t="str">
        <f aca="false">IF($P976="✓","✓",IF(ISNUMBER($P976),TEXT($P976,"yyyy-mm-dd"),IF($A976="","",IF($D976="Lisbonne","",IF(SUMPRODUCT(('Formation Initiale'!$A$2:$A$999=$A976)*('Formation Initiale'!$R$2:$R$999="Terminé"))&gt;0,"✓",IF(SUMPRODUCT(MAX(('Formation Initiale'!$A$2:$A$999=$A976)*'Formation Initiale'!$G$2:$G$999))&gt;0,TEXT(SUMPRODUCT(MAX(('Formation Initiale'!$A$2:$A$999=$A976)*'Formation Initiale'!$G$2:$G$999)),"yyyy-mm-dd"),""))))))</f>
        <v/>
      </c>
      <c r="G976" s="131" t="str">
        <f aca="false">IF($Q976="✓","✓",IF(ISNUMBER($Q976),TEXT($Q976,"yyyy-mm-dd"),IF($A976="","",IF(SUMPRODUCT(('Agences &amp; Après-vente'!$A$2:$A$1000=$A976)*(('Agences &amp; Après-vente'!$D$2:$D$1000="Agences")+('Agences &amp; Après-vente'!$D$2:$D$1000="Agences et Après-vente"))*('Agences &amp; Après-vente'!$I$2:$I$1000="DONE"))&gt;0,"✓",IF(SUMPRODUCT(MAX(('Agences &amp; Après-vente'!$A$2:$A$1000=$A976)*(('Agences &amp; Après-vente'!$D$2:$D$1000="Agences")+('Agences &amp; Après-vente'!$D$2:$D$1000="Agences et Après-vente"))*'Agences &amp; Après-vente'!$E$2:$E$1000))&gt;0,TEXT(SUMPRODUCT(MAX(('Agences &amp; Après-vente'!$A$2:$A$1000=$A976)*(('Agences &amp; Après-vente'!$D$2:$D$1000="Agences")+('Agences &amp; Après-vente'!$D$2:$D$1000="Agences et Après-vente"))*'Agences &amp; Après-vente'!$E$2:$E$1000)),"yyyy-mm-dd"),"")))))</f>
        <v/>
      </c>
      <c r="H976" s="131" t="str">
        <f aca="false">IF($R976="✓","✓",IF(ISNUMBER($R976),TEXT($R976,"yyyy-mm-dd"),IF($A976="","",IF($D976="Lisbonne","",IF(SUMPRODUCT(('Agences &amp; Après-vente'!$A$2:$A$1000=$A976)*(('Agences &amp; Après-vente'!$D$2:$D$1000="Agences")+('Agences &amp; Après-vente'!$D$2:$D$1000="Agences et Après-vente"))*('Agences &amp; Après-vente'!$I$2:$I$1000="DONE"))&gt;0,"✓",IF(SUMPRODUCT(MAX(('Agences &amp; Après-vente'!$A$2:$A$1000=$A976)*(('Agences &amp; Après-vente'!$D$2:$D$1000="Agences")+('Agences &amp; Après-vente'!$D$2:$D$1000="Agences et Après-vente"))*'Agences &amp; Après-vente'!$E$2:$E$1000))&gt;0,TEXT(SUMPRODUCT(MAX(('Agences &amp; Après-vente'!$A$2:$A$1000=$A976)*(('Agences &amp; Après-vente'!$D$2:$D$1000="Agences")+('Agences &amp; Après-vente'!$D$2:$D$1000="Agences et Après-vente"))*'Agences &amp; Après-vente'!$E$2:$E$1000)),"yyyy-mm-dd"),""))))))</f>
        <v/>
      </c>
      <c r="I976" s="131" t="str">
        <f aca="false">IF($S976="✓","✓",IF(ISNUMBER($S976),TEXT($S976,"yyyy-mm-dd"),IF($A976="","",IF(SUMPRODUCT(('Agences &amp; Après-vente'!$A$2:$A$1000=$A976)*(('Agences &amp; Après-vente'!$D$2:$D$1000="Après-vente")+('Agences &amp; Après-vente'!$D$2:$D$1000="Agences et Après-vente"))*('Agences &amp; Après-vente'!$I$2:$I$1000="DONE"))&gt;0,"✓",IF(SUMPRODUCT(MAX(('Agences &amp; Après-vente'!$A$2:$A$1000=$A976)*(('Agences &amp; Après-vente'!$D$2:$D$1000="Après-vente")+('Agences &amp; Après-vente'!$D$2:$D$1000="Agences et Après-vente"))*'Agences &amp; Après-vente'!$E$2:$E$1000))&gt;0,TEXT(SUMPRODUCT(MAX(('Agences &amp; Après-vente'!$A$2:$A$1000=$A976)*(('Agences &amp; Après-vente'!$D$2:$D$1000="Après-vente")+('Agences &amp; Après-vente'!$D$2:$D$1000="Agences et Après-vente"))*'Agences &amp; Après-vente'!$E$2:$E$1000)),"yyyy-mm-dd"),"")))))</f>
        <v/>
      </c>
      <c r="J976" s="131" t="str">
        <f aca="false">IF($T976="✓","✓",IF(ISNUMBER($T976),TEXT($T976,"yyyy-mm-dd"),IF($A976="","",IF($D976="Lisbonne","",IF(SUMPRODUCT(('Agences &amp; Après-vente'!$A$2:$A$1000=$A976)*(('Agences &amp; Après-vente'!$D$2:$D$1000="Après-vente")+('Agences &amp; Après-vente'!$D$2:$D$1000="Agences et Après-vente"))*('Agences &amp; Après-vente'!$I$2:$I$1000="DONE"))&gt;0,"✓",IF(SUMPRODUCT(MAX(('Agences &amp; Après-vente'!$A$2:$A$1000=$A976)*(('Agences &amp; Après-vente'!$D$2:$D$1000="Après-vente")+('Agences &amp; Après-vente'!$D$2:$D$1000="Agences et Après-vente"))*'Agences &amp; Après-vente'!$E$2:$E$1000))&gt;0,TEXT(SUMPRODUCT(MAX(('Agences &amp; Après-vente'!$A$2:$A$1000=$A976)*(('Agences &amp; Après-vente'!$D$2:$D$1000="Après-vente")+('Agences &amp; Après-vente'!$D$2:$D$1000="Agences et Après-vente"))*'Agences &amp; Après-vente'!$E$2:$E$1000)),"yyyy-mm-dd"),""))))))</f>
        <v/>
      </c>
      <c r="K976" s="131" t="str">
        <f aca="false">IF($U976="✓","✓",IF(ISNUMBER($U976),TEXT($U976,"yyyy-mm-dd"),IF($D976="Lisbonne","",IF($A976="","",IF(SUMPRODUCT((Evermont!$A$2:$A$1000=$A976)*(Evermont!$Q$2:$Q$1000="Terminé"))&gt;0,"✓",IF(SUMPRODUCT(MAX((Evermont!$A$2:$A$1000=$A976)*Evermont!$F$2:$F$1000))&gt;0,TEXT(SUMPRODUCT(MAX((Evermont!$A$2:$A$1000=$A976)*Evermont!$F$2:$F$1000)),"yyyy-mm-dd"),""))))))</f>
        <v/>
      </c>
      <c r="L976" s="131" t="str">
        <f aca="false">IF($A976="","",COUNTIF(E976:K976,"✓"))</f>
        <v/>
      </c>
      <c r="M976" s="131" t="str">
        <f aca="false">IF(B976="","","Active")</f>
        <v/>
      </c>
      <c r="W976" s="120" t="str">
        <f aca="false">IF($A976="","",IF($X976&lt;&gt;"",$X976,IFERROR(INDEX('Formation Initiale'!$B$2:$B$999,MATCH($A976,'Formation Initiale'!$A$2:$A$999,0)),"Général")))</f>
        <v/>
      </c>
    </row>
    <row r="977" customFormat="false" ht="15" hidden="true" customHeight="true" outlineLevel="0" collapsed="false">
      <c r="A977" s="142" t="str">
        <f aca="false">IF(B977="","","TR"&amp;TEXT(ROW()-1,"000"))</f>
        <v/>
      </c>
      <c r="E977" s="130" t="str">
        <f aca="false">IF($O977="✓","✓",IF(ISNUMBER($O977),TEXT($O977,"yyyy-mm-dd"),IF($A977="","",IF(SUMPRODUCT(('Formation Initiale'!$A$2:$A$999=$A977)*('Formation Initiale'!$R$2:$R$999="Terminé"))&gt;0,"✓",IF(SUMPRODUCT(MAX(('Formation Initiale'!$A$2:$A$999=$A977)*'Formation Initiale'!$G$2:$G$999))&gt;0,TEXT(SUMPRODUCT(MAX(('Formation Initiale'!$A$2:$A$999=$A977)*'Formation Initiale'!$G$2:$G$999)),"yyyy-mm-dd"),"")))))</f>
        <v/>
      </c>
      <c r="F977" s="131" t="str">
        <f aca="false">IF($P977="✓","✓",IF(ISNUMBER($P977),TEXT($P977,"yyyy-mm-dd"),IF($A977="","",IF($D977="Lisbonne","",IF(SUMPRODUCT(('Formation Initiale'!$A$2:$A$999=$A977)*('Formation Initiale'!$R$2:$R$999="Terminé"))&gt;0,"✓",IF(SUMPRODUCT(MAX(('Formation Initiale'!$A$2:$A$999=$A977)*'Formation Initiale'!$G$2:$G$999))&gt;0,TEXT(SUMPRODUCT(MAX(('Formation Initiale'!$A$2:$A$999=$A977)*'Formation Initiale'!$G$2:$G$999)),"yyyy-mm-dd"),""))))))</f>
        <v/>
      </c>
      <c r="G977" s="131" t="str">
        <f aca="false">IF($Q977="✓","✓",IF(ISNUMBER($Q977),TEXT($Q977,"yyyy-mm-dd"),IF($A977="","",IF(SUMPRODUCT(('Agences &amp; Après-vente'!$A$2:$A$1000=$A977)*(('Agences &amp; Après-vente'!$D$2:$D$1000="Agences")+('Agences &amp; Après-vente'!$D$2:$D$1000="Agences et Après-vente"))*('Agences &amp; Après-vente'!$I$2:$I$1000="DONE"))&gt;0,"✓",IF(SUMPRODUCT(MAX(('Agences &amp; Après-vente'!$A$2:$A$1000=$A977)*(('Agences &amp; Après-vente'!$D$2:$D$1000="Agences")+('Agences &amp; Après-vente'!$D$2:$D$1000="Agences et Après-vente"))*'Agences &amp; Après-vente'!$E$2:$E$1000))&gt;0,TEXT(SUMPRODUCT(MAX(('Agences &amp; Après-vente'!$A$2:$A$1000=$A977)*(('Agences &amp; Après-vente'!$D$2:$D$1000="Agences")+('Agences &amp; Après-vente'!$D$2:$D$1000="Agences et Après-vente"))*'Agences &amp; Après-vente'!$E$2:$E$1000)),"yyyy-mm-dd"),"")))))</f>
        <v/>
      </c>
      <c r="H977" s="131" t="str">
        <f aca="false">IF($R977="✓","✓",IF(ISNUMBER($R977),TEXT($R977,"yyyy-mm-dd"),IF($A977="","",IF($D977="Lisbonne","",IF(SUMPRODUCT(('Agences &amp; Après-vente'!$A$2:$A$1000=$A977)*(('Agences &amp; Après-vente'!$D$2:$D$1000="Agences")+('Agences &amp; Après-vente'!$D$2:$D$1000="Agences et Après-vente"))*('Agences &amp; Après-vente'!$I$2:$I$1000="DONE"))&gt;0,"✓",IF(SUMPRODUCT(MAX(('Agences &amp; Après-vente'!$A$2:$A$1000=$A977)*(('Agences &amp; Après-vente'!$D$2:$D$1000="Agences")+('Agences &amp; Après-vente'!$D$2:$D$1000="Agences et Après-vente"))*'Agences &amp; Après-vente'!$E$2:$E$1000))&gt;0,TEXT(SUMPRODUCT(MAX(('Agences &amp; Après-vente'!$A$2:$A$1000=$A977)*(('Agences &amp; Après-vente'!$D$2:$D$1000="Agences")+('Agences &amp; Après-vente'!$D$2:$D$1000="Agences et Après-vente"))*'Agences &amp; Après-vente'!$E$2:$E$1000)),"yyyy-mm-dd"),""))))))</f>
        <v/>
      </c>
      <c r="I977" s="131" t="str">
        <f aca="false">IF($S977="✓","✓",IF(ISNUMBER($S977),TEXT($S977,"yyyy-mm-dd"),IF($A977="","",IF(SUMPRODUCT(('Agences &amp; Après-vente'!$A$2:$A$1000=$A977)*(('Agences &amp; Après-vente'!$D$2:$D$1000="Après-vente")+('Agences &amp; Après-vente'!$D$2:$D$1000="Agences et Après-vente"))*('Agences &amp; Après-vente'!$I$2:$I$1000="DONE"))&gt;0,"✓",IF(SUMPRODUCT(MAX(('Agences &amp; Après-vente'!$A$2:$A$1000=$A977)*(('Agences &amp; Après-vente'!$D$2:$D$1000="Après-vente")+('Agences &amp; Après-vente'!$D$2:$D$1000="Agences et Après-vente"))*'Agences &amp; Après-vente'!$E$2:$E$1000))&gt;0,TEXT(SUMPRODUCT(MAX(('Agences &amp; Après-vente'!$A$2:$A$1000=$A977)*(('Agences &amp; Après-vente'!$D$2:$D$1000="Après-vente")+('Agences &amp; Après-vente'!$D$2:$D$1000="Agences et Après-vente"))*'Agences &amp; Après-vente'!$E$2:$E$1000)),"yyyy-mm-dd"),"")))))</f>
        <v/>
      </c>
      <c r="J977" s="131" t="str">
        <f aca="false">IF($T977="✓","✓",IF(ISNUMBER($T977),TEXT($T977,"yyyy-mm-dd"),IF($A977="","",IF($D977="Lisbonne","",IF(SUMPRODUCT(('Agences &amp; Après-vente'!$A$2:$A$1000=$A977)*(('Agences &amp; Après-vente'!$D$2:$D$1000="Après-vente")+('Agences &amp; Après-vente'!$D$2:$D$1000="Agences et Après-vente"))*('Agences &amp; Après-vente'!$I$2:$I$1000="DONE"))&gt;0,"✓",IF(SUMPRODUCT(MAX(('Agences &amp; Après-vente'!$A$2:$A$1000=$A977)*(('Agences &amp; Après-vente'!$D$2:$D$1000="Après-vente")+('Agences &amp; Après-vente'!$D$2:$D$1000="Agences et Après-vente"))*'Agences &amp; Après-vente'!$E$2:$E$1000))&gt;0,TEXT(SUMPRODUCT(MAX(('Agences &amp; Après-vente'!$A$2:$A$1000=$A977)*(('Agences &amp; Après-vente'!$D$2:$D$1000="Après-vente")+('Agences &amp; Après-vente'!$D$2:$D$1000="Agences et Après-vente"))*'Agences &amp; Après-vente'!$E$2:$E$1000)),"yyyy-mm-dd"),""))))))</f>
        <v/>
      </c>
      <c r="K977" s="131" t="str">
        <f aca="false">IF($U977="✓","✓",IF(ISNUMBER($U977),TEXT($U977,"yyyy-mm-dd"),IF($D977="Lisbonne","",IF($A977="","",IF(SUMPRODUCT((Evermont!$A$2:$A$1000=$A977)*(Evermont!$Q$2:$Q$1000="Terminé"))&gt;0,"✓",IF(SUMPRODUCT(MAX((Evermont!$A$2:$A$1000=$A977)*Evermont!$F$2:$F$1000))&gt;0,TEXT(SUMPRODUCT(MAX((Evermont!$A$2:$A$1000=$A977)*Evermont!$F$2:$F$1000)),"yyyy-mm-dd"),""))))))</f>
        <v/>
      </c>
      <c r="L977" s="131" t="str">
        <f aca="false">IF($A977="","",COUNTIF(E977:K977,"✓"))</f>
        <v/>
      </c>
      <c r="M977" s="131" t="str">
        <f aca="false">IF(B977="","","Active")</f>
        <v/>
      </c>
      <c r="W977" s="120" t="str">
        <f aca="false">IF($A977="","",IF($X977&lt;&gt;"",$X977,IFERROR(INDEX('Formation Initiale'!$B$2:$B$999,MATCH($A977,'Formation Initiale'!$A$2:$A$999,0)),"Général")))</f>
        <v/>
      </c>
    </row>
    <row r="978" customFormat="false" ht="15" hidden="true" customHeight="true" outlineLevel="0" collapsed="false">
      <c r="A978" s="142" t="str">
        <f aca="false">IF(B978="","","TR"&amp;TEXT(ROW()-1,"000"))</f>
        <v/>
      </c>
      <c r="E978" s="130" t="str">
        <f aca="false">IF($O978="✓","✓",IF(ISNUMBER($O978),TEXT($O978,"yyyy-mm-dd"),IF($A978="","",IF(SUMPRODUCT(('Formation Initiale'!$A$2:$A$999=$A978)*('Formation Initiale'!$R$2:$R$999="Terminé"))&gt;0,"✓",IF(SUMPRODUCT(MAX(('Formation Initiale'!$A$2:$A$999=$A978)*'Formation Initiale'!$G$2:$G$999))&gt;0,TEXT(SUMPRODUCT(MAX(('Formation Initiale'!$A$2:$A$999=$A978)*'Formation Initiale'!$G$2:$G$999)),"yyyy-mm-dd"),"")))))</f>
        <v/>
      </c>
      <c r="F978" s="131" t="str">
        <f aca="false">IF($P978="✓","✓",IF(ISNUMBER($P978),TEXT($P978,"yyyy-mm-dd"),IF($A978="","",IF($D978="Lisbonne","",IF(SUMPRODUCT(('Formation Initiale'!$A$2:$A$999=$A978)*('Formation Initiale'!$R$2:$R$999="Terminé"))&gt;0,"✓",IF(SUMPRODUCT(MAX(('Formation Initiale'!$A$2:$A$999=$A978)*'Formation Initiale'!$G$2:$G$999))&gt;0,TEXT(SUMPRODUCT(MAX(('Formation Initiale'!$A$2:$A$999=$A978)*'Formation Initiale'!$G$2:$G$999)),"yyyy-mm-dd"),""))))))</f>
        <v/>
      </c>
      <c r="G978" s="131" t="str">
        <f aca="false">IF($Q978="✓","✓",IF(ISNUMBER($Q978),TEXT($Q978,"yyyy-mm-dd"),IF($A978="","",IF(SUMPRODUCT(('Agences &amp; Après-vente'!$A$2:$A$1000=$A978)*(('Agences &amp; Après-vente'!$D$2:$D$1000="Agences")+('Agences &amp; Après-vente'!$D$2:$D$1000="Agences et Après-vente"))*('Agences &amp; Après-vente'!$I$2:$I$1000="DONE"))&gt;0,"✓",IF(SUMPRODUCT(MAX(('Agences &amp; Après-vente'!$A$2:$A$1000=$A978)*(('Agences &amp; Après-vente'!$D$2:$D$1000="Agences")+('Agences &amp; Après-vente'!$D$2:$D$1000="Agences et Après-vente"))*'Agences &amp; Après-vente'!$E$2:$E$1000))&gt;0,TEXT(SUMPRODUCT(MAX(('Agences &amp; Après-vente'!$A$2:$A$1000=$A978)*(('Agences &amp; Après-vente'!$D$2:$D$1000="Agences")+('Agences &amp; Après-vente'!$D$2:$D$1000="Agences et Après-vente"))*'Agences &amp; Après-vente'!$E$2:$E$1000)),"yyyy-mm-dd"),"")))))</f>
        <v/>
      </c>
      <c r="H978" s="131" t="str">
        <f aca="false">IF($R978="✓","✓",IF(ISNUMBER($R978),TEXT($R978,"yyyy-mm-dd"),IF($A978="","",IF($D978="Lisbonne","",IF(SUMPRODUCT(('Agences &amp; Après-vente'!$A$2:$A$1000=$A978)*(('Agences &amp; Après-vente'!$D$2:$D$1000="Agences")+('Agences &amp; Après-vente'!$D$2:$D$1000="Agences et Après-vente"))*('Agences &amp; Après-vente'!$I$2:$I$1000="DONE"))&gt;0,"✓",IF(SUMPRODUCT(MAX(('Agences &amp; Après-vente'!$A$2:$A$1000=$A978)*(('Agences &amp; Après-vente'!$D$2:$D$1000="Agences")+('Agences &amp; Après-vente'!$D$2:$D$1000="Agences et Après-vente"))*'Agences &amp; Après-vente'!$E$2:$E$1000))&gt;0,TEXT(SUMPRODUCT(MAX(('Agences &amp; Après-vente'!$A$2:$A$1000=$A978)*(('Agences &amp; Après-vente'!$D$2:$D$1000="Agences")+('Agences &amp; Après-vente'!$D$2:$D$1000="Agences et Après-vente"))*'Agences &amp; Après-vente'!$E$2:$E$1000)),"yyyy-mm-dd"),""))))))</f>
        <v/>
      </c>
      <c r="I978" s="131" t="str">
        <f aca="false">IF($S978="✓","✓",IF(ISNUMBER($S978),TEXT($S978,"yyyy-mm-dd"),IF($A978="","",IF(SUMPRODUCT(('Agences &amp; Après-vente'!$A$2:$A$1000=$A978)*(('Agences &amp; Après-vente'!$D$2:$D$1000="Après-vente")+('Agences &amp; Après-vente'!$D$2:$D$1000="Agences et Après-vente"))*('Agences &amp; Après-vente'!$I$2:$I$1000="DONE"))&gt;0,"✓",IF(SUMPRODUCT(MAX(('Agences &amp; Après-vente'!$A$2:$A$1000=$A978)*(('Agences &amp; Après-vente'!$D$2:$D$1000="Après-vente")+('Agences &amp; Après-vente'!$D$2:$D$1000="Agences et Après-vente"))*'Agences &amp; Après-vente'!$E$2:$E$1000))&gt;0,TEXT(SUMPRODUCT(MAX(('Agences &amp; Après-vente'!$A$2:$A$1000=$A978)*(('Agences &amp; Après-vente'!$D$2:$D$1000="Après-vente")+('Agences &amp; Après-vente'!$D$2:$D$1000="Agences et Après-vente"))*'Agences &amp; Après-vente'!$E$2:$E$1000)),"yyyy-mm-dd"),"")))))</f>
        <v/>
      </c>
      <c r="J978" s="131" t="str">
        <f aca="false">IF($T978="✓","✓",IF(ISNUMBER($T978),TEXT($T978,"yyyy-mm-dd"),IF($A978="","",IF($D978="Lisbonne","",IF(SUMPRODUCT(('Agences &amp; Après-vente'!$A$2:$A$1000=$A978)*(('Agences &amp; Après-vente'!$D$2:$D$1000="Après-vente")+('Agences &amp; Après-vente'!$D$2:$D$1000="Agences et Après-vente"))*('Agences &amp; Après-vente'!$I$2:$I$1000="DONE"))&gt;0,"✓",IF(SUMPRODUCT(MAX(('Agences &amp; Après-vente'!$A$2:$A$1000=$A978)*(('Agences &amp; Après-vente'!$D$2:$D$1000="Après-vente")+('Agences &amp; Après-vente'!$D$2:$D$1000="Agences et Après-vente"))*'Agences &amp; Après-vente'!$E$2:$E$1000))&gt;0,TEXT(SUMPRODUCT(MAX(('Agences &amp; Après-vente'!$A$2:$A$1000=$A978)*(('Agences &amp; Après-vente'!$D$2:$D$1000="Après-vente")+('Agences &amp; Après-vente'!$D$2:$D$1000="Agences et Après-vente"))*'Agences &amp; Après-vente'!$E$2:$E$1000)),"yyyy-mm-dd"),""))))))</f>
        <v/>
      </c>
      <c r="K978" s="131" t="str">
        <f aca="false">IF($U978="✓","✓",IF(ISNUMBER($U978),TEXT($U978,"yyyy-mm-dd"),IF($D978="Lisbonne","",IF($A978="","",IF(SUMPRODUCT((Evermont!$A$2:$A$1000=$A978)*(Evermont!$Q$2:$Q$1000="Terminé"))&gt;0,"✓",IF(SUMPRODUCT(MAX((Evermont!$A$2:$A$1000=$A978)*Evermont!$F$2:$F$1000))&gt;0,TEXT(SUMPRODUCT(MAX((Evermont!$A$2:$A$1000=$A978)*Evermont!$F$2:$F$1000)),"yyyy-mm-dd"),""))))))</f>
        <v/>
      </c>
      <c r="L978" s="131" t="str">
        <f aca="false">IF($A978="","",COUNTIF(E978:K978,"✓"))</f>
        <v/>
      </c>
      <c r="M978" s="131" t="str">
        <f aca="false">IF(B978="","","Active")</f>
        <v/>
      </c>
      <c r="W978" s="120" t="str">
        <f aca="false">IF($A978="","",IF($X978&lt;&gt;"",$X978,IFERROR(INDEX('Formation Initiale'!$B$2:$B$999,MATCH($A978,'Formation Initiale'!$A$2:$A$999,0)),"Général")))</f>
        <v/>
      </c>
    </row>
    <row r="979" customFormat="false" ht="15" hidden="true" customHeight="true" outlineLevel="0" collapsed="false">
      <c r="A979" s="142" t="str">
        <f aca="false">IF(B979="","","TR"&amp;TEXT(ROW()-1,"000"))</f>
        <v/>
      </c>
      <c r="E979" s="130" t="str">
        <f aca="false">IF($O979="✓","✓",IF(ISNUMBER($O979),TEXT($O979,"yyyy-mm-dd"),IF($A979="","",IF(SUMPRODUCT(('Formation Initiale'!$A$2:$A$999=$A979)*('Formation Initiale'!$R$2:$R$999="Terminé"))&gt;0,"✓",IF(SUMPRODUCT(MAX(('Formation Initiale'!$A$2:$A$999=$A979)*'Formation Initiale'!$G$2:$G$999))&gt;0,TEXT(SUMPRODUCT(MAX(('Formation Initiale'!$A$2:$A$999=$A979)*'Formation Initiale'!$G$2:$G$999)),"yyyy-mm-dd"),"")))))</f>
        <v/>
      </c>
      <c r="F979" s="131" t="str">
        <f aca="false">IF($P979="✓","✓",IF(ISNUMBER($P979),TEXT($P979,"yyyy-mm-dd"),IF($A979="","",IF($D979="Lisbonne","",IF(SUMPRODUCT(('Formation Initiale'!$A$2:$A$999=$A979)*('Formation Initiale'!$R$2:$R$999="Terminé"))&gt;0,"✓",IF(SUMPRODUCT(MAX(('Formation Initiale'!$A$2:$A$999=$A979)*'Formation Initiale'!$G$2:$G$999))&gt;0,TEXT(SUMPRODUCT(MAX(('Formation Initiale'!$A$2:$A$999=$A979)*'Formation Initiale'!$G$2:$G$999)),"yyyy-mm-dd"),""))))))</f>
        <v/>
      </c>
      <c r="G979" s="131" t="str">
        <f aca="false">IF($Q979="✓","✓",IF(ISNUMBER($Q979),TEXT($Q979,"yyyy-mm-dd"),IF($A979="","",IF(SUMPRODUCT(('Agences &amp; Après-vente'!$A$2:$A$1000=$A979)*(('Agences &amp; Après-vente'!$D$2:$D$1000="Agences")+('Agences &amp; Après-vente'!$D$2:$D$1000="Agences et Après-vente"))*('Agences &amp; Après-vente'!$I$2:$I$1000="DONE"))&gt;0,"✓",IF(SUMPRODUCT(MAX(('Agences &amp; Après-vente'!$A$2:$A$1000=$A979)*(('Agences &amp; Après-vente'!$D$2:$D$1000="Agences")+('Agences &amp; Après-vente'!$D$2:$D$1000="Agences et Après-vente"))*'Agences &amp; Après-vente'!$E$2:$E$1000))&gt;0,TEXT(SUMPRODUCT(MAX(('Agences &amp; Après-vente'!$A$2:$A$1000=$A979)*(('Agences &amp; Après-vente'!$D$2:$D$1000="Agences")+('Agences &amp; Après-vente'!$D$2:$D$1000="Agences et Après-vente"))*'Agences &amp; Après-vente'!$E$2:$E$1000)),"yyyy-mm-dd"),"")))))</f>
        <v/>
      </c>
      <c r="H979" s="131" t="str">
        <f aca="false">IF($R979="✓","✓",IF(ISNUMBER($R979),TEXT($R979,"yyyy-mm-dd"),IF($A979="","",IF($D979="Lisbonne","",IF(SUMPRODUCT(('Agences &amp; Après-vente'!$A$2:$A$1000=$A979)*(('Agences &amp; Après-vente'!$D$2:$D$1000="Agences")+('Agences &amp; Après-vente'!$D$2:$D$1000="Agences et Après-vente"))*('Agences &amp; Après-vente'!$I$2:$I$1000="DONE"))&gt;0,"✓",IF(SUMPRODUCT(MAX(('Agences &amp; Après-vente'!$A$2:$A$1000=$A979)*(('Agences &amp; Après-vente'!$D$2:$D$1000="Agences")+('Agences &amp; Après-vente'!$D$2:$D$1000="Agences et Après-vente"))*'Agences &amp; Après-vente'!$E$2:$E$1000))&gt;0,TEXT(SUMPRODUCT(MAX(('Agences &amp; Après-vente'!$A$2:$A$1000=$A979)*(('Agences &amp; Après-vente'!$D$2:$D$1000="Agences")+('Agences &amp; Après-vente'!$D$2:$D$1000="Agences et Après-vente"))*'Agences &amp; Après-vente'!$E$2:$E$1000)),"yyyy-mm-dd"),""))))))</f>
        <v/>
      </c>
      <c r="I979" s="131" t="str">
        <f aca="false">IF($S979="✓","✓",IF(ISNUMBER($S979),TEXT($S979,"yyyy-mm-dd"),IF($A979="","",IF(SUMPRODUCT(('Agences &amp; Après-vente'!$A$2:$A$1000=$A979)*(('Agences &amp; Après-vente'!$D$2:$D$1000="Après-vente")+('Agences &amp; Après-vente'!$D$2:$D$1000="Agences et Après-vente"))*('Agences &amp; Après-vente'!$I$2:$I$1000="DONE"))&gt;0,"✓",IF(SUMPRODUCT(MAX(('Agences &amp; Après-vente'!$A$2:$A$1000=$A979)*(('Agences &amp; Après-vente'!$D$2:$D$1000="Après-vente")+('Agences &amp; Après-vente'!$D$2:$D$1000="Agences et Après-vente"))*'Agences &amp; Après-vente'!$E$2:$E$1000))&gt;0,TEXT(SUMPRODUCT(MAX(('Agences &amp; Après-vente'!$A$2:$A$1000=$A979)*(('Agences &amp; Après-vente'!$D$2:$D$1000="Après-vente")+('Agences &amp; Après-vente'!$D$2:$D$1000="Agences et Après-vente"))*'Agences &amp; Après-vente'!$E$2:$E$1000)),"yyyy-mm-dd"),"")))))</f>
        <v/>
      </c>
      <c r="J979" s="131" t="str">
        <f aca="false">IF($T979="✓","✓",IF(ISNUMBER($T979),TEXT($T979,"yyyy-mm-dd"),IF($A979="","",IF($D979="Lisbonne","",IF(SUMPRODUCT(('Agences &amp; Après-vente'!$A$2:$A$1000=$A979)*(('Agences &amp; Après-vente'!$D$2:$D$1000="Après-vente")+('Agences &amp; Après-vente'!$D$2:$D$1000="Agences et Après-vente"))*('Agences &amp; Après-vente'!$I$2:$I$1000="DONE"))&gt;0,"✓",IF(SUMPRODUCT(MAX(('Agences &amp; Après-vente'!$A$2:$A$1000=$A979)*(('Agences &amp; Après-vente'!$D$2:$D$1000="Après-vente")+('Agences &amp; Après-vente'!$D$2:$D$1000="Agences et Après-vente"))*'Agences &amp; Après-vente'!$E$2:$E$1000))&gt;0,TEXT(SUMPRODUCT(MAX(('Agences &amp; Après-vente'!$A$2:$A$1000=$A979)*(('Agences &amp; Après-vente'!$D$2:$D$1000="Après-vente")+('Agences &amp; Après-vente'!$D$2:$D$1000="Agences et Après-vente"))*'Agences &amp; Après-vente'!$E$2:$E$1000)),"yyyy-mm-dd"),""))))))</f>
        <v/>
      </c>
      <c r="K979" s="131" t="str">
        <f aca="false">IF($U979="✓","✓",IF(ISNUMBER($U979),TEXT($U979,"yyyy-mm-dd"),IF($D979="Lisbonne","",IF($A979="","",IF(SUMPRODUCT((Evermont!$A$2:$A$1000=$A979)*(Evermont!$Q$2:$Q$1000="Terminé"))&gt;0,"✓",IF(SUMPRODUCT(MAX((Evermont!$A$2:$A$1000=$A979)*Evermont!$F$2:$F$1000))&gt;0,TEXT(SUMPRODUCT(MAX((Evermont!$A$2:$A$1000=$A979)*Evermont!$F$2:$F$1000)),"yyyy-mm-dd"),""))))))</f>
        <v/>
      </c>
      <c r="L979" s="131" t="str">
        <f aca="false">IF($A979="","",COUNTIF(E979:K979,"✓"))</f>
        <v/>
      </c>
      <c r="M979" s="131" t="str">
        <f aca="false">IF(B979="","","Active")</f>
        <v/>
      </c>
      <c r="W979" s="120" t="str">
        <f aca="false">IF($A979="","",IF($X979&lt;&gt;"",$X979,IFERROR(INDEX('Formation Initiale'!$B$2:$B$999,MATCH($A979,'Formation Initiale'!$A$2:$A$999,0)),"Général")))</f>
        <v/>
      </c>
    </row>
    <row r="980" customFormat="false" ht="15" hidden="true" customHeight="true" outlineLevel="0" collapsed="false">
      <c r="A980" s="142" t="str">
        <f aca="false">IF(B980="","","TR"&amp;TEXT(ROW()-1,"000"))</f>
        <v/>
      </c>
      <c r="E980" s="130" t="str">
        <f aca="false">IF($O980="✓","✓",IF(ISNUMBER($O980),TEXT($O980,"yyyy-mm-dd"),IF($A980="","",IF(SUMPRODUCT(('Formation Initiale'!$A$2:$A$999=$A980)*('Formation Initiale'!$R$2:$R$999="Terminé"))&gt;0,"✓",IF(SUMPRODUCT(MAX(('Formation Initiale'!$A$2:$A$999=$A980)*'Formation Initiale'!$G$2:$G$999))&gt;0,TEXT(SUMPRODUCT(MAX(('Formation Initiale'!$A$2:$A$999=$A980)*'Formation Initiale'!$G$2:$G$999)),"yyyy-mm-dd"),"")))))</f>
        <v/>
      </c>
      <c r="F980" s="131" t="str">
        <f aca="false">IF($P980="✓","✓",IF(ISNUMBER($P980),TEXT($P980,"yyyy-mm-dd"),IF($A980="","",IF($D980="Lisbonne","",IF(SUMPRODUCT(('Formation Initiale'!$A$2:$A$999=$A980)*('Formation Initiale'!$R$2:$R$999="Terminé"))&gt;0,"✓",IF(SUMPRODUCT(MAX(('Formation Initiale'!$A$2:$A$999=$A980)*'Formation Initiale'!$G$2:$G$999))&gt;0,TEXT(SUMPRODUCT(MAX(('Formation Initiale'!$A$2:$A$999=$A980)*'Formation Initiale'!$G$2:$G$999)),"yyyy-mm-dd"),""))))))</f>
        <v/>
      </c>
      <c r="G980" s="131" t="str">
        <f aca="false">IF($Q980="✓","✓",IF(ISNUMBER($Q980),TEXT($Q980,"yyyy-mm-dd"),IF($A980="","",IF(SUMPRODUCT(('Agences &amp; Après-vente'!$A$2:$A$1000=$A980)*(('Agences &amp; Après-vente'!$D$2:$D$1000="Agences")+('Agences &amp; Après-vente'!$D$2:$D$1000="Agences et Après-vente"))*('Agences &amp; Après-vente'!$I$2:$I$1000="DONE"))&gt;0,"✓",IF(SUMPRODUCT(MAX(('Agences &amp; Après-vente'!$A$2:$A$1000=$A980)*(('Agences &amp; Après-vente'!$D$2:$D$1000="Agences")+('Agences &amp; Après-vente'!$D$2:$D$1000="Agences et Après-vente"))*'Agences &amp; Après-vente'!$E$2:$E$1000))&gt;0,TEXT(SUMPRODUCT(MAX(('Agences &amp; Après-vente'!$A$2:$A$1000=$A980)*(('Agences &amp; Après-vente'!$D$2:$D$1000="Agences")+('Agences &amp; Après-vente'!$D$2:$D$1000="Agences et Après-vente"))*'Agences &amp; Après-vente'!$E$2:$E$1000)),"yyyy-mm-dd"),"")))))</f>
        <v/>
      </c>
      <c r="H980" s="131" t="str">
        <f aca="false">IF($R980="✓","✓",IF(ISNUMBER($R980),TEXT($R980,"yyyy-mm-dd"),IF($A980="","",IF($D980="Lisbonne","",IF(SUMPRODUCT(('Agences &amp; Après-vente'!$A$2:$A$1000=$A980)*(('Agences &amp; Après-vente'!$D$2:$D$1000="Agences")+('Agences &amp; Après-vente'!$D$2:$D$1000="Agences et Après-vente"))*('Agences &amp; Après-vente'!$I$2:$I$1000="DONE"))&gt;0,"✓",IF(SUMPRODUCT(MAX(('Agences &amp; Après-vente'!$A$2:$A$1000=$A980)*(('Agences &amp; Après-vente'!$D$2:$D$1000="Agences")+('Agences &amp; Après-vente'!$D$2:$D$1000="Agences et Après-vente"))*'Agences &amp; Après-vente'!$E$2:$E$1000))&gt;0,TEXT(SUMPRODUCT(MAX(('Agences &amp; Après-vente'!$A$2:$A$1000=$A980)*(('Agences &amp; Après-vente'!$D$2:$D$1000="Agences")+('Agences &amp; Après-vente'!$D$2:$D$1000="Agences et Après-vente"))*'Agences &amp; Après-vente'!$E$2:$E$1000)),"yyyy-mm-dd"),""))))))</f>
        <v/>
      </c>
      <c r="I980" s="131" t="str">
        <f aca="false">IF($S980="✓","✓",IF(ISNUMBER($S980),TEXT($S980,"yyyy-mm-dd"),IF($A980="","",IF(SUMPRODUCT(('Agences &amp; Après-vente'!$A$2:$A$1000=$A980)*(('Agences &amp; Après-vente'!$D$2:$D$1000="Après-vente")+('Agences &amp; Après-vente'!$D$2:$D$1000="Agences et Après-vente"))*('Agences &amp; Après-vente'!$I$2:$I$1000="DONE"))&gt;0,"✓",IF(SUMPRODUCT(MAX(('Agences &amp; Après-vente'!$A$2:$A$1000=$A980)*(('Agences &amp; Après-vente'!$D$2:$D$1000="Après-vente")+('Agences &amp; Après-vente'!$D$2:$D$1000="Agences et Après-vente"))*'Agences &amp; Après-vente'!$E$2:$E$1000))&gt;0,TEXT(SUMPRODUCT(MAX(('Agences &amp; Après-vente'!$A$2:$A$1000=$A980)*(('Agences &amp; Après-vente'!$D$2:$D$1000="Après-vente")+('Agences &amp; Après-vente'!$D$2:$D$1000="Agences et Après-vente"))*'Agences &amp; Après-vente'!$E$2:$E$1000)),"yyyy-mm-dd"),"")))))</f>
        <v/>
      </c>
      <c r="J980" s="131" t="str">
        <f aca="false">IF($T980="✓","✓",IF(ISNUMBER($T980),TEXT($T980,"yyyy-mm-dd"),IF($A980="","",IF($D980="Lisbonne","",IF(SUMPRODUCT(('Agences &amp; Après-vente'!$A$2:$A$1000=$A980)*(('Agences &amp; Après-vente'!$D$2:$D$1000="Après-vente")+('Agences &amp; Après-vente'!$D$2:$D$1000="Agences et Après-vente"))*('Agences &amp; Après-vente'!$I$2:$I$1000="DONE"))&gt;0,"✓",IF(SUMPRODUCT(MAX(('Agences &amp; Après-vente'!$A$2:$A$1000=$A980)*(('Agences &amp; Après-vente'!$D$2:$D$1000="Après-vente")+('Agences &amp; Après-vente'!$D$2:$D$1000="Agences et Après-vente"))*'Agences &amp; Après-vente'!$E$2:$E$1000))&gt;0,TEXT(SUMPRODUCT(MAX(('Agences &amp; Après-vente'!$A$2:$A$1000=$A980)*(('Agences &amp; Après-vente'!$D$2:$D$1000="Après-vente")+('Agences &amp; Après-vente'!$D$2:$D$1000="Agences et Après-vente"))*'Agences &amp; Après-vente'!$E$2:$E$1000)),"yyyy-mm-dd"),""))))))</f>
        <v/>
      </c>
      <c r="K980" s="131" t="str">
        <f aca="false">IF($U980="✓","✓",IF(ISNUMBER($U980),TEXT($U980,"yyyy-mm-dd"),IF($D980="Lisbonne","",IF($A980="","",IF(SUMPRODUCT((Evermont!$A$2:$A$1000=$A980)*(Evermont!$Q$2:$Q$1000="Terminé"))&gt;0,"✓",IF(SUMPRODUCT(MAX((Evermont!$A$2:$A$1000=$A980)*Evermont!$F$2:$F$1000))&gt;0,TEXT(SUMPRODUCT(MAX((Evermont!$A$2:$A$1000=$A980)*Evermont!$F$2:$F$1000)),"yyyy-mm-dd"),""))))))</f>
        <v/>
      </c>
      <c r="L980" s="131" t="str">
        <f aca="false">IF($A980="","",COUNTIF(E980:K980,"✓"))</f>
        <v/>
      </c>
      <c r="M980" s="131" t="str">
        <f aca="false">IF(B980="","","Active")</f>
        <v/>
      </c>
      <c r="W980" s="120" t="str">
        <f aca="false">IF($A980="","",IF($X980&lt;&gt;"",$X980,IFERROR(INDEX('Formation Initiale'!$B$2:$B$999,MATCH($A980,'Formation Initiale'!$A$2:$A$999,0)),"Général")))</f>
        <v/>
      </c>
    </row>
    <row r="981" customFormat="false" ht="15" hidden="true" customHeight="true" outlineLevel="0" collapsed="false">
      <c r="A981" s="142" t="str">
        <f aca="false">IF(B981="","","TR"&amp;TEXT(ROW()-1,"000"))</f>
        <v/>
      </c>
      <c r="E981" s="130" t="str">
        <f aca="false">IF($O981="✓","✓",IF(ISNUMBER($O981),TEXT($O981,"yyyy-mm-dd"),IF($A981="","",IF(SUMPRODUCT(('Formation Initiale'!$A$2:$A$999=$A981)*('Formation Initiale'!$R$2:$R$999="Terminé"))&gt;0,"✓",IF(SUMPRODUCT(MAX(('Formation Initiale'!$A$2:$A$999=$A981)*'Formation Initiale'!$G$2:$G$999))&gt;0,TEXT(SUMPRODUCT(MAX(('Formation Initiale'!$A$2:$A$999=$A981)*'Formation Initiale'!$G$2:$G$999)),"yyyy-mm-dd"),"")))))</f>
        <v/>
      </c>
      <c r="F981" s="131" t="str">
        <f aca="false">IF($P981="✓","✓",IF(ISNUMBER($P981),TEXT($P981,"yyyy-mm-dd"),IF($A981="","",IF($D981="Lisbonne","",IF(SUMPRODUCT(('Formation Initiale'!$A$2:$A$999=$A981)*('Formation Initiale'!$R$2:$R$999="Terminé"))&gt;0,"✓",IF(SUMPRODUCT(MAX(('Formation Initiale'!$A$2:$A$999=$A981)*'Formation Initiale'!$G$2:$G$999))&gt;0,TEXT(SUMPRODUCT(MAX(('Formation Initiale'!$A$2:$A$999=$A981)*'Formation Initiale'!$G$2:$G$999)),"yyyy-mm-dd"),""))))))</f>
        <v/>
      </c>
      <c r="G981" s="131" t="str">
        <f aca="false">IF($Q981="✓","✓",IF(ISNUMBER($Q981),TEXT($Q981,"yyyy-mm-dd"),IF($A981="","",IF(SUMPRODUCT(('Agences &amp; Après-vente'!$A$2:$A$1000=$A981)*(('Agences &amp; Après-vente'!$D$2:$D$1000="Agences")+('Agences &amp; Après-vente'!$D$2:$D$1000="Agences et Après-vente"))*('Agences &amp; Après-vente'!$I$2:$I$1000="DONE"))&gt;0,"✓",IF(SUMPRODUCT(MAX(('Agences &amp; Après-vente'!$A$2:$A$1000=$A981)*(('Agences &amp; Après-vente'!$D$2:$D$1000="Agences")+('Agences &amp; Après-vente'!$D$2:$D$1000="Agences et Après-vente"))*'Agences &amp; Après-vente'!$E$2:$E$1000))&gt;0,TEXT(SUMPRODUCT(MAX(('Agences &amp; Après-vente'!$A$2:$A$1000=$A981)*(('Agences &amp; Après-vente'!$D$2:$D$1000="Agences")+('Agences &amp; Après-vente'!$D$2:$D$1000="Agences et Après-vente"))*'Agences &amp; Après-vente'!$E$2:$E$1000)),"yyyy-mm-dd"),"")))))</f>
        <v/>
      </c>
      <c r="H981" s="131" t="str">
        <f aca="false">IF($R981="✓","✓",IF(ISNUMBER($R981),TEXT($R981,"yyyy-mm-dd"),IF($A981="","",IF($D981="Lisbonne","",IF(SUMPRODUCT(('Agences &amp; Après-vente'!$A$2:$A$1000=$A981)*(('Agences &amp; Après-vente'!$D$2:$D$1000="Agences")+('Agences &amp; Après-vente'!$D$2:$D$1000="Agences et Après-vente"))*('Agences &amp; Après-vente'!$I$2:$I$1000="DONE"))&gt;0,"✓",IF(SUMPRODUCT(MAX(('Agences &amp; Après-vente'!$A$2:$A$1000=$A981)*(('Agences &amp; Après-vente'!$D$2:$D$1000="Agences")+('Agences &amp; Après-vente'!$D$2:$D$1000="Agences et Après-vente"))*'Agences &amp; Après-vente'!$E$2:$E$1000))&gt;0,TEXT(SUMPRODUCT(MAX(('Agences &amp; Après-vente'!$A$2:$A$1000=$A981)*(('Agences &amp; Après-vente'!$D$2:$D$1000="Agences")+('Agences &amp; Après-vente'!$D$2:$D$1000="Agences et Après-vente"))*'Agences &amp; Après-vente'!$E$2:$E$1000)),"yyyy-mm-dd"),""))))))</f>
        <v/>
      </c>
      <c r="I981" s="131" t="str">
        <f aca="false">IF($S981="✓","✓",IF(ISNUMBER($S981),TEXT($S981,"yyyy-mm-dd"),IF($A981="","",IF(SUMPRODUCT(('Agences &amp; Après-vente'!$A$2:$A$1000=$A981)*(('Agences &amp; Après-vente'!$D$2:$D$1000="Après-vente")+('Agences &amp; Après-vente'!$D$2:$D$1000="Agences et Après-vente"))*('Agences &amp; Après-vente'!$I$2:$I$1000="DONE"))&gt;0,"✓",IF(SUMPRODUCT(MAX(('Agences &amp; Après-vente'!$A$2:$A$1000=$A981)*(('Agences &amp; Après-vente'!$D$2:$D$1000="Après-vente")+('Agences &amp; Après-vente'!$D$2:$D$1000="Agences et Après-vente"))*'Agences &amp; Après-vente'!$E$2:$E$1000))&gt;0,TEXT(SUMPRODUCT(MAX(('Agences &amp; Après-vente'!$A$2:$A$1000=$A981)*(('Agences &amp; Après-vente'!$D$2:$D$1000="Après-vente")+('Agences &amp; Après-vente'!$D$2:$D$1000="Agences et Après-vente"))*'Agences &amp; Après-vente'!$E$2:$E$1000)),"yyyy-mm-dd"),"")))))</f>
        <v/>
      </c>
      <c r="J981" s="131" t="str">
        <f aca="false">IF($T981="✓","✓",IF(ISNUMBER($T981),TEXT($T981,"yyyy-mm-dd"),IF($A981="","",IF($D981="Lisbonne","",IF(SUMPRODUCT(('Agences &amp; Après-vente'!$A$2:$A$1000=$A981)*(('Agences &amp; Après-vente'!$D$2:$D$1000="Après-vente")+('Agences &amp; Après-vente'!$D$2:$D$1000="Agences et Après-vente"))*('Agences &amp; Après-vente'!$I$2:$I$1000="DONE"))&gt;0,"✓",IF(SUMPRODUCT(MAX(('Agences &amp; Après-vente'!$A$2:$A$1000=$A981)*(('Agences &amp; Après-vente'!$D$2:$D$1000="Après-vente")+('Agences &amp; Après-vente'!$D$2:$D$1000="Agences et Après-vente"))*'Agences &amp; Après-vente'!$E$2:$E$1000))&gt;0,TEXT(SUMPRODUCT(MAX(('Agences &amp; Après-vente'!$A$2:$A$1000=$A981)*(('Agences &amp; Après-vente'!$D$2:$D$1000="Après-vente")+('Agences &amp; Après-vente'!$D$2:$D$1000="Agences et Après-vente"))*'Agences &amp; Après-vente'!$E$2:$E$1000)),"yyyy-mm-dd"),""))))))</f>
        <v/>
      </c>
      <c r="K981" s="131" t="str">
        <f aca="false">IF($U981="✓","✓",IF(ISNUMBER($U981),TEXT($U981,"yyyy-mm-dd"),IF($D981="Lisbonne","",IF($A981="","",IF(SUMPRODUCT((Evermont!$A$2:$A$1000=$A981)*(Evermont!$Q$2:$Q$1000="Terminé"))&gt;0,"✓",IF(SUMPRODUCT(MAX((Evermont!$A$2:$A$1000=$A981)*Evermont!$F$2:$F$1000))&gt;0,TEXT(SUMPRODUCT(MAX((Evermont!$A$2:$A$1000=$A981)*Evermont!$F$2:$F$1000)),"yyyy-mm-dd"),""))))))</f>
        <v/>
      </c>
      <c r="L981" s="131" t="str">
        <f aca="false">IF($A981="","",COUNTIF(E981:K981,"✓"))</f>
        <v/>
      </c>
      <c r="M981" s="131" t="str">
        <f aca="false">IF(B981="","","Active")</f>
        <v/>
      </c>
      <c r="W981" s="120" t="str">
        <f aca="false">IF($A981="","",IF($X981&lt;&gt;"",$X981,IFERROR(INDEX('Formation Initiale'!$B$2:$B$999,MATCH($A981,'Formation Initiale'!$A$2:$A$999,0)),"Général")))</f>
        <v/>
      </c>
    </row>
    <row r="982" customFormat="false" ht="15" hidden="true" customHeight="true" outlineLevel="0" collapsed="false">
      <c r="A982" s="142" t="str">
        <f aca="false">IF(B982="","","TR"&amp;TEXT(ROW()-1,"000"))</f>
        <v/>
      </c>
      <c r="E982" s="130" t="str">
        <f aca="false">IF($O982="✓","✓",IF(ISNUMBER($O982),TEXT($O982,"yyyy-mm-dd"),IF($A982="","",IF(SUMPRODUCT(('Formation Initiale'!$A$2:$A$999=$A982)*('Formation Initiale'!$R$2:$R$999="Terminé"))&gt;0,"✓",IF(SUMPRODUCT(MAX(('Formation Initiale'!$A$2:$A$999=$A982)*'Formation Initiale'!$G$2:$G$999))&gt;0,TEXT(SUMPRODUCT(MAX(('Formation Initiale'!$A$2:$A$999=$A982)*'Formation Initiale'!$G$2:$G$999)),"yyyy-mm-dd"),"")))))</f>
        <v/>
      </c>
      <c r="F982" s="131" t="str">
        <f aca="false">IF($P982="✓","✓",IF(ISNUMBER($P982),TEXT($P982,"yyyy-mm-dd"),IF($A982="","",IF($D982="Lisbonne","",IF(SUMPRODUCT(('Formation Initiale'!$A$2:$A$999=$A982)*('Formation Initiale'!$R$2:$R$999="Terminé"))&gt;0,"✓",IF(SUMPRODUCT(MAX(('Formation Initiale'!$A$2:$A$999=$A982)*'Formation Initiale'!$G$2:$G$999))&gt;0,TEXT(SUMPRODUCT(MAX(('Formation Initiale'!$A$2:$A$999=$A982)*'Formation Initiale'!$G$2:$G$999)),"yyyy-mm-dd"),""))))))</f>
        <v/>
      </c>
      <c r="G982" s="131" t="str">
        <f aca="false">IF($Q982="✓","✓",IF(ISNUMBER($Q982),TEXT($Q982,"yyyy-mm-dd"),IF($A982="","",IF(SUMPRODUCT(('Agences &amp; Après-vente'!$A$2:$A$1000=$A982)*(('Agences &amp; Après-vente'!$D$2:$D$1000="Agences")+('Agences &amp; Après-vente'!$D$2:$D$1000="Agences et Après-vente"))*('Agences &amp; Après-vente'!$I$2:$I$1000="DONE"))&gt;0,"✓",IF(SUMPRODUCT(MAX(('Agences &amp; Après-vente'!$A$2:$A$1000=$A982)*(('Agences &amp; Après-vente'!$D$2:$D$1000="Agences")+('Agences &amp; Après-vente'!$D$2:$D$1000="Agences et Après-vente"))*'Agences &amp; Après-vente'!$E$2:$E$1000))&gt;0,TEXT(SUMPRODUCT(MAX(('Agences &amp; Après-vente'!$A$2:$A$1000=$A982)*(('Agences &amp; Après-vente'!$D$2:$D$1000="Agences")+('Agences &amp; Après-vente'!$D$2:$D$1000="Agences et Après-vente"))*'Agences &amp; Après-vente'!$E$2:$E$1000)),"yyyy-mm-dd"),"")))))</f>
        <v/>
      </c>
      <c r="H982" s="131" t="str">
        <f aca="false">IF($R982="✓","✓",IF(ISNUMBER($R982),TEXT($R982,"yyyy-mm-dd"),IF($A982="","",IF($D982="Lisbonne","",IF(SUMPRODUCT(('Agences &amp; Après-vente'!$A$2:$A$1000=$A982)*(('Agences &amp; Après-vente'!$D$2:$D$1000="Agences")+('Agences &amp; Après-vente'!$D$2:$D$1000="Agences et Après-vente"))*('Agences &amp; Après-vente'!$I$2:$I$1000="DONE"))&gt;0,"✓",IF(SUMPRODUCT(MAX(('Agences &amp; Après-vente'!$A$2:$A$1000=$A982)*(('Agences &amp; Après-vente'!$D$2:$D$1000="Agences")+('Agences &amp; Après-vente'!$D$2:$D$1000="Agences et Après-vente"))*'Agences &amp; Après-vente'!$E$2:$E$1000))&gt;0,TEXT(SUMPRODUCT(MAX(('Agences &amp; Après-vente'!$A$2:$A$1000=$A982)*(('Agences &amp; Après-vente'!$D$2:$D$1000="Agences")+('Agences &amp; Après-vente'!$D$2:$D$1000="Agences et Après-vente"))*'Agences &amp; Après-vente'!$E$2:$E$1000)),"yyyy-mm-dd"),""))))))</f>
        <v/>
      </c>
      <c r="I982" s="131" t="str">
        <f aca="false">IF($S982="✓","✓",IF(ISNUMBER($S982),TEXT($S982,"yyyy-mm-dd"),IF($A982="","",IF(SUMPRODUCT(('Agences &amp; Après-vente'!$A$2:$A$1000=$A982)*(('Agences &amp; Après-vente'!$D$2:$D$1000="Après-vente")+('Agences &amp; Après-vente'!$D$2:$D$1000="Agences et Après-vente"))*('Agences &amp; Après-vente'!$I$2:$I$1000="DONE"))&gt;0,"✓",IF(SUMPRODUCT(MAX(('Agences &amp; Après-vente'!$A$2:$A$1000=$A982)*(('Agences &amp; Après-vente'!$D$2:$D$1000="Après-vente")+('Agences &amp; Après-vente'!$D$2:$D$1000="Agences et Après-vente"))*'Agences &amp; Après-vente'!$E$2:$E$1000))&gt;0,TEXT(SUMPRODUCT(MAX(('Agences &amp; Après-vente'!$A$2:$A$1000=$A982)*(('Agences &amp; Après-vente'!$D$2:$D$1000="Après-vente")+('Agences &amp; Après-vente'!$D$2:$D$1000="Agences et Après-vente"))*'Agences &amp; Après-vente'!$E$2:$E$1000)),"yyyy-mm-dd"),"")))))</f>
        <v/>
      </c>
      <c r="J982" s="131" t="str">
        <f aca="false">IF($T982="✓","✓",IF(ISNUMBER($T982),TEXT($T982,"yyyy-mm-dd"),IF($A982="","",IF($D982="Lisbonne","",IF(SUMPRODUCT(('Agences &amp; Après-vente'!$A$2:$A$1000=$A982)*(('Agences &amp; Après-vente'!$D$2:$D$1000="Après-vente")+('Agences &amp; Après-vente'!$D$2:$D$1000="Agences et Après-vente"))*('Agences &amp; Après-vente'!$I$2:$I$1000="DONE"))&gt;0,"✓",IF(SUMPRODUCT(MAX(('Agences &amp; Après-vente'!$A$2:$A$1000=$A982)*(('Agences &amp; Après-vente'!$D$2:$D$1000="Après-vente")+('Agences &amp; Après-vente'!$D$2:$D$1000="Agences et Après-vente"))*'Agences &amp; Après-vente'!$E$2:$E$1000))&gt;0,TEXT(SUMPRODUCT(MAX(('Agences &amp; Après-vente'!$A$2:$A$1000=$A982)*(('Agences &amp; Après-vente'!$D$2:$D$1000="Après-vente")+('Agences &amp; Après-vente'!$D$2:$D$1000="Agences et Après-vente"))*'Agences &amp; Après-vente'!$E$2:$E$1000)),"yyyy-mm-dd"),""))))))</f>
        <v/>
      </c>
      <c r="K982" s="131" t="str">
        <f aca="false">IF($U982="✓","✓",IF(ISNUMBER($U982),TEXT($U982,"yyyy-mm-dd"),IF($D982="Lisbonne","",IF($A982="","",IF(SUMPRODUCT((Evermont!$A$2:$A$1000=$A982)*(Evermont!$Q$2:$Q$1000="Terminé"))&gt;0,"✓",IF(SUMPRODUCT(MAX((Evermont!$A$2:$A$1000=$A982)*Evermont!$F$2:$F$1000))&gt;0,TEXT(SUMPRODUCT(MAX((Evermont!$A$2:$A$1000=$A982)*Evermont!$F$2:$F$1000)),"yyyy-mm-dd"),""))))))</f>
        <v/>
      </c>
      <c r="L982" s="131" t="str">
        <f aca="false">IF($A982="","",COUNTIF(E982:K982,"✓"))</f>
        <v/>
      </c>
      <c r="M982" s="131" t="str">
        <f aca="false">IF(B982="","","Active")</f>
        <v/>
      </c>
      <c r="W982" s="120" t="str">
        <f aca="false">IF($A982="","",IF($X982&lt;&gt;"",$X982,IFERROR(INDEX('Formation Initiale'!$B$2:$B$999,MATCH($A982,'Formation Initiale'!$A$2:$A$999,0)),"Général")))</f>
        <v/>
      </c>
    </row>
    <row r="983" customFormat="false" ht="15" hidden="true" customHeight="true" outlineLevel="0" collapsed="false">
      <c r="A983" s="142" t="str">
        <f aca="false">IF(B983="","","TR"&amp;TEXT(ROW()-1,"000"))</f>
        <v/>
      </c>
      <c r="E983" s="130" t="str">
        <f aca="false">IF($O983="✓","✓",IF(ISNUMBER($O983),TEXT($O983,"yyyy-mm-dd"),IF($A983="","",IF(SUMPRODUCT(('Formation Initiale'!$A$2:$A$999=$A983)*('Formation Initiale'!$R$2:$R$999="Terminé"))&gt;0,"✓",IF(SUMPRODUCT(MAX(('Formation Initiale'!$A$2:$A$999=$A983)*'Formation Initiale'!$G$2:$G$999))&gt;0,TEXT(SUMPRODUCT(MAX(('Formation Initiale'!$A$2:$A$999=$A983)*'Formation Initiale'!$G$2:$G$999)),"yyyy-mm-dd"),"")))))</f>
        <v/>
      </c>
      <c r="F983" s="131" t="str">
        <f aca="false">IF($P983="✓","✓",IF(ISNUMBER($P983),TEXT($P983,"yyyy-mm-dd"),IF($A983="","",IF($D983="Lisbonne","",IF(SUMPRODUCT(('Formation Initiale'!$A$2:$A$999=$A983)*('Formation Initiale'!$R$2:$R$999="Terminé"))&gt;0,"✓",IF(SUMPRODUCT(MAX(('Formation Initiale'!$A$2:$A$999=$A983)*'Formation Initiale'!$G$2:$G$999))&gt;0,TEXT(SUMPRODUCT(MAX(('Formation Initiale'!$A$2:$A$999=$A983)*'Formation Initiale'!$G$2:$G$999)),"yyyy-mm-dd"),""))))))</f>
        <v/>
      </c>
      <c r="G983" s="131" t="str">
        <f aca="false">IF($Q983="✓","✓",IF(ISNUMBER($Q983),TEXT($Q983,"yyyy-mm-dd"),IF($A983="","",IF(SUMPRODUCT(('Agences &amp; Après-vente'!$A$2:$A$1000=$A983)*(('Agences &amp; Après-vente'!$D$2:$D$1000="Agences")+('Agences &amp; Après-vente'!$D$2:$D$1000="Agences et Après-vente"))*('Agences &amp; Après-vente'!$I$2:$I$1000="DONE"))&gt;0,"✓",IF(SUMPRODUCT(MAX(('Agences &amp; Après-vente'!$A$2:$A$1000=$A983)*(('Agences &amp; Après-vente'!$D$2:$D$1000="Agences")+('Agences &amp; Après-vente'!$D$2:$D$1000="Agences et Après-vente"))*'Agences &amp; Après-vente'!$E$2:$E$1000))&gt;0,TEXT(SUMPRODUCT(MAX(('Agences &amp; Après-vente'!$A$2:$A$1000=$A983)*(('Agences &amp; Après-vente'!$D$2:$D$1000="Agences")+('Agences &amp; Après-vente'!$D$2:$D$1000="Agences et Après-vente"))*'Agences &amp; Après-vente'!$E$2:$E$1000)),"yyyy-mm-dd"),"")))))</f>
        <v/>
      </c>
      <c r="H983" s="131" t="str">
        <f aca="false">IF($R983="✓","✓",IF(ISNUMBER($R983),TEXT($R983,"yyyy-mm-dd"),IF($A983="","",IF($D983="Lisbonne","",IF(SUMPRODUCT(('Agences &amp; Après-vente'!$A$2:$A$1000=$A983)*(('Agences &amp; Après-vente'!$D$2:$D$1000="Agences")+('Agences &amp; Après-vente'!$D$2:$D$1000="Agences et Après-vente"))*('Agences &amp; Après-vente'!$I$2:$I$1000="DONE"))&gt;0,"✓",IF(SUMPRODUCT(MAX(('Agences &amp; Après-vente'!$A$2:$A$1000=$A983)*(('Agences &amp; Après-vente'!$D$2:$D$1000="Agences")+('Agences &amp; Après-vente'!$D$2:$D$1000="Agences et Après-vente"))*'Agences &amp; Après-vente'!$E$2:$E$1000))&gt;0,TEXT(SUMPRODUCT(MAX(('Agences &amp; Après-vente'!$A$2:$A$1000=$A983)*(('Agences &amp; Après-vente'!$D$2:$D$1000="Agences")+('Agences &amp; Après-vente'!$D$2:$D$1000="Agences et Après-vente"))*'Agences &amp; Après-vente'!$E$2:$E$1000)),"yyyy-mm-dd"),""))))))</f>
        <v/>
      </c>
      <c r="I983" s="131" t="str">
        <f aca="false">IF($S983="✓","✓",IF(ISNUMBER($S983),TEXT($S983,"yyyy-mm-dd"),IF($A983="","",IF(SUMPRODUCT(('Agences &amp; Après-vente'!$A$2:$A$1000=$A983)*(('Agences &amp; Après-vente'!$D$2:$D$1000="Après-vente")+('Agences &amp; Après-vente'!$D$2:$D$1000="Agences et Après-vente"))*('Agences &amp; Après-vente'!$I$2:$I$1000="DONE"))&gt;0,"✓",IF(SUMPRODUCT(MAX(('Agences &amp; Après-vente'!$A$2:$A$1000=$A983)*(('Agences &amp; Après-vente'!$D$2:$D$1000="Après-vente")+('Agences &amp; Après-vente'!$D$2:$D$1000="Agences et Après-vente"))*'Agences &amp; Après-vente'!$E$2:$E$1000))&gt;0,TEXT(SUMPRODUCT(MAX(('Agences &amp; Après-vente'!$A$2:$A$1000=$A983)*(('Agences &amp; Après-vente'!$D$2:$D$1000="Après-vente")+('Agences &amp; Après-vente'!$D$2:$D$1000="Agences et Après-vente"))*'Agences &amp; Après-vente'!$E$2:$E$1000)),"yyyy-mm-dd"),"")))))</f>
        <v/>
      </c>
      <c r="J983" s="131" t="str">
        <f aca="false">IF($T983="✓","✓",IF(ISNUMBER($T983),TEXT($T983,"yyyy-mm-dd"),IF($A983="","",IF($D983="Lisbonne","",IF(SUMPRODUCT(('Agences &amp; Après-vente'!$A$2:$A$1000=$A983)*(('Agences &amp; Après-vente'!$D$2:$D$1000="Après-vente")+('Agences &amp; Après-vente'!$D$2:$D$1000="Agences et Après-vente"))*('Agences &amp; Après-vente'!$I$2:$I$1000="DONE"))&gt;0,"✓",IF(SUMPRODUCT(MAX(('Agences &amp; Après-vente'!$A$2:$A$1000=$A983)*(('Agences &amp; Après-vente'!$D$2:$D$1000="Après-vente")+('Agences &amp; Après-vente'!$D$2:$D$1000="Agences et Après-vente"))*'Agences &amp; Après-vente'!$E$2:$E$1000))&gt;0,TEXT(SUMPRODUCT(MAX(('Agences &amp; Après-vente'!$A$2:$A$1000=$A983)*(('Agences &amp; Après-vente'!$D$2:$D$1000="Après-vente")+('Agences &amp; Après-vente'!$D$2:$D$1000="Agences et Après-vente"))*'Agences &amp; Après-vente'!$E$2:$E$1000)),"yyyy-mm-dd"),""))))))</f>
        <v/>
      </c>
      <c r="K983" s="131" t="str">
        <f aca="false">IF($U983="✓","✓",IF(ISNUMBER($U983),TEXT($U983,"yyyy-mm-dd"),IF($D983="Lisbonne","",IF($A983="","",IF(SUMPRODUCT((Evermont!$A$2:$A$1000=$A983)*(Evermont!$Q$2:$Q$1000="Terminé"))&gt;0,"✓",IF(SUMPRODUCT(MAX((Evermont!$A$2:$A$1000=$A983)*Evermont!$F$2:$F$1000))&gt;0,TEXT(SUMPRODUCT(MAX((Evermont!$A$2:$A$1000=$A983)*Evermont!$F$2:$F$1000)),"yyyy-mm-dd"),""))))))</f>
        <v/>
      </c>
      <c r="L983" s="131" t="str">
        <f aca="false">IF($A983="","",COUNTIF(E983:K983,"✓"))</f>
        <v/>
      </c>
      <c r="M983" s="131" t="str">
        <f aca="false">IF(B983="","","Active")</f>
        <v/>
      </c>
      <c r="W983" s="120" t="str">
        <f aca="false">IF($A983="","",IF($X983&lt;&gt;"",$X983,IFERROR(INDEX('Formation Initiale'!$B$2:$B$999,MATCH($A983,'Formation Initiale'!$A$2:$A$999,0)),"Général")))</f>
        <v/>
      </c>
    </row>
    <row r="984" customFormat="false" ht="15" hidden="true" customHeight="true" outlineLevel="0" collapsed="false">
      <c r="A984" s="142" t="str">
        <f aca="false">IF(B984="","","TR"&amp;TEXT(ROW()-1,"000"))</f>
        <v/>
      </c>
      <c r="E984" s="130" t="str">
        <f aca="false">IF($O984="✓","✓",IF(ISNUMBER($O984),TEXT($O984,"yyyy-mm-dd"),IF($A984="","",IF(SUMPRODUCT(('Formation Initiale'!$A$2:$A$999=$A984)*('Formation Initiale'!$R$2:$R$999="Terminé"))&gt;0,"✓",IF(SUMPRODUCT(MAX(('Formation Initiale'!$A$2:$A$999=$A984)*'Formation Initiale'!$G$2:$G$999))&gt;0,TEXT(SUMPRODUCT(MAX(('Formation Initiale'!$A$2:$A$999=$A984)*'Formation Initiale'!$G$2:$G$999)),"yyyy-mm-dd"),"")))))</f>
        <v/>
      </c>
      <c r="F984" s="131" t="str">
        <f aca="false">IF($P984="✓","✓",IF(ISNUMBER($P984),TEXT($P984,"yyyy-mm-dd"),IF($A984="","",IF($D984="Lisbonne","",IF(SUMPRODUCT(('Formation Initiale'!$A$2:$A$999=$A984)*('Formation Initiale'!$R$2:$R$999="Terminé"))&gt;0,"✓",IF(SUMPRODUCT(MAX(('Formation Initiale'!$A$2:$A$999=$A984)*'Formation Initiale'!$G$2:$G$999))&gt;0,TEXT(SUMPRODUCT(MAX(('Formation Initiale'!$A$2:$A$999=$A984)*'Formation Initiale'!$G$2:$G$999)),"yyyy-mm-dd"),""))))))</f>
        <v/>
      </c>
      <c r="G984" s="131" t="str">
        <f aca="false">IF($Q984="✓","✓",IF(ISNUMBER($Q984),TEXT($Q984,"yyyy-mm-dd"),IF($A984="","",IF(SUMPRODUCT(('Agences &amp; Après-vente'!$A$2:$A$1000=$A984)*(('Agences &amp; Après-vente'!$D$2:$D$1000="Agences")+('Agences &amp; Après-vente'!$D$2:$D$1000="Agences et Après-vente"))*('Agences &amp; Après-vente'!$I$2:$I$1000="DONE"))&gt;0,"✓",IF(SUMPRODUCT(MAX(('Agences &amp; Après-vente'!$A$2:$A$1000=$A984)*(('Agences &amp; Après-vente'!$D$2:$D$1000="Agences")+('Agences &amp; Après-vente'!$D$2:$D$1000="Agences et Après-vente"))*'Agences &amp; Après-vente'!$E$2:$E$1000))&gt;0,TEXT(SUMPRODUCT(MAX(('Agences &amp; Après-vente'!$A$2:$A$1000=$A984)*(('Agences &amp; Après-vente'!$D$2:$D$1000="Agences")+('Agences &amp; Après-vente'!$D$2:$D$1000="Agences et Après-vente"))*'Agences &amp; Après-vente'!$E$2:$E$1000)),"yyyy-mm-dd"),"")))))</f>
        <v/>
      </c>
      <c r="H984" s="131" t="str">
        <f aca="false">IF($R984="✓","✓",IF(ISNUMBER($R984),TEXT($R984,"yyyy-mm-dd"),IF($A984="","",IF($D984="Lisbonne","",IF(SUMPRODUCT(('Agences &amp; Après-vente'!$A$2:$A$1000=$A984)*(('Agences &amp; Après-vente'!$D$2:$D$1000="Agences")+('Agences &amp; Après-vente'!$D$2:$D$1000="Agences et Après-vente"))*('Agences &amp; Après-vente'!$I$2:$I$1000="DONE"))&gt;0,"✓",IF(SUMPRODUCT(MAX(('Agences &amp; Après-vente'!$A$2:$A$1000=$A984)*(('Agences &amp; Après-vente'!$D$2:$D$1000="Agences")+('Agences &amp; Après-vente'!$D$2:$D$1000="Agences et Après-vente"))*'Agences &amp; Après-vente'!$E$2:$E$1000))&gt;0,TEXT(SUMPRODUCT(MAX(('Agences &amp; Après-vente'!$A$2:$A$1000=$A984)*(('Agences &amp; Après-vente'!$D$2:$D$1000="Agences")+('Agences &amp; Après-vente'!$D$2:$D$1000="Agences et Après-vente"))*'Agences &amp; Après-vente'!$E$2:$E$1000)),"yyyy-mm-dd"),""))))))</f>
        <v/>
      </c>
      <c r="I984" s="131" t="str">
        <f aca="false">IF($S984="✓","✓",IF(ISNUMBER($S984),TEXT($S984,"yyyy-mm-dd"),IF($A984="","",IF(SUMPRODUCT(('Agences &amp; Après-vente'!$A$2:$A$1000=$A984)*(('Agences &amp; Après-vente'!$D$2:$D$1000="Après-vente")+('Agences &amp; Après-vente'!$D$2:$D$1000="Agences et Après-vente"))*('Agences &amp; Après-vente'!$I$2:$I$1000="DONE"))&gt;0,"✓",IF(SUMPRODUCT(MAX(('Agences &amp; Après-vente'!$A$2:$A$1000=$A984)*(('Agences &amp; Après-vente'!$D$2:$D$1000="Après-vente")+('Agences &amp; Après-vente'!$D$2:$D$1000="Agences et Après-vente"))*'Agences &amp; Après-vente'!$E$2:$E$1000))&gt;0,TEXT(SUMPRODUCT(MAX(('Agences &amp; Après-vente'!$A$2:$A$1000=$A984)*(('Agences &amp; Après-vente'!$D$2:$D$1000="Après-vente")+('Agences &amp; Après-vente'!$D$2:$D$1000="Agences et Après-vente"))*'Agences &amp; Après-vente'!$E$2:$E$1000)),"yyyy-mm-dd"),"")))))</f>
        <v/>
      </c>
      <c r="J984" s="131" t="str">
        <f aca="false">IF($T984="✓","✓",IF(ISNUMBER($T984),TEXT($T984,"yyyy-mm-dd"),IF($A984="","",IF($D984="Lisbonne","",IF(SUMPRODUCT(('Agences &amp; Après-vente'!$A$2:$A$1000=$A984)*(('Agences &amp; Après-vente'!$D$2:$D$1000="Après-vente")+('Agences &amp; Après-vente'!$D$2:$D$1000="Agences et Après-vente"))*('Agences &amp; Après-vente'!$I$2:$I$1000="DONE"))&gt;0,"✓",IF(SUMPRODUCT(MAX(('Agences &amp; Après-vente'!$A$2:$A$1000=$A984)*(('Agences &amp; Après-vente'!$D$2:$D$1000="Après-vente")+('Agences &amp; Après-vente'!$D$2:$D$1000="Agences et Après-vente"))*'Agences &amp; Après-vente'!$E$2:$E$1000))&gt;0,TEXT(SUMPRODUCT(MAX(('Agences &amp; Après-vente'!$A$2:$A$1000=$A984)*(('Agences &amp; Après-vente'!$D$2:$D$1000="Après-vente")+('Agences &amp; Après-vente'!$D$2:$D$1000="Agences et Après-vente"))*'Agences &amp; Après-vente'!$E$2:$E$1000)),"yyyy-mm-dd"),""))))))</f>
        <v/>
      </c>
      <c r="K984" s="131" t="str">
        <f aca="false">IF($U984="✓","✓",IF(ISNUMBER($U984),TEXT($U984,"yyyy-mm-dd"),IF($D984="Lisbonne","",IF($A984="","",IF(SUMPRODUCT((Evermont!$A$2:$A$1000=$A984)*(Evermont!$Q$2:$Q$1000="Terminé"))&gt;0,"✓",IF(SUMPRODUCT(MAX((Evermont!$A$2:$A$1000=$A984)*Evermont!$F$2:$F$1000))&gt;0,TEXT(SUMPRODUCT(MAX((Evermont!$A$2:$A$1000=$A984)*Evermont!$F$2:$F$1000)),"yyyy-mm-dd"),""))))))</f>
        <v/>
      </c>
      <c r="L984" s="131" t="str">
        <f aca="false">IF($A984="","",COUNTIF(E984:K984,"✓"))</f>
        <v/>
      </c>
      <c r="M984" s="131" t="str">
        <f aca="false">IF(B984="","","Active")</f>
        <v/>
      </c>
      <c r="W984" s="120" t="str">
        <f aca="false">IF($A984="","",IF($X984&lt;&gt;"",$X984,IFERROR(INDEX('Formation Initiale'!$B$2:$B$999,MATCH($A984,'Formation Initiale'!$A$2:$A$999,0)),"Général")))</f>
        <v/>
      </c>
    </row>
    <row r="985" customFormat="false" ht="15" hidden="true" customHeight="true" outlineLevel="0" collapsed="false">
      <c r="A985" s="142" t="str">
        <f aca="false">IF(B985="","","TR"&amp;TEXT(ROW()-1,"000"))</f>
        <v/>
      </c>
      <c r="E985" s="130" t="str">
        <f aca="false">IF($O985="✓","✓",IF(ISNUMBER($O985),TEXT($O985,"yyyy-mm-dd"),IF($A985="","",IF(SUMPRODUCT(('Formation Initiale'!$A$2:$A$999=$A985)*('Formation Initiale'!$R$2:$R$999="Terminé"))&gt;0,"✓",IF(SUMPRODUCT(MAX(('Formation Initiale'!$A$2:$A$999=$A985)*'Formation Initiale'!$G$2:$G$999))&gt;0,TEXT(SUMPRODUCT(MAX(('Formation Initiale'!$A$2:$A$999=$A985)*'Formation Initiale'!$G$2:$G$999)),"yyyy-mm-dd"),"")))))</f>
        <v/>
      </c>
      <c r="F985" s="131" t="str">
        <f aca="false">IF($P985="✓","✓",IF(ISNUMBER($P985),TEXT($P985,"yyyy-mm-dd"),IF($A985="","",IF($D985="Lisbonne","",IF(SUMPRODUCT(('Formation Initiale'!$A$2:$A$999=$A985)*('Formation Initiale'!$R$2:$R$999="Terminé"))&gt;0,"✓",IF(SUMPRODUCT(MAX(('Formation Initiale'!$A$2:$A$999=$A985)*'Formation Initiale'!$G$2:$G$999))&gt;0,TEXT(SUMPRODUCT(MAX(('Formation Initiale'!$A$2:$A$999=$A985)*'Formation Initiale'!$G$2:$G$999)),"yyyy-mm-dd"),""))))))</f>
        <v/>
      </c>
      <c r="G985" s="131" t="str">
        <f aca="false">IF($Q985="✓","✓",IF(ISNUMBER($Q985),TEXT($Q985,"yyyy-mm-dd"),IF($A985="","",IF(SUMPRODUCT(('Agences &amp; Après-vente'!$A$2:$A$1000=$A985)*(('Agences &amp; Après-vente'!$D$2:$D$1000="Agences")+('Agences &amp; Après-vente'!$D$2:$D$1000="Agences et Après-vente"))*('Agences &amp; Après-vente'!$I$2:$I$1000="DONE"))&gt;0,"✓",IF(SUMPRODUCT(MAX(('Agences &amp; Après-vente'!$A$2:$A$1000=$A985)*(('Agences &amp; Après-vente'!$D$2:$D$1000="Agences")+('Agences &amp; Après-vente'!$D$2:$D$1000="Agences et Après-vente"))*'Agences &amp; Après-vente'!$E$2:$E$1000))&gt;0,TEXT(SUMPRODUCT(MAX(('Agences &amp; Après-vente'!$A$2:$A$1000=$A985)*(('Agences &amp; Après-vente'!$D$2:$D$1000="Agences")+('Agences &amp; Après-vente'!$D$2:$D$1000="Agences et Après-vente"))*'Agences &amp; Après-vente'!$E$2:$E$1000)),"yyyy-mm-dd"),"")))))</f>
        <v/>
      </c>
      <c r="H985" s="131" t="str">
        <f aca="false">IF($R985="✓","✓",IF(ISNUMBER($R985),TEXT($R985,"yyyy-mm-dd"),IF($A985="","",IF($D985="Lisbonne","",IF(SUMPRODUCT(('Agences &amp; Après-vente'!$A$2:$A$1000=$A985)*(('Agences &amp; Après-vente'!$D$2:$D$1000="Agences")+('Agences &amp; Après-vente'!$D$2:$D$1000="Agences et Après-vente"))*('Agences &amp; Après-vente'!$I$2:$I$1000="DONE"))&gt;0,"✓",IF(SUMPRODUCT(MAX(('Agences &amp; Après-vente'!$A$2:$A$1000=$A985)*(('Agences &amp; Après-vente'!$D$2:$D$1000="Agences")+('Agences &amp; Après-vente'!$D$2:$D$1000="Agences et Après-vente"))*'Agences &amp; Après-vente'!$E$2:$E$1000))&gt;0,TEXT(SUMPRODUCT(MAX(('Agences &amp; Après-vente'!$A$2:$A$1000=$A985)*(('Agences &amp; Après-vente'!$D$2:$D$1000="Agences")+('Agences &amp; Après-vente'!$D$2:$D$1000="Agences et Après-vente"))*'Agences &amp; Après-vente'!$E$2:$E$1000)),"yyyy-mm-dd"),""))))))</f>
        <v/>
      </c>
      <c r="I985" s="131" t="str">
        <f aca="false">IF($S985="✓","✓",IF(ISNUMBER($S985),TEXT($S985,"yyyy-mm-dd"),IF($A985="","",IF(SUMPRODUCT(('Agences &amp; Après-vente'!$A$2:$A$1000=$A985)*(('Agences &amp; Après-vente'!$D$2:$D$1000="Après-vente")+('Agences &amp; Après-vente'!$D$2:$D$1000="Agences et Après-vente"))*('Agences &amp; Après-vente'!$I$2:$I$1000="DONE"))&gt;0,"✓",IF(SUMPRODUCT(MAX(('Agences &amp; Après-vente'!$A$2:$A$1000=$A985)*(('Agences &amp; Après-vente'!$D$2:$D$1000="Après-vente")+('Agences &amp; Après-vente'!$D$2:$D$1000="Agences et Après-vente"))*'Agences &amp; Après-vente'!$E$2:$E$1000))&gt;0,TEXT(SUMPRODUCT(MAX(('Agences &amp; Après-vente'!$A$2:$A$1000=$A985)*(('Agences &amp; Après-vente'!$D$2:$D$1000="Après-vente")+('Agences &amp; Après-vente'!$D$2:$D$1000="Agences et Après-vente"))*'Agences &amp; Après-vente'!$E$2:$E$1000)),"yyyy-mm-dd"),"")))))</f>
        <v/>
      </c>
      <c r="J985" s="131" t="str">
        <f aca="false">IF($T985="✓","✓",IF(ISNUMBER($T985),TEXT($T985,"yyyy-mm-dd"),IF($A985="","",IF($D985="Lisbonne","",IF(SUMPRODUCT(('Agences &amp; Après-vente'!$A$2:$A$1000=$A985)*(('Agences &amp; Après-vente'!$D$2:$D$1000="Après-vente")+('Agences &amp; Après-vente'!$D$2:$D$1000="Agences et Après-vente"))*('Agences &amp; Après-vente'!$I$2:$I$1000="DONE"))&gt;0,"✓",IF(SUMPRODUCT(MAX(('Agences &amp; Après-vente'!$A$2:$A$1000=$A985)*(('Agences &amp; Après-vente'!$D$2:$D$1000="Après-vente")+('Agences &amp; Après-vente'!$D$2:$D$1000="Agences et Après-vente"))*'Agences &amp; Après-vente'!$E$2:$E$1000))&gt;0,TEXT(SUMPRODUCT(MAX(('Agences &amp; Après-vente'!$A$2:$A$1000=$A985)*(('Agences &amp; Après-vente'!$D$2:$D$1000="Après-vente")+('Agences &amp; Après-vente'!$D$2:$D$1000="Agences et Après-vente"))*'Agences &amp; Après-vente'!$E$2:$E$1000)),"yyyy-mm-dd"),""))))))</f>
        <v/>
      </c>
      <c r="K985" s="131" t="str">
        <f aca="false">IF($U985="✓","✓",IF(ISNUMBER($U985),TEXT($U985,"yyyy-mm-dd"),IF($D985="Lisbonne","",IF($A985="","",IF(SUMPRODUCT((Evermont!$A$2:$A$1000=$A985)*(Evermont!$Q$2:$Q$1000="Terminé"))&gt;0,"✓",IF(SUMPRODUCT(MAX((Evermont!$A$2:$A$1000=$A985)*Evermont!$F$2:$F$1000))&gt;0,TEXT(SUMPRODUCT(MAX((Evermont!$A$2:$A$1000=$A985)*Evermont!$F$2:$F$1000)),"yyyy-mm-dd"),""))))))</f>
        <v/>
      </c>
      <c r="L985" s="131" t="str">
        <f aca="false">IF($A985="","",COUNTIF(E985:K985,"✓"))</f>
        <v/>
      </c>
      <c r="M985" s="131" t="str">
        <f aca="false">IF(B985="","","Active")</f>
        <v/>
      </c>
      <c r="W985" s="120" t="str">
        <f aca="false">IF($A985="","",IF($X985&lt;&gt;"",$X985,IFERROR(INDEX('Formation Initiale'!$B$2:$B$999,MATCH($A985,'Formation Initiale'!$A$2:$A$999,0)),"Général")))</f>
        <v/>
      </c>
    </row>
    <row r="986" customFormat="false" ht="15" hidden="true" customHeight="true" outlineLevel="0" collapsed="false">
      <c r="A986" s="142" t="str">
        <f aca="false">IF(B986="","","TR"&amp;TEXT(ROW()-1,"000"))</f>
        <v/>
      </c>
      <c r="E986" s="130" t="str">
        <f aca="false">IF($O986="✓","✓",IF(ISNUMBER($O986),TEXT($O986,"yyyy-mm-dd"),IF($A986="","",IF(SUMPRODUCT(('Formation Initiale'!$A$2:$A$999=$A986)*('Formation Initiale'!$R$2:$R$999="Terminé"))&gt;0,"✓",IF(SUMPRODUCT(MAX(('Formation Initiale'!$A$2:$A$999=$A986)*'Formation Initiale'!$G$2:$G$999))&gt;0,TEXT(SUMPRODUCT(MAX(('Formation Initiale'!$A$2:$A$999=$A986)*'Formation Initiale'!$G$2:$G$999)),"yyyy-mm-dd"),"")))))</f>
        <v/>
      </c>
      <c r="F986" s="131" t="str">
        <f aca="false">IF($P986="✓","✓",IF(ISNUMBER($P986),TEXT($P986,"yyyy-mm-dd"),IF($A986="","",IF($D986="Lisbonne","",IF(SUMPRODUCT(('Formation Initiale'!$A$2:$A$999=$A986)*('Formation Initiale'!$R$2:$R$999="Terminé"))&gt;0,"✓",IF(SUMPRODUCT(MAX(('Formation Initiale'!$A$2:$A$999=$A986)*'Formation Initiale'!$G$2:$G$999))&gt;0,TEXT(SUMPRODUCT(MAX(('Formation Initiale'!$A$2:$A$999=$A986)*'Formation Initiale'!$G$2:$G$999)),"yyyy-mm-dd"),""))))))</f>
        <v/>
      </c>
      <c r="G986" s="131" t="str">
        <f aca="false">IF($Q986="✓","✓",IF(ISNUMBER($Q986),TEXT($Q986,"yyyy-mm-dd"),IF($A986="","",IF(SUMPRODUCT(('Agences &amp; Après-vente'!$A$2:$A$1000=$A986)*(('Agences &amp; Après-vente'!$D$2:$D$1000="Agences")+('Agences &amp; Après-vente'!$D$2:$D$1000="Agences et Après-vente"))*('Agences &amp; Après-vente'!$I$2:$I$1000="DONE"))&gt;0,"✓",IF(SUMPRODUCT(MAX(('Agences &amp; Après-vente'!$A$2:$A$1000=$A986)*(('Agences &amp; Après-vente'!$D$2:$D$1000="Agences")+('Agences &amp; Après-vente'!$D$2:$D$1000="Agences et Après-vente"))*'Agences &amp; Après-vente'!$E$2:$E$1000))&gt;0,TEXT(SUMPRODUCT(MAX(('Agences &amp; Après-vente'!$A$2:$A$1000=$A986)*(('Agences &amp; Après-vente'!$D$2:$D$1000="Agences")+('Agences &amp; Après-vente'!$D$2:$D$1000="Agences et Après-vente"))*'Agences &amp; Après-vente'!$E$2:$E$1000)),"yyyy-mm-dd"),"")))))</f>
        <v/>
      </c>
      <c r="H986" s="131" t="str">
        <f aca="false">IF($R986="✓","✓",IF(ISNUMBER($R986),TEXT($R986,"yyyy-mm-dd"),IF($A986="","",IF($D986="Lisbonne","",IF(SUMPRODUCT(('Agences &amp; Après-vente'!$A$2:$A$1000=$A986)*(('Agences &amp; Après-vente'!$D$2:$D$1000="Agences")+('Agences &amp; Après-vente'!$D$2:$D$1000="Agences et Après-vente"))*('Agences &amp; Après-vente'!$I$2:$I$1000="DONE"))&gt;0,"✓",IF(SUMPRODUCT(MAX(('Agences &amp; Après-vente'!$A$2:$A$1000=$A986)*(('Agences &amp; Après-vente'!$D$2:$D$1000="Agences")+('Agences &amp; Après-vente'!$D$2:$D$1000="Agences et Après-vente"))*'Agences &amp; Après-vente'!$E$2:$E$1000))&gt;0,TEXT(SUMPRODUCT(MAX(('Agences &amp; Après-vente'!$A$2:$A$1000=$A986)*(('Agences &amp; Après-vente'!$D$2:$D$1000="Agences")+('Agences &amp; Après-vente'!$D$2:$D$1000="Agences et Après-vente"))*'Agences &amp; Après-vente'!$E$2:$E$1000)),"yyyy-mm-dd"),""))))))</f>
        <v/>
      </c>
      <c r="I986" s="131" t="str">
        <f aca="false">IF($S986="✓","✓",IF(ISNUMBER($S986),TEXT($S986,"yyyy-mm-dd"),IF($A986="","",IF(SUMPRODUCT(('Agences &amp; Après-vente'!$A$2:$A$1000=$A986)*(('Agences &amp; Après-vente'!$D$2:$D$1000="Après-vente")+('Agences &amp; Après-vente'!$D$2:$D$1000="Agences et Après-vente"))*('Agences &amp; Après-vente'!$I$2:$I$1000="DONE"))&gt;0,"✓",IF(SUMPRODUCT(MAX(('Agences &amp; Après-vente'!$A$2:$A$1000=$A986)*(('Agences &amp; Après-vente'!$D$2:$D$1000="Après-vente")+('Agences &amp; Après-vente'!$D$2:$D$1000="Agences et Après-vente"))*'Agences &amp; Après-vente'!$E$2:$E$1000))&gt;0,TEXT(SUMPRODUCT(MAX(('Agences &amp; Après-vente'!$A$2:$A$1000=$A986)*(('Agences &amp; Après-vente'!$D$2:$D$1000="Après-vente")+('Agences &amp; Après-vente'!$D$2:$D$1000="Agences et Après-vente"))*'Agences &amp; Après-vente'!$E$2:$E$1000)),"yyyy-mm-dd"),"")))))</f>
        <v/>
      </c>
      <c r="J986" s="131" t="str">
        <f aca="false">IF($T986="✓","✓",IF(ISNUMBER($T986),TEXT($T986,"yyyy-mm-dd"),IF($A986="","",IF($D986="Lisbonne","",IF(SUMPRODUCT(('Agences &amp; Après-vente'!$A$2:$A$1000=$A986)*(('Agences &amp; Après-vente'!$D$2:$D$1000="Après-vente")+('Agences &amp; Après-vente'!$D$2:$D$1000="Agences et Après-vente"))*('Agences &amp; Après-vente'!$I$2:$I$1000="DONE"))&gt;0,"✓",IF(SUMPRODUCT(MAX(('Agences &amp; Après-vente'!$A$2:$A$1000=$A986)*(('Agences &amp; Après-vente'!$D$2:$D$1000="Après-vente")+('Agences &amp; Après-vente'!$D$2:$D$1000="Agences et Après-vente"))*'Agences &amp; Après-vente'!$E$2:$E$1000))&gt;0,TEXT(SUMPRODUCT(MAX(('Agences &amp; Après-vente'!$A$2:$A$1000=$A986)*(('Agences &amp; Après-vente'!$D$2:$D$1000="Après-vente")+('Agences &amp; Après-vente'!$D$2:$D$1000="Agences et Après-vente"))*'Agences &amp; Après-vente'!$E$2:$E$1000)),"yyyy-mm-dd"),""))))))</f>
        <v/>
      </c>
      <c r="K986" s="131" t="str">
        <f aca="false">IF($U986="✓","✓",IF(ISNUMBER($U986),TEXT($U986,"yyyy-mm-dd"),IF($D986="Lisbonne","",IF($A986="","",IF(SUMPRODUCT((Evermont!$A$2:$A$1000=$A986)*(Evermont!$Q$2:$Q$1000="Terminé"))&gt;0,"✓",IF(SUMPRODUCT(MAX((Evermont!$A$2:$A$1000=$A986)*Evermont!$F$2:$F$1000))&gt;0,TEXT(SUMPRODUCT(MAX((Evermont!$A$2:$A$1000=$A986)*Evermont!$F$2:$F$1000)),"yyyy-mm-dd"),""))))))</f>
        <v/>
      </c>
      <c r="L986" s="131" t="str">
        <f aca="false">IF($A986="","",COUNTIF(E986:K986,"✓"))</f>
        <v/>
      </c>
      <c r="M986" s="131" t="str">
        <f aca="false">IF(B986="","","Active")</f>
        <v/>
      </c>
      <c r="W986" s="120" t="str">
        <f aca="false">IF($A986="","",IF($X986&lt;&gt;"",$X986,IFERROR(INDEX('Formation Initiale'!$B$2:$B$999,MATCH($A986,'Formation Initiale'!$A$2:$A$999,0)),"Général")))</f>
        <v/>
      </c>
    </row>
    <row r="987" customFormat="false" ht="15" hidden="true" customHeight="true" outlineLevel="0" collapsed="false">
      <c r="A987" s="142" t="str">
        <f aca="false">IF(B987="","","TR"&amp;TEXT(ROW()-1,"000"))</f>
        <v/>
      </c>
      <c r="E987" s="130" t="str">
        <f aca="false">IF($O987="✓","✓",IF(ISNUMBER($O987),TEXT($O987,"yyyy-mm-dd"),IF($A987="","",IF(SUMPRODUCT(('Formation Initiale'!$A$2:$A$999=$A987)*('Formation Initiale'!$R$2:$R$999="Terminé"))&gt;0,"✓",IF(SUMPRODUCT(MAX(('Formation Initiale'!$A$2:$A$999=$A987)*'Formation Initiale'!$G$2:$G$999))&gt;0,TEXT(SUMPRODUCT(MAX(('Formation Initiale'!$A$2:$A$999=$A987)*'Formation Initiale'!$G$2:$G$999)),"yyyy-mm-dd"),"")))))</f>
        <v/>
      </c>
      <c r="F987" s="131" t="str">
        <f aca="false">IF($P987="✓","✓",IF(ISNUMBER($P987),TEXT($P987,"yyyy-mm-dd"),IF($A987="","",IF($D987="Lisbonne","",IF(SUMPRODUCT(('Formation Initiale'!$A$2:$A$999=$A987)*('Formation Initiale'!$R$2:$R$999="Terminé"))&gt;0,"✓",IF(SUMPRODUCT(MAX(('Formation Initiale'!$A$2:$A$999=$A987)*'Formation Initiale'!$G$2:$G$999))&gt;0,TEXT(SUMPRODUCT(MAX(('Formation Initiale'!$A$2:$A$999=$A987)*'Formation Initiale'!$G$2:$G$999)),"yyyy-mm-dd"),""))))))</f>
        <v/>
      </c>
      <c r="G987" s="131" t="str">
        <f aca="false">IF($Q987="✓","✓",IF(ISNUMBER($Q987),TEXT($Q987,"yyyy-mm-dd"),IF($A987="","",IF(SUMPRODUCT(('Agences &amp; Après-vente'!$A$2:$A$1000=$A987)*(('Agences &amp; Après-vente'!$D$2:$D$1000="Agences")+('Agences &amp; Après-vente'!$D$2:$D$1000="Agences et Après-vente"))*('Agences &amp; Après-vente'!$I$2:$I$1000="DONE"))&gt;0,"✓",IF(SUMPRODUCT(MAX(('Agences &amp; Après-vente'!$A$2:$A$1000=$A987)*(('Agences &amp; Après-vente'!$D$2:$D$1000="Agences")+('Agences &amp; Après-vente'!$D$2:$D$1000="Agences et Après-vente"))*'Agences &amp; Après-vente'!$E$2:$E$1000))&gt;0,TEXT(SUMPRODUCT(MAX(('Agences &amp; Après-vente'!$A$2:$A$1000=$A987)*(('Agences &amp; Après-vente'!$D$2:$D$1000="Agences")+('Agences &amp; Après-vente'!$D$2:$D$1000="Agences et Après-vente"))*'Agences &amp; Après-vente'!$E$2:$E$1000)),"yyyy-mm-dd"),"")))))</f>
        <v/>
      </c>
      <c r="H987" s="131" t="str">
        <f aca="false">IF($R987="✓","✓",IF(ISNUMBER($R987),TEXT($R987,"yyyy-mm-dd"),IF($A987="","",IF($D987="Lisbonne","",IF(SUMPRODUCT(('Agences &amp; Après-vente'!$A$2:$A$1000=$A987)*(('Agences &amp; Après-vente'!$D$2:$D$1000="Agences")+('Agences &amp; Après-vente'!$D$2:$D$1000="Agences et Après-vente"))*('Agences &amp; Après-vente'!$I$2:$I$1000="DONE"))&gt;0,"✓",IF(SUMPRODUCT(MAX(('Agences &amp; Après-vente'!$A$2:$A$1000=$A987)*(('Agences &amp; Après-vente'!$D$2:$D$1000="Agences")+('Agences &amp; Après-vente'!$D$2:$D$1000="Agences et Après-vente"))*'Agences &amp; Après-vente'!$E$2:$E$1000))&gt;0,TEXT(SUMPRODUCT(MAX(('Agences &amp; Après-vente'!$A$2:$A$1000=$A987)*(('Agences &amp; Après-vente'!$D$2:$D$1000="Agences")+('Agences &amp; Après-vente'!$D$2:$D$1000="Agences et Après-vente"))*'Agences &amp; Après-vente'!$E$2:$E$1000)),"yyyy-mm-dd"),""))))))</f>
        <v/>
      </c>
      <c r="I987" s="131" t="str">
        <f aca="false">IF($S987="✓","✓",IF(ISNUMBER($S987),TEXT($S987,"yyyy-mm-dd"),IF($A987="","",IF(SUMPRODUCT(('Agences &amp; Après-vente'!$A$2:$A$1000=$A987)*(('Agences &amp; Après-vente'!$D$2:$D$1000="Après-vente")+('Agences &amp; Après-vente'!$D$2:$D$1000="Agences et Après-vente"))*('Agences &amp; Après-vente'!$I$2:$I$1000="DONE"))&gt;0,"✓",IF(SUMPRODUCT(MAX(('Agences &amp; Après-vente'!$A$2:$A$1000=$A987)*(('Agences &amp; Après-vente'!$D$2:$D$1000="Après-vente")+('Agences &amp; Après-vente'!$D$2:$D$1000="Agences et Après-vente"))*'Agences &amp; Après-vente'!$E$2:$E$1000))&gt;0,TEXT(SUMPRODUCT(MAX(('Agences &amp; Après-vente'!$A$2:$A$1000=$A987)*(('Agences &amp; Après-vente'!$D$2:$D$1000="Après-vente")+('Agences &amp; Après-vente'!$D$2:$D$1000="Agences et Après-vente"))*'Agences &amp; Après-vente'!$E$2:$E$1000)),"yyyy-mm-dd"),"")))))</f>
        <v/>
      </c>
      <c r="J987" s="131" t="str">
        <f aca="false">IF($T987="✓","✓",IF(ISNUMBER($T987),TEXT($T987,"yyyy-mm-dd"),IF($A987="","",IF($D987="Lisbonne","",IF(SUMPRODUCT(('Agences &amp; Après-vente'!$A$2:$A$1000=$A987)*(('Agences &amp; Après-vente'!$D$2:$D$1000="Après-vente")+('Agences &amp; Après-vente'!$D$2:$D$1000="Agences et Après-vente"))*('Agences &amp; Après-vente'!$I$2:$I$1000="DONE"))&gt;0,"✓",IF(SUMPRODUCT(MAX(('Agences &amp; Après-vente'!$A$2:$A$1000=$A987)*(('Agences &amp; Après-vente'!$D$2:$D$1000="Après-vente")+('Agences &amp; Après-vente'!$D$2:$D$1000="Agences et Après-vente"))*'Agences &amp; Après-vente'!$E$2:$E$1000))&gt;0,TEXT(SUMPRODUCT(MAX(('Agences &amp; Après-vente'!$A$2:$A$1000=$A987)*(('Agences &amp; Après-vente'!$D$2:$D$1000="Après-vente")+('Agences &amp; Après-vente'!$D$2:$D$1000="Agences et Après-vente"))*'Agences &amp; Après-vente'!$E$2:$E$1000)),"yyyy-mm-dd"),""))))))</f>
        <v/>
      </c>
      <c r="K987" s="131" t="str">
        <f aca="false">IF($U987="✓","✓",IF(ISNUMBER($U987),TEXT($U987,"yyyy-mm-dd"),IF($D987="Lisbonne","",IF($A987="","",IF(SUMPRODUCT((Evermont!$A$2:$A$1000=$A987)*(Evermont!$Q$2:$Q$1000="Terminé"))&gt;0,"✓",IF(SUMPRODUCT(MAX((Evermont!$A$2:$A$1000=$A987)*Evermont!$F$2:$F$1000))&gt;0,TEXT(SUMPRODUCT(MAX((Evermont!$A$2:$A$1000=$A987)*Evermont!$F$2:$F$1000)),"yyyy-mm-dd"),""))))))</f>
        <v/>
      </c>
      <c r="L987" s="131" t="str">
        <f aca="false">IF($A987="","",COUNTIF(E987:K987,"✓"))</f>
        <v/>
      </c>
      <c r="M987" s="131" t="str">
        <f aca="false">IF(B987="","","Active")</f>
        <v/>
      </c>
      <c r="W987" s="120" t="str">
        <f aca="false">IF($A987="","",IF($X987&lt;&gt;"",$X987,IFERROR(INDEX('Formation Initiale'!$B$2:$B$999,MATCH($A987,'Formation Initiale'!$A$2:$A$999,0)),"Général")))</f>
        <v/>
      </c>
    </row>
    <row r="988" customFormat="false" ht="15" hidden="true" customHeight="true" outlineLevel="0" collapsed="false">
      <c r="A988" s="142" t="str">
        <f aca="false">IF(B988="","","TR"&amp;TEXT(ROW()-1,"000"))</f>
        <v/>
      </c>
      <c r="E988" s="130" t="str">
        <f aca="false">IF($O988="✓","✓",IF(ISNUMBER($O988),TEXT($O988,"yyyy-mm-dd"),IF($A988="","",IF(SUMPRODUCT(('Formation Initiale'!$A$2:$A$999=$A988)*('Formation Initiale'!$R$2:$R$999="Terminé"))&gt;0,"✓",IF(SUMPRODUCT(MAX(('Formation Initiale'!$A$2:$A$999=$A988)*'Formation Initiale'!$G$2:$G$999))&gt;0,TEXT(SUMPRODUCT(MAX(('Formation Initiale'!$A$2:$A$999=$A988)*'Formation Initiale'!$G$2:$G$999)),"yyyy-mm-dd"),"")))))</f>
        <v/>
      </c>
      <c r="F988" s="131" t="str">
        <f aca="false">IF($P988="✓","✓",IF(ISNUMBER($P988),TEXT($P988,"yyyy-mm-dd"),IF($A988="","",IF($D988="Lisbonne","",IF(SUMPRODUCT(('Formation Initiale'!$A$2:$A$999=$A988)*('Formation Initiale'!$R$2:$R$999="Terminé"))&gt;0,"✓",IF(SUMPRODUCT(MAX(('Formation Initiale'!$A$2:$A$999=$A988)*'Formation Initiale'!$G$2:$G$999))&gt;0,TEXT(SUMPRODUCT(MAX(('Formation Initiale'!$A$2:$A$999=$A988)*'Formation Initiale'!$G$2:$G$999)),"yyyy-mm-dd"),""))))))</f>
        <v/>
      </c>
      <c r="G988" s="131" t="str">
        <f aca="false">IF($Q988="✓","✓",IF(ISNUMBER($Q988),TEXT($Q988,"yyyy-mm-dd"),IF($A988="","",IF(SUMPRODUCT(('Agences &amp; Après-vente'!$A$2:$A$1000=$A988)*(('Agences &amp; Après-vente'!$D$2:$D$1000="Agences")+('Agences &amp; Après-vente'!$D$2:$D$1000="Agences et Après-vente"))*('Agences &amp; Après-vente'!$I$2:$I$1000="DONE"))&gt;0,"✓",IF(SUMPRODUCT(MAX(('Agences &amp; Après-vente'!$A$2:$A$1000=$A988)*(('Agences &amp; Après-vente'!$D$2:$D$1000="Agences")+('Agences &amp; Après-vente'!$D$2:$D$1000="Agences et Après-vente"))*'Agences &amp; Après-vente'!$E$2:$E$1000))&gt;0,TEXT(SUMPRODUCT(MAX(('Agences &amp; Après-vente'!$A$2:$A$1000=$A988)*(('Agences &amp; Après-vente'!$D$2:$D$1000="Agences")+('Agences &amp; Après-vente'!$D$2:$D$1000="Agences et Après-vente"))*'Agences &amp; Après-vente'!$E$2:$E$1000)),"yyyy-mm-dd"),"")))))</f>
        <v/>
      </c>
      <c r="H988" s="131" t="str">
        <f aca="false">IF($R988="✓","✓",IF(ISNUMBER($R988),TEXT($R988,"yyyy-mm-dd"),IF($A988="","",IF($D988="Lisbonne","",IF(SUMPRODUCT(('Agences &amp; Après-vente'!$A$2:$A$1000=$A988)*(('Agences &amp; Après-vente'!$D$2:$D$1000="Agences")+('Agences &amp; Après-vente'!$D$2:$D$1000="Agences et Après-vente"))*('Agences &amp; Après-vente'!$I$2:$I$1000="DONE"))&gt;0,"✓",IF(SUMPRODUCT(MAX(('Agences &amp; Après-vente'!$A$2:$A$1000=$A988)*(('Agences &amp; Après-vente'!$D$2:$D$1000="Agences")+('Agences &amp; Après-vente'!$D$2:$D$1000="Agences et Après-vente"))*'Agences &amp; Après-vente'!$E$2:$E$1000))&gt;0,TEXT(SUMPRODUCT(MAX(('Agences &amp; Après-vente'!$A$2:$A$1000=$A988)*(('Agences &amp; Après-vente'!$D$2:$D$1000="Agences")+('Agences &amp; Après-vente'!$D$2:$D$1000="Agences et Après-vente"))*'Agences &amp; Après-vente'!$E$2:$E$1000)),"yyyy-mm-dd"),""))))))</f>
        <v/>
      </c>
      <c r="I988" s="131" t="str">
        <f aca="false">IF($S988="✓","✓",IF(ISNUMBER($S988),TEXT($S988,"yyyy-mm-dd"),IF($A988="","",IF(SUMPRODUCT(('Agences &amp; Après-vente'!$A$2:$A$1000=$A988)*(('Agences &amp; Après-vente'!$D$2:$D$1000="Après-vente")+('Agences &amp; Après-vente'!$D$2:$D$1000="Agences et Après-vente"))*('Agences &amp; Après-vente'!$I$2:$I$1000="DONE"))&gt;0,"✓",IF(SUMPRODUCT(MAX(('Agences &amp; Après-vente'!$A$2:$A$1000=$A988)*(('Agences &amp; Après-vente'!$D$2:$D$1000="Après-vente")+('Agences &amp; Après-vente'!$D$2:$D$1000="Agences et Après-vente"))*'Agences &amp; Après-vente'!$E$2:$E$1000))&gt;0,TEXT(SUMPRODUCT(MAX(('Agences &amp; Après-vente'!$A$2:$A$1000=$A988)*(('Agences &amp; Après-vente'!$D$2:$D$1000="Après-vente")+('Agences &amp; Après-vente'!$D$2:$D$1000="Agences et Après-vente"))*'Agences &amp; Après-vente'!$E$2:$E$1000)),"yyyy-mm-dd"),"")))))</f>
        <v/>
      </c>
      <c r="J988" s="131" t="str">
        <f aca="false">IF($T988="✓","✓",IF(ISNUMBER($T988),TEXT($T988,"yyyy-mm-dd"),IF($A988="","",IF($D988="Lisbonne","",IF(SUMPRODUCT(('Agences &amp; Après-vente'!$A$2:$A$1000=$A988)*(('Agences &amp; Après-vente'!$D$2:$D$1000="Après-vente")+('Agences &amp; Après-vente'!$D$2:$D$1000="Agences et Après-vente"))*('Agences &amp; Après-vente'!$I$2:$I$1000="DONE"))&gt;0,"✓",IF(SUMPRODUCT(MAX(('Agences &amp; Après-vente'!$A$2:$A$1000=$A988)*(('Agences &amp; Après-vente'!$D$2:$D$1000="Après-vente")+('Agences &amp; Après-vente'!$D$2:$D$1000="Agences et Après-vente"))*'Agences &amp; Après-vente'!$E$2:$E$1000))&gt;0,TEXT(SUMPRODUCT(MAX(('Agences &amp; Après-vente'!$A$2:$A$1000=$A988)*(('Agences &amp; Après-vente'!$D$2:$D$1000="Après-vente")+('Agences &amp; Après-vente'!$D$2:$D$1000="Agences et Après-vente"))*'Agences &amp; Après-vente'!$E$2:$E$1000)),"yyyy-mm-dd"),""))))))</f>
        <v/>
      </c>
      <c r="K988" s="131" t="str">
        <f aca="false">IF($U988="✓","✓",IF(ISNUMBER($U988),TEXT($U988,"yyyy-mm-dd"),IF($D988="Lisbonne","",IF($A988="","",IF(SUMPRODUCT((Evermont!$A$2:$A$1000=$A988)*(Evermont!$Q$2:$Q$1000="Terminé"))&gt;0,"✓",IF(SUMPRODUCT(MAX((Evermont!$A$2:$A$1000=$A988)*Evermont!$F$2:$F$1000))&gt;0,TEXT(SUMPRODUCT(MAX((Evermont!$A$2:$A$1000=$A988)*Evermont!$F$2:$F$1000)),"yyyy-mm-dd"),""))))))</f>
        <v/>
      </c>
      <c r="L988" s="131" t="str">
        <f aca="false">IF($A988="","",COUNTIF(E988:K988,"✓"))</f>
        <v/>
      </c>
      <c r="M988" s="131" t="str">
        <f aca="false">IF(B988="","","Active")</f>
        <v/>
      </c>
      <c r="W988" s="120" t="str">
        <f aca="false">IF($A988="","",IF($X988&lt;&gt;"",$X988,IFERROR(INDEX('Formation Initiale'!$B$2:$B$999,MATCH($A988,'Formation Initiale'!$A$2:$A$999,0)),"Général")))</f>
        <v/>
      </c>
    </row>
    <row r="989" customFormat="false" ht="15" hidden="true" customHeight="true" outlineLevel="0" collapsed="false">
      <c r="A989" s="142" t="str">
        <f aca="false">IF(B989="","","TR"&amp;TEXT(ROW()-1,"000"))</f>
        <v/>
      </c>
      <c r="E989" s="130" t="str">
        <f aca="false">IF($O989="✓","✓",IF(ISNUMBER($O989),TEXT($O989,"yyyy-mm-dd"),IF($A989="","",IF(SUMPRODUCT(('Formation Initiale'!$A$2:$A$999=$A989)*('Formation Initiale'!$R$2:$R$999="Terminé"))&gt;0,"✓",IF(SUMPRODUCT(MAX(('Formation Initiale'!$A$2:$A$999=$A989)*'Formation Initiale'!$G$2:$G$999))&gt;0,TEXT(SUMPRODUCT(MAX(('Formation Initiale'!$A$2:$A$999=$A989)*'Formation Initiale'!$G$2:$G$999)),"yyyy-mm-dd"),"")))))</f>
        <v/>
      </c>
      <c r="F989" s="131" t="str">
        <f aca="false">IF($P989="✓","✓",IF(ISNUMBER($P989),TEXT($P989,"yyyy-mm-dd"),IF($A989="","",IF($D989="Lisbonne","",IF(SUMPRODUCT(('Formation Initiale'!$A$2:$A$999=$A989)*('Formation Initiale'!$R$2:$R$999="Terminé"))&gt;0,"✓",IF(SUMPRODUCT(MAX(('Formation Initiale'!$A$2:$A$999=$A989)*'Formation Initiale'!$G$2:$G$999))&gt;0,TEXT(SUMPRODUCT(MAX(('Formation Initiale'!$A$2:$A$999=$A989)*'Formation Initiale'!$G$2:$G$999)),"yyyy-mm-dd"),""))))))</f>
        <v/>
      </c>
      <c r="G989" s="131" t="str">
        <f aca="false">IF($Q989="✓","✓",IF(ISNUMBER($Q989),TEXT($Q989,"yyyy-mm-dd"),IF($A989="","",IF(SUMPRODUCT(('Agences &amp; Après-vente'!$A$2:$A$1000=$A989)*(('Agences &amp; Après-vente'!$D$2:$D$1000="Agences")+('Agences &amp; Après-vente'!$D$2:$D$1000="Agences et Après-vente"))*('Agences &amp; Après-vente'!$I$2:$I$1000="DONE"))&gt;0,"✓",IF(SUMPRODUCT(MAX(('Agences &amp; Après-vente'!$A$2:$A$1000=$A989)*(('Agences &amp; Après-vente'!$D$2:$D$1000="Agences")+('Agences &amp; Après-vente'!$D$2:$D$1000="Agences et Après-vente"))*'Agences &amp; Après-vente'!$E$2:$E$1000))&gt;0,TEXT(SUMPRODUCT(MAX(('Agences &amp; Après-vente'!$A$2:$A$1000=$A989)*(('Agences &amp; Après-vente'!$D$2:$D$1000="Agences")+('Agences &amp; Après-vente'!$D$2:$D$1000="Agences et Après-vente"))*'Agences &amp; Après-vente'!$E$2:$E$1000)),"yyyy-mm-dd"),"")))))</f>
        <v/>
      </c>
      <c r="H989" s="131" t="str">
        <f aca="false">IF($R989="✓","✓",IF(ISNUMBER($R989),TEXT($R989,"yyyy-mm-dd"),IF($A989="","",IF($D989="Lisbonne","",IF(SUMPRODUCT(('Agences &amp; Après-vente'!$A$2:$A$1000=$A989)*(('Agences &amp; Après-vente'!$D$2:$D$1000="Agences")+('Agences &amp; Après-vente'!$D$2:$D$1000="Agences et Après-vente"))*('Agences &amp; Après-vente'!$I$2:$I$1000="DONE"))&gt;0,"✓",IF(SUMPRODUCT(MAX(('Agences &amp; Après-vente'!$A$2:$A$1000=$A989)*(('Agences &amp; Après-vente'!$D$2:$D$1000="Agences")+('Agences &amp; Après-vente'!$D$2:$D$1000="Agences et Après-vente"))*'Agences &amp; Après-vente'!$E$2:$E$1000))&gt;0,TEXT(SUMPRODUCT(MAX(('Agences &amp; Après-vente'!$A$2:$A$1000=$A989)*(('Agences &amp; Après-vente'!$D$2:$D$1000="Agences")+('Agences &amp; Après-vente'!$D$2:$D$1000="Agences et Après-vente"))*'Agences &amp; Après-vente'!$E$2:$E$1000)),"yyyy-mm-dd"),""))))))</f>
        <v/>
      </c>
      <c r="I989" s="131" t="str">
        <f aca="false">IF($S989="✓","✓",IF(ISNUMBER($S989),TEXT($S989,"yyyy-mm-dd"),IF($A989="","",IF(SUMPRODUCT(('Agences &amp; Après-vente'!$A$2:$A$1000=$A989)*(('Agences &amp; Après-vente'!$D$2:$D$1000="Après-vente")+('Agences &amp; Après-vente'!$D$2:$D$1000="Agences et Après-vente"))*('Agences &amp; Après-vente'!$I$2:$I$1000="DONE"))&gt;0,"✓",IF(SUMPRODUCT(MAX(('Agences &amp; Après-vente'!$A$2:$A$1000=$A989)*(('Agences &amp; Après-vente'!$D$2:$D$1000="Après-vente")+('Agences &amp; Après-vente'!$D$2:$D$1000="Agences et Après-vente"))*'Agences &amp; Après-vente'!$E$2:$E$1000))&gt;0,TEXT(SUMPRODUCT(MAX(('Agences &amp; Après-vente'!$A$2:$A$1000=$A989)*(('Agences &amp; Après-vente'!$D$2:$D$1000="Après-vente")+('Agences &amp; Après-vente'!$D$2:$D$1000="Agences et Après-vente"))*'Agences &amp; Après-vente'!$E$2:$E$1000)),"yyyy-mm-dd"),"")))))</f>
        <v/>
      </c>
      <c r="J989" s="131" t="str">
        <f aca="false">IF($T989="✓","✓",IF(ISNUMBER($T989),TEXT($T989,"yyyy-mm-dd"),IF($A989="","",IF($D989="Lisbonne","",IF(SUMPRODUCT(('Agences &amp; Après-vente'!$A$2:$A$1000=$A989)*(('Agences &amp; Après-vente'!$D$2:$D$1000="Après-vente")+('Agences &amp; Après-vente'!$D$2:$D$1000="Agences et Après-vente"))*('Agences &amp; Après-vente'!$I$2:$I$1000="DONE"))&gt;0,"✓",IF(SUMPRODUCT(MAX(('Agences &amp; Après-vente'!$A$2:$A$1000=$A989)*(('Agences &amp; Après-vente'!$D$2:$D$1000="Après-vente")+('Agences &amp; Après-vente'!$D$2:$D$1000="Agences et Après-vente"))*'Agences &amp; Après-vente'!$E$2:$E$1000))&gt;0,TEXT(SUMPRODUCT(MAX(('Agences &amp; Après-vente'!$A$2:$A$1000=$A989)*(('Agences &amp; Après-vente'!$D$2:$D$1000="Après-vente")+('Agences &amp; Après-vente'!$D$2:$D$1000="Agences et Après-vente"))*'Agences &amp; Après-vente'!$E$2:$E$1000)),"yyyy-mm-dd"),""))))))</f>
        <v/>
      </c>
      <c r="K989" s="131" t="str">
        <f aca="false">IF($U989="✓","✓",IF(ISNUMBER($U989),TEXT($U989,"yyyy-mm-dd"),IF($D989="Lisbonne","",IF($A989="","",IF(SUMPRODUCT((Evermont!$A$2:$A$1000=$A989)*(Evermont!$Q$2:$Q$1000="Terminé"))&gt;0,"✓",IF(SUMPRODUCT(MAX((Evermont!$A$2:$A$1000=$A989)*Evermont!$F$2:$F$1000))&gt;0,TEXT(SUMPRODUCT(MAX((Evermont!$A$2:$A$1000=$A989)*Evermont!$F$2:$F$1000)),"yyyy-mm-dd"),""))))))</f>
        <v/>
      </c>
      <c r="L989" s="131" t="str">
        <f aca="false">IF($A989="","",COUNTIF(E989:K989,"✓"))</f>
        <v/>
      </c>
      <c r="M989" s="131" t="str">
        <f aca="false">IF(B989="","","Active")</f>
        <v/>
      </c>
      <c r="W989" s="120" t="str">
        <f aca="false">IF($A989="","",IF($X989&lt;&gt;"",$X989,IFERROR(INDEX('Formation Initiale'!$B$2:$B$999,MATCH($A989,'Formation Initiale'!$A$2:$A$999,0)),"Général")))</f>
        <v/>
      </c>
    </row>
    <row r="990" customFormat="false" ht="15" hidden="true" customHeight="true" outlineLevel="0" collapsed="false">
      <c r="A990" s="142" t="str">
        <f aca="false">IF(B990="","","TR"&amp;TEXT(ROW()-1,"000"))</f>
        <v/>
      </c>
      <c r="E990" s="130" t="str">
        <f aca="false">IF($O990="✓","✓",IF(ISNUMBER($O990),TEXT($O990,"yyyy-mm-dd"),IF($A990="","",IF(SUMPRODUCT(('Formation Initiale'!$A$2:$A$999=$A990)*('Formation Initiale'!$R$2:$R$999="Terminé"))&gt;0,"✓",IF(SUMPRODUCT(MAX(('Formation Initiale'!$A$2:$A$999=$A990)*'Formation Initiale'!$G$2:$G$999))&gt;0,TEXT(SUMPRODUCT(MAX(('Formation Initiale'!$A$2:$A$999=$A990)*'Formation Initiale'!$G$2:$G$999)),"yyyy-mm-dd"),"")))))</f>
        <v/>
      </c>
      <c r="F990" s="131" t="str">
        <f aca="false">IF($P990="✓","✓",IF(ISNUMBER($P990),TEXT($P990,"yyyy-mm-dd"),IF($A990="","",IF($D990="Lisbonne","",IF(SUMPRODUCT(('Formation Initiale'!$A$2:$A$999=$A990)*('Formation Initiale'!$R$2:$R$999="Terminé"))&gt;0,"✓",IF(SUMPRODUCT(MAX(('Formation Initiale'!$A$2:$A$999=$A990)*'Formation Initiale'!$G$2:$G$999))&gt;0,TEXT(SUMPRODUCT(MAX(('Formation Initiale'!$A$2:$A$999=$A990)*'Formation Initiale'!$G$2:$G$999)),"yyyy-mm-dd"),""))))))</f>
        <v/>
      </c>
      <c r="G990" s="131" t="str">
        <f aca="false">IF($Q990="✓","✓",IF(ISNUMBER($Q990),TEXT($Q990,"yyyy-mm-dd"),IF($A990="","",IF(SUMPRODUCT(('Agences &amp; Après-vente'!$A$2:$A$1000=$A990)*(('Agences &amp; Après-vente'!$D$2:$D$1000="Agences")+('Agences &amp; Après-vente'!$D$2:$D$1000="Agences et Après-vente"))*('Agences &amp; Après-vente'!$I$2:$I$1000="DONE"))&gt;0,"✓",IF(SUMPRODUCT(MAX(('Agences &amp; Après-vente'!$A$2:$A$1000=$A990)*(('Agences &amp; Après-vente'!$D$2:$D$1000="Agences")+('Agences &amp; Après-vente'!$D$2:$D$1000="Agences et Après-vente"))*'Agences &amp; Après-vente'!$E$2:$E$1000))&gt;0,TEXT(SUMPRODUCT(MAX(('Agences &amp; Après-vente'!$A$2:$A$1000=$A990)*(('Agences &amp; Après-vente'!$D$2:$D$1000="Agences")+('Agences &amp; Après-vente'!$D$2:$D$1000="Agences et Après-vente"))*'Agences &amp; Après-vente'!$E$2:$E$1000)),"yyyy-mm-dd"),"")))))</f>
        <v/>
      </c>
      <c r="H990" s="131" t="str">
        <f aca="false">IF($R990="✓","✓",IF(ISNUMBER($R990),TEXT($R990,"yyyy-mm-dd"),IF($A990="","",IF($D990="Lisbonne","",IF(SUMPRODUCT(('Agences &amp; Après-vente'!$A$2:$A$1000=$A990)*(('Agences &amp; Après-vente'!$D$2:$D$1000="Agences")+('Agences &amp; Après-vente'!$D$2:$D$1000="Agences et Après-vente"))*('Agences &amp; Après-vente'!$I$2:$I$1000="DONE"))&gt;0,"✓",IF(SUMPRODUCT(MAX(('Agences &amp; Après-vente'!$A$2:$A$1000=$A990)*(('Agences &amp; Après-vente'!$D$2:$D$1000="Agences")+('Agences &amp; Après-vente'!$D$2:$D$1000="Agences et Après-vente"))*'Agences &amp; Après-vente'!$E$2:$E$1000))&gt;0,TEXT(SUMPRODUCT(MAX(('Agences &amp; Après-vente'!$A$2:$A$1000=$A990)*(('Agences &amp; Après-vente'!$D$2:$D$1000="Agences")+('Agences &amp; Après-vente'!$D$2:$D$1000="Agences et Après-vente"))*'Agences &amp; Après-vente'!$E$2:$E$1000)),"yyyy-mm-dd"),""))))))</f>
        <v/>
      </c>
      <c r="I990" s="131" t="str">
        <f aca="false">IF($S990="✓","✓",IF(ISNUMBER($S990),TEXT($S990,"yyyy-mm-dd"),IF($A990="","",IF(SUMPRODUCT(('Agences &amp; Après-vente'!$A$2:$A$1000=$A990)*(('Agences &amp; Après-vente'!$D$2:$D$1000="Après-vente")+('Agences &amp; Après-vente'!$D$2:$D$1000="Agences et Après-vente"))*('Agences &amp; Après-vente'!$I$2:$I$1000="DONE"))&gt;0,"✓",IF(SUMPRODUCT(MAX(('Agences &amp; Après-vente'!$A$2:$A$1000=$A990)*(('Agences &amp; Après-vente'!$D$2:$D$1000="Après-vente")+('Agences &amp; Après-vente'!$D$2:$D$1000="Agences et Après-vente"))*'Agences &amp; Après-vente'!$E$2:$E$1000))&gt;0,TEXT(SUMPRODUCT(MAX(('Agences &amp; Après-vente'!$A$2:$A$1000=$A990)*(('Agences &amp; Après-vente'!$D$2:$D$1000="Après-vente")+('Agences &amp; Après-vente'!$D$2:$D$1000="Agences et Après-vente"))*'Agences &amp; Après-vente'!$E$2:$E$1000)),"yyyy-mm-dd"),"")))))</f>
        <v/>
      </c>
      <c r="J990" s="131" t="str">
        <f aca="false">IF($T990="✓","✓",IF(ISNUMBER($T990),TEXT($T990,"yyyy-mm-dd"),IF($A990="","",IF($D990="Lisbonne","",IF(SUMPRODUCT(('Agences &amp; Après-vente'!$A$2:$A$1000=$A990)*(('Agences &amp; Après-vente'!$D$2:$D$1000="Après-vente")+('Agences &amp; Après-vente'!$D$2:$D$1000="Agences et Après-vente"))*('Agences &amp; Après-vente'!$I$2:$I$1000="DONE"))&gt;0,"✓",IF(SUMPRODUCT(MAX(('Agences &amp; Après-vente'!$A$2:$A$1000=$A990)*(('Agences &amp; Après-vente'!$D$2:$D$1000="Après-vente")+('Agences &amp; Après-vente'!$D$2:$D$1000="Agences et Après-vente"))*'Agences &amp; Après-vente'!$E$2:$E$1000))&gt;0,TEXT(SUMPRODUCT(MAX(('Agences &amp; Après-vente'!$A$2:$A$1000=$A990)*(('Agences &amp; Après-vente'!$D$2:$D$1000="Après-vente")+('Agences &amp; Après-vente'!$D$2:$D$1000="Agences et Après-vente"))*'Agences &amp; Après-vente'!$E$2:$E$1000)),"yyyy-mm-dd"),""))))))</f>
        <v/>
      </c>
      <c r="K990" s="131" t="str">
        <f aca="false">IF($U990="✓","✓",IF(ISNUMBER($U990),TEXT($U990,"yyyy-mm-dd"),IF($D990="Lisbonne","",IF($A990="","",IF(SUMPRODUCT((Evermont!$A$2:$A$1000=$A990)*(Evermont!$Q$2:$Q$1000="Terminé"))&gt;0,"✓",IF(SUMPRODUCT(MAX((Evermont!$A$2:$A$1000=$A990)*Evermont!$F$2:$F$1000))&gt;0,TEXT(SUMPRODUCT(MAX((Evermont!$A$2:$A$1000=$A990)*Evermont!$F$2:$F$1000)),"yyyy-mm-dd"),""))))))</f>
        <v/>
      </c>
      <c r="L990" s="131" t="str">
        <f aca="false">IF($A990="","",COUNTIF(E990:K990,"✓"))</f>
        <v/>
      </c>
      <c r="M990" s="131" t="str">
        <f aca="false">IF(B990="","","Active")</f>
        <v/>
      </c>
      <c r="W990" s="120" t="str">
        <f aca="false">IF($A990="","",IF($X990&lt;&gt;"",$X990,IFERROR(INDEX('Formation Initiale'!$B$2:$B$999,MATCH($A990,'Formation Initiale'!$A$2:$A$999,0)),"Général")))</f>
        <v/>
      </c>
    </row>
    <row r="991" customFormat="false" ht="15" hidden="true" customHeight="true" outlineLevel="0" collapsed="false">
      <c r="A991" s="142" t="str">
        <f aca="false">IF(B991="","","TR"&amp;TEXT(ROW()-1,"000"))</f>
        <v/>
      </c>
      <c r="E991" s="130" t="str">
        <f aca="false">IF($O991="✓","✓",IF(ISNUMBER($O991),TEXT($O991,"yyyy-mm-dd"),IF($A991="","",IF(SUMPRODUCT(('Formation Initiale'!$A$2:$A$999=$A991)*('Formation Initiale'!$R$2:$R$999="Terminé"))&gt;0,"✓",IF(SUMPRODUCT(MAX(('Formation Initiale'!$A$2:$A$999=$A991)*'Formation Initiale'!$G$2:$G$999))&gt;0,TEXT(SUMPRODUCT(MAX(('Formation Initiale'!$A$2:$A$999=$A991)*'Formation Initiale'!$G$2:$G$999)),"yyyy-mm-dd"),"")))))</f>
        <v/>
      </c>
      <c r="F991" s="131" t="str">
        <f aca="false">IF($P991="✓","✓",IF(ISNUMBER($P991),TEXT($P991,"yyyy-mm-dd"),IF($A991="","",IF($D991="Lisbonne","",IF(SUMPRODUCT(('Formation Initiale'!$A$2:$A$999=$A991)*('Formation Initiale'!$R$2:$R$999="Terminé"))&gt;0,"✓",IF(SUMPRODUCT(MAX(('Formation Initiale'!$A$2:$A$999=$A991)*'Formation Initiale'!$G$2:$G$999))&gt;0,TEXT(SUMPRODUCT(MAX(('Formation Initiale'!$A$2:$A$999=$A991)*'Formation Initiale'!$G$2:$G$999)),"yyyy-mm-dd"),""))))))</f>
        <v/>
      </c>
      <c r="G991" s="131" t="str">
        <f aca="false">IF($Q991="✓","✓",IF(ISNUMBER($Q991),TEXT($Q991,"yyyy-mm-dd"),IF($A991="","",IF(SUMPRODUCT(('Agences &amp; Après-vente'!$A$2:$A$1000=$A991)*(('Agences &amp; Après-vente'!$D$2:$D$1000="Agences")+('Agences &amp; Après-vente'!$D$2:$D$1000="Agences et Après-vente"))*('Agences &amp; Après-vente'!$I$2:$I$1000="DONE"))&gt;0,"✓",IF(SUMPRODUCT(MAX(('Agences &amp; Après-vente'!$A$2:$A$1000=$A991)*(('Agences &amp; Après-vente'!$D$2:$D$1000="Agences")+('Agences &amp; Après-vente'!$D$2:$D$1000="Agences et Après-vente"))*'Agences &amp; Après-vente'!$E$2:$E$1000))&gt;0,TEXT(SUMPRODUCT(MAX(('Agences &amp; Après-vente'!$A$2:$A$1000=$A991)*(('Agences &amp; Après-vente'!$D$2:$D$1000="Agences")+('Agences &amp; Après-vente'!$D$2:$D$1000="Agences et Après-vente"))*'Agences &amp; Après-vente'!$E$2:$E$1000)),"yyyy-mm-dd"),"")))))</f>
        <v/>
      </c>
      <c r="H991" s="131" t="str">
        <f aca="false">IF($R991="✓","✓",IF(ISNUMBER($R991),TEXT($R991,"yyyy-mm-dd"),IF($A991="","",IF($D991="Lisbonne","",IF(SUMPRODUCT(('Agences &amp; Après-vente'!$A$2:$A$1000=$A991)*(('Agences &amp; Après-vente'!$D$2:$D$1000="Agences")+('Agences &amp; Après-vente'!$D$2:$D$1000="Agences et Après-vente"))*('Agences &amp; Après-vente'!$I$2:$I$1000="DONE"))&gt;0,"✓",IF(SUMPRODUCT(MAX(('Agences &amp; Après-vente'!$A$2:$A$1000=$A991)*(('Agences &amp; Après-vente'!$D$2:$D$1000="Agences")+('Agences &amp; Après-vente'!$D$2:$D$1000="Agences et Après-vente"))*'Agences &amp; Après-vente'!$E$2:$E$1000))&gt;0,TEXT(SUMPRODUCT(MAX(('Agences &amp; Après-vente'!$A$2:$A$1000=$A991)*(('Agences &amp; Après-vente'!$D$2:$D$1000="Agences")+('Agences &amp; Après-vente'!$D$2:$D$1000="Agences et Après-vente"))*'Agences &amp; Après-vente'!$E$2:$E$1000)),"yyyy-mm-dd"),""))))))</f>
        <v/>
      </c>
      <c r="I991" s="131" t="str">
        <f aca="false">IF($S991="✓","✓",IF(ISNUMBER($S991),TEXT($S991,"yyyy-mm-dd"),IF($A991="","",IF(SUMPRODUCT(('Agences &amp; Après-vente'!$A$2:$A$1000=$A991)*(('Agences &amp; Après-vente'!$D$2:$D$1000="Après-vente")+('Agences &amp; Après-vente'!$D$2:$D$1000="Agences et Après-vente"))*('Agences &amp; Après-vente'!$I$2:$I$1000="DONE"))&gt;0,"✓",IF(SUMPRODUCT(MAX(('Agences &amp; Après-vente'!$A$2:$A$1000=$A991)*(('Agences &amp; Après-vente'!$D$2:$D$1000="Après-vente")+('Agences &amp; Après-vente'!$D$2:$D$1000="Agences et Après-vente"))*'Agences &amp; Après-vente'!$E$2:$E$1000))&gt;0,TEXT(SUMPRODUCT(MAX(('Agences &amp; Après-vente'!$A$2:$A$1000=$A991)*(('Agences &amp; Après-vente'!$D$2:$D$1000="Après-vente")+('Agences &amp; Après-vente'!$D$2:$D$1000="Agences et Après-vente"))*'Agences &amp; Après-vente'!$E$2:$E$1000)),"yyyy-mm-dd"),"")))))</f>
        <v/>
      </c>
      <c r="J991" s="131" t="str">
        <f aca="false">IF($T991="✓","✓",IF(ISNUMBER($T991),TEXT($T991,"yyyy-mm-dd"),IF($A991="","",IF($D991="Lisbonne","",IF(SUMPRODUCT(('Agences &amp; Après-vente'!$A$2:$A$1000=$A991)*(('Agences &amp; Après-vente'!$D$2:$D$1000="Après-vente")+('Agences &amp; Après-vente'!$D$2:$D$1000="Agences et Après-vente"))*('Agences &amp; Après-vente'!$I$2:$I$1000="DONE"))&gt;0,"✓",IF(SUMPRODUCT(MAX(('Agences &amp; Après-vente'!$A$2:$A$1000=$A991)*(('Agences &amp; Après-vente'!$D$2:$D$1000="Après-vente")+('Agences &amp; Après-vente'!$D$2:$D$1000="Agences et Après-vente"))*'Agences &amp; Après-vente'!$E$2:$E$1000))&gt;0,TEXT(SUMPRODUCT(MAX(('Agences &amp; Après-vente'!$A$2:$A$1000=$A991)*(('Agences &amp; Après-vente'!$D$2:$D$1000="Après-vente")+('Agences &amp; Après-vente'!$D$2:$D$1000="Agences et Après-vente"))*'Agences &amp; Après-vente'!$E$2:$E$1000)),"yyyy-mm-dd"),""))))))</f>
        <v/>
      </c>
      <c r="K991" s="131" t="str">
        <f aca="false">IF($U991="✓","✓",IF(ISNUMBER($U991),TEXT($U991,"yyyy-mm-dd"),IF($D991="Lisbonne","",IF($A991="","",IF(SUMPRODUCT((Evermont!$A$2:$A$1000=$A991)*(Evermont!$Q$2:$Q$1000="Terminé"))&gt;0,"✓",IF(SUMPRODUCT(MAX((Evermont!$A$2:$A$1000=$A991)*Evermont!$F$2:$F$1000))&gt;0,TEXT(SUMPRODUCT(MAX((Evermont!$A$2:$A$1000=$A991)*Evermont!$F$2:$F$1000)),"yyyy-mm-dd"),""))))))</f>
        <v/>
      </c>
      <c r="L991" s="131" t="str">
        <f aca="false">IF($A991="","",COUNTIF(E991:K991,"✓"))</f>
        <v/>
      </c>
      <c r="M991" s="131" t="str">
        <f aca="false">IF(B991="","","Active")</f>
        <v/>
      </c>
      <c r="W991" s="120" t="str">
        <f aca="false">IF($A991="","",IF($X991&lt;&gt;"",$X991,IFERROR(INDEX('Formation Initiale'!$B$2:$B$999,MATCH($A991,'Formation Initiale'!$A$2:$A$999,0)),"Général")))</f>
        <v/>
      </c>
    </row>
    <row r="992" customFormat="false" ht="15" hidden="true" customHeight="true" outlineLevel="0" collapsed="false">
      <c r="A992" s="142" t="str">
        <f aca="false">IF(B992="","","TR"&amp;TEXT(ROW()-1,"000"))</f>
        <v/>
      </c>
      <c r="E992" s="130" t="str">
        <f aca="false">IF($O992="✓","✓",IF(ISNUMBER($O992),TEXT($O992,"yyyy-mm-dd"),IF($A992="","",IF(SUMPRODUCT(('Formation Initiale'!$A$2:$A$999=$A992)*('Formation Initiale'!$R$2:$R$999="Terminé"))&gt;0,"✓",IF(SUMPRODUCT(MAX(('Formation Initiale'!$A$2:$A$999=$A992)*'Formation Initiale'!$G$2:$G$999))&gt;0,TEXT(SUMPRODUCT(MAX(('Formation Initiale'!$A$2:$A$999=$A992)*'Formation Initiale'!$G$2:$G$999)),"yyyy-mm-dd"),"")))))</f>
        <v/>
      </c>
      <c r="F992" s="131" t="str">
        <f aca="false">IF($P992="✓","✓",IF(ISNUMBER($P992),TEXT($P992,"yyyy-mm-dd"),IF($A992="","",IF($D992="Lisbonne","",IF(SUMPRODUCT(('Formation Initiale'!$A$2:$A$999=$A992)*('Formation Initiale'!$R$2:$R$999="Terminé"))&gt;0,"✓",IF(SUMPRODUCT(MAX(('Formation Initiale'!$A$2:$A$999=$A992)*'Formation Initiale'!$G$2:$G$999))&gt;0,TEXT(SUMPRODUCT(MAX(('Formation Initiale'!$A$2:$A$999=$A992)*'Formation Initiale'!$G$2:$G$999)),"yyyy-mm-dd"),""))))))</f>
        <v/>
      </c>
      <c r="G992" s="131" t="str">
        <f aca="false">IF($Q992="✓","✓",IF(ISNUMBER($Q992),TEXT($Q992,"yyyy-mm-dd"),IF($A992="","",IF(SUMPRODUCT(('Agences &amp; Après-vente'!$A$2:$A$1000=$A992)*(('Agences &amp; Après-vente'!$D$2:$D$1000="Agences")+('Agences &amp; Après-vente'!$D$2:$D$1000="Agences et Après-vente"))*('Agences &amp; Après-vente'!$I$2:$I$1000="DONE"))&gt;0,"✓",IF(SUMPRODUCT(MAX(('Agences &amp; Après-vente'!$A$2:$A$1000=$A992)*(('Agences &amp; Après-vente'!$D$2:$D$1000="Agences")+('Agences &amp; Après-vente'!$D$2:$D$1000="Agences et Après-vente"))*'Agences &amp; Après-vente'!$E$2:$E$1000))&gt;0,TEXT(SUMPRODUCT(MAX(('Agences &amp; Après-vente'!$A$2:$A$1000=$A992)*(('Agences &amp; Après-vente'!$D$2:$D$1000="Agences")+('Agences &amp; Après-vente'!$D$2:$D$1000="Agences et Après-vente"))*'Agences &amp; Après-vente'!$E$2:$E$1000)),"yyyy-mm-dd"),"")))))</f>
        <v/>
      </c>
      <c r="H992" s="131" t="str">
        <f aca="false">IF($R992="✓","✓",IF(ISNUMBER($R992),TEXT($R992,"yyyy-mm-dd"),IF($A992="","",IF($D992="Lisbonne","",IF(SUMPRODUCT(('Agences &amp; Après-vente'!$A$2:$A$1000=$A992)*(('Agences &amp; Après-vente'!$D$2:$D$1000="Agences")+('Agences &amp; Après-vente'!$D$2:$D$1000="Agences et Après-vente"))*('Agences &amp; Après-vente'!$I$2:$I$1000="DONE"))&gt;0,"✓",IF(SUMPRODUCT(MAX(('Agences &amp; Après-vente'!$A$2:$A$1000=$A992)*(('Agences &amp; Après-vente'!$D$2:$D$1000="Agences")+('Agences &amp; Après-vente'!$D$2:$D$1000="Agences et Après-vente"))*'Agences &amp; Après-vente'!$E$2:$E$1000))&gt;0,TEXT(SUMPRODUCT(MAX(('Agences &amp; Après-vente'!$A$2:$A$1000=$A992)*(('Agences &amp; Après-vente'!$D$2:$D$1000="Agences")+('Agences &amp; Après-vente'!$D$2:$D$1000="Agences et Après-vente"))*'Agences &amp; Après-vente'!$E$2:$E$1000)),"yyyy-mm-dd"),""))))))</f>
        <v/>
      </c>
      <c r="I992" s="131" t="str">
        <f aca="false">IF($S992="✓","✓",IF(ISNUMBER($S992),TEXT($S992,"yyyy-mm-dd"),IF($A992="","",IF(SUMPRODUCT(('Agences &amp; Après-vente'!$A$2:$A$1000=$A992)*(('Agences &amp; Après-vente'!$D$2:$D$1000="Après-vente")+('Agences &amp; Après-vente'!$D$2:$D$1000="Agences et Après-vente"))*('Agences &amp; Après-vente'!$I$2:$I$1000="DONE"))&gt;0,"✓",IF(SUMPRODUCT(MAX(('Agences &amp; Après-vente'!$A$2:$A$1000=$A992)*(('Agences &amp; Après-vente'!$D$2:$D$1000="Après-vente")+('Agences &amp; Après-vente'!$D$2:$D$1000="Agences et Après-vente"))*'Agences &amp; Après-vente'!$E$2:$E$1000))&gt;0,TEXT(SUMPRODUCT(MAX(('Agences &amp; Après-vente'!$A$2:$A$1000=$A992)*(('Agences &amp; Après-vente'!$D$2:$D$1000="Après-vente")+('Agences &amp; Après-vente'!$D$2:$D$1000="Agences et Après-vente"))*'Agences &amp; Après-vente'!$E$2:$E$1000)),"yyyy-mm-dd"),"")))))</f>
        <v/>
      </c>
      <c r="J992" s="131" t="str">
        <f aca="false">IF($T992="✓","✓",IF(ISNUMBER($T992),TEXT($T992,"yyyy-mm-dd"),IF($A992="","",IF($D992="Lisbonne","",IF(SUMPRODUCT(('Agences &amp; Après-vente'!$A$2:$A$1000=$A992)*(('Agences &amp; Après-vente'!$D$2:$D$1000="Après-vente")+('Agences &amp; Après-vente'!$D$2:$D$1000="Agences et Après-vente"))*('Agences &amp; Après-vente'!$I$2:$I$1000="DONE"))&gt;0,"✓",IF(SUMPRODUCT(MAX(('Agences &amp; Après-vente'!$A$2:$A$1000=$A992)*(('Agences &amp; Après-vente'!$D$2:$D$1000="Après-vente")+('Agences &amp; Après-vente'!$D$2:$D$1000="Agences et Après-vente"))*'Agences &amp; Après-vente'!$E$2:$E$1000))&gt;0,TEXT(SUMPRODUCT(MAX(('Agences &amp; Après-vente'!$A$2:$A$1000=$A992)*(('Agences &amp; Après-vente'!$D$2:$D$1000="Après-vente")+('Agences &amp; Après-vente'!$D$2:$D$1000="Agences et Après-vente"))*'Agences &amp; Après-vente'!$E$2:$E$1000)),"yyyy-mm-dd"),""))))))</f>
        <v/>
      </c>
      <c r="K992" s="131" t="str">
        <f aca="false">IF($U992="✓","✓",IF(ISNUMBER($U992),TEXT($U992,"yyyy-mm-dd"),IF($D992="Lisbonne","",IF($A992="","",IF(SUMPRODUCT((Evermont!$A$2:$A$1000=$A992)*(Evermont!$Q$2:$Q$1000="Terminé"))&gt;0,"✓",IF(SUMPRODUCT(MAX((Evermont!$A$2:$A$1000=$A992)*Evermont!$F$2:$F$1000))&gt;0,TEXT(SUMPRODUCT(MAX((Evermont!$A$2:$A$1000=$A992)*Evermont!$F$2:$F$1000)),"yyyy-mm-dd"),""))))))</f>
        <v/>
      </c>
      <c r="L992" s="131" t="str">
        <f aca="false">IF($A992="","",COUNTIF(E992:K992,"✓"))</f>
        <v/>
      </c>
      <c r="M992" s="131" t="str">
        <f aca="false">IF(B992="","","Active")</f>
        <v/>
      </c>
      <c r="W992" s="120" t="str">
        <f aca="false">IF($A992="","",IF($X992&lt;&gt;"",$X992,IFERROR(INDEX('Formation Initiale'!$B$2:$B$999,MATCH($A992,'Formation Initiale'!$A$2:$A$999,0)),"Général")))</f>
        <v/>
      </c>
    </row>
    <row r="993" customFormat="false" ht="15" hidden="true" customHeight="true" outlineLevel="0" collapsed="false">
      <c r="A993" s="142" t="str">
        <f aca="false">IF(B993="","","TR"&amp;TEXT(ROW()-1,"000"))</f>
        <v/>
      </c>
      <c r="E993" s="130" t="str">
        <f aca="false">IF($O993="✓","✓",IF(ISNUMBER($O993),TEXT($O993,"yyyy-mm-dd"),IF($A993="","",IF(SUMPRODUCT(('Formation Initiale'!$A$2:$A$999=$A993)*('Formation Initiale'!$R$2:$R$999="Terminé"))&gt;0,"✓",IF(SUMPRODUCT(MAX(('Formation Initiale'!$A$2:$A$999=$A993)*'Formation Initiale'!$G$2:$G$999))&gt;0,TEXT(SUMPRODUCT(MAX(('Formation Initiale'!$A$2:$A$999=$A993)*'Formation Initiale'!$G$2:$G$999)),"yyyy-mm-dd"),"")))))</f>
        <v/>
      </c>
      <c r="F993" s="131" t="str">
        <f aca="false">IF($P993="✓","✓",IF(ISNUMBER($P993),TEXT($P993,"yyyy-mm-dd"),IF($A993="","",IF($D993="Lisbonne","",IF(SUMPRODUCT(('Formation Initiale'!$A$2:$A$999=$A993)*('Formation Initiale'!$R$2:$R$999="Terminé"))&gt;0,"✓",IF(SUMPRODUCT(MAX(('Formation Initiale'!$A$2:$A$999=$A993)*'Formation Initiale'!$G$2:$G$999))&gt;0,TEXT(SUMPRODUCT(MAX(('Formation Initiale'!$A$2:$A$999=$A993)*'Formation Initiale'!$G$2:$G$999)),"yyyy-mm-dd"),""))))))</f>
        <v/>
      </c>
      <c r="G993" s="131" t="str">
        <f aca="false">IF($Q993="✓","✓",IF(ISNUMBER($Q993),TEXT($Q993,"yyyy-mm-dd"),IF($A993="","",IF(SUMPRODUCT(('Agences &amp; Après-vente'!$A$2:$A$1000=$A993)*(('Agences &amp; Après-vente'!$D$2:$D$1000="Agences")+('Agences &amp; Après-vente'!$D$2:$D$1000="Agences et Après-vente"))*('Agences &amp; Après-vente'!$I$2:$I$1000="DONE"))&gt;0,"✓",IF(SUMPRODUCT(MAX(('Agences &amp; Après-vente'!$A$2:$A$1000=$A993)*(('Agences &amp; Après-vente'!$D$2:$D$1000="Agences")+('Agences &amp; Après-vente'!$D$2:$D$1000="Agences et Après-vente"))*'Agences &amp; Après-vente'!$E$2:$E$1000))&gt;0,TEXT(SUMPRODUCT(MAX(('Agences &amp; Après-vente'!$A$2:$A$1000=$A993)*(('Agences &amp; Après-vente'!$D$2:$D$1000="Agences")+('Agences &amp; Après-vente'!$D$2:$D$1000="Agences et Après-vente"))*'Agences &amp; Après-vente'!$E$2:$E$1000)),"yyyy-mm-dd"),"")))))</f>
        <v/>
      </c>
      <c r="H993" s="131" t="str">
        <f aca="false">IF($R993="✓","✓",IF(ISNUMBER($R993),TEXT($R993,"yyyy-mm-dd"),IF($A993="","",IF($D993="Lisbonne","",IF(SUMPRODUCT(('Agences &amp; Après-vente'!$A$2:$A$1000=$A993)*(('Agences &amp; Après-vente'!$D$2:$D$1000="Agences")+('Agences &amp; Après-vente'!$D$2:$D$1000="Agences et Après-vente"))*('Agences &amp; Après-vente'!$I$2:$I$1000="DONE"))&gt;0,"✓",IF(SUMPRODUCT(MAX(('Agences &amp; Après-vente'!$A$2:$A$1000=$A993)*(('Agences &amp; Après-vente'!$D$2:$D$1000="Agences")+('Agences &amp; Après-vente'!$D$2:$D$1000="Agences et Après-vente"))*'Agences &amp; Après-vente'!$E$2:$E$1000))&gt;0,TEXT(SUMPRODUCT(MAX(('Agences &amp; Après-vente'!$A$2:$A$1000=$A993)*(('Agences &amp; Après-vente'!$D$2:$D$1000="Agences")+('Agences &amp; Après-vente'!$D$2:$D$1000="Agences et Après-vente"))*'Agences &amp; Après-vente'!$E$2:$E$1000)),"yyyy-mm-dd"),""))))))</f>
        <v/>
      </c>
      <c r="I993" s="131" t="str">
        <f aca="false">IF($S993="✓","✓",IF(ISNUMBER($S993),TEXT($S993,"yyyy-mm-dd"),IF($A993="","",IF(SUMPRODUCT(('Agences &amp; Après-vente'!$A$2:$A$1000=$A993)*(('Agences &amp; Après-vente'!$D$2:$D$1000="Après-vente")+('Agences &amp; Après-vente'!$D$2:$D$1000="Agences et Après-vente"))*('Agences &amp; Après-vente'!$I$2:$I$1000="DONE"))&gt;0,"✓",IF(SUMPRODUCT(MAX(('Agences &amp; Après-vente'!$A$2:$A$1000=$A993)*(('Agences &amp; Après-vente'!$D$2:$D$1000="Après-vente")+('Agences &amp; Après-vente'!$D$2:$D$1000="Agences et Après-vente"))*'Agences &amp; Après-vente'!$E$2:$E$1000))&gt;0,TEXT(SUMPRODUCT(MAX(('Agences &amp; Après-vente'!$A$2:$A$1000=$A993)*(('Agences &amp; Après-vente'!$D$2:$D$1000="Après-vente")+('Agences &amp; Après-vente'!$D$2:$D$1000="Agences et Après-vente"))*'Agences &amp; Après-vente'!$E$2:$E$1000)),"yyyy-mm-dd"),"")))))</f>
        <v/>
      </c>
      <c r="J993" s="131" t="str">
        <f aca="false">IF($T993="✓","✓",IF(ISNUMBER($T993),TEXT($T993,"yyyy-mm-dd"),IF($A993="","",IF($D993="Lisbonne","",IF(SUMPRODUCT(('Agences &amp; Après-vente'!$A$2:$A$1000=$A993)*(('Agences &amp; Après-vente'!$D$2:$D$1000="Après-vente")+('Agences &amp; Après-vente'!$D$2:$D$1000="Agences et Après-vente"))*('Agences &amp; Après-vente'!$I$2:$I$1000="DONE"))&gt;0,"✓",IF(SUMPRODUCT(MAX(('Agences &amp; Après-vente'!$A$2:$A$1000=$A993)*(('Agences &amp; Après-vente'!$D$2:$D$1000="Après-vente")+('Agences &amp; Après-vente'!$D$2:$D$1000="Agences et Après-vente"))*'Agences &amp; Après-vente'!$E$2:$E$1000))&gt;0,TEXT(SUMPRODUCT(MAX(('Agences &amp; Après-vente'!$A$2:$A$1000=$A993)*(('Agences &amp; Après-vente'!$D$2:$D$1000="Après-vente")+('Agences &amp; Après-vente'!$D$2:$D$1000="Agences et Après-vente"))*'Agences &amp; Après-vente'!$E$2:$E$1000)),"yyyy-mm-dd"),""))))))</f>
        <v/>
      </c>
      <c r="K993" s="131" t="str">
        <f aca="false">IF($U993="✓","✓",IF(ISNUMBER($U993),TEXT($U993,"yyyy-mm-dd"),IF($D993="Lisbonne","",IF($A993="","",IF(SUMPRODUCT((Evermont!$A$2:$A$1000=$A993)*(Evermont!$Q$2:$Q$1000="Terminé"))&gt;0,"✓",IF(SUMPRODUCT(MAX((Evermont!$A$2:$A$1000=$A993)*Evermont!$F$2:$F$1000))&gt;0,TEXT(SUMPRODUCT(MAX((Evermont!$A$2:$A$1000=$A993)*Evermont!$F$2:$F$1000)),"yyyy-mm-dd"),""))))))</f>
        <v/>
      </c>
      <c r="L993" s="131" t="str">
        <f aca="false">IF($A993="","",COUNTIF(E993:K993,"✓"))</f>
        <v/>
      </c>
      <c r="M993" s="131" t="str">
        <f aca="false">IF(B993="","","Active")</f>
        <v/>
      </c>
      <c r="W993" s="120" t="str">
        <f aca="false">IF($A993="","",IF($X993&lt;&gt;"",$X993,IFERROR(INDEX('Formation Initiale'!$B$2:$B$999,MATCH($A993,'Formation Initiale'!$A$2:$A$999,0)),"Général")))</f>
        <v/>
      </c>
    </row>
    <row r="994" customFormat="false" ht="15" hidden="true" customHeight="true" outlineLevel="0" collapsed="false">
      <c r="A994" s="142" t="str">
        <f aca="false">IF(B994="","","TR"&amp;TEXT(ROW()-1,"000"))</f>
        <v/>
      </c>
      <c r="E994" s="130" t="str">
        <f aca="false">IF($O994="✓","✓",IF(ISNUMBER($O994),TEXT($O994,"yyyy-mm-dd"),IF($A994="","",IF(SUMPRODUCT(('Formation Initiale'!$A$2:$A$999=$A994)*('Formation Initiale'!$R$2:$R$999="Terminé"))&gt;0,"✓",IF(SUMPRODUCT(MAX(('Formation Initiale'!$A$2:$A$999=$A994)*'Formation Initiale'!$G$2:$G$999))&gt;0,TEXT(SUMPRODUCT(MAX(('Formation Initiale'!$A$2:$A$999=$A994)*'Formation Initiale'!$G$2:$G$999)),"yyyy-mm-dd"),"")))))</f>
        <v/>
      </c>
      <c r="F994" s="131" t="str">
        <f aca="false">IF($P994="✓","✓",IF(ISNUMBER($P994),TEXT($P994,"yyyy-mm-dd"),IF($A994="","",IF($D994="Lisbonne","",IF(SUMPRODUCT(('Formation Initiale'!$A$2:$A$999=$A994)*('Formation Initiale'!$R$2:$R$999="Terminé"))&gt;0,"✓",IF(SUMPRODUCT(MAX(('Formation Initiale'!$A$2:$A$999=$A994)*'Formation Initiale'!$G$2:$G$999))&gt;0,TEXT(SUMPRODUCT(MAX(('Formation Initiale'!$A$2:$A$999=$A994)*'Formation Initiale'!$G$2:$G$999)),"yyyy-mm-dd"),""))))))</f>
        <v/>
      </c>
      <c r="G994" s="131" t="str">
        <f aca="false">IF($Q994="✓","✓",IF(ISNUMBER($Q994),TEXT($Q994,"yyyy-mm-dd"),IF($A994="","",IF(SUMPRODUCT(('Agences &amp; Après-vente'!$A$2:$A$1000=$A994)*(('Agences &amp; Après-vente'!$D$2:$D$1000="Agences")+('Agences &amp; Après-vente'!$D$2:$D$1000="Agences et Après-vente"))*('Agences &amp; Après-vente'!$I$2:$I$1000="DONE"))&gt;0,"✓",IF(SUMPRODUCT(MAX(('Agences &amp; Après-vente'!$A$2:$A$1000=$A994)*(('Agences &amp; Après-vente'!$D$2:$D$1000="Agences")+('Agences &amp; Après-vente'!$D$2:$D$1000="Agences et Après-vente"))*'Agences &amp; Après-vente'!$E$2:$E$1000))&gt;0,TEXT(SUMPRODUCT(MAX(('Agences &amp; Après-vente'!$A$2:$A$1000=$A994)*(('Agences &amp; Après-vente'!$D$2:$D$1000="Agences")+('Agences &amp; Après-vente'!$D$2:$D$1000="Agences et Après-vente"))*'Agences &amp; Après-vente'!$E$2:$E$1000)),"yyyy-mm-dd"),"")))))</f>
        <v/>
      </c>
      <c r="H994" s="131" t="str">
        <f aca="false">IF($R994="✓","✓",IF(ISNUMBER($R994),TEXT($R994,"yyyy-mm-dd"),IF($A994="","",IF($D994="Lisbonne","",IF(SUMPRODUCT(('Agences &amp; Après-vente'!$A$2:$A$1000=$A994)*(('Agences &amp; Après-vente'!$D$2:$D$1000="Agences")+('Agences &amp; Après-vente'!$D$2:$D$1000="Agences et Après-vente"))*('Agences &amp; Après-vente'!$I$2:$I$1000="DONE"))&gt;0,"✓",IF(SUMPRODUCT(MAX(('Agences &amp; Après-vente'!$A$2:$A$1000=$A994)*(('Agences &amp; Après-vente'!$D$2:$D$1000="Agences")+('Agences &amp; Après-vente'!$D$2:$D$1000="Agences et Après-vente"))*'Agences &amp; Après-vente'!$E$2:$E$1000))&gt;0,TEXT(SUMPRODUCT(MAX(('Agences &amp; Après-vente'!$A$2:$A$1000=$A994)*(('Agences &amp; Après-vente'!$D$2:$D$1000="Agences")+('Agences &amp; Après-vente'!$D$2:$D$1000="Agences et Après-vente"))*'Agences &amp; Après-vente'!$E$2:$E$1000)),"yyyy-mm-dd"),""))))))</f>
        <v/>
      </c>
      <c r="I994" s="131" t="str">
        <f aca="false">IF($S994="✓","✓",IF(ISNUMBER($S994),TEXT($S994,"yyyy-mm-dd"),IF($A994="","",IF(SUMPRODUCT(('Agences &amp; Après-vente'!$A$2:$A$1000=$A994)*(('Agences &amp; Après-vente'!$D$2:$D$1000="Après-vente")+('Agences &amp; Après-vente'!$D$2:$D$1000="Agences et Après-vente"))*('Agences &amp; Après-vente'!$I$2:$I$1000="DONE"))&gt;0,"✓",IF(SUMPRODUCT(MAX(('Agences &amp; Après-vente'!$A$2:$A$1000=$A994)*(('Agences &amp; Après-vente'!$D$2:$D$1000="Après-vente")+('Agences &amp; Après-vente'!$D$2:$D$1000="Agences et Après-vente"))*'Agences &amp; Après-vente'!$E$2:$E$1000))&gt;0,TEXT(SUMPRODUCT(MAX(('Agences &amp; Après-vente'!$A$2:$A$1000=$A994)*(('Agences &amp; Après-vente'!$D$2:$D$1000="Après-vente")+('Agences &amp; Après-vente'!$D$2:$D$1000="Agences et Après-vente"))*'Agences &amp; Après-vente'!$E$2:$E$1000)),"yyyy-mm-dd"),"")))))</f>
        <v/>
      </c>
      <c r="J994" s="131" t="str">
        <f aca="false">IF($T994="✓","✓",IF(ISNUMBER($T994),TEXT($T994,"yyyy-mm-dd"),IF($A994="","",IF($D994="Lisbonne","",IF(SUMPRODUCT(('Agences &amp; Après-vente'!$A$2:$A$1000=$A994)*(('Agences &amp; Après-vente'!$D$2:$D$1000="Après-vente")+('Agences &amp; Après-vente'!$D$2:$D$1000="Agences et Après-vente"))*('Agences &amp; Après-vente'!$I$2:$I$1000="DONE"))&gt;0,"✓",IF(SUMPRODUCT(MAX(('Agences &amp; Après-vente'!$A$2:$A$1000=$A994)*(('Agences &amp; Après-vente'!$D$2:$D$1000="Après-vente")+('Agences &amp; Après-vente'!$D$2:$D$1000="Agences et Après-vente"))*'Agences &amp; Après-vente'!$E$2:$E$1000))&gt;0,TEXT(SUMPRODUCT(MAX(('Agences &amp; Après-vente'!$A$2:$A$1000=$A994)*(('Agences &amp; Après-vente'!$D$2:$D$1000="Après-vente")+('Agences &amp; Après-vente'!$D$2:$D$1000="Agences et Après-vente"))*'Agences &amp; Après-vente'!$E$2:$E$1000)),"yyyy-mm-dd"),""))))))</f>
        <v/>
      </c>
      <c r="K994" s="131" t="str">
        <f aca="false">IF($U994="✓","✓",IF(ISNUMBER($U994),TEXT($U994,"yyyy-mm-dd"),IF($D994="Lisbonne","",IF($A994="","",IF(SUMPRODUCT((Evermont!$A$2:$A$1000=$A994)*(Evermont!$Q$2:$Q$1000="Terminé"))&gt;0,"✓",IF(SUMPRODUCT(MAX((Evermont!$A$2:$A$1000=$A994)*Evermont!$F$2:$F$1000))&gt;0,TEXT(SUMPRODUCT(MAX((Evermont!$A$2:$A$1000=$A994)*Evermont!$F$2:$F$1000)),"yyyy-mm-dd"),""))))))</f>
        <v/>
      </c>
      <c r="L994" s="131" t="str">
        <f aca="false">IF($A994="","",COUNTIF(E994:K994,"✓"))</f>
        <v/>
      </c>
      <c r="M994" s="131" t="str">
        <f aca="false">IF(B994="","","Active")</f>
        <v/>
      </c>
      <c r="W994" s="120" t="str">
        <f aca="false">IF($A994="","",IF($X994&lt;&gt;"",$X994,IFERROR(INDEX('Formation Initiale'!$B$2:$B$999,MATCH($A994,'Formation Initiale'!$A$2:$A$999,0)),"Général")))</f>
        <v/>
      </c>
    </row>
    <row r="995" customFormat="false" ht="15" hidden="true" customHeight="true" outlineLevel="0" collapsed="false">
      <c r="A995" s="142" t="str">
        <f aca="false">IF(B995="","","TR"&amp;TEXT(ROW()-1,"000"))</f>
        <v/>
      </c>
      <c r="E995" s="130" t="str">
        <f aca="false">IF($O995="✓","✓",IF(ISNUMBER($O995),TEXT($O995,"yyyy-mm-dd"),IF($A995="","",IF(SUMPRODUCT(('Formation Initiale'!$A$2:$A$999=$A995)*('Formation Initiale'!$R$2:$R$999="Terminé"))&gt;0,"✓",IF(SUMPRODUCT(MAX(('Formation Initiale'!$A$2:$A$999=$A995)*'Formation Initiale'!$G$2:$G$999))&gt;0,TEXT(SUMPRODUCT(MAX(('Formation Initiale'!$A$2:$A$999=$A995)*'Formation Initiale'!$G$2:$G$999)),"yyyy-mm-dd"),"")))))</f>
        <v/>
      </c>
      <c r="F995" s="131" t="str">
        <f aca="false">IF($P995="✓","✓",IF(ISNUMBER($P995),TEXT($P995,"yyyy-mm-dd"),IF($A995="","",IF($D995="Lisbonne","",IF(SUMPRODUCT(('Formation Initiale'!$A$2:$A$999=$A995)*('Formation Initiale'!$R$2:$R$999="Terminé"))&gt;0,"✓",IF(SUMPRODUCT(MAX(('Formation Initiale'!$A$2:$A$999=$A995)*'Formation Initiale'!$G$2:$G$999))&gt;0,TEXT(SUMPRODUCT(MAX(('Formation Initiale'!$A$2:$A$999=$A995)*'Formation Initiale'!$G$2:$G$999)),"yyyy-mm-dd"),""))))))</f>
        <v/>
      </c>
      <c r="G995" s="131" t="str">
        <f aca="false">IF($Q995="✓","✓",IF(ISNUMBER($Q995),TEXT($Q995,"yyyy-mm-dd"),IF($A995="","",IF(SUMPRODUCT(('Agences &amp; Après-vente'!$A$2:$A$1000=$A995)*(('Agences &amp; Après-vente'!$D$2:$D$1000="Agences")+('Agences &amp; Après-vente'!$D$2:$D$1000="Agences et Après-vente"))*('Agences &amp; Après-vente'!$I$2:$I$1000="DONE"))&gt;0,"✓",IF(SUMPRODUCT(MAX(('Agences &amp; Après-vente'!$A$2:$A$1000=$A995)*(('Agences &amp; Après-vente'!$D$2:$D$1000="Agences")+('Agences &amp; Après-vente'!$D$2:$D$1000="Agences et Après-vente"))*'Agences &amp; Après-vente'!$E$2:$E$1000))&gt;0,TEXT(SUMPRODUCT(MAX(('Agences &amp; Après-vente'!$A$2:$A$1000=$A995)*(('Agences &amp; Après-vente'!$D$2:$D$1000="Agences")+('Agences &amp; Après-vente'!$D$2:$D$1000="Agences et Après-vente"))*'Agences &amp; Après-vente'!$E$2:$E$1000)),"yyyy-mm-dd"),"")))))</f>
        <v/>
      </c>
      <c r="H995" s="131" t="str">
        <f aca="false">IF($R995="✓","✓",IF(ISNUMBER($R995),TEXT($R995,"yyyy-mm-dd"),IF($A995="","",IF($D995="Lisbonne","",IF(SUMPRODUCT(('Agences &amp; Après-vente'!$A$2:$A$1000=$A995)*(('Agences &amp; Après-vente'!$D$2:$D$1000="Agences")+('Agences &amp; Après-vente'!$D$2:$D$1000="Agences et Après-vente"))*('Agences &amp; Après-vente'!$I$2:$I$1000="DONE"))&gt;0,"✓",IF(SUMPRODUCT(MAX(('Agences &amp; Après-vente'!$A$2:$A$1000=$A995)*(('Agences &amp; Après-vente'!$D$2:$D$1000="Agences")+('Agences &amp; Après-vente'!$D$2:$D$1000="Agences et Après-vente"))*'Agences &amp; Après-vente'!$E$2:$E$1000))&gt;0,TEXT(SUMPRODUCT(MAX(('Agences &amp; Après-vente'!$A$2:$A$1000=$A995)*(('Agences &amp; Après-vente'!$D$2:$D$1000="Agences")+('Agences &amp; Après-vente'!$D$2:$D$1000="Agences et Après-vente"))*'Agences &amp; Après-vente'!$E$2:$E$1000)),"yyyy-mm-dd"),""))))))</f>
        <v/>
      </c>
      <c r="I995" s="131" t="str">
        <f aca="false">IF($S995="✓","✓",IF(ISNUMBER($S995),TEXT($S995,"yyyy-mm-dd"),IF($A995="","",IF(SUMPRODUCT(('Agences &amp; Après-vente'!$A$2:$A$1000=$A995)*(('Agences &amp; Après-vente'!$D$2:$D$1000="Après-vente")+('Agences &amp; Après-vente'!$D$2:$D$1000="Agences et Après-vente"))*('Agences &amp; Après-vente'!$I$2:$I$1000="DONE"))&gt;0,"✓",IF(SUMPRODUCT(MAX(('Agences &amp; Après-vente'!$A$2:$A$1000=$A995)*(('Agences &amp; Après-vente'!$D$2:$D$1000="Après-vente")+('Agences &amp; Après-vente'!$D$2:$D$1000="Agences et Après-vente"))*'Agences &amp; Après-vente'!$E$2:$E$1000))&gt;0,TEXT(SUMPRODUCT(MAX(('Agences &amp; Après-vente'!$A$2:$A$1000=$A995)*(('Agences &amp; Après-vente'!$D$2:$D$1000="Après-vente")+('Agences &amp; Après-vente'!$D$2:$D$1000="Agences et Après-vente"))*'Agences &amp; Après-vente'!$E$2:$E$1000)),"yyyy-mm-dd"),"")))))</f>
        <v/>
      </c>
      <c r="J995" s="131" t="str">
        <f aca="false">IF($T995="✓","✓",IF(ISNUMBER($T995),TEXT($T995,"yyyy-mm-dd"),IF($A995="","",IF($D995="Lisbonne","",IF(SUMPRODUCT(('Agences &amp; Après-vente'!$A$2:$A$1000=$A995)*(('Agences &amp; Après-vente'!$D$2:$D$1000="Après-vente")+('Agences &amp; Après-vente'!$D$2:$D$1000="Agences et Après-vente"))*('Agences &amp; Après-vente'!$I$2:$I$1000="DONE"))&gt;0,"✓",IF(SUMPRODUCT(MAX(('Agences &amp; Après-vente'!$A$2:$A$1000=$A995)*(('Agences &amp; Après-vente'!$D$2:$D$1000="Après-vente")+('Agences &amp; Après-vente'!$D$2:$D$1000="Agences et Après-vente"))*'Agences &amp; Après-vente'!$E$2:$E$1000))&gt;0,TEXT(SUMPRODUCT(MAX(('Agences &amp; Après-vente'!$A$2:$A$1000=$A995)*(('Agences &amp; Après-vente'!$D$2:$D$1000="Après-vente")+('Agences &amp; Après-vente'!$D$2:$D$1000="Agences et Après-vente"))*'Agences &amp; Après-vente'!$E$2:$E$1000)),"yyyy-mm-dd"),""))))))</f>
        <v/>
      </c>
      <c r="K995" s="131" t="str">
        <f aca="false">IF($U995="✓","✓",IF(ISNUMBER($U995),TEXT($U995,"yyyy-mm-dd"),IF($D995="Lisbonne","",IF($A995="","",IF(SUMPRODUCT((Evermont!$A$2:$A$1000=$A995)*(Evermont!$Q$2:$Q$1000="Terminé"))&gt;0,"✓",IF(SUMPRODUCT(MAX((Evermont!$A$2:$A$1000=$A995)*Evermont!$F$2:$F$1000))&gt;0,TEXT(SUMPRODUCT(MAX((Evermont!$A$2:$A$1000=$A995)*Evermont!$F$2:$F$1000)),"yyyy-mm-dd"),""))))))</f>
        <v/>
      </c>
      <c r="L995" s="131" t="str">
        <f aca="false">IF($A995="","",COUNTIF(E995:K995,"✓"))</f>
        <v/>
      </c>
      <c r="M995" s="131" t="str">
        <f aca="false">IF(B995="","","Active")</f>
        <v/>
      </c>
      <c r="W995" s="120" t="str">
        <f aca="false">IF($A995="","",IF($X995&lt;&gt;"",$X995,IFERROR(INDEX('Formation Initiale'!$B$2:$B$999,MATCH($A995,'Formation Initiale'!$A$2:$A$999,0)),"Général")))</f>
        <v/>
      </c>
    </row>
    <row r="996" customFormat="false" ht="15" hidden="true" customHeight="true" outlineLevel="0" collapsed="false">
      <c r="A996" s="142" t="str">
        <f aca="false">IF(B996="","","TR"&amp;TEXT(ROW()-1,"000"))</f>
        <v/>
      </c>
      <c r="E996" s="130" t="str">
        <f aca="false">IF($O996="✓","✓",IF(ISNUMBER($O996),TEXT($O996,"yyyy-mm-dd"),IF($A996="","",IF(SUMPRODUCT(('Formation Initiale'!$A$2:$A$999=$A996)*('Formation Initiale'!$R$2:$R$999="Terminé"))&gt;0,"✓",IF(SUMPRODUCT(MAX(('Formation Initiale'!$A$2:$A$999=$A996)*'Formation Initiale'!$G$2:$G$999))&gt;0,TEXT(SUMPRODUCT(MAX(('Formation Initiale'!$A$2:$A$999=$A996)*'Formation Initiale'!$G$2:$G$999)),"yyyy-mm-dd"),"")))))</f>
        <v/>
      </c>
      <c r="F996" s="131" t="str">
        <f aca="false">IF($P996="✓","✓",IF(ISNUMBER($P996),TEXT($P996,"yyyy-mm-dd"),IF($A996="","",IF($D996="Lisbonne","",IF(SUMPRODUCT(('Formation Initiale'!$A$2:$A$999=$A996)*('Formation Initiale'!$R$2:$R$999="Terminé"))&gt;0,"✓",IF(SUMPRODUCT(MAX(('Formation Initiale'!$A$2:$A$999=$A996)*'Formation Initiale'!$G$2:$G$999))&gt;0,TEXT(SUMPRODUCT(MAX(('Formation Initiale'!$A$2:$A$999=$A996)*'Formation Initiale'!$G$2:$G$999)),"yyyy-mm-dd"),""))))))</f>
        <v/>
      </c>
      <c r="G996" s="131" t="str">
        <f aca="false">IF($Q996="✓","✓",IF(ISNUMBER($Q996),TEXT($Q996,"yyyy-mm-dd"),IF($A996="","",IF(SUMPRODUCT(('Agences &amp; Après-vente'!$A$2:$A$1000=$A996)*(('Agences &amp; Après-vente'!$D$2:$D$1000="Agences")+('Agences &amp; Après-vente'!$D$2:$D$1000="Agences et Après-vente"))*('Agences &amp; Après-vente'!$I$2:$I$1000="DONE"))&gt;0,"✓",IF(SUMPRODUCT(MAX(('Agences &amp; Après-vente'!$A$2:$A$1000=$A996)*(('Agences &amp; Après-vente'!$D$2:$D$1000="Agences")+('Agences &amp; Après-vente'!$D$2:$D$1000="Agences et Après-vente"))*'Agences &amp; Après-vente'!$E$2:$E$1000))&gt;0,TEXT(SUMPRODUCT(MAX(('Agences &amp; Après-vente'!$A$2:$A$1000=$A996)*(('Agences &amp; Après-vente'!$D$2:$D$1000="Agences")+('Agences &amp; Après-vente'!$D$2:$D$1000="Agences et Après-vente"))*'Agences &amp; Après-vente'!$E$2:$E$1000)),"yyyy-mm-dd"),"")))))</f>
        <v/>
      </c>
      <c r="H996" s="131" t="str">
        <f aca="false">IF($R996="✓","✓",IF(ISNUMBER($R996),TEXT($R996,"yyyy-mm-dd"),IF($A996="","",IF($D996="Lisbonne","",IF(SUMPRODUCT(('Agences &amp; Après-vente'!$A$2:$A$1000=$A996)*(('Agences &amp; Après-vente'!$D$2:$D$1000="Agences")+('Agences &amp; Après-vente'!$D$2:$D$1000="Agences et Après-vente"))*('Agences &amp; Après-vente'!$I$2:$I$1000="DONE"))&gt;0,"✓",IF(SUMPRODUCT(MAX(('Agences &amp; Après-vente'!$A$2:$A$1000=$A996)*(('Agences &amp; Après-vente'!$D$2:$D$1000="Agences")+('Agences &amp; Après-vente'!$D$2:$D$1000="Agences et Après-vente"))*'Agences &amp; Après-vente'!$E$2:$E$1000))&gt;0,TEXT(SUMPRODUCT(MAX(('Agences &amp; Après-vente'!$A$2:$A$1000=$A996)*(('Agences &amp; Après-vente'!$D$2:$D$1000="Agences")+('Agences &amp; Après-vente'!$D$2:$D$1000="Agences et Après-vente"))*'Agences &amp; Après-vente'!$E$2:$E$1000)),"yyyy-mm-dd"),""))))))</f>
        <v/>
      </c>
      <c r="I996" s="131" t="str">
        <f aca="false">IF($S996="✓","✓",IF(ISNUMBER($S996),TEXT($S996,"yyyy-mm-dd"),IF($A996="","",IF(SUMPRODUCT(('Agences &amp; Après-vente'!$A$2:$A$1000=$A996)*(('Agences &amp; Après-vente'!$D$2:$D$1000="Après-vente")+('Agences &amp; Après-vente'!$D$2:$D$1000="Agences et Après-vente"))*('Agences &amp; Après-vente'!$I$2:$I$1000="DONE"))&gt;0,"✓",IF(SUMPRODUCT(MAX(('Agences &amp; Après-vente'!$A$2:$A$1000=$A996)*(('Agences &amp; Après-vente'!$D$2:$D$1000="Après-vente")+('Agences &amp; Après-vente'!$D$2:$D$1000="Agences et Après-vente"))*'Agences &amp; Après-vente'!$E$2:$E$1000))&gt;0,TEXT(SUMPRODUCT(MAX(('Agences &amp; Après-vente'!$A$2:$A$1000=$A996)*(('Agences &amp; Après-vente'!$D$2:$D$1000="Après-vente")+('Agences &amp; Après-vente'!$D$2:$D$1000="Agences et Après-vente"))*'Agences &amp; Après-vente'!$E$2:$E$1000)),"yyyy-mm-dd"),"")))))</f>
        <v/>
      </c>
      <c r="J996" s="131" t="str">
        <f aca="false">IF($T996="✓","✓",IF(ISNUMBER($T996),TEXT($T996,"yyyy-mm-dd"),IF($A996="","",IF($D996="Lisbonne","",IF(SUMPRODUCT(('Agences &amp; Après-vente'!$A$2:$A$1000=$A996)*(('Agences &amp; Après-vente'!$D$2:$D$1000="Après-vente")+('Agences &amp; Après-vente'!$D$2:$D$1000="Agences et Après-vente"))*('Agences &amp; Après-vente'!$I$2:$I$1000="DONE"))&gt;0,"✓",IF(SUMPRODUCT(MAX(('Agences &amp; Après-vente'!$A$2:$A$1000=$A996)*(('Agences &amp; Après-vente'!$D$2:$D$1000="Après-vente")+('Agences &amp; Après-vente'!$D$2:$D$1000="Agences et Après-vente"))*'Agences &amp; Après-vente'!$E$2:$E$1000))&gt;0,TEXT(SUMPRODUCT(MAX(('Agences &amp; Après-vente'!$A$2:$A$1000=$A996)*(('Agences &amp; Après-vente'!$D$2:$D$1000="Après-vente")+('Agences &amp; Après-vente'!$D$2:$D$1000="Agences et Après-vente"))*'Agences &amp; Après-vente'!$E$2:$E$1000)),"yyyy-mm-dd"),""))))))</f>
        <v/>
      </c>
      <c r="K996" s="131" t="str">
        <f aca="false">IF($U996="✓","✓",IF(ISNUMBER($U996),TEXT($U996,"yyyy-mm-dd"),IF($D996="Lisbonne","",IF($A996="","",IF(SUMPRODUCT((Evermont!$A$2:$A$1000=$A996)*(Evermont!$Q$2:$Q$1000="Terminé"))&gt;0,"✓",IF(SUMPRODUCT(MAX((Evermont!$A$2:$A$1000=$A996)*Evermont!$F$2:$F$1000))&gt;0,TEXT(SUMPRODUCT(MAX((Evermont!$A$2:$A$1000=$A996)*Evermont!$F$2:$F$1000)),"yyyy-mm-dd"),""))))))</f>
        <v/>
      </c>
      <c r="L996" s="131" t="str">
        <f aca="false">IF($A996="","",COUNTIF(E996:K996,"✓"))</f>
        <v/>
      </c>
      <c r="M996" s="131" t="str">
        <f aca="false">IF(B996="","","Active")</f>
        <v/>
      </c>
      <c r="W996" s="120" t="str">
        <f aca="false">IF($A996="","",IF($X996&lt;&gt;"",$X996,IFERROR(INDEX('Formation Initiale'!$B$2:$B$999,MATCH($A996,'Formation Initiale'!$A$2:$A$999,0)),"Général")))</f>
        <v/>
      </c>
    </row>
    <row r="997" customFormat="false" ht="15" hidden="true" customHeight="true" outlineLevel="0" collapsed="false">
      <c r="A997" s="142" t="str">
        <f aca="false">IF(B997="","","TR"&amp;TEXT(ROW()-1,"000"))</f>
        <v/>
      </c>
      <c r="E997" s="130" t="str">
        <f aca="false">IF($O997="✓","✓",IF(ISNUMBER($O997),TEXT($O997,"yyyy-mm-dd"),IF($A997="","",IF(SUMPRODUCT(('Formation Initiale'!$A$2:$A$999=$A997)*('Formation Initiale'!$R$2:$R$999="Terminé"))&gt;0,"✓",IF(SUMPRODUCT(MAX(('Formation Initiale'!$A$2:$A$999=$A997)*'Formation Initiale'!$G$2:$G$999))&gt;0,TEXT(SUMPRODUCT(MAX(('Formation Initiale'!$A$2:$A$999=$A997)*'Formation Initiale'!$G$2:$G$999)),"yyyy-mm-dd"),"")))))</f>
        <v/>
      </c>
      <c r="F997" s="131" t="str">
        <f aca="false">IF($P997="✓","✓",IF(ISNUMBER($P997),TEXT($P997,"yyyy-mm-dd"),IF($A997="","",IF($D997="Lisbonne","",IF(SUMPRODUCT(('Formation Initiale'!$A$2:$A$999=$A997)*('Formation Initiale'!$R$2:$R$999="Terminé"))&gt;0,"✓",IF(SUMPRODUCT(MAX(('Formation Initiale'!$A$2:$A$999=$A997)*'Formation Initiale'!$G$2:$G$999))&gt;0,TEXT(SUMPRODUCT(MAX(('Formation Initiale'!$A$2:$A$999=$A997)*'Formation Initiale'!$G$2:$G$999)),"yyyy-mm-dd"),""))))))</f>
        <v/>
      </c>
      <c r="G997" s="131" t="str">
        <f aca="false">IF($Q997="✓","✓",IF(ISNUMBER($Q997),TEXT($Q997,"yyyy-mm-dd"),IF($A997="","",IF(SUMPRODUCT(('Agences &amp; Après-vente'!$A$2:$A$1000=$A997)*(('Agences &amp; Après-vente'!$D$2:$D$1000="Agences")+('Agences &amp; Après-vente'!$D$2:$D$1000="Agences et Après-vente"))*('Agences &amp; Après-vente'!$I$2:$I$1000="DONE"))&gt;0,"✓",IF(SUMPRODUCT(MAX(('Agences &amp; Après-vente'!$A$2:$A$1000=$A997)*(('Agences &amp; Après-vente'!$D$2:$D$1000="Agences")+('Agences &amp; Après-vente'!$D$2:$D$1000="Agences et Après-vente"))*'Agences &amp; Après-vente'!$E$2:$E$1000))&gt;0,TEXT(SUMPRODUCT(MAX(('Agences &amp; Après-vente'!$A$2:$A$1000=$A997)*(('Agences &amp; Après-vente'!$D$2:$D$1000="Agences")+('Agences &amp; Après-vente'!$D$2:$D$1000="Agences et Après-vente"))*'Agences &amp; Après-vente'!$E$2:$E$1000)),"yyyy-mm-dd"),"")))))</f>
        <v/>
      </c>
      <c r="H997" s="131" t="str">
        <f aca="false">IF($R997="✓","✓",IF(ISNUMBER($R997),TEXT($R997,"yyyy-mm-dd"),IF($A997="","",IF($D997="Lisbonne","",IF(SUMPRODUCT(('Agences &amp; Après-vente'!$A$2:$A$1000=$A997)*(('Agences &amp; Après-vente'!$D$2:$D$1000="Agences")+('Agences &amp; Après-vente'!$D$2:$D$1000="Agences et Après-vente"))*('Agences &amp; Après-vente'!$I$2:$I$1000="DONE"))&gt;0,"✓",IF(SUMPRODUCT(MAX(('Agences &amp; Après-vente'!$A$2:$A$1000=$A997)*(('Agences &amp; Après-vente'!$D$2:$D$1000="Agences")+('Agences &amp; Après-vente'!$D$2:$D$1000="Agences et Après-vente"))*'Agences &amp; Après-vente'!$E$2:$E$1000))&gt;0,TEXT(SUMPRODUCT(MAX(('Agences &amp; Après-vente'!$A$2:$A$1000=$A997)*(('Agences &amp; Après-vente'!$D$2:$D$1000="Agences")+('Agences &amp; Après-vente'!$D$2:$D$1000="Agences et Après-vente"))*'Agences &amp; Après-vente'!$E$2:$E$1000)),"yyyy-mm-dd"),""))))))</f>
        <v/>
      </c>
      <c r="I997" s="131" t="str">
        <f aca="false">IF($S997="✓","✓",IF(ISNUMBER($S997),TEXT($S997,"yyyy-mm-dd"),IF($A997="","",IF(SUMPRODUCT(('Agences &amp; Après-vente'!$A$2:$A$1000=$A997)*(('Agences &amp; Après-vente'!$D$2:$D$1000="Après-vente")+('Agences &amp; Après-vente'!$D$2:$D$1000="Agences et Après-vente"))*('Agences &amp; Après-vente'!$I$2:$I$1000="DONE"))&gt;0,"✓",IF(SUMPRODUCT(MAX(('Agences &amp; Après-vente'!$A$2:$A$1000=$A997)*(('Agences &amp; Après-vente'!$D$2:$D$1000="Après-vente")+('Agences &amp; Après-vente'!$D$2:$D$1000="Agences et Après-vente"))*'Agences &amp; Après-vente'!$E$2:$E$1000))&gt;0,TEXT(SUMPRODUCT(MAX(('Agences &amp; Après-vente'!$A$2:$A$1000=$A997)*(('Agences &amp; Après-vente'!$D$2:$D$1000="Après-vente")+('Agences &amp; Après-vente'!$D$2:$D$1000="Agences et Après-vente"))*'Agences &amp; Après-vente'!$E$2:$E$1000)),"yyyy-mm-dd"),"")))))</f>
        <v/>
      </c>
      <c r="J997" s="131" t="str">
        <f aca="false">IF($T997="✓","✓",IF(ISNUMBER($T997),TEXT($T997,"yyyy-mm-dd"),IF($A997="","",IF($D997="Lisbonne","",IF(SUMPRODUCT(('Agences &amp; Après-vente'!$A$2:$A$1000=$A997)*(('Agences &amp; Après-vente'!$D$2:$D$1000="Après-vente")+('Agences &amp; Après-vente'!$D$2:$D$1000="Agences et Après-vente"))*('Agences &amp; Après-vente'!$I$2:$I$1000="DONE"))&gt;0,"✓",IF(SUMPRODUCT(MAX(('Agences &amp; Après-vente'!$A$2:$A$1000=$A997)*(('Agences &amp; Après-vente'!$D$2:$D$1000="Après-vente")+('Agences &amp; Après-vente'!$D$2:$D$1000="Agences et Après-vente"))*'Agences &amp; Après-vente'!$E$2:$E$1000))&gt;0,TEXT(SUMPRODUCT(MAX(('Agences &amp; Après-vente'!$A$2:$A$1000=$A997)*(('Agences &amp; Après-vente'!$D$2:$D$1000="Après-vente")+('Agences &amp; Après-vente'!$D$2:$D$1000="Agences et Après-vente"))*'Agences &amp; Après-vente'!$E$2:$E$1000)),"yyyy-mm-dd"),""))))))</f>
        <v/>
      </c>
      <c r="K997" s="131" t="str">
        <f aca="false">IF($U997="✓","✓",IF(ISNUMBER($U997),TEXT($U997,"yyyy-mm-dd"),IF($D997="Lisbonne","",IF($A997="","",IF(SUMPRODUCT((Evermont!$A$2:$A$1000=$A997)*(Evermont!$Q$2:$Q$1000="Terminé"))&gt;0,"✓",IF(SUMPRODUCT(MAX((Evermont!$A$2:$A$1000=$A997)*Evermont!$F$2:$F$1000))&gt;0,TEXT(SUMPRODUCT(MAX((Evermont!$A$2:$A$1000=$A997)*Evermont!$F$2:$F$1000)),"yyyy-mm-dd"),""))))))</f>
        <v/>
      </c>
      <c r="L997" s="131" t="str">
        <f aca="false">IF($A997="","",COUNTIF(E997:K997,"✓"))</f>
        <v/>
      </c>
      <c r="M997" s="131" t="str">
        <f aca="false">IF(B997="","","Active")</f>
        <v/>
      </c>
      <c r="W997" s="120" t="str">
        <f aca="false">IF($A997="","",IF($X997&lt;&gt;"",$X997,IFERROR(INDEX('Formation Initiale'!$B$2:$B$999,MATCH($A997,'Formation Initiale'!$A$2:$A$999,0)),"Général")))</f>
        <v/>
      </c>
    </row>
    <row r="998" customFormat="false" ht="15" hidden="true" customHeight="true" outlineLevel="0" collapsed="false">
      <c r="A998" s="142" t="str">
        <f aca="false">IF(B998="","","TR"&amp;TEXT(ROW()-1,"000"))</f>
        <v/>
      </c>
      <c r="E998" s="130" t="str">
        <f aca="false">IF($O998="✓","✓",IF(ISNUMBER($O998),TEXT($O998,"yyyy-mm-dd"),IF($A998="","",IF(SUMPRODUCT(('Formation Initiale'!$A$2:$A$999=$A998)*('Formation Initiale'!$R$2:$R$999="Terminé"))&gt;0,"✓",IF(SUMPRODUCT(MAX(('Formation Initiale'!$A$2:$A$999=$A998)*'Formation Initiale'!$G$2:$G$999))&gt;0,TEXT(SUMPRODUCT(MAX(('Formation Initiale'!$A$2:$A$999=$A998)*'Formation Initiale'!$G$2:$G$999)),"yyyy-mm-dd"),"")))))</f>
        <v/>
      </c>
      <c r="F998" s="131" t="str">
        <f aca="false">IF($P998="✓","✓",IF(ISNUMBER($P998),TEXT($P998,"yyyy-mm-dd"),IF($A998="","",IF($D998="Lisbonne","",IF(SUMPRODUCT(('Formation Initiale'!$A$2:$A$999=$A998)*('Formation Initiale'!$R$2:$R$999="Terminé"))&gt;0,"✓",IF(SUMPRODUCT(MAX(('Formation Initiale'!$A$2:$A$999=$A998)*'Formation Initiale'!$G$2:$G$999))&gt;0,TEXT(SUMPRODUCT(MAX(('Formation Initiale'!$A$2:$A$999=$A998)*'Formation Initiale'!$G$2:$G$999)),"yyyy-mm-dd"),""))))))</f>
        <v/>
      </c>
      <c r="G998" s="131" t="str">
        <f aca="false">IF($Q998="✓","✓",IF(ISNUMBER($Q998),TEXT($Q998,"yyyy-mm-dd"),IF($A998="","",IF(SUMPRODUCT(('Agences &amp; Après-vente'!$A$2:$A$1000=$A998)*(('Agences &amp; Après-vente'!$D$2:$D$1000="Agences")+('Agences &amp; Après-vente'!$D$2:$D$1000="Agences et Après-vente"))*('Agences &amp; Après-vente'!$I$2:$I$1000="DONE"))&gt;0,"✓",IF(SUMPRODUCT(MAX(('Agences &amp; Après-vente'!$A$2:$A$1000=$A998)*(('Agences &amp; Après-vente'!$D$2:$D$1000="Agences")+('Agences &amp; Après-vente'!$D$2:$D$1000="Agences et Après-vente"))*'Agences &amp; Après-vente'!$E$2:$E$1000))&gt;0,TEXT(SUMPRODUCT(MAX(('Agences &amp; Après-vente'!$A$2:$A$1000=$A998)*(('Agences &amp; Après-vente'!$D$2:$D$1000="Agences")+('Agences &amp; Après-vente'!$D$2:$D$1000="Agences et Après-vente"))*'Agences &amp; Après-vente'!$E$2:$E$1000)),"yyyy-mm-dd"),"")))))</f>
        <v/>
      </c>
      <c r="H998" s="131" t="str">
        <f aca="false">IF($R998="✓","✓",IF(ISNUMBER($R998),TEXT($R998,"yyyy-mm-dd"),IF($A998="","",IF($D998="Lisbonne","",IF(SUMPRODUCT(('Agences &amp; Après-vente'!$A$2:$A$1000=$A998)*(('Agences &amp; Après-vente'!$D$2:$D$1000="Agences")+('Agences &amp; Après-vente'!$D$2:$D$1000="Agences et Après-vente"))*('Agences &amp; Après-vente'!$I$2:$I$1000="DONE"))&gt;0,"✓",IF(SUMPRODUCT(MAX(('Agences &amp; Après-vente'!$A$2:$A$1000=$A998)*(('Agences &amp; Après-vente'!$D$2:$D$1000="Agences")+('Agences &amp; Après-vente'!$D$2:$D$1000="Agences et Après-vente"))*'Agences &amp; Après-vente'!$E$2:$E$1000))&gt;0,TEXT(SUMPRODUCT(MAX(('Agences &amp; Après-vente'!$A$2:$A$1000=$A998)*(('Agences &amp; Après-vente'!$D$2:$D$1000="Agences")+('Agences &amp; Après-vente'!$D$2:$D$1000="Agences et Après-vente"))*'Agences &amp; Après-vente'!$E$2:$E$1000)),"yyyy-mm-dd"),""))))))</f>
        <v/>
      </c>
      <c r="I998" s="131" t="str">
        <f aca="false">IF($S998="✓","✓",IF(ISNUMBER($S998),TEXT($S998,"yyyy-mm-dd"),IF($A998="","",IF(SUMPRODUCT(('Agences &amp; Après-vente'!$A$2:$A$1000=$A998)*(('Agences &amp; Après-vente'!$D$2:$D$1000="Après-vente")+('Agences &amp; Après-vente'!$D$2:$D$1000="Agences et Après-vente"))*('Agences &amp; Après-vente'!$I$2:$I$1000="DONE"))&gt;0,"✓",IF(SUMPRODUCT(MAX(('Agences &amp; Après-vente'!$A$2:$A$1000=$A998)*(('Agences &amp; Après-vente'!$D$2:$D$1000="Après-vente")+('Agences &amp; Après-vente'!$D$2:$D$1000="Agences et Après-vente"))*'Agences &amp; Après-vente'!$E$2:$E$1000))&gt;0,TEXT(SUMPRODUCT(MAX(('Agences &amp; Après-vente'!$A$2:$A$1000=$A998)*(('Agences &amp; Après-vente'!$D$2:$D$1000="Après-vente")+('Agences &amp; Après-vente'!$D$2:$D$1000="Agences et Après-vente"))*'Agences &amp; Après-vente'!$E$2:$E$1000)),"yyyy-mm-dd"),"")))))</f>
        <v/>
      </c>
      <c r="J998" s="131" t="str">
        <f aca="false">IF($T998="✓","✓",IF(ISNUMBER($T998),TEXT($T998,"yyyy-mm-dd"),IF($A998="","",IF($D998="Lisbonne","",IF(SUMPRODUCT(('Agences &amp; Après-vente'!$A$2:$A$1000=$A998)*(('Agences &amp; Après-vente'!$D$2:$D$1000="Après-vente")+('Agences &amp; Après-vente'!$D$2:$D$1000="Agences et Après-vente"))*('Agences &amp; Après-vente'!$I$2:$I$1000="DONE"))&gt;0,"✓",IF(SUMPRODUCT(MAX(('Agences &amp; Après-vente'!$A$2:$A$1000=$A998)*(('Agences &amp; Après-vente'!$D$2:$D$1000="Après-vente")+('Agences &amp; Après-vente'!$D$2:$D$1000="Agences et Après-vente"))*'Agences &amp; Après-vente'!$E$2:$E$1000))&gt;0,TEXT(SUMPRODUCT(MAX(('Agences &amp; Après-vente'!$A$2:$A$1000=$A998)*(('Agences &amp; Après-vente'!$D$2:$D$1000="Après-vente")+('Agences &amp; Après-vente'!$D$2:$D$1000="Agences et Après-vente"))*'Agences &amp; Après-vente'!$E$2:$E$1000)),"yyyy-mm-dd"),""))))))</f>
        <v/>
      </c>
      <c r="K998" s="131" t="str">
        <f aca="false">IF($U998="✓","✓",IF(ISNUMBER($U998),TEXT($U998,"yyyy-mm-dd"),IF($D998="Lisbonne","",IF($A998="","",IF(SUMPRODUCT((Evermont!$A$2:$A$1000=$A998)*(Evermont!$Q$2:$Q$1000="Terminé"))&gt;0,"✓",IF(SUMPRODUCT(MAX((Evermont!$A$2:$A$1000=$A998)*Evermont!$F$2:$F$1000))&gt;0,TEXT(SUMPRODUCT(MAX((Evermont!$A$2:$A$1000=$A998)*Evermont!$F$2:$F$1000)),"yyyy-mm-dd"),""))))))</f>
        <v/>
      </c>
      <c r="L998" s="131" t="str">
        <f aca="false">IF($A998="","",COUNTIF(E998:K998,"✓"))</f>
        <v/>
      </c>
      <c r="M998" s="131" t="str">
        <f aca="false">IF(B998="","","Active")</f>
        <v/>
      </c>
      <c r="W998" s="120" t="str">
        <f aca="false">IF($A998="","",IF($X998&lt;&gt;"",$X998,IFERROR(INDEX('Formation Initiale'!$B$2:$B$999,MATCH($A998,'Formation Initiale'!$A$2:$A$999,0)),"Général")))</f>
        <v/>
      </c>
    </row>
    <row r="999" customFormat="false" ht="15" hidden="true" customHeight="true" outlineLevel="0" collapsed="false">
      <c r="A999" s="145" t="str">
        <f aca="false">IF(B999="","","TR"&amp;TEXT(ROW()-1,"000"))</f>
        <v/>
      </c>
      <c r="E999" s="130" t="str">
        <f aca="false">IF($O999="✓","✓",IF(ISNUMBER($O999),TEXT($O999,"yyyy-mm-dd"),IF($A999="","",IF(SUMPRODUCT(('Formation Initiale'!$A$2:$A$999=$A999)*('Formation Initiale'!$R$2:$R$999="Terminé"))&gt;0,"✓",IF(SUMPRODUCT(MAX(('Formation Initiale'!$A$2:$A$999=$A999)*'Formation Initiale'!$G$2:$G$999))&gt;0,TEXT(SUMPRODUCT(MAX(('Formation Initiale'!$A$2:$A$999=$A999)*'Formation Initiale'!$G$2:$G$999)),"yyyy-mm-dd"),"")))))</f>
        <v/>
      </c>
      <c r="F999" s="131" t="str">
        <f aca="false">IF($P999="✓","✓",IF(ISNUMBER($P999),TEXT($P999,"yyyy-mm-dd"),IF($A999="","",IF($D999="Lisbonne","",IF(SUMPRODUCT(('Formation Initiale'!$A$2:$A$999=$A999)*('Formation Initiale'!$R$2:$R$999="Terminé"))&gt;0,"✓",IF(SUMPRODUCT(MAX(('Formation Initiale'!$A$2:$A$999=$A999)*'Formation Initiale'!$G$2:$G$999))&gt;0,TEXT(SUMPRODUCT(MAX(('Formation Initiale'!$A$2:$A$999=$A999)*'Formation Initiale'!$G$2:$G$999)),"yyyy-mm-dd"),""))))))</f>
        <v/>
      </c>
      <c r="G999" s="131" t="str">
        <f aca="false">IF($Q999="✓","✓",IF(ISNUMBER($Q999),TEXT($Q999,"yyyy-mm-dd"),IF($A999="","",IF(SUMPRODUCT(('Agences &amp; Après-vente'!$A$2:$A$1000=$A999)*(('Agences &amp; Après-vente'!$D$2:$D$1000="Agences")+('Agences &amp; Après-vente'!$D$2:$D$1000="Agences et Après-vente"))*('Agences &amp; Après-vente'!$I$2:$I$1000="DONE"))&gt;0,"✓",IF(SUMPRODUCT(MAX(('Agences &amp; Après-vente'!$A$2:$A$1000=$A999)*(('Agences &amp; Après-vente'!$D$2:$D$1000="Agences")+('Agences &amp; Après-vente'!$D$2:$D$1000="Agences et Après-vente"))*'Agences &amp; Après-vente'!$E$2:$E$1000))&gt;0,TEXT(SUMPRODUCT(MAX(('Agences &amp; Après-vente'!$A$2:$A$1000=$A999)*(('Agences &amp; Après-vente'!$D$2:$D$1000="Agences")+('Agences &amp; Après-vente'!$D$2:$D$1000="Agences et Après-vente"))*'Agences &amp; Après-vente'!$E$2:$E$1000)),"yyyy-mm-dd"),"")))))</f>
        <v/>
      </c>
      <c r="H999" s="131" t="str">
        <f aca="false">IF($R999="✓","✓",IF(ISNUMBER($R999),TEXT($R999,"yyyy-mm-dd"),IF($A999="","",IF($D999="Lisbonne","",IF(SUMPRODUCT(('Agences &amp; Après-vente'!$A$2:$A$1000=$A999)*(('Agences &amp; Après-vente'!$D$2:$D$1000="Agences")+('Agences &amp; Après-vente'!$D$2:$D$1000="Agences et Après-vente"))*('Agences &amp; Après-vente'!$I$2:$I$1000="DONE"))&gt;0,"✓",IF(SUMPRODUCT(MAX(('Agences &amp; Après-vente'!$A$2:$A$1000=$A999)*(('Agences &amp; Après-vente'!$D$2:$D$1000="Agences")+('Agences &amp; Après-vente'!$D$2:$D$1000="Agences et Après-vente"))*'Agences &amp; Après-vente'!$E$2:$E$1000))&gt;0,TEXT(SUMPRODUCT(MAX(('Agences &amp; Après-vente'!$A$2:$A$1000=$A999)*(('Agences &amp; Après-vente'!$D$2:$D$1000="Agences")+('Agences &amp; Après-vente'!$D$2:$D$1000="Agences et Après-vente"))*'Agences &amp; Après-vente'!$E$2:$E$1000)),"yyyy-mm-dd"),""))))))</f>
        <v/>
      </c>
      <c r="I999" s="131" t="str">
        <f aca="false">IF($S999="✓","✓",IF(ISNUMBER($S999),TEXT($S999,"yyyy-mm-dd"),IF($A999="","",IF(SUMPRODUCT(('Agences &amp; Après-vente'!$A$2:$A$1000=$A999)*(('Agences &amp; Après-vente'!$D$2:$D$1000="Après-vente")+('Agences &amp; Après-vente'!$D$2:$D$1000="Agences et Après-vente"))*('Agences &amp; Après-vente'!$I$2:$I$1000="DONE"))&gt;0,"✓",IF(SUMPRODUCT(MAX(('Agences &amp; Après-vente'!$A$2:$A$1000=$A999)*(('Agences &amp; Après-vente'!$D$2:$D$1000="Après-vente")+('Agences &amp; Après-vente'!$D$2:$D$1000="Agences et Après-vente"))*'Agences &amp; Après-vente'!$E$2:$E$1000))&gt;0,TEXT(SUMPRODUCT(MAX(('Agences &amp; Après-vente'!$A$2:$A$1000=$A999)*(('Agences &amp; Après-vente'!$D$2:$D$1000="Après-vente")+('Agences &amp; Après-vente'!$D$2:$D$1000="Agences et Après-vente"))*'Agences &amp; Après-vente'!$E$2:$E$1000)),"yyyy-mm-dd"),"")))))</f>
        <v/>
      </c>
      <c r="J999" s="131" t="str">
        <f aca="false">IF($T999="✓","✓",IF(ISNUMBER($T999),TEXT($T999,"yyyy-mm-dd"),IF($A999="","",IF($D999="Lisbonne","",IF(SUMPRODUCT(('Agences &amp; Après-vente'!$A$2:$A$1000=$A999)*(('Agences &amp; Après-vente'!$D$2:$D$1000="Après-vente")+('Agences &amp; Après-vente'!$D$2:$D$1000="Agences et Après-vente"))*('Agences &amp; Après-vente'!$I$2:$I$1000="DONE"))&gt;0,"✓",IF(SUMPRODUCT(MAX(('Agences &amp; Après-vente'!$A$2:$A$1000=$A999)*(('Agences &amp; Après-vente'!$D$2:$D$1000="Après-vente")+('Agences &amp; Après-vente'!$D$2:$D$1000="Agences et Après-vente"))*'Agences &amp; Après-vente'!$E$2:$E$1000))&gt;0,TEXT(SUMPRODUCT(MAX(('Agences &amp; Après-vente'!$A$2:$A$1000=$A999)*(('Agences &amp; Après-vente'!$D$2:$D$1000="Après-vente")+('Agences &amp; Après-vente'!$D$2:$D$1000="Agences et Après-vente"))*'Agences &amp; Après-vente'!$E$2:$E$1000)),"yyyy-mm-dd"),""))))))</f>
        <v/>
      </c>
      <c r="K999" s="131" t="str">
        <f aca="false">IF($U999="✓","✓",IF(ISNUMBER($U999),TEXT($U999,"yyyy-mm-dd"),IF($D999="Lisbonne","",IF($A999="","",IF(SUMPRODUCT((Evermont!$A$2:$A$1000=$A999)*(Evermont!$Q$2:$Q$1000="Terminé"))&gt;0,"✓",IF(SUMPRODUCT(MAX((Evermont!$A$2:$A$1000=$A999)*Evermont!$F$2:$F$1000))&gt;0,TEXT(SUMPRODUCT(MAX((Evermont!$A$2:$A$1000=$A999)*Evermont!$F$2:$F$1000)),"yyyy-mm-dd"),""))))))</f>
        <v/>
      </c>
      <c r="L999" s="131" t="str">
        <f aca="false">IF($A999="","",COUNTIF(E999:K999,"✓"))</f>
        <v/>
      </c>
      <c r="M999" s="131" t="str">
        <f aca="false">IF(B999="","","Active")</f>
        <v/>
      </c>
      <c r="W999" s="120" t="str">
        <f aca="false">IF($A999="","",IF($X999&lt;&gt;"",$X999,IFERROR(INDEX('Formation Initiale'!$B$2:$B$999,MATCH($A999,'Formation Initiale'!$A$2:$A$999,0)),"Général")))</f>
        <v/>
      </c>
    </row>
    <row r="1000" customFormat="false" ht="15" hidden="false" customHeight="true" outlineLevel="0" collapsed="false"/>
  </sheetData>
  <autoFilter ref="A1:M999">
    <filterColumn colId="1">
      <filters>
        <filter val="Rhoea"/>
      </filters>
    </filterColumn>
  </autoFilter>
  <conditionalFormatting sqref="A2:M149 A150:A299 B150:M182">
    <cfRule type="expression" priority="2" aboveAverage="0" equalAverage="0" bottom="0" percent="0" rank="0" text="" dxfId="22">
      <formula>$M2="Maladie"</formula>
    </cfRule>
  </conditionalFormatting>
  <conditionalFormatting sqref="B2:C182">
    <cfRule type="expression" priority="3" aboveAverage="0" equalAverage="0" bottom="0" percent="0" rank="0" text="" dxfId="23">
      <formula>$M2="COS"</formula>
    </cfRule>
  </conditionalFormatting>
  <conditionalFormatting sqref="M2:M182">
    <cfRule type="expression" priority="4" aboveAverage="0" equalAverage="0" bottom="0" percent="0" rank="0" text="" dxfId="24">
      <formula>$M2="COS"</formula>
    </cfRule>
    <cfRule type="expression" priority="5" aboveAverage="0" equalAverage="0" bottom="0" percent="0" rank="0" text="" dxfId="25">
      <formula>$M2="Maladie"</formula>
    </cfRule>
    <cfRule type="expression" priority="6" aboveAverage="0" equalAverage="0" bottom="0" percent="0" rank="0" text="" dxfId="26">
      <formula>$M2="Active"</formula>
    </cfRule>
  </conditionalFormatting>
  <conditionalFormatting sqref="E2:E182">
    <cfRule type="cellIs" priority="7" operator="equal" aboveAverage="0" equalAverage="0" bottom="0" percent="0" rank="0" text="" dxfId="27">
      <formula>"✓"</formula>
    </cfRule>
    <cfRule type="expression" priority="8" aboveAverage="0" equalAverage="0" bottom="0" percent="0" rank="0" text="" dxfId="28">
      <formula>AND(E2&lt;&gt;"",E2&lt;&gt;"✓")</formula>
    </cfRule>
  </conditionalFormatting>
  <conditionalFormatting sqref="F2:F182">
    <cfRule type="cellIs" priority="9" operator="equal" aboveAverage="0" equalAverage="0" bottom="0" percent="0" rank="0" text="" dxfId="29">
      <formula>"✓"</formula>
    </cfRule>
    <cfRule type="expression" priority="10" aboveAverage="0" equalAverage="0" bottom="0" percent="0" rank="0" text="" dxfId="28">
      <formula>AND(F2&lt;&gt;"",F2&lt;&gt;"✓")</formula>
    </cfRule>
  </conditionalFormatting>
  <conditionalFormatting sqref="G2:G182">
    <cfRule type="cellIs" priority="11" operator="equal" aboveAverage="0" equalAverage="0" bottom="0" percent="0" rank="0" text="" dxfId="30">
      <formula>"✓"</formula>
    </cfRule>
    <cfRule type="expression" priority="12" aboveAverage="0" equalAverage="0" bottom="0" percent="0" rank="0" text="" dxfId="28">
      <formula>AND(G2&lt;&gt;"",G2&lt;&gt;"✓")</formula>
    </cfRule>
  </conditionalFormatting>
  <conditionalFormatting sqref="H2:H182">
    <cfRule type="cellIs" priority="13" operator="equal" aboveAverage="0" equalAverage="0" bottom="0" percent="0" rank="0" text="" dxfId="31">
      <formula>"✓"</formula>
    </cfRule>
    <cfRule type="expression" priority="14" aboveAverage="0" equalAverage="0" bottom="0" percent="0" rank="0" text="" dxfId="28">
      <formula>AND(H2&lt;&gt;"",H2&lt;&gt;"✓")</formula>
    </cfRule>
  </conditionalFormatting>
  <conditionalFormatting sqref="I2:J182">
    <cfRule type="cellIs" priority="15" operator="equal" aboveAverage="0" equalAverage="0" bottom="0" percent="0" rank="0" text="" dxfId="32">
      <formula>"✓"</formula>
    </cfRule>
    <cfRule type="expression" priority="16" aboveAverage="0" equalAverage="0" bottom="0" percent="0" rank="0" text="" dxfId="28">
      <formula>AND(I2&lt;&gt;"",I2&lt;&gt;"✓")</formula>
    </cfRule>
  </conditionalFormatting>
  <conditionalFormatting sqref="K2:K182">
    <cfRule type="cellIs" priority="17" operator="equal" aboveAverage="0" equalAverage="0" bottom="0" percent="0" rank="0" text="" dxfId="33">
      <formula>"✓"</formula>
    </cfRule>
    <cfRule type="expression" priority="18" aboveAverage="0" equalAverage="0" bottom="0" percent="0" rank="0" text="" dxfId="28">
      <formula>AND(K2&lt;&gt;"",K2&lt;&gt;"✓")</formula>
    </cfRule>
  </conditionalFormatting>
  <dataValidations count="3">
    <dataValidation allowBlank="true" errorStyle="stop" operator="between" showDropDown="false" showErrorMessage="false" showInputMessage="false" sqref="D2:D182" type="list">
      <formula1>"Montréal,Lisbonne"</formula1>
      <formula2>0</formula2>
    </dataValidation>
    <dataValidation allowBlank="true" errorStyle="stop" operator="between" showDropDown="false" showErrorMessage="false" showInputMessage="false" sqref="M2:M182" type="list">
      <formula1>"Active,COS,Maladie"</formula1>
      <formula2>0</formula2>
    </dataValidation>
    <dataValidation allowBlank="true" errorStyle="stop" operator="between" showDropDown="false" showErrorMessage="false" showInputMessage="false" sqref="X2:X999" type="list">
      <formula1>"173,174,175,176,177,OS1,OS2,OS3,OS4,OS5,OS6,OS7,OS8,Général"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pane xSplit="2" ySplit="1" topLeftCell="C135" activePane="bottomRight" state="frozen"/>
      <selection pane="topLeft" activeCell="A1" activeCellId="0" sqref="A1"/>
      <selection pane="topRight" activeCell="C1" activeCellId="0" sqref="C1"/>
      <selection pane="bottomLeft" activeCell="A135" activeCellId="0" sqref="A135"/>
      <selection pane="bottomRight" activeCell="J1018" activeCellId="0" sqref="J1018"/>
    </sheetView>
  </sheetViews>
  <sheetFormatPr defaultColWidth="8.71484375" defaultRowHeight="15" zeroHeight="false" outlineLevelRow="0" outlineLevelCol="1"/>
  <cols>
    <col collapsed="false" customWidth="true" hidden="false" outlineLevel="0" max="1" min="1" style="0" width="7.15"/>
    <col collapsed="false" customWidth="true" hidden="false" outlineLevel="0" max="2" min="2" style="117" width="20.57"/>
    <col collapsed="false" customWidth="true" hidden="false" outlineLevel="0" max="3" min="3" style="0" width="18.71"/>
    <col collapsed="false" customWidth="true" hidden="false" outlineLevel="0" max="4" min="4" style="0" width="12"/>
    <col collapsed="false" customWidth="true" hidden="false" outlineLevel="0" max="5" min="5" style="117" width="22"/>
    <col collapsed="false" customWidth="true" hidden="false" outlineLevel="0" max="6" min="6" style="0" width="11"/>
    <col collapsed="false" customWidth="true" hidden="false" outlineLevel="0" max="9" min="7" style="0" width="13"/>
    <col collapsed="false" customWidth="true" hidden="false" outlineLevel="0" max="10" min="10" style="0" width="15.29"/>
    <col collapsed="false" customWidth="true" hidden="false" outlineLevel="0" max="11" min="11" style="0" width="13.15"/>
    <col collapsed="false" customWidth="true" hidden="false" outlineLevel="0" max="12" min="12" style="0" width="16.14"/>
    <col collapsed="false" customWidth="true" hidden="false" outlineLevel="0" max="13" min="13" style="0" width="13"/>
    <col collapsed="false" customWidth="true" hidden="true" outlineLevel="1" max="16" min="14" style="0" width="10"/>
    <col collapsed="false" customWidth="true" hidden="false" outlineLevel="0" max="17" min="17" style="0" width="15"/>
    <col collapsed="false" customWidth="true" hidden="false" outlineLevel="0" max="18" min="18" style="0" width="11"/>
    <col collapsed="false" customWidth="true" hidden="false" outlineLevel="0" max="19" min="19" style="0" width="18.71"/>
    <col collapsed="false" customWidth="true" hidden="false" outlineLevel="0" max="20" min="20" style="0" width="15.29"/>
    <col collapsed="false" customWidth="true" hidden="false" outlineLevel="0" max="21" min="21" style="0" width="16"/>
    <col collapsed="false" customWidth="true" hidden="false" outlineLevel="0" max="22" min="22" style="0" width="18.29"/>
    <col collapsed="false" customWidth="true" hidden="false" outlineLevel="0" max="23" min="23" style="0" width="14"/>
    <col collapsed="false" customWidth="true" hidden="false" outlineLevel="0" max="24" min="24" style="0" width="24.57"/>
    <col collapsed="false" customWidth="true" hidden="true" outlineLevel="0" max="25" min="25" style="0" width="30"/>
    <col collapsed="false" customWidth="true" hidden="false" outlineLevel="0" max="26" min="26" style="0" width="16"/>
    <col collapsed="false" customWidth="true" hidden="false" outlineLevel="0" max="27" min="27" style="0" width="8.42"/>
    <col collapsed="false" customWidth="true" hidden="false" outlineLevel="0" max="28" min="28" style="0" width="14"/>
  </cols>
  <sheetData>
    <row r="1" customFormat="false" ht="36" hidden="false" customHeight="true" outlineLevel="0" collapsed="false">
      <c r="A1" s="121" t="s">
        <v>156</v>
      </c>
      <c r="B1" s="121" t="s">
        <v>112</v>
      </c>
      <c r="C1" s="146" t="s">
        <v>672</v>
      </c>
      <c r="D1" s="126" t="s">
        <v>673</v>
      </c>
      <c r="E1" s="126" t="s">
        <v>153</v>
      </c>
      <c r="F1" s="126" t="s">
        <v>149</v>
      </c>
      <c r="G1" s="147" t="s">
        <v>674</v>
      </c>
      <c r="H1" s="126" t="s">
        <v>675</v>
      </c>
      <c r="I1" s="147" t="s">
        <v>676</v>
      </c>
      <c r="J1" s="147" t="s">
        <v>677</v>
      </c>
      <c r="K1" s="126" t="s">
        <v>678</v>
      </c>
      <c r="L1" s="126" t="s">
        <v>679</v>
      </c>
      <c r="M1" s="147" t="s">
        <v>680</v>
      </c>
      <c r="N1" s="126" t="s">
        <v>681</v>
      </c>
      <c r="O1" s="126" t="s">
        <v>682</v>
      </c>
      <c r="P1" s="126" t="s">
        <v>683</v>
      </c>
      <c r="Q1" s="147" t="s">
        <v>684</v>
      </c>
      <c r="R1" s="126" t="s">
        <v>151</v>
      </c>
      <c r="S1" s="14" t="str">
        <f aca="false">HYPERLINK("#Accueil!A1","⌂ Accueil")</f>
        <v>⌂ Accueil</v>
      </c>
      <c r="T1" s="126" t="s">
        <v>685</v>
      </c>
      <c r="U1" s="126" t="s">
        <v>686</v>
      </c>
      <c r="V1" s="126" t="s">
        <v>687</v>
      </c>
      <c r="W1" s="126" t="s">
        <v>688</v>
      </c>
      <c r="X1" s="126" t="s">
        <v>689</v>
      </c>
      <c r="Y1" s="126" t="s">
        <v>690</v>
      </c>
      <c r="Z1" s="148" t="s">
        <v>691</v>
      </c>
      <c r="AA1" s="149" t="s">
        <v>692</v>
      </c>
      <c r="AB1" s="148" t="s">
        <v>117</v>
      </c>
    </row>
    <row r="2" customFormat="false" ht="15" hidden="true" customHeight="true" outlineLevel="0" collapsed="false">
      <c r="A2" s="150" t="s">
        <v>548</v>
      </c>
      <c r="B2" s="150" t="s">
        <v>65</v>
      </c>
      <c r="C2" s="43" t="str">
        <f aca="false">IF(LEFT(B2,2)="OS","QUILL FORMATION Valmont","QUILL FORMATION Ulman")</f>
        <v>QUILL FORMATION Valmont</v>
      </c>
      <c r="D2" s="43" t="n">
        <f aca="false">IF($A2="","",IF($C2="QUILL FORMATION Valmont",10,11))</f>
        <v>10</v>
      </c>
      <c r="E2" s="151" t="str">
        <f aca="false">IF($A2="","",IFERROR(VLOOKUP($A2,Skills!$A:$C,2,FALSE())&amp;" "&amp;VLOOKUP($A2,Skills!$A:$C,3,FALSE()),"Haxil Dellhaven"))</f>
        <v>Haxil Dellhaven</v>
      </c>
      <c r="F2" s="43" t="str">
        <f aca="false">IF($A2="","",IFERROR(IF(VLOOKUP($A2,Skills!$A:$D,4,FALSE())="","",VLOOKUP($A2,Skills!$A:$D,4,FALSE())),"Lisbonne"))</f>
        <v>Lisbonne</v>
      </c>
      <c r="G2" s="152" t="n">
        <v>46006</v>
      </c>
      <c r="H2" s="47" t="n">
        <f aca="false">IF(G2="","",WORKDAY(G2-1,D2+IF(J2="",0,J2)))</f>
        <v>46017</v>
      </c>
      <c r="I2" s="152" t="n">
        <v>46017</v>
      </c>
      <c r="J2" s="153" t="n">
        <v>0</v>
      </c>
      <c r="K2" s="43" t="n">
        <f aca="true">IF(G2="","",MIN(D2,MAX(0,NETWORKDAYS(G2,TODAY())-IF(J2="",0,J2))))</f>
        <v>10</v>
      </c>
      <c r="L2" s="43" t="n">
        <f aca="true">IF(G2="","",MAX(0,D2-(NETWORKDAYS(G2,TODAY())-IF(J2="",0,J2))))</f>
        <v>0</v>
      </c>
      <c r="M2" s="154" t="n">
        <v>1</v>
      </c>
      <c r="N2" s="44" t="n">
        <f aca="true">IFERROR(IF(OR(K2="",K2&lt;=0),"",IF(TODAY()&gt;H2,1,IF(K2-1=0,0,INDEX(OBJECTIVES!$O$2:$Q$12,MATCH(K2-1,OBJECTIVES!$N$2:$N$12,0),IF($C2="QUILL FORMATION Valmont",2,1))))),"")</f>
        <v>1</v>
      </c>
      <c r="O2" s="44" t="n">
        <f aca="false">IF(OR(N2="",M2=""),"",M2-N2)</f>
        <v>0</v>
      </c>
      <c r="P2" s="155" t="str">
        <f aca="false">IF($Q2&lt;&gt;"",$Q2,IF(O2="","",IF(O2&lt;=-0.12,"P1",IF(O2&lt;=-0.06,"P2","P3"))))</f>
        <v>P3</v>
      </c>
      <c r="Q2" s="156"/>
      <c r="R2" s="155" t="str">
        <f aca="true">IF(G2="","",IF(I2&lt;&gt;"","Terminé",IF(G2&gt;TODAY(),"À venir",IF(H2&lt;TODAY(),"Terminé","En cours"))))</f>
        <v>Terminé</v>
      </c>
      <c r="S2" s="155"/>
      <c r="T2" s="43" t="s">
        <v>693</v>
      </c>
      <c r="U2" s="43" t="s">
        <v>693</v>
      </c>
      <c r="V2" s="43" t="s">
        <v>694</v>
      </c>
      <c r="W2" s="43" t="s">
        <v>695</v>
      </c>
      <c r="X2" s="43" t="s">
        <v>696</v>
      </c>
      <c r="Y2" s="157"/>
      <c r="Z2" s="134" t="n">
        <f aca="false">IF(R2="Terminé",IF(AND(G2&lt;&gt;"",I2&lt;&gt;""),NETWORKDAYS(G2,I2),D2),"")</f>
        <v>10</v>
      </c>
      <c r="AA2" s="134" t="str">
        <f aca="false">IF($A2="","",IF(COUNTIF(Skills!$A:$A,$A2)=0,"⚠ ID absent du roster",""))</f>
        <v/>
      </c>
      <c r="AB2" s="158"/>
    </row>
    <row r="3" customFormat="false" ht="15" hidden="true" customHeight="true" outlineLevel="0" collapsed="false">
      <c r="A3" s="159" t="s">
        <v>463</v>
      </c>
      <c r="B3" s="159" t="s">
        <v>65</v>
      </c>
      <c r="C3" s="43" t="str">
        <f aca="false">IF(LEFT(B3,2)="OS","QUILL FORMATION Valmont","QUILL FORMATION Ulman")</f>
        <v>QUILL FORMATION Valmont</v>
      </c>
      <c r="D3" s="43" t="n">
        <f aca="false">IF($A3="","",IF($C3="QUILL FORMATION Valmont",10,11))</f>
        <v>10</v>
      </c>
      <c r="E3" s="151" t="str">
        <f aca="false">IF($A3="","",IFERROR(VLOOKUP($A3,Skills!$A:$C,2,FALSE())&amp;" "&amp;VLOOKUP($A3,Skills!$A:$C,3,FALSE()),"Haxil Dellhaven"))</f>
        <v>Haxay Corrfield Dellstone</v>
      </c>
      <c r="F3" s="43" t="str">
        <f aca="false">IF($A3="","",IFERROR(IF(VLOOKUP($A3,Skills!$A:$D,4,FALSE())="","",VLOOKUP($A3,Skills!$A:$D,4,FALSE())),"Lisbonne"))</f>
        <v>Lisbonne</v>
      </c>
      <c r="G3" s="152" t="n">
        <v>46006</v>
      </c>
      <c r="H3" s="47" t="n">
        <f aca="false">IF(G3="","",WORKDAY(G3-1,D3+IF(J3="",0,J3)))</f>
        <v>46017</v>
      </c>
      <c r="I3" s="152" t="n">
        <v>46017</v>
      </c>
      <c r="J3" s="153" t="n">
        <v>0</v>
      </c>
      <c r="K3" s="43" t="n">
        <f aca="true">IF(G3="","",MIN(D3,MAX(0,NETWORKDAYS(G3,TODAY())-IF(J3="",0,J3))))</f>
        <v>10</v>
      </c>
      <c r="L3" s="43" t="n">
        <f aca="true">IF(G3="","",MAX(0,D3-(NETWORKDAYS(G3,TODAY())-IF(J3="",0,J3))))</f>
        <v>0</v>
      </c>
      <c r="M3" s="154" t="n">
        <v>1</v>
      </c>
      <c r="N3" s="44" t="n">
        <f aca="true">IFERROR(IF(OR(K3="",K3&lt;=0),"",IF(TODAY()&gt;H3,1,IF(K3-1=0,0,INDEX(OBJECTIVES!$O$2:$Q$12,MATCH(K3-1,OBJECTIVES!$N$2:$N$12,0),IF($C3="QUILL FORMATION Valmont",2,1))))),"")</f>
        <v>1</v>
      </c>
      <c r="O3" s="44" t="n">
        <f aca="false">IF(OR(N3="",M3=""),"",M3-N3)</f>
        <v>0</v>
      </c>
      <c r="P3" s="155" t="str">
        <f aca="false">IF($Q3&lt;&gt;"",$Q3,IF(O3="","",IF(O3&lt;=-0.12,"P1",IF(O3&lt;=-0.06,"P2","P3"))))</f>
        <v>P3</v>
      </c>
      <c r="Q3" s="156"/>
      <c r="R3" s="155" t="str">
        <f aca="true">IF(G3="","",IF(I3&lt;&gt;"","Terminé",IF(G3&gt;TODAY(),"À venir",IF(H3&lt;TODAY(),"Terminé","En cours"))))</f>
        <v>Terminé</v>
      </c>
      <c r="S3" s="155"/>
      <c r="T3" s="43" t="s">
        <v>693</v>
      </c>
      <c r="U3" s="43" t="s">
        <v>693</v>
      </c>
      <c r="V3" s="43" t="s">
        <v>694</v>
      </c>
      <c r="W3" s="43" t="s">
        <v>695</v>
      </c>
      <c r="X3" s="43" t="s">
        <v>696</v>
      </c>
      <c r="Y3" s="157"/>
      <c r="Z3" s="134" t="n">
        <f aca="false">IF(R3="Terminé",IF(AND(G3&lt;&gt;"",I3&lt;&gt;""),NETWORKDAYS(G3,I3),D3),"")</f>
        <v>10</v>
      </c>
      <c r="AA3" s="134" t="str">
        <f aca="false">IF($A3="","",IF(COUNTIF(Skills!$A:$A,$A3)=0,"⚠ ID absent du roster",""))</f>
        <v/>
      </c>
      <c r="AB3" s="158"/>
    </row>
    <row r="4" customFormat="false" ht="15" hidden="true" customHeight="true" outlineLevel="0" collapsed="false">
      <c r="A4" s="159" t="s">
        <v>232</v>
      </c>
      <c r="B4" s="159" t="s">
        <v>65</v>
      </c>
      <c r="C4" s="43" t="str">
        <f aca="false">IF(LEFT(B4,2)="OS","QUILL FORMATION Valmont","QUILL FORMATION Ulman")</f>
        <v>QUILL FORMATION Valmont</v>
      </c>
      <c r="D4" s="43" t="n">
        <f aca="false">IF($A4="","",IF($C4="QUILL FORMATION Valmont",10,11))</f>
        <v>10</v>
      </c>
      <c r="E4" s="151" t="str">
        <f aca="false">IF($A4="","",IFERROR(VLOOKUP($A4,Skills!$A:$C,2,FALSE())&amp;" "&amp;VLOOKUP($A4,Skills!$A:$C,3,FALSE()),"Haxil Dellhaven"))</f>
        <v>Nevus Kelir</v>
      </c>
      <c r="F4" s="43" t="str">
        <f aca="false">IF($A4="","",IFERROR(IF(VLOOKUP($A4,Skills!$A:$D,4,FALSE())="","",VLOOKUP($A4,Skills!$A:$D,4,FALSE())),"Lisbonne"))</f>
        <v>Lisbonne</v>
      </c>
      <c r="G4" s="152" t="n">
        <v>46006</v>
      </c>
      <c r="H4" s="47" t="n">
        <f aca="false">IF(G4="","",WORKDAY(G4-1,D4+IF(J4="",0,J4)))</f>
        <v>46017</v>
      </c>
      <c r="I4" s="152" t="n">
        <v>46017</v>
      </c>
      <c r="J4" s="153" t="n">
        <v>0</v>
      </c>
      <c r="K4" s="43" t="n">
        <f aca="true">IF(G4="","",MIN(D4,MAX(0,NETWORKDAYS(G4,TODAY())-IF(J4="",0,J4))))</f>
        <v>10</v>
      </c>
      <c r="L4" s="43" t="n">
        <f aca="true">IF(G4="","",MAX(0,D4-(NETWORKDAYS(G4,TODAY())-IF(J4="",0,J4))))</f>
        <v>0</v>
      </c>
      <c r="M4" s="154" t="n">
        <v>1</v>
      </c>
      <c r="N4" s="44" t="n">
        <f aca="true">IFERROR(IF(OR(K4="",K4&lt;=0),"",IF(TODAY()&gt;H4,1,IF(K4-1=0,0,INDEX(OBJECTIVES!$O$2:$Q$12,MATCH(K4-1,OBJECTIVES!$N$2:$N$12,0),IF($C4="QUILL FORMATION Valmont",2,1))))),"")</f>
        <v>1</v>
      </c>
      <c r="O4" s="44" t="n">
        <f aca="false">IF(OR(N4="",M4=""),"",M4-N4)</f>
        <v>0</v>
      </c>
      <c r="P4" s="155" t="str">
        <f aca="false">IF($Q4&lt;&gt;"",$Q4,IF(O4="","",IF(O4&lt;=-0.12,"P1",IF(O4&lt;=-0.06,"P2","P3"))))</f>
        <v>P3</v>
      </c>
      <c r="Q4" s="156"/>
      <c r="R4" s="155" t="str">
        <f aca="true">IF(G4="","",IF(I4&lt;&gt;"","Terminé",IF(G4&gt;TODAY(),"À venir",IF(H4&lt;TODAY(),"Terminé","En cours"))))</f>
        <v>Terminé</v>
      </c>
      <c r="S4" s="155"/>
      <c r="T4" s="43" t="s">
        <v>693</v>
      </c>
      <c r="U4" s="43" t="s">
        <v>693</v>
      </c>
      <c r="V4" s="43" t="s">
        <v>694</v>
      </c>
      <c r="W4" s="43" t="s">
        <v>695</v>
      </c>
      <c r="X4" s="43" t="s">
        <v>696</v>
      </c>
      <c r="Y4" s="157"/>
      <c r="Z4" s="134" t="n">
        <f aca="false">IF(R4="Terminé",IF(AND(G4&lt;&gt;"",I4&lt;&gt;""),NETWORKDAYS(G4,I4),D4),"")</f>
        <v>10</v>
      </c>
      <c r="AA4" s="134" t="str">
        <f aca="false">IF($A4="","",IF(COUNTIF(Skills!$A:$A,$A4)=0,"⚠ ID absent du roster",""))</f>
        <v/>
      </c>
      <c r="AB4" s="158"/>
    </row>
    <row r="5" customFormat="false" ht="15" hidden="true" customHeight="true" outlineLevel="0" collapsed="false">
      <c r="A5" s="159" t="s">
        <v>223</v>
      </c>
      <c r="B5" s="159" t="s">
        <v>65</v>
      </c>
      <c r="C5" s="43" t="str">
        <f aca="false">IF(LEFT(B5,2)="OS","QUILL FORMATION Valmont","QUILL FORMATION Ulman")</f>
        <v>QUILL FORMATION Valmont</v>
      </c>
      <c r="D5" s="43" t="n">
        <f aca="false">IF($A5="","",IF($C5="QUILL FORMATION Valmont",10,11))</f>
        <v>10</v>
      </c>
      <c r="E5" s="151" t="str">
        <f aca="false">IF($A5="","",IFERROR(VLOOKUP($A5,Skills!$A:$C,2,FALSE())&amp;" "&amp;VLOOKUP($A5,Skills!$A:$C,3,FALSE()),"Haxil Dellhaven"))</f>
        <v>Granbrook Yoril Corrfield</v>
      </c>
      <c r="F5" s="43" t="str">
        <f aca="false">IF($A5="","",IFERROR(IF(VLOOKUP($A5,Skills!$A:$D,4,FALSE())="","",VLOOKUP($A5,Skills!$A:$D,4,FALSE())),"Lisbonne"))</f>
        <v>Lisbonne</v>
      </c>
      <c r="G5" s="152" t="n">
        <v>46006</v>
      </c>
      <c r="H5" s="47" t="n">
        <f aca="false">IF(G5="","",WORKDAY(G5-1,D5+IF(J5="",0,J5)))</f>
        <v>46017</v>
      </c>
      <c r="I5" s="152" t="n">
        <v>46017</v>
      </c>
      <c r="J5" s="153" t="n">
        <v>0</v>
      </c>
      <c r="K5" s="43" t="n">
        <f aca="true">IF(G5="","",MIN(D5,MAX(0,NETWORKDAYS(G5,TODAY())-IF(J5="",0,J5))))</f>
        <v>10</v>
      </c>
      <c r="L5" s="43" t="n">
        <f aca="true">IF(G5="","",MAX(0,D5-(NETWORKDAYS(G5,TODAY())-IF(J5="",0,J5))))</f>
        <v>0</v>
      </c>
      <c r="M5" s="154" t="n">
        <v>1</v>
      </c>
      <c r="N5" s="44" t="n">
        <f aca="true">IFERROR(IF(OR(K5="",K5&lt;=0),"",IF(TODAY()&gt;H5,1,IF(K5-1=0,0,INDEX(OBJECTIVES!$O$2:$Q$12,MATCH(K5-1,OBJECTIVES!$N$2:$N$12,0),IF($C5="QUILL FORMATION Valmont",2,1))))),"")</f>
        <v>1</v>
      </c>
      <c r="O5" s="44" t="n">
        <f aca="false">IF(OR(N5="",M5=""),"",M5-N5)</f>
        <v>0</v>
      </c>
      <c r="P5" s="155" t="str">
        <f aca="false">IF($Q5&lt;&gt;"",$Q5,IF(O5="","",IF(O5&lt;=-0.12,"P1",IF(O5&lt;=-0.06,"P2","P3"))))</f>
        <v>P3</v>
      </c>
      <c r="Q5" s="156"/>
      <c r="R5" s="155" t="str">
        <f aca="true">IF(G5="","",IF(I5&lt;&gt;"","Terminé",IF(G5&gt;TODAY(),"À venir",IF(H5&lt;TODAY(),"Terminé","En cours"))))</f>
        <v>Terminé</v>
      </c>
      <c r="S5" s="155"/>
      <c r="T5" s="43" t="s">
        <v>693</v>
      </c>
      <c r="U5" s="43" t="s">
        <v>693</v>
      </c>
      <c r="V5" s="43" t="s">
        <v>694</v>
      </c>
      <c r="W5" s="43" t="s">
        <v>695</v>
      </c>
      <c r="X5" s="43" t="s">
        <v>696</v>
      </c>
      <c r="Y5" s="157"/>
      <c r="Z5" s="134" t="n">
        <f aca="false">IF(R5="Terminé",IF(AND(G5&lt;&gt;"",I5&lt;&gt;""),NETWORKDAYS(G5,I5),D5),"")</f>
        <v>10</v>
      </c>
      <c r="AA5" s="134" t="str">
        <f aca="false">IF($A5="","",IF(COUNTIF(Skills!$A:$A,$A5)=0,"⚠ ID absent du roster",""))</f>
        <v/>
      </c>
      <c r="AB5" s="158"/>
    </row>
    <row r="6" customFormat="false" ht="15" hidden="true" customHeight="true" outlineLevel="0" collapsed="false">
      <c r="A6" s="159" t="s">
        <v>446</v>
      </c>
      <c r="B6" s="159" t="s">
        <v>65</v>
      </c>
      <c r="C6" s="43" t="str">
        <f aca="false">IF(LEFT(B6,2)="OS","QUILL FORMATION Valmont","QUILL FORMATION Ulman")</f>
        <v>QUILL FORMATION Valmont</v>
      </c>
      <c r="D6" s="43" t="n">
        <f aca="false">IF($A6="","",IF($C6="QUILL FORMATION Valmont",10,11))</f>
        <v>10</v>
      </c>
      <c r="E6" s="151" t="str">
        <f aca="false">IF($A6="","",IFERROR(VLOOKUP($A6,Skills!$A:$C,2,FALSE())&amp;" "&amp;VLOOKUP($A6,Skills!$A:$C,3,FALSE()),"Haxil Dellhaven"))</f>
        <v>Holtshaw Haxor</v>
      </c>
      <c r="F6" s="43" t="str">
        <f aca="false">IF($A6="","",IFERROR(IF(VLOOKUP($A6,Skills!$A:$D,4,FALSE())="","",VLOOKUP($A6,Skills!$A:$D,4,FALSE())),"Lisbonne"))</f>
        <v>Lisbonne</v>
      </c>
      <c r="G6" s="152" t="n">
        <v>46006</v>
      </c>
      <c r="H6" s="47" t="n">
        <f aca="false">IF(G6="","",WORKDAY(G6-1,D6+IF(J6="",0,J6)))</f>
        <v>46017</v>
      </c>
      <c r="I6" s="152" t="n">
        <v>46017</v>
      </c>
      <c r="J6" s="153" t="n">
        <v>0</v>
      </c>
      <c r="K6" s="43" t="n">
        <f aca="true">IF(G6="","",MIN(D6,MAX(0,NETWORKDAYS(G6,TODAY())-IF(J6="",0,J6))))</f>
        <v>10</v>
      </c>
      <c r="L6" s="43" t="n">
        <f aca="true">IF(G6="","",MAX(0,D6-(NETWORKDAYS(G6,TODAY())-IF(J6="",0,J6))))</f>
        <v>0</v>
      </c>
      <c r="M6" s="154" t="n">
        <v>1</v>
      </c>
      <c r="N6" s="44" t="n">
        <f aca="true">IFERROR(IF(OR(K6="",K6&lt;=0),"",IF(TODAY()&gt;H6,1,IF(K6-1=0,0,INDEX(OBJECTIVES!$O$2:$Q$12,MATCH(K6-1,OBJECTIVES!$N$2:$N$12,0),IF($C6="QUILL FORMATION Valmont",2,1))))),"")</f>
        <v>1</v>
      </c>
      <c r="O6" s="44" t="n">
        <f aca="false">IF(OR(N6="",M6=""),"",M6-N6)</f>
        <v>0</v>
      </c>
      <c r="P6" s="155" t="str">
        <f aca="false">IF($Q6&lt;&gt;"",$Q6,IF(O6="","",IF(O6&lt;=-0.12,"P1",IF(O6&lt;=-0.06,"P2","P3"))))</f>
        <v>P3</v>
      </c>
      <c r="Q6" s="156"/>
      <c r="R6" s="155" t="str">
        <f aca="true">IF(G6="","",IF(I6&lt;&gt;"","Terminé",IF(G6&gt;TODAY(),"À venir",IF(H6&lt;TODAY(),"Terminé","En cours"))))</f>
        <v>Terminé</v>
      </c>
      <c r="S6" s="155"/>
      <c r="T6" s="43" t="s">
        <v>693</v>
      </c>
      <c r="U6" s="43" t="s">
        <v>693</v>
      </c>
      <c r="V6" s="43" t="s">
        <v>694</v>
      </c>
      <c r="W6" s="43" t="s">
        <v>695</v>
      </c>
      <c r="X6" s="43" t="s">
        <v>696</v>
      </c>
      <c r="Y6" s="157"/>
      <c r="Z6" s="134" t="n">
        <f aca="false">IF(R6="Terminé",IF(AND(G6&lt;&gt;"",I6&lt;&gt;""),NETWORKDAYS(G6,I6),D6),"")</f>
        <v>10</v>
      </c>
      <c r="AA6" s="134" t="str">
        <f aca="false">IF($A6="","",IF(COUNTIF(Skills!$A:$A,$A6)=0,"⚠ ID absent du roster",""))</f>
        <v/>
      </c>
      <c r="AB6" s="158"/>
    </row>
    <row r="7" customFormat="false" ht="15" hidden="true" customHeight="true" outlineLevel="0" collapsed="false">
      <c r="A7" s="159" t="s">
        <v>466</v>
      </c>
      <c r="B7" s="159" t="s">
        <v>65</v>
      </c>
      <c r="C7" s="43" t="str">
        <f aca="false">IF(LEFT(B7,2)="OS","QUILL FORMATION Valmont","QUILL FORMATION Ulman")</f>
        <v>QUILL FORMATION Valmont</v>
      </c>
      <c r="D7" s="43" t="n">
        <f aca="false">IF($A7="","",IF($C7="QUILL FORMATION Valmont",10,11))</f>
        <v>10</v>
      </c>
      <c r="E7" s="151" t="str">
        <f aca="false">IF($A7="","",IFERROR(VLOOKUP($A7,Skills!$A:$C,2,FALSE())&amp;" "&amp;VLOOKUP($A7,Skills!$A:$C,3,FALSE()),"Haxil Dellhaven"))</f>
        <v>Ashdale Valedale</v>
      </c>
      <c r="F7" s="43" t="str">
        <f aca="false">IF($A7="","",IFERROR(IF(VLOOKUP($A7,Skills!$A:$D,4,FALSE())="","",VLOOKUP($A7,Skills!$A:$D,4,FALSE())),"Lisbonne"))</f>
        <v>Lisbonne</v>
      </c>
      <c r="G7" s="152" t="n">
        <v>46006</v>
      </c>
      <c r="H7" s="47" t="n">
        <f aca="false">IF(G7="","",WORKDAY(G7-1,D7+IF(J7="",0,J7)))</f>
        <v>46017</v>
      </c>
      <c r="I7" s="152" t="n">
        <v>46017</v>
      </c>
      <c r="J7" s="153" t="n">
        <v>0</v>
      </c>
      <c r="K7" s="43" t="n">
        <f aca="true">IF(G7="","",MIN(D7,MAX(0,NETWORKDAYS(G7,TODAY())-IF(J7="",0,J7))))</f>
        <v>10</v>
      </c>
      <c r="L7" s="43" t="n">
        <f aca="true">IF(G7="","",MAX(0,D7-(NETWORKDAYS(G7,TODAY())-IF(J7="",0,J7))))</f>
        <v>0</v>
      </c>
      <c r="M7" s="154" t="n">
        <v>1</v>
      </c>
      <c r="N7" s="44" t="n">
        <f aca="true">IFERROR(IF(OR(K7="",K7&lt;=0),"",IF(TODAY()&gt;H7,1,IF(K7-1=0,0,INDEX(OBJECTIVES!$O$2:$Q$12,MATCH(K7-1,OBJECTIVES!$N$2:$N$12,0),IF($C7="QUILL FORMATION Valmont",2,1))))),"")</f>
        <v>1</v>
      </c>
      <c r="O7" s="44" t="n">
        <f aca="false">IF(OR(N7="",M7=""),"",M7-N7)</f>
        <v>0</v>
      </c>
      <c r="P7" s="155" t="str">
        <f aca="false">IF($Q7&lt;&gt;"",$Q7,IF(O7="","",IF(O7&lt;=-0.12,"P1",IF(O7&lt;=-0.06,"P2","P3"))))</f>
        <v>P3</v>
      </c>
      <c r="Q7" s="156"/>
      <c r="R7" s="155" t="str">
        <f aca="true">IF(G7="","",IF(I7&lt;&gt;"","Terminé",IF(G7&gt;TODAY(),"À venir",IF(H7&lt;TODAY(),"Terminé","En cours"))))</f>
        <v>Terminé</v>
      </c>
      <c r="S7" s="155"/>
      <c r="T7" s="43" t="s">
        <v>693</v>
      </c>
      <c r="U7" s="43" t="s">
        <v>693</v>
      </c>
      <c r="V7" s="43" t="s">
        <v>694</v>
      </c>
      <c r="W7" s="43" t="s">
        <v>695</v>
      </c>
      <c r="X7" s="43" t="s">
        <v>696</v>
      </c>
      <c r="Y7" s="157"/>
      <c r="Z7" s="134" t="n">
        <f aca="false">IF(R7="Terminé",IF(AND(G7&lt;&gt;"",I7&lt;&gt;""),NETWORKDAYS(G7,I7),D7),"")</f>
        <v>10</v>
      </c>
      <c r="AA7" s="134" t="str">
        <f aca="false">IF($A7="","",IF(COUNTIF(Skills!$A:$A,$A7)=0,"⚠ ID absent du roster",""))</f>
        <v/>
      </c>
      <c r="AB7" s="158"/>
    </row>
    <row r="8" customFormat="false" ht="15" hidden="true" customHeight="true" outlineLevel="0" collapsed="false">
      <c r="A8" s="159" t="s">
        <v>323</v>
      </c>
      <c r="B8" s="159" t="s">
        <v>65</v>
      </c>
      <c r="C8" s="43" t="str">
        <f aca="false">IF(LEFT(B8,2)="OS","QUILL FORMATION Valmont","QUILL FORMATION Ulman")</f>
        <v>QUILL FORMATION Valmont</v>
      </c>
      <c r="D8" s="43" t="n">
        <f aca="false">IF($A8="","",IF($C8="QUILL FORMATION Valmont",10,11))</f>
        <v>10</v>
      </c>
      <c r="E8" s="151" t="str">
        <f aca="false">IF($A8="","",IFERROR(VLOOKUP($A8,Skills!$A:$C,2,FALSE())&amp;" "&amp;VLOOKUP($A8,Skills!$A:$C,3,FALSE()),"Haxil Dellhaven"))</f>
        <v>Ashcroft Pelan</v>
      </c>
      <c r="F8" s="43" t="str">
        <f aca="false">IF($A8="","",IFERROR(IF(VLOOKUP($A8,Skills!$A:$D,4,FALSE())="","",VLOOKUP($A8,Skills!$A:$D,4,FALSE())),"Lisbonne"))</f>
        <v>Lisbonne</v>
      </c>
      <c r="G8" s="152" t="n">
        <v>46006</v>
      </c>
      <c r="H8" s="47" t="n">
        <f aca="false">IF(G8="","",WORKDAY(G8-1,D8+IF(J8="",0,J8)))</f>
        <v>46017</v>
      </c>
      <c r="I8" s="152" t="n">
        <v>46017</v>
      </c>
      <c r="J8" s="153" t="n">
        <v>0</v>
      </c>
      <c r="K8" s="43" t="n">
        <f aca="true">IF(G8="","",MIN(D8,MAX(0,NETWORKDAYS(G8,TODAY())-IF(J8="",0,J8))))</f>
        <v>10</v>
      </c>
      <c r="L8" s="43" t="n">
        <f aca="true">IF(G8="","",MAX(0,D8-(NETWORKDAYS(G8,TODAY())-IF(J8="",0,J8))))</f>
        <v>0</v>
      </c>
      <c r="M8" s="154" t="n">
        <v>1</v>
      </c>
      <c r="N8" s="44" t="n">
        <f aca="true">IFERROR(IF(OR(K8="",K8&lt;=0),"",IF(TODAY()&gt;H8,1,IF(K8-1=0,0,INDEX(OBJECTIVES!$O$2:$Q$12,MATCH(K8-1,OBJECTIVES!$N$2:$N$12,0),IF($C8="QUILL FORMATION Valmont",2,1))))),"")</f>
        <v>1</v>
      </c>
      <c r="O8" s="44" t="n">
        <f aca="false">IF(OR(N8="",M8=""),"",M8-N8)</f>
        <v>0</v>
      </c>
      <c r="P8" s="155" t="str">
        <f aca="false">IF($Q8&lt;&gt;"",$Q8,IF(O8="","",IF(O8&lt;=-0.12,"P1",IF(O8&lt;=-0.06,"P2","P3"))))</f>
        <v>P3</v>
      </c>
      <c r="Q8" s="156"/>
      <c r="R8" s="155" t="str">
        <f aca="true">IF(G8="","",IF(I8&lt;&gt;"","Terminé",IF(G8&gt;TODAY(),"À venir",IF(H8&lt;TODAY(),"Terminé","En cours"))))</f>
        <v>Terminé</v>
      </c>
      <c r="S8" s="155"/>
      <c r="T8" s="43" t="s">
        <v>693</v>
      </c>
      <c r="U8" s="43" t="s">
        <v>693</v>
      </c>
      <c r="V8" s="43" t="s">
        <v>694</v>
      </c>
      <c r="W8" s="43" t="s">
        <v>695</v>
      </c>
      <c r="X8" s="43" t="s">
        <v>696</v>
      </c>
      <c r="Y8" s="157"/>
      <c r="Z8" s="134" t="n">
        <f aca="false">IF(R8="Terminé",IF(AND(G8&lt;&gt;"",I8&lt;&gt;""),NETWORKDAYS(G8,I8),D8),"")</f>
        <v>10</v>
      </c>
      <c r="AA8" s="134" t="str">
        <f aca="false">IF($A8="","",IF(COUNTIF(Skills!$A:$A,$A8)=0,"⚠ ID absent du roster",""))</f>
        <v/>
      </c>
      <c r="AB8" s="158"/>
    </row>
    <row r="9" customFormat="false" ht="15" hidden="true" customHeight="true" outlineLevel="0" collapsed="false">
      <c r="A9" s="159" t="s">
        <v>528</v>
      </c>
      <c r="B9" s="159" t="s">
        <v>65</v>
      </c>
      <c r="C9" s="43" t="str">
        <f aca="false">IF(LEFT(B9,2)="OS","QUILL FORMATION Valmont","QUILL FORMATION Ulman")</f>
        <v>QUILL FORMATION Valmont</v>
      </c>
      <c r="D9" s="43" t="n">
        <f aca="false">IF($A9="","",IF($C9="QUILL FORMATION Valmont",10,11))</f>
        <v>10</v>
      </c>
      <c r="E9" s="151" t="str">
        <f aca="false">IF($A9="","",IFERROR(VLOOKUP($A9,Skills!$A:$C,2,FALSE())&amp;" "&amp;VLOOKUP($A9,Skills!$A:$C,3,FALSE()),"Haxil Dellhaven"))</f>
        <v>Wrendale Wesum</v>
      </c>
      <c r="F9" s="43" t="str">
        <f aca="false">IF($A9="","",IFERROR(IF(VLOOKUP($A9,Skills!$A:$D,4,FALSE())="","",VLOOKUP($A9,Skills!$A:$D,4,FALSE())),"Lisbonne"))</f>
        <v>Lisbonne</v>
      </c>
      <c r="G9" s="152" t="n">
        <v>46006</v>
      </c>
      <c r="H9" s="47" t="n">
        <f aca="false">IF(G9="","",WORKDAY(G9-1,D9+IF(J9="",0,J9)))</f>
        <v>46017</v>
      </c>
      <c r="I9" s="152" t="n">
        <v>46017</v>
      </c>
      <c r="J9" s="153" t="n">
        <v>0</v>
      </c>
      <c r="K9" s="43" t="n">
        <f aca="true">IF(G9="","",MIN(D9,MAX(0,NETWORKDAYS(G9,TODAY())-IF(J9="",0,J9))))</f>
        <v>10</v>
      </c>
      <c r="L9" s="43" t="n">
        <f aca="true">IF(G9="","",MAX(0,D9-(NETWORKDAYS(G9,TODAY())-IF(J9="",0,J9))))</f>
        <v>0</v>
      </c>
      <c r="M9" s="154" t="n">
        <v>1</v>
      </c>
      <c r="N9" s="44" t="n">
        <f aca="true">IFERROR(IF(OR(K9="",K9&lt;=0),"",IF(TODAY()&gt;H9,1,IF(K9-1=0,0,INDEX(OBJECTIVES!$O$2:$Q$12,MATCH(K9-1,OBJECTIVES!$N$2:$N$12,0),IF($C9="QUILL FORMATION Valmont",2,1))))),"")</f>
        <v>1</v>
      </c>
      <c r="O9" s="44" t="n">
        <f aca="false">IF(OR(N9="",M9=""),"",M9-N9)</f>
        <v>0</v>
      </c>
      <c r="P9" s="155" t="str">
        <f aca="false">IF($Q9&lt;&gt;"",$Q9,IF(O9="","",IF(O9&lt;=-0.12,"P1",IF(O9&lt;=-0.06,"P2","P3"))))</f>
        <v>P3</v>
      </c>
      <c r="Q9" s="156"/>
      <c r="R9" s="155" t="str">
        <f aca="true">IF(G9="","",IF(I9&lt;&gt;"","Terminé",IF(G9&gt;TODAY(),"À venir",IF(H9&lt;TODAY(),"Terminé","En cours"))))</f>
        <v>Terminé</v>
      </c>
      <c r="S9" s="155"/>
      <c r="T9" s="43" t="s">
        <v>693</v>
      </c>
      <c r="U9" s="43" t="s">
        <v>693</v>
      </c>
      <c r="V9" s="43" t="s">
        <v>694</v>
      </c>
      <c r="W9" s="43" t="s">
        <v>695</v>
      </c>
      <c r="X9" s="43" t="s">
        <v>696</v>
      </c>
      <c r="Y9" s="157"/>
      <c r="Z9" s="134" t="n">
        <f aca="false">IF(R9="Terminé",IF(AND(G9&lt;&gt;"",I9&lt;&gt;""),NETWORKDAYS(G9,I9),D9),"")</f>
        <v>10</v>
      </c>
      <c r="AA9" s="134" t="str">
        <f aca="false">IF($A9="","",IF(COUNTIF(Skills!$A:$A,$A9)=0,"⚠ ID absent du roster",""))</f>
        <v/>
      </c>
      <c r="AB9" s="158"/>
    </row>
    <row r="10" customFormat="false" ht="15" hidden="true" customHeight="true" outlineLevel="0" collapsed="false">
      <c r="A10" s="159" t="s">
        <v>388</v>
      </c>
      <c r="B10" s="159" t="s">
        <v>65</v>
      </c>
      <c r="C10" s="43" t="str">
        <f aca="false">IF(LEFT(B10,2)="OS","QUILL FORMATION Valmont","QUILL FORMATION Ulman")</f>
        <v>QUILL FORMATION Valmont</v>
      </c>
      <c r="D10" s="43" t="n">
        <f aca="false">IF($A10="","",IF($C10="QUILL FORMATION Valmont",10,11))</f>
        <v>10</v>
      </c>
      <c r="E10" s="151" t="str">
        <f aca="false">IF($A10="","",IFERROR(VLOOKUP($A10,Skills!$A:$C,2,FALSE())&amp;" "&amp;VLOOKUP($A10,Skills!$A:$C,3,FALSE()),"Haxil Dellhaven"))</f>
        <v>Brammont Holtvale</v>
      </c>
      <c r="F10" s="43" t="str">
        <f aca="false">IF($A10="","",IFERROR(IF(VLOOKUP($A10,Skills!$A:$D,4,FALSE())="","",VLOOKUP($A10,Skills!$A:$D,4,FALSE())),"Lisbonne"))</f>
        <v>Lisbonne</v>
      </c>
      <c r="G10" s="152" t="n">
        <v>46006</v>
      </c>
      <c r="H10" s="47" t="n">
        <f aca="false">IF(G10="","",WORKDAY(G10-1,D10+IF(J10="",0,J10)))</f>
        <v>46017</v>
      </c>
      <c r="I10" s="152" t="n">
        <v>46017</v>
      </c>
      <c r="J10" s="153" t="n">
        <v>0</v>
      </c>
      <c r="K10" s="43" t="n">
        <f aca="true">IF(G10="","",MIN(D10,MAX(0,NETWORKDAYS(G10,TODAY())-IF(J10="",0,J10))))</f>
        <v>10</v>
      </c>
      <c r="L10" s="43" t="n">
        <f aca="true">IF(G10="","",MAX(0,D10-(NETWORKDAYS(G10,TODAY())-IF(J10="",0,J10))))</f>
        <v>0</v>
      </c>
      <c r="M10" s="154" t="n">
        <v>1</v>
      </c>
      <c r="N10" s="44" t="n">
        <f aca="true">IFERROR(IF(OR(K10="",K10&lt;=0),"",IF(TODAY()&gt;H10,1,IF(K10-1=0,0,INDEX(OBJECTIVES!$O$2:$Q$12,MATCH(K10-1,OBJECTIVES!$N$2:$N$12,0),IF($C10="QUILL FORMATION Valmont",2,1))))),"")</f>
        <v>1</v>
      </c>
      <c r="O10" s="44" t="n">
        <f aca="false">IF(OR(N10="",M10=""),"",M10-N10)</f>
        <v>0</v>
      </c>
      <c r="P10" s="155" t="str">
        <f aca="false">IF($Q10&lt;&gt;"",$Q10,IF(O10="","",IF(O10&lt;=-0.12,"P1",IF(O10&lt;=-0.06,"P2","P3"))))</f>
        <v>P3</v>
      </c>
      <c r="Q10" s="156"/>
      <c r="R10" s="155" t="str">
        <f aca="true">IF(G10="","",IF(I10&lt;&gt;"","Terminé",IF(G10&gt;TODAY(),"À venir",IF(H10&lt;TODAY(),"Terminé","En cours"))))</f>
        <v>Terminé</v>
      </c>
      <c r="S10" s="155"/>
      <c r="T10" s="43" t="s">
        <v>693</v>
      </c>
      <c r="U10" s="43" t="s">
        <v>693</v>
      </c>
      <c r="V10" s="43" t="s">
        <v>694</v>
      </c>
      <c r="W10" s="43" t="s">
        <v>695</v>
      </c>
      <c r="X10" s="43" t="s">
        <v>696</v>
      </c>
      <c r="Y10" s="157"/>
      <c r="Z10" s="134" t="n">
        <f aca="false">IF(R10="Terminé",IF(AND(G10&lt;&gt;"",I10&lt;&gt;""),NETWORKDAYS(G10,I10),D10),"")</f>
        <v>10</v>
      </c>
      <c r="AA10" s="134" t="str">
        <f aca="false">IF($A10="","",IF(COUNTIF(Skills!$A:$A,$A10)=0,"⚠ ID absent du roster",""))</f>
        <v/>
      </c>
      <c r="AB10" s="158"/>
    </row>
    <row r="11" customFormat="false" ht="15" hidden="true" customHeight="true" outlineLevel="0" collapsed="false">
      <c r="A11" s="159" t="s">
        <v>271</v>
      </c>
      <c r="B11" s="159" t="s">
        <v>65</v>
      </c>
      <c r="C11" s="43" t="str">
        <f aca="false">IF(LEFT(B11,2)="OS","QUILL FORMATION Valmont","QUILL FORMATION Ulman")</f>
        <v>QUILL FORMATION Valmont</v>
      </c>
      <c r="D11" s="43" t="n">
        <f aca="false">IF($A11="","",IF($C11="QUILL FORMATION Valmont",10,11))</f>
        <v>10</v>
      </c>
      <c r="E11" s="151" t="str">
        <f aca="false">IF($A11="","",IFERROR(VLOOKUP($A11,Skills!$A:$C,2,FALSE())&amp;" "&amp;VLOOKUP($A11,Skills!$A:$C,3,FALSE()),"Haxil Dellhaven"))</f>
        <v>Toril Rhoys</v>
      </c>
      <c r="F11" s="43" t="str">
        <f aca="false">IF($A11="","",IFERROR(IF(VLOOKUP($A11,Skills!$A:$D,4,FALSE())="","",VLOOKUP($A11,Skills!$A:$D,4,FALSE())),"Lisbonne"))</f>
        <v>Lisbonne</v>
      </c>
      <c r="G11" s="152" t="n">
        <v>46006</v>
      </c>
      <c r="H11" s="47" t="n">
        <f aca="false">IF(G11="","",WORKDAY(G11-1,D11+IF(J11="",0,J11)))</f>
        <v>46017</v>
      </c>
      <c r="I11" s="152" t="n">
        <v>46017</v>
      </c>
      <c r="J11" s="153" t="n">
        <v>0</v>
      </c>
      <c r="K11" s="43" t="n">
        <f aca="true">IF(G11="","",MIN(D11,MAX(0,NETWORKDAYS(G11,TODAY())-IF(J11="",0,J11))))</f>
        <v>10</v>
      </c>
      <c r="L11" s="43" t="n">
        <f aca="true">IF(G11="","",MAX(0,D11-(NETWORKDAYS(G11,TODAY())-IF(J11="",0,J11))))</f>
        <v>0</v>
      </c>
      <c r="M11" s="154" t="n">
        <v>1</v>
      </c>
      <c r="N11" s="44" t="n">
        <f aca="true">IFERROR(IF(OR(K11="",K11&lt;=0),"",IF(TODAY()&gt;H11,1,IF(K11-1=0,0,INDEX(OBJECTIVES!$O$2:$Q$12,MATCH(K11-1,OBJECTIVES!$N$2:$N$12,0),IF($C11="QUILL FORMATION Valmont",2,1))))),"")</f>
        <v>1</v>
      </c>
      <c r="O11" s="44" t="n">
        <f aca="false">IF(OR(N11="",M11=""),"",M11-N11)</f>
        <v>0</v>
      </c>
      <c r="P11" s="155" t="str">
        <f aca="false">IF($Q11&lt;&gt;"",$Q11,IF(O11="","",IF(O11&lt;=-0.12,"P1",IF(O11&lt;=-0.06,"P2","P3"))))</f>
        <v>P3</v>
      </c>
      <c r="Q11" s="156"/>
      <c r="R11" s="155" t="str">
        <f aca="true">IF(G11="","",IF(I11&lt;&gt;"","Terminé",IF(G11&gt;TODAY(),"À venir",IF(H11&lt;TODAY(),"Terminé","En cours"))))</f>
        <v>Terminé</v>
      </c>
      <c r="S11" s="155"/>
      <c r="T11" s="43" t="s">
        <v>693</v>
      </c>
      <c r="U11" s="43" t="s">
        <v>693</v>
      </c>
      <c r="V11" s="43" t="s">
        <v>694</v>
      </c>
      <c r="W11" s="43" t="s">
        <v>695</v>
      </c>
      <c r="X11" s="43" t="s">
        <v>696</v>
      </c>
      <c r="Y11" s="157"/>
      <c r="Z11" s="134" t="n">
        <f aca="false">IF(R11="Terminé",IF(AND(G11&lt;&gt;"",I11&lt;&gt;""),NETWORKDAYS(G11,I11),D11),"")</f>
        <v>10</v>
      </c>
      <c r="AA11" s="134" t="str">
        <f aca="false">IF($A11="","",IF(COUNTIF(Skills!$A:$A,$A11)=0,"⚠ ID absent du roster",""))</f>
        <v/>
      </c>
      <c r="AB11" s="158"/>
    </row>
    <row r="12" customFormat="false" ht="15" hidden="true" customHeight="true" outlineLevel="0" collapsed="false">
      <c r="A12" s="159" t="s">
        <v>193</v>
      </c>
      <c r="B12" s="159" t="s">
        <v>65</v>
      </c>
      <c r="C12" s="43" t="str">
        <f aca="false">IF(LEFT(B12,2)="OS","QUILL FORMATION Valmont","QUILL FORMATION Ulman")</f>
        <v>QUILL FORMATION Valmont</v>
      </c>
      <c r="D12" s="43" t="n">
        <f aca="false">IF($A12="","",IF($C12="QUILL FORMATION Valmont",10,11))</f>
        <v>10</v>
      </c>
      <c r="E12" s="151" t="str">
        <f aca="false">IF($A12="","",IFERROR(VLOOKUP($A12,Skills!$A:$C,2,FALSE())&amp;" "&amp;VLOOKUP($A12,Skills!$A:$C,3,FALSE()),"Haxil Dellhaven"))</f>
        <v>Corrfield Doric Ulmel</v>
      </c>
      <c r="F12" s="43" t="str">
        <f aca="false">IF($A12="","",IFERROR(IF(VLOOKUP($A12,Skills!$A:$D,4,FALSE())="","",VLOOKUP($A12,Skills!$A:$D,4,FALSE())),"Lisbonne"))</f>
        <v>Lisbonne</v>
      </c>
      <c r="G12" s="152" t="n">
        <v>46006</v>
      </c>
      <c r="H12" s="47" t="n">
        <f aca="false">IF(G12="","",WORKDAY(G12-1,D12+IF(J12="",0,J12)))</f>
        <v>46017</v>
      </c>
      <c r="I12" s="152" t="n">
        <v>46017</v>
      </c>
      <c r="J12" s="153" t="n">
        <v>0</v>
      </c>
      <c r="K12" s="43" t="n">
        <f aca="true">IF(G12="","",MIN(D12,MAX(0,NETWORKDAYS(G12,TODAY())-IF(J12="",0,J12))))</f>
        <v>10</v>
      </c>
      <c r="L12" s="43" t="n">
        <f aca="true">IF(G12="","",MAX(0,D12-(NETWORKDAYS(G12,TODAY())-IF(J12="",0,J12))))</f>
        <v>0</v>
      </c>
      <c r="M12" s="154" t="n">
        <v>1</v>
      </c>
      <c r="N12" s="44" t="n">
        <f aca="true">IFERROR(IF(OR(K12="",K12&lt;=0),"",IF(TODAY()&gt;H12,1,IF(K12-1=0,0,INDEX(OBJECTIVES!$O$2:$Q$12,MATCH(K12-1,OBJECTIVES!$N$2:$N$12,0),IF($C12="QUILL FORMATION Valmont",2,1))))),"")</f>
        <v>1</v>
      </c>
      <c r="O12" s="44" t="n">
        <f aca="false">IF(OR(N12="",M12=""),"",M12-N12)</f>
        <v>0</v>
      </c>
      <c r="P12" s="155" t="str">
        <f aca="false">IF($Q12&lt;&gt;"",$Q12,IF(O12="","",IF(O12&lt;=-0.12,"P1",IF(O12&lt;=-0.06,"P2","P3"))))</f>
        <v>P3</v>
      </c>
      <c r="Q12" s="156"/>
      <c r="R12" s="155" t="str">
        <f aca="true">IF(G12="","",IF(I12&lt;&gt;"","Terminé",IF(G12&gt;TODAY(),"À venir",IF(H12&lt;TODAY(),"Terminé","En cours"))))</f>
        <v>Terminé</v>
      </c>
      <c r="S12" s="155"/>
      <c r="T12" s="43" t="s">
        <v>693</v>
      </c>
      <c r="U12" s="43" t="s">
        <v>693</v>
      </c>
      <c r="V12" s="43" t="s">
        <v>694</v>
      </c>
      <c r="W12" s="43" t="s">
        <v>695</v>
      </c>
      <c r="X12" s="43" t="s">
        <v>696</v>
      </c>
      <c r="Y12" s="157"/>
      <c r="Z12" s="134" t="n">
        <f aca="false">IF(R12="Terminé",IF(AND(G12&lt;&gt;"",I12&lt;&gt;""),NETWORKDAYS(G12,I12),D12),"")</f>
        <v>10</v>
      </c>
      <c r="AA12" s="134" t="str">
        <f aca="false">IF($A12="","",IF(COUNTIF(Skills!$A:$A,$A12)=0,"⚠ ID absent du roster",""))</f>
        <v/>
      </c>
      <c r="AB12" s="158"/>
    </row>
    <row r="13" customFormat="false" ht="15" hidden="true" customHeight="true" outlineLevel="0" collapsed="false">
      <c r="A13" s="159" t="s">
        <v>423</v>
      </c>
      <c r="B13" s="159" t="s">
        <v>65</v>
      </c>
      <c r="C13" s="43" t="str">
        <f aca="false">IF(LEFT(B13,2)="OS","QUILL FORMATION Valmont","QUILL FORMATION Ulman")</f>
        <v>QUILL FORMATION Valmont</v>
      </c>
      <c r="D13" s="43" t="n">
        <f aca="false">IF($A13="","",IF($C13="QUILL FORMATION Valmont",10,11))</f>
        <v>10</v>
      </c>
      <c r="E13" s="151" t="str">
        <f aca="false">IF($A13="","",IFERROR(VLOOKUP($A13,Skills!$A:$C,2,FALSE())&amp;" "&amp;VLOOKUP($A13,Skills!$A:$C,3,FALSE()),"Haxil Dellhaven"))</f>
        <v>Larkshaw Moric</v>
      </c>
      <c r="F13" s="43" t="str">
        <f aca="false">IF($A13="","",IFERROR(IF(VLOOKUP($A13,Skills!$A:$D,4,FALSE())="","",VLOOKUP($A13,Skills!$A:$D,4,FALSE())),"Lisbonne"))</f>
        <v>Lisbonne</v>
      </c>
      <c r="G13" s="152" t="n">
        <v>46006</v>
      </c>
      <c r="H13" s="47" t="n">
        <f aca="false">IF(G13="","",WORKDAY(G13-1,D13+IF(J13="",0,J13)))</f>
        <v>46017</v>
      </c>
      <c r="I13" s="152" t="n">
        <v>46017</v>
      </c>
      <c r="J13" s="153" t="n">
        <v>0</v>
      </c>
      <c r="K13" s="43" t="n">
        <f aca="true">IF(G13="","",MIN(D13,MAX(0,NETWORKDAYS(G13,TODAY())-IF(J13="",0,J13))))</f>
        <v>10</v>
      </c>
      <c r="L13" s="43" t="n">
        <f aca="true">IF(G13="","",MAX(0,D13-(NETWORKDAYS(G13,TODAY())-IF(J13="",0,J13))))</f>
        <v>0</v>
      </c>
      <c r="M13" s="154" t="n">
        <v>1</v>
      </c>
      <c r="N13" s="44" t="n">
        <f aca="true">IFERROR(IF(OR(K13="",K13&lt;=0),"",IF(TODAY()&gt;H13,1,IF(K13-1=0,0,INDEX(OBJECTIVES!$O$2:$Q$12,MATCH(K13-1,OBJECTIVES!$N$2:$N$12,0),IF($C13="QUILL FORMATION Valmont",2,1))))),"")</f>
        <v>1</v>
      </c>
      <c r="O13" s="44" t="n">
        <f aca="false">IF(OR(N13="",M13=""),"",M13-N13)</f>
        <v>0</v>
      </c>
      <c r="P13" s="155" t="str">
        <f aca="false">IF($Q13&lt;&gt;"",$Q13,IF(O13="","",IF(O13&lt;=-0.12,"P1",IF(O13&lt;=-0.06,"P2","P3"))))</f>
        <v>P3</v>
      </c>
      <c r="Q13" s="156"/>
      <c r="R13" s="155" t="str">
        <f aca="true">IF(G13="","",IF(I13&lt;&gt;"","Terminé",IF(G13&gt;TODAY(),"À venir",IF(H13&lt;TODAY(),"Terminé","En cours"))))</f>
        <v>Terminé</v>
      </c>
      <c r="S13" s="155"/>
      <c r="T13" s="43" t="s">
        <v>693</v>
      </c>
      <c r="U13" s="43" t="s">
        <v>693</v>
      </c>
      <c r="V13" s="43" t="s">
        <v>694</v>
      </c>
      <c r="W13" s="43" t="s">
        <v>695</v>
      </c>
      <c r="X13" s="43" t="s">
        <v>696</v>
      </c>
      <c r="Y13" s="157"/>
      <c r="Z13" s="134" t="n">
        <f aca="false">IF(R13="Terminé",IF(AND(G13&lt;&gt;"",I13&lt;&gt;""),NETWORKDAYS(G13,I13),D13),"")</f>
        <v>10</v>
      </c>
      <c r="AA13" s="134" t="str">
        <f aca="false">IF($A13="","",IF(COUNTIF(Skills!$A:$A,$A13)=0,"⚠ ID absent du roster",""))</f>
        <v/>
      </c>
      <c r="AB13" s="158"/>
    </row>
    <row r="14" customFormat="false" ht="15" hidden="true" customHeight="true" outlineLevel="0" collapsed="false">
      <c r="A14" s="159" t="s">
        <v>332</v>
      </c>
      <c r="B14" s="159" t="s">
        <v>65</v>
      </c>
      <c r="C14" s="43" t="str">
        <f aca="false">IF(LEFT(B14,2)="OS","QUILL FORMATION Valmont","QUILL FORMATION Ulman")</f>
        <v>QUILL FORMATION Valmont</v>
      </c>
      <c r="D14" s="43" t="n">
        <f aca="false">IF($A14="","",IF($C14="QUILL FORMATION Valmont",10,11))</f>
        <v>10</v>
      </c>
      <c r="E14" s="151" t="str">
        <f aca="false">IF($A14="","",IFERROR(VLOOKUP($A14,Skills!$A:$C,2,FALSE())&amp;" "&amp;VLOOKUP($A14,Skills!$A:$C,3,FALSE()),"Haxil Dellhaven"))</f>
        <v>Pykewood Stelshaw Doric</v>
      </c>
      <c r="F14" s="43" t="str">
        <f aca="false">IF($A14="","",IFERROR(IF(VLOOKUP($A14,Skills!$A:$D,4,FALSE())="","",VLOOKUP($A14,Skills!$A:$D,4,FALSE())),"Lisbonne"))</f>
        <v>Lisbonne</v>
      </c>
      <c r="G14" s="152" t="n">
        <v>46006</v>
      </c>
      <c r="H14" s="47" t="n">
        <f aca="false">IF(G14="","",WORKDAY(G14-1,D14+IF(J14="",0,J14)))</f>
        <v>46017</v>
      </c>
      <c r="I14" s="152" t="n">
        <v>46017</v>
      </c>
      <c r="J14" s="153" t="n">
        <v>0</v>
      </c>
      <c r="K14" s="43" t="n">
        <f aca="true">IF(G14="","",MIN(D14,MAX(0,NETWORKDAYS(G14,TODAY())-IF(J14="",0,J14))))</f>
        <v>10</v>
      </c>
      <c r="L14" s="43" t="n">
        <f aca="true">IF(G14="","",MAX(0,D14-(NETWORKDAYS(G14,TODAY())-IF(J14="",0,J14))))</f>
        <v>0</v>
      </c>
      <c r="M14" s="154" t="n">
        <v>1</v>
      </c>
      <c r="N14" s="44" t="n">
        <f aca="true">IFERROR(IF(OR(K14="",K14&lt;=0),"",IF(TODAY()&gt;H14,1,IF(K14-1=0,0,INDEX(OBJECTIVES!$O$2:$Q$12,MATCH(K14-1,OBJECTIVES!$N$2:$N$12,0),IF($C14="QUILL FORMATION Valmont",2,1))))),"")</f>
        <v>1</v>
      </c>
      <c r="O14" s="44" t="n">
        <f aca="false">IF(OR(N14="",M14=""),"",M14-N14)</f>
        <v>0</v>
      </c>
      <c r="P14" s="155" t="str">
        <f aca="false">IF($Q14&lt;&gt;"",$Q14,IF(O14="","",IF(O14&lt;=-0.12,"P1",IF(O14&lt;=-0.06,"P2","P3"))))</f>
        <v>P3</v>
      </c>
      <c r="Q14" s="156"/>
      <c r="R14" s="155" t="str">
        <f aca="true">IF(G14="","",IF(I14&lt;&gt;"","Terminé",IF(G14&gt;TODAY(),"À venir",IF(H14&lt;TODAY(),"Terminé","En cours"))))</f>
        <v>Terminé</v>
      </c>
      <c r="S14" s="155"/>
      <c r="T14" s="43" t="s">
        <v>693</v>
      </c>
      <c r="U14" s="43" t="s">
        <v>693</v>
      </c>
      <c r="V14" s="43" t="s">
        <v>694</v>
      </c>
      <c r="W14" s="43" t="s">
        <v>695</v>
      </c>
      <c r="X14" s="43" t="s">
        <v>696</v>
      </c>
      <c r="Y14" s="157"/>
      <c r="Z14" s="134" t="n">
        <f aca="false">IF(R14="Terminé",IF(AND(G14&lt;&gt;"",I14&lt;&gt;""),NETWORKDAYS(G14,I14),D14),"")</f>
        <v>10</v>
      </c>
      <c r="AA14" s="134" t="str">
        <f aca="false">IF($A14="","",IF(COUNTIF(Skills!$A:$A,$A14)=0,"⚠ ID absent du roster",""))</f>
        <v/>
      </c>
      <c r="AB14" s="158"/>
    </row>
    <row r="15" customFormat="false" ht="15" hidden="true" customHeight="true" outlineLevel="0" collapsed="false">
      <c r="A15" s="159" t="s">
        <v>311</v>
      </c>
      <c r="B15" s="159" t="s">
        <v>66</v>
      </c>
      <c r="C15" s="43" t="str">
        <f aca="false">IF(LEFT(B15,2)="OS","QUILL FORMATION Valmont","QUILL FORMATION Ulman")</f>
        <v>QUILL FORMATION Valmont</v>
      </c>
      <c r="D15" s="43" t="n">
        <f aca="false">IF($A15="","",IF($C15="QUILL FORMATION Valmont",10,11))</f>
        <v>10</v>
      </c>
      <c r="E15" s="151" t="str">
        <f aca="false">IF($A15="","",IFERROR(VLOOKUP($A15,Skills!$A:$C,2,FALSE())&amp;" "&amp;VLOOKUP($A15,Skills!$A:$C,3,FALSE()),"Haxil Dellhaven"))</f>
        <v>Evergate Rownfield</v>
      </c>
      <c r="F15" s="43" t="str">
        <f aca="false">IF($A15="","",IFERROR(IF(VLOOKUP($A15,Skills!$A:$D,4,FALSE())="","",VLOOKUP($A15,Skills!$A:$D,4,FALSE())),"Lisbonne"))</f>
        <v>Lisbonne</v>
      </c>
      <c r="G15" s="152" t="n">
        <v>46027</v>
      </c>
      <c r="H15" s="47" t="n">
        <f aca="false">IF(G15="","",WORKDAY(G15-1,D15+IF(J15="",0,J15)))</f>
        <v>46038</v>
      </c>
      <c r="I15" s="152" t="n">
        <v>46038</v>
      </c>
      <c r="J15" s="153" t="n">
        <v>0</v>
      </c>
      <c r="K15" s="43" t="n">
        <f aca="true">IF(G15="","",MIN(D15,MAX(0,NETWORKDAYS(G15,TODAY())-IF(J15="",0,J15))))</f>
        <v>10</v>
      </c>
      <c r="L15" s="43" t="n">
        <f aca="true">IF(G15="","",MAX(0,D15-(NETWORKDAYS(G15,TODAY())-IF(J15="",0,J15))))</f>
        <v>0</v>
      </c>
      <c r="M15" s="154" t="n">
        <v>1</v>
      </c>
      <c r="N15" s="44" t="n">
        <f aca="true">IFERROR(IF(OR(K15="",K15&lt;=0),"",IF(TODAY()&gt;H15,1,IF(K15-1=0,0,INDEX(OBJECTIVES!$O$2:$Q$12,MATCH(K15-1,OBJECTIVES!$N$2:$N$12,0),IF($C15="QUILL FORMATION Valmont",2,1))))),"")</f>
        <v>1</v>
      </c>
      <c r="O15" s="44" t="n">
        <f aca="false">IF(OR(N15="",M15=""),"",M15-N15)</f>
        <v>0</v>
      </c>
      <c r="P15" s="155" t="str">
        <f aca="false">IF($Q15&lt;&gt;"",$Q15,IF(O15="","",IF(O15&lt;=-0.12,"P1",IF(O15&lt;=-0.06,"P2","P3"))))</f>
        <v>P3</v>
      </c>
      <c r="Q15" s="156"/>
      <c r="R15" s="155" t="str">
        <f aca="true">IF(G15="","",IF(I15&lt;&gt;"","Terminé",IF(G15&gt;TODAY(),"À venir",IF(H15&lt;TODAY(),"Terminé","En cours"))))</f>
        <v>Terminé</v>
      </c>
      <c r="S15" s="155"/>
      <c r="T15" s="43" t="s">
        <v>693</v>
      </c>
      <c r="U15" s="43" t="s">
        <v>693</v>
      </c>
      <c r="V15" s="43" t="s">
        <v>694</v>
      </c>
      <c r="W15" s="43" t="s">
        <v>695</v>
      </c>
      <c r="X15" s="43" t="s">
        <v>696</v>
      </c>
      <c r="Y15" s="157"/>
      <c r="Z15" s="134" t="n">
        <f aca="false">IF(R15="Terminé",IF(AND(G15&lt;&gt;"",I15&lt;&gt;""),NETWORKDAYS(G15,I15),D15),"")</f>
        <v>10</v>
      </c>
      <c r="AA15" s="134" t="str">
        <f aca="false">IF($A15="","",IF(COUNTIF(Skills!$A:$A,$A15)=0,"⚠ ID absent du roster",""))</f>
        <v/>
      </c>
      <c r="AB15" s="158"/>
    </row>
    <row r="16" customFormat="false" ht="15" hidden="true" customHeight="true" outlineLevel="0" collapsed="false">
      <c r="A16" s="159" t="s">
        <v>534</v>
      </c>
      <c r="B16" s="159" t="s">
        <v>66</v>
      </c>
      <c r="C16" s="43" t="str">
        <f aca="false">IF(LEFT(B16,2)="OS","QUILL FORMATION Valmont","QUILL FORMATION Ulman")</f>
        <v>QUILL FORMATION Valmont</v>
      </c>
      <c r="D16" s="43" t="n">
        <f aca="false">IF($A16="","",IF($C16="QUILL FORMATION Valmont",10,11))</f>
        <v>10</v>
      </c>
      <c r="E16" s="151" t="str">
        <f aca="false">IF($A16="","",IFERROR(VLOOKUP($A16,Skills!$A:$C,2,FALSE())&amp;" "&amp;VLOOKUP($A16,Skills!$A:$C,3,FALSE()),"Haxil Dellhaven"))</f>
        <v>Vorel Fenor</v>
      </c>
      <c r="F16" s="43" t="str">
        <f aca="false">IF($A16="","",IFERROR(IF(VLOOKUP($A16,Skills!$A:$D,4,FALSE())="","",VLOOKUP($A16,Skills!$A:$D,4,FALSE())),"Lisbonne"))</f>
        <v>Lisbonne</v>
      </c>
      <c r="G16" s="152" t="n">
        <v>46027</v>
      </c>
      <c r="H16" s="47" t="n">
        <f aca="false">IF(G16="","",WORKDAY(G16-1,D16+IF(J16="",0,J16)))</f>
        <v>46038</v>
      </c>
      <c r="I16" s="152" t="n">
        <v>46038</v>
      </c>
      <c r="J16" s="153" t="n">
        <v>0</v>
      </c>
      <c r="K16" s="43" t="n">
        <f aca="true">IF(G16="","",MIN(D16,MAX(0,NETWORKDAYS(G16,TODAY())-IF(J16="",0,J16))))</f>
        <v>10</v>
      </c>
      <c r="L16" s="43" t="n">
        <f aca="true">IF(G16="","",MAX(0,D16-(NETWORKDAYS(G16,TODAY())-IF(J16="",0,J16))))</f>
        <v>0</v>
      </c>
      <c r="M16" s="154" t="n">
        <v>1</v>
      </c>
      <c r="N16" s="44" t="n">
        <f aca="true">IFERROR(IF(OR(K16="",K16&lt;=0),"",IF(TODAY()&gt;H16,1,IF(K16-1=0,0,INDEX(OBJECTIVES!$O$2:$Q$12,MATCH(K16-1,OBJECTIVES!$N$2:$N$12,0),IF($C16="QUILL FORMATION Valmont",2,1))))),"")</f>
        <v>1</v>
      </c>
      <c r="O16" s="44" t="n">
        <f aca="false">IF(OR(N16="",M16=""),"",M16-N16)</f>
        <v>0</v>
      </c>
      <c r="P16" s="155" t="str">
        <f aca="false">IF($Q16&lt;&gt;"",$Q16,IF(O16="","",IF(O16&lt;=-0.12,"P1",IF(O16&lt;=-0.06,"P2","P3"))))</f>
        <v>P3</v>
      </c>
      <c r="Q16" s="156"/>
      <c r="R16" s="155" t="str">
        <f aca="true">IF(G16="","",IF(I16&lt;&gt;"","Terminé",IF(G16&gt;TODAY(),"À venir",IF(H16&lt;TODAY(),"Terminé","En cours"))))</f>
        <v>Terminé</v>
      </c>
      <c r="S16" s="155"/>
      <c r="T16" s="43" t="s">
        <v>693</v>
      </c>
      <c r="U16" s="43" t="s">
        <v>693</v>
      </c>
      <c r="V16" s="43" t="s">
        <v>694</v>
      </c>
      <c r="W16" s="43" t="s">
        <v>695</v>
      </c>
      <c r="X16" s="43" t="s">
        <v>696</v>
      </c>
      <c r="Y16" s="157"/>
      <c r="Z16" s="134" t="n">
        <f aca="false">IF(R16="Terminé",IF(AND(G16&lt;&gt;"",I16&lt;&gt;""),NETWORKDAYS(G16,I16),D16),"")</f>
        <v>10</v>
      </c>
      <c r="AA16" s="134" t="str">
        <f aca="false">IF($A16="","",IF(COUNTIF(Skills!$A:$A,$A16)=0,"⚠ ID absent du roster",""))</f>
        <v/>
      </c>
      <c r="AB16" s="158"/>
    </row>
    <row r="17" customFormat="false" ht="15" hidden="true" customHeight="true" outlineLevel="0" collapsed="false">
      <c r="A17" s="159" t="s">
        <v>583</v>
      </c>
      <c r="B17" s="159" t="s">
        <v>66</v>
      </c>
      <c r="C17" s="43" t="str">
        <f aca="false">IF(LEFT(B17,2)="OS","QUILL FORMATION Valmont","QUILL FORMATION Ulman")</f>
        <v>QUILL FORMATION Valmont</v>
      </c>
      <c r="D17" s="43" t="n">
        <f aca="false">IF($A17="","",IF($C17="QUILL FORMATION Valmont",10,11))</f>
        <v>10</v>
      </c>
      <c r="E17" s="151" t="str">
        <f aca="false">IF($A17="","",IFERROR(VLOOKUP($A17,Skills!$A:$C,2,FALSE())&amp;" "&amp;VLOOKUP($A17,Skills!$A:$C,3,FALSE()),"Haxil Dellhaven"))</f>
        <v>Kelil Marsvale</v>
      </c>
      <c r="F17" s="43" t="str">
        <f aca="false">IF($A17="","",IFERROR(IF(VLOOKUP($A17,Skills!$A:$D,4,FALSE())="","",VLOOKUP($A17,Skills!$A:$D,4,FALSE())),"Lisbonne"))</f>
        <v>Lisbonne</v>
      </c>
      <c r="G17" s="152" t="n">
        <v>46027</v>
      </c>
      <c r="H17" s="47" t="n">
        <f aca="false">IF(G17="","",WORKDAY(G17-1,D17+IF(J17="",0,J17)))</f>
        <v>46038</v>
      </c>
      <c r="I17" s="152" t="n">
        <v>46038</v>
      </c>
      <c r="J17" s="153" t="n">
        <v>0</v>
      </c>
      <c r="K17" s="43" t="n">
        <f aca="true">IF(G17="","",MIN(D17,MAX(0,NETWORKDAYS(G17,TODAY())-IF(J17="",0,J17))))</f>
        <v>10</v>
      </c>
      <c r="L17" s="43" t="n">
        <f aca="true">IF(G17="","",MAX(0,D17-(NETWORKDAYS(G17,TODAY())-IF(J17="",0,J17))))</f>
        <v>0</v>
      </c>
      <c r="M17" s="154" t="n">
        <v>1</v>
      </c>
      <c r="N17" s="44" t="n">
        <f aca="true">IFERROR(IF(OR(K17="",K17&lt;=0),"",IF(TODAY()&gt;H17,1,IF(K17-1=0,0,INDEX(OBJECTIVES!$O$2:$Q$12,MATCH(K17-1,OBJECTIVES!$N$2:$N$12,0),IF($C17="QUILL FORMATION Valmont",2,1))))),"")</f>
        <v>1</v>
      </c>
      <c r="O17" s="44" t="n">
        <f aca="false">IF(OR(N17="",M17=""),"",M17-N17)</f>
        <v>0</v>
      </c>
      <c r="P17" s="155" t="str">
        <f aca="false">IF($Q17&lt;&gt;"",$Q17,IF(O17="","",IF(O17&lt;=-0.12,"P1",IF(O17&lt;=-0.06,"P2","P3"))))</f>
        <v>P3</v>
      </c>
      <c r="Q17" s="156"/>
      <c r="R17" s="155" t="str">
        <f aca="true">IF(G17="","",IF(I17&lt;&gt;"","Terminé",IF(G17&gt;TODAY(),"À venir",IF(H17&lt;TODAY(),"Terminé","En cours"))))</f>
        <v>Terminé</v>
      </c>
      <c r="S17" s="155"/>
      <c r="T17" s="43" t="s">
        <v>693</v>
      </c>
      <c r="U17" s="43" t="s">
        <v>693</v>
      </c>
      <c r="V17" s="43" t="s">
        <v>694</v>
      </c>
      <c r="W17" s="43" t="s">
        <v>695</v>
      </c>
      <c r="X17" s="43" t="s">
        <v>696</v>
      </c>
      <c r="Y17" s="157"/>
      <c r="Z17" s="134" t="n">
        <f aca="false">IF(R17="Terminé",IF(AND(G17&lt;&gt;"",I17&lt;&gt;""),NETWORKDAYS(G17,I17),D17),"")</f>
        <v>10</v>
      </c>
      <c r="AA17" s="134" t="str">
        <f aca="false">IF($A17="","",IF(COUNTIF(Skills!$A:$A,$A17)=0,"⚠ ID absent du roster",""))</f>
        <v/>
      </c>
      <c r="AB17" s="158"/>
    </row>
    <row r="18" customFormat="false" ht="15" hidden="true" customHeight="true" outlineLevel="0" collapsed="false">
      <c r="A18" s="159" t="s">
        <v>537</v>
      </c>
      <c r="B18" s="159" t="s">
        <v>66</v>
      </c>
      <c r="C18" s="43" t="str">
        <f aca="false">IF(LEFT(B18,2)="OS","QUILL FORMATION Valmont","QUILL FORMATION Ulman")</f>
        <v>QUILL FORMATION Valmont</v>
      </c>
      <c r="D18" s="43" t="n">
        <f aca="false">IF($A18="","",IF($C18="QUILL FORMATION Valmont",10,11))</f>
        <v>10</v>
      </c>
      <c r="E18" s="151" t="str">
        <f aca="false">IF($A18="","",IFERROR(VLOOKUP($A18,Skills!$A:$C,2,FALSE())&amp;" "&amp;VLOOKUP($A18,Skills!$A:$C,3,FALSE()),"Haxil Dellhaven"))</f>
        <v>Fenic Fenor</v>
      </c>
      <c r="F18" s="43" t="str">
        <f aca="false">IF($A18="","",IFERROR(IF(VLOOKUP($A18,Skills!$A:$D,4,FALSE())="","",VLOOKUP($A18,Skills!$A:$D,4,FALSE())),"Lisbonne"))</f>
        <v>Lisbonne</v>
      </c>
      <c r="G18" s="152" t="n">
        <v>46027</v>
      </c>
      <c r="H18" s="47" t="n">
        <f aca="false">IF(G18="","",WORKDAY(G18-1,D18+IF(J18="",0,J18)))</f>
        <v>46038</v>
      </c>
      <c r="I18" s="152" t="n">
        <v>46038</v>
      </c>
      <c r="J18" s="153" t="n">
        <v>0</v>
      </c>
      <c r="K18" s="43" t="n">
        <f aca="true">IF(G18="","",MIN(D18,MAX(0,NETWORKDAYS(G18,TODAY())-IF(J18="",0,J18))))</f>
        <v>10</v>
      </c>
      <c r="L18" s="43" t="n">
        <f aca="true">IF(G18="","",MAX(0,D18-(NETWORKDAYS(G18,TODAY())-IF(J18="",0,J18))))</f>
        <v>0</v>
      </c>
      <c r="M18" s="154" t="n">
        <v>1</v>
      </c>
      <c r="N18" s="44" t="n">
        <f aca="true">IFERROR(IF(OR(K18="",K18&lt;=0),"",IF(TODAY()&gt;H18,1,IF(K18-1=0,0,INDEX(OBJECTIVES!$O$2:$Q$12,MATCH(K18-1,OBJECTIVES!$N$2:$N$12,0),IF($C18="QUILL FORMATION Valmont",2,1))))),"")</f>
        <v>1</v>
      </c>
      <c r="O18" s="44" t="n">
        <f aca="false">IF(OR(N18="",M18=""),"",M18-N18)</f>
        <v>0</v>
      </c>
      <c r="P18" s="155" t="str">
        <f aca="false">IF($Q18&lt;&gt;"",$Q18,IF(O18="","",IF(O18&lt;=-0.12,"P1",IF(O18&lt;=-0.06,"P2","P3"))))</f>
        <v>P3</v>
      </c>
      <c r="Q18" s="156"/>
      <c r="R18" s="155" t="str">
        <f aca="true">IF(G18="","",IF(I18&lt;&gt;"","Terminé",IF(G18&gt;TODAY(),"À venir",IF(H18&lt;TODAY(),"Terminé","En cours"))))</f>
        <v>Terminé</v>
      </c>
      <c r="S18" s="155"/>
      <c r="T18" s="43" t="s">
        <v>693</v>
      </c>
      <c r="U18" s="43" t="s">
        <v>693</v>
      </c>
      <c r="V18" s="43" t="s">
        <v>694</v>
      </c>
      <c r="W18" s="43" t="s">
        <v>695</v>
      </c>
      <c r="X18" s="43" t="s">
        <v>696</v>
      </c>
      <c r="Y18" s="157"/>
      <c r="Z18" s="134" t="n">
        <f aca="false">IF(R18="Terminé",IF(AND(G18&lt;&gt;"",I18&lt;&gt;""),NETWORKDAYS(G18,I18),D18),"")</f>
        <v>10</v>
      </c>
      <c r="AA18" s="134" t="str">
        <f aca="false">IF($A18="","",IF(COUNTIF(Skills!$A:$A,$A18)=0,"⚠ ID absent du roster",""))</f>
        <v/>
      </c>
      <c r="AB18" s="158"/>
    </row>
    <row r="19" customFormat="false" ht="15" hidden="true" customHeight="true" outlineLevel="0" collapsed="false">
      <c r="A19" s="159" t="s">
        <v>521</v>
      </c>
      <c r="B19" s="159" t="s">
        <v>66</v>
      </c>
      <c r="C19" s="43" t="str">
        <f aca="false">IF(LEFT(B19,2)="OS","QUILL FORMATION Valmont","QUILL FORMATION Ulman")</f>
        <v>QUILL FORMATION Valmont</v>
      </c>
      <c r="D19" s="43" t="n">
        <f aca="false">IF($A19="","",IF($C19="QUILL FORMATION Valmont",10,11))</f>
        <v>10</v>
      </c>
      <c r="E19" s="151" t="str">
        <f aca="false">IF($A19="","",IFERROR(VLOOKUP($A19,Skills!$A:$C,2,FALSE())&amp;" "&amp;VLOOKUP($A19,Skills!$A:$C,3,FALSE()),"Haxil Dellhaven"))</f>
        <v>Rownvale Dorys</v>
      </c>
      <c r="F19" s="43" t="str">
        <f aca="false">IF($A19="","",IFERROR(IF(VLOOKUP($A19,Skills!$A:$D,4,FALSE())="","",VLOOKUP($A19,Skills!$A:$D,4,FALSE())),"Lisbonne"))</f>
        <v>Lisbonne</v>
      </c>
      <c r="G19" s="152" t="n">
        <v>46027</v>
      </c>
      <c r="H19" s="47" t="n">
        <f aca="false">IF(G19="","",WORKDAY(G19-1,D19+IF(J19="",0,J19)))</f>
        <v>46038</v>
      </c>
      <c r="I19" s="152" t="n">
        <v>46038</v>
      </c>
      <c r="J19" s="153" t="n">
        <v>0</v>
      </c>
      <c r="K19" s="43" t="n">
        <f aca="true">IF(G19="","",MIN(D19,MAX(0,NETWORKDAYS(G19,TODAY())-IF(J19="",0,J19))))</f>
        <v>10</v>
      </c>
      <c r="L19" s="43" t="n">
        <f aca="true">IF(G19="","",MAX(0,D19-(NETWORKDAYS(G19,TODAY())-IF(J19="",0,J19))))</f>
        <v>0</v>
      </c>
      <c r="M19" s="154" t="n">
        <v>1</v>
      </c>
      <c r="N19" s="44" t="n">
        <f aca="true">IFERROR(IF(OR(K19="",K19&lt;=0),"",IF(TODAY()&gt;H19,1,IF(K19-1=0,0,INDEX(OBJECTIVES!$O$2:$Q$12,MATCH(K19-1,OBJECTIVES!$N$2:$N$12,0),IF($C19="QUILL FORMATION Valmont",2,1))))),"")</f>
        <v>1</v>
      </c>
      <c r="O19" s="44" t="n">
        <f aca="false">IF(OR(N19="",M19=""),"",M19-N19)</f>
        <v>0</v>
      </c>
      <c r="P19" s="155" t="str">
        <f aca="false">IF($Q19&lt;&gt;"",$Q19,IF(O19="","",IF(O19&lt;=-0.12,"P1",IF(O19&lt;=-0.06,"P2","P3"))))</f>
        <v>P3</v>
      </c>
      <c r="Q19" s="156"/>
      <c r="R19" s="155" t="str">
        <f aca="true">IF(G19="","",IF(I19&lt;&gt;"","Terminé",IF(G19&gt;TODAY(),"À venir",IF(H19&lt;TODAY(),"Terminé","En cours"))))</f>
        <v>Terminé</v>
      </c>
      <c r="S19" s="155"/>
      <c r="T19" s="43" t="s">
        <v>693</v>
      </c>
      <c r="U19" s="43" t="s">
        <v>693</v>
      </c>
      <c r="V19" s="43" t="s">
        <v>694</v>
      </c>
      <c r="W19" s="43" t="s">
        <v>695</v>
      </c>
      <c r="X19" s="43" t="s">
        <v>696</v>
      </c>
      <c r="Y19" s="157"/>
      <c r="Z19" s="134" t="n">
        <f aca="false">IF(R19="Terminé",IF(AND(G19&lt;&gt;"",I19&lt;&gt;""),NETWORKDAYS(G19,I19),D19),"")</f>
        <v>10</v>
      </c>
      <c r="AA19" s="134" t="str">
        <f aca="false">IF($A19="","",IF(COUNTIF(Skills!$A:$A,$A19)=0,"⚠ ID absent du roster",""))</f>
        <v/>
      </c>
      <c r="AB19" s="158"/>
    </row>
    <row r="20" customFormat="false" ht="15" hidden="true" customHeight="true" outlineLevel="0" collapsed="false">
      <c r="A20" s="159" t="s">
        <v>506</v>
      </c>
      <c r="B20" s="159" t="s">
        <v>67</v>
      </c>
      <c r="C20" s="43" t="str">
        <f aca="false">IF(LEFT(B20,2)="OS","QUILL FORMATION Valmont","QUILL FORMATION Ulman")</f>
        <v>QUILL FORMATION Valmont</v>
      </c>
      <c r="D20" s="43" t="n">
        <f aca="false">IF($A20="","",IF($C20="QUILL FORMATION Valmont",10,11))</f>
        <v>10</v>
      </c>
      <c r="E20" s="151" t="str">
        <f aca="false">IF($A20="","",IFERROR(VLOOKUP($A20,Skills!$A:$C,2,FALSE())&amp;" "&amp;VLOOKUP($A20,Skills!$A:$C,3,FALSE()),"Haxil Dellhaven"))</f>
        <v>Kelol Thornridge</v>
      </c>
      <c r="F20" s="43" t="str">
        <f aca="false">IF($A20="","",IFERROR(IF(VLOOKUP($A20,Skills!$A:$D,4,FALSE())="","",VLOOKUP($A20,Skills!$A:$D,4,FALSE())),"Lisbonne"))</f>
        <v>Lisbonne</v>
      </c>
      <c r="G20" s="152" t="n">
        <v>46034</v>
      </c>
      <c r="H20" s="47" t="n">
        <f aca="false">IF(G20="","",WORKDAY(G20-1,D20+IF(J20="",0,J20)))</f>
        <v>46045</v>
      </c>
      <c r="I20" s="152" t="n">
        <v>46045</v>
      </c>
      <c r="J20" s="153" t="n">
        <v>0</v>
      </c>
      <c r="K20" s="43" t="n">
        <f aca="true">IF(G20="","",MIN(D20,MAX(0,NETWORKDAYS(G20,TODAY())-IF(J20="",0,J20))))</f>
        <v>10</v>
      </c>
      <c r="L20" s="43" t="n">
        <f aca="true">IF(G20="","",MAX(0,D20-(NETWORKDAYS(G20,TODAY())-IF(J20="",0,J20))))</f>
        <v>0</v>
      </c>
      <c r="M20" s="154" t="n">
        <v>1</v>
      </c>
      <c r="N20" s="44" t="n">
        <f aca="true">IFERROR(IF(OR(K20="",K20&lt;=0),"",IF(TODAY()&gt;H20,1,IF(K20-1=0,0,INDEX(OBJECTIVES!$O$2:$Q$12,MATCH(K20-1,OBJECTIVES!$N$2:$N$12,0),IF($C20="QUILL FORMATION Valmont",2,1))))),"")</f>
        <v>1</v>
      </c>
      <c r="O20" s="44" t="n">
        <f aca="false">IF(OR(N20="",M20=""),"",M20-N20)</f>
        <v>0</v>
      </c>
      <c r="P20" s="155" t="str">
        <f aca="false">IF($Q20&lt;&gt;"",$Q20,IF(O20="","",IF(O20&lt;=-0.12,"P1",IF(O20&lt;=-0.06,"P2","P3"))))</f>
        <v>P3</v>
      </c>
      <c r="Q20" s="156"/>
      <c r="R20" s="155" t="str">
        <f aca="true">IF(G20="","",IF(I20&lt;&gt;"","Terminé",IF(G20&gt;TODAY(),"À venir",IF(H20&lt;TODAY(),"Terminé","En cours"))))</f>
        <v>Terminé</v>
      </c>
      <c r="S20" s="155"/>
      <c r="T20" s="43" t="s">
        <v>693</v>
      </c>
      <c r="U20" s="43" t="s">
        <v>693</v>
      </c>
      <c r="V20" s="43" t="s">
        <v>694</v>
      </c>
      <c r="W20" s="43" t="s">
        <v>695</v>
      </c>
      <c r="X20" s="43" t="s">
        <v>696</v>
      </c>
      <c r="Y20" s="157"/>
      <c r="Z20" s="134" t="n">
        <f aca="false">IF(R20="Terminé",IF(AND(G20&lt;&gt;"",I20&lt;&gt;""),NETWORKDAYS(G20,I20),D20),"")</f>
        <v>10</v>
      </c>
      <c r="AA20" s="134" t="str">
        <f aca="false">IF($A20="","",IF(COUNTIF(Skills!$A:$A,$A20)=0,"⚠ ID absent du roster",""))</f>
        <v/>
      </c>
      <c r="AB20" s="158"/>
    </row>
    <row r="21" customFormat="false" ht="15" hidden="true" customHeight="true" outlineLevel="0" collapsed="false">
      <c r="A21" s="159" t="s">
        <v>394</v>
      </c>
      <c r="B21" s="159" t="s">
        <v>67</v>
      </c>
      <c r="C21" s="43" t="str">
        <f aca="false">IF(LEFT(B21,2)="OS","QUILL FORMATION Valmont","QUILL FORMATION Ulman")</f>
        <v>QUILL FORMATION Valmont</v>
      </c>
      <c r="D21" s="43" t="n">
        <f aca="false">IF($A21="","",IF($C21="QUILL FORMATION Valmont",10,11))</f>
        <v>10</v>
      </c>
      <c r="E21" s="151" t="str">
        <f aca="false">IF($A21="","",IFERROR(VLOOKUP($A21,Skills!$A:$C,2,FALSE())&amp;" "&amp;VLOOKUP($A21,Skills!$A:$C,3,FALSE()),"Haxil Dellhaven"))</f>
        <v>Valeworth Nevol</v>
      </c>
      <c r="F21" s="43" t="str">
        <f aca="false">IF($A21="","",IFERROR(IF(VLOOKUP($A21,Skills!$A:$D,4,FALSE())="","",VLOOKUP($A21,Skills!$A:$D,4,FALSE())),"Lisbonne"))</f>
        <v>Lisbonne</v>
      </c>
      <c r="G21" s="152" t="n">
        <v>46034</v>
      </c>
      <c r="H21" s="47" t="n">
        <f aca="false">IF(G21="","",WORKDAY(G21-1,D21+IF(J21="",0,J21)))</f>
        <v>46045</v>
      </c>
      <c r="I21" s="152" t="n">
        <v>46045</v>
      </c>
      <c r="J21" s="153" t="n">
        <v>0</v>
      </c>
      <c r="K21" s="43" t="n">
        <f aca="true">IF(G21="","",MIN(D21,MAX(0,NETWORKDAYS(G21,TODAY())-IF(J21="",0,J21))))</f>
        <v>10</v>
      </c>
      <c r="L21" s="43" t="n">
        <f aca="true">IF(G21="","",MAX(0,D21-(NETWORKDAYS(G21,TODAY())-IF(J21="",0,J21))))</f>
        <v>0</v>
      </c>
      <c r="M21" s="154" t="n">
        <v>1</v>
      </c>
      <c r="N21" s="44" t="n">
        <f aca="true">IFERROR(IF(OR(K21="",K21&lt;=0),"",IF(TODAY()&gt;H21,1,IF(K21-1=0,0,INDEX(OBJECTIVES!$O$2:$Q$12,MATCH(K21-1,OBJECTIVES!$N$2:$N$12,0),IF($C21="QUILL FORMATION Valmont",2,1))))),"")</f>
        <v>1</v>
      </c>
      <c r="O21" s="44" t="n">
        <f aca="false">IF(OR(N21="",M21=""),"",M21-N21)</f>
        <v>0</v>
      </c>
      <c r="P21" s="155" t="str">
        <f aca="false">IF($Q21&lt;&gt;"",$Q21,IF(O21="","",IF(O21&lt;=-0.12,"P1",IF(O21&lt;=-0.06,"P2","P3"))))</f>
        <v>P3</v>
      </c>
      <c r="Q21" s="156"/>
      <c r="R21" s="155" t="str">
        <f aca="true">IF(G21="","",IF(I21&lt;&gt;"","Terminé",IF(G21&gt;TODAY(),"À venir",IF(H21&lt;TODAY(),"Terminé","En cours"))))</f>
        <v>Terminé</v>
      </c>
      <c r="S21" s="155"/>
      <c r="T21" s="43" t="s">
        <v>693</v>
      </c>
      <c r="U21" s="43" t="s">
        <v>693</v>
      </c>
      <c r="V21" s="43" t="s">
        <v>694</v>
      </c>
      <c r="W21" s="43" t="s">
        <v>695</v>
      </c>
      <c r="X21" s="43" t="s">
        <v>696</v>
      </c>
      <c r="Y21" s="157"/>
      <c r="Z21" s="134" t="n">
        <f aca="false">IF(R21="Terminé",IF(AND(G21&lt;&gt;"",I21&lt;&gt;""),NETWORKDAYS(G21,I21),D21),"")</f>
        <v>10</v>
      </c>
      <c r="AA21" s="134" t="str">
        <f aca="false">IF($A21="","",IF(COUNTIF(Skills!$A:$A,$A21)=0,"⚠ ID absent du roster",""))</f>
        <v/>
      </c>
      <c r="AB21" s="158"/>
    </row>
    <row r="22" customFormat="false" ht="15" hidden="true" customHeight="true" outlineLevel="0" collapsed="false">
      <c r="A22" s="159" t="s">
        <v>599</v>
      </c>
      <c r="B22" s="159" t="s">
        <v>67</v>
      </c>
      <c r="C22" s="43" t="str">
        <f aca="false">IF(LEFT(B22,2)="OS","QUILL FORMATION Valmont","QUILL FORMATION Ulman")</f>
        <v>QUILL FORMATION Valmont</v>
      </c>
      <c r="D22" s="43" t="n">
        <f aca="false">IF($A22="","",IF($C22="QUILL FORMATION Valmont",10,11))</f>
        <v>10</v>
      </c>
      <c r="E22" s="151" t="str">
        <f aca="false">IF($A22="","",IFERROR(VLOOKUP($A22,Skills!$A:$C,2,FALSE())&amp;" "&amp;VLOOKUP($A22,Skills!$A:$C,3,FALSE()),"Haxil Dellhaven"))</f>
        <v>Luman Ulmen</v>
      </c>
      <c r="F22" s="43" t="str">
        <f aca="false">IF($A22="","",IFERROR(IF(VLOOKUP($A22,Skills!$A:$D,4,FALSE())="","",VLOOKUP($A22,Skills!$A:$D,4,FALSE())),"Lisbonne"))</f>
        <v>Lisbonne</v>
      </c>
      <c r="G22" s="152" t="n">
        <v>46034</v>
      </c>
      <c r="H22" s="47" t="n">
        <f aca="false">IF(G22="","",WORKDAY(G22-1,D22+IF(J22="",0,J22)))</f>
        <v>46045</v>
      </c>
      <c r="I22" s="152" t="n">
        <v>46045</v>
      </c>
      <c r="J22" s="153" t="n">
        <v>0</v>
      </c>
      <c r="K22" s="43" t="n">
        <f aca="true">IF(G22="","",MIN(D22,MAX(0,NETWORKDAYS(G22,TODAY())-IF(J22="",0,J22))))</f>
        <v>10</v>
      </c>
      <c r="L22" s="43" t="n">
        <f aca="true">IF(G22="","",MAX(0,D22-(NETWORKDAYS(G22,TODAY())-IF(J22="",0,J22))))</f>
        <v>0</v>
      </c>
      <c r="M22" s="154" t="n">
        <v>1</v>
      </c>
      <c r="N22" s="44" t="n">
        <f aca="true">IFERROR(IF(OR(K22="",K22&lt;=0),"",IF(TODAY()&gt;H22,1,IF(K22-1=0,0,INDEX(OBJECTIVES!$O$2:$Q$12,MATCH(K22-1,OBJECTIVES!$N$2:$N$12,0),IF($C22="QUILL FORMATION Valmont",2,1))))),"")</f>
        <v>1</v>
      </c>
      <c r="O22" s="44" t="n">
        <f aca="false">IF(OR(N22="",M22=""),"",M22-N22)</f>
        <v>0</v>
      </c>
      <c r="P22" s="155" t="str">
        <f aca="false">IF($Q22&lt;&gt;"",$Q22,IF(O22="","",IF(O22&lt;=-0.12,"P1",IF(O22&lt;=-0.06,"P2","P3"))))</f>
        <v>P3</v>
      </c>
      <c r="Q22" s="156"/>
      <c r="R22" s="155" t="str">
        <f aca="true">IF(G22="","",IF(I22&lt;&gt;"","Terminé",IF(G22&gt;TODAY(),"À venir",IF(H22&lt;TODAY(),"Terminé","En cours"))))</f>
        <v>Terminé</v>
      </c>
      <c r="S22" s="155"/>
      <c r="T22" s="43" t="s">
        <v>693</v>
      </c>
      <c r="U22" s="43" t="s">
        <v>693</v>
      </c>
      <c r="V22" s="43" t="s">
        <v>694</v>
      </c>
      <c r="W22" s="43" t="s">
        <v>695</v>
      </c>
      <c r="X22" s="43" t="s">
        <v>696</v>
      </c>
      <c r="Y22" s="157"/>
      <c r="Z22" s="134" t="n">
        <f aca="false">IF(R22="Terminé",IF(AND(G22&lt;&gt;"",I22&lt;&gt;""),NETWORKDAYS(G22,I22),D22),"")</f>
        <v>10</v>
      </c>
      <c r="AA22" s="134" t="str">
        <f aca="false">IF($A22="","",IF(COUNTIF(Skills!$A:$A,$A22)=0,"⚠ ID absent du roster",""))</f>
        <v/>
      </c>
      <c r="AB22" s="158"/>
    </row>
    <row r="23" customFormat="false" ht="15" hidden="true" customHeight="true" outlineLevel="0" collapsed="false">
      <c r="A23" s="159" t="s">
        <v>368</v>
      </c>
      <c r="B23" s="159" t="s">
        <v>67</v>
      </c>
      <c r="C23" s="43" t="str">
        <f aca="false">IF(LEFT(B23,2)="OS","QUILL FORMATION Valmont","QUILL FORMATION Ulman")</f>
        <v>QUILL FORMATION Valmont</v>
      </c>
      <c r="D23" s="43" t="n">
        <f aca="false">IF($A23="","",IF($C23="QUILL FORMATION Valmont",10,11))</f>
        <v>10</v>
      </c>
      <c r="E23" s="151" t="str">
        <f aca="false">IF($A23="","",IFERROR(VLOOKUP($A23,Skills!$A:$C,2,FALSE())&amp;" "&amp;VLOOKUP($A23,Skills!$A:$C,3,FALSE()),"Haxil Dellhaven"))</f>
        <v>Larkmont Norshaw</v>
      </c>
      <c r="F23" s="43" t="str">
        <f aca="false">IF($A23="","",IFERROR(IF(VLOOKUP($A23,Skills!$A:$D,4,FALSE())="","",VLOOKUP($A23,Skills!$A:$D,4,FALSE())),"Lisbonne"))</f>
        <v>Lisbonne</v>
      </c>
      <c r="G23" s="152" t="n">
        <v>46034</v>
      </c>
      <c r="H23" s="47" t="n">
        <f aca="false">IF(G23="","",WORKDAY(G23-1,D23+IF(J23="",0,J23)))</f>
        <v>46045</v>
      </c>
      <c r="I23" s="152" t="n">
        <v>46045</v>
      </c>
      <c r="J23" s="153" t="n">
        <v>0</v>
      </c>
      <c r="K23" s="43" t="n">
        <f aca="true">IF(G23="","",MIN(D23,MAX(0,NETWORKDAYS(G23,TODAY())-IF(J23="",0,J23))))</f>
        <v>10</v>
      </c>
      <c r="L23" s="43" t="n">
        <f aca="true">IF(G23="","",MAX(0,D23-(NETWORKDAYS(G23,TODAY())-IF(J23="",0,J23))))</f>
        <v>0</v>
      </c>
      <c r="M23" s="154" t="n">
        <v>1</v>
      </c>
      <c r="N23" s="44" t="n">
        <f aca="true">IFERROR(IF(OR(K23="",K23&lt;=0),"",IF(TODAY()&gt;H23,1,IF(K23-1=0,0,INDEX(OBJECTIVES!$O$2:$Q$12,MATCH(K23-1,OBJECTIVES!$N$2:$N$12,0),IF($C23="QUILL FORMATION Valmont",2,1))))),"")</f>
        <v>1</v>
      </c>
      <c r="O23" s="44" t="n">
        <f aca="false">IF(OR(N23="",M23=""),"",M23-N23)</f>
        <v>0</v>
      </c>
      <c r="P23" s="155" t="str">
        <f aca="false">IF($Q23&lt;&gt;"",$Q23,IF(O23="","",IF(O23&lt;=-0.12,"P1",IF(O23&lt;=-0.06,"P2","P3"))))</f>
        <v>P3</v>
      </c>
      <c r="Q23" s="156"/>
      <c r="R23" s="155" t="str">
        <f aca="true">IF(G23="","",IF(I23&lt;&gt;"","Terminé",IF(G23&gt;TODAY(),"À venir",IF(H23&lt;TODAY(),"Terminé","En cours"))))</f>
        <v>Terminé</v>
      </c>
      <c r="S23" s="155"/>
      <c r="T23" s="43" t="s">
        <v>693</v>
      </c>
      <c r="U23" s="43" t="s">
        <v>693</v>
      </c>
      <c r="V23" s="43" t="s">
        <v>694</v>
      </c>
      <c r="W23" s="43" t="s">
        <v>695</v>
      </c>
      <c r="X23" s="43" t="s">
        <v>696</v>
      </c>
      <c r="Y23" s="157"/>
      <c r="Z23" s="134" t="n">
        <f aca="false">IF(R23="Terminé",IF(AND(G23&lt;&gt;"",I23&lt;&gt;""),NETWORKDAYS(G23,I23),D23),"")</f>
        <v>10</v>
      </c>
      <c r="AA23" s="134" t="str">
        <f aca="false">IF($A23="","",IF(COUNTIF(Skills!$A:$A,$A23)=0,"⚠ ID absent du roster",""))</f>
        <v/>
      </c>
      <c r="AB23" s="158"/>
    </row>
    <row r="24" customFormat="false" ht="15" hidden="true" customHeight="true" outlineLevel="0" collapsed="false">
      <c r="A24" s="159" t="s">
        <v>455</v>
      </c>
      <c r="B24" s="159" t="s">
        <v>67</v>
      </c>
      <c r="C24" s="43" t="str">
        <f aca="false">IF(LEFT(B24,2)="OS","QUILL FORMATION Valmont","QUILL FORMATION Ulman")</f>
        <v>QUILL FORMATION Valmont</v>
      </c>
      <c r="D24" s="43" t="n">
        <f aca="false">IF($A24="","",IF($C24="QUILL FORMATION Valmont",10,11))</f>
        <v>10</v>
      </c>
      <c r="E24" s="151" t="str">
        <f aca="false">IF($A24="","",IFERROR(VLOOKUP($A24,Skills!$A:$C,2,FALSE())&amp;" "&amp;VLOOKUP($A24,Skills!$A:$C,3,FALSE()),"Haxil Dellhaven"))</f>
        <v>Norstone Quillwood</v>
      </c>
      <c r="F24" s="43" t="str">
        <f aca="false">IF($A24="","",IFERROR(IF(VLOOKUP($A24,Skills!$A:$D,4,FALSE())="","",VLOOKUP($A24,Skills!$A:$D,4,FALSE())),"Lisbonne"))</f>
        <v>Lisbonne</v>
      </c>
      <c r="G24" s="152" t="n">
        <v>46034</v>
      </c>
      <c r="H24" s="47" t="n">
        <f aca="false">IF(G24="","",WORKDAY(G24-1,D24+IF(J24="",0,J24)))</f>
        <v>46045</v>
      </c>
      <c r="I24" s="152" t="n">
        <v>46045</v>
      </c>
      <c r="J24" s="153" t="n">
        <v>0</v>
      </c>
      <c r="K24" s="43" t="n">
        <f aca="true">IF(G24="","",MIN(D24,MAX(0,NETWORKDAYS(G24,TODAY())-IF(J24="",0,J24))))</f>
        <v>10</v>
      </c>
      <c r="L24" s="43" t="n">
        <f aca="true">IF(G24="","",MAX(0,D24-(NETWORKDAYS(G24,TODAY())-IF(J24="",0,J24))))</f>
        <v>0</v>
      </c>
      <c r="M24" s="154" t="n">
        <v>1</v>
      </c>
      <c r="N24" s="44" t="n">
        <f aca="true">IFERROR(IF(OR(K24="",K24&lt;=0),"",IF(TODAY()&gt;H24,1,IF(K24-1=0,0,INDEX(OBJECTIVES!$O$2:$Q$12,MATCH(K24-1,OBJECTIVES!$N$2:$N$12,0),IF($C24="QUILL FORMATION Valmont",2,1))))),"")</f>
        <v>1</v>
      </c>
      <c r="O24" s="44" t="n">
        <f aca="false">IF(OR(N24="",M24=""),"",M24-N24)</f>
        <v>0</v>
      </c>
      <c r="P24" s="155" t="str">
        <f aca="false">IF($Q24&lt;&gt;"",$Q24,IF(O24="","",IF(O24&lt;=-0.12,"P1",IF(O24&lt;=-0.06,"P2","P3"))))</f>
        <v>P3</v>
      </c>
      <c r="Q24" s="156"/>
      <c r="R24" s="155" t="str">
        <f aca="true">IF(G24="","",IF(I24&lt;&gt;"","Terminé",IF(G24&gt;TODAY(),"À venir",IF(H24&lt;TODAY(),"Terminé","En cours"))))</f>
        <v>Terminé</v>
      </c>
      <c r="S24" s="155"/>
      <c r="T24" s="43" t="s">
        <v>693</v>
      </c>
      <c r="U24" s="43" t="s">
        <v>693</v>
      </c>
      <c r="V24" s="43" t="s">
        <v>694</v>
      </c>
      <c r="W24" s="43" t="s">
        <v>695</v>
      </c>
      <c r="X24" s="43" t="s">
        <v>696</v>
      </c>
      <c r="Y24" s="157"/>
      <c r="Z24" s="134" t="n">
        <f aca="false">IF(R24="Terminé",IF(AND(G24&lt;&gt;"",I24&lt;&gt;""),NETWORKDAYS(G24,I24),D24),"")</f>
        <v>10</v>
      </c>
      <c r="AA24" s="134" t="str">
        <f aca="false">IF($A24="","",IF(COUNTIF(Skills!$A:$A,$A24)=0,"⚠ ID absent du roster",""))</f>
        <v/>
      </c>
      <c r="AB24" s="158"/>
    </row>
    <row r="25" customFormat="false" ht="15" hidden="true" customHeight="true" outlineLevel="0" collapsed="false">
      <c r="A25" s="159" t="s">
        <v>241</v>
      </c>
      <c r="B25" s="159" t="s">
        <v>67</v>
      </c>
      <c r="C25" s="43" t="str">
        <f aca="false">IF(LEFT(B25,2)="OS","QUILL FORMATION Valmont","QUILL FORMATION Ulman")</f>
        <v>QUILL FORMATION Valmont</v>
      </c>
      <c r="D25" s="43" t="n">
        <f aca="false">IF($A25="","",IF($C25="QUILL FORMATION Valmont",10,11))</f>
        <v>10</v>
      </c>
      <c r="E25" s="151" t="str">
        <f aca="false">IF($A25="","",IFERROR(VLOOKUP($A25,Skills!$A:$C,2,FALSE())&amp;" "&amp;VLOOKUP($A25,Skills!$A:$C,3,FALSE()),"Haxil Dellhaven"))</f>
        <v>Dellfield Stelridge Haxel</v>
      </c>
      <c r="F25" s="43" t="str">
        <f aca="false">IF($A25="","",IFERROR(IF(VLOOKUP($A25,Skills!$A:$D,4,FALSE())="","",VLOOKUP($A25,Skills!$A:$D,4,FALSE())),"Lisbonne"))</f>
        <v>Lisbonne</v>
      </c>
      <c r="G25" s="152" t="n">
        <v>46034</v>
      </c>
      <c r="H25" s="47" t="n">
        <f aca="false">IF(G25="","",WORKDAY(G25-1,D25+IF(J25="",0,J25)))</f>
        <v>46045</v>
      </c>
      <c r="I25" s="152" t="n">
        <v>46045</v>
      </c>
      <c r="J25" s="153" t="n">
        <v>0</v>
      </c>
      <c r="K25" s="43" t="n">
        <f aca="true">IF(G25="","",MIN(D25,MAX(0,NETWORKDAYS(G25,TODAY())-IF(J25="",0,J25))))</f>
        <v>10</v>
      </c>
      <c r="L25" s="43" t="n">
        <f aca="true">IF(G25="","",MAX(0,D25-(NETWORKDAYS(G25,TODAY())-IF(J25="",0,J25))))</f>
        <v>0</v>
      </c>
      <c r="M25" s="154" t="n">
        <v>1</v>
      </c>
      <c r="N25" s="44" t="n">
        <f aca="true">IFERROR(IF(OR(K25="",K25&lt;=0),"",IF(TODAY()&gt;H25,1,IF(K25-1=0,0,INDEX(OBJECTIVES!$O$2:$Q$12,MATCH(K25-1,OBJECTIVES!$N$2:$N$12,0),IF($C25="QUILL FORMATION Valmont",2,1))))),"")</f>
        <v>1</v>
      </c>
      <c r="O25" s="44" t="n">
        <f aca="false">IF(OR(N25="",M25=""),"",M25-N25)</f>
        <v>0</v>
      </c>
      <c r="P25" s="155" t="str">
        <f aca="false">IF($Q25&lt;&gt;"",$Q25,IF(O25="","",IF(O25&lt;=-0.12,"P1",IF(O25&lt;=-0.06,"P2","P3"))))</f>
        <v>P3</v>
      </c>
      <c r="Q25" s="156"/>
      <c r="R25" s="155" t="str">
        <f aca="true">IF(G25="","",IF(I25&lt;&gt;"","Terminé",IF(G25&gt;TODAY(),"À venir",IF(H25&lt;TODAY(),"Terminé","En cours"))))</f>
        <v>Terminé</v>
      </c>
      <c r="S25" s="155"/>
      <c r="T25" s="43" t="s">
        <v>693</v>
      </c>
      <c r="U25" s="43" t="s">
        <v>693</v>
      </c>
      <c r="V25" s="43" t="s">
        <v>694</v>
      </c>
      <c r="W25" s="43" t="s">
        <v>695</v>
      </c>
      <c r="X25" s="43" t="s">
        <v>696</v>
      </c>
      <c r="Y25" s="157"/>
      <c r="Z25" s="134" t="n">
        <f aca="false">IF(R25="Terminé",IF(AND(G25&lt;&gt;"",I25&lt;&gt;""),NETWORKDAYS(G25,I25),D25),"")</f>
        <v>10</v>
      </c>
      <c r="AA25" s="134" t="str">
        <f aca="false">IF($A25="","",IF(COUNTIF(Skills!$A:$A,$A25)=0,"⚠ ID absent du roster",""))</f>
        <v/>
      </c>
      <c r="AB25" s="158"/>
    </row>
    <row r="26" customFormat="false" ht="15" hidden="true" customHeight="true" outlineLevel="0" collapsed="false">
      <c r="A26" s="159" t="s">
        <v>244</v>
      </c>
      <c r="B26" s="159" t="s">
        <v>67</v>
      </c>
      <c r="C26" s="43" t="str">
        <f aca="false">IF(LEFT(B26,2)="OS","QUILL FORMATION Valmont","QUILL FORMATION Ulman")</f>
        <v>QUILL FORMATION Valmont</v>
      </c>
      <c r="D26" s="43" t="n">
        <f aca="false">IF($A26="","",IF($C26="QUILL FORMATION Valmont",10,11))</f>
        <v>10</v>
      </c>
      <c r="E26" s="151" t="str">
        <f aca="false">IF($A26="","",IFERROR(VLOOKUP($A26,Skills!$A:$C,2,FALSE())&amp;" "&amp;VLOOKUP($A26,Skills!$A:$C,3,FALSE()),"Haxil Dellhaven"))</f>
        <v>Stelworth Stelridge Vorar</v>
      </c>
      <c r="F26" s="43" t="str">
        <f aca="false">IF($A26="","",IFERROR(IF(VLOOKUP($A26,Skills!$A:$D,4,FALSE())="","",VLOOKUP($A26,Skills!$A:$D,4,FALSE())),"Lisbonne"))</f>
        <v>Lisbonne</v>
      </c>
      <c r="G26" s="152" t="n">
        <v>46034</v>
      </c>
      <c r="H26" s="47" t="n">
        <f aca="false">IF(G26="","",WORKDAY(G26-1,D26+IF(J26="",0,J26)))</f>
        <v>46045</v>
      </c>
      <c r="I26" s="152" t="n">
        <v>46045</v>
      </c>
      <c r="J26" s="153" t="n">
        <v>0</v>
      </c>
      <c r="K26" s="43" t="n">
        <f aca="true">IF(G26="","",MIN(D26,MAX(0,NETWORKDAYS(G26,TODAY())-IF(J26="",0,J26))))</f>
        <v>10</v>
      </c>
      <c r="L26" s="43" t="n">
        <f aca="true">IF(G26="","",MAX(0,D26-(NETWORKDAYS(G26,TODAY())-IF(J26="",0,J26))))</f>
        <v>0</v>
      </c>
      <c r="M26" s="154" t="n">
        <v>1</v>
      </c>
      <c r="N26" s="44" t="n">
        <f aca="true">IFERROR(IF(OR(K26="",K26&lt;=0),"",IF(TODAY()&gt;H26,1,IF(K26-1=0,0,INDEX(OBJECTIVES!$O$2:$Q$12,MATCH(K26-1,OBJECTIVES!$N$2:$N$12,0),IF($C26="QUILL FORMATION Valmont",2,1))))),"")</f>
        <v>1</v>
      </c>
      <c r="O26" s="44" t="n">
        <f aca="false">IF(OR(N26="",M26=""),"",M26-N26)</f>
        <v>0</v>
      </c>
      <c r="P26" s="155" t="str">
        <f aca="false">IF($Q26&lt;&gt;"",$Q26,IF(O26="","",IF(O26&lt;=-0.12,"P1",IF(O26&lt;=-0.06,"P2","P3"))))</f>
        <v>P3</v>
      </c>
      <c r="Q26" s="156"/>
      <c r="R26" s="155" t="str">
        <f aca="true">IF(G26="","",IF(I26&lt;&gt;"","Terminé",IF(G26&gt;TODAY(),"À venir",IF(H26&lt;TODAY(),"Terminé","En cours"))))</f>
        <v>Terminé</v>
      </c>
      <c r="S26" s="155"/>
      <c r="T26" s="43" t="s">
        <v>693</v>
      </c>
      <c r="U26" s="43" t="s">
        <v>693</v>
      </c>
      <c r="V26" s="43" t="s">
        <v>694</v>
      </c>
      <c r="W26" s="43" t="s">
        <v>695</v>
      </c>
      <c r="X26" s="43" t="s">
        <v>696</v>
      </c>
      <c r="Y26" s="157"/>
      <c r="Z26" s="134" t="n">
        <f aca="false">IF(R26="Terminé",IF(AND(G26&lt;&gt;"",I26&lt;&gt;""),NETWORKDAYS(G26,I26),D26),"")</f>
        <v>10</v>
      </c>
      <c r="AA26" s="134" t="str">
        <f aca="false">IF($A26="","",IF(COUNTIF(Skills!$A:$A,$A26)=0,"⚠ ID absent du roster",""))</f>
        <v/>
      </c>
      <c r="AB26" s="158"/>
    </row>
    <row r="27" customFormat="false" ht="15" hidden="true" customHeight="true" outlineLevel="0" collapsed="false">
      <c r="A27" s="159" t="s">
        <v>200</v>
      </c>
      <c r="B27" s="159" t="s">
        <v>67</v>
      </c>
      <c r="C27" s="43" t="str">
        <f aca="false">IF(LEFT(B27,2)="OS","QUILL FORMATION Valmont","QUILL FORMATION Ulman")</f>
        <v>QUILL FORMATION Valmont</v>
      </c>
      <c r="D27" s="43" t="n">
        <f aca="false">IF($A27="","",IF($C27="QUILL FORMATION Valmont",10,11))</f>
        <v>10</v>
      </c>
      <c r="E27" s="151" t="str">
        <f aca="false">IF($A27="","",IFERROR(VLOOKUP($A27,Skills!$A:$C,2,FALSE())&amp;" "&amp;VLOOKUP($A27,Skills!$A:$C,3,FALSE()),"Haxil Dellhaven"))</f>
        <v>Corrfield Haxay Morys</v>
      </c>
      <c r="F27" s="43" t="str">
        <f aca="false">IF($A27="","",IFERROR(IF(VLOOKUP($A27,Skills!$A:$D,4,FALSE())="","",VLOOKUP($A27,Skills!$A:$D,4,FALSE())),"Lisbonne"))</f>
        <v>Lisbonne</v>
      </c>
      <c r="G27" s="152" t="n">
        <v>46034</v>
      </c>
      <c r="H27" s="47" t="n">
        <f aca="false">IF(G27="","",WORKDAY(G27-1,D27+IF(J27="",0,J27)))</f>
        <v>46045</v>
      </c>
      <c r="I27" s="152" t="n">
        <v>46045</v>
      </c>
      <c r="J27" s="153" t="n">
        <v>0</v>
      </c>
      <c r="K27" s="43" t="n">
        <f aca="true">IF(G27="","",MIN(D27,MAX(0,NETWORKDAYS(G27,TODAY())-IF(J27="",0,J27))))</f>
        <v>10</v>
      </c>
      <c r="L27" s="43" t="n">
        <f aca="true">IF(G27="","",MAX(0,D27-(NETWORKDAYS(G27,TODAY())-IF(J27="",0,J27))))</f>
        <v>0</v>
      </c>
      <c r="M27" s="154" t="n">
        <v>1</v>
      </c>
      <c r="N27" s="44" t="n">
        <f aca="true">IFERROR(IF(OR(K27="",K27&lt;=0),"",IF(TODAY()&gt;H27,1,IF(K27-1=0,0,INDEX(OBJECTIVES!$O$2:$Q$12,MATCH(K27-1,OBJECTIVES!$N$2:$N$12,0),IF($C27="QUILL FORMATION Valmont",2,1))))),"")</f>
        <v>1</v>
      </c>
      <c r="O27" s="44" t="n">
        <f aca="false">IF(OR(N27="",M27=""),"",M27-N27)</f>
        <v>0</v>
      </c>
      <c r="P27" s="155" t="str">
        <f aca="false">IF($Q27&lt;&gt;"",$Q27,IF(O27="","",IF(O27&lt;=-0.12,"P1",IF(O27&lt;=-0.06,"P2","P3"))))</f>
        <v>P3</v>
      </c>
      <c r="Q27" s="156"/>
      <c r="R27" s="155" t="str">
        <f aca="true">IF(G27="","",IF(I27&lt;&gt;"","Terminé",IF(G27&gt;TODAY(),"À venir",IF(H27&lt;TODAY(),"Terminé","En cours"))))</f>
        <v>Terminé</v>
      </c>
      <c r="S27" s="155"/>
      <c r="T27" s="43" t="s">
        <v>693</v>
      </c>
      <c r="U27" s="43" t="s">
        <v>693</v>
      </c>
      <c r="V27" s="43" t="s">
        <v>694</v>
      </c>
      <c r="W27" s="43" t="s">
        <v>695</v>
      </c>
      <c r="X27" s="43" t="s">
        <v>696</v>
      </c>
      <c r="Y27" s="157"/>
      <c r="Z27" s="134" t="n">
        <f aca="false">IF(R27="Terminé",IF(AND(G27&lt;&gt;"",I27&lt;&gt;""),NETWORKDAYS(G27,I27),D27),"")</f>
        <v>10</v>
      </c>
      <c r="AA27" s="134" t="str">
        <f aca="false">IF($A27="","",IF(COUNTIF(Skills!$A:$A,$A27)=0,"⚠ ID absent du roster",""))</f>
        <v/>
      </c>
      <c r="AB27" s="158"/>
    </row>
    <row r="28" customFormat="false" ht="15" hidden="true" customHeight="true" outlineLevel="0" collapsed="false">
      <c r="A28" s="159" t="s">
        <v>397</v>
      </c>
      <c r="B28" s="159" t="s">
        <v>67</v>
      </c>
      <c r="C28" s="43" t="str">
        <f aca="false">IF(LEFT(B28,2)="OS","QUILL FORMATION Valmont","QUILL FORMATION Ulman")</f>
        <v>QUILL FORMATION Valmont</v>
      </c>
      <c r="D28" s="43" t="n">
        <f aca="false">IF($A28="","",IF($C28="QUILL FORMATION Valmont",10,11))</f>
        <v>10</v>
      </c>
      <c r="E28" s="151" t="str">
        <f aca="false">IF($A28="","",IFERROR(VLOOKUP($A28,Skills!$A:$C,2,FALSE())&amp;" "&amp;VLOOKUP($A28,Skills!$A:$C,3,FALSE()),"Haxil Dellhaven"))</f>
        <v>Ashgate Thornwood</v>
      </c>
      <c r="F28" s="43" t="str">
        <f aca="false">IF($A28="","",IFERROR(IF(VLOOKUP($A28,Skills!$A:$D,4,FALSE())="","",VLOOKUP($A28,Skills!$A:$D,4,FALSE())),"Lisbonne"))</f>
        <v>Lisbonne</v>
      </c>
      <c r="G28" s="152" t="n">
        <v>46034</v>
      </c>
      <c r="H28" s="47" t="n">
        <f aca="false">IF(G28="","",WORKDAY(G28-1,D28+IF(J28="",0,J28)))</f>
        <v>46045</v>
      </c>
      <c r="I28" s="152" t="n">
        <v>46045</v>
      </c>
      <c r="J28" s="153" t="n">
        <v>0</v>
      </c>
      <c r="K28" s="43" t="n">
        <f aca="true">IF(G28="","",MIN(D28,MAX(0,NETWORKDAYS(G28,TODAY())-IF(J28="",0,J28))))</f>
        <v>10</v>
      </c>
      <c r="L28" s="43" t="n">
        <f aca="true">IF(G28="","",MAX(0,D28-(NETWORKDAYS(G28,TODAY())-IF(J28="",0,J28))))</f>
        <v>0</v>
      </c>
      <c r="M28" s="154" t="n">
        <v>1</v>
      </c>
      <c r="N28" s="44" t="n">
        <f aca="true">IFERROR(IF(OR(K28="",K28&lt;=0),"",IF(TODAY()&gt;H28,1,IF(K28-1=0,0,INDEX(OBJECTIVES!$O$2:$Q$12,MATCH(K28-1,OBJECTIVES!$N$2:$N$12,0),IF($C28="QUILL FORMATION Valmont",2,1))))),"")</f>
        <v>1</v>
      </c>
      <c r="O28" s="44" t="n">
        <f aca="false">IF(OR(N28="",M28=""),"",M28-N28)</f>
        <v>0</v>
      </c>
      <c r="P28" s="155" t="str">
        <f aca="false">IF($Q28&lt;&gt;"",$Q28,IF(O28="","",IF(O28&lt;=-0.12,"P1",IF(O28&lt;=-0.06,"P2","P3"))))</f>
        <v>P3</v>
      </c>
      <c r="Q28" s="156"/>
      <c r="R28" s="155" t="str">
        <f aca="true">IF(G28="","",IF(I28&lt;&gt;"","Terminé",IF(G28&gt;TODAY(),"À venir",IF(H28&lt;TODAY(),"Terminé","En cours"))))</f>
        <v>Terminé</v>
      </c>
      <c r="S28" s="155"/>
      <c r="T28" s="43" t="s">
        <v>693</v>
      </c>
      <c r="U28" s="43" t="s">
        <v>693</v>
      </c>
      <c r="V28" s="43" t="s">
        <v>694</v>
      </c>
      <c r="W28" s="43" t="s">
        <v>695</v>
      </c>
      <c r="X28" s="43" t="s">
        <v>696</v>
      </c>
      <c r="Y28" s="157"/>
      <c r="Z28" s="134" t="n">
        <f aca="false">IF(R28="Terminé",IF(AND(G28&lt;&gt;"",I28&lt;&gt;""),NETWORKDAYS(G28,I28),D28),"")</f>
        <v>10</v>
      </c>
      <c r="AA28" s="134" t="str">
        <f aca="false">IF($A28="","",IF(COUNTIF(Skills!$A:$A,$A28)=0,"⚠ ID absent du roster",""))</f>
        <v/>
      </c>
      <c r="AB28" s="158"/>
    </row>
    <row r="29" customFormat="false" ht="15" hidden="true" customHeight="true" outlineLevel="0" collapsed="false">
      <c r="A29" s="159" t="s">
        <v>452</v>
      </c>
      <c r="B29" s="159" t="s">
        <v>68</v>
      </c>
      <c r="C29" s="43" t="str">
        <f aca="false">IF(LEFT(B29,2)="OS","QUILL FORMATION Valmont","QUILL FORMATION Ulman")</f>
        <v>QUILL FORMATION Valmont</v>
      </c>
      <c r="D29" s="43" t="n">
        <f aca="false">IF($A29="","",IF($C29="QUILL FORMATION Valmont",10,11))</f>
        <v>10</v>
      </c>
      <c r="E29" s="151" t="str">
        <f aca="false">IF($A29="","",IFERROR(VLOOKUP($A29,Skills!$A:$C,2,FALSE())&amp;" "&amp;VLOOKUP($A29,Skills!$A:$C,3,FALSE()),"Haxil Dellhaven"))</f>
        <v>Quenan Quillwood</v>
      </c>
      <c r="F29" s="43" t="str">
        <f aca="false">IF($A29="","",IFERROR(IF(VLOOKUP($A29,Skills!$A:$D,4,FALSE())="","",VLOOKUP($A29,Skills!$A:$D,4,FALSE())),"Lisbonne"))</f>
        <v>Lisbonne</v>
      </c>
      <c r="G29" s="152" t="n">
        <v>46043</v>
      </c>
      <c r="H29" s="47" t="n">
        <f aca="false">IF(G29="","",WORKDAY(G29-1,D29+IF(J29="",0,J29)))</f>
        <v>46056</v>
      </c>
      <c r="I29" s="152" t="n">
        <v>46057</v>
      </c>
      <c r="J29" s="153" t="n">
        <v>0</v>
      </c>
      <c r="K29" s="43" t="n">
        <f aca="true">IF(G29="","",MIN(D29,MAX(0,NETWORKDAYS(G29,TODAY())-IF(J29="",0,J29))))</f>
        <v>10</v>
      </c>
      <c r="L29" s="43" t="n">
        <f aca="true">IF(G29="","",MAX(0,D29-(NETWORKDAYS(G29,TODAY())-IF(J29="",0,J29))))</f>
        <v>0</v>
      </c>
      <c r="M29" s="154" t="n">
        <v>1</v>
      </c>
      <c r="N29" s="44" t="n">
        <f aca="true">IFERROR(IF(OR(K29="",K29&lt;=0),"",IF(TODAY()&gt;H29,1,IF(K29-1=0,0,INDEX(OBJECTIVES!$O$2:$Q$12,MATCH(K29-1,OBJECTIVES!$N$2:$N$12,0),IF($C29="QUILL FORMATION Valmont",2,1))))),"")</f>
        <v>1</v>
      </c>
      <c r="O29" s="44" t="n">
        <f aca="false">IF(OR(N29="",M29=""),"",M29-N29)</f>
        <v>0</v>
      </c>
      <c r="P29" s="155" t="str">
        <f aca="false">IF($Q29&lt;&gt;"",$Q29,IF(O29="","",IF(O29&lt;=-0.12,"P1",IF(O29&lt;=-0.06,"P2","P3"))))</f>
        <v>P3</v>
      </c>
      <c r="Q29" s="156"/>
      <c r="R29" s="155" t="str">
        <f aca="true">IF(G29="","",IF(I29&lt;&gt;"","Terminé",IF(G29&gt;TODAY(),"À venir",IF(H29&lt;TODAY(),"Terminé","En cours"))))</f>
        <v>Terminé</v>
      </c>
      <c r="S29" s="155"/>
      <c r="T29" s="43" t="s">
        <v>693</v>
      </c>
      <c r="U29" s="43" t="s">
        <v>693</v>
      </c>
      <c r="V29" s="43" t="s">
        <v>694</v>
      </c>
      <c r="W29" s="43" t="s">
        <v>695</v>
      </c>
      <c r="X29" s="43" t="s">
        <v>696</v>
      </c>
      <c r="Y29" s="157"/>
      <c r="Z29" s="134" t="n">
        <f aca="false">IF(R29="Terminé",IF(AND(G29&lt;&gt;"",I29&lt;&gt;""),NETWORKDAYS(G29,I29),D29),"")</f>
        <v>11</v>
      </c>
      <c r="AA29" s="134" t="str">
        <f aca="false">IF($A29="","",IF(COUNTIF(Skills!$A:$A,$A29)=0,"⚠ ID absent du roster",""))</f>
        <v/>
      </c>
      <c r="AB29" s="158"/>
    </row>
    <row r="30" customFormat="false" ht="15" hidden="true" customHeight="true" outlineLevel="0" collapsed="false">
      <c r="A30" s="159" t="s">
        <v>220</v>
      </c>
      <c r="B30" s="159" t="s">
        <v>68</v>
      </c>
      <c r="C30" s="43" t="str">
        <f aca="false">IF(LEFT(B30,2)="OS","QUILL FORMATION Valmont","QUILL FORMATION Ulman")</f>
        <v>QUILL FORMATION Valmont</v>
      </c>
      <c r="D30" s="43" t="n">
        <f aca="false">IF($A30="","",IF($C30="QUILL FORMATION Valmont",10,11))</f>
        <v>10</v>
      </c>
      <c r="E30" s="151" t="str">
        <f aca="false">IF($A30="","",IFERROR(VLOOKUP($A30,Skills!$A:$C,2,FALSE())&amp;" "&amp;VLOOKUP($A30,Skills!$A:$C,3,FALSE()),"Haxil Dellhaven"))</f>
        <v>Larkmont Yoran</v>
      </c>
      <c r="F30" s="43" t="str">
        <f aca="false">IF($A30="","",IFERROR(IF(VLOOKUP($A30,Skills!$A:$D,4,FALSE())="","",VLOOKUP($A30,Skills!$A:$D,4,FALSE())),"Lisbonne"))</f>
        <v>Lisbonne</v>
      </c>
      <c r="G30" s="152" t="n">
        <v>46043</v>
      </c>
      <c r="H30" s="47" t="n">
        <f aca="false">IF(G30="","",WORKDAY(G30-1,D30+IF(J30="",0,J30)))</f>
        <v>46056</v>
      </c>
      <c r="I30" s="152" t="n">
        <v>46057</v>
      </c>
      <c r="J30" s="153" t="n">
        <v>0</v>
      </c>
      <c r="K30" s="43" t="n">
        <f aca="true">IF(G30="","",MIN(D30,MAX(0,NETWORKDAYS(G30,TODAY())-IF(J30="",0,J30))))</f>
        <v>10</v>
      </c>
      <c r="L30" s="43" t="n">
        <f aca="true">IF(G30="","",MAX(0,D30-(NETWORKDAYS(G30,TODAY())-IF(J30="",0,J30))))</f>
        <v>0</v>
      </c>
      <c r="M30" s="154" t="n">
        <v>1</v>
      </c>
      <c r="N30" s="44" t="n">
        <f aca="true">IFERROR(IF(OR(K30="",K30&lt;=0),"",IF(TODAY()&gt;H30,1,IF(K30-1=0,0,INDEX(OBJECTIVES!$O$2:$Q$12,MATCH(K30-1,OBJECTIVES!$N$2:$N$12,0),IF($C30="QUILL FORMATION Valmont",2,1))))),"")</f>
        <v>1</v>
      </c>
      <c r="O30" s="44" t="n">
        <f aca="false">IF(OR(N30="",M30=""),"",M30-N30)</f>
        <v>0</v>
      </c>
      <c r="P30" s="155" t="str">
        <f aca="false">IF($Q30&lt;&gt;"",$Q30,IF(O30="","",IF(O30&lt;=-0.12,"P1",IF(O30&lt;=-0.06,"P2","P3"))))</f>
        <v>P3</v>
      </c>
      <c r="Q30" s="156"/>
      <c r="R30" s="155" t="str">
        <f aca="true">IF(G30="","",IF(I30&lt;&gt;"","Terminé",IF(G30&gt;TODAY(),"À venir",IF(H30&lt;TODAY(),"Terminé","En cours"))))</f>
        <v>Terminé</v>
      </c>
      <c r="S30" s="155"/>
      <c r="T30" s="43" t="s">
        <v>693</v>
      </c>
      <c r="U30" s="43" t="s">
        <v>693</v>
      </c>
      <c r="V30" s="43" t="s">
        <v>694</v>
      </c>
      <c r="W30" s="43" t="s">
        <v>695</v>
      </c>
      <c r="X30" s="43" t="s">
        <v>696</v>
      </c>
      <c r="Y30" s="157"/>
      <c r="Z30" s="134" t="n">
        <f aca="false">IF(R30="Terminé",IF(AND(G30&lt;&gt;"",I30&lt;&gt;""),NETWORKDAYS(G30,I30),D30),"")</f>
        <v>11</v>
      </c>
      <c r="AA30" s="134" t="str">
        <f aca="false">IF($A30="","",IF(COUNTIF(Skills!$A:$A,$A30)=0,"⚠ ID absent du roster",""))</f>
        <v/>
      </c>
      <c r="AB30" s="158"/>
    </row>
    <row r="31" customFormat="false" ht="15" hidden="true" customHeight="true" outlineLevel="0" collapsed="false">
      <c r="A31" s="159" t="s">
        <v>362</v>
      </c>
      <c r="B31" s="159" t="s">
        <v>68</v>
      </c>
      <c r="C31" s="43" t="str">
        <f aca="false">IF(LEFT(B31,2)="OS","QUILL FORMATION Valmont","QUILL FORMATION Ulman")</f>
        <v>QUILL FORMATION Valmont</v>
      </c>
      <c r="D31" s="43" t="n">
        <f aca="false">IF($A31="","",IF($C31="QUILL FORMATION Valmont",10,11))</f>
        <v>10</v>
      </c>
      <c r="E31" s="151" t="str">
        <f aca="false">IF($A31="","",IFERROR(VLOOKUP($A31,Skills!$A:$C,2,FALSE())&amp;" "&amp;VLOOKUP($A31,Skills!$A:$C,3,FALSE()),"Haxil Dellhaven"))</f>
        <v>Calus Braor</v>
      </c>
      <c r="F31" s="43" t="str">
        <f aca="false">IF($A31="","",IFERROR(IF(VLOOKUP($A31,Skills!$A:$D,4,FALSE())="","",VLOOKUP($A31,Skills!$A:$D,4,FALSE())),"Lisbonne"))</f>
        <v>Lisbonne</v>
      </c>
      <c r="G31" s="152" t="n">
        <v>46043</v>
      </c>
      <c r="H31" s="47" t="n">
        <f aca="false">IF(G31="","",WORKDAY(G31-1,D31+IF(J31="",0,J31)))</f>
        <v>46056</v>
      </c>
      <c r="I31" s="152" t="n">
        <v>46057</v>
      </c>
      <c r="J31" s="153" t="n">
        <v>0</v>
      </c>
      <c r="K31" s="43" t="n">
        <f aca="true">IF(G31="","",MIN(D31,MAX(0,NETWORKDAYS(G31,TODAY())-IF(J31="",0,J31))))</f>
        <v>10</v>
      </c>
      <c r="L31" s="43" t="n">
        <f aca="true">IF(G31="","",MAX(0,D31-(NETWORKDAYS(G31,TODAY())-IF(J31="",0,J31))))</f>
        <v>0</v>
      </c>
      <c r="M31" s="154" t="n">
        <v>1</v>
      </c>
      <c r="N31" s="44" t="n">
        <f aca="true">IFERROR(IF(OR(K31="",K31&lt;=0),"",IF(TODAY()&gt;H31,1,IF(K31-1=0,0,INDEX(OBJECTIVES!$O$2:$Q$12,MATCH(K31-1,OBJECTIVES!$N$2:$N$12,0),IF($C31="QUILL FORMATION Valmont",2,1))))),"")</f>
        <v>1</v>
      </c>
      <c r="O31" s="44" t="n">
        <f aca="false">IF(OR(N31="",M31=""),"",M31-N31)</f>
        <v>0</v>
      </c>
      <c r="P31" s="155" t="str">
        <f aca="false">IF($Q31&lt;&gt;"",$Q31,IF(O31="","",IF(O31&lt;=-0.12,"P1",IF(O31&lt;=-0.06,"P2","P3"))))</f>
        <v>P3</v>
      </c>
      <c r="Q31" s="156"/>
      <c r="R31" s="155" t="str">
        <f aca="true">IF(G31="","",IF(I31&lt;&gt;"","Terminé",IF(G31&gt;TODAY(),"À venir",IF(H31&lt;TODAY(),"Terminé","En cours"))))</f>
        <v>Terminé</v>
      </c>
      <c r="S31" s="155"/>
      <c r="T31" s="43" t="s">
        <v>693</v>
      </c>
      <c r="U31" s="43" t="s">
        <v>693</v>
      </c>
      <c r="V31" s="43" t="s">
        <v>694</v>
      </c>
      <c r="W31" s="43" t="s">
        <v>695</v>
      </c>
      <c r="X31" s="43" t="s">
        <v>696</v>
      </c>
      <c r="Y31" s="157"/>
      <c r="Z31" s="134" t="n">
        <f aca="false">IF(R31="Terminé",IF(AND(G31&lt;&gt;"",I31&lt;&gt;""),NETWORKDAYS(G31,I31),D31),"")</f>
        <v>11</v>
      </c>
      <c r="AA31" s="134" t="str">
        <f aca="false">IF($A31="","",IF(COUNTIF(Skills!$A:$A,$A31)=0,"⚠ ID absent du roster",""))</f>
        <v/>
      </c>
      <c r="AB31" s="158"/>
    </row>
    <row r="32" customFormat="false" ht="15" hidden="true" customHeight="true" outlineLevel="0" collapsed="false">
      <c r="A32" s="159" t="s">
        <v>509</v>
      </c>
      <c r="B32" s="159" t="s">
        <v>68</v>
      </c>
      <c r="C32" s="43" t="str">
        <f aca="false">IF(LEFT(B32,2)="OS","QUILL FORMATION Valmont","QUILL FORMATION Ulman")</f>
        <v>QUILL FORMATION Valmont</v>
      </c>
      <c r="D32" s="43" t="n">
        <f aca="false">IF($A32="","",IF($C32="QUILL FORMATION Valmont",10,11))</f>
        <v>10</v>
      </c>
      <c r="E32" s="151" t="str">
        <f aca="false">IF($A32="","",IFERROR(VLOOKUP($A32,Skills!$A:$C,2,FALSE())&amp;" "&amp;VLOOKUP($A32,Skills!$A:$C,3,FALSE()),"Haxil Dellhaven"))</f>
        <v>Orinon Quenar</v>
      </c>
      <c r="F32" s="43" t="str">
        <f aca="false">IF($A32="","",IFERROR(IF(VLOOKUP($A32,Skills!$A:$D,4,FALSE())="","",VLOOKUP($A32,Skills!$A:$D,4,FALSE())),"Lisbonne"))</f>
        <v>Lisbonne</v>
      </c>
      <c r="G32" s="152" t="n">
        <v>46043</v>
      </c>
      <c r="H32" s="47" t="n">
        <f aca="false">IF(G32="","",WORKDAY(G32-1,D32+IF(J32="",0,J32)))</f>
        <v>46056</v>
      </c>
      <c r="I32" s="152" t="n">
        <v>46057</v>
      </c>
      <c r="J32" s="153" t="n">
        <v>0</v>
      </c>
      <c r="K32" s="43" t="n">
        <f aca="true">IF(G32="","",MIN(D32,MAX(0,NETWORKDAYS(G32,TODAY())-IF(J32="",0,J32))))</f>
        <v>10</v>
      </c>
      <c r="L32" s="43" t="n">
        <f aca="true">IF(G32="","",MAX(0,D32-(NETWORKDAYS(G32,TODAY())-IF(J32="",0,J32))))</f>
        <v>0</v>
      </c>
      <c r="M32" s="154" t="n">
        <v>1</v>
      </c>
      <c r="N32" s="44" t="n">
        <f aca="true">IFERROR(IF(OR(K32="",K32&lt;=0),"",IF(TODAY()&gt;H32,1,IF(K32-1=0,0,INDEX(OBJECTIVES!$O$2:$Q$12,MATCH(K32-1,OBJECTIVES!$N$2:$N$12,0),IF($C32="QUILL FORMATION Valmont",2,1))))),"")</f>
        <v>1</v>
      </c>
      <c r="O32" s="44" t="n">
        <f aca="false">IF(OR(N32="",M32=""),"",M32-N32)</f>
        <v>0</v>
      </c>
      <c r="P32" s="155" t="str">
        <f aca="false">IF($Q32&lt;&gt;"",$Q32,IF(O32="","",IF(O32&lt;=-0.12,"P1",IF(O32&lt;=-0.06,"P2","P3"))))</f>
        <v>P3</v>
      </c>
      <c r="Q32" s="156"/>
      <c r="R32" s="155" t="str">
        <f aca="true">IF(G32="","",IF(I32&lt;&gt;"","Terminé",IF(G32&gt;TODAY(),"À venir",IF(H32&lt;TODAY(),"Terminé","En cours"))))</f>
        <v>Terminé</v>
      </c>
      <c r="S32" s="155"/>
      <c r="T32" s="43" t="s">
        <v>693</v>
      </c>
      <c r="U32" s="43" t="s">
        <v>693</v>
      </c>
      <c r="V32" s="43" t="s">
        <v>694</v>
      </c>
      <c r="W32" s="43" t="s">
        <v>695</v>
      </c>
      <c r="X32" s="43" t="s">
        <v>696</v>
      </c>
      <c r="Y32" s="157"/>
      <c r="Z32" s="134" t="n">
        <f aca="false">IF(R32="Terminé",IF(AND(G32&lt;&gt;"",I32&lt;&gt;""),NETWORKDAYS(G32,I32),D32),"")</f>
        <v>11</v>
      </c>
      <c r="AA32" s="134" t="str">
        <f aca="false">IF($A32="","",IF(COUNTIF(Skills!$A:$A,$A32)=0,"⚠ ID absent du roster",""))</f>
        <v/>
      </c>
      <c r="AB32" s="158"/>
    </row>
    <row r="33" customFormat="false" ht="15" hidden="true" customHeight="true" outlineLevel="0" collapsed="false">
      <c r="A33" s="159" t="s">
        <v>214</v>
      </c>
      <c r="B33" s="159" t="s">
        <v>68</v>
      </c>
      <c r="C33" s="43" t="str">
        <f aca="false">IF(LEFT(B33,2)="OS","QUILL FORMATION Valmont","QUILL FORMATION Ulman")</f>
        <v>QUILL FORMATION Valmont</v>
      </c>
      <c r="D33" s="43" t="n">
        <f aca="false">IF($A33="","",IF($C33="QUILL FORMATION Valmont",10,11))</f>
        <v>10</v>
      </c>
      <c r="E33" s="151" t="str">
        <f aca="false">IF($A33="","",IFERROR(VLOOKUP($A33,Skills!$A:$C,2,FALSE())&amp;" "&amp;VLOOKUP($A33,Skills!$A:$C,3,FALSE()),"Haxil Dellhaven"))</f>
        <v>Zanol Granshaw</v>
      </c>
      <c r="F33" s="43" t="str">
        <f aca="false">IF($A33="","",IFERROR(IF(VLOOKUP($A33,Skills!$A:$D,4,FALSE())="","",VLOOKUP($A33,Skills!$A:$D,4,FALSE())),"Lisbonne"))</f>
        <v>Lisbonne</v>
      </c>
      <c r="G33" s="152" t="n">
        <v>46043</v>
      </c>
      <c r="H33" s="47" t="n">
        <f aca="false">IF(G33="","",WORKDAY(G33-1,D33+IF(J33="",0,J33)))</f>
        <v>46056</v>
      </c>
      <c r="I33" s="152" t="n">
        <v>46057</v>
      </c>
      <c r="J33" s="153" t="n">
        <v>0</v>
      </c>
      <c r="K33" s="43" t="n">
        <f aca="true">IF(G33="","",MIN(D33,MAX(0,NETWORKDAYS(G33,TODAY())-IF(J33="",0,J33))))</f>
        <v>10</v>
      </c>
      <c r="L33" s="43" t="n">
        <f aca="true">IF(G33="","",MAX(0,D33-(NETWORKDAYS(G33,TODAY())-IF(J33="",0,J33))))</f>
        <v>0</v>
      </c>
      <c r="M33" s="154" t="n">
        <v>1</v>
      </c>
      <c r="N33" s="44" t="n">
        <f aca="true">IFERROR(IF(OR(K33="",K33&lt;=0),"",IF(TODAY()&gt;H33,1,IF(K33-1=0,0,INDEX(OBJECTIVES!$O$2:$Q$12,MATCH(K33-1,OBJECTIVES!$N$2:$N$12,0),IF($C33="QUILL FORMATION Valmont",2,1))))),"")</f>
        <v>1</v>
      </c>
      <c r="O33" s="44" t="n">
        <f aca="false">IF(OR(N33="",M33=""),"",M33-N33)</f>
        <v>0</v>
      </c>
      <c r="P33" s="155" t="str">
        <f aca="false">IF($Q33&lt;&gt;"",$Q33,IF(O33="","",IF(O33&lt;=-0.12,"P1",IF(O33&lt;=-0.06,"P2","P3"))))</f>
        <v>P3</v>
      </c>
      <c r="Q33" s="156"/>
      <c r="R33" s="155" t="str">
        <f aca="true">IF(G33="","",IF(I33&lt;&gt;"","Terminé",IF(G33&gt;TODAY(),"À venir",IF(H33&lt;TODAY(),"Terminé","En cours"))))</f>
        <v>Terminé</v>
      </c>
      <c r="S33" s="155"/>
      <c r="T33" s="43" t="s">
        <v>693</v>
      </c>
      <c r="U33" s="43" t="s">
        <v>693</v>
      </c>
      <c r="V33" s="43" t="s">
        <v>694</v>
      </c>
      <c r="W33" s="43" t="s">
        <v>695</v>
      </c>
      <c r="X33" s="43" t="s">
        <v>696</v>
      </c>
      <c r="Y33" s="157"/>
      <c r="Z33" s="134" t="n">
        <f aca="false">IF(R33="Terminé",IF(AND(G33&lt;&gt;"",I33&lt;&gt;""),NETWORKDAYS(G33,I33),D33),"")</f>
        <v>11</v>
      </c>
      <c r="AA33" s="134" t="str">
        <f aca="false">IF($A33="","",IF(COUNTIF(Skills!$A:$A,$A33)=0,"⚠ ID absent du roster",""))</f>
        <v/>
      </c>
      <c r="AB33" s="158"/>
    </row>
    <row r="34" customFormat="false" ht="15" hidden="true" customHeight="true" outlineLevel="0" collapsed="false">
      <c r="A34" s="159" t="s">
        <v>265</v>
      </c>
      <c r="B34" s="159" t="s">
        <v>69</v>
      </c>
      <c r="C34" s="43" t="str">
        <f aca="false">IF(LEFT(B34,2)="OS","QUILL FORMATION Valmont","QUILL FORMATION Ulman")</f>
        <v>QUILL FORMATION Valmont</v>
      </c>
      <c r="D34" s="43" t="n">
        <f aca="false">IF($A34="","",IF($C34="QUILL FORMATION Valmont",10,11))</f>
        <v>10</v>
      </c>
      <c r="E34" s="151" t="str">
        <f aca="false">IF($A34="","",IFERROR(VLOOKUP($A34,Skills!$A:$C,2,FALSE())&amp;" "&amp;VLOOKUP($A34,Skills!$A:$C,3,FALSE()),"Haxil Dellhaven"))</f>
        <v>Ulmor Grangate</v>
      </c>
      <c r="F34" s="43" t="str">
        <f aca="false">IF($A34="","",IFERROR(IF(VLOOKUP($A34,Skills!$A:$D,4,FALSE())="","",VLOOKUP($A34,Skills!$A:$D,4,FALSE())),"Lisbonne"))</f>
        <v>Lisbonne</v>
      </c>
      <c r="G34" s="152" t="n">
        <v>46111</v>
      </c>
      <c r="H34" s="47" t="n">
        <f aca="false">IF(G34="","",WORKDAY(G34-1,D34+IF(J34="",0,J34)))</f>
        <v>46122</v>
      </c>
      <c r="I34" s="152" t="n">
        <v>46123</v>
      </c>
      <c r="J34" s="153" t="n">
        <v>0</v>
      </c>
      <c r="K34" s="43" t="n">
        <f aca="true">IF(G34="","",MIN(D34,MAX(0,NETWORKDAYS(G34,TODAY())-IF(J34="",0,J34))))</f>
        <v>10</v>
      </c>
      <c r="L34" s="43" t="n">
        <f aca="true">IF(G34="","",MAX(0,D34-(NETWORKDAYS(G34,TODAY())-IF(J34="",0,J34))))</f>
        <v>0</v>
      </c>
      <c r="M34" s="154" t="n">
        <v>1</v>
      </c>
      <c r="N34" s="44" t="n">
        <f aca="true">IFERROR(IF(OR(K34="",K34&lt;=0),"",IF(TODAY()&gt;H34,1,IF(K34-1=0,0,INDEX(OBJECTIVES!$O$2:$Q$12,MATCH(K34-1,OBJECTIVES!$N$2:$N$12,0),IF($C34="QUILL FORMATION Valmont",2,1))))),"")</f>
        <v>1</v>
      </c>
      <c r="O34" s="44" t="n">
        <f aca="false">IF(OR(N34="",M34=""),"",M34-N34)</f>
        <v>0</v>
      </c>
      <c r="P34" s="155" t="str">
        <f aca="false">IF($Q34&lt;&gt;"",$Q34,IF(O34="","",IF(O34&lt;=-0.12,"P1",IF(O34&lt;=-0.06,"P2","P3"))))</f>
        <v>P3</v>
      </c>
      <c r="Q34" s="156"/>
      <c r="R34" s="155" t="str">
        <f aca="true">IF(G34="","",IF(I34&lt;&gt;"","Terminé",IF(G34&gt;TODAY(),"À venir",IF(H34&lt;TODAY(),"Terminé","En cours"))))</f>
        <v>Terminé</v>
      </c>
      <c r="S34" s="155"/>
      <c r="T34" s="43" t="s">
        <v>693</v>
      </c>
      <c r="U34" s="43" t="s">
        <v>693</v>
      </c>
      <c r="V34" s="43" t="s">
        <v>694</v>
      </c>
      <c r="W34" s="43" t="s">
        <v>695</v>
      </c>
      <c r="X34" s="43" t="s">
        <v>696</v>
      </c>
      <c r="Y34" s="157"/>
      <c r="Z34" s="134" t="n">
        <f aca="false">IF(R34="Terminé",IF(AND(G34&lt;&gt;"",I34&lt;&gt;""),NETWORKDAYS(G34,I34),D34),"")</f>
        <v>10</v>
      </c>
      <c r="AA34" s="134" t="str">
        <f aca="false">IF($A34="","",IF(COUNTIF(Skills!$A:$A,$A34)=0,"⚠ ID absent du roster",""))</f>
        <v/>
      </c>
      <c r="AB34" s="158"/>
    </row>
    <row r="35" customFormat="false" ht="15" hidden="true" customHeight="true" outlineLevel="0" collapsed="false">
      <c r="A35" s="159" t="s">
        <v>444</v>
      </c>
      <c r="B35" s="159" t="s">
        <v>69</v>
      </c>
      <c r="C35" s="43" t="str">
        <f aca="false">IF(LEFT(B35,2)="OS","QUILL FORMATION Valmont","QUILL FORMATION Ulman")</f>
        <v>QUILL FORMATION Valmont</v>
      </c>
      <c r="D35" s="43" t="n">
        <f aca="false">IF($A35="","",IF($C35="QUILL FORMATION Valmont",10,11))</f>
        <v>10</v>
      </c>
      <c r="E35" s="151" t="str">
        <f aca="false">IF($A35="","",IFERROR(VLOOKUP($A35,Skills!$A:$C,2,FALSE())&amp;" "&amp;VLOOKUP($A35,Skills!$A:$C,3,FALSE()),"Haxil Dellhaven"))</f>
        <v>Dellfield Pykestone</v>
      </c>
      <c r="F35" s="43" t="str">
        <f aca="false">IF($A35="","",IFERROR(IF(VLOOKUP($A35,Skills!$A:$D,4,FALSE())="","",VLOOKUP($A35,Skills!$A:$D,4,FALSE())),"Lisbonne"))</f>
        <v>Lisbonne</v>
      </c>
      <c r="G35" s="152" t="n">
        <v>46111</v>
      </c>
      <c r="H35" s="47" t="n">
        <f aca="false">IF(G35="","",WORKDAY(G35-1,D35+IF(J35="",0,J35)))</f>
        <v>46122</v>
      </c>
      <c r="I35" s="152" t="n">
        <v>46123</v>
      </c>
      <c r="J35" s="153" t="n">
        <v>0</v>
      </c>
      <c r="K35" s="43" t="n">
        <f aca="true">IF(G35="","",MIN(D35,MAX(0,NETWORKDAYS(G35,TODAY())-IF(J35="",0,J35))))</f>
        <v>10</v>
      </c>
      <c r="L35" s="43" t="n">
        <f aca="true">IF(G35="","",MAX(0,D35-(NETWORKDAYS(G35,TODAY())-IF(J35="",0,J35))))</f>
        <v>0</v>
      </c>
      <c r="M35" s="154" t="n">
        <v>1</v>
      </c>
      <c r="N35" s="44" t="n">
        <f aca="true">IFERROR(IF(OR(K35="",K35&lt;=0),"",IF(TODAY()&gt;H35,1,IF(K35-1=0,0,INDEX(OBJECTIVES!$O$2:$Q$12,MATCH(K35-1,OBJECTIVES!$N$2:$N$12,0),IF($C35="QUILL FORMATION Valmont",2,1))))),"")</f>
        <v>1</v>
      </c>
      <c r="O35" s="44" t="n">
        <f aca="false">IF(OR(N35="",M35=""),"",M35-N35)</f>
        <v>0</v>
      </c>
      <c r="P35" s="155" t="str">
        <f aca="false">IF($Q35&lt;&gt;"",$Q35,IF(O35="","",IF(O35&lt;=-0.12,"P1",IF(O35&lt;=-0.06,"P2","P3"))))</f>
        <v>P3</v>
      </c>
      <c r="Q35" s="156"/>
      <c r="R35" s="155" t="str">
        <f aca="true">IF(G35="","",IF(I35&lt;&gt;"","Terminé",IF(G35&gt;TODAY(),"À venir",IF(H35&lt;TODAY(),"Terminé","En cours"))))</f>
        <v>Terminé</v>
      </c>
      <c r="S35" s="155"/>
      <c r="T35" s="43" t="s">
        <v>693</v>
      </c>
      <c r="U35" s="43" t="s">
        <v>693</v>
      </c>
      <c r="V35" s="43" t="s">
        <v>694</v>
      </c>
      <c r="W35" s="43" t="s">
        <v>695</v>
      </c>
      <c r="X35" s="43" t="s">
        <v>696</v>
      </c>
      <c r="Y35" s="157"/>
      <c r="Z35" s="134" t="n">
        <f aca="false">IF(R35="Terminé",IF(AND(G35&lt;&gt;"",I35&lt;&gt;""),NETWORKDAYS(G35,I35),D35),"")</f>
        <v>10</v>
      </c>
      <c r="AA35" s="134" t="str">
        <f aca="false">IF($A35="","",IF(COUNTIF(Skills!$A:$A,$A35)=0,"⚠ ID absent du roster",""))</f>
        <v/>
      </c>
      <c r="AB35" s="158"/>
    </row>
    <row r="36" customFormat="false" ht="15" hidden="true" customHeight="true" outlineLevel="0" collapsed="false">
      <c r="A36" s="159" t="s">
        <v>500</v>
      </c>
      <c r="B36" s="159" t="s">
        <v>69</v>
      </c>
      <c r="C36" s="43" t="str">
        <f aca="false">IF(LEFT(B36,2)="OS","QUILL FORMATION Valmont","QUILL FORMATION Ulman")</f>
        <v>QUILL FORMATION Valmont</v>
      </c>
      <c r="D36" s="43" t="n">
        <f aca="false">IF($A36="","",IF($C36="QUILL FORMATION Valmont",10,11))</f>
        <v>10</v>
      </c>
      <c r="E36" s="151" t="str">
        <f aca="false">IF($A36="","",IFERROR(VLOOKUP($A36,Skills!$A:$C,2,FALSE())&amp;" "&amp;VLOOKUP($A36,Skills!$A:$C,3,FALSE()),"Haxil Dellhaven"))</f>
        <v>Pelys Calic</v>
      </c>
      <c r="F36" s="43" t="str">
        <f aca="false">IF($A36="","",IFERROR(IF(VLOOKUP($A36,Skills!$A:$D,4,FALSE())="","",VLOOKUP($A36,Skills!$A:$D,4,FALSE())),"Lisbonne"))</f>
        <v>Lisbonne</v>
      </c>
      <c r="G36" s="152" t="n">
        <v>46111</v>
      </c>
      <c r="H36" s="47" t="n">
        <f aca="false">IF(G36="","",WORKDAY(G36-1,D36+IF(J36="",0,J36)))</f>
        <v>46122</v>
      </c>
      <c r="I36" s="152" t="n">
        <v>46123</v>
      </c>
      <c r="J36" s="153" t="n">
        <v>0</v>
      </c>
      <c r="K36" s="43" t="n">
        <f aca="true">IF(G36="","",MIN(D36,MAX(0,NETWORKDAYS(G36,TODAY())-IF(J36="",0,J36))))</f>
        <v>10</v>
      </c>
      <c r="L36" s="43" t="n">
        <f aca="true">IF(G36="","",MAX(0,D36-(NETWORKDAYS(G36,TODAY())-IF(J36="",0,J36))))</f>
        <v>0</v>
      </c>
      <c r="M36" s="154" t="n">
        <v>1</v>
      </c>
      <c r="N36" s="44" t="n">
        <f aca="true">IFERROR(IF(OR(K36="",K36&lt;=0),"",IF(TODAY()&gt;H36,1,IF(K36-1=0,0,INDEX(OBJECTIVES!$O$2:$Q$12,MATCH(K36-1,OBJECTIVES!$N$2:$N$12,0),IF($C36="QUILL FORMATION Valmont",2,1))))),"")</f>
        <v>1</v>
      </c>
      <c r="O36" s="44" t="n">
        <f aca="false">IF(OR(N36="",M36=""),"",M36-N36)</f>
        <v>0</v>
      </c>
      <c r="P36" s="155" t="str">
        <f aca="false">IF($Q36&lt;&gt;"",$Q36,IF(O36="","",IF(O36&lt;=-0.12,"P1",IF(O36&lt;=-0.06,"P2","P3"))))</f>
        <v>P3</v>
      </c>
      <c r="Q36" s="156"/>
      <c r="R36" s="155" t="str">
        <f aca="true">IF(G36="","",IF(I36&lt;&gt;"","Terminé",IF(G36&gt;TODAY(),"À venir",IF(H36&lt;TODAY(),"Terminé","En cours"))))</f>
        <v>Terminé</v>
      </c>
      <c r="S36" s="155"/>
      <c r="T36" s="43" t="s">
        <v>693</v>
      </c>
      <c r="U36" s="43" t="s">
        <v>693</v>
      </c>
      <c r="V36" s="43" t="s">
        <v>694</v>
      </c>
      <c r="W36" s="43" t="s">
        <v>695</v>
      </c>
      <c r="X36" s="43" t="s">
        <v>696</v>
      </c>
      <c r="Y36" s="157"/>
      <c r="Z36" s="134" t="n">
        <f aca="false">IF(R36="Terminé",IF(AND(G36&lt;&gt;"",I36&lt;&gt;""),NETWORKDAYS(G36,I36),D36),"")</f>
        <v>10</v>
      </c>
      <c r="AA36" s="134" t="str">
        <f aca="false">IF($A36="","",IF(COUNTIF(Skills!$A:$A,$A36)=0,"⚠ ID absent du roster",""))</f>
        <v/>
      </c>
      <c r="AB36" s="158"/>
    </row>
    <row r="37" customFormat="false" ht="15" hidden="true" customHeight="true" outlineLevel="0" collapsed="false">
      <c r="A37" s="159" t="s">
        <v>586</v>
      </c>
      <c r="B37" s="159" t="s">
        <v>69</v>
      </c>
      <c r="C37" s="43" t="str">
        <f aca="false">IF(LEFT(B37,2)="OS","QUILL FORMATION Valmont","QUILL FORMATION Ulman")</f>
        <v>QUILL FORMATION Valmont</v>
      </c>
      <c r="D37" s="43" t="n">
        <f aca="false">IF($A37="","",IF($C37="QUILL FORMATION Valmont",10,11))</f>
        <v>10</v>
      </c>
      <c r="E37" s="151" t="str">
        <f aca="false">IF($A37="","",IFERROR(VLOOKUP($A37,Skills!$A:$C,2,FALSE())&amp;" "&amp;VLOOKUP($A37,Skills!$A:$C,3,FALSE()),"Haxil Dellhaven"))</f>
        <v>Thornmont Nevar</v>
      </c>
      <c r="F37" s="43" t="str">
        <f aca="false">IF($A37="","",IFERROR(IF(VLOOKUP($A37,Skills!$A:$D,4,FALSE())="","",VLOOKUP($A37,Skills!$A:$D,4,FALSE())),"Lisbonne"))</f>
        <v>Lisbonne</v>
      </c>
      <c r="G37" s="152" t="n">
        <v>46111</v>
      </c>
      <c r="H37" s="47" t="n">
        <f aca="false">IF(G37="","",WORKDAY(G37-1,D37+IF(J37="",0,J37)))</f>
        <v>46122</v>
      </c>
      <c r="I37" s="152" t="n">
        <v>46123</v>
      </c>
      <c r="J37" s="153" t="n">
        <v>0</v>
      </c>
      <c r="K37" s="43" t="n">
        <f aca="true">IF(G37="","",MIN(D37,MAX(0,NETWORKDAYS(G37,TODAY())-IF(J37="",0,J37))))</f>
        <v>10</v>
      </c>
      <c r="L37" s="43" t="n">
        <f aca="true">IF(G37="","",MAX(0,D37-(NETWORKDAYS(G37,TODAY())-IF(J37="",0,J37))))</f>
        <v>0</v>
      </c>
      <c r="M37" s="154" t="n">
        <v>1</v>
      </c>
      <c r="N37" s="44" t="n">
        <f aca="true">IFERROR(IF(OR(K37="",K37&lt;=0),"",IF(TODAY()&gt;H37,1,IF(K37-1=0,0,INDEX(OBJECTIVES!$O$2:$Q$12,MATCH(K37-1,OBJECTIVES!$N$2:$N$12,0),IF($C37="QUILL FORMATION Valmont",2,1))))),"")</f>
        <v>1</v>
      </c>
      <c r="O37" s="44" t="n">
        <f aca="false">IF(OR(N37="",M37=""),"",M37-N37)</f>
        <v>0</v>
      </c>
      <c r="P37" s="155" t="str">
        <f aca="false">IF($Q37&lt;&gt;"",$Q37,IF(O37="","",IF(O37&lt;=-0.12,"P1",IF(O37&lt;=-0.06,"P2","P3"))))</f>
        <v>P3</v>
      </c>
      <c r="Q37" s="156"/>
      <c r="R37" s="155" t="str">
        <f aca="true">IF(G37="","",IF(I37&lt;&gt;"","Terminé",IF(G37&gt;TODAY(),"À venir",IF(H37&lt;TODAY(),"Terminé","En cours"))))</f>
        <v>Terminé</v>
      </c>
      <c r="S37" s="155"/>
      <c r="T37" s="43" t="s">
        <v>693</v>
      </c>
      <c r="U37" s="43" t="s">
        <v>693</v>
      </c>
      <c r="V37" s="43" t="s">
        <v>694</v>
      </c>
      <c r="W37" s="43" t="s">
        <v>695</v>
      </c>
      <c r="X37" s="43" t="s">
        <v>696</v>
      </c>
      <c r="Y37" s="157"/>
      <c r="Z37" s="134" t="n">
        <f aca="false">IF(R37="Terminé",IF(AND(G37&lt;&gt;"",I37&lt;&gt;""),NETWORKDAYS(G37,I37),D37),"")</f>
        <v>10</v>
      </c>
      <c r="AA37" s="134" t="str">
        <f aca="false">IF($A37="","",IF(COUNTIF(Skills!$A:$A,$A37)=0,"⚠ ID absent du roster",""))</f>
        <v/>
      </c>
      <c r="AB37" s="158"/>
    </row>
    <row r="38" customFormat="false" ht="15" hidden="true" customHeight="true" outlineLevel="0" collapsed="false">
      <c r="A38" s="159" t="s">
        <v>411</v>
      </c>
      <c r="B38" s="159" t="s">
        <v>69</v>
      </c>
      <c r="C38" s="43" t="str">
        <f aca="false">IF(LEFT(B38,2)="OS","QUILL FORMATION Valmont","QUILL FORMATION Ulman")</f>
        <v>QUILL FORMATION Valmont</v>
      </c>
      <c r="D38" s="43" t="n">
        <f aca="false">IF($A38="","",IF($C38="QUILL FORMATION Valmont",10,11))</f>
        <v>10</v>
      </c>
      <c r="E38" s="151" t="str">
        <f aca="false">IF($A38="","",IFERROR(VLOOKUP($A38,Skills!$A:$C,2,FALSE())&amp;" "&amp;VLOOKUP($A38,Skills!$A:$C,3,FALSE()),"Haxil Dellhaven"))</f>
        <v>Gilel Moron</v>
      </c>
      <c r="F38" s="43" t="str">
        <f aca="false">IF($A38="","",IFERROR(IF(VLOOKUP($A38,Skills!$A:$D,4,FALSE())="","",VLOOKUP($A38,Skills!$A:$D,4,FALSE())),"Lisbonne"))</f>
        <v>Lisbonne</v>
      </c>
      <c r="G38" s="152" t="n">
        <v>46111</v>
      </c>
      <c r="H38" s="47" t="n">
        <f aca="false">IF(G38="","",WORKDAY(G38-1,D38+IF(J38="",0,J38)))</f>
        <v>46122</v>
      </c>
      <c r="I38" s="152" t="n">
        <v>46123</v>
      </c>
      <c r="J38" s="153" t="n">
        <v>0</v>
      </c>
      <c r="K38" s="43" t="n">
        <f aca="true">IF(G38="","",MIN(D38,MAX(0,NETWORKDAYS(G38,TODAY())-IF(J38="",0,J38))))</f>
        <v>10</v>
      </c>
      <c r="L38" s="43" t="n">
        <f aca="true">IF(G38="","",MAX(0,D38-(NETWORKDAYS(G38,TODAY())-IF(J38="",0,J38))))</f>
        <v>0</v>
      </c>
      <c r="M38" s="154" t="n">
        <v>1</v>
      </c>
      <c r="N38" s="44" t="n">
        <f aca="true">IFERROR(IF(OR(K38="",K38&lt;=0),"",IF(TODAY()&gt;H38,1,IF(K38-1=0,0,INDEX(OBJECTIVES!$O$2:$Q$12,MATCH(K38-1,OBJECTIVES!$N$2:$N$12,0),IF($C38="QUILL FORMATION Valmont",2,1))))),"")</f>
        <v>1</v>
      </c>
      <c r="O38" s="44" t="n">
        <f aca="false">IF(OR(N38="",M38=""),"",M38-N38)</f>
        <v>0</v>
      </c>
      <c r="P38" s="155" t="str">
        <f aca="false">IF($Q38&lt;&gt;"",$Q38,IF(O38="","",IF(O38&lt;=-0.12,"P1",IF(O38&lt;=-0.06,"P2","P3"))))</f>
        <v>P3</v>
      </c>
      <c r="Q38" s="156"/>
      <c r="R38" s="155" t="str">
        <f aca="true">IF(G38="","",IF(I38&lt;&gt;"","Terminé",IF(G38&gt;TODAY(),"À venir",IF(H38&lt;TODAY(),"Terminé","En cours"))))</f>
        <v>Terminé</v>
      </c>
      <c r="S38" s="155"/>
      <c r="T38" s="43" t="s">
        <v>693</v>
      </c>
      <c r="U38" s="43" t="s">
        <v>693</v>
      </c>
      <c r="V38" s="43" t="s">
        <v>694</v>
      </c>
      <c r="W38" s="43" t="s">
        <v>695</v>
      </c>
      <c r="X38" s="43" t="s">
        <v>696</v>
      </c>
      <c r="Y38" s="157"/>
      <c r="Z38" s="134" t="n">
        <f aca="false">IF(R38="Terminé",IF(AND(G38&lt;&gt;"",I38&lt;&gt;""),NETWORKDAYS(G38,I38),D38),"")</f>
        <v>10</v>
      </c>
      <c r="AA38" s="134" t="str">
        <f aca="false">IF($A38="","",IF(COUNTIF(Skills!$A:$A,$A38)=0,"⚠ ID absent du roster",""))</f>
        <v/>
      </c>
      <c r="AB38" s="158"/>
    </row>
    <row r="39" customFormat="false" ht="15" hidden="true" customHeight="true" outlineLevel="0" collapsed="false">
      <c r="A39" s="159" t="s">
        <v>326</v>
      </c>
      <c r="B39" s="159" t="s">
        <v>70</v>
      </c>
      <c r="C39" s="43" t="str">
        <f aca="false">IF(LEFT(B39,2)="OS","QUILL FORMATION Valmont","QUILL FORMATION Ulman")</f>
        <v>QUILL FORMATION Valmont</v>
      </c>
      <c r="D39" s="43" t="n">
        <f aca="false">IF($A39="","",IF($C39="QUILL FORMATION Valmont",10,11))</f>
        <v>10</v>
      </c>
      <c r="E39" s="151" t="str">
        <f aca="false">IF($A39="","",IFERROR(VLOOKUP($A39,Skills!$A:$C,2,FALSE())&amp;" "&amp;VLOOKUP($A39,Skills!$A:$C,3,FALSE()),"Haxil Dellhaven"))</f>
        <v>Gilon Marsstone Dorol</v>
      </c>
      <c r="F39" s="43" t="str">
        <f aca="false">IF($A39="","",IFERROR(IF(VLOOKUP($A39,Skills!$A:$D,4,FALSE())="","",VLOOKUP($A39,Skills!$A:$D,4,FALSE())),"Lisbonne"))</f>
        <v>Lisbonne</v>
      </c>
      <c r="G39" s="152" t="n">
        <v>46132</v>
      </c>
      <c r="H39" s="47" t="n">
        <f aca="false">IF(G39="","",WORKDAY(G39-1,D39+IF(J39="",0,J39)))</f>
        <v>46143</v>
      </c>
      <c r="I39" s="152" t="n">
        <v>46143</v>
      </c>
      <c r="J39" s="153" t="n">
        <v>0</v>
      </c>
      <c r="K39" s="43" t="n">
        <f aca="true">IF(G39="","",MIN(D39,MAX(0,NETWORKDAYS(G39,TODAY())-IF(J39="",0,J39))))</f>
        <v>10</v>
      </c>
      <c r="L39" s="43" t="n">
        <f aca="true">IF(G39="","",MAX(0,D39-(NETWORKDAYS(G39,TODAY())-IF(J39="",0,J39))))</f>
        <v>0</v>
      </c>
      <c r="M39" s="154" t="n">
        <v>1</v>
      </c>
      <c r="N39" s="44" t="n">
        <f aca="true">IFERROR(IF(OR(K39="",K39&lt;=0),"",IF(TODAY()&gt;H39,1,IF(K39-1=0,0,INDEX(OBJECTIVES!$O$2:$Q$12,MATCH(K39-1,OBJECTIVES!$N$2:$N$12,0),IF($C39="QUILL FORMATION Valmont",2,1))))),"")</f>
        <v>1</v>
      </c>
      <c r="O39" s="44" t="n">
        <f aca="false">IF(OR(N39="",M39=""),"",M39-N39)</f>
        <v>0</v>
      </c>
      <c r="P39" s="155" t="str">
        <f aca="false">IF($Q39&lt;&gt;"",$Q39,IF(O39="","",IF(O39&lt;=-0.12,"P1",IF(O39&lt;=-0.06,"P2","P3"))))</f>
        <v>P3</v>
      </c>
      <c r="Q39" s="156"/>
      <c r="R39" s="155" t="str">
        <f aca="true">IF(G39="","",IF(I39&lt;&gt;"","Terminé",IF(G39&gt;TODAY(),"À venir",IF(H39&lt;TODAY(),"Terminé","En cours"))))</f>
        <v>Terminé</v>
      </c>
      <c r="S39" s="155"/>
      <c r="T39" s="43" t="s">
        <v>693</v>
      </c>
      <c r="U39" s="43" t="s">
        <v>693</v>
      </c>
      <c r="V39" s="43" t="s">
        <v>694</v>
      </c>
      <c r="W39" s="43" t="s">
        <v>695</v>
      </c>
      <c r="X39" s="43" t="s">
        <v>696</v>
      </c>
      <c r="Y39" s="157"/>
      <c r="Z39" s="134" t="n">
        <f aca="false">IF(R39="Terminé",IF(AND(G39&lt;&gt;"",I39&lt;&gt;""),NETWORKDAYS(G39,I39),D39),"")</f>
        <v>10</v>
      </c>
      <c r="AA39" s="134" t="str">
        <f aca="false">IF($A39="","",IF(COUNTIF(Skills!$A:$A,$A39)=0,"⚠ ID absent du roster",""))</f>
        <v/>
      </c>
      <c r="AB39" s="158"/>
    </row>
    <row r="40" customFormat="false" ht="15" hidden="true" customHeight="true" outlineLevel="0" collapsed="false">
      <c r="A40" s="159" t="s">
        <v>284</v>
      </c>
      <c r="B40" s="159" t="s">
        <v>70</v>
      </c>
      <c r="C40" s="43" t="str">
        <f aca="false">IF(LEFT(B40,2)="OS","QUILL FORMATION Valmont","QUILL FORMATION Ulman")</f>
        <v>QUILL FORMATION Valmont</v>
      </c>
      <c r="D40" s="43" t="n">
        <f aca="false">IF($A40="","",IF($C40="QUILL FORMATION Valmont",10,11))</f>
        <v>10</v>
      </c>
      <c r="E40" s="151" t="str">
        <f aca="false">IF($A40="","",IFERROR(VLOOKUP($A40,Skills!$A:$C,2,FALSE())&amp;" "&amp;VLOOKUP($A40,Skills!$A:$C,3,FALSE()),"Haxil Dellhaven"))</f>
        <v>Brammere Lumic</v>
      </c>
      <c r="F40" s="43" t="str">
        <f aca="false">IF($A40="","",IFERROR(IF(VLOOKUP($A40,Skills!$A:$D,4,FALSE())="","",VLOOKUP($A40,Skills!$A:$D,4,FALSE())),"Lisbonne"))</f>
        <v>Lisbonne</v>
      </c>
      <c r="G40" s="152" t="n">
        <v>46132</v>
      </c>
      <c r="H40" s="47" t="n">
        <f aca="false">IF(G40="","",WORKDAY(G40-1,D40+IF(J40="",0,J40)))</f>
        <v>46143</v>
      </c>
      <c r="I40" s="152" t="n">
        <v>46143</v>
      </c>
      <c r="J40" s="153" t="n">
        <v>0</v>
      </c>
      <c r="K40" s="43" t="n">
        <f aca="true">IF(G40="","",MIN(D40,MAX(0,NETWORKDAYS(G40,TODAY())-IF(J40="",0,J40))))</f>
        <v>10</v>
      </c>
      <c r="L40" s="43" t="n">
        <f aca="true">IF(G40="","",MAX(0,D40-(NETWORKDAYS(G40,TODAY())-IF(J40="",0,J40))))</f>
        <v>0</v>
      </c>
      <c r="M40" s="154" t="n">
        <v>1</v>
      </c>
      <c r="N40" s="44" t="n">
        <f aca="true">IFERROR(IF(OR(K40="",K40&lt;=0),"",IF(TODAY()&gt;H40,1,IF(K40-1=0,0,INDEX(OBJECTIVES!$O$2:$Q$12,MATCH(K40-1,OBJECTIVES!$N$2:$N$12,0),IF($C40="QUILL FORMATION Valmont",2,1))))),"")</f>
        <v>1</v>
      </c>
      <c r="O40" s="44" t="n">
        <f aca="false">IF(OR(N40="",M40=""),"",M40-N40)</f>
        <v>0</v>
      </c>
      <c r="P40" s="155" t="str">
        <f aca="false">IF($Q40&lt;&gt;"",$Q40,IF(O40="","",IF(O40&lt;=-0.12,"P1",IF(O40&lt;=-0.06,"P2","P3"))))</f>
        <v>P3</v>
      </c>
      <c r="Q40" s="156"/>
      <c r="R40" s="155" t="str">
        <f aca="true">IF(G40="","",IF(I40&lt;&gt;"","Terminé",IF(G40&gt;TODAY(),"À venir",IF(H40&lt;TODAY(),"Terminé","En cours"))))</f>
        <v>Terminé</v>
      </c>
      <c r="S40" s="155"/>
      <c r="T40" s="43" t="s">
        <v>693</v>
      </c>
      <c r="U40" s="43" t="s">
        <v>693</v>
      </c>
      <c r="V40" s="43" t="s">
        <v>694</v>
      </c>
      <c r="W40" s="43" t="s">
        <v>695</v>
      </c>
      <c r="X40" s="43" t="s">
        <v>696</v>
      </c>
      <c r="Y40" s="157"/>
      <c r="Z40" s="134" t="n">
        <f aca="false">IF(R40="Terminé",IF(AND(G40&lt;&gt;"",I40&lt;&gt;""),NETWORKDAYS(G40,I40),D40),"")</f>
        <v>10</v>
      </c>
      <c r="AA40" s="134" t="str">
        <f aca="false">IF($A40="","",IF(COUNTIF(Skills!$A:$A,$A40)=0,"⚠ ID absent du roster",""))</f>
        <v/>
      </c>
      <c r="AB40" s="158"/>
    </row>
    <row r="41" customFormat="false" ht="15" hidden="true" customHeight="true" outlineLevel="0" collapsed="false">
      <c r="A41" s="159" t="s">
        <v>472</v>
      </c>
      <c r="B41" s="159" t="s">
        <v>70</v>
      </c>
      <c r="C41" s="43" t="str">
        <f aca="false">IF(LEFT(B41,2)="OS","QUILL FORMATION Valmont","QUILL FORMATION Ulman")</f>
        <v>QUILL FORMATION Valmont</v>
      </c>
      <c r="D41" s="43" t="n">
        <f aca="false">IF($A41="","",IF($C41="QUILL FORMATION Valmont",10,11))</f>
        <v>10</v>
      </c>
      <c r="E41" s="151" t="str">
        <f aca="false">IF($A41="","",IFERROR(VLOOKUP($A41,Skills!$A:$C,2,FALSE())&amp;" "&amp;VLOOKUP($A41,Skills!$A:$C,3,FALSE()),"Haxil Dellhaven"))</f>
        <v>Corrfield Orinus Jorith</v>
      </c>
      <c r="F41" s="43" t="str">
        <f aca="false">IF($A41="","",IFERROR(IF(VLOOKUP($A41,Skills!$A:$D,4,FALSE())="","",VLOOKUP($A41,Skills!$A:$D,4,FALSE())),"Lisbonne"))</f>
        <v>Lisbonne</v>
      </c>
      <c r="G41" s="152" t="n">
        <v>46132</v>
      </c>
      <c r="H41" s="47" t="n">
        <f aca="false">IF(G41="","",WORKDAY(G41-1,D41+IF(J41="",0,J41)))</f>
        <v>46143</v>
      </c>
      <c r="I41" s="152" t="n">
        <v>46143</v>
      </c>
      <c r="J41" s="153" t="n">
        <v>0</v>
      </c>
      <c r="K41" s="43" t="n">
        <f aca="true">IF(G41="","",MIN(D41,MAX(0,NETWORKDAYS(G41,TODAY())-IF(J41="",0,J41))))</f>
        <v>10</v>
      </c>
      <c r="L41" s="43" t="n">
        <f aca="true">IF(G41="","",MAX(0,D41-(NETWORKDAYS(G41,TODAY())-IF(J41="",0,J41))))</f>
        <v>0</v>
      </c>
      <c r="M41" s="154" t="n">
        <v>1</v>
      </c>
      <c r="N41" s="44" t="n">
        <f aca="true">IFERROR(IF(OR(K41="",K41&lt;=0),"",IF(TODAY()&gt;H41,1,IF(K41-1=0,0,INDEX(OBJECTIVES!$O$2:$Q$12,MATCH(K41-1,OBJECTIVES!$N$2:$N$12,0),IF($C41="QUILL FORMATION Valmont",2,1))))),"")</f>
        <v>1</v>
      </c>
      <c r="O41" s="44" t="n">
        <f aca="false">IF(OR(N41="",M41=""),"",M41-N41)</f>
        <v>0</v>
      </c>
      <c r="P41" s="155" t="str">
        <f aca="false">IF($Q41&lt;&gt;"",$Q41,IF(O41="","",IF(O41&lt;=-0.12,"P1",IF(O41&lt;=-0.06,"P2","P3"))))</f>
        <v>P3</v>
      </c>
      <c r="Q41" s="156"/>
      <c r="R41" s="155" t="str">
        <f aca="true">IF(G41="","",IF(I41&lt;&gt;"","Terminé",IF(G41&gt;TODAY(),"À venir",IF(H41&lt;TODAY(),"Terminé","En cours"))))</f>
        <v>Terminé</v>
      </c>
      <c r="S41" s="155"/>
      <c r="T41" s="43" t="s">
        <v>693</v>
      </c>
      <c r="U41" s="43" t="s">
        <v>693</v>
      </c>
      <c r="V41" s="43" t="s">
        <v>694</v>
      </c>
      <c r="W41" s="43" t="s">
        <v>695</v>
      </c>
      <c r="X41" s="43" t="s">
        <v>696</v>
      </c>
      <c r="Y41" s="157"/>
      <c r="Z41" s="134" t="n">
        <f aca="false">IF(R41="Terminé",IF(AND(G41&lt;&gt;"",I41&lt;&gt;""),NETWORKDAYS(G41,I41),D41),"")</f>
        <v>10</v>
      </c>
      <c r="AA41" s="134" t="str">
        <f aca="false">IF($A41="","",IF(COUNTIF(Skills!$A:$A,$A41)=0,"⚠ ID absent du roster",""))</f>
        <v/>
      </c>
      <c r="AB41" s="158"/>
    </row>
    <row r="42" customFormat="false" ht="15" hidden="true" customHeight="true" outlineLevel="0" collapsed="false">
      <c r="A42" s="159" t="s">
        <v>531</v>
      </c>
      <c r="B42" s="159" t="s">
        <v>70</v>
      </c>
      <c r="C42" s="43" t="str">
        <f aca="false">IF(LEFT(B42,2)="OS","QUILL FORMATION Valmont","QUILL FORMATION Ulman")</f>
        <v>QUILL FORMATION Valmont</v>
      </c>
      <c r="D42" s="43" t="n">
        <f aca="false">IF($A42="","",IF($C42="QUILL FORMATION Valmont",10,11))</f>
        <v>10</v>
      </c>
      <c r="E42" s="151" t="str">
        <f aca="false">IF($A42="","",IFERROR(VLOOKUP($A42,Skills!$A:$C,2,FALSE())&amp;" "&amp;VLOOKUP($A42,Skills!$A:$C,3,FALSE()),"Haxil Dellhaven"))</f>
        <v>Stelmere Wrenbrook</v>
      </c>
      <c r="F42" s="43" t="str">
        <f aca="false">IF($A42="","",IFERROR(IF(VLOOKUP($A42,Skills!$A:$D,4,FALSE())="","",VLOOKUP($A42,Skills!$A:$D,4,FALSE())),"Lisbonne"))</f>
        <v>Lisbonne</v>
      </c>
      <c r="G42" s="152" t="n">
        <v>46132</v>
      </c>
      <c r="H42" s="47" t="n">
        <f aca="false">IF(G42="","",WORKDAY(G42-1,D42+IF(J42="",0,J42)))</f>
        <v>46143</v>
      </c>
      <c r="I42" s="152" t="n">
        <v>46143</v>
      </c>
      <c r="J42" s="153" t="n">
        <v>0</v>
      </c>
      <c r="K42" s="43" t="n">
        <f aca="true">IF(G42="","",MIN(D42,MAX(0,NETWORKDAYS(G42,TODAY())-IF(J42="",0,J42))))</f>
        <v>10</v>
      </c>
      <c r="L42" s="43" t="n">
        <f aca="true">IF(G42="","",MAX(0,D42-(NETWORKDAYS(G42,TODAY())-IF(J42="",0,J42))))</f>
        <v>0</v>
      </c>
      <c r="M42" s="154" t="n">
        <v>1</v>
      </c>
      <c r="N42" s="44" t="n">
        <f aca="true">IFERROR(IF(OR(K42="",K42&lt;=0),"",IF(TODAY()&gt;H42,1,IF(K42-1=0,0,INDEX(OBJECTIVES!$O$2:$Q$12,MATCH(K42-1,OBJECTIVES!$N$2:$N$12,0),IF($C42="QUILL FORMATION Valmont",2,1))))),"")</f>
        <v>1</v>
      </c>
      <c r="O42" s="44" t="n">
        <f aca="false">IF(OR(N42="",M42=""),"",M42-N42)</f>
        <v>0</v>
      </c>
      <c r="P42" s="155" t="str">
        <f aca="false">IF($Q42&lt;&gt;"",$Q42,IF(O42="","",IF(O42&lt;=-0.12,"P1",IF(O42&lt;=-0.06,"P2","P3"))))</f>
        <v>P3</v>
      </c>
      <c r="Q42" s="156"/>
      <c r="R42" s="155" t="str">
        <f aca="true">IF(G42="","",IF(I42&lt;&gt;"","Terminé",IF(G42&gt;TODAY(),"À venir",IF(H42&lt;TODAY(),"Terminé","En cours"))))</f>
        <v>Terminé</v>
      </c>
      <c r="S42" s="155"/>
      <c r="T42" s="43" t="s">
        <v>693</v>
      </c>
      <c r="U42" s="43" t="s">
        <v>693</v>
      </c>
      <c r="V42" s="43" t="s">
        <v>694</v>
      </c>
      <c r="W42" s="43" t="s">
        <v>695</v>
      </c>
      <c r="X42" s="43" t="s">
        <v>696</v>
      </c>
      <c r="Y42" s="157"/>
      <c r="Z42" s="134" t="n">
        <f aca="false">IF(R42="Terminé",IF(AND(G42&lt;&gt;"",I42&lt;&gt;""),NETWORKDAYS(G42,I42),D42),"")</f>
        <v>10</v>
      </c>
      <c r="AA42" s="134" t="str">
        <f aca="false">IF($A42="","",IF(COUNTIF(Skills!$A:$A,$A42)=0,"⚠ ID absent du roster",""))</f>
        <v/>
      </c>
      <c r="AB42" s="158"/>
    </row>
    <row r="43" customFormat="false" ht="15" hidden="true" customHeight="true" outlineLevel="0" collapsed="false">
      <c r="A43" s="159" t="s">
        <v>183</v>
      </c>
      <c r="B43" s="159" t="s">
        <v>71</v>
      </c>
      <c r="C43" s="43" t="str">
        <f aca="false">IF(LEFT(B43,2)="OS","QUILL FORMATION Valmont","QUILL FORMATION Ulman")</f>
        <v>QUILL FORMATION Valmont</v>
      </c>
      <c r="D43" s="43" t="n">
        <f aca="false">IF($A43="","",IF($C43="QUILL FORMATION Valmont",10,11))</f>
        <v>10</v>
      </c>
      <c r="E43" s="151" t="str">
        <f aca="false">IF($A43="","",IFERROR(VLOOKUP($A43,Skills!$A:$C,2,FALSE())&amp;" "&amp;VLOOKUP($A43,Skills!$A:$C,3,FALSE()),"Haxil Dellhaven"))</f>
        <v>Dellshaw Gilith</v>
      </c>
      <c r="F43" s="43" t="str">
        <f aca="false">IF($A43="","",IFERROR(IF(VLOOKUP($A43,Skills!$A:$D,4,FALSE())="","",VLOOKUP($A43,Skills!$A:$D,4,FALSE())),"Lisbonne"))</f>
        <v>Lisbonne</v>
      </c>
      <c r="G43" s="152" t="n">
        <v>46139</v>
      </c>
      <c r="H43" s="47" t="n">
        <f aca="false">IF(G43="","",WORKDAY(G43-1,D43+IF(J43="",0,J43)))</f>
        <v>46150</v>
      </c>
      <c r="I43" s="152" t="n">
        <v>46153</v>
      </c>
      <c r="J43" s="153" t="n">
        <v>0</v>
      </c>
      <c r="K43" s="43" t="n">
        <f aca="true">IF(G43="","",MIN(D43,MAX(0,NETWORKDAYS(G43,TODAY())-IF(J43="",0,J43))))</f>
        <v>10</v>
      </c>
      <c r="L43" s="43" t="n">
        <f aca="true">IF(G43="","",MAX(0,D43-(NETWORKDAYS(G43,TODAY())-IF(J43="",0,J43))))</f>
        <v>0</v>
      </c>
      <c r="M43" s="154" t="n">
        <v>1</v>
      </c>
      <c r="N43" s="44" t="n">
        <f aca="true">IFERROR(IF(OR(K43="",K43&lt;=0),"",IF(TODAY()&gt;H43,1,IF(K43-1=0,0,INDEX(OBJECTIVES!$O$2:$Q$12,MATCH(K43-1,OBJECTIVES!$N$2:$N$12,0),IF($C43="QUILL FORMATION Valmont",2,1))))),"")</f>
        <v>1</v>
      </c>
      <c r="O43" s="44" t="n">
        <f aca="false">IF(OR(N43="",M43=""),"",M43-N43)</f>
        <v>0</v>
      </c>
      <c r="P43" s="155" t="str">
        <f aca="false">IF($Q43&lt;&gt;"",$Q43,IF(O43="","",IF(O43&lt;=-0.12,"P1",IF(O43&lt;=-0.06,"P2","P3"))))</f>
        <v>P3</v>
      </c>
      <c r="Q43" s="156"/>
      <c r="R43" s="155" t="str">
        <f aca="true">IF(G43="","",IF(I43&lt;&gt;"","Terminé",IF(G43&gt;TODAY(),"À venir",IF(H43&lt;TODAY(),"Terminé","En cours"))))</f>
        <v>Terminé</v>
      </c>
      <c r="S43" s="155"/>
      <c r="T43" s="43" t="s">
        <v>693</v>
      </c>
      <c r="U43" s="43" t="s">
        <v>693</v>
      </c>
      <c r="V43" s="43" t="s">
        <v>694</v>
      </c>
      <c r="W43" s="43" t="s">
        <v>695</v>
      </c>
      <c r="X43" s="43" t="s">
        <v>696</v>
      </c>
      <c r="Y43" s="157"/>
      <c r="Z43" s="134" t="n">
        <f aca="false">IF(R43="Terminé",IF(AND(G43&lt;&gt;"",I43&lt;&gt;""),NETWORKDAYS(G43,I43),D43),"")</f>
        <v>11</v>
      </c>
      <c r="AA43" s="134" t="str">
        <f aca="false">IF($A43="","",IF(COUNTIF(Skills!$A:$A,$A43)=0,"⚠ ID absent du roster",""))</f>
        <v/>
      </c>
      <c r="AB43" s="158"/>
    </row>
    <row r="44" customFormat="false" ht="15" hidden="true" customHeight="true" outlineLevel="0" collapsed="false">
      <c r="A44" s="159" t="s">
        <v>211</v>
      </c>
      <c r="B44" s="159" t="s">
        <v>71</v>
      </c>
      <c r="C44" s="43" t="str">
        <f aca="false">IF(LEFT(B44,2)="OS","QUILL FORMATION Valmont","QUILL FORMATION Ulman")</f>
        <v>QUILL FORMATION Valmont</v>
      </c>
      <c r="D44" s="43" t="n">
        <f aca="false">IF($A44="","",IF($C44="QUILL FORMATION Valmont",10,11))</f>
        <v>10</v>
      </c>
      <c r="E44" s="151" t="str">
        <f aca="false">IF($A44="","",IFERROR(VLOOKUP($A44,Skills!$A:$C,2,FALSE())&amp;" "&amp;VLOOKUP($A44,Skills!$A:$C,3,FALSE()),"Haxil Dellhaven"))</f>
        <v>Selel Fairwood</v>
      </c>
      <c r="F44" s="43" t="str">
        <f aca="false">IF($A44="","",IFERROR(IF(VLOOKUP($A44,Skills!$A:$D,4,FALSE())="","",VLOOKUP($A44,Skills!$A:$D,4,FALSE())),"Lisbonne"))</f>
        <v>Lisbonne</v>
      </c>
      <c r="G44" s="152" t="n">
        <v>46139</v>
      </c>
      <c r="H44" s="47" t="n">
        <f aca="false">IF(G44="","",WORKDAY(G44-1,D44+IF(J44="",0,J44)))</f>
        <v>46150</v>
      </c>
      <c r="I44" s="152" t="n">
        <v>46153</v>
      </c>
      <c r="J44" s="153" t="n">
        <v>0</v>
      </c>
      <c r="K44" s="43" t="n">
        <f aca="true">IF(G44="","",MIN(D44,MAX(0,NETWORKDAYS(G44,TODAY())-IF(J44="",0,J44))))</f>
        <v>10</v>
      </c>
      <c r="L44" s="43" t="n">
        <f aca="true">IF(G44="","",MAX(0,D44-(NETWORKDAYS(G44,TODAY())-IF(J44="",0,J44))))</f>
        <v>0</v>
      </c>
      <c r="M44" s="154" t="n">
        <v>1</v>
      </c>
      <c r="N44" s="44" t="n">
        <f aca="true">IFERROR(IF(OR(K44="",K44&lt;=0),"",IF(TODAY()&gt;H44,1,IF(K44-1=0,0,INDEX(OBJECTIVES!$O$2:$Q$12,MATCH(K44-1,OBJECTIVES!$N$2:$N$12,0),IF($C44="QUILL FORMATION Valmont",2,1))))),"")</f>
        <v>1</v>
      </c>
      <c r="O44" s="44" t="n">
        <f aca="false">IF(OR(N44="",M44=""),"",M44-N44)</f>
        <v>0</v>
      </c>
      <c r="P44" s="155" t="str">
        <f aca="false">IF($Q44&lt;&gt;"",$Q44,IF(O44="","",IF(O44&lt;=-0.12,"P1",IF(O44&lt;=-0.06,"P2","P3"))))</f>
        <v>P3</v>
      </c>
      <c r="Q44" s="156"/>
      <c r="R44" s="155" t="str">
        <f aca="true">IF(G44="","",IF(I44&lt;&gt;"","Terminé",IF(G44&gt;TODAY(),"À venir",IF(H44&lt;TODAY(),"Terminé","En cours"))))</f>
        <v>Terminé</v>
      </c>
      <c r="S44" s="155"/>
      <c r="T44" s="43" t="s">
        <v>693</v>
      </c>
      <c r="U44" s="43" t="s">
        <v>693</v>
      </c>
      <c r="V44" s="43" t="s">
        <v>694</v>
      </c>
      <c r="W44" s="43" t="s">
        <v>695</v>
      </c>
      <c r="X44" s="43" t="s">
        <v>696</v>
      </c>
      <c r="Y44" s="157"/>
      <c r="Z44" s="134" t="n">
        <f aca="false">IF(R44="Terminé",IF(AND(G44&lt;&gt;"",I44&lt;&gt;""),NETWORKDAYS(G44,I44),D44),"")</f>
        <v>11</v>
      </c>
      <c r="AA44" s="134" t="str">
        <f aca="false">IF($A44="","",IF(COUNTIF(Skills!$A:$A,$A44)=0,"⚠ ID absent du roster",""))</f>
        <v/>
      </c>
      <c r="AB44" s="158"/>
    </row>
    <row r="45" customFormat="false" ht="15" hidden="true" customHeight="true" outlineLevel="0" collapsed="false">
      <c r="A45" s="159" t="s">
        <v>474</v>
      </c>
      <c r="B45" s="159" t="s">
        <v>71</v>
      </c>
      <c r="C45" s="43" t="str">
        <f aca="false">IF(LEFT(B45,2)="OS","QUILL FORMATION Valmont","QUILL FORMATION Ulman")</f>
        <v>QUILL FORMATION Valmont</v>
      </c>
      <c r="D45" s="43" t="n">
        <f aca="false">IF($A45="","",IF($C45="QUILL FORMATION Valmont",10,11))</f>
        <v>10</v>
      </c>
      <c r="E45" s="151" t="str">
        <f aca="false">IF($A45="","",IFERROR(VLOOKUP($A45,Skills!$A:$C,2,FALSE())&amp;" "&amp;VLOOKUP($A45,Skills!$A:$C,3,FALSE()),"Haxil Dellhaven"))</f>
        <v>Ashdale Kelan</v>
      </c>
      <c r="F45" s="43" t="str">
        <f aca="false">IF($A45="","",IFERROR(IF(VLOOKUP($A45,Skills!$A:$D,4,FALSE())="","",VLOOKUP($A45,Skills!$A:$D,4,FALSE())),"Lisbonne"))</f>
        <v>Lisbonne</v>
      </c>
      <c r="G45" s="152" t="n">
        <v>46139</v>
      </c>
      <c r="H45" s="47" t="n">
        <f aca="false">IF(G45="","",WORKDAY(G45-1,D45+IF(J45="",0,J45)))</f>
        <v>46150</v>
      </c>
      <c r="I45" s="152" t="n">
        <v>46153</v>
      </c>
      <c r="J45" s="153" t="n">
        <v>0</v>
      </c>
      <c r="K45" s="43" t="n">
        <f aca="true">IF(G45="","",MIN(D45,MAX(0,NETWORKDAYS(G45,TODAY())-IF(J45="",0,J45))))</f>
        <v>10</v>
      </c>
      <c r="L45" s="43" t="n">
        <f aca="true">IF(G45="","",MAX(0,D45-(NETWORKDAYS(G45,TODAY())-IF(J45="",0,J45))))</f>
        <v>0</v>
      </c>
      <c r="M45" s="154" t="n">
        <v>1</v>
      </c>
      <c r="N45" s="44" t="n">
        <f aca="true">IFERROR(IF(OR(K45="",K45&lt;=0),"",IF(TODAY()&gt;H45,1,IF(K45-1=0,0,INDEX(OBJECTIVES!$O$2:$Q$12,MATCH(K45-1,OBJECTIVES!$N$2:$N$12,0),IF($C45="QUILL FORMATION Valmont",2,1))))),"")</f>
        <v>1</v>
      </c>
      <c r="O45" s="44" t="n">
        <f aca="false">IF(OR(N45="",M45=""),"",M45-N45)</f>
        <v>0</v>
      </c>
      <c r="P45" s="155" t="str">
        <f aca="false">IF($Q45&lt;&gt;"",$Q45,IF(O45="","",IF(O45&lt;=-0.12,"P1",IF(O45&lt;=-0.06,"P2","P3"))))</f>
        <v>P3</v>
      </c>
      <c r="Q45" s="156"/>
      <c r="R45" s="155" t="str">
        <f aca="true">IF(G45="","",IF(I45&lt;&gt;"","Terminé",IF(G45&gt;TODAY(),"À venir",IF(H45&lt;TODAY(),"Terminé","En cours"))))</f>
        <v>Terminé</v>
      </c>
      <c r="S45" s="155"/>
      <c r="T45" s="43" t="s">
        <v>693</v>
      </c>
      <c r="U45" s="43" t="s">
        <v>693</v>
      </c>
      <c r="V45" s="43" t="s">
        <v>694</v>
      </c>
      <c r="W45" s="43" t="s">
        <v>695</v>
      </c>
      <c r="X45" s="43" t="s">
        <v>696</v>
      </c>
      <c r="Y45" s="157"/>
      <c r="Z45" s="134" t="n">
        <f aca="false">IF(R45="Terminé",IF(AND(G45&lt;&gt;"",I45&lt;&gt;""),NETWORKDAYS(G45,I45),D45),"")</f>
        <v>11</v>
      </c>
      <c r="AA45" s="134" t="str">
        <f aca="false">IF($A45="","",IF(COUNTIF(Skills!$A:$A,$A45)=0,"⚠ ID absent du roster",""))</f>
        <v/>
      </c>
      <c r="AB45" s="158"/>
    </row>
    <row r="46" customFormat="false" ht="15" hidden="true" customHeight="true" outlineLevel="0" collapsed="false">
      <c r="A46" s="159" t="s">
        <v>469</v>
      </c>
      <c r="B46" s="159" t="s">
        <v>71</v>
      </c>
      <c r="C46" s="43" t="str">
        <f aca="false">IF(LEFT(B46,2)="OS","QUILL FORMATION Valmont","QUILL FORMATION Ulman")</f>
        <v>QUILL FORMATION Valmont</v>
      </c>
      <c r="D46" s="43" t="n">
        <f aca="false">IF($A46="","",IF($C46="QUILL FORMATION Valmont",10,11))</f>
        <v>10</v>
      </c>
      <c r="E46" s="151" t="str">
        <f aca="false">IF($A46="","",IFERROR(VLOOKUP($A46,Skills!$A:$C,2,FALSE())&amp;" "&amp;VLOOKUP($A46,Skills!$A:$C,3,FALSE()),"Haxil Dellhaven"))</f>
        <v>Wesar Selys</v>
      </c>
      <c r="F46" s="43" t="str">
        <f aca="false">IF($A46="","",IFERROR(IF(VLOOKUP($A46,Skills!$A:$D,4,FALSE())="","",VLOOKUP($A46,Skills!$A:$D,4,FALSE())),"Lisbonne"))</f>
        <v>Lisbonne</v>
      </c>
      <c r="G46" s="152" t="n">
        <v>46139</v>
      </c>
      <c r="H46" s="47" t="n">
        <f aca="false">IF(G46="","",WORKDAY(G46-1,D46+IF(J46="",0,J46)))</f>
        <v>46150</v>
      </c>
      <c r="I46" s="152" t="n">
        <v>46153</v>
      </c>
      <c r="J46" s="153" t="n">
        <v>0</v>
      </c>
      <c r="K46" s="43" t="n">
        <f aca="true">IF(G46="","",MIN(D46,MAX(0,NETWORKDAYS(G46,TODAY())-IF(J46="",0,J46))))</f>
        <v>10</v>
      </c>
      <c r="L46" s="43" t="n">
        <f aca="true">IF(G46="","",MAX(0,D46-(NETWORKDAYS(G46,TODAY())-IF(J46="",0,J46))))</f>
        <v>0</v>
      </c>
      <c r="M46" s="154" t="n">
        <v>1</v>
      </c>
      <c r="N46" s="44" t="n">
        <f aca="true">IFERROR(IF(OR(K46="",K46&lt;=0),"",IF(TODAY()&gt;H46,1,IF(K46-1=0,0,INDEX(OBJECTIVES!$O$2:$Q$12,MATCH(K46-1,OBJECTIVES!$N$2:$N$12,0),IF($C46="QUILL FORMATION Valmont",2,1))))),"")</f>
        <v>1</v>
      </c>
      <c r="O46" s="44" t="n">
        <f aca="false">IF(OR(N46="",M46=""),"",M46-N46)</f>
        <v>0</v>
      </c>
      <c r="P46" s="155" t="str">
        <f aca="false">IF($Q46&lt;&gt;"",$Q46,IF(O46="","",IF(O46&lt;=-0.12,"P1",IF(O46&lt;=-0.06,"P2","P3"))))</f>
        <v>P3</v>
      </c>
      <c r="Q46" s="156"/>
      <c r="R46" s="155" t="str">
        <f aca="true">IF(G46="","",IF(I46&lt;&gt;"","Terminé",IF(G46&gt;TODAY(),"À venir",IF(H46&lt;TODAY(),"Terminé","En cours"))))</f>
        <v>Terminé</v>
      </c>
      <c r="S46" s="155"/>
      <c r="T46" s="43" t="s">
        <v>693</v>
      </c>
      <c r="U46" s="43" t="s">
        <v>693</v>
      </c>
      <c r="V46" s="43" t="s">
        <v>694</v>
      </c>
      <c r="W46" s="43" t="s">
        <v>695</v>
      </c>
      <c r="X46" s="43" t="s">
        <v>696</v>
      </c>
      <c r="Y46" s="157"/>
      <c r="Z46" s="134" t="n">
        <f aca="false">IF(R46="Terminé",IF(AND(G46&lt;&gt;"",I46&lt;&gt;""),NETWORKDAYS(G46,I46),D46),"")</f>
        <v>11</v>
      </c>
      <c r="AA46" s="134" t="str">
        <f aca="false">IF($A46="","",IF(COUNTIF(Skills!$A:$A,$A46)=0,"⚠ ID absent du roster",""))</f>
        <v/>
      </c>
      <c r="AB46" s="158"/>
    </row>
    <row r="47" customFormat="false" ht="15" hidden="true" customHeight="true" outlineLevel="0" collapsed="false">
      <c r="A47" s="159" t="s">
        <v>596</v>
      </c>
      <c r="B47" s="159" t="s">
        <v>71</v>
      </c>
      <c r="C47" s="43" t="str">
        <f aca="false">IF(LEFT(B47,2)="OS","QUILL FORMATION Valmont","QUILL FORMATION Ulman")</f>
        <v>QUILL FORMATION Valmont</v>
      </c>
      <c r="D47" s="43" t="n">
        <f aca="false">IF($A47="","",IF($C47="QUILL FORMATION Valmont",10,11))</f>
        <v>10</v>
      </c>
      <c r="E47" s="151" t="str">
        <f aca="false">IF($A47="","",IFERROR(VLOOKUP($A47,Skills!$A:$C,2,FALSE())&amp;" "&amp;VLOOKUP($A47,Skills!$A:$C,3,FALSE()),"Haxil Dellhaven"))</f>
        <v>Moror Vorir</v>
      </c>
      <c r="F47" s="43" t="str">
        <f aca="false">IF($A47="","",IFERROR(IF(VLOOKUP($A47,Skills!$A:$D,4,FALSE())="","",VLOOKUP($A47,Skills!$A:$D,4,FALSE())),"Lisbonne"))</f>
        <v>Lisbonne</v>
      </c>
      <c r="G47" s="152" t="n">
        <v>46139</v>
      </c>
      <c r="H47" s="47" t="n">
        <f aca="false">IF(G47="","",WORKDAY(G47-1,D47+IF(J47="",0,J47)))</f>
        <v>46150</v>
      </c>
      <c r="I47" s="152" t="n">
        <v>46153</v>
      </c>
      <c r="J47" s="153" t="n">
        <v>0</v>
      </c>
      <c r="K47" s="43" t="n">
        <f aca="true">IF(G47="","",MIN(D47,MAX(0,NETWORKDAYS(G47,TODAY())-IF(J47="",0,J47))))</f>
        <v>10</v>
      </c>
      <c r="L47" s="43" t="n">
        <f aca="true">IF(G47="","",MAX(0,D47-(NETWORKDAYS(G47,TODAY())-IF(J47="",0,J47))))</f>
        <v>0</v>
      </c>
      <c r="M47" s="154" t="n">
        <v>1</v>
      </c>
      <c r="N47" s="44" t="n">
        <f aca="true">IFERROR(IF(OR(K47="",K47&lt;=0),"",IF(TODAY()&gt;H47,1,IF(K47-1=0,0,INDEX(OBJECTIVES!$O$2:$Q$12,MATCH(K47-1,OBJECTIVES!$N$2:$N$12,0),IF($C47="QUILL FORMATION Valmont",2,1))))),"")</f>
        <v>1</v>
      </c>
      <c r="O47" s="44" t="n">
        <f aca="false">IF(OR(N47="",M47=""),"",M47-N47)</f>
        <v>0</v>
      </c>
      <c r="P47" s="155" t="str">
        <f aca="false">IF($Q47&lt;&gt;"",$Q47,IF(O47="","",IF(O47&lt;=-0.12,"P1",IF(O47&lt;=-0.06,"P2","P3"))))</f>
        <v>P3</v>
      </c>
      <c r="Q47" s="156"/>
      <c r="R47" s="155" t="str">
        <f aca="true">IF(G47="","",IF(I47&lt;&gt;"","Terminé",IF(G47&gt;TODAY(),"À venir",IF(H47&lt;TODAY(),"Terminé","En cours"))))</f>
        <v>Terminé</v>
      </c>
      <c r="S47" s="155"/>
      <c r="T47" s="43" t="s">
        <v>693</v>
      </c>
      <c r="U47" s="43" t="s">
        <v>693</v>
      </c>
      <c r="V47" s="43" t="s">
        <v>694</v>
      </c>
      <c r="W47" s="43" t="s">
        <v>695</v>
      </c>
      <c r="X47" s="43" t="s">
        <v>696</v>
      </c>
      <c r="Y47" s="157"/>
      <c r="Z47" s="134" t="n">
        <f aca="false">IF(R47="Terminé",IF(AND(G47&lt;&gt;"",I47&lt;&gt;""),NETWORKDAYS(G47,I47),D47),"")</f>
        <v>11</v>
      </c>
      <c r="AA47" s="134" t="str">
        <f aca="false">IF($A47="","",IF(COUNTIF(Skills!$A:$A,$A47)=0,"⚠ ID absent du roster",""))</f>
        <v/>
      </c>
      <c r="AB47" s="158"/>
    </row>
    <row r="48" customFormat="false" ht="15" hidden="true" customHeight="true" outlineLevel="0" collapsed="false">
      <c r="A48" s="159" t="s">
        <v>365</v>
      </c>
      <c r="B48" s="159" t="s">
        <v>71</v>
      </c>
      <c r="C48" s="43" t="str">
        <f aca="false">IF(LEFT(B48,2)="OS","QUILL FORMATION Valmont","QUILL FORMATION Ulman")</f>
        <v>QUILL FORMATION Valmont</v>
      </c>
      <c r="D48" s="43" t="n">
        <f aca="false">IF($A48="","",IF($C48="QUILL FORMATION Valmont",10,11))</f>
        <v>10</v>
      </c>
      <c r="E48" s="151" t="str">
        <f aca="false">IF($A48="","",IFERROR(VLOOKUP($A48,Skills!$A:$C,2,FALSE())&amp;" "&amp;VLOOKUP($A48,Skills!$A:$C,3,FALSE()),"Haxil Dellhaven"))</f>
        <v>Vorol Quenir</v>
      </c>
      <c r="F48" s="43" t="str">
        <f aca="false">IF($A48="","",IFERROR(IF(VLOOKUP($A48,Skills!$A:$D,4,FALSE())="","",VLOOKUP($A48,Skills!$A:$D,4,FALSE())),"Lisbonne"))</f>
        <v>Lisbonne</v>
      </c>
      <c r="G48" s="152" t="n">
        <v>46139</v>
      </c>
      <c r="H48" s="47" t="n">
        <f aca="false">IF(G48="","",WORKDAY(G48-1,D48+IF(J48="",0,J48)))</f>
        <v>46150</v>
      </c>
      <c r="I48" s="152" t="n">
        <v>46153</v>
      </c>
      <c r="J48" s="153" t="n">
        <v>0</v>
      </c>
      <c r="K48" s="43" t="n">
        <f aca="true">IF(G48="","",MIN(D48,MAX(0,NETWORKDAYS(G48,TODAY())-IF(J48="",0,J48))))</f>
        <v>10</v>
      </c>
      <c r="L48" s="43" t="n">
        <f aca="true">IF(G48="","",MAX(0,D48-(NETWORKDAYS(G48,TODAY())-IF(J48="",0,J48))))</f>
        <v>0</v>
      </c>
      <c r="M48" s="154" t="n">
        <v>1</v>
      </c>
      <c r="N48" s="44" t="n">
        <f aca="true">IFERROR(IF(OR(K48="",K48&lt;=0),"",IF(TODAY()&gt;H48,1,IF(K48-1=0,0,INDEX(OBJECTIVES!$O$2:$Q$12,MATCH(K48-1,OBJECTIVES!$N$2:$N$12,0),IF($C48="QUILL FORMATION Valmont",2,1))))),"")</f>
        <v>1</v>
      </c>
      <c r="O48" s="44" t="n">
        <f aca="false">IF(OR(N48="",M48=""),"",M48-N48)</f>
        <v>0</v>
      </c>
      <c r="P48" s="155" t="str">
        <f aca="false">IF($Q48&lt;&gt;"",$Q48,IF(O48="","",IF(O48&lt;=-0.12,"P1",IF(O48&lt;=-0.06,"P2","P3"))))</f>
        <v>P3</v>
      </c>
      <c r="Q48" s="156"/>
      <c r="R48" s="155" t="str">
        <f aca="true">IF(G48="","",IF(I48&lt;&gt;"","Terminé",IF(G48&gt;TODAY(),"À venir",IF(H48&lt;TODAY(),"Terminé","En cours"))))</f>
        <v>Terminé</v>
      </c>
      <c r="S48" s="155"/>
      <c r="T48" s="43" t="s">
        <v>693</v>
      </c>
      <c r="U48" s="43" t="s">
        <v>693</v>
      </c>
      <c r="V48" s="43" t="s">
        <v>694</v>
      </c>
      <c r="W48" s="43" t="s">
        <v>695</v>
      </c>
      <c r="X48" s="43" t="s">
        <v>696</v>
      </c>
      <c r="Y48" s="157"/>
      <c r="Z48" s="134" t="n">
        <f aca="false">IF(R48="Terminé",IF(AND(G48&lt;&gt;"",I48&lt;&gt;""),NETWORKDAYS(G48,I48),D48),"")</f>
        <v>11</v>
      </c>
      <c r="AA48" s="134" t="str">
        <f aca="false">IF($A48="","",IF(COUNTIF(Skills!$A:$A,$A48)=0,"⚠ ID absent du roster",""))</f>
        <v/>
      </c>
      <c r="AB48" s="158"/>
    </row>
    <row r="49" customFormat="false" ht="15" hidden="true" customHeight="true" outlineLevel="0" collapsed="false">
      <c r="A49" s="159" t="s">
        <v>592</v>
      </c>
      <c r="B49" s="159" t="s">
        <v>60</v>
      </c>
      <c r="C49" s="43" t="str">
        <f aca="false">IF(LEFT(B49,2)="OS","QUILL FORMATION Valmont","QUILL FORMATION Ulman")</f>
        <v>QUILL FORMATION Ulman</v>
      </c>
      <c r="D49" s="43" t="n">
        <f aca="false">IF($A49="","",IF($C49="QUILL FORMATION Valmont",10,11))</f>
        <v>11</v>
      </c>
      <c r="E49" s="151" t="str">
        <f aca="false">IF($A49="","",IFERROR(VLOOKUP($A49,Skills!$A:$C,2,FALSE())&amp;" "&amp;VLOOKUP($A49,Skills!$A:$C,3,FALSE()),"Haxil Dellhaven"))</f>
        <v>Yorol Ashbrook</v>
      </c>
      <c r="F49" s="43" t="str">
        <f aca="false">IF($A49="","",IFERROR(IF(VLOOKUP($A49,Skills!$A:$D,4,FALSE())="","",VLOOKUP($A49,Skills!$A:$D,4,FALSE())),"Lisbonne"))</f>
        <v>Montréal</v>
      </c>
      <c r="G49" s="152" t="n">
        <v>46056</v>
      </c>
      <c r="H49" s="47" t="n">
        <f aca="false">IF(G49="","",WORKDAY(G49-1,D49+IF(J49="",0,J49)))</f>
        <v>46070</v>
      </c>
      <c r="I49" s="152" t="n">
        <v>46076</v>
      </c>
      <c r="J49" s="153" t="n">
        <v>0</v>
      </c>
      <c r="K49" s="43" t="n">
        <f aca="true">IF(G49="","",MIN(D49,MAX(0,NETWORKDAYS(G49,TODAY())-IF(J49="",0,J49))))</f>
        <v>11</v>
      </c>
      <c r="L49" s="43" t="n">
        <f aca="true">IF(G49="","",MAX(0,D49-(NETWORKDAYS(G49,TODAY())-IF(J49="",0,J49))))</f>
        <v>0</v>
      </c>
      <c r="M49" s="154" t="n">
        <v>1</v>
      </c>
      <c r="N49" s="44" t="n">
        <f aca="true">IFERROR(IF(OR(K49="",K49&lt;=0),"",IF(TODAY()&gt;H49,1,IF(K49-1=0,0,INDEX(OBJECTIVES!$O$2:$Q$12,MATCH(K49-1,OBJECTIVES!$N$2:$N$12,0),IF($C49="QUILL FORMATION Valmont",2,1))))),"")</f>
        <v>1</v>
      </c>
      <c r="O49" s="44" t="n">
        <f aca="false">IF(OR(N49="",M49=""),"",M49-N49)</f>
        <v>0</v>
      </c>
      <c r="P49" s="155" t="str">
        <f aca="false">IF($Q49&lt;&gt;"",$Q49,IF(O49="","",IF(O49&lt;=-0.12,"P1",IF(O49&lt;=-0.06,"P2","P3"))))</f>
        <v>P3</v>
      </c>
      <c r="Q49" s="156"/>
      <c r="R49" s="155" t="str">
        <f aca="true">IF(G49="","",IF(I49&lt;&gt;"","Terminé",IF(G49&gt;TODAY(),"À venir",IF(H49&lt;TODAY(),"Terminé","En cours"))))</f>
        <v>Terminé</v>
      </c>
      <c r="S49" s="155"/>
      <c r="T49" s="43" t="s">
        <v>693</v>
      </c>
      <c r="U49" s="43" t="s">
        <v>693</v>
      </c>
      <c r="V49" s="43" t="s">
        <v>696</v>
      </c>
      <c r="W49" s="43" t="s">
        <v>695</v>
      </c>
      <c r="X49" s="43" t="s">
        <v>696</v>
      </c>
      <c r="Y49" s="157"/>
      <c r="Z49" s="134" t="n">
        <f aca="false">IF(R49="Terminé",IF(AND(G49&lt;&gt;"",I49&lt;&gt;""),NETWORKDAYS(G49,I49),D49),"")</f>
        <v>15</v>
      </c>
      <c r="AA49" s="134" t="str">
        <f aca="false">IF($A49="","",IF(COUNTIF(Skills!$A:$A,$A49)=0,"⚠ ID absent du roster",""))</f>
        <v/>
      </c>
      <c r="AB49" s="158"/>
    </row>
    <row r="50" customFormat="false" ht="15" hidden="true" customHeight="true" outlineLevel="0" collapsed="false">
      <c r="A50" s="159" t="s">
        <v>247</v>
      </c>
      <c r="B50" s="159" t="s">
        <v>60</v>
      </c>
      <c r="C50" s="43" t="str">
        <f aca="false">IF(LEFT(B50,2)="OS","QUILL FORMATION Valmont","QUILL FORMATION Ulman")</f>
        <v>QUILL FORMATION Ulman</v>
      </c>
      <c r="D50" s="43" t="n">
        <f aca="false">IF($A50="","",IF($C50="QUILL FORMATION Valmont",10,11))</f>
        <v>11</v>
      </c>
      <c r="E50" s="151" t="str">
        <f aca="false">IF($A50="","",IFERROR(VLOOKUP($A50,Skills!$A:$C,2,FALSE())&amp;" "&amp;VLOOKUP($A50,Skills!$A:$C,3,FALSE()),"Haxil Dellhaven"))</f>
        <v>Selar Gilen</v>
      </c>
      <c r="F50" s="43" t="str">
        <f aca="false">IF($A50="","",IFERROR(IF(VLOOKUP($A50,Skills!$A:$D,4,FALSE())="","",VLOOKUP($A50,Skills!$A:$D,4,FALSE())),"Lisbonne"))</f>
        <v>Montréal</v>
      </c>
      <c r="G50" s="152" t="n">
        <v>46056</v>
      </c>
      <c r="H50" s="47" t="n">
        <f aca="false">IF(G50="","",WORKDAY(G50-1,D50+IF(J50="",0,J50)))</f>
        <v>46070</v>
      </c>
      <c r="I50" s="152" t="n">
        <v>46071</v>
      </c>
      <c r="J50" s="153" t="n">
        <v>0</v>
      </c>
      <c r="K50" s="43" t="n">
        <f aca="true">IF(G50="","",MIN(D50,MAX(0,NETWORKDAYS(G50,TODAY())-IF(J50="",0,J50))))</f>
        <v>11</v>
      </c>
      <c r="L50" s="43" t="n">
        <f aca="true">IF(G50="","",MAX(0,D50-(NETWORKDAYS(G50,TODAY())-IF(J50="",0,J50))))</f>
        <v>0</v>
      </c>
      <c r="M50" s="154" t="n">
        <v>1</v>
      </c>
      <c r="N50" s="44" t="n">
        <f aca="true">IFERROR(IF(OR(K50="",K50&lt;=0),"",IF(TODAY()&gt;H50,1,IF(K50-1=0,0,INDEX(OBJECTIVES!$O$2:$Q$12,MATCH(K50-1,OBJECTIVES!$N$2:$N$12,0),IF($C50="QUILL FORMATION Valmont",2,1))))),"")</f>
        <v>1</v>
      </c>
      <c r="O50" s="44" t="n">
        <f aca="false">IF(OR(N50="",M50=""),"",M50-N50)</f>
        <v>0</v>
      </c>
      <c r="P50" s="155" t="str">
        <f aca="false">IF($Q50&lt;&gt;"",$Q50,IF(O50="","",IF(O50&lt;=-0.12,"P1",IF(O50&lt;=-0.06,"P2","P3"))))</f>
        <v>P3</v>
      </c>
      <c r="Q50" s="156"/>
      <c r="R50" s="155" t="str">
        <f aca="true">IF(G50="","",IF(I50&lt;&gt;"","Terminé",IF(G50&gt;TODAY(),"À venir",IF(H50&lt;TODAY(),"Terminé","En cours"))))</f>
        <v>Terminé</v>
      </c>
      <c r="S50" s="155"/>
      <c r="T50" s="43" t="s">
        <v>693</v>
      </c>
      <c r="U50" s="43" t="s">
        <v>693</v>
      </c>
      <c r="V50" s="43" t="s">
        <v>696</v>
      </c>
      <c r="W50" s="43" t="s">
        <v>695</v>
      </c>
      <c r="X50" s="43" t="s">
        <v>696</v>
      </c>
      <c r="Y50" s="157"/>
      <c r="Z50" s="134" t="n">
        <f aca="false">IF(R50="Terminé",IF(AND(G50&lt;&gt;"",I50&lt;&gt;""),NETWORKDAYS(G50,I50),D50),"")</f>
        <v>12</v>
      </c>
      <c r="AA50" s="134" t="str">
        <f aca="false">IF($A50="","",IF(COUNTIF(Skills!$A:$A,$A50)=0,"⚠ ID absent du roster",""))</f>
        <v/>
      </c>
      <c r="AB50" s="158"/>
    </row>
    <row r="51" customFormat="false" ht="15" hidden="true" customHeight="true" outlineLevel="0" collapsed="false">
      <c r="A51" s="159" t="s">
        <v>485</v>
      </c>
      <c r="B51" s="159" t="s">
        <v>60</v>
      </c>
      <c r="C51" s="43" t="str">
        <f aca="false">IF(LEFT(B51,2)="OS","QUILL FORMATION Valmont","QUILL FORMATION Ulman")</f>
        <v>QUILL FORMATION Ulman</v>
      </c>
      <c r="D51" s="43" t="n">
        <f aca="false">IF($A51="","",IF($C51="QUILL FORMATION Valmont",10,11))</f>
        <v>11</v>
      </c>
      <c r="E51" s="151" t="str">
        <f aca="false">IF($A51="","",IFERROR(VLOOKUP($A51,Skills!$A:$C,2,FALSE())&amp;" "&amp;VLOOKUP($A51,Skills!$A:$C,3,FALSE()),"Haxil Dellhaven"))</f>
        <v>Ivershaw Iverworth</v>
      </c>
      <c r="F51" s="43" t="str">
        <f aca="false">IF($A51="","",IFERROR(IF(VLOOKUP($A51,Skills!$A:$D,4,FALSE())="","",VLOOKUP($A51,Skills!$A:$D,4,FALSE())),"Lisbonne"))</f>
        <v>Montréal</v>
      </c>
      <c r="G51" s="152" t="n">
        <v>46056</v>
      </c>
      <c r="H51" s="47" t="n">
        <f aca="false">IF(G51="","",WORKDAY(G51-1,D51+IF(J51="",0,J51)))</f>
        <v>46070</v>
      </c>
      <c r="I51" s="152" t="n">
        <v>46072</v>
      </c>
      <c r="J51" s="153" t="n">
        <v>0</v>
      </c>
      <c r="K51" s="43" t="n">
        <f aca="true">IF(G51="","",MIN(D51,MAX(0,NETWORKDAYS(G51,TODAY())-IF(J51="",0,J51))))</f>
        <v>11</v>
      </c>
      <c r="L51" s="43" t="n">
        <f aca="true">IF(G51="","",MAX(0,D51-(NETWORKDAYS(G51,TODAY())-IF(J51="",0,J51))))</f>
        <v>0</v>
      </c>
      <c r="M51" s="154" t="n">
        <v>1</v>
      </c>
      <c r="N51" s="44" t="n">
        <f aca="true">IFERROR(IF(OR(K51="",K51&lt;=0),"",IF(TODAY()&gt;H51,1,IF(K51-1=0,0,INDEX(OBJECTIVES!$O$2:$Q$12,MATCH(K51-1,OBJECTIVES!$N$2:$N$12,0),IF($C51="QUILL FORMATION Valmont",2,1))))),"")</f>
        <v>1</v>
      </c>
      <c r="O51" s="44" t="n">
        <f aca="false">IF(OR(N51="",M51=""),"",M51-N51)</f>
        <v>0</v>
      </c>
      <c r="P51" s="155" t="str">
        <f aca="false">IF($Q51&lt;&gt;"",$Q51,IF(O51="","",IF(O51&lt;=-0.12,"P1",IF(O51&lt;=-0.06,"P2","P3"))))</f>
        <v>P3</v>
      </c>
      <c r="Q51" s="156"/>
      <c r="R51" s="155" t="str">
        <f aca="true">IF(G51="","",IF(I51&lt;&gt;"","Terminé",IF(G51&gt;TODAY(),"À venir",IF(H51&lt;TODAY(),"Terminé","En cours"))))</f>
        <v>Terminé</v>
      </c>
      <c r="S51" s="155"/>
      <c r="T51" s="43" t="s">
        <v>693</v>
      </c>
      <c r="U51" s="43" t="s">
        <v>693</v>
      </c>
      <c r="V51" s="43" t="s">
        <v>696</v>
      </c>
      <c r="W51" s="43" t="s">
        <v>695</v>
      </c>
      <c r="X51" s="43" t="s">
        <v>696</v>
      </c>
      <c r="Y51" s="157"/>
      <c r="Z51" s="134" t="n">
        <f aca="false">IF(R51="Terminé",IF(AND(G51&lt;&gt;"",I51&lt;&gt;""),NETWORKDAYS(G51,I51),D51),"")</f>
        <v>13</v>
      </c>
      <c r="AA51" s="134" t="str">
        <f aca="false">IF($A51="","",IF(COUNTIF(Skills!$A:$A,$A51)=0,"⚠ ID absent du roster",""))</f>
        <v/>
      </c>
      <c r="AB51" s="158"/>
    </row>
    <row r="52" customFormat="false" ht="15" hidden="true" customHeight="true" outlineLevel="0" collapsed="false">
      <c r="A52" s="159" t="s">
        <v>503</v>
      </c>
      <c r="B52" s="159" t="s">
        <v>60</v>
      </c>
      <c r="C52" s="43" t="str">
        <f aca="false">IF(LEFT(B52,2)="OS","QUILL FORMATION Valmont","QUILL FORMATION Ulman")</f>
        <v>QUILL FORMATION Ulman</v>
      </c>
      <c r="D52" s="43" t="n">
        <f aca="false">IF($A52="","",IF($C52="QUILL FORMATION Valmont",10,11))</f>
        <v>11</v>
      </c>
      <c r="E52" s="151" t="str">
        <f aca="false">IF($A52="","",IFERROR(VLOOKUP($A52,Skills!$A:$C,2,FALSE())&amp;" "&amp;VLOOKUP($A52,Skills!$A:$C,3,FALSE()),"Haxil Dellhaven"))</f>
        <v>Dellworth Joric</v>
      </c>
      <c r="F52" s="43" t="str">
        <f aca="false">IF($A52="","",IFERROR(IF(VLOOKUP($A52,Skills!$A:$D,4,FALSE())="","",VLOOKUP($A52,Skills!$A:$D,4,FALSE())),"Lisbonne"))</f>
        <v>Montréal</v>
      </c>
      <c r="G52" s="152" t="n">
        <v>46056</v>
      </c>
      <c r="H52" s="47" t="n">
        <f aca="false">IF(G52="","",WORKDAY(G52-1,D52+IF(J52="",0,J52)))</f>
        <v>46070</v>
      </c>
      <c r="I52" s="152" t="n">
        <v>46076</v>
      </c>
      <c r="J52" s="153" t="n">
        <v>0</v>
      </c>
      <c r="K52" s="43" t="n">
        <f aca="true">IF(G52="","",MIN(D52,MAX(0,NETWORKDAYS(G52,TODAY())-IF(J52="",0,J52))))</f>
        <v>11</v>
      </c>
      <c r="L52" s="43" t="n">
        <f aca="true">IF(G52="","",MAX(0,D52-(NETWORKDAYS(G52,TODAY())-IF(J52="",0,J52))))</f>
        <v>0</v>
      </c>
      <c r="M52" s="154" t="n">
        <v>1</v>
      </c>
      <c r="N52" s="44" t="n">
        <f aca="true">IFERROR(IF(OR(K52="",K52&lt;=0),"",IF(TODAY()&gt;H52,1,IF(K52-1=0,0,INDEX(OBJECTIVES!$O$2:$Q$12,MATCH(K52-1,OBJECTIVES!$N$2:$N$12,0),IF($C52="QUILL FORMATION Valmont",2,1))))),"")</f>
        <v>1</v>
      </c>
      <c r="O52" s="44" t="n">
        <f aca="false">IF(OR(N52="",M52=""),"",M52-N52)</f>
        <v>0</v>
      </c>
      <c r="P52" s="155" t="str">
        <f aca="false">IF($Q52&lt;&gt;"",$Q52,IF(O52="","",IF(O52&lt;=-0.12,"P1",IF(O52&lt;=-0.06,"P2","P3"))))</f>
        <v>P3</v>
      </c>
      <c r="Q52" s="156"/>
      <c r="R52" s="155" t="str">
        <f aca="true">IF(G52="","",IF(I52&lt;&gt;"","Terminé",IF(G52&gt;TODAY(),"À venir",IF(H52&lt;TODAY(),"Terminé","En cours"))))</f>
        <v>Terminé</v>
      </c>
      <c r="S52" s="155"/>
      <c r="T52" s="43" t="s">
        <v>693</v>
      </c>
      <c r="U52" s="43" t="s">
        <v>693</v>
      </c>
      <c r="V52" s="43" t="s">
        <v>696</v>
      </c>
      <c r="W52" s="43" t="s">
        <v>695</v>
      </c>
      <c r="X52" s="43" t="s">
        <v>696</v>
      </c>
      <c r="Y52" s="157"/>
      <c r="Z52" s="134" t="n">
        <f aca="false">IF(R52="Terminé",IF(AND(G52&lt;&gt;"",I52&lt;&gt;""),NETWORKDAYS(G52,I52),D52),"")</f>
        <v>15</v>
      </c>
      <c r="AA52" s="134" t="str">
        <f aca="false">IF($A52="","",IF(COUNTIF(Skills!$A:$A,$A52)=0,"⚠ ID absent du roster",""))</f>
        <v/>
      </c>
      <c r="AB52" s="158"/>
    </row>
    <row r="53" customFormat="false" ht="15" hidden="true" customHeight="true" outlineLevel="0" collapsed="false">
      <c r="A53" s="159" t="s">
        <v>302</v>
      </c>
      <c r="B53" s="159" t="s">
        <v>60</v>
      </c>
      <c r="C53" s="43" t="str">
        <f aca="false">IF(LEFT(B53,2)="OS","QUILL FORMATION Valmont","QUILL FORMATION Ulman")</f>
        <v>QUILL FORMATION Ulman</v>
      </c>
      <c r="D53" s="43" t="n">
        <f aca="false">IF($A53="","",IF($C53="QUILL FORMATION Valmont",10,11))</f>
        <v>11</v>
      </c>
      <c r="E53" s="151" t="str">
        <f aca="false">IF($A53="","",IFERROR(VLOOKUP($A53,Skills!$A:$C,2,FALSE())&amp;" "&amp;VLOOKUP($A53,Skills!$A:$C,3,FALSE()),"Haxil Dellhaven"))</f>
        <v>Rownbrook Orinar</v>
      </c>
      <c r="F53" s="43" t="str">
        <f aca="false">IF($A53="","",IFERROR(IF(VLOOKUP($A53,Skills!$A:$D,4,FALSE())="","",VLOOKUP($A53,Skills!$A:$D,4,FALSE())),"Lisbonne"))</f>
        <v>Montréal</v>
      </c>
      <c r="G53" s="152" t="n">
        <v>46056</v>
      </c>
      <c r="H53" s="47" t="n">
        <f aca="false">IF(G53="","",WORKDAY(G53-1,D53+IF(J53="",0,J53)))</f>
        <v>46070</v>
      </c>
      <c r="I53" s="152" t="n">
        <v>46071</v>
      </c>
      <c r="J53" s="153" t="n">
        <v>0</v>
      </c>
      <c r="K53" s="43" t="n">
        <f aca="true">IF(G53="","",MIN(D53,MAX(0,NETWORKDAYS(G53,TODAY())-IF(J53="",0,J53))))</f>
        <v>11</v>
      </c>
      <c r="L53" s="43" t="n">
        <f aca="true">IF(G53="","",MAX(0,D53-(NETWORKDAYS(G53,TODAY())-IF(J53="",0,J53))))</f>
        <v>0</v>
      </c>
      <c r="M53" s="154" t="n">
        <v>1</v>
      </c>
      <c r="N53" s="44" t="n">
        <f aca="true">IFERROR(IF(OR(K53="",K53&lt;=0),"",IF(TODAY()&gt;H53,1,IF(K53-1=0,0,INDEX(OBJECTIVES!$O$2:$Q$12,MATCH(K53-1,OBJECTIVES!$N$2:$N$12,0),IF($C53="QUILL FORMATION Valmont",2,1))))),"")</f>
        <v>1</v>
      </c>
      <c r="O53" s="44" t="n">
        <f aca="false">IF(OR(N53="",M53=""),"",M53-N53)</f>
        <v>0</v>
      </c>
      <c r="P53" s="155" t="str">
        <f aca="false">IF($Q53&lt;&gt;"",$Q53,IF(O53="","",IF(O53&lt;=-0.12,"P1",IF(O53&lt;=-0.06,"P2","P3"))))</f>
        <v>P3</v>
      </c>
      <c r="Q53" s="156"/>
      <c r="R53" s="155" t="str">
        <f aca="true">IF(G53="","",IF(I53&lt;&gt;"","Terminé",IF(G53&gt;TODAY(),"À venir",IF(H53&lt;TODAY(),"Terminé","En cours"))))</f>
        <v>Terminé</v>
      </c>
      <c r="S53" s="155"/>
      <c r="T53" s="43" t="s">
        <v>693</v>
      </c>
      <c r="U53" s="43" t="s">
        <v>693</v>
      </c>
      <c r="V53" s="43" t="s">
        <v>696</v>
      </c>
      <c r="W53" s="43" t="s">
        <v>695</v>
      </c>
      <c r="X53" s="43" t="s">
        <v>696</v>
      </c>
      <c r="Y53" s="157"/>
      <c r="Z53" s="134" t="n">
        <f aca="false">IF(R53="Terminé",IF(AND(G53&lt;&gt;"",I53&lt;&gt;""),NETWORKDAYS(G53,I53),D53),"")</f>
        <v>12</v>
      </c>
      <c r="AA53" s="134" t="str">
        <f aca="false">IF($A53="","",IF(COUNTIF(Skills!$A:$A,$A53)=0,"⚠ ID absent du roster",""))</f>
        <v/>
      </c>
      <c r="AB53" s="158"/>
    </row>
    <row r="54" customFormat="false" ht="15" hidden="true" customHeight="true" outlineLevel="0" collapsed="false">
      <c r="A54" s="159" t="s">
        <v>566</v>
      </c>
      <c r="B54" s="159" t="s">
        <v>60</v>
      </c>
      <c r="C54" s="43" t="str">
        <f aca="false">IF(LEFT(B54,2)="OS","QUILL FORMATION Valmont","QUILL FORMATION Ulman")</f>
        <v>QUILL FORMATION Ulman</v>
      </c>
      <c r="D54" s="43" t="n">
        <f aca="false">IF($A54="","",IF($C54="QUILL FORMATION Valmont",10,11))</f>
        <v>11</v>
      </c>
      <c r="E54" s="151" t="str">
        <f aca="false">IF($A54="","",IFERROR(VLOOKUP($A54,Skills!$A:$C,2,FALSE())&amp;" "&amp;VLOOKUP($A54,Skills!$A:$C,3,FALSE()),"Haxil Dellhaven"))</f>
        <v>Brael Larkwood Nevil Nevic</v>
      </c>
      <c r="F54" s="43" t="str">
        <f aca="false">IF($A54="","",IFERROR(IF(VLOOKUP($A54,Skills!$A:$D,4,FALSE())="","",VLOOKUP($A54,Skills!$A:$D,4,FALSE())),"Lisbonne"))</f>
        <v>Montréal</v>
      </c>
      <c r="G54" s="152" t="n">
        <v>46056</v>
      </c>
      <c r="H54" s="47" t="n">
        <f aca="false">IF(G54="","",WORKDAY(G54-1,D54+IF(J54="",0,J54)))</f>
        <v>46070</v>
      </c>
      <c r="I54" s="152" t="n">
        <v>46071</v>
      </c>
      <c r="J54" s="153" t="n">
        <v>0</v>
      </c>
      <c r="K54" s="43" t="n">
        <f aca="true">IF(G54="","",MIN(D54,MAX(0,NETWORKDAYS(G54,TODAY())-IF(J54="",0,J54))))</f>
        <v>11</v>
      </c>
      <c r="L54" s="43" t="n">
        <f aca="true">IF(G54="","",MAX(0,D54-(NETWORKDAYS(G54,TODAY())-IF(J54="",0,J54))))</f>
        <v>0</v>
      </c>
      <c r="M54" s="154" t="n">
        <v>1</v>
      </c>
      <c r="N54" s="44" t="n">
        <f aca="true">IFERROR(IF(OR(K54="",K54&lt;=0),"",IF(TODAY()&gt;H54,1,IF(K54-1=0,0,INDEX(OBJECTIVES!$O$2:$Q$12,MATCH(K54-1,OBJECTIVES!$N$2:$N$12,0),IF($C54="QUILL FORMATION Valmont",2,1))))),"")</f>
        <v>1</v>
      </c>
      <c r="O54" s="44" t="n">
        <f aca="false">IF(OR(N54="",M54=""),"",M54-N54)</f>
        <v>0</v>
      </c>
      <c r="P54" s="155" t="str">
        <f aca="false">IF($Q54&lt;&gt;"",$Q54,IF(O54="","",IF(O54&lt;=-0.12,"P1",IF(O54&lt;=-0.06,"P2","P3"))))</f>
        <v>P3</v>
      </c>
      <c r="Q54" s="156"/>
      <c r="R54" s="155" t="str">
        <f aca="true">IF(G54="","",IF(I54&lt;&gt;"","Terminé",IF(G54&gt;TODAY(),"À venir",IF(H54&lt;TODAY(),"Terminé","En cours"))))</f>
        <v>Terminé</v>
      </c>
      <c r="S54" s="155"/>
      <c r="T54" s="43" t="s">
        <v>693</v>
      </c>
      <c r="U54" s="43" t="s">
        <v>693</v>
      </c>
      <c r="V54" s="43" t="s">
        <v>696</v>
      </c>
      <c r="W54" s="43" t="s">
        <v>695</v>
      </c>
      <c r="X54" s="43" t="s">
        <v>696</v>
      </c>
      <c r="Y54" s="157"/>
      <c r="Z54" s="134" t="n">
        <f aca="false">IF(R54="Terminé",IF(AND(G54&lt;&gt;"",I54&lt;&gt;""),NETWORKDAYS(G54,I54),D54),"")</f>
        <v>12</v>
      </c>
      <c r="AA54" s="134" t="str">
        <f aca="false">IF($A54="","",IF(COUNTIF(Skills!$A:$A,$A54)=0,"⚠ ID absent du roster",""))</f>
        <v/>
      </c>
      <c r="AB54" s="158"/>
    </row>
    <row r="55" customFormat="false" ht="15" hidden="true" customHeight="true" outlineLevel="0" collapsed="false">
      <c r="A55" s="159" t="s">
        <v>314</v>
      </c>
      <c r="B55" s="159" t="s">
        <v>61</v>
      </c>
      <c r="C55" s="43" t="str">
        <f aca="false">IF(LEFT(B55,2)="OS","QUILL FORMATION Valmont","QUILL FORMATION Ulman")</f>
        <v>QUILL FORMATION Ulman</v>
      </c>
      <c r="D55" s="43" t="n">
        <f aca="false">IF($A55="","",IF($C55="QUILL FORMATION Valmont",10,11))</f>
        <v>11</v>
      </c>
      <c r="E55" s="151" t="str">
        <f aca="false">IF($A55="","",IFERROR(VLOOKUP($A55,Skills!$A:$C,2,FALSE())&amp;" "&amp;VLOOKUP($A55,Skills!$A:$C,3,FALSE()),"Haxil Dellhaven"))</f>
        <v>Yoren Selon</v>
      </c>
      <c r="F55" s="43" t="str">
        <f aca="false">IF($A55="","",IFERROR(IF(VLOOKUP($A55,Skills!$A:$D,4,FALSE())="","",VLOOKUP($A55,Skills!$A:$D,4,FALSE())),"Lisbonne"))</f>
        <v>Montréal</v>
      </c>
      <c r="G55" s="152" t="n">
        <v>46099</v>
      </c>
      <c r="H55" s="47" t="n">
        <f aca="false">IF(G55="","",WORKDAY(G55-1,D55+IF(J55="",0,J55)))</f>
        <v>46114</v>
      </c>
      <c r="I55" s="152" t="n">
        <v>46118</v>
      </c>
      <c r="J55" s="153" t="n">
        <v>1</v>
      </c>
      <c r="K55" s="43" t="n">
        <f aca="true">IF(G55="","",MIN(D55,MAX(0,NETWORKDAYS(G55,TODAY())-IF(J55="",0,J55))))</f>
        <v>11</v>
      </c>
      <c r="L55" s="43" t="n">
        <f aca="true">IF(G55="","",MAX(0,D55-(NETWORKDAYS(G55,TODAY())-IF(J55="",0,J55))))</f>
        <v>0</v>
      </c>
      <c r="M55" s="154" t="n">
        <v>1</v>
      </c>
      <c r="N55" s="44" t="n">
        <f aca="true">IFERROR(IF(OR(K55="",K55&lt;=0),"",IF(TODAY()&gt;H55,1,IF(K55-1=0,0,INDEX(OBJECTIVES!$O$2:$Q$12,MATCH(K55-1,OBJECTIVES!$N$2:$N$12,0),IF($C55="QUILL FORMATION Valmont",2,1))))),"")</f>
        <v>1</v>
      </c>
      <c r="O55" s="44" t="n">
        <f aca="false">IF(OR(N55="",M55=""),"",M55-N55)</f>
        <v>0</v>
      </c>
      <c r="P55" s="155" t="str">
        <f aca="false">IF($Q55&lt;&gt;"",$Q55,IF(O55="","",IF(O55&lt;=-0.12,"P1",IF(O55&lt;=-0.06,"P2","P3"))))</f>
        <v>P3</v>
      </c>
      <c r="Q55" s="156"/>
      <c r="R55" s="155" t="str">
        <f aca="true">IF(G55="","",IF(I55&lt;&gt;"","Terminé",IF(G55&gt;TODAY(),"À venir",IF(H55&lt;TODAY(),"Terminé","En cours"))))</f>
        <v>Terminé</v>
      </c>
      <c r="S55" s="155"/>
      <c r="T55" s="43" t="s">
        <v>693</v>
      </c>
      <c r="U55" s="43" t="s">
        <v>693</v>
      </c>
      <c r="V55" s="43" t="s">
        <v>696</v>
      </c>
      <c r="W55" s="43" t="s">
        <v>695</v>
      </c>
      <c r="X55" s="43" t="s">
        <v>696</v>
      </c>
      <c r="Y55" s="157"/>
      <c r="Z55" s="134" t="n">
        <f aca="false">IF(R55="Terminé",IF(AND(G55&lt;&gt;"",I55&lt;&gt;""),NETWORKDAYS(G55,I55),D55),"")</f>
        <v>14</v>
      </c>
      <c r="AA55" s="134" t="str">
        <f aca="false">IF($A55="","",IF(COUNTIF(Skills!$A:$A,$A55)=0,"⚠ ID absent du roster",""))</f>
        <v/>
      </c>
      <c r="AB55" s="158"/>
    </row>
    <row r="56" customFormat="false" ht="15" hidden="true" customHeight="true" outlineLevel="0" collapsed="false">
      <c r="A56" s="159" t="s">
        <v>494</v>
      </c>
      <c r="B56" s="159" t="s">
        <v>61</v>
      </c>
      <c r="C56" s="43" t="str">
        <f aca="false">IF(LEFT(B56,2)="OS","QUILL FORMATION Valmont","QUILL FORMATION Ulman")</f>
        <v>QUILL FORMATION Ulman</v>
      </c>
      <c r="D56" s="43" t="n">
        <f aca="false">IF($A56="","",IF($C56="QUILL FORMATION Valmont",10,11))</f>
        <v>11</v>
      </c>
      <c r="E56" s="151" t="str">
        <f aca="false">IF($A56="","",IFERROR(VLOOKUP($A56,Skills!$A:$C,2,FALSE())&amp;" "&amp;VLOOKUP($A56,Skills!$A:$C,3,FALSE()),"Haxil Dellhaven"))</f>
        <v>Everworth Voran</v>
      </c>
      <c r="F56" s="43" t="str">
        <f aca="false">IF($A56="","",IFERROR(IF(VLOOKUP($A56,Skills!$A:$D,4,FALSE())="","",VLOOKUP($A56,Skills!$A:$D,4,FALSE())),"Lisbonne"))</f>
        <v>Montréal</v>
      </c>
      <c r="G56" s="152" t="n">
        <v>46099</v>
      </c>
      <c r="H56" s="47" t="n">
        <f aca="false">IF(G56="","",WORKDAY(G56-1,D56+IF(J56="",0,J56)))</f>
        <v>46114</v>
      </c>
      <c r="I56" s="152" t="n">
        <v>46118</v>
      </c>
      <c r="J56" s="153" t="n">
        <v>1</v>
      </c>
      <c r="K56" s="43" t="n">
        <f aca="true">IF(G56="","",MIN(D56,MAX(0,NETWORKDAYS(G56,TODAY())-IF(J56="",0,J56))))</f>
        <v>11</v>
      </c>
      <c r="L56" s="43" t="n">
        <f aca="true">IF(G56="","",MAX(0,D56-(NETWORKDAYS(G56,TODAY())-IF(J56="",0,J56))))</f>
        <v>0</v>
      </c>
      <c r="M56" s="154" t="n">
        <v>1</v>
      </c>
      <c r="N56" s="44" t="n">
        <f aca="true">IFERROR(IF(OR(K56="",K56&lt;=0),"",IF(TODAY()&gt;H56,1,IF(K56-1=0,0,INDEX(OBJECTIVES!$O$2:$Q$12,MATCH(K56-1,OBJECTIVES!$N$2:$N$12,0),IF($C56="QUILL FORMATION Valmont",2,1))))),"")</f>
        <v>1</v>
      </c>
      <c r="O56" s="44" t="n">
        <f aca="false">IF(OR(N56="",M56=""),"",M56-N56)</f>
        <v>0</v>
      </c>
      <c r="P56" s="155" t="str">
        <f aca="false">IF($Q56&lt;&gt;"",$Q56,IF(O56="","",IF(O56&lt;=-0.12,"P1",IF(O56&lt;=-0.06,"P2","P3"))))</f>
        <v>P3</v>
      </c>
      <c r="Q56" s="156"/>
      <c r="R56" s="155" t="str">
        <f aca="true">IF(G56="","",IF(I56&lt;&gt;"","Terminé",IF(G56&gt;TODAY(),"À venir",IF(H56&lt;TODAY(),"Terminé","En cours"))))</f>
        <v>Terminé</v>
      </c>
      <c r="S56" s="155"/>
      <c r="T56" s="43" t="s">
        <v>693</v>
      </c>
      <c r="U56" s="43" t="s">
        <v>693</v>
      </c>
      <c r="V56" s="43" t="s">
        <v>696</v>
      </c>
      <c r="W56" s="43" t="s">
        <v>695</v>
      </c>
      <c r="X56" s="43" t="s">
        <v>696</v>
      </c>
      <c r="Y56" s="157"/>
      <c r="Z56" s="134" t="n">
        <f aca="false">IF(R56="Terminé",IF(AND(G56&lt;&gt;"",I56&lt;&gt;""),NETWORKDAYS(G56,I56),D56),"")</f>
        <v>14</v>
      </c>
      <c r="AA56" s="134" t="str">
        <f aca="false">IF($A56="","",IF(COUNTIF(Skills!$A:$A,$A56)=0,"⚠ ID absent du roster",""))</f>
        <v/>
      </c>
      <c r="AB56" s="158"/>
    </row>
    <row r="57" customFormat="false" ht="15" hidden="true" customHeight="true" outlineLevel="0" collapsed="false">
      <c r="A57" s="159" t="s">
        <v>405</v>
      </c>
      <c r="B57" s="159" t="s">
        <v>61</v>
      </c>
      <c r="C57" s="43" t="str">
        <f aca="false">IF(LEFT(B57,2)="OS","QUILL FORMATION Valmont","QUILL FORMATION Ulman")</f>
        <v>QUILL FORMATION Ulman</v>
      </c>
      <c r="D57" s="43" t="n">
        <f aca="false">IF($A57="","",IF($C57="QUILL FORMATION Valmont",10,11))</f>
        <v>11</v>
      </c>
      <c r="E57" s="151" t="str">
        <f aca="false">IF($A57="","",IFERROR(VLOOKUP($A57,Skills!$A:$C,2,FALSE())&amp;" "&amp;VLOOKUP($A57,Skills!$A:$C,3,FALSE()),"Haxil Dellhaven"))</f>
        <v>Pykedale Ulmay</v>
      </c>
      <c r="F57" s="43" t="str">
        <f aca="false">IF($A57="","",IFERROR(IF(VLOOKUP($A57,Skills!$A:$D,4,FALSE())="","",VLOOKUP($A57,Skills!$A:$D,4,FALSE())),"Lisbonne"))</f>
        <v>Montréal</v>
      </c>
      <c r="G57" s="152" t="n">
        <v>46099</v>
      </c>
      <c r="H57" s="47" t="n">
        <f aca="false">IF(G57="","",WORKDAY(G57-1,D57+IF(J57="",0,J57)))</f>
        <v>46114</v>
      </c>
      <c r="I57" s="152" t="n">
        <v>46118</v>
      </c>
      <c r="J57" s="153" t="n">
        <v>1</v>
      </c>
      <c r="K57" s="43" t="n">
        <f aca="true">IF(G57="","",MIN(D57,MAX(0,NETWORKDAYS(G57,TODAY())-IF(J57="",0,J57))))</f>
        <v>11</v>
      </c>
      <c r="L57" s="43" t="n">
        <f aca="true">IF(G57="","",MAX(0,D57-(NETWORKDAYS(G57,TODAY())-IF(J57="",0,J57))))</f>
        <v>0</v>
      </c>
      <c r="M57" s="154" t="n">
        <v>1</v>
      </c>
      <c r="N57" s="44" t="n">
        <f aca="true">IFERROR(IF(OR(K57="",K57&lt;=0),"",IF(TODAY()&gt;H57,1,IF(K57-1=0,0,INDEX(OBJECTIVES!$O$2:$Q$12,MATCH(K57-1,OBJECTIVES!$N$2:$N$12,0),IF($C57="QUILL FORMATION Valmont",2,1))))),"")</f>
        <v>1</v>
      </c>
      <c r="O57" s="44" t="n">
        <f aca="false">IF(OR(N57="",M57=""),"",M57-N57)</f>
        <v>0</v>
      </c>
      <c r="P57" s="155" t="str">
        <f aca="false">IF($Q57&lt;&gt;"",$Q57,IF(O57="","",IF(O57&lt;=-0.12,"P1",IF(O57&lt;=-0.06,"P2","P3"))))</f>
        <v>P3</v>
      </c>
      <c r="Q57" s="156"/>
      <c r="R57" s="155" t="str">
        <f aca="true">IF(G57="","",IF(I57&lt;&gt;"","Terminé",IF(G57&gt;TODAY(),"À venir",IF(H57&lt;TODAY(),"Terminé","En cours"))))</f>
        <v>Terminé</v>
      </c>
      <c r="S57" s="155"/>
      <c r="T57" s="43" t="s">
        <v>693</v>
      </c>
      <c r="U57" s="43" t="s">
        <v>693</v>
      </c>
      <c r="V57" s="43" t="s">
        <v>696</v>
      </c>
      <c r="W57" s="43" t="s">
        <v>695</v>
      </c>
      <c r="X57" s="43" t="s">
        <v>696</v>
      </c>
      <c r="Y57" s="157"/>
      <c r="Z57" s="134" t="n">
        <f aca="false">IF(R57="Terminé",IF(AND(G57&lt;&gt;"",I57&lt;&gt;""),NETWORKDAYS(G57,I57),D57),"")</f>
        <v>14</v>
      </c>
      <c r="AA57" s="134" t="str">
        <f aca="false">IF($A57="","",IF(COUNTIF(Skills!$A:$A,$A57)=0,"⚠ ID absent du roster",""))</f>
        <v/>
      </c>
      <c r="AB57" s="158"/>
    </row>
    <row r="58" customFormat="false" ht="15" hidden="true" customHeight="true" outlineLevel="0" collapsed="false">
      <c r="A58" s="159" t="s">
        <v>229</v>
      </c>
      <c r="B58" s="159" t="s">
        <v>61</v>
      </c>
      <c r="C58" s="43" t="str">
        <f aca="false">IF(LEFT(B58,2)="OS","QUILL FORMATION Valmont","QUILL FORMATION Ulman")</f>
        <v>QUILL FORMATION Ulman</v>
      </c>
      <c r="D58" s="43" t="n">
        <f aca="false">IF($A58="","",IF($C58="QUILL FORMATION Valmont",10,11))</f>
        <v>11</v>
      </c>
      <c r="E58" s="151" t="str">
        <f aca="false">IF($A58="","",IFERROR(VLOOKUP($A58,Skills!$A:$C,2,FALSE())&amp;" "&amp;VLOOKUP($A58,Skills!$A:$C,3,FALSE()),"Haxil Dellhaven"))</f>
        <v>Selan Dellgate</v>
      </c>
      <c r="F58" s="43" t="str">
        <f aca="false">IF($A58="","",IFERROR(IF(VLOOKUP($A58,Skills!$A:$D,4,FALSE())="","",VLOOKUP($A58,Skills!$A:$D,4,FALSE())),"Lisbonne"))</f>
        <v>Montréal</v>
      </c>
      <c r="G58" s="152" t="n">
        <v>46099</v>
      </c>
      <c r="H58" s="47" t="n">
        <f aca="false">IF(G58="","",WORKDAY(G58-1,D58+IF(J58="",0,J58)))</f>
        <v>46114</v>
      </c>
      <c r="I58" s="152" t="n">
        <v>46118</v>
      </c>
      <c r="J58" s="153" t="n">
        <v>1</v>
      </c>
      <c r="K58" s="43" t="n">
        <f aca="true">IF(G58="","",MIN(D58,MAX(0,NETWORKDAYS(G58,TODAY())-IF(J58="",0,J58))))</f>
        <v>11</v>
      </c>
      <c r="L58" s="43" t="n">
        <f aca="true">IF(G58="","",MAX(0,D58-(NETWORKDAYS(G58,TODAY())-IF(J58="",0,J58))))</f>
        <v>0</v>
      </c>
      <c r="M58" s="154" t="n">
        <v>1</v>
      </c>
      <c r="N58" s="44" t="n">
        <f aca="true">IFERROR(IF(OR(K58="",K58&lt;=0),"",IF(TODAY()&gt;H58,1,IF(K58-1=0,0,INDEX(OBJECTIVES!$O$2:$Q$12,MATCH(K58-1,OBJECTIVES!$N$2:$N$12,0),IF($C58="QUILL FORMATION Valmont",2,1))))),"")</f>
        <v>1</v>
      </c>
      <c r="O58" s="44" t="n">
        <f aca="false">IF(OR(N58="",M58=""),"",M58-N58)</f>
        <v>0</v>
      </c>
      <c r="P58" s="155" t="str">
        <f aca="false">IF($Q58&lt;&gt;"",$Q58,IF(O58="","",IF(O58&lt;=-0.12,"P1",IF(O58&lt;=-0.06,"P2","P3"))))</f>
        <v>P3</v>
      </c>
      <c r="Q58" s="156"/>
      <c r="R58" s="155" t="str">
        <f aca="true">IF(G58="","",IF(I58&lt;&gt;"","Terminé",IF(G58&gt;TODAY(),"À venir",IF(H58&lt;TODAY(),"Terminé","En cours"))))</f>
        <v>Terminé</v>
      </c>
      <c r="S58" s="155"/>
      <c r="T58" s="43" t="s">
        <v>693</v>
      </c>
      <c r="U58" s="43" t="s">
        <v>693</v>
      </c>
      <c r="V58" s="43" t="s">
        <v>696</v>
      </c>
      <c r="W58" s="43" t="s">
        <v>695</v>
      </c>
      <c r="X58" s="43" t="s">
        <v>696</v>
      </c>
      <c r="Y58" s="157"/>
      <c r="Z58" s="134" t="n">
        <f aca="false">IF(R58="Terminé",IF(AND(G58&lt;&gt;"",I58&lt;&gt;""),NETWORKDAYS(G58,I58),D58),"")</f>
        <v>14</v>
      </c>
      <c r="AA58" s="134" t="str">
        <f aca="false">IF($A58="","",IF(COUNTIF(Skills!$A:$A,$A58)=0,"⚠ ID absent du roster",""))</f>
        <v/>
      </c>
      <c r="AB58" s="158"/>
    </row>
    <row r="59" customFormat="false" ht="15" hidden="true" customHeight="true" outlineLevel="0" collapsed="false">
      <c r="A59" s="159" t="s">
        <v>569</v>
      </c>
      <c r="B59" s="159" t="s">
        <v>61</v>
      </c>
      <c r="C59" s="43" t="str">
        <f aca="false">IF(LEFT(B59,2)="OS","QUILL FORMATION Valmont","QUILL FORMATION Ulman")</f>
        <v>QUILL FORMATION Ulman</v>
      </c>
      <c r="D59" s="43" t="n">
        <f aca="false">IF($A59="","",IF($C59="QUILL FORMATION Valmont",10,11))</f>
        <v>11</v>
      </c>
      <c r="E59" s="151" t="str">
        <f aca="false">IF($A59="","",IFERROR(VLOOKUP($A59,Skills!$A:$C,2,FALSE())&amp;" "&amp;VLOOKUP($A59,Skills!$A:$C,3,FALSE()),"Haxil Dellhaven"))</f>
        <v>Grandale Vorus Torith Nevir</v>
      </c>
      <c r="F59" s="43" t="str">
        <f aca="false">IF($A59="","",IFERROR(IF(VLOOKUP($A59,Skills!$A:$D,4,FALSE())="","",VLOOKUP($A59,Skills!$A:$D,4,FALSE())),"Lisbonne"))</f>
        <v>Montréal</v>
      </c>
      <c r="G59" s="152" t="n">
        <v>46099</v>
      </c>
      <c r="H59" s="47" t="n">
        <f aca="false">IF(G59="","",WORKDAY(G59-1,D59+IF(J59="",0,J59)))</f>
        <v>46114</v>
      </c>
      <c r="I59" s="152" t="n">
        <v>46118</v>
      </c>
      <c r="J59" s="153" t="n">
        <v>1</v>
      </c>
      <c r="K59" s="43" t="n">
        <f aca="true">IF(G59="","",MIN(D59,MAX(0,NETWORKDAYS(G59,TODAY())-IF(J59="",0,J59))))</f>
        <v>11</v>
      </c>
      <c r="L59" s="43" t="n">
        <f aca="true">IF(G59="","",MAX(0,D59-(NETWORKDAYS(G59,TODAY())-IF(J59="",0,J59))))</f>
        <v>0</v>
      </c>
      <c r="M59" s="154" t="n">
        <v>1</v>
      </c>
      <c r="N59" s="44" t="n">
        <f aca="true">IFERROR(IF(OR(K59="",K59&lt;=0),"",IF(TODAY()&gt;H59,1,IF(K59-1=0,0,INDEX(OBJECTIVES!$O$2:$Q$12,MATCH(K59-1,OBJECTIVES!$N$2:$N$12,0),IF($C59="QUILL FORMATION Valmont",2,1))))),"")</f>
        <v>1</v>
      </c>
      <c r="O59" s="44" t="n">
        <f aca="false">IF(OR(N59="",M59=""),"",M59-N59)</f>
        <v>0</v>
      </c>
      <c r="P59" s="155" t="str">
        <f aca="false">IF($Q59&lt;&gt;"",$Q59,IF(O59="","",IF(O59&lt;=-0.12,"P1",IF(O59&lt;=-0.06,"P2","P3"))))</f>
        <v>P3</v>
      </c>
      <c r="Q59" s="156"/>
      <c r="R59" s="155" t="str">
        <f aca="true">IF(G59="","",IF(I59&lt;&gt;"","Terminé",IF(G59&gt;TODAY(),"À venir",IF(H59&lt;TODAY(),"Terminé","En cours"))))</f>
        <v>Terminé</v>
      </c>
      <c r="S59" s="155"/>
      <c r="T59" s="43" t="s">
        <v>693</v>
      </c>
      <c r="U59" s="43" t="s">
        <v>693</v>
      </c>
      <c r="V59" s="43" t="s">
        <v>696</v>
      </c>
      <c r="W59" s="43" t="s">
        <v>695</v>
      </c>
      <c r="X59" s="43" t="s">
        <v>696</v>
      </c>
      <c r="Y59" s="157"/>
      <c r="Z59" s="134" t="n">
        <f aca="false">IF(R59="Terminé",IF(AND(G59&lt;&gt;"",I59&lt;&gt;""),NETWORKDAYS(G59,I59),D59),"")</f>
        <v>14</v>
      </c>
      <c r="AA59" s="134" t="str">
        <f aca="false">IF($A59="","",IF(COUNTIF(Skills!$A:$A,$A59)=0,"⚠ ID absent du roster",""))</f>
        <v/>
      </c>
      <c r="AB59" s="158"/>
    </row>
    <row r="60" customFormat="false" ht="15" hidden="true" customHeight="true" outlineLevel="0" collapsed="false">
      <c r="A60" s="159" t="s">
        <v>589</v>
      </c>
      <c r="B60" s="159" t="s">
        <v>62</v>
      </c>
      <c r="C60" s="43" t="str">
        <f aca="false">IF(LEFT(B60,2)="OS","QUILL FORMATION Valmont","QUILL FORMATION Ulman")</f>
        <v>QUILL FORMATION Ulman</v>
      </c>
      <c r="D60" s="43" t="n">
        <f aca="false">IF($A60="","",IF($C60="QUILL FORMATION Valmont",10,11))</f>
        <v>11</v>
      </c>
      <c r="E60" s="151" t="str">
        <f aca="false">IF($A60="","",IFERROR(VLOOKUP($A60,Skills!$A:$C,2,FALSE())&amp;" "&amp;VLOOKUP($A60,Skills!$A:$C,3,FALSE()),"Haxil Dellhaven"))</f>
        <v>Pelay Valewood</v>
      </c>
      <c r="F60" s="43" t="str">
        <f aca="false">IF($A60="","",IFERROR(IF(VLOOKUP($A60,Skills!$A:$D,4,FALSE())="","",VLOOKUP($A60,Skills!$A:$D,4,FALSE())),"Lisbonne"))</f>
        <v>Montréal</v>
      </c>
      <c r="G60" s="152" t="n">
        <v>46125</v>
      </c>
      <c r="H60" s="47" t="n">
        <f aca="false">IF(G60="","",WORKDAY(G60-1,D60+IF(J60="",0,J60)))</f>
        <v>46139</v>
      </c>
      <c r="I60" s="152" t="n">
        <v>46141</v>
      </c>
      <c r="J60" s="153" t="n">
        <v>0</v>
      </c>
      <c r="K60" s="43" t="n">
        <f aca="true">IF(G60="","",MIN(D60,MAX(0,NETWORKDAYS(G60,TODAY())-IF(J60="",0,J60))))</f>
        <v>11</v>
      </c>
      <c r="L60" s="43" t="n">
        <f aca="true">IF(G60="","",MAX(0,D60-(NETWORKDAYS(G60,TODAY())-IF(J60="",0,J60))))</f>
        <v>0</v>
      </c>
      <c r="M60" s="154" t="n">
        <v>1</v>
      </c>
      <c r="N60" s="44" t="n">
        <f aca="true">IFERROR(IF(OR(K60="",K60&lt;=0),"",IF(TODAY()&gt;H60,1,IF(K60-1=0,0,INDEX(OBJECTIVES!$O$2:$Q$12,MATCH(K60-1,OBJECTIVES!$N$2:$N$12,0),IF($C60="QUILL FORMATION Valmont",2,1))))),"")</f>
        <v>1</v>
      </c>
      <c r="O60" s="44" t="n">
        <f aca="false">IF(OR(N60="",M60=""),"",M60-N60)</f>
        <v>0</v>
      </c>
      <c r="P60" s="155" t="str">
        <f aca="false">IF($Q60&lt;&gt;"",$Q60,IF(O60="","",IF(O60&lt;=-0.12,"P1",IF(O60&lt;=-0.06,"P2","P3"))))</f>
        <v>P3</v>
      </c>
      <c r="Q60" s="156"/>
      <c r="R60" s="155" t="str">
        <f aca="true">IF(G60="","",IF(I60&lt;&gt;"","Terminé",IF(G60&gt;TODAY(),"À venir",IF(H60&lt;TODAY(),"Terminé","En cours"))))</f>
        <v>Terminé</v>
      </c>
      <c r="S60" s="155"/>
      <c r="T60" s="43" t="s">
        <v>693</v>
      </c>
      <c r="U60" s="43" t="s">
        <v>693</v>
      </c>
      <c r="V60" s="43" t="s">
        <v>696</v>
      </c>
      <c r="W60" s="43" t="s">
        <v>695</v>
      </c>
      <c r="X60" s="43" t="s">
        <v>696</v>
      </c>
      <c r="Y60" s="157"/>
      <c r="Z60" s="134" t="n">
        <f aca="false">IF(R60="Terminé",IF(AND(G60&lt;&gt;"",I60&lt;&gt;""),NETWORKDAYS(G60,I60),D60),"")</f>
        <v>13</v>
      </c>
      <c r="AA60" s="134" t="str">
        <f aca="false">IF($A60="","",IF(COUNTIF(Skills!$A:$A,$A60)=0,"⚠ ID absent du roster",""))</f>
        <v/>
      </c>
      <c r="AB60" s="158"/>
    </row>
    <row r="61" customFormat="false" ht="15" hidden="true" customHeight="true" outlineLevel="0" collapsed="false">
      <c r="A61" s="159" t="s">
        <v>235</v>
      </c>
      <c r="B61" s="159" t="s">
        <v>62</v>
      </c>
      <c r="C61" s="43" t="str">
        <f aca="false">IF(LEFT(B61,2)="OS","QUILL FORMATION Valmont","QUILL FORMATION Ulman")</f>
        <v>QUILL FORMATION Ulman</v>
      </c>
      <c r="D61" s="43" t="n">
        <f aca="false">IF($A61="","",IF($C61="QUILL FORMATION Valmont",10,11))</f>
        <v>11</v>
      </c>
      <c r="E61" s="151" t="str">
        <f aca="false">IF($A61="","",IFERROR(VLOOKUP($A61,Skills!$A:$C,2,FALSE())&amp;" "&amp;VLOOKUP($A61,Skills!$A:$C,3,FALSE()),"Haxil Dellhaven"))</f>
        <v>Ulmys Corrvale</v>
      </c>
      <c r="F61" s="43" t="str">
        <f aca="false">IF($A61="","",IFERROR(IF(VLOOKUP($A61,Skills!$A:$D,4,FALSE())="","",VLOOKUP($A61,Skills!$A:$D,4,FALSE())),"Lisbonne"))</f>
        <v>Montréal</v>
      </c>
      <c r="G61" s="152" t="n">
        <v>46125</v>
      </c>
      <c r="H61" s="47" t="n">
        <f aca="false">IF(G61="","",WORKDAY(G61-1,D61+IF(J61="",0,J61)))</f>
        <v>46139</v>
      </c>
      <c r="I61" s="152" t="n">
        <v>46141</v>
      </c>
      <c r="J61" s="153" t="n">
        <v>0</v>
      </c>
      <c r="K61" s="43" t="n">
        <f aca="true">IF(G61="","",MIN(D61,MAX(0,NETWORKDAYS(G61,TODAY())-IF(J61="",0,J61))))</f>
        <v>11</v>
      </c>
      <c r="L61" s="43" t="n">
        <f aca="true">IF(G61="","",MAX(0,D61-(NETWORKDAYS(G61,TODAY())-IF(J61="",0,J61))))</f>
        <v>0</v>
      </c>
      <c r="M61" s="154" t="n">
        <v>1</v>
      </c>
      <c r="N61" s="44" t="n">
        <f aca="true">IFERROR(IF(OR(K61="",K61&lt;=0),"",IF(TODAY()&gt;H61,1,IF(K61-1=0,0,INDEX(OBJECTIVES!$O$2:$Q$12,MATCH(K61-1,OBJECTIVES!$N$2:$N$12,0),IF($C61="QUILL FORMATION Valmont",2,1))))),"")</f>
        <v>1</v>
      </c>
      <c r="O61" s="44" t="n">
        <f aca="false">IF(OR(N61="",M61=""),"",M61-N61)</f>
        <v>0</v>
      </c>
      <c r="P61" s="155" t="str">
        <f aca="false">IF($Q61&lt;&gt;"",$Q61,IF(O61="","",IF(O61&lt;=-0.12,"P1",IF(O61&lt;=-0.06,"P2","P3"))))</f>
        <v>P3</v>
      </c>
      <c r="Q61" s="156"/>
      <c r="R61" s="155" t="str">
        <f aca="true">IF(G61="","",IF(I61&lt;&gt;"","Terminé",IF(G61&gt;TODAY(),"À venir",IF(H61&lt;TODAY(),"Terminé","En cours"))))</f>
        <v>Terminé</v>
      </c>
      <c r="S61" s="155"/>
      <c r="T61" s="43" t="s">
        <v>693</v>
      </c>
      <c r="U61" s="43" t="s">
        <v>693</v>
      </c>
      <c r="V61" s="43" t="s">
        <v>696</v>
      </c>
      <c r="W61" s="43" t="s">
        <v>695</v>
      </c>
      <c r="X61" s="43" t="s">
        <v>696</v>
      </c>
      <c r="Y61" s="157"/>
      <c r="Z61" s="134" t="n">
        <f aca="false">IF(R61="Terminé",IF(AND(G61&lt;&gt;"",I61&lt;&gt;""),NETWORKDAYS(G61,I61),D61),"")</f>
        <v>13</v>
      </c>
      <c r="AA61" s="134" t="str">
        <f aca="false">IF($A61="","",IF(COUNTIF(Skills!$A:$A,$A61)=0,"⚠ ID absent du roster",""))</f>
        <v/>
      </c>
      <c r="AB61" s="158"/>
    </row>
    <row r="62" customFormat="false" ht="15" hidden="true" customHeight="true" outlineLevel="0" collapsed="false">
      <c r="A62" s="159" t="s">
        <v>572</v>
      </c>
      <c r="B62" s="159" t="s">
        <v>62</v>
      </c>
      <c r="C62" s="43" t="str">
        <f aca="false">IF(LEFT(B62,2)="OS","QUILL FORMATION Valmont","QUILL FORMATION Ulman")</f>
        <v>QUILL FORMATION Ulman</v>
      </c>
      <c r="D62" s="43" t="n">
        <f aca="false">IF($A62="","",IF($C62="QUILL FORMATION Valmont",10,11))</f>
        <v>11</v>
      </c>
      <c r="E62" s="151" t="str">
        <f aca="false">IF($A62="","",IFERROR(VLOOKUP($A62,Skills!$A:$C,2,FALSE())&amp;" "&amp;VLOOKUP($A62,Skills!$A:$C,3,FALSE()),"Haxil Dellhaven"))</f>
        <v>Wrenshaw Orinan</v>
      </c>
      <c r="F62" s="43" t="str">
        <f aca="false">IF($A62="","",IFERROR(IF(VLOOKUP($A62,Skills!$A:$D,4,FALSE())="","",VLOOKUP($A62,Skills!$A:$D,4,FALSE())),"Lisbonne"))</f>
        <v>Montréal</v>
      </c>
      <c r="G62" s="152" t="n">
        <v>46125</v>
      </c>
      <c r="H62" s="47" t="n">
        <f aca="false">IF(G62="","",WORKDAY(G62-1,D62+IF(J62="",0,J62)))</f>
        <v>46139</v>
      </c>
      <c r="I62" s="152" t="n">
        <v>46141</v>
      </c>
      <c r="J62" s="153" t="n">
        <v>0</v>
      </c>
      <c r="K62" s="43" t="n">
        <f aca="true">IF(G62="","",MIN(D62,MAX(0,NETWORKDAYS(G62,TODAY())-IF(J62="",0,J62))))</f>
        <v>11</v>
      </c>
      <c r="L62" s="43" t="n">
        <f aca="true">IF(G62="","",MAX(0,D62-(NETWORKDAYS(G62,TODAY())-IF(J62="",0,J62))))</f>
        <v>0</v>
      </c>
      <c r="M62" s="154" t="n">
        <v>1</v>
      </c>
      <c r="N62" s="44" t="n">
        <f aca="true">IFERROR(IF(OR(K62="",K62&lt;=0),"",IF(TODAY()&gt;H62,1,IF(K62-1=0,0,INDEX(OBJECTIVES!$O$2:$Q$12,MATCH(K62-1,OBJECTIVES!$N$2:$N$12,0),IF($C62="QUILL FORMATION Valmont",2,1))))),"")</f>
        <v>1</v>
      </c>
      <c r="O62" s="44" t="n">
        <f aca="false">IF(OR(N62="",M62=""),"",M62-N62)</f>
        <v>0</v>
      </c>
      <c r="P62" s="155" t="str">
        <f aca="false">IF($Q62&lt;&gt;"",$Q62,IF(O62="","",IF(O62&lt;=-0.12,"P1",IF(O62&lt;=-0.06,"P2","P3"))))</f>
        <v>P3</v>
      </c>
      <c r="Q62" s="156"/>
      <c r="R62" s="155" t="str">
        <f aca="true">IF(G62="","",IF(I62&lt;&gt;"","Terminé",IF(G62&gt;TODAY(),"À venir",IF(H62&lt;TODAY(),"Terminé","En cours"))))</f>
        <v>Terminé</v>
      </c>
      <c r="S62" s="155"/>
      <c r="T62" s="43" t="s">
        <v>693</v>
      </c>
      <c r="U62" s="43" t="s">
        <v>693</v>
      </c>
      <c r="V62" s="43" t="s">
        <v>696</v>
      </c>
      <c r="W62" s="43" t="s">
        <v>695</v>
      </c>
      <c r="X62" s="43" t="s">
        <v>696</v>
      </c>
      <c r="Y62" s="157"/>
      <c r="Z62" s="134" t="n">
        <f aca="false">IF(R62="Terminé",IF(AND(G62&lt;&gt;"",I62&lt;&gt;""),NETWORKDAYS(G62,I62),D62),"")</f>
        <v>13</v>
      </c>
      <c r="AA62" s="134" t="str">
        <f aca="false">IF($A62="","",IF(COUNTIF(Skills!$A:$A,$A62)=0,"⚠ ID absent du roster",""))</f>
        <v/>
      </c>
      <c r="AB62" s="158"/>
    </row>
    <row r="63" customFormat="false" ht="15" hidden="true" customHeight="true" outlineLevel="0" collapsed="false">
      <c r="A63" s="159" t="s">
        <v>551</v>
      </c>
      <c r="B63" s="159" t="s">
        <v>62</v>
      </c>
      <c r="C63" s="43" t="str">
        <f aca="false">IF(LEFT(B63,2)="OS","QUILL FORMATION Valmont","QUILL FORMATION Ulman")</f>
        <v>QUILL FORMATION Ulman</v>
      </c>
      <c r="D63" s="43" t="n">
        <f aca="false">IF($A63="","",IF($C63="QUILL FORMATION Valmont",10,11))</f>
        <v>11</v>
      </c>
      <c r="E63" s="151" t="str">
        <f aca="false">IF($A63="","",IFERROR(VLOOKUP($A63,Skills!$A:$C,2,FALSE())&amp;" "&amp;VLOOKUP($A63,Skills!$A:$C,3,FALSE()),"Haxil Dellhaven"))</f>
        <v>Valemere Wesea</v>
      </c>
      <c r="F63" s="43" t="str">
        <f aca="false">IF($A63="","",IFERROR(IF(VLOOKUP($A63,Skills!$A:$D,4,FALSE())="","",VLOOKUP($A63,Skills!$A:$D,4,FALSE())),"Lisbonne"))</f>
        <v>Montréal</v>
      </c>
      <c r="G63" s="152" t="n">
        <v>46125</v>
      </c>
      <c r="H63" s="47" t="n">
        <f aca="false">IF(G63="","",WORKDAY(G63-1,D63+IF(J63="",0,J63)))</f>
        <v>46139</v>
      </c>
      <c r="I63" s="152" t="n">
        <v>46141</v>
      </c>
      <c r="J63" s="153" t="n">
        <v>0</v>
      </c>
      <c r="K63" s="43" t="n">
        <f aca="true">IF(G63="","",MIN(D63,MAX(0,NETWORKDAYS(G63,TODAY())-IF(J63="",0,J63))))</f>
        <v>11</v>
      </c>
      <c r="L63" s="43" t="n">
        <f aca="true">IF(G63="","",MAX(0,D63-(NETWORKDAYS(G63,TODAY())-IF(J63="",0,J63))))</f>
        <v>0</v>
      </c>
      <c r="M63" s="154" t="n">
        <v>1</v>
      </c>
      <c r="N63" s="44" t="n">
        <f aca="true">IFERROR(IF(OR(K63="",K63&lt;=0),"",IF(TODAY()&gt;H63,1,IF(K63-1=0,0,INDEX(OBJECTIVES!$O$2:$Q$12,MATCH(K63-1,OBJECTIVES!$N$2:$N$12,0),IF($C63="QUILL FORMATION Valmont",2,1))))),"")</f>
        <v>1</v>
      </c>
      <c r="O63" s="44" t="n">
        <f aca="false">IF(OR(N63="",M63=""),"",M63-N63)</f>
        <v>0</v>
      </c>
      <c r="P63" s="155" t="str">
        <f aca="false">IF($Q63&lt;&gt;"",$Q63,IF(O63="","",IF(O63&lt;=-0.12,"P1",IF(O63&lt;=-0.06,"P2","P3"))))</f>
        <v>P3</v>
      </c>
      <c r="Q63" s="156"/>
      <c r="R63" s="155" t="str">
        <f aca="true">IF(G63="","",IF(I63&lt;&gt;"","Terminé",IF(G63&gt;TODAY(),"À venir",IF(H63&lt;TODAY(),"Terminé","En cours"))))</f>
        <v>Terminé</v>
      </c>
      <c r="S63" s="155"/>
      <c r="T63" s="43" t="s">
        <v>693</v>
      </c>
      <c r="U63" s="43" t="s">
        <v>693</v>
      </c>
      <c r="V63" s="43" t="s">
        <v>696</v>
      </c>
      <c r="W63" s="43" t="s">
        <v>695</v>
      </c>
      <c r="X63" s="43" t="s">
        <v>696</v>
      </c>
      <c r="Y63" s="157"/>
      <c r="Z63" s="134" t="n">
        <f aca="false">IF(R63="Terminé",IF(AND(G63&lt;&gt;"",I63&lt;&gt;""),NETWORKDAYS(G63,I63),D63),"")</f>
        <v>13</v>
      </c>
      <c r="AA63" s="134" t="str">
        <f aca="false">IF($A63="","",IF(COUNTIF(Skills!$A:$A,$A63)=0,"⚠ ID absent du roster",""))</f>
        <v/>
      </c>
      <c r="AB63" s="158"/>
    </row>
    <row r="64" customFormat="false" ht="15" hidden="true" customHeight="true" outlineLevel="0" collapsed="false">
      <c r="A64" s="159" t="s">
        <v>329</v>
      </c>
      <c r="B64" s="159" t="s">
        <v>62</v>
      </c>
      <c r="C64" s="43" t="str">
        <f aca="false">IF(LEFT(B64,2)="OS","QUILL FORMATION Valmont","QUILL FORMATION Ulman")</f>
        <v>QUILL FORMATION Ulman</v>
      </c>
      <c r="D64" s="43" t="n">
        <f aca="false">IF($A64="","",IF($C64="QUILL FORMATION Valmont",10,11))</f>
        <v>11</v>
      </c>
      <c r="E64" s="151" t="str">
        <f aca="false">IF($A64="","",IFERROR(VLOOKUP($A64,Skills!$A:$C,2,FALSE())&amp;" "&amp;VLOOKUP($A64,Skills!$A:$C,3,FALSE()),"Haxil Dellhaven"))</f>
        <v>Stelcroft Jorea Calon</v>
      </c>
      <c r="F64" s="43" t="str">
        <f aca="false">IF($A64="","",IFERROR(IF(VLOOKUP($A64,Skills!$A:$D,4,FALSE())="","",VLOOKUP($A64,Skills!$A:$D,4,FALSE())),"Lisbonne"))</f>
        <v>Montréal</v>
      </c>
      <c r="G64" s="152" t="n">
        <v>46125</v>
      </c>
      <c r="H64" s="47" t="n">
        <f aca="false">IF(G64="","",WORKDAY(G64-1,D64+IF(J64="",0,J64)))</f>
        <v>46139</v>
      </c>
      <c r="I64" s="152" t="n">
        <v>46141</v>
      </c>
      <c r="J64" s="153" t="n">
        <v>0</v>
      </c>
      <c r="K64" s="43" t="n">
        <f aca="true">IF(G64="","",MIN(D64,MAX(0,NETWORKDAYS(G64,TODAY())-IF(J64="",0,J64))))</f>
        <v>11</v>
      </c>
      <c r="L64" s="43" t="n">
        <f aca="true">IF(G64="","",MAX(0,D64-(NETWORKDAYS(G64,TODAY())-IF(J64="",0,J64))))</f>
        <v>0</v>
      </c>
      <c r="M64" s="154" t="n">
        <v>1</v>
      </c>
      <c r="N64" s="44" t="n">
        <f aca="true">IFERROR(IF(OR(K64="",K64&lt;=0),"",IF(TODAY()&gt;H64,1,IF(K64-1=0,0,INDEX(OBJECTIVES!$O$2:$Q$12,MATCH(K64-1,OBJECTIVES!$N$2:$N$12,0),IF($C64="QUILL FORMATION Valmont",2,1))))),"")</f>
        <v>1</v>
      </c>
      <c r="O64" s="44" t="n">
        <f aca="false">IF(OR(N64="",M64=""),"",M64-N64)</f>
        <v>0</v>
      </c>
      <c r="P64" s="155" t="str">
        <f aca="false">IF($Q64&lt;&gt;"",$Q64,IF(O64="","",IF(O64&lt;=-0.12,"P1",IF(O64&lt;=-0.06,"P2","P3"))))</f>
        <v>P3</v>
      </c>
      <c r="Q64" s="156"/>
      <c r="R64" s="155" t="str">
        <f aca="true">IF(G64="","",IF(I64&lt;&gt;"","Terminé",IF(G64&gt;TODAY(),"À venir",IF(H64&lt;TODAY(),"Terminé","En cours"))))</f>
        <v>Terminé</v>
      </c>
      <c r="S64" s="155"/>
      <c r="T64" s="43" t="s">
        <v>693</v>
      </c>
      <c r="U64" s="43" t="s">
        <v>693</v>
      </c>
      <c r="V64" s="43" t="s">
        <v>696</v>
      </c>
      <c r="W64" s="43" t="s">
        <v>695</v>
      </c>
      <c r="X64" s="43" t="s">
        <v>696</v>
      </c>
      <c r="Y64" s="157"/>
      <c r="Z64" s="134" t="n">
        <f aca="false">IF(R64="Terminé",IF(AND(G64&lt;&gt;"",I64&lt;&gt;""),NETWORKDAYS(G64,I64),D64),"")</f>
        <v>13</v>
      </c>
      <c r="AA64" s="134" t="str">
        <f aca="false">IF($A64="","",IF(COUNTIF(Skills!$A:$A,$A64)=0,"⚠ ID absent du roster",""))</f>
        <v/>
      </c>
      <c r="AB64" s="158"/>
    </row>
    <row r="65" customFormat="false" ht="15" hidden="true" customHeight="true" outlineLevel="0" collapsed="false">
      <c r="A65" s="159" t="s">
        <v>482</v>
      </c>
      <c r="B65" s="159" t="s">
        <v>62</v>
      </c>
      <c r="C65" s="43" t="str">
        <f aca="false">IF(LEFT(B65,2)="OS","QUILL FORMATION Valmont","QUILL FORMATION Ulman")</f>
        <v>QUILL FORMATION Ulman</v>
      </c>
      <c r="D65" s="43" t="n">
        <f aca="false">IF($A65="","",IF($C65="QUILL FORMATION Valmont",10,11))</f>
        <v>11</v>
      </c>
      <c r="E65" s="151" t="str">
        <f aca="false">IF($A65="","",IFERROR(VLOOKUP($A65,Skills!$A:$C,2,FALSE())&amp;" "&amp;VLOOKUP($A65,Skills!$A:$C,3,FALSE()),"Haxil Dellhaven"))</f>
        <v>Pelic Doren</v>
      </c>
      <c r="F65" s="43" t="str">
        <f aca="false">IF($A65="","",IFERROR(IF(VLOOKUP($A65,Skills!$A:$D,4,FALSE())="","",VLOOKUP($A65,Skills!$A:$D,4,FALSE())),"Lisbonne"))</f>
        <v>Montréal</v>
      </c>
      <c r="G65" s="152" t="n">
        <v>46125</v>
      </c>
      <c r="H65" s="47" t="n">
        <f aca="false">IF(G65="","",WORKDAY(G65-1,D65+IF(J65="",0,J65)))</f>
        <v>46139</v>
      </c>
      <c r="I65" s="152" t="n">
        <v>46141</v>
      </c>
      <c r="J65" s="153" t="n">
        <v>0</v>
      </c>
      <c r="K65" s="43" t="n">
        <f aca="true">IF(G65="","",MIN(D65,MAX(0,NETWORKDAYS(G65,TODAY())-IF(J65="",0,J65))))</f>
        <v>11</v>
      </c>
      <c r="L65" s="43" t="n">
        <f aca="true">IF(G65="","",MAX(0,D65-(NETWORKDAYS(G65,TODAY())-IF(J65="",0,J65))))</f>
        <v>0</v>
      </c>
      <c r="M65" s="154" t="n">
        <v>1</v>
      </c>
      <c r="N65" s="44" t="n">
        <f aca="true">IFERROR(IF(OR(K65="",K65&lt;=0),"",IF(TODAY()&gt;H65,1,IF(K65-1=0,0,INDEX(OBJECTIVES!$O$2:$Q$12,MATCH(K65-1,OBJECTIVES!$N$2:$N$12,0),IF($C65="QUILL FORMATION Valmont",2,1))))),"")</f>
        <v>1</v>
      </c>
      <c r="O65" s="44" t="n">
        <f aca="false">IF(OR(N65="",M65=""),"",M65-N65)</f>
        <v>0</v>
      </c>
      <c r="P65" s="155" t="str">
        <f aca="false">IF($Q65&lt;&gt;"",$Q65,IF(O65="","",IF(O65&lt;=-0.12,"P1",IF(O65&lt;=-0.06,"P2","P3"))))</f>
        <v>P3</v>
      </c>
      <c r="Q65" s="156"/>
      <c r="R65" s="155" t="str">
        <f aca="true">IF(G65="","",IF(I65&lt;&gt;"","Terminé",IF(G65&gt;TODAY(),"À venir",IF(H65&lt;TODAY(),"Terminé","En cours"))))</f>
        <v>Terminé</v>
      </c>
      <c r="S65" s="155"/>
      <c r="T65" s="43" t="s">
        <v>693</v>
      </c>
      <c r="U65" s="43" t="s">
        <v>693</v>
      </c>
      <c r="V65" s="43" t="s">
        <v>696</v>
      </c>
      <c r="W65" s="43" t="s">
        <v>695</v>
      </c>
      <c r="X65" s="43" t="s">
        <v>696</v>
      </c>
      <c r="Y65" s="157"/>
      <c r="Z65" s="134" t="n">
        <f aca="false">IF(R65="Terminé",IF(AND(G65&lt;&gt;"",I65&lt;&gt;""),NETWORKDAYS(G65,I65),D65),"")</f>
        <v>13</v>
      </c>
      <c r="AA65" s="134" t="str">
        <f aca="false">IF($A65="","",IF(COUNTIF(Skills!$A:$A,$A65)=0,"⚠ ID absent du roster",""))</f>
        <v/>
      </c>
      <c r="AB65" s="158"/>
    </row>
    <row r="66" customFormat="false" ht="15" hidden="true" customHeight="true" outlineLevel="0" collapsed="false">
      <c r="A66" s="159" t="s">
        <v>305</v>
      </c>
      <c r="B66" s="159" t="s">
        <v>62</v>
      </c>
      <c r="C66" s="43" t="str">
        <f aca="false">IF(LEFT(B66,2)="OS","QUILL FORMATION Valmont","QUILL FORMATION Ulman")</f>
        <v>QUILL FORMATION Ulman</v>
      </c>
      <c r="D66" s="43" t="n">
        <f aca="false">IF($A66="","",IF($C66="QUILL FORMATION Valmont",10,11))</f>
        <v>11</v>
      </c>
      <c r="E66" s="151" t="str">
        <f aca="false">IF($A66="","",IFERROR(VLOOKUP($A66,Skills!$A:$C,2,FALSE())&amp;" "&amp;VLOOKUP($A66,Skills!$A:$C,3,FALSE()),"Haxil Dellhaven"))</f>
        <v>Bramwood Kendhaven</v>
      </c>
      <c r="F66" s="43" t="str">
        <f aca="false">IF($A66="","",IFERROR(IF(VLOOKUP($A66,Skills!$A:$D,4,FALSE())="","",VLOOKUP($A66,Skills!$A:$D,4,FALSE())),"Lisbonne"))</f>
        <v>Montréal</v>
      </c>
      <c r="G66" s="152" t="n">
        <v>46125</v>
      </c>
      <c r="H66" s="47" t="n">
        <f aca="false">IF(G66="","",WORKDAY(G66-1,D66+IF(J66="",0,J66)))</f>
        <v>46139</v>
      </c>
      <c r="I66" s="152" t="n">
        <v>46141</v>
      </c>
      <c r="J66" s="153" t="n">
        <v>0</v>
      </c>
      <c r="K66" s="43" t="n">
        <f aca="true">IF(G66="","",MIN(D66,MAX(0,NETWORKDAYS(G66,TODAY())-IF(J66="",0,J66))))</f>
        <v>11</v>
      </c>
      <c r="L66" s="43" t="n">
        <f aca="true">IF(G66="","",MAX(0,D66-(NETWORKDAYS(G66,TODAY())-IF(J66="",0,J66))))</f>
        <v>0</v>
      </c>
      <c r="M66" s="154" t="n">
        <v>1</v>
      </c>
      <c r="N66" s="44" t="n">
        <f aca="true">IFERROR(IF(OR(K66="",K66&lt;=0),"",IF(TODAY()&gt;H66,1,IF(K66-1=0,0,INDEX(OBJECTIVES!$O$2:$Q$12,MATCH(K66-1,OBJECTIVES!$N$2:$N$12,0),IF($C66="QUILL FORMATION Valmont",2,1))))),"")</f>
        <v>1</v>
      </c>
      <c r="O66" s="44" t="n">
        <f aca="false">IF(OR(N66="",M66=""),"",M66-N66)</f>
        <v>0</v>
      </c>
      <c r="P66" s="155" t="str">
        <f aca="false">IF($Q66&lt;&gt;"",$Q66,IF(O66="","",IF(O66&lt;=-0.12,"P1",IF(O66&lt;=-0.06,"P2","P3"))))</f>
        <v>P3</v>
      </c>
      <c r="Q66" s="156"/>
      <c r="R66" s="155" t="str">
        <f aca="true">IF(G66="","",IF(I66&lt;&gt;"","Terminé",IF(G66&gt;TODAY(),"À venir",IF(H66&lt;TODAY(),"Terminé","En cours"))))</f>
        <v>Terminé</v>
      </c>
      <c r="S66" s="155"/>
      <c r="T66" s="43" t="s">
        <v>693</v>
      </c>
      <c r="U66" s="43" t="s">
        <v>693</v>
      </c>
      <c r="V66" s="43" t="s">
        <v>696</v>
      </c>
      <c r="W66" s="43" t="s">
        <v>695</v>
      </c>
      <c r="X66" s="43" t="s">
        <v>696</v>
      </c>
      <c r="Y66" s="157"/>
      <c r="Z66" s="134" t="n">
        <f aca="false">IF(R66="Terminé",IF(AND(G66&lt;&gt;"",I66&lt;&gt;""),NETWORKDAYS(G66,I66),D66),"")</f>
        <v>13</v>
      </c>
      <c r="AA66" s="134" t="str">
        <f aca="false">IF($A66="","",IF(COUNTIF(Skills!$A:$A,$A66)=0,"⚠ ID absent du roster",""))</f>
        <v/>
      </c>
      <c r="AB66" s="158"/>
    </row>
    <row r="67" customFormat="false" ht="15" hidden="true" customHeight="true" outlineLevel="0" collapsed="false">
      <c r="A67" s="159" t="s">
        <v>420</v>
      </c>
      <c r="B67" s="159" t="s">
        <v>62</v>
      </c>
      <c r="C67" s="43" t="str">
        <f aca="false">IF(LEFT(B67,2)="OS","QUILL FORMATION Valmont","QUILL FORMATION Ulman")</f>
        <v>QUILL FORMATION Ulman</v>
      </c>
      <c r="D67" s="43" t="n">
        <f aca="false">IF($A67="","",IF($C67="QUILL FORMATION Valmont",10,11))</f>
        <v>11</v>
      </c>
      <c r="E67" s="151" t="str">
        <f aca="false">IF($A67="","",IFERROR(VLOOKUP($A67,Skills!$A:$C,2,FALSE())&amp;" "&amp;VLOOKUP($A67,Skills!$A:$C,3,FALSE()),"Haxil Dellhaven"))</f>
        <v>Vorith Norfield</v>
      </c>
      <c r="F67" s="43" t="str">
        <f aca="false">IF($A67="","",IFERROR(IF(VLOOKUP($A67,Skills!$A:$D,4,FALSE())="","",VLOOKUP($A67,Skills!$A:$D,4,FALSE())),"Lisbonne"))</f>
        <v>Montréal</v>
      </c>
      <c r="G67" s="152" t="n">
        <v>46125</v>
      </c>
      <c r="H67" s="47" t="n">
        <f aca="false">IF(G67="","",WORKDAY(G67-1,D67+IF(J67="",0,J67)))</f>
        <v>46139</v>
      </c>
      <c r="I67" s="152" t="n">
        <v>46143</v>
      </c>
      <c r="J67" s="153" t="n">
        <v>0</v>
      </c>
      <c r="K67" s="43" t="n">
        <f aca="true">IF(G67="","",MIN(D67,MAX(0,NETWORKDAYS(G67,TODAY())-IF(J67="",0,J67))))</f>
        <v>11</v>
      </c>
      <c r="L67" s="43" t="n">
        <f aca="true">IF(G67="","",MAX(0,D67-(NETWORKDAYS(G67,TODAY())-IF(J67="",0,J67))))</f>
        <v>0</v>
      </c>
      <c r="M67" s="154" t="n">
        <v>1</v>
      </c>
      <c r="N67" s="44" t="n">
        <f aca="true">IFERROR(IF(OR(K67="",K67&lt;=0),"",IF(TODAY()&gt;H67,1,IF(K67-1=0,0,INDEX(OBJECTIVES!$O$2:$Q$12,MATCH(K67-1,OBJECTIVES!$N$2:$N$12,0),IF($C67="QUILL FORMATION Valmont",2,1))))),"")</f>
        <v>1</v>
      </c>
      <c r="O67" s="44" t="n">
        <f aca="false">IF(OR(N67="",M67=""),"",M67-N67)</f>
        <v>0</v>
      </c>
      <c r="P67" s="155" t="str">
        <f aca="false">IF($Q67&lt;&gt;"",$Q67,IF(O67="","",IF(O67&lt;=-0.12,"P1",IF(O67&lt;=-0.06,"P2","P3"))))</f>
        <v>P3</v>
      </c>
      <c r="Q67" s="156"/>
      <c r="R67" s="155" t="str">
        <f aca="true">IF(G67="","",IF(I67&lt;&gt;"","Terminé",IF(G67&gt;TODAY(),"À venir",IF(H67&lt;TODAY(),"Terminé","En cours"))))</f>
        <v>Terminé</v>
      </c>
      <c r="S67" s="155"/>
      <c r="T67" s="43" t="s">
        <v>693</v>
      </c>
      <c r="U67" s="43" t="s">
        <v>693</v>
      </c>
      <c r="V67" s="43" t="s">
        <v>696</v>
      </c>
      <c r="W67" s="43" t="s">
        <v>695</v>
      </c>
      <c r="X67" s="43" t="s">
        <v>696</v>
      </c>
      <c r="Y67" s="157"/>
      <c r="Z67" s="134" t="n">
        <f aca="false">IF(R67="Terminé",IF(AND(G67&lt;&gt;"",I67&lt;&gt;""),NETWORKDAYS(G67,I67),D67),"")</f>
        <v>15</v>
      </c>
      <c r="AA67" s="134" t="str">
        <f aca="false">IF($A67="","",IF(COUNTIF(Skills!$A:$A,$A67)=0,"⚠ ID absent du roster",""))</f>
        <v/>
      </c>
      <c r="AB67" s="158"/>
    </row>
    <row r="68" customFormat="false" ht="15" hidden="true" customHeight="true" outlineLevel="0" collapsed="false">
      <c r="A68" s="159" t="s">
        <v>253</v>
      </c>
      <c r="B68" s="159" t="s">
        <v>63</v>
      </c>
      <c r="C68" s="43" t="str">
        <f aca="false">IF(LEFT(B68,2)="OS","QUILL FORMATION Valmont","QUILL FORMATION Ulman")</f>
        <v>QUILL FORMATION Ulman</v>
      </c>
      <c r="D68" s="43" t="n">
        <f aca="false">IF($A68="","",IF($C68="QUILL FORMATION Valmont",10,11))</f>
        <v>11</v>
      </c>
      <c r="E68" s="151" t="str">
        <f aca="false">IF($A68="","",IFERROR(VLOOKUP($A68,Skills!$A:$C,2,FALSE())&amp;" "&amp;VLOOKUP($A68,Skills!$A:$C,3,FALSE()),"Haxil Dellhaven"))</f>
        <v>Larkmere Braon</v>
      </c>
      <c r="F68" s="43" t="str">
        <f aca="false">IF($A68="","",IFERROR(IF(VLOOKUP($A68,Skills!$A:$D,4,FALSE())="","",VLOOKUP($A68,Skills!$A:$D,4,FALSE())),"Lisbonne"))</f>
        <v>Montréal</v>
      </c>
      <c r="G68" s="152" t="n">
        <v>46146</v>
      </c>
      <c r="H68" s="47" t="n">
        <f aca="false">IF(G68="","",WORKDAY(G68-1,D68+IF(J68="",0,J68)))</f>
        <v>46161</v>
      </c>
      <c r="I68" s="152" t="n">
        <v>46160</v>
      </c>
      <c r="J68" s="153" t="n">
        <v>1</v>
      </c>
      <c r="K68" s="43" t="n">
        <f aca="true">IF(G68="","",MIN(D68,MAX(0,NETWORKDAYS(G68,TODAY())-IF(J68="",0,J68))))</f>
        <v>11</v>
      </c>
      <c r="L68" s="43" t="n">
        <f aca="true">IF(G68="","",MAX(0,D68-(NETWORKDAYS(G68,TODAY())-IF(J68="",0,J68))))</f>
        <v>0</v>
      </c>
      <c r="M68" s="154" t="n">
        <v>1</v>
      </c>
      <c r="N68" s="44" t="n">
        <f aca="true">IFERROR(IF(OR(K68="",K68&lt;=0),"",IF(TODAY()&gt;H68,1,IF(K68-1=0,0,INDEX(OBJECTIVES!$O$2:$Q$12,MATCH(K68-1,OBJECTIVES!$N$2:$N$12,0),IF($C68="QUILL FORMATION Valmont",2,1))))),"")</f>
        <v>1</v>
      </c>
      <c r="O68" s="44" t="n">
        <f aca="false">IF(OR(N68="",M68=""),"",M68-N68)</f>
        <v>0</v>
      </c>
      <c r="P68" s="155" t="str">
        <f aca="false">IF($Q68&lt;&gt;"",$Q68,IF(O68="","",IF(O68&lt;=-0.12,"P1",IF(O68&lt;=-0.06,"P2","P3"))))</f>
        <v>P3</v>
      </c>
      <c r="Q68" s="156"/>
      <c r="R68" s="155" t="str">
        <f aca="true">IF(G68="","",IF(I68&lt;&gt;"","Terminé",IF(G68&gt;TODAY(),"À venir",IF(H68&lt;TODAY(),"Terminé","En cours"))))</f>
        <v>Terminé</v>
      </c>
      <c r="S68" s="155"/>
      <c r="T68" s="43" t="s">
        <v>693</v>
      </c>
      <c r="U68" s="43" t="s">
        <v>693</v>
      </c>
      <c r="V68" s="43" t="s">
        <v>696</v>
      </c>
      <c r="W68" s="43" t="s">
        <v>695</v>
      </c>
      <c r="X68" s="43" t="s">
        <v>696</v>
      </c>
      <c r="Y68" s="157"/>
      <c r="Z68" s="134" t="n">
        <f aca="false">IF(R68="Terminé",IF(AND(G68&lt;&gt;"",I68&lt;&gt;""),NETWORKDAYS(G68,I68),D68),"")</f>
        <v>11</v>
      </c>
      <c r="AA68" s="134" t="str">
        <f aca="false">IF($A68="","",IF(COUNTIF(Skills!$A:$A,$A68)=0,"⚠ ID absent du roster",""))</f>
        <v/>
      </c>
      <c r="AB68" s="158"/>
    </row>
    <row r="69" customFormat="false" ht="15" hidden="true" customHeight="true" outlineLevel="0" collapsed="false">
      <c r="A69" s="159" t="s">
        <v>602</v>
      </c>
      <c r="B69" s="159" t="s">
        <v>120</v>
      </c>
      <c r="C69" s="43" t="str">
        <f aca="false">IF(LEFT(B69,2)="OS","QUILL FORMATION Valmont","QUILL FORMATION Ulman")</f>
        <v>QUILL FORMATION Valmont</v>
      </c>
      <c r="D69" s="43" t="n">
        <f aca="false">IF($A69="","",IF($C69="QUILL FORMATION Valmont",10,11))</f>
        <v>10</v>
      </c>
      <c r="E69" s="151" t="str">
        <f aca="false">IF($A69="","",IFERROR(VLOOKUP($A69,Skills!$A:$C,2,FALSE())&amp;" "&amp;VLOOKUP($A69,Skills!$A:$C,3,FALSE()),"Haxil Dellhaven"))</f>
        <v>Thorndale Holthaven</v>
      </c>
      <c r="F69" s="43" t="str">
        <f aca="false">IF($A69="","",IFERROR(IF(VLOOKUP($A69,Skills!$A:$D,4,FALSE())="","",VLOOKUP($A69,Skills!$A:$D,4,FALSE())),"Lisbonne"))</f>
        <v>Lisbonne</v>
      </c>
      <c r="G69" s="152" t="n">
        <v>46163</v>
      </c>
      <c r="H69" s="47" t="n">
        <f aca="false">IF(G69="","",WORKDAY(G69-1,D69+IF(J69="",0,J69)))</f>
        <v>46176</v>
      </c>
      <c r="I69" s="152"/>
      <c r="J69" s="153" t="n">
        <v>0</v>
      </c>
      <c r="K69" s="43" t="n">
        <f aca="true">IF(G69="","",MIN(D69,MAX(0,NETWORKDAYS(G69,TODAY())-IF(J69="",0,J69))))</f>
        <v>10</v>
      </c>
      <c r="L69" s="43" t="n">
        <f aca="true">IF(G69="","",MAX(0,D69-(NETWORKDAYS(G69,TODAY())-IF(J69="",0,J69))))</f>
        <v>0</v>
      </c>
      <c r="M69" s="154" t="n">
        <v>0.82</v>
      </c>
      <c r="N69" s="44" t="n">
        <f aca="true">IFERROR(IF(OR(K69="",K69&lt;=0),"",IF(TODAY()&gt;H69,1,IF(K69-1=0,0,INDEX(OBJECTIVES!$O$2:$Q$12,MATCH(K69-1,OBJECTIVES!$N$2:$N$12,0),IF($C69="QUILL FORMATION Valmont",2,1))))),"")</f>
        <v>1</v>
      </c>
      <c r="O69" s="44" t="n">
        <f aca="false">IF(OR(N69="",M69=""),"",M69-N69)</f>
        <v>-0.18</v>
      </c>
      <c r="P69" s="155" t="str">
        <f aca="false">IF($Q69&lt;&gt;"",$Q69,IF(O69="","",IF(O69&lt;=-0.12,"P1",IF(O69&lt;=-0.06,"P2","P3"))))</f>
        <v>P1</v>
      </c>
      <c r="Q69" s="156"/>
      <c r="R69" s="155" t="str">
        <f aca="true">IF(G69="","",IF(I69&lt;&gt;"","Terminé",IF(G69&gt;TODAY(),"À venir",IF(H69&lt;TODAY(),"Terminé","En cours"))))</f>
        <v>Terminé</v>
      </c>
      <c r="S69" s="155"/>
      <c r="T69" s="43"/>
      <c r="U69" s="43" t="s">
        <v>697</v>
      </c>
      <c r="V69" s="43" t="s">
        <v>694</v>
      </c>
      <c r="W69" s="43"/>
      <c r="X69" s="43"/>
      <c r="Y69" s="157"/>
      <c r="Z69" s="134" t="n">
        <f aca="false">IF(R69="Terminé",IF(AND(G69&lt;&gt;"",I69&lt;&gt;""),NETWORKDAYS(G69,I69),D69),"")</f>
        <v>10</v>
      </c>
      <c r="AA69" s="134" t="str">
        <f aca="false">IF($A69="","",IF(COUNTIF(Skills!$A:$A,$A69)=0,"⚠ ID absent du roster",""))</f>
        <v/>
      </c>
      <c r="AB69" s="158" t="n">
        <v>2</v>
      </c>
    </row>
    <row r="70" customFormat="false" ht="15" hidden="true" customHeight="true" outlineLevel="0" collapsed="false">
      <c r="A70" s="159" t="s">
        <v>605</v>
      </c>
      <c r="B70" s="159" t="s">
        <v>120</v>
      </c>
      <c r="C70" s="43" t="str">
        <f aca="false">IF(LEFT(B70,2)="OS","QUILL FORMATION Valmont","QUILL FORMATION Ulman")</f>
        <v>QUILL FORMATION Valmont</v>
      </c>
      <c r="D70" s="43" t="n">
        <f aca="false">IF($A70="","",IF($C70="QUILL FORMATION Valmont",10,11))</f>
        <v>10</v>
      </c>
      <c r="E70" s="151" t="str">
        <f aca="false">IF($A70="","",IFERROR(VLOOKUP($A70,Skills!$A:$C,2,FALSE())&amp;" "&amp;VLOOKUP($A70,Skills!$A:$C,3,FALSE()),"Haxil Dellhaven"))</f>
        <v>Holtdale Wrenmere</v>
      </c>
      <c r="F70" s="43" t="str">
        <f aca="false">IF($A70="","",IFERROR(IF(VLOOKUP($A70,Skills!$A:$D,4,FALSE())="","",VLOOKUP($A70,Skills!$A:$D,4,FALSE())),"Lisbonne"))</f>
        <v>Lisbonne</v>
      </c>
      <c r="G70" s="152" t="n">
        <v>46163</v>
      </c>
      <c r="H70" s="47" t="n">
        <f aca="false">IF(G70="","",WORKDAY(G70-1,D70+IF(J70="",0,J70)))</f>
        <v>46176</v>
      </c>
      <c r="I70" s="152"/>
      <c r="J70" s="153" t="n">
        <v>0</v>
      </c>
      <c r="K70" s="43" t="n">
        <f aca="true">IF(G70="","",MIN(D70,MAX(0,NETWORKDAYS(G70,TODAY())-IF(J70="",0,J70))))</f>
        <v>10</v>
      </c>
      <c r="L70" s="43" t="n">
        <f aca="true">IF(G70="","",MAX(0,D70-(NETWORKDAYS(G70,TODAY())-IF(J70="",0,J70))))</f>
        <v>0</v>
      </c>
      <c r="M70" s="154" t="n">
        <v>0.84</v>
      </c>
      <c r="N70" s="44" t="n">
        <f aca="true">IFERROR(IF(OR(K70="",K70&lt;=0),"",IF(TODAY()&gt;H70,1,IF(K70-1=0,0,INDEX(OBJECTIVES!$O$2:$Q$12,MATCH(K70-1,OBJECTIVES!$N$2:$N$12,0),IF($C70="QUILL FORMATION Valmont",2,1))))),"")</f>
        <v>1</v>
      </c>
      <c r="O70" s="44" t="n">
        <f aca="false">IF(OR(N70="",M70=""),"",M70-N70)</f>
        <v>-0.16</v>
      </c>
      <c r="P70" s="155" t="str">
        <f aca="false">IF($Q70&lt;&gt;"",$Q70,IF(O70="","",IF(O70&lt;=-0.12,"P1",IF(O70&lt;=-0.06,"P2","P3"))))</f>
        <v>P1</v>
      </c>
      <c r="Q70" s="156"/>
      <c r="R70" s="155" t="str">
        <f aca="true">IF(G70="","",IF(I70&lt;&gt;"","Terminé",IF(G70&gt;TODAY(),"À venir",IF(H70&lt;TODAY(),"Terminé","En cours"))))</f>
        <v>Terminé</v>
      </c>
      <c r="S70" s="155"/>
      <c r="T70" s="43"/>
      <c r="U70" s="43" t="s">
        <v>697</v>
      </c>
      <c r="V70" s="43"/>
      <c r="W70" s="43"/>
      <c r="X70" s="43"/>
      <c r="Y70" s="157"/>
      <c r="Z70" s="134" t="n">
        <f aca="false">IF(R70="Terminé",IF(AND(G70&lt;&gt;"",I70&lt;&gt;""),NETWORKDAYS(G70,I70),D70),"")</f>
        <v>10</v>
      </c>
      <c r="AA70" s="134" t="str">
        <f aca="false">IF($A70="","",IF(COUNTIF(Skills!$A:$A,$A70)=0,"⚠ ID absent du roster",""))</f>
        <v/>
      </c>
      <c r="AB70" s="158" t="n">
        <v>1</v>
      </c>
    </row>
    <row r="71" customFormat="false" ht="15" hidden="true" customHeight="true" outlineLevel="0" collapsed="false">
      <c r="A71" s="159" t="s">
        <v>608</v>
      </c>
      <c r="B71" s="159" t="s">
        <v>120</v>
      </c>
      <c r="C71" s="43" t="str">
        <f aca="false">IF(LEFT(B71,2)="OS","QUILL FORMATION Valmont","QUILL FORMATION Ulman")</f>
        <v>QUILL FORMATION Valmont</v>
      </c>
      <c r="D71" s="43" t="n">
        <f aca="false">IF($A71="","",IF($C71="QUILL FORMATION Valmont",10,11))</f>
        <v>10</v>
      </c>
      <c r="E71" s="151" t="str">
        <f aca="false">IF($A71="","",IFERROR(VLOOKUP($A71,Skills!$A:$C,2,FALSE())&amp;" "&amp;VLOOKUP($A71,Skills!$A:$C,3,FALSE()),"Haxil Dellhaven"))</f>
        <v>Vorel Wesor</v>
      </c>
      <c r="F71" s="43" t="str">
        <f aca="false">IF($A71="","",IFERROR(IF(VLOOKUP($A71,Skills!$A:$D,4,FALSE())="","",VLOOKUP($A71,Skills!$A:$D,4,FALSE())),"Lisbonne"))</f>
        <v>Lisbonne</v>
      </c>
      <c r="G71" s="152" t="n">
        <v>46163</v>
      </c>
      <c r="H71" s="47" t="n">
        <f aca="false">IF(G71="","",WORKDAY(G71-1,D71+IF(J71="",0,J71)))</f>
        <v>46176</v>
      </c>
      <c r="I71" s="152"/>
      <c r="J71" s="153" t="n">
        <v>0</v>
      </c>
      <c r="K71" s="43" t="n">
        <f aca="true">IF(G71="","",MIN(D71,MAX(0,NETWORKDAYS(G71,TODAY())-IF(J71="",0,J71))))</f>
        <v>10</v>
      </c>
      <c r="L71" s="43" t="n">
        <f aca="true">IF(G71="","",MAX(0,D71-(NETWORKDAYS(G71,TODAY())-IF(J71="",0,J71))))</f>
        <v>0</v>
      </c>
      <c r="M71" s="154" t="n">
        <v>0.84</v>
      </c>
      <c r="N71" s="44" t="n">
        <f aca="true">IFERROR(IF(OR(K71="",K71&lt;=0),"",IF(TODAY()&gt;H71,1,IF(K71-1=0,0,INDEX(OBJECTIVES!$O$2:$Q$12,MATCH(K71-1,OBJECTIVES!$N$2:$N$12,0),IF($C71="QUILL FORMATION Valmont",2,1))))),"")</f>
        <v>1</v>
      </c>
      <c r="O71" s="44" t="n">
        <f aca="false">IF(OR(N71="",M71=""),"",M71-N71)</f>
        <v>-0.16</v>
      </c>
      <c r="P71" s="155" t="str">
        <f aca="false">IF($Q71&lt;&gt;"",$Q71,IF(O71="","",IF(O71&lt;=-0.12,"P1",IF(O71&lt;=-0.06,"P2","P3"))))</f>
        <v>P1</v>
      </c>
      <c r="Q71" s="156"/>
      <c r="R71" s="155" t="str">
        <f aca="true">IF(G71="","",IF(I71&lt;&gt;"","Terminé",IF(G71&gt;TODAY(),"À venir",IF(H71&lt;TODAY(),"Terminé","En cours"))))</f>
        <v>Terminé</v>
      </c>
      <c r="S71" s="155"/>
      <c r="T71" s="43"/>
      <c r="U71" s="43" t="s">
        <v>697</v>
      </c>
      <c r="V71" s="43"/>
      <c r="W71" s="43"/>
      <c r="X71" s="43"/>
      <c r="Y71" s="157"/>
      <c r="Z71" s="134" t="n">
        <f aca="false">IF(R71="Terminé",IF(AND(G71&lt;&gt;"",I71&lt;&gt;""),NETWORKDAYS(G71,I71),D71),"")</f>
        <v>10</v>
      </c>
      <c r="AA71" s="134" t="str">
        <f aca="false">IF($A71="","",IF(COUNTIF(Skills!$A:$A,$A71)=0,"⚠ ID absent du roster",""))</f>
        <v/>
      </c>
      <c r="AB71" s="158"/>
    </row>
    <row r="72" customFormat="false" ht="15" hidden="true" customHeight="true" outlineLevel="0" collapsed="false">
      <c r="A72" s="159" t="s">
        <v>610</v>
      </c>
      <c r="B72" s="159" t="s">
        <v>120</v>
      </c>
      <c r="C72" s="43" t="str">
        <f aca="false">IF(LEFT(B72,2)="OS","QUILL FORMATION Valmont","QUILL FORMATION Ulman")</f>
        <v>QUILL FORMATION Valmont</v>
      </c>
      <c r="D72" s="43" t="n">
        <f aca="false">IF($A72="","",IF($C72="QUILL FORMATION Valmont",10,11))</f>
        <v>10</v>
      </c>
      <c r="E72" s="151" t="str">
        <f aca="false">IF($A72="","",IFERROR(VLOOKUP($A72,Skills!$A:$C,2,FALSE())&amp;" "&amp;VLOOKUP($A72,Skills!$A:$C,3,FALSE()),"Haxil Dellhaven"))</f>
        <v>Nevan Gilys</v>
      </c>
      <c r="F72" s="43" t="str">
        <f aca="false">IF($A72="","",IFERROR(IF(VLOOKUP($A72,Skills!$A:$D,4,FALSE())="","",VLOOKUP($A72,Skills!$A:$D,4,FALSE())),"Lisbonne"))</f>
        <v>Lisbonne</v>
      </c>
      <c r="G72" s="152" t="n">
        <v>46163</v>
      </c>
      <c r="H72" s="47" t="n">
        <f aca="false">IF(G72="","",WORKDAY(G72-1,D72+IF(J72="",0,J72)))</f>
        <v>46176</v>
      </c>
      <c r="I72" s="152"/>
      <c r="J72" s="153" t="n">
        <v>0</v>
      </c>
      <c r="K72" s="43" t="n">
        <f aca="true">IF(G72="","",MIN(D72,MAX(0,NETWORKDAYS(G72,TODAY())-IF(J72="",0,J72))))</f>
        <v>10</v>
      </c>
      <c r="L72" s="43" t="n">
        <f aca="true">IF(G72="","",MAX(0,D72-(NETWORKDAYS(G72,TODAY())-IF(J72="",0,J72))))</f>
        <v>0</v>
      </c>
      <c r="M72" s="154" t="n">
        <v>0.79</v>
      </c>
      <c r="N72" s="44" t="n">
        <f aca="true">IFERROR(IF(OR(K72="",K72&lt;=0),"",IF(TODAY()&gt;H72,1,IF(K72-1=0,0,INDEX(OBJECTIVES!$O$2:$Q$12,MATCH(K72-1,OBJECTIVES!$N$2:$N$12,0),IF($C72="QUILL FORMATION Valmont",2,1))))),"")</f>
        <v>1</v>
      </c>
      <c r="O72" s="44" t="n">
        <f aca="false">IF(OR(N72="",M72=""),"",M72-N72)</f>
        <v>-0.21</v>
      </c>
      <c r="P72" s="155" t="str">
        <f aca="false">IF($Q72&lt;&gt;"",$Q72,IF(O72="","",IF(O72&lt;=-0.12,"P1",IF(O72&lt;=-0.06,"P2","P3"))))</f>
        <v>P1</v>
      </c>
      <c r="Q72" s="156"/>
      <c r="R72" s="155" t="str">
        <f aca="true">IF(G72="","",IF(I72&lt;&gt;"","Terminé",IF(G72&gt;TODAY(),"À venir",IF(H72&lt;TODAY(),"Terminé","En cours"))))</f>
        <v>Terminé</v>
      </c>
      <c r="S72" s="155"/>
      <c r="T72" s="43"/>
      <c r="U72" s="43" t="s">
        <v>697</v>
      </c>
      <c r="V72" s="43"/>
      <c r="W72" s="43"/>
      <c r="X72" s="43"/>
      <c r="Y72" s="157"/>
      <c r="Z72" s="134" t="n">
        <f aca="false">IF(R72="Terminé",IF(AND(G72&lt;&gt;"",I72&lt;&gt;""),NETWORKDAYS(G72,I72),D72),"")</f>
        <v>10</v>
      </c>
      <c r="AA72" s="134" t="str">
        <f aca="false">IF($A72="","",IF(COUNTIF(Skills!$A:$A,$A72)=0,"⚠ ID absent du roster",""))</f>
        <v/>
      </c>
      <c r="AB72" s="158"/>
    </row>
    <row r="73" customFormat="false" ht="15" hidden="true" customHeight="true" outlineLevel="0" collapsed="false">
      <c r="A73" s="159" t="s">
        <v>613</v>
      </c>
      <c r="B73" s="159" t="s">
        <v>120</v>
      </c>
      <c r="C73" s="43" t="str">
        <f aca="false">IF(LEFT(B73,2)="OS","QUILL FORMATION Valmont","QUILL FORMATION Ulman")</f>
        <v>QUILL FORMATION Valmont</v>
      </c>
      <c r="D73" s="43" t="n">
        <f aca="false">IF($A73="","",IF($C73="QUILL FORMATION Valmont",10,11))</f>
        <v>10</v>
      </c>
      <c r="E73" s="151" t="str">
        <f aca="false">IF($A73="","",IFERROR(VLOOKUP($A73,Skills!$A:$C,2,FALSE())&amp;" "&amp;VLOOKUP($A73,Skills!$A:$C,3,FALSE()),"Haxil Dellhaven"))</f>
        <v>Holtshaw Marsworth</v>
      </c>
      <c r="F73" s="43" t="str">
        <f aca="false">IF($A73="","",IFERROR(IF(VLOOKUP($A73,Skills!$A:$D,4,FALSE())="","",VLOOKUP($A73,Skills!$A:$D,4,FALSE())),"Lisbonne"))</f>
        <v>Lisbonne</v>
      </c>
      <c r="G73" s="152" t="n">
        <v>46163</v>
      </c>
      <c r="H73" s="47" t="n">
        <f aca="false">IF(G73="","",WORKDAY(G73-1,D73+IF(J73="",0,J73)))</f>
        <v>46176</v>
      </c>
      <c r="I73" s="152"/>
      <c r="J73" s="153" t="n">
        <v>0</v>
      </c>
      <c r="K73" s="43" t="n">
        <f aca="true">IF(G73="","",MIN(D73,MAX(0,NETWORKDAYS(G73,TODAY())-IF(J73="",0,J73))))</f>
        <v>10</v>
      </c>
      <c r="L73" s="43" t="n">
        <f aca="true">IF(G73="","",MAX(0,D73-(NETWORKDAYS(G73,TODAY())-IF(J73="",0,J73))))</f>
        <v>0</v>
      </c>
      <c r="M73" s="154" t="n">
        <v>0.75</v>
      </c>
      <c r="N73" s="44" t="n">
        <f aca="true">IFERROR(IF(OR(K73="",K73&lt;=0),"",IF(TODAY()&gt;H73,1,IF(K73-1=0,0,INDEX(OBJECTIVES!$O$2:$Q$12,MATCH(K73-1,OBJECTIVES!$N$2:$N$12,0),IF($C73="QUILL FORMATION Valmont",2,1))))),"")</f>
        <v>1</v>
      </c>
      <c r="O73" s="44" t="n">
        <f aca="false">IF(OR(N73="",M73=""),"",M73-N73)</f>
        <v>-0.25</v>
      </c>
      <c r="P73" s="155" t="str">
        <f aca="false">IF($Q73&lt;&gt;"",$Q73,IF(O73="","",IF(O73&lt;=-0.12,"P1",IF(O73&lt;=-0.06,"P2","P3"))))</f>
        <v>P1</v>
      </c>
      <c r="Q73" s="156"/>
      <c r="R73" s="155" t="str">
        <f aca="true">IF(G73="","",IF(I73&lt;&gt;"","Terminé",IF(G73&gt;TODAY(),"À venir",IF(H73&lt;TODAY(),"Terminé","En cours"))))</f>
        <v>Terminé</v>
      </c>
      <c r="S73" s="155"/>
      <c r="T73" s="43"/>
      <c r="U73" s="43" t="s">
        <v>697</v>
      </c>
      <c r="V73" s="43"/>
      <c r="W73" s="43"/>
      <c r="X73" s="43"/>
      <c r="Y73" s="157"/>
      <c r="Z73" s="134" t="n">
        <f aca="false">IF(R73="Terminé",IF(AND(G73&lt;&gt;"",I73&lt;&gt;""),NETWORKDAYS(G73,I73),D73),"")</f>
        <v>10</v>
      </c>
      <c r="AA73" s="134" t="str">
        <f aca="false">IF($A73="","",IF(COUNTIF(Skills!$A:$A,$A73)=0,"⚠ ID absent du roster",""))</f>
        <v/>
      </c>
      <c r="AB73" s="158"/>
    </row>
    <row r="74" customFormat="false" ht="15" hidden="true" customHeight="true" outlineLevel="0" collapsed="false">
      <c r="A74" s="160" t="s">
        <v>615</v>
      </c>
      <c r="B74" s="160" t="s">
        <v>120</v>
      </c>
      <c r="C74" s="43" t="str">
        <f aca="false">IF(LEFT(B74,2)="OS","QUILL FORMATION Valmont","QUILL FORMATION Ulman")</f>
        <v>QUILL FORMATION Valmont</v>
      </c>
      <c r="D74" s="43" t="n">
        <f aca="false">IF($A74="","",IF($C74="QUILL FORMATION Valmont",10,11))</f>
        <v>10</v>
      </c>
      <c r="E74" s="151" t="str">
        <f aca="false">IF($A74="","",IFERROR(VLOOKUP($A74,Skills!$A:$C,2,FALSE())&amp;" "&amp;VLOOKUP($A74,Skills!$A:$C,3,FALSE()),"Haxil Dellhaven"))</f>
        <v>Corrfield Larkdale</v>
      </c>
      <c r="F74" s="43" t="str">
        <f aca="false">IF($A74="","",IFERROR(IF(VLOOKUP($A74,Skills!$A:$D,4,FALSE())="","",VLOOKUP($A74,Skills!$A:$D,4,FALSE())),"Lisbonne"))</f>
        <v>Lisbonne</v>
      </c>
      <c r="G74" s="152" t="n">
        <v>46163</v>
      </c>
      <c r="H74" s="47" t="n">
        <f aca="false">IF(G74="","",WORKDAY(G74-1,D74+IF(J74="",0,J74)))</f>
        <v>46176</v>
      </c>
      <c r="I74" s="152"/>
      <c r="J74" s="153" t="n">
        <v>0</v>
      </c>
      <c r="K74" s="43" t="n">
        <f aca="true">IF(G74="","",MIN(D74,MAX(0,NETWORKDAYS(G74,TODAY())-IF(J74="",0,J74))))</f>
        <v>10</v>
      </c>
      <c r="L74" s="43" t="n">
        <f aca="true">IF(G74="","",MAX(0,D74-(NETWORKDAYS(G74,TODAY())-IF(J74="",0,J74))))</f>
        <v>0</v>
      </c>
      <c r="M74" s="154" t="n">
        <v>0.73</v>
      </c>
      <c r="N74" s="44" t="n">
        <f aca="true">IFERROR(IF(OR(K74="",K74&lt;=0),"",IF(TODAY()&gt;H74,1,IF(K74-1=0,0,INDEX(OBJECTIVES!$O$2:$Q$12,MATCH(K74-1,OBJECTIVES!$N$2:$N$12,0),IF($C74="QUILL FORMATION Valmont",2,1))))),"")</f>
        <v>1</v>
      </c>
      <c r="O74" s="44" t="n">
        <f aca="false">IF(OR(N74="",M74=""),"",M74-N74)</f>
        <v>-0.27</v>
      </c>
      <c r="P74" s="155" t="str">
        <f aca="false">IF($Q74&lt;&gt;"",$Q74,IF(O74="","",IF(O74&lt;=-0.12,"P1",IF(O74&lt;=-0.06,"P2","P3"))))</f>
        <v>P1</v>
      </c>
      <c r="Q74" s="156"/>
      <c r="R74" s="155" t="str">
        <f aca="true">IF(G74="","",IF(I74&lt;&gt;"","Terminé",IF(G74&gt;TODAY(),"À venir",IF(H74&lt;TODAY(),"Terminé","En cours"))))</f>
        <v>Terminé</v>
      </c>
      <c r="S74" s="155"/>
      <c r="T74" s="43"/>
      <c r="U74" s="43" t="s">
        <v>697</v>
      </c>
      <c r="V74" s="43"/>
      <c r="W74" s="43"/>
      <c r="X74" s="43"/>
      <c r="Y74" s="157"/>
      <c r="Z74" s="134" t="n">
        <f aca="false">IF(R74="Terminé",IF(AND(G74&lt;&gt;"",I74&lt;&gt;""),NETWORKDAYS(G74,I74),D74),"")</f>
        <v>10</v>
      </c>
      <c r="AA74" s="134" t="str">
        <f aca="false">IF($A74="","",IF(COUNTIF(Skills!$A:$A,$A74)=0,"⚠ ID absent du roster",""))</f>
        <v/>
      </c>
      <c r="AB74" s="158"/>
    </row>
    <row r="75" customFormat="false" ht="15" hidden="true" customHeight="true" outlineLevel="0" collapsed="false">
      <c r="A75" s="127" t="s">
        <v>617</v>
      </c>
      <c r="B75" s="127" t="n">
        <v>177</v>
      </c>
      <c r="C75" s="161" t="str">
        <f aca="false">IF(LEFT(B75,2)="OS","QUILL FORMATION Valmont","QUILL FORMATION Ulman")</f>
        <v>QUILL FORMATION Ulman</v>
      </c>
      <c r="D75" s="43" t="n">
        <f aca="false">IF($A75="","",IF($C75="QUILL FORMATION Valmont",10,11))</f>
        <v>11</v>
      </c>
      <c r="E75" s="151" t="str">
        <f aca="false">IF($A75="","",IFERROR(VLOOKUP($A75,Skills!$A:$C,2,FALSE())&amp;" "&amp;VLOOKUP($A75,Skills!$A:$C,3,FALSE()),"Haxil Dellhaven"))</f>
        <v>Granhaven Iverwood</v>
      </c>
      <c r="F75" s="43" t="str">
        <f aca="false">IF($A75="","",IFERROR(IF(VLOOKUP($A75,Skills!$A:$D,4,FALSE())="","",VLOOKUP($A75,Skills!$A:$D,4,FALSE())),"Lisbonne"))</f>
        <v>Montréal</v>
      </c>
      <c r="G75" s="152" t="n">
        <v>46167</v>
      </c>
      <c r="H75" s="47" t="n">
        <f aca="false">IF(G75="","",WORKDAY(G75-1,D75+IF(J75="",0,J75)))</f>
        <v>46181</v>
      </c>
      <c r="I75" s="152" t="n">
        <v>46185</v>
      </c>
      <c r="J75" s="153" t="n">
        <v>0</v>
      </c>
      <c r="K75" s="43" t="n">
        <f aca="true">IF(G75="","",MIN(D75,MAX(0,NETWORKDAYS(G75,TODAY())-IF(J75="",0,J75))))</f>
        <v>11</v>
      </c>
      <c r="L75" s="43" t="n">
        <f aca="true">IF(G75="","",MAX(0,D75-(NETWORKDAYS(G75,TODAY())-IF(J75="",0,J75))))</f>
        <v>0</v>
      </c>
      <c r="M75" s="154" t="n">
        <v>0.93</v>
      </c>
      <c r="N75" s="44" t="n">
        <f aca="true">IFERROR(IF(OR(K75="",K75&lt;=0),"",IF(TODAY()&gt;H75,1,IF(K75-1=0,0,INDEX(OBJECTIVES!$O$2:$Q$12,MATCH(K75-1,OBJECTIVES!$N$2:$N$12,0),IF($C75="QUILL FORMATION Valmont",2,1))))),"")</f>
        <v>1</v>
      </c>
      <c r="O75" s="44" t="n">
        <f aca="false">IF(OR(N75="",M75=""),"",M75-N75)</f>
        <v>-0.07</v>
      </c>
      <c r="P75" s="155" t="str">
        <f aca="false">IF($Q75&lt;&gt;"",$Q75,IF(O75="","",IF(O75&lt;=-0.12,"P1",IF(O75&lt;=-0.06,"P2","P3"))))</f>
        <v>P1</v>
      </c>
      <c r="Q75" s="162" t="s">
        <v>698</v>
      </c>
      <c r="R75" s="155" t="s">
        <v>699</v>
      </c>
      <c r="S75" s="155" t="s">
        <v>699</v>
      </c>
      <c r="T75" s="43"/>
      <c r="U75" s="43" t="s">
        <v>700</v>
      </c>
      <c r="V75" s="43" t="s">
        <v>701</v>
      </c>
      <c r="W75" s="43" t="s">
        <v>702</v>
      </c>
      <c r="X75" s="43" t="s">
        <v>703</v>
      </c>
      <c r="Y75" s="157"/>
      <c r="Z75" s="134" t="n">
        <f aca="false">IF(R75="Terminé",IF(AND(G75&lt;&gt;"",I75&lt;&gt;""),NETWORKDAYS(G75,I75),D75),"")</f>
        <v>15</v>
      </c>
      <c r="AA75" s="134" t="str">
        <f aca="false">IF($A75="","",IF(COUNTIF(Skills!$A:$A,$A75)=0,"⚠ ID absent du roster",""))</f>
        <v/>
      </c>
      <c r="AB75" s="158" t="n">
        <v>2</v>
      </c>
    </row>
    <row r="76" customFormat="false" ht="15" hidden="true" customHeight="true" outlineLevel="0" collapsed="false">
      <c r="A76" s="127" t="s">
        <v>620</v>
      </c>
      <c r="B76" s="127" t="n">
        <v>177</v>
      </c>
      <c r="C76" s="161" t="str">
        <f aca="false">IF(LEFT(B76,2)="OS","QUILL FORMATION Valmont","QUILL FORMATION Ulman")</f>
        <v>QUILL FORMATION Ulman</v>
      </c>
      <c r="D76" s="43" t="n">
        <f aca="false">IF($A76="","",IF($C76="QUILL FORMATION Valmont",10,11))</f>
        <v>11</v>
      </c>
      <c r="E76" s="151" t="str">
        <f aca="false">IF($A76="","",IFERROR(VLOOKUP($A76,Skills!$A:$C,2,FALSE())&amp;" "&amp;VLOOKUP($A76,Skills!$A:$C,3,FALSE()),"Haxil Dellhaven"))</f>
        <v>Fairvale Rhoel Yoric</v>
      </c>
      <c r="F76" s="43" t="str">
        <f aca="false">IF($A76="","",IFERROR(IF(VLOOKUP($A76,Skills!$A:$D,4,FALSE())="","",VLOOKUP($A76,Skills!$A:$D,4,FALSE())),"Lisbonne"))</f>
        <v>Montréal</v>
      </c>
      <c r="G76" s="152" t="n">
        <v>46167</v>
      </c>
      <c r="H76" s="47" t="n">
        <f aca="false">IF(G76="","",WORKDAY(G76-1,D76+IF(J76="",0,J76)))</f>
        <v>46181</v>
      </c>
      <c r="I76" s="152" t="n">
        <v>46184</v>
      </c>
      <c r="J76" s="153" t="n">
        <v>0</v>
      </c>
      <c r="K76" s="43" t="n">
        <f aca="true">IF(G76="","",MIN(D76,MAX(0,NETWORKDAYS(G76,TODAY())-IF(J76="",0,J76))))</f>
        <v>11</v>
      </c>
      <c r="L76" s="43" t="n">
        <f aca="true">IF(G76="","",MAX(0,D76-(NETWORKDAYS(G76,TODAY())-IF(J76="",0,J76))))</f>
        <v>0</v>
      </c>
      <c r="M76" s="154" t="n">
        <v>1</v>
      </c>
      <c r="N76" s="44" t="n">
        <f aca="true">IFERROR(IF(OR(K76="",K76&lt;=0),"",IF(TODAY()&gt;H76,1,IF(K76-1=0,0,INDEX(OBJECTIVES!$O$2:$Q$12,MATCH(K76-1,OBJECTIVES!$N$2:$N$12,0),IF($C76="QUILL FORMATION Valmont",2,1))))),"")</f>
        <v>1</v>
      </c>
      <c r="O76" s="44" t="n">
        <f aca="false">IF(OR(N76="",M76=""),"",M76-N76)</f>
        <v>0</v>
      </c>
      <c r="P76" s="155" t="str">
        <f aca="false">IF($Q76&lt;&gt;"",$Q76,IF(O76="","",IF(O76&lt;=-0.12,"P1",IF(O76&lt;=-0.06,"P2","P3"))))</f>
        <v>P1</v>
      </c>
      <c r="Q76" s="162" t="s">
        <v>698</v>
      </c>
      <c r="R76" s="155" t="s">
        <v>699</v>
      </c>
      <c r="S76" s="155" t="s">
        <v>699</v>
      </c>
      <c r="T76" s="43" t="s">
        <v>99</v>
      </c>
      <c r="U76" s="43" t="s">
        <v>700</v>
      </c>
      <c r="V76" s="43" t="s">
        <v>704</v>
      </c>
      <c r="W76" s="43" t="s">
        <v>702</v>
      </c>
      <c r="X76" s="163" t="n">
        <v>46183</v>
      </c>
      <c r="Y76" s="157"/>
      <c r="Z76" s="134" t="n">
        <f aca="false">IF(R76="Terminé",IF(AND(G76&lt;&gt;"",I76&lt;&gt;""),NETWORKDAYS(G76,I76),D76),"")</f>
        <v>14</v>
      </c>
      <c r="AA76" s="134" t="str">
        <f aca="false">IF($A76="","",IF(COUNTIF(Skills!$A:$A,$A76)=0,"⚠ ID absent du roster",""))</f>
        <v/>
      </c>
      <c r="AB76" s="158"/>
    </row>
    <row r="77" customFormat="false" ht="15" hidden="true" customHeight="true" outlineLevel="0" collapsed="false">
      <c r="A77" s="164" t="s">
        <v>623</v>
      </c>
      <c r="B77" s="164" t="n">
        <v>177</v>
      </c>
      <c r="C77" s="43" t="str">
        <f aca="false">IF(LEFT(B77,2)="OS","QUILL FORMATION Valmont","QUILL FORMATION Ulman")</f>
        <v>QUILL FORMATION Ulman</v>
      </c>
      <c r="D77" s="43" t="n">
        <f aca="false">IF($A77="","",IF($C77="QUILL FORMATION Valmont",10,11))</f>
        <v>11</v>
      </c>
      <c r="E77" s="151" t="str">
        <f aca="false">IF($A77="","",IFERROR(VLOOKUP($A77,Skills!$A:$C,2,FALSE())&amp;" "&amp;VLOOKUP($A77,Skills!$A:$C,3,FALSE()),"Haxil Dellhaven"))</f>
        <v>Corrmont Fairstone</v>
      </c>
      <c r="F77" s="43" t="str">
        <f aca="false">IF($A77="","",IFERROR(IF(VLOOKUP($A77,Skills!$A:$D,4,FALSE())="","",VLOOKUP($A77,Skills!$A:$D,4,FALSE())),"Lisbonne"))</f>
        <v>Montréal</v>
      </c>
      <c r="G77" s="152" t="n">
        <v>46167</v>
      </c>
      <c r="H77" s="47" t="n">
        <f aca="false">IF(G77="","",WORKDAY(G77-1,D77+IF(J77="",0,J77)))</f>
        <v>46181</v>
      </c>
      <c r="I77" s="152" t="n">
        <v>46182</v>
      </c>
      <c r="J77" s="153" t="n">
        <v>0</v>
      </c>
      <c r="K77" s="43" t="n">
        <f aca="true">IF(G77="","",MIN(D77,MAX(0,NETWORKDAYS(G77,TODAY())-IF(J77="",0,J77))))</f>
        <v>11</v>
      </c>
      <c r="L77" s="43" t="n">
        <f aca="true">IF(G77="","",MAX(0,D77-(NETWORKDAYS(G77,TODAY())-IF(J77="",0,J77))))</f>
        <v>0</v>
      </c>
      <c r="M77" s="154" t="n">
        <v>1</v>
      </c>
      <c r="N77" s="44" t="n">
        <f aca="true">IFERROR(IF(OR(K77="",K77&lt;=0),"",IF(TODAY()&gt;H77,1,IF(K77-1=0,0,INDEX(OBJECTIVES!$O$2:$Q$12,MATCH(K77-1,OBJECTIVES!$N$2:$N$12,0),IF($C77="QUILL FORMATION Valmont",2,1))))),"")</f>
        <v>1</v>
      </c>
      <c r="O77" s="44" t="n">
        <f aca="false">IF(OR(N77="",M77=""),"",M77-N77)</f>
        <v>0</v>
      </c>
      <c r="P77" s="155" t="str">
        <f aca="false">IF($Q77&lt;&gt;"",$Q77,IF(O77="","",IF(O77&lt;=-0.12,"P1",IF(O77&lt;=-0.06,"P2","P3"))))</f>
        <v>P1</v>
      </c>
      <c r="Q77" s="162" t="s">
        <v>698</v>
      </c>
      <c r="R77" s="155" t="s">
        <v>699</v>
      </c>
      <c r="S77" s="155" t="s">
        <v>699</v>
      </c>
      <c r="T77" s="43" t="s">
        <v>99</v>
      </c>
      <c r="U77" s="43" t="s">
        <v>700</v>
      </c>
      <c r="V77" s="43" t="s">
        <v>704</v>
      </c>
      <c r="W77" s="43" t="s">
        <v>702</v>
      </c>
      <c r="X77" s="43" t="s">
        <v>705</v>
      </c>
      <c r="Y77" s="157"/>
      <c r="Z77" s="134" t="n">
        <f aca="false">IF(R77="Terminé",IF(AND(G77&lt;&gt;"",I77&lt;&gt;""),NETWORKDAYS(G77,I77),D77),"")</f>
        <v>12</v>
      </c>
      <c r="AA77" s="134" t="str">
        <f aca="false">IF($A77="","",IF(COUNTIF(Skills!$A:$A,$A77)=0,"⚠ ID absent du roster",""))</f>
        <v/>
      </c>
      <c r="AB77" s="158"/>
    </row>
    <row r="78" customFormat="false" ht="15" hidden="true" customHeight="true" outlineLevel="0" collapsed="false">
      <c r="A78" s="127" t="s">
        <v>625</v>
      </c>
      <c r="B78" s="127" t="n">
        <v>177</v>
      </c>
      <c r="C78" s="161" t="str">
        <f aca="false">IF(LEFT(B78,2)="OS","QUILL FORMATION Valmont","QUILL FORMATION Ulman")</f>
        <v>QUILL FORMATION Ulman</v>
      </c>
      <c r="D78" s="43" t="n">
        <f aca="false">IF($A78="","",IF($C78="QUILL FORMATION Valmont",10,11))</f>
        <v>11</v>
      </c>
      <c r="E78" s="151" t="str">
        <f aca="false">IF($A78="","",IFERROR(VLOOKUP($A78,Skills!$A:$C,2,FALSE())&amp;" "&amp;VLOOKUP($A78,Skills!$A:$C,3,FALSE()),"Haxil Dellhaven"))</f>
        <v>Stelstone Pykegate</v>
      </c>
      <c r="F78" s="43" t="str">
        <f aca="false">IF($A78="","",IFERROR(IF(VLOOKUP($A78,Skills!$A:$D,4,FALSE())="","",VLOOKUP($A78,Skills!$A:$D,4,FALSE())),"Lisbonne"))</f>
        <v>Montréal</v>
      </c>
      <c r="G78" s="152" t="n">
        <v>46167</v>
      </c>
      <c r="H78" s="47" t="n">
        <f aca="false">IF(G78="","",WORKDAY(G78-1,D78+IF(J78="",0,J78)))</f>
        <v>46181</v>
      </c>
      <c r="I78" s="152" t="n">
        <v>46184</v>
      </c>
      <c r="J78" s="153" t="n">
        <v>0</v>
      </c>
      <c r="K78" s="43" t="n">
        <f aca="true">IF(G78="","",MIN(D78,MAX(0,NETWORKDAYS(G78,TODAY())-IF(J78="",0,J78))))</f>
        <v>11</v>
      </c>
      <c r="L78" s="43" t="n">
        <f aca="true">IF(G78="","",MAX(0,D78-(NETWORKDAYS(G78,TODAY())-IF(J78="",0,J78))))</f>
        <v>0</v>
      </c>
      <c r="M78" s="154" t="n">
        <v>1</v>
      </c>
      <c r="N78" s="44" t="n">
        <f aca="true">IFERROR(IF(OR(K78="",K78&lt;=0),"",IF(TODAY()&gt;H78,1,IF(K78-1=0,0,INDEX(OBJECTIVES!$O$2:$Q$12,MATCH(K78-1,OBJECTIVES!$N$2:$N$12,0),IF($C78="QUILL FORMATION Valmont",2,1))))),"")</f>
        <v>1</v>
      </c>
      <c r="O78" s="44" t="n">
        <f aca="false">IF(OR(N78="",M78=""),"",M78-N78)</f>
        <v>0</v>
      </c>
      <c r="P78" s="155" t="str">
        <f aca="false">IF($Q78&lt;&gt;"",$Q78,IF(O78="","",IF(O78&lt;=-0.12,"P1",IF(O78&lt;=-0.06,"P2","P3"))))</f>
        <v>P1</v>
      </c>
      <c r="Q78" s="162" t="s">
        <v>698</v>
      </c>
      <c r="R78" s="155" t="s">
        <v>699</v>
      </c>
      <c r="S78" s="155" t="s">
        <v>699</v>
      </c>
      <c r="T78" s="43" t="s">
        <v>99</v>
      </c>
      <c r="U78" s="43" t="s">
        <v>700</v>
      </c>
      <c r="V78" s="43" t="s">
        <v>704</v>
      </c>
      <c r="W78" s="43" t="s">
        <v>702</v>
      </c>
      <c r="X78" s="163" t="n">
        <v>46183</v>
      </c>
      <c r="Y78" s="157"/>
      <c r="Z78" s="134" t="n">
        <f aca="false">IF(R78="Terminé",IF(AND(G78&lt;&gt;"",I78&lt;&gt;""),NETWORKDAYS(G78,I78),D78),"")</f>
        <v>14</v>
      </c>
      <c r="AA78" s="134" t="str">
        <f aca="false">IF($A78="","",IF(COUNTIF(Skills!$A:$A,$A78)=0,"⚠ ID absent du roster",""))</f>
        <v/>
      </c>
      <c r="AB78" s="158"/>
    </row>
    <row r="79" customFormat="false" ht="15" hidden="true" customHeight="true" outlineLevel="0" collapsed="false">
      <c r="A79" s="127" t="s">
        <v>631</v>
      </c>
      <c r="B79" s="127" t="n">
        <v>177</v>
      </c>
      <c r="C79" s="161" t="str">
        <f aca="false">IF(LEFT(B79,2)="OS","QUILL FORMATION Valmont","QUILL FORMATION Ulman")</f>
        <v>QUILL FORMATION Ulman</v>
      </c>
      <c r="D79" s="43" t="n">
        <f aca="false">IF($A79="","",IF($C79="QUILL FORMATION Valmont",10,11))</f>
        <v>11</v>
      </c>
      <c r="E79" s="151" t="str">
        <f aca="false">IF($A79="","",IFERROR(VLOOKUP($A79,Skills!$A:$C,2,FALSE())&amp;" "&amp;VLOOKUP($A79,Skills!$A:$C,3,FALSE()),"Haxil Dellhaven"))</f>
        <v>Corrdale Zanor</v>
      </c>
      <c r="F79" s="43" t="str">
        <f aca="false">IF($A79="","",IFERROR(IF(VLOOKUP($A79,Skills!$A:$D,4,FALSE())="","",VLOOKUP($A79,Skills!$A:$D,4,FALSE())),"Lisbonne"))</f>
        <v>Montréal</v>
      </c>
      <c r="G79" s="152" t="n">
        <v>46167</v>
      </c>
      <c r="H79" s="47" t="n">
        <f aca="false">IF(G79="","",WORKDAY(G79-1,D79+IF(J79="",0,J79)))</f>
        <v>46181</v>
      </c>
      <c r="I79" s="152" t="n">
        <v>46185</v>
      </c>
      <c r="J79" s="153" t="n">
        <v>0</v>
      </c>
      <c r="K79" s="43" t="n">
        <f aca="true">IF(G79="","",MIN(D79,MAX(0,NETWORKDAYS(G79,TODAY())-IF(J79="",0,J79))))</f>
        <v>11</v>
      </c>
      <c r="L79" s="43" t="n">
        <f aca="true">IF(G79="","",MAX(0,D79-(NETWORKDAYS(G79,TODAY())-IF(J79="",0,J79))))</f>
        <v>0</v>
      </c>
      <c r="M79" s="154" t="n">
        <v>1</v>
      </c>
      <c r="N79" s="44" t="n">
        <f aca="true">IFERROR(IF(OR(K79="",K79&lt;=0),"",IF(TODAY()&gt;H79,1,IF(K79-1=0,0,INDEX(OBJECTIVES!$O$2:$Q$12,MATCH(K79-1,OBJECTIVES!$N$2:$N$12,0),IF($C79="QUILL FORMATION Valmont",2,1))))),"")</f>
        <v>1</v>
      </c>
      <c r="O79" s="44" t="n">
        <f aca="false">IF(OR(N79="",M79=""),"",M79-N79)</f>
        <v>0</v>
      </c>
      <c r="P79" s="155" t="str">
        <f aca="false">IF($Q79&lt;&gt;"",$Q79,IF(O79="","",IF(O79&lt;=-0.12,"P1",IF(O79&lt;=-0.06,"P2","P3"))))</f>
        <v>P1</v>
      </c>
      <c r="Q79" s="162" t="s">
        <v>698</v>
      </c>
      <c r="R79" s="155" t="s">
        <v>699</v>
      </c>
      <c r="S79" s="155" t="s">
        <v>699</v>
      </c>
      <c r="T79" s="43" t="s">
        <v>99</v>
      </c>
      <c r="U79" s="43" t="s">
        <v>700</v>
      </c>
      <c r="V79" s="43" t="s">
        <v>701</v>
      </c>
      <c r="W79" s="43" t="s">
        <v>702</v>
      </c>
      <c r="X79" s="43" t="s">
        <v>706</v>
      </c>
      <c r="Y79" s="157"/>
      <c r="Z79" s="134" t="n">
        <f aca="false">IF(R79="Terminé",IF(AND(G79&lt;&gt;"",I79&lt;&gt;""),NETWORKDAYS(G79,I79),D79),"")</f>
        <v>15</v>
      </c>
      <c r="AA79" s="134" t="str">
        <f aca="false">IF($A79="","",IF(COUNTIF(Skills!$A:$A,$A79)=0,"⚠ ID absent du roster",""))</f>
        <v/>
      </c>
      <c r="AB79" s="158"/>
    </row>
    <row r="80" customFormat="false" ht="15" hidden="true" customHeight="true" outlineLevel="0" collapsed="false">
      <c r="A80" s="127" t="s">
        <v>634</v>
      </c>
      <c r="B80" s="127" t="n">
        <v>177</v>
      </c>
      <c r="C80" s="161" t="str">
        <f aca="false">IF(LEFT(B80,2)="OS","QUILL FORMATION Valmont","QUILL FORMATION Ulman")</f>
        <v>QUILL FORMATION Ulman</v>
      </c>
      <c r="D80" s="43" t="n">
        <f aca="false">IF($A80="","",IF($C80="QUILL FORMATION Valmont",10,11))</f>
        <v>11</v>
      </c>
      <c r="E80" s="151" t="str">
        <f aca="false">IF($A80="","",IFERROR(VLOOKUP($A80,Skills!$A:$C,2,FALSE())&amp;" "&amp;VLOOKUP($A80,Skills!$A:$C,3,FALSE()),"Haxil Dellhaven"))</f>
        <v>Pykeshaw Pelir</v>
      </c>
      <c r="F80" s="43" t="str">
        <f aca="false">IF($A80="","",IFERROR(IF(VLOOKUP($A80,Skills!$A:$D,4,FALSE())="","",VLOOKUP($A80,Skills!$A:$D,4,FALSE())),"Lisbonne"))</f>
        <v>Montréal</v>
      </c>
      <c r="G80" s="152" t="n">
        <v>46167</v>
      </c>
      <c r="H80" s="47" t="n">
        <f aca="false">IF(G80="","",WORKDAY(G80-1,D80+IF(J80="",0,J80)))</f>
        <v>46181</v>
      </c>
      <c r="I80" s="152" t="n">
        <v>46185</v>
      </c>
      <c r="J80" s="153" t="n">
        <v>0</v>
      </c>
      <c r="K80" s="43" t="n">
        <f aca="true">IF(G80="","",MIN(D80,MAX(0,NETWORKDAYS(G80,TODAY())-IF(J80="",0,J80))))</f>
        <v>11</v>
      </c>
      <c r="L80" s="43" t="n">
        <f aca="true">IF(G80="","",MAX(0,D80-(NETWORKDAYS(G80,TODAY())-IF(J80="",0,J80))))</f>
        <v>0</v>
      </c>
      <c r="M80" s="154" t="n">
        <v>1</v>
      </c>
      <c r="N80" s="44" t="n">
        <f aca="true">IFERROR(IF(OR(K80="",K80&lt;=0),"",IF(TODAY()&gt;H80,1,IF(K80-1=0,0,INDEX(OBJECTIVES!$O$2:$Q$12,MATCH(K80-1,OBJECTIVES!$N$2:$N$12,0),IF($C80="QUILL FORMATION Valmont",2,1))))),"")</f>
        <v>1</v>
      </c>
      <c r="O80" s="44" t="n">
        <f aca="false">IF(OR(N80="",M80=""),"",M80-N80)</f>
        <v>0</v>
      </c>
      <c r="P80" s="155" t="str">
        <f aca="false">IF($Q80&lt;&gt;"",$Q80,IF(O80="","",IF(O80&lt;=-0.12,"P1",IF(O80&lt;=-0.06,"P2","P3"))))</f>
        <v>P1</v>
      </c>
      <c r="Q80" s="162" t="s">
        <v>698</v>
      </c>
      <c r="R80" s="155" t="s">
        <v>699</v>
      </c>
      <c r="S80" s="155" t="s">
        <v>699</v>
      </c>
      <c r="T80" s="43" t="s">
        <v>99</v>
      </c>
      <c r="U80" s="43" t="s">
        <v>700</v>
      </c>
      <c r="V80" s="43" t="s">
        <v>701</v>
      </c>
      <c r="W80" s="43" t="s">
        <v>702</v>
      </c>
      <c r="X80" s="163" t="n">
        <v>46183</v>
      </c>
      <c r="Y80" s="157"/>
      <c r="Z80" s="134" t="n">
        <f aca="false">IF(R80="Terminé",IF(AND(G80&lt;&gt;"",I80&lt;&gt;""),NETWORKDAYS(G80,I80),D80),"")</f>
        <v>15</v>
      </c>
      <c r="AA80" s="134" t="str">
        <f aca="false">IF($A80="","",IF(COUNTIF(Skills!$A:$A,$A80)=0,"⚠ ID absent du roster",""))</f>
        <v/>
      </c>
      <c r="AB80" s="158"/>
    </row>
    <row r="81" customFormat="false" ht="15" hidden="true" customHeight="true" outlineLevel="0" collapsed="false">
      <c r="A81" s="150" t="s">
        <v>637</v>
      </c>
      <c r="B81" s="150" t="n">
        <v>177</v>
      </c>
      <c r="C81" s="43" t="str">
        <f aca="false">IF(LEFT(B81,2)="OS","QUILL FORMATION Valmont","QUILL FORMATION Ulman")</f>
        <v>QUILL FORMATION Ulman</v>
      </c>
      <c r="D81" s="43" t="n">
        <f aca="false">IF($A81="","",IF($C81="QUILL FORMATION Valmont",10,11))</f>
        <v>11</v>
      </c>
      <c r="E81" s="151" t="str">
        <f aca="false">IF($A81="","",IFERROR(VLOOKUP($A81,Skills!$A:$C,2,FALSE())&amp;" "&amp;VLOOKUP($A81,Skills!$A:$C,3,FALSE()),"Haxil Dellhaven"))</f>
        <v>Kendshaw Zanum Thornbrook</v>
      </c>
      <c r="F81" s="43" t="str">
        <f aca="false">IF($A81="","",IFERROR(IF(VLOOKUP($A81,Skills!$A:$D,4,FALSE())="","",VLOOKUP($A81,Skills!$A:$D,4,FALSE())),"Lisbonne"))</f>
        <v>Montréal</v>
      </c>
      <c r="G81" s="152" t="n">
        <v>46167</v>
      </c>
      <c r="H81" s="47" t="n">
        <f aca="false">IF(G81="","",WORKDAY(G81-1,D81+IF(J81="",0,J81)))</f>
        <v>46181</v>
      </c>
      <c r="I81" s="152" t="n">
        <v>46182</v>
      </c>
      <c r="J81" s="153" t="n">
        <v>0</v>
      </c>
      <c r="K81" s="43" t="n">
        <f aca="true">IF(G81="","",MIN(D81,MAX(0,NETWORKDAYS(G81,TODAY())-IF(J81="",0,J81))))</f>
        <v>11</v>
      </c>
      <c r="L81" s="43" t="n">
        <f aca="true">IF(G81="","",MAX(0,D81-(NETWORKDAYS(G81,TODAY())-IF(J81="",0,J81))))</f>
        <v>0</v>
      </c>
      <c r="M81" s="154" t="n">
        <v>1</v>
      </c>
      <c r="N81" s="44" t="n">
        <f aca="true">IFERROR(IF(OR(K81="",K81&lt;=0),"",IF(TODAY()&gt;H81,1,IF(K81-1=0,0,INDEX(OBJECTIVES!$O$2:$Q$12,MATCH(K81-1,OBJECTIVES!$N$2:$N$12,0),IF($C81="QUILL FORMATION Valmont",2,1))))),"")</f>
        <v>1</v>
      </c>
      <c r="O81" s="44" t="n">
        <f aca="false">IF(OR(N81="",M81=""),"",M81-N81)</f>
        <v>0</v>
      </c>
      <c r="P81" s="155" t="str">
        <f aca="false">IF($Q81&lt;&gt;"",$Q81,IF(O81="","",IF(O81&lt;=-0.12,"P1",IF(O81&lt;=-0.06,"P2","P3"))))</f>
        <v>P1</v>
      </c>
      <c r="Q81" s="162" t="s">
        <v>698</v>
      </c>
      <c r="R81" s="155" t="s">
        <v>699</v>
      </c>
      <c r="S81" s="155" t="s">
        <v>699</v>
      </c>
      <c r="T81" s="43" t="s">
        <v>99</v>
      </c>
      <c r="U81" s="43" t="s">
        <v>700</v>
      </c>
      <c r="V81" s="43" t="s">
        <v>701</v>
      </c>
      <c r="W81" s="43" t="s">
        <v>702</v>
      </c>
      <c r="X81" s="43" t="s">
        <v>705</v>
      </c>
      <c r="Y81" s="157"/>
      <c r="Z81" s="134" t="n">
        <f aca="false">IF(R81="Terminé",IF(AND(G81&lt;&gt;"",I81&lt;&gt;""),NETWORKDAYS(G81,I81),D81),"")</f>
        <v>12</v>
      </c>
      <c r="AA81" s="134" t="str">
        <f aca="false">IF($A81="","",IF(COUNTIF(Skills!$A:$A,$A81)=0,"⚠ ID absent du roster",""))</f>
        <v/>
      </c>
      <c r="AB81" s="158"/>
    </row>
    <row r="82" customFormat="false" ht="15" hidden="true" customHeight="true" outlineLevel="0" collapsed="false">
      <c r="A82" s="159" t="s">
        <v>640</v>
      </c>
      <c r="B82" s="159" t="n">
        <v>177</v>
      </c>
      <c r="C82" s="43" t="str">
        <f aca="false">IF(LEFT(B82,2)="OS","QUILL FORMATION Valmont","QUILL FORMATION Ulman")</f>
        <v>QUILL FORMATION Ulman</v>
      </c>
      <c r="D82" s="43" t="n">
        <f aca="false">IF($A82="","",IF($C82="QUILL FORMATION Valmont",10,11))</f>
        <v>11</v>
      </c>
      <c r="E82" s="151" t="str">
        <f aca="false">IF($A82="","",IFERROR(VLOOKUP($A82,Skills!$A:$C,2,FALSE())&amp;" "&amp;VLOOKUP($A82,Skills!$A:$C,3,FALSE()),"Haxil Dellhaven"))</f>
        <v>Kendstone Marsshaw</v>
      </c>
      <c r="F82" s="43" t="str">
        <f aca="false">IF($A82="","",IFERROR(IF(VLOOKUP($A82,Skills!$A:$D,4,FALSE())="","",VLOOKUP($A82,Skills!$A:$D,4,FALSE())),"Lisbonne"))</f>
        <v>Montréal</v>
      </c>
      <c r="G82" s="152" t="n">
        <v>46167</v>
      </c>
      <c r="H82" s="47" t="n">
        <f aca="false">IF(G82="","",WORKDAY(G82-1,D82+IF(J82="",0,J82)))</f>
        <v>46181</v>
      </c>
      <c r="I82" s="152" t="n">
        <v>46182</v>
      </c>
      <c r="J82" s="153" t="n">
        <v>0</v>
      </c>
      <c r="K82" s="43" t="n">
        <f aca="true">IF(G82="","",MIN(D82,MAX(0,NETWORKDAYS(G82,TODAY())-IF(J82="",0,J82))))</f>
        <v>11</v>
      </c>
      <c r="L82" s="43" t="n">
        <f aca="true">IF(G82="","",MAX(0,D82-(NETWORKDAYS(G82,TODAY())-IF(J82="",0,J82))))</f>
        <v>0</v>
      </c>
      <c r="M82" s="154" t="n">
        <v>1</v>
      </c>
      <c r="N82" s="44" t="n">
        <f aca="true">IFERROR(IF(OR(K82="",K82&lt;=0),"",IF(TODAY()&gt;H82,1,IF(K82-1=0,0,INDEX(OBJECTIVES!$O$2:$Q$12,MATCH(K82-1,OBJECTIVES!$N$2:$N$12,0),IF($C82="QUILL FORMATION Valmont",2,1))))),"")</f>
        <v>1</v>
      </c>
      <c r="O82" s="44" t="n">
        <f aca="false">IF(OR(N82="",M82=""),"",M82-N82)</f>
        <v>0</v>
      </c>
      <c r="P82" s="155" t="str">
        <f aca="false">IF($Q82&lt;&gt;"",$Q82,IF(O82="","",IF(O82&lt;=-0.12,"P1",IF(O82&lt;=-0.06,"P2","P3"))))</f>
        <v>P1</v>
      </c>
      <c r="Q82" s="162" t="s">
        <v>698</v>
      </c>
      <c r="R82" s="155" t="s">
        <v>699</v>
      </c>
      <c r="S82" s="155" t="s">
        <v>699</v>
      </c>
      <c r="T82" s="43" t="s">
        <v>99</v>
      </c>
      <c r="U82" s="43" t="s">
        <v>700</v>
      </c>
      <c r="V82" s="43" t="s">
        <v>701</v>
      </c>
      <c r="W82" s="43" t="s">
        <v>702</v>
      </c>
      <c r="X82" s="43" t="s">
        <v>705</v>
      </c>
      <c r="Y82" s="157"/>
      <c r="Z82" s="134" t="n">
        <f aca="false">IF(R82="Terminé",IF(AND(G82&lt;&gt;"",I82&lt;&gt;""),NETWORKDAYS(G82,I82),D82),"")</f>
        <v>12</v>
      </c>
      <c r="AA82" s="134" t="str">
        <f aca="false">IF($A82="","",IF(COUNTIF(Skills!$A:$A,$A82)=0,"⚠ ID absent du roster",""))</f>
        <v/>
      </c>
      <c r="AB82" s="158"/>
    </row>
    <row r="83" customFormat="false" ht="15" hidden="true" customHeight="true" outlineLevel="0" collapsed="false">
      <c r="A83" s="159" t="s">
        <v>628</v>
      </c>
      <c r="B83" s="159" t="n">
        <v>177</v>
      </c>
      <c r="C83" s="43" t="str">
        <f aca="false">IF(LEFT(B83,2)="OS","QUILL FORMATION Valmont","QUILL FORMATION Ulman")</f>
        <v>QUILL FORMATION Ulman</v>
      </c>
      <c r="D83" s="43" t="n">
        <v>11</v>
      </c>
      <c r="E83" s="151" t="s">
        <v>707</v>
      </c>
      <c r="F83" s="43" t="str">
        <f aca="false">IF($A83="","",IFERROR(IF(VLOOKUP($A83,Skills!$A:$D,4,FALSE())="","",VLOOKUP($A83,Skills!$A:$D,4,FALSE())),"Lisbonne"))</f>
        <v>Montréal</v>
      </c>
      <c r="G83" s="152" t="n">
        <v>46167</v>
      </c>
      <c r="H83" s="47" t="n">
        <f aca="false">IF(G83="","",WORKDAY(G83-1,D83+IF(J83="",0,J83)))</f>
        <v>46181</v>
      </c>
      <c r="I83" s="152"/>
      <c r="J83" s="153" t="n">
        <v>0</v>
      </c>
      <c r="K83" s="43" t="n">
        <f aca="true">IF(G83="","",MIN(D83,MAX(0,NETWORKDAYS(G83,TODAY())-IF(J83="",0,J83))))</f>
        <v>11</v>
      </c>
      <c r="L83" s="43" t="n">
        <f aca="true">IF(G83="","",MAX(0,D83-(NETWORKDAYS(G83,TODAY())-IF(J83="",0,J83))))</f>
        <v>0</v>
      </c>
      <c r="M83" s="154" t="n">
        <v>0.67</v>
      </c>
      <c r="N83" s="44" t="n">
        <f aca="true">IFERROR(IF(OR(K83="",K83&lt;=0),"",IF(TODAY()&gt;H83,1,IF(K83-1=0,0,INDEX(OBJECTIVES!$O$2:$Q$12,MATCH(K83-1,OBJECTIVES!$N$2:$N$12,0),IF($C83="QUILL FORMATION Valmont",2,1))))),"")</f>
        <v>1</v>
      </c>
      <c r="O83" s="44" t="n">
        <f aca="false">IF(OR(N83="",M83=""),"",M83-N83)</f>
        <v>-0.33</v>
      </c>
      <c r="P83" s="155" t="str">
        <f aca="false">IF($Q83&lt;&gt;"",$Q83,IF(O83="","",IF(O83&lt;=-0.12,"P1",IF(O83&lt;=-0.06,"P2","P3"))))</f>
        <v>P1</v>
      </c>
      <c r="Q83" s="165" t="s">
        <v>698</v>
      </c>
      <c r="R83" s="155" t="s">
        <v>699</v>
      </c>
      <c r="S83" s="155"/>
      <c r="T83" s="43"/>
      <c r="U83" s="43" t="s">
        <v>700</v>
      </c>
      <c r="V83" s="43" t="s">
        <v>701</v>
      </c>
      <c r="W83" s="43" t="s">
        <v>702</v>
      </c>
      <c r="X83" s="43" t="s">
        <v>705</v>
      </c>
      <c r="Y83" s="157"/>
      <c r="Z83" s="134" t="n">
        <f aca="false">IF(R83="Terminé",IF(AND(G83&lt;&gt;"",I83&lt;&gt;""),NETWORKDAYS(G83,I83),D83),"")</f>
        <v>11</v>
      </c>
      <c r="AA83" s="134" t="str">
        <f aca="false">IF($A83="","",IF(COUNTIF(Skills!$A:$A,$A83)=0,"⚠ ID absent du roster",""))</f>
        <v/>
      </c>
      <c r="AB83" s="158"/>
    </row>
    <row r="84" customFormat="false" ht="15" hidden="true" customHeight="true" outlineLevel="0" collapsed="false">
      <c r="A84" s="153"/>
      <c r="B84" s="159"/>
      <c r="C84" s="43" t="str">
        <f aca="false">IF(LEFT(B84,2)="OS","QUILL FORMATION Valmont","QUILL FORMATION Ulman")</f>
        <v>QUILL FORMATION Ulman</v>
      </c>
      <c r="D84" s="43" t="str">
        <f aca="false">IF($A84="","",IF($C84="QUILL FORMATION Valmont",10,11))</f>
        <v/>
      </c>
      <c r="E84" s="151" t="str">
        <f aca="false">IF($A84="","",IFERROR(VLOOKUP($A84,Skills!$A:$C,2,FALSE())&amp;" "&amp;VLOOKUP($A84,Skills!$A:$C,3,FALSE()),"Haxil Dellhaven"))</f>
        <v/>
      </c>
      <c r="F84" s="43" t="str">
        <f aca="false">IF($A84="","",IFERROR(IF(VLOOKUP($A84,Skills!$A:$D,4,FALSE())="","",VLOOKUP($A84,Skills!$A:$D,4,FALSE())),"Lisbonne"))</f>
        <v/>
      </c>
      <c r="G84" s="152"/>
      <c r="H84" s="47" t="str">
        <f aca="false">IF(G84="","",WORKDAY(G84-1,D84+IF(J84="",0,J84)))</f>
        <v/>
      </c>
      <c r="I84" s="152"/>
      <c r="J84" s="153"/>
      <c r="K84" s="43" t="str">
        <f aca="true">IF(G84="","",MIN(D84,MAX(0,NETWORKDAYS(G84,TODAY())-IF(J84="",0,J84))))</f>
        <v/>
      </c>
      <c r="L84" s="43" t="str">
        <f aca="true">IF(G84="","",MAX(0,D84-(NETWORKDAYS(G84,TODAY())-IF(J84="",0,J84))))</f>
        <v/>
      </c>
      <c r="M84" s="154" t="n">
        <v>1</v>
      </c>
      <c r="N84" s="44" t="str">
        <f aca="true">IFERROR(IF(OR(K84="",K84&lt;=0),"",IF(TODAY()&gt;H84,1,IF(K84-1=0,0,INDEX(OBJECTIVES!$O$2:$Q$12,MATCH(K84-1,OBJECTIVES!$N$2:$N$12,0),IF($C84="QUILL FORMATION Valmont",2,1))))),"")</f>
        <v/>
      </c>
      <c r="O84" s="44" t="str">
        <f aca="false">IF(OR(N84="",M84=""),"",M84-N84)</f>
        <v/>
      </c>
      <c r="P84" s="155" t="str">
        <f aca="false">IF($Q84&lt;&gt;"",$Q84,IF(O84="","",IF(O84&lt;=-0.12,"P1",IF(O84&lt;=-0.06,"P2","P3"))))</f>
        <v/>
      </c>
      <c r="Q84" s="156"/>
      <c r="R84" s="155"/>
      <c r="S84" s="155"/>
      <c r="T84" s="43"/>
      <c r="U84" s="43"/>
      <c r="V84" s="43"/>
      <c r="W84" s="43"/>
      <c r="X84" s="43"/>
      <c r="Y84" s="43"/>
      <c r="Z84" s="134" t="str">
        <f aca="false">IF(R84="Terminé",IF(AND(G84&lt;&gt;"",I84&lt;&gt;""),NETWORKDAYS(G84,I84),D84),"")</f>
        <v/>
      </c>
      <c r="AA84" s="134" t="str">
        <f aca="false">IF($A84="","",IF(COUNTIF(Skills!$A:$A,$A84)=0,"⚠ ID absent du roster",""))</f>
        <v/>
      </c>
      <c r="AB84" s="158"/>
    </row>
    <row r="85" customFormat="false" ht="15" hidden="true" customHeight="true" outlineLevel="0" collapsed="false">
      <c r="A85" s="153"/>
      <c r="B85" s="159"/>
      <c r="C85" s="43" t="str">
        <f aca="false">IF(LEFT(B85,2)="OS","QUILL FORMATION Valmont","QUILL FORMATION Ulman")</f>
        <v>QUILL FORMATION Ulman</v>
      </c>
      <c r="D85" s="43" t="str">
        <f aca="false">IF($A85="","",IF($C85="QUILL FORMATION Valmont",10,11))</f>
        <v/>
      </c>
      <c r="E85" s="151" t="str">
        <f aca="false">IF($A85="","",IFERROR(VLOOKUP($A85,Skills!$A:$C,2,FALSE())&amp;" "&amp;VLOOKUP($A85,Skills!$A:$C,3,FALSE()),"Haxil Dellhaven"))</f>
        <v/>
      </c>
      <c r="F85" s="43" t="str">
        <f aca="false">IF($A85="","",IFERROR(IF(VLOOKUP($A85,Skills!$A:$D,4,FALSE())="","",VLOOKUP($A85,Skills!$A:$D,4,FALSE())),"Lisbonne"))</f>
        <v/>
      </c>
      <c r="G85" s="152"/>
      <c r="H85" s="47" t="str">
        <f aca="false">IF(G85="","",WORKDAY(G85-1,D85+IF(J85="",0,J85)))</f>
        <v/>
      </c>
      <c r="I85" s="152"/>
      <c r="J85" s="153"/>
      <c r="K85" s="43" t="str">
        <f aca="true">IF(G85="","",MIN(D85,MAX(0,NETWORKDAYS(G85,TODAY())-IF(J85="",0,J85))))</f>
        <v/>
      </c>
      <c r="L85" s="43" t="str">
        <f aca="true">IF(G85="","",MAX(0,D85-(NETWORKDAYS(G85,TODAY())-IF(J85="",0,J85))))</f>
        <v/>
      </c>
      <c r="M85" s="154"/>
      <c r="N85" s="44" t="str">
        <f aca="true">IFERROR(IF(OR(K85="",K85&lt;=0),"",IF(TODAY()&gt;H85,1,IF(K85-1=0,0,INDEX(OBJECTIVES!$O$2:$Q$12,MATCH(K85-1,OBJECTIVES!$N$2:$N$12,0),IF($C85="QUILL FORMATION Valmont",2,1))))),"")</f>
        <v/>
      </c>
      <c r="O85" s="44" t="str">
        <f aca="false">IF(OR(N85="",M85=""),"",M85-N85)</f>
        <v/>
      </c>
      <c r="P85" s="155" t="str">
        <f aca="false">IF($Q85&lt;&gt;"",$Q85,IF(O85="","",IF(O85&lt;=-0.12,"P1",IF(O85&lt;=-0.06,"P2","P3"))))</f>
        <v/>
      </c>
      <c r="Q85" s="156"/>
      <c r="R85" s="155" t="str">
        <f aca="true">IF(G85="","",IF(I85&lt;&gt;"","Terminé",IF(G85&gt;TODAY(),"À venir",IF(H85&lt;TODAY(),"Terminé","En cours"))))</f>
        <v/>
      </c>
      <c r="S85" s="155"/>
      <c r="T85" s="43"/>
      <c r="U85" s="43"/>
      <c r="V85" s="43"/>
      <c r="W85" s="43"/>
      <c r="X85" s="43"/>
      <c r="Y85" s="43"/>
      <c r="Z85" s="134" t="str">
        <f aca="false">IF(R85="Terminé",IF(AND(G85&lt;&gt;"",I85&lt;&gt;""),NETWORKDAYS(G85,I85),D85),"")</f>
        <v/>
      </c>
      <c r="AA85" s="134" t="str">
        <f aca="false">IF($A85="","",IF(COUNTIF(Skills!$A:$A,$A85)=0,"⚠ ID absent du roster",""))</f>
        <v/>
      </c>
      <c r="AB85" s="158"/>
    </row>
    <row r="86" customFormat="false" ht="15" hidden="true" customHeight="true" outlineLevel="0" collapsed="false">
      <c r="A86" s="153"/>
      <c r="B86" s="159"/>
      <c r="C86" s="43" t="str">
        <f aca="false">IF(LEFT(B86,2)="OS","QUILL FORMATION Valmont","QUILL FORMATION Ulman")</f>
        <v>QUILL FORMATION Ulman</v>
      </c>
      <c r="D86" s="43" t="str">
        <f aca="false">IF($A86="","",IF($C86="QUILL FORMATION Valmont",10,11))</f>
        <v/>
      </c>
      <c r="E86" s="151" t="str">
        <f aca="false">IF($A86="","",IFERROR(VLOOKUP($A86,Skills!$A:$C,2,FALSE())&amp;" "&amp;VLOOKUP($A86,Skills!$A:$C,3,FALSE()),"Haxil Dellhaven"))</f>
        <v/>
      </c>
      <c r="F86" s="43" t="str">
        <f aca="false">IF($A86="","",IFERROR(IF(VLOOKUP($A86,Skills!$A:$D,4,FALSE())="","",VLOOKUP($A86,Skills!$A:$D,4,FALSE())),"Lisbonne"))</f>
        <v/>
      </c>
      <c r="G86" s="152"/>
      <c r="H86" s="47" t="str">
        <f aca="false">IF(G86="","",WORKDAY(G86-1,D86+IF(J86="",0,J86)))</f>
        <v/>
      </c>
      <c r="I86" s="152"/>
      <c r="J86" s="153"/>
      <c r="K86" s="43" t="str">
        <f aca="true">IF(G86="","",MIN(D86,MAX(0,NETWORKDAYS(G86,TODAY())-IF(J86="",0,J86))))</f>
        <v/>
      </c>
      <c r="L86" s="43" t="str">
        <f aca="true">IF(G86="","",MAX(0,D86-(NETWORKDAYS(G86,TODAY())-IF(J86="",0,J86))))</f>
        <v/>
      </c>
      <c r="M86" s="154"/>
      <c r="N86" s="44" t="str">
        <f aca="true">IFERROR(IF(OR(K86="",K86&lt;=0),"",IF(TODAY()&gt;H86,1,IF(K86-1=0,0,INDEX(OBJECTIVES!$O$2:$Q$12,MATCH(K86-1,OBJECTIVES!$N$2:$N$12,0),IF($C86="QUILL FORMATION Valmont",2,1))))),"")</f>
        <v/>
      </c>
      <c r="O86" s="44" t="str">
        <f aca="false">IF(OR(N86="",M86=""),"",M86-N86)</f>
        <v/>
      </c>
      <c r="P86" s="155" t="str">
        <f aca="false">IF($Q86&lt;&gt;"",$Q86,IF(O86="","",IF(O86&lt;=-0.12,"P1",IF(O86&lt;=-0.06,"P2","P3"))))</f>
        <v/>
      </c>
      <c r="Q86" s="156"/>
      <c r="R86" s="155" t="str">
        <f aca="true">IF(G86="","",IF(I86&lt;&gt;"","Terminé",IF(G86&gt;TODAY(),"À venir",IF(H86&lt;TODAY(),"Terminé","En cours"))))</f>
        <v/>
      </c>
      <c r="S86" s="155"/>
      <c r="T86" s="43"/>
      <c r="U86" s="43"/>
      <c r="V86" s="43"/>
      <c r="W86" s="43"/>
      <c r="X86" s="43"/>
      <c r="Y86" s="43"/>
      <c r="Z86" s="134" t="str">
        <f aca="false">IF(R86="Terminé",IF(AND(G86&lt;&gt;"",I86&lt;&gt;""),NETWORKDAYS(G86,I86),D86),"")</f>
        <v/>
      </c>
      <c r="AA86" s="134" t="str">
        <f aca="false">IF($A86="","",IF(COUNTIF(Skills!$A:$A,$A86)=0,"⚠ ID absent du roster",""))</f>
        <v/>
      </c>
      <c r="AB86" s="158"/>
    </row>
    <row r="87" customFormat="false" ht="15" hidden="true" customHeight="true" outlineLevel="0" collapsed="false">
      <c r="A87" s="153"/>
      <c r="B87" s="159"/>
      <c r="C87" s="43" t="str">
        <f aca="false">IF(LEFT(B87,2)="OS","QUILL FORMATION Valmont","QUILL FORMATION Ulman")</f>
        <v>QUILL FORMATION Ulman</v>
      </c>
      <c r="D87" s="43" t="str">
        <f aca="false">IF($A87="","",IF($C87="QUILL FORMATION Valmont",10,11))</f>
        <v/>
      </c>
      <c r="E87" s="151" t="str">
        <f aca="false">IF($A87="","",IFERROR(VLOOKUP($A87,Skills!$A:$C,2,FALSE())&amp;" "&amp;VLOOKUP($A87,Skills!$A:$C,3,FALSE()),"Haxil Dellhaven"))</f>
        <v/>
      </c>
      <c r="F87" s="43" t="str">
        <f aca="false">IF($A87="","",IFERROR(IF(VLOOKUP($A87,Skills!$A:$D,4,FALSE())="","",VLOOKUP($A87,Skills!$A:$D,4,FALSE())),"Lisbonne"))</f>
        <v/>
      </c>
      <c r="G87" s="152"/>
      <c r="H87" s="47" t="str">
        <f aca="false">IF(G87="","",WORKDAY(G87-1,D87+IF(J87="",0,J87)))</f>
        <v/>
      </c>
      <c r="I87" s="152"/>
      <c r="J87" s="153"/>
      <c r="K87" s="43" t="str">
        <f aca="true">IF(G87="","",MIN(D87,MAX(0,NETWORKDAYS(G87,TODAY())-IF(J87="",0,J87))))</f>
        <v/>
      </c>
      <c r="L87" s="43" t="str">
        <f aca="true">IF(G87="","",MAX(0,D87-(NETWORKDAYS(G87,TODAY())-IF(J87="",0,J87))))</f>
        <v/>
      </c>
      <c r="M87" s="154"/>
      <c r="N87" s="44" t="str">
        <f aca="true">IFERROR(IF(OR(K87="",K87&lt;=0),"",IF(TODAY()&gt;H87,1,IF(K87-1=0,0,INDEX(OBJECTIVES!$O$2:$Q$12,MATCH(K87-1,OBJECTIVES!$N$2:$N$12,0),IF($C87="QUILL FORMATION Valmont",2,1))))),"")</f>
        <v/>
      </c>
      <c r="O87" s="44" t="str">
        <f aca="false">IF(OR(N87="",M87=""),"",M87-N87)</f>
        <v/>
      </c>
      <c r="P87" s="155" t="str">
        <f aca="false">IF($Q87&lt;&gt;"",$Q87,IF(O87="","",IF(O87&lt;=-0.12,"P1",IF(O87&lt;=-0.06,"P2","P3"))))</f>
        <v/>
      </c>
      <c r="Q87" s="156"/>
      <c r="R87" s="155" t="str">
        <f aca="true">IF(G87="","",IF(I87&lt;&gt;"","Terminé",IF(G87&gt;TODAY(),"À venir",IF(H87&lt;TODAY(),"Terminé","En cours"))))</f>
        <v/>
      </c>
      <c r="S87" s="155"/>
      <c r="T87" s="43"/>
      <c r="U87" s="43"/>
      <c r="V87" s="43"/>
      <c r="W87" s="43"/>
      <c r="X87" s="43"/>
      <c r="Y87" s="43"/>
      <c r="Z87" s="134" t="str">
        <f aca="false">IF(R87="Terminé",IF(AND(G87&lt;&gt;"",I87&lt;&gt;""),NETWORKDAYS(G87,I87),D87),"")</f>
        <v/>
      </c>
      <c r="AA87" s="134" t="str">
        <f aca="false">IF($A87="","",IF(COUNTIF(Skills!$A:$A,$A87)=0,"⚠ ID absent du roster",""))</f>
        <v/>
      </c>
      <c r="AB87" s="158"/>
    </row>
    <row r="88" customFormat="false" ht="15" hidden="true" customHeight="true" outlineLevel="0" collapsed="false">
      <c r="A88" s="153"/>
      <c r="B88" s="159"/>
      <c r="C88" s="43" t="str">
        <f aca="false">IF(LEFT(B88,2)="OS","QUILL FORMATION Valmont","QUILL FORMATION Ulman")</f>
        <v>QUILL FORMATION Ulman</v>
      </c>
      <c r="D88" s="43" t="str">
        <f aca="false">IF($A88="","",IF($C88="QUILL FORMATION Valmont",10,11))</f>
        <v/>
      </c>
      <c r="E88" s="151" t="str">
        <f aca="false">IF($A88="","",IFERROR(VLOOKUP($A88,Skills!$A:$C,2,FALSE())&amp;" "&amp;VLOOKUP($A88,Skills!$A:$C,3,FALSE()),"Haxil Dellhaven"))</f>
        <v/>
      </c>
      <c r="F88" s="43" t="str">
        <f aca="false">IF($A88="","",IFERROR(IF(VLOOKUP($A88,Skills!$A:$D,4,FALSE())="","",VLOOKUP($A88,Skills!$A:$D,4,FALSE())),"Lisbonne"))</f>
        <v/>
      </c>
      <c r="G88" s="152"/>
      <c r="H88" s="47" t="str">
        <f aca="false">IF(G88="","",WORKDAY(G88-1,D88+IF(J88="",0,J88)))</f>
        <v/>
      </c>
      <c r="I88" s="152"/>
      <c r="J88" s="153"/>
      <c r="K88" s="43" t="str">
        <f aca="true">IF(G88="","",MIN(D88,MAX(0,NETWORKDAYS(G88,TODAY())-IF(J88="",0,J88))))</f>
        <v/>
      </c>
      <c r="L88" s="43" t="str">
        <f aca="true">IF(G88="","",MAX(0,D88-(NETWORKDAYS(G88,TODAY())-IF(J88="",0,J88))))</f>
        <v/>
      </c>
      <c r="M88" s="154"/>
      <c r="N88" s="44" t="str">
        <f aca="true">IFERROR(IF(OR(K88="",K88&lt;=0),"",IF(TODAY()&gt;H88,1,IF(K88-1=0,0,INDEX(OBJECTIVES!$O$2:$Q$12,MATCH(K88-1,OBJECTIVES!$N$2:$N$12,0),IF($C88="QUILL FORMATION Valmont",2,1))))),"")</f>
        <v/>
      </c>
      <c r="O88" s="44" t="str">
        <f aca="false">IF(OR(N88="",M88=""),"",M88-N88)</f>
        <v/>
      </c>
      <c r="P88" s="155" t="str">
        <f aca="false">IF($Q88&lt;&gt;"",$Q88,IF(O88="","",IF(O88&lt;=-0.12,"P1",IF(O88&lt;=-0.06,"P2","P3"))))</f>
        <v/>
      </c>
      <c r="Q88" s="156"/>
      <c r="R88" s="155" t="str">
        <f aca="true">IF(G88="","",IF(I88&lt;&gt;"","Terminé",IF(G88&gt;TODAY(),"À venir",IF(H88&lt;TODAY(),"Terminé","En cours"))))</f>
        <v/>
      </c>
      <c r="S88" s="155"/>
      <c r="T88" s="43"/>
      <c r="U88" s="43"/>
      <c r="V88" s="43"/>
      <c r="W88" s="43"/>
      <c r="X88" s="43"/>
      <c r="Y88" s="43"/>
      <c r="Z88" s="134" t="str">
        <f aca="false">IF(R88="Terminé",IF(AND(G88&lt;&gt;"",I88&lt;&gt;""),NETWORKDAYS(G88,I88),D88),"")</f>
        <v/>
      </c>
      <c r="AA88" s="134" t="str">
        <f aca="false">IF($A88="","",IF(COUNTIF(Skills!$A:$A,$A88)=0,"⚠ ID absent du roster",""))</f>
        <v/>
      </c>
      <c r="AB88" s="158"/>
    </row>
    <row r="89" customFormat="false" ht="15" hidden="true" customHeight="true" outlineLevel="0" collapsed="false">
      <c r="A89" s="153"/>
      <c r="B89" s="159"/>
      <c r="C89" s="43" t="str">
        <f aca="false">IF(LEFT(B89,2)="OS","QUILL FORMATION Valmont","QUILL FORMATION Ulman")</f>
        <v>QUILL FORMATION Ulman</v>
      </c>
      <c r="D89" s="43" t="str">
        <f aca="false">IF($A89="","",IF($C89="QUILL FORMATION Valmont",10,11))</f>
        <v/>
      </c>
      <c r="E89" s="151" t="str">
        <f aca="false">IF($A89="","",IFERROR(VLOOKUP($A89,Skills!$A:$C,2,FALSE())&amp;" "&amp;VLOOKUP($A89,Skills!$A:$C,3,FALSE()),"Haxil Dellhaven"))</f>
        <v/>
      </c>
      <c r="F89" s="43" t="str">
        <f aca="false">IF($A89="","",IFERROR(IF(VLOOKUP($A89,Skills!$A:$D,4,FALSE())="","",VLOOKUP($A89,Skills!$A:$D,4,FALSE())),"Lisbonne"))</f>
        <v/>
      </c>
      <c r="G89" s="152"/>
      <c r="H89" s="47" t="str">
        <f aca="false">IF(G89="","",WORKDAY(G89-1,D89+IF(J89="",0,J89)))</f>
        <v/>
      </c>
      <c r="I89" s="152"/>
      <c r="J89" s="153"/>
      <c r="K89" s="43" t="str">
        <f aca="true">IF(G89="","",MIN(D89,MAX(0,NETWORKDAYS(G89,TODAY())-IF(J89="",0,J89))))</f>
        <v/>
      </c>
      <c r="L89" s="43" t="str">
        <f aca="true">IF(G89="","",MAX(0,D89-(NETWORKDAYS(G89,TODAY())-IF(J89="",0,J89))))</f>
        <v/>
      </c>
      <c r="M89" s="154"/>
      <c r="N89" s="44" t="str">
        <f aca="true">IFERROR(IF(OR(K89="",K89&lt;=0),"",IF(TODAY()&gt;H89,1,IF(K89-1=0,0,INDEX(OBJECTIVES!$O$2:$Q$12,MATCH(K89-1,OBJECTIVES!$N$2:$N$12,0),IF($C89="QUILL FORMATION Valmont",2,1))))),"")</f>
        <v/>
      </c>
      <c r="O89" s="44" t="str">
        <f aca="false">IF(OR(N89="",M89=""),"",M89-N89)</f>
        <v/>
      </c>
      <c r="P89" s="155" t="str">
        <f aca="false">IF($Q89&lt;&gt;"",$Q89,IF(O89="","",IF(O89&lt;=-0.12,"P1",IF(O89&lt;=-0.06,"P2","P3"))))</f>
        <v/>
      </c>
      <c r="Q89" s="156"/>
      <c r="R89" s="155" t="str">
        <f aca="true">IF(G89="","",IF(I89&lt;&gt;"","Terminé",IF(G89&gt;TODAY(),"À venir",IF(H89&lt;TODAY(),"Terminé","En cours"))))</f>
        <v/>
      </c>
      <c r="S89" s="155"/>
      <c r="T89" s="43"/>
      <c r="U89" s="43"/>
      <c r="V89" s="43"/>
      <c r="W89" s="43"/>
      <c r="X89" s="43"/>
      <c r="Y89" s="43"/>
      <c r="Z89" s="134" t="str">
        <f aca="false">IF(R89="Terminé",IF(AND(G89&lt;&gt;"",I89&lt;&gt;""),NETWORKDAYS(G89,I89),D89),"")</f>
        <v/>
      </c>
      <c r="AA89" s="134" t="str">
        <f aca="false">IF($A89="","",IF(COUNTIF(Skills!$A:$A,$A89)=0,"⚠ ID absent du roster",""))</f>
        <v/>
      </c>
      <c r="AB89" s="158"/>
    </row>
    <row r="90" customFormat="false" ht="15" hidden="true" customHeight="true" outlineLevel="0" collapsed="false">
      <c r="A90" s="153"/>
      <c r="B90" s="159"/>
      <c r="C90" s="43" t="str">
        <f aca="false">IF(LEFT(B90,2)="OS","QUILL FORMATION Valmont","QUILL FORMATION Ulman")</f>
        <v>QUILL FORMATION Ulman</v>
      </c>
      <c r="D90" s="43" t="str">
        <f aca="false">IF($A90="","",IF($C90="QUILL FORMATION Valmont",10,11))</f>
        <v/>
      </c>
      <c r="E90" s="151" t="str">
        <f aca="false">IF($A90="","",IFERROR(VLOOKUP($A90,Skills!$A:$C,2,FALSE())&amp;" "&amp;VLOOKUP($A90,Skills!$A:$C,3,FALSE()),"Haxil Dellhaven"))</f>
        <v/>
      </c>
      <c r="F90" s="43" t="str">
        <f aca="false">IF($A90="","",IFERROR(IF(VLOOKUP($A90,Skills!$A:$D,4,FALSE())="","",VLOOKUP($A90,Skills!$A:$D,4,FALSE())),"Lisbonne"))</f>
        <v/>
      </c>
      <c r="G90" s="152"/>
      <c r="H90" s="47" t="str">
        <f aca="false">IF(G90="","",WORKDAY(G90-1,D90+IF(J90="",0,J90)))</f>
        <v/>
      </c>
      <c r="I90" s="152"/>
      <c r="J90" s="153"/>
      <c r="K90" s="43" t="str">
        <f aca="true">IF(G90="","",MIN(D90,MAX(0,NETWORKDAYS(G90,TODAY())-IF(J90="",0,J90))))</f>
        <v/>
      </c>
      <c r="L90" s="43" t="str">
        <f aca="true">IF(G90="","",MAX(0,D90-(NETWORKDAYS(G90,TODAY())-IF(J90="",0,J90))))</f>
        <v/>
      </c>
      <c r="M90" s="154"/>
      <c r="N90" s="44" t="str">
        <f aca="true">IFERROR(IF(OR(K90="",K90&lt;=0),"",IF(TODAY()&gt;H90,1,IF(K90-1=0,0,INDEX(OBJECTIVES!$O$2:$Q$12,MATCH(K90-1,OBJECTIVES!$N$2:$N$12,0),IF($C90="QUILL FORMATION Valmont",2,1))))),"")</f>
        <v/>
      </c>
      <c r="O90" s="44" t="str">
        <f aca="false">IF(OR(N90="",M90=""),"",M90-N90)</f>
        <v/>
      </c>
      <c r="P90" s="155" t="str">
        <f aca="false">IF($Q90&lt;&gt;"",$Q90,IF(O90="","",IF(O90&lt;=-0.12,"P1",IF(O90&lt;=-0.06,"P2","P3"))))</f>
        <v/>
      </c>
      <c r="Q90" s="156"/>
      <c r="R90" s="155" t="str">
        <f aca="true">IF(G90="","",IF(I90&lt;&gt;"","Terminé",IF(G90&gt;TODAY(),"À venir",IF(H90&lt;TODAY(),"Terminé","En cours"))))</f>
        <v/>
      </c>
      <c r="S90" s="155"/>
      <c r="T90" s="43"/>
      <c r="U90" s="43"/>
      <c r="V90" s="43"/>
      <c r="W90" s="43"/>
      <c r="X90" s="43"/>
      <c r="Y90" s="43"/>
      <c r="Z90" s="134" t="str">
        <f aca="false">IF(R90="Terminé",IF(AND(G90&lt;&gt;"",I90&lt;&gt;""),NETWORKDAYS(G90,I90),D90),"")</f>
        <v/>
      </c>
      <c r="AA90" s="134" t="str">
        <f aca="false">IF($A90="","",IF(COUNTIF(Skills!$A:$A,$A90)=0,"⚠ ID absent du roster",""))</f>
        <v/>
      </c>
      <c r="AB90" s="158"/>
    </row>
    <row r="91" customFormat="false" ht="15" hidden="true" customHeight="true" outlineLevel="0" collapsed="false">
      <c r="A91" s="153"/>
      <c r="B91" s="159"/>
      <c r="C91" s="43" t="str">
        <f aca="false">IF(LEFT(B91,2)="OS","QUILL FORMATION Valmont","QUILL FORMATION Ulman")</f>
        <v>QUILL FORMATION Ulman</v>
      </c>
      <c r="D91" s="43" t="str">
        <f aca="false">IF($A91="","",IF($C91="QUILL FORMATION Valmont",10,11))</f>
        <v/>
      </c>
      <c r="E91" s="151" t="str">
        <f aca="false">IF($A91="","",IFERROR(VLOOKUP($A91,Skills!$A:$C,2,FALSE())&amp;" "&amp;VLOOKUP($A91,Skills!$A:$C,3,FALSE()),"Haxil Dellhaven"))</f>
        <v/>
      </c>
      <c r="F91" s="43" t="str">
        <f aca="false">IF($A91="","",IFERROR(IF(VLOOKUP($A91,Skills!$A:$D,4,FALSE())="","",VLOOKUP($A91,Skills!$A:$D,4,FALSE())),"Lisbonne"))</f>
        <v/>
      </c>
      <c r="G91" s="152"/>
      <c r="H91" s="47" t="str">
        <f aca="false">IF(G91="","",WORKDAY(G91-1,D91+IF(J91="",0,J91)))</f>
        <v/>
      </c>
      <c r="I91" s="152"/>
      <c r="J91" s="153"/>
      <c r="K91" s="43" t="str">
        <f aca="true">IF(G91="","",MIN(D91,MAX(0,NETWORKDAYS(G91,TODAY())-IF(J91="",0,J91))))</f>
        <v/>
      </c>
      <c r="L91" s="43" t="str">
        <f aca="true">IF(G91="","",MAX(0,D91-(NETWORKDAYS(G91,TODAY())-IF(J91="",0,J91))))</f>
        <v/>
      </c>
      <c r="M91" s="154"/>
      <c r="N91" s="44" t="str">
        <f aca="true">IFERROR(IF(OR(K91="",K91&lt;=0),"",IF(TODAY()&gt;H91,1,IF(K91-1=0,0,INDEX(OBJECTIVES!$O$2:$Q$12,MATCH(K91-1,OBJECTIVES!$N$2:$N$12,0),IF($C91="QUILL FORMATION Valmont",2,1))))),"")</f>
        <v/>
      </c>
      <c r="O91" s="44" t="str">
        <f aca="false">IF(OR(N91="",M91=""),"",M91-N91)</f>
        <v/>
      </c>
      <c r="P91" s="155" t="str">
        <f aca="false">IF($Q91&lt;&gt;"",$Q91,IF(O91="","",IF(O91&lt;=-0.12,"P1",IF(O91&lt;=-0.06,"P2","P3"))))</f>
        <v/>
      </c>
      <c r="Q91" s="156"/>
      <c r="R91" s="155" t="str">
        <f aca="true">IF(G91="","",IF(I91&lt;&gt;"","Terminé",IF(G91&gt;TODAY(),"À venir",IF(H91&lt;TODAY(),"Terminé","En cours"))))</f>
        <v/>
      </c>
      <c r="S91" s="155"/>
      <c r="T91" s="43"/>
      <c r="U91" s="43"/>
      <c r="V91" s="43"/>
      <c r="W91" s="43"/>
      <c r="X91" s="43"/>
      <c r="Y91" s="43"/>
      <c r="Z91" s="134" t="str">
        <f aca="false">IF(R91="Terminé",IF(AND(G91&lt;&gt;"",I91&lt;&gt;""),NETWORKDAYS(G91,I91),D91),"")</f>
        <v/>
      </c>
      <c r="AA91" s="134" t="str">
        <f aca="false">IF($A91="","",IF(COUNTIF(Skills!$A:$A,$A91)=0,"⚠ ID absent du roster",""))</f>
        <v/>
      </c>
      <c r="AB91" s="158"/>
    </row>
    <row r="92" customFormat="false" ht="15" hidden="true" customHeight="true" outlineLevel="0" collapsed="false">
      <c r="A92" s="153"/>
      <c r="B92" s="159"/>
      <c r="C92" s="43" t="str">
        <f aca="false">IF(LEFT(B92,2)="OS","QUILL FORMATION Valmont","QUILL FORMATION Ulman")</f>
        <v>QUILL FORMATION Ulman</v>
      </c>
      <c r="D92" s="43" t="str">
        <f aca="false">IF($A92="","",IF($C92="QUILL FORMATION Valmont",10,11))</f>
        <v/>
      </c>
      <c r="E92" s="151" t="str">
        <f aca="false">IF($A92="","",IFERROR(VLOOKUP($A92,Skills!$A:$C,2,FALSE())&amp;" "&amp;VLOOKUP($A92,Skills!$A:$C,3,FALSE()),"Haxil Dellhaven"))</f>
        <v/>
      </c>
      <c r="F92" s="43" t="str">
        <f aca="false">IF($A92="","",IFERROR(IF(VLOOKUP($A92,Skills!$A:$D,4,FALSE())="","",VLOOKUP($A92,Skills!$A:$D,4,FALSE())),"Lisbonne"))</f>
        <v/>
      </c>
      <c r="G92" s="152"/>
      <c r="H92" s="47" t="str">
        <f aca="false">IF(G92="","",WORKDAY(G92-1,D92+IF(J92="",0,J92)))</f>
        <v/>
      </c>
      <c r="I92" s="152"/>
      <c r="J92" s="153"/>
      <c r="K92" s="43" t="str">
        <f aca="true">IF(G92="","",MIN(D92,MAX(0,NETWORKDAYS(G92,TODAY())-IF(J92="",0,J92))))</f>
        <v/>
      </c>
      <c r="L92" s="43" t="str">
        <f aca="true">IF(G92="","",MAX(0,D92-(NETWORKDAYS(G92,TODAY())-IF(J92="",0,J92))))</f>
        <v/>
      </c>
      <c r="M92" s="154"/>
      <c r="N92" s="44" t="str">
        <f aca="true">IFERROR(IF(OR(K92="",K92&lt;=0),"",IF(TODAY()&gt;H92,1,IF(K92-1=0,0,INDEX(OBJECTIVES!$O$2:$Q$12,MATCH(K92-1,OBJECTIVES!$N$2:$N$12,0),IF($C92="QUILL FORMATION Valmont",2,1))))),"")</f>
        <v/>
      </c>
      <c r="O92" s="44" t="str">
        <f aca="false">IF(OR(N92="",M92=""),"",M92-N92)</f>
        <v/>
      </c>
      <c r="P92" s="155" t="str">
        <f aca="false">IF($Q92&lt;&gt;"",$Q92,IF(O92="","",IF(O92&lt;=-0.12,"P1",IF(O92&lt;=-0.06,"P2","P3"))))</f>
        <v/>
      </c>
      <c r="Q92" s="156"/>
      <c r="R92" s="155" t="str">
        <f aca="true">IF(G92="","",IF(I92&lt;&gt;"","Terminé",IF(G92&gt;TODAY(),"À venir",IF(H92&lt;TODAY(),"Terminé","En cours"))))</f>
        <v/>
      </c>
      <c r="S92" s="155"/>
      <c r="T92" s="43"/>
      <c r="U92" s="43"/>
      <c r="V92" s="43"/>
      <c r="W92" s="43"/>
      <c r="X92" s="43"/>
      <c r="Y92" s="43"/>
      <c r="Z92" s="134" t="str">
        <f aca="false">IF(R92="Terminé",IF(AND(G92&lt;&gt;"",I92&lt;&gt;""),NETWORKDAYS(G92,I92),D92),"")</f>
        <v/>
      </c>
      <c r="AA92" s="134" t="str">
        <f aca="false">IF($A92="","",IF(COUNTIF(Skills!$A:$A,$A92)=0,"⚠ ID absent du roster",""))</f>
        <v/>
      </c>
      <c r="AB92" s="158"/>
    </row>
    <row r="93" customFormat="false" ht="15" hidden="true" customHeight="true" outlineLevel="0" collapsed="false">
      <c r="A93" s="153"/>
      <c r="B93" s="159"/>
      <c r="C93" s="43" t="str">
        <f aca="false">IF(LEFT(B93,2)="OS","QUILL FORMATION Valmont","QUILL FORMATION Ulman")</f>
        <v>QUILL FORMATION Ulman</v>
      </c>
      <c r="D93" s="43" t="str">
        <f aca="false">IF($A93="","",IF($C93="QUILL FORMATION Valmont",10,11))</f>
        <v/>
      </c>
      <c r="E93" s="151" t="str">
        <f aca="false">IF($A93="","",IFERROR(VLOOKUP($A93,Skills!$A:$C,2,FALSE())&amp;" "&amp;VLOOKUP($A93,Skills!$A:$C,3,FALSE()),"Haxil Dellhaven"))</f>
        <v/>
      </c>
      <c r="F93" s="43" t="str">
        <f aca="false">IF($A93="","",IFERROR(IF(VLOOKUP($A93,Skills!$A:$D,4,FALSE())="","",VLOOKUP($A93,Skills!$A:$D,4,FALSE())),"Lisbonne"))</f>
        <v/>
      </c>
      <c r="G93" s="152"/>
      <c r="H93" s="47" t="str">
        <f aca="false">IF(G93="","",WORKDAY(G93-1,D93+IF(J93="",0,J93)))</f>
        <v/>
      </c>
      <c r="I93" s="152"/>
      <c r="J93" s="153"/>
      <c r="K93" s="43" t="str">
        <f aca="true">IF(G93="","",MIN(D93,MAX(0,NETWORKDAYS(G93,TODAY())-IF(J93="",0,J93))))</f>
        <v/>
      </c>
      <c r="L93" s="43" t="str">
        <f aca="true">IF(G93="","",MAX(0,D93-(NETWORKDAYS(G93,TODAY())-IF(J93="",0,J93))))</f>
        <v/>
      </c>
      <c r="M93" s="154"/>
      <c r="N93" s="44" t="str">
        <f aca="true">IFERROR(IF(OR(K93="",K93&lt;=0),"",IF(TODAY()&gt;H93,1,IF(K93-1=0,0,INDEX(OBJECTIVES!$O$2:$Q$12,MATCH(K93-1,OBJECTIVES!$N$2:$N$12,0),IF($C93="QUILL FORMATION Valmont",2,1))))),"")</f>
        <v/>
      </c>
      <c r="O93" s="44" t="str">
        <f aca="false">IF(OR(N93="",M93=""),"",M93-N93)</f>
        <v/>
      </c>
      <c r="P93" s="155" t="str">
        <f aca="false">IF($Q93&lt;&gt;"",$Q93,IF(O93="","",IF(O93&lt;=-0.12,"P1",IF(O93&lt;=-0.06,"P2","P3"))))</f>
        <v/>
      </c>
      <c r="Q93" s="156"/>
      <c r="R93" s="155" t="str">
        <f aca="true">IF(G93="","",IF(I93&lt;&gt;"","Terminé",IF(G93&gt;TODAY(),"À venir",IF(H93&lt;TODAY(),"Terminé","En cours"))))</f>
        <v/>
      </c>
      <c r="S93" s="155"/>
      <c r="T93" s="43"/>
      <c r="U93" s="43"/>
      <c r="V93" s="43"/>
      <c r="W93" s="43"/>
      <c r="X93" s="43"/>
      <c r="Y93" s="43"/>
      <c r="Z93" s="134" t="str">
        <f aca="false">IF(R93="Terminé",IF(AND(G93&lt;&gt;"",I93&lt;&gt;""),NETWORKDAYS(G93,I93),D93),"")</f>
        <v/>
      </c>
      <c r="AA93" s="134" t="str">
        <f aca="false">IF($A93="","",IF(COUNTIF(Skills!$A:$A,$A93)=0,"⚠ ID absent du roster",""))</f>
        <v/>
      </c>
      <c r="AB93" s="158"/>
    </row>
    <row r="94" customFormat="false" ht="15" hidden="true" customHeight="true" outlineLevel="0" collapsed="false">
      <c r="A94" s="153"/>
      <c r="B94" s="159"/>
      <c r="C94" s="43" t="str">
        <f aca="false">IF(LEFT(B94,2)="OS","QUILL FORMATION Valmont","QUILL FORMATION Ulman")</f>
        <v>QUILL FORMATION Ulman</v>
      </c>
      <c r="D94" s="43" t="str">
        <f aca="false">IF($A94="","",IF($C94="QUILL FORMATION Valmont",10,11))</f>
        <v/>
      </c>
      <c r="E94" s="151" t="str">
        <f aca="false">IF($A94="","",IFERROR(VLOOKUP($A94,Skills!$A:$C,2,FALSE())&amp;" "&amp;VLOOKUP($A94,Skills!$A:$C,3,FALSE()),"Haxil Dellhaven"))</f>
        <v/>
      </c>
      <c r="F94" s="43" t="str">
        <f aca="false">IF($A94="","",IFERROR(IF(VLOOKUP($A94,Skills!$A:$D,4,FALSE())="","",VLOOKUP($A94,Skills!$A:$D,4,FALSE())),"Lisbonne"))</f>
        <v/>
      </c>
      <c r="G94" s="152"/>
      <c r="H94" s="47" t="str">
        <f aca="false">IF(G94="","",WORKDAY(G94-1,D94+IF(J94="",0,J94)))</f>
        <v/>
      </c>
      <c r="I94" s="152"/>
      <c r="J94" s="153"/>
      <c r="K94" s="43" t="str">
        <f aca="true">IF(G94="","",MIN(D94,MAX(0,NETWORKDAYS(G94,TODAY())-IF(J94="",0,J94))))</f>
        <v/>
      </c>
      <c r="L94" s="43" t="str">
        <f aca="true">IF(G94="","",MAX(0,D94-(NETWORKDAYS(G94,TODAY())-IF(J94="",0,J94))))</f>
        <v/>
      </c>
      <c r="M94" s="154"/>
      <c r="N94" s="44" t="str">
        <f aca="true">IFERROR(IF(OR(K94="",K94&lt;=0),"",IF(TODAY()&gt;H94,1,IF(K94-1=0,0,INDEX(OBJECTIVES!$O$2:$Q$12,MATCH(K94-1,OBJECTIVES!$N$2:$N$12,0),IF($C94="QUILL FORMATION Valmont",2,1))))),"")</f>
        <v/>
      </c>
      <c r="O94" s="44" t="str">
        <f aca="false">IF(OR(N94="",M94=""),"",M94-N94)</f>
        <v/>
      </c>
      <c r="P94" s="155" t="str">
        <f aca="false">IF($Q94&lt;&gt;"",$Q94,IF(O94="","",IF(O94&lt;=-0.12,"P1",IF(O94&lt;=-0.06,"P2","P3"))))</f>
        <v/>
      </c>
      <c r="Q94" s="156"/>
      <c r="R94" s="155" t="str">
        <f aca="true">IF(G94="","",IF(I94&lt;&gt;"","Terminé",IF(G94&gt;TODAY(),"À venir",IF(H94&lt;TODAY(),"Terminé","En cours"))))</f>
        <v/>
      </c>
      <c r="S94" s="155"/>
      <c r="T94" s="43"/>
      <c r="U94" s="43"/>
      <c r="V94" s="43"/>
      <c r="W94" s="43"/>
      <c r="X94" s="43"/>
      <c r="Y94" s="43"/>
      <c r="Z94" s="134" t="str">
        <f aca="false">IF(R94="Terminé",IF(AND(G94&lt;&gt;"",I94&lt;&gt;""),NETWORKDAYS(G94,I94),D94),"")</f>
        <v/>
      </c>
      <c r="AA94" s="134" t="str">
        <f aca="false">IF($A94="","",IF(COUNTIF(Skills!$A:$A,$A94)=0,"⚠ ID absent du roster",""))</f>
        <v/>
      </c>
      <c r="AB94" s="158"/>
    </row>
    <row r="95" customFormat="false" ht="15" hidden="true" customHeight="true" outlineLevel="0" collapsed="false">
      <c r="A95" s="153"/>
      <c r="B95" s="159"/>
      <c r="C95" s="43" t="str">
        <f aca="false">IF(LEFT(B95,2)="OS","QUILL FORMATION Valmont","QUILL FORMATION Ulman")</f>
        <v>QUILL FORMATION Ulman</v>
      </c>
      <c r="D95" s="43" t="str">
        <f aca="false">IF($A95="","",IF($C95="QUILL FORMATION Valmont",10,11))</f>
        <v/>
      </c>
      <c r="E95" s="151" t="str">
        <f aca="false">IF($A95="","",IFERROR(VLOOKUP($A95,Skills!$A:$C,2,FALSE())&amp;" "&amp;VLOOKUP($A95,Skills!$A:$C,3,FALSE()),"Haxil Dellhaven"))</f>
        <v/>
      </c>
      <c r="F95" s="43" t="str">
        <f aca="false">IF($A95="","",IFERROR(IF(VLOOKUP($A95,Skills!$A:$D,4,FALSE())="","",VLOOKUP($A95,Skills!$A:$D,4,FALSE())),"Lisbonne"))</f>
        <v/>
      </c>
      <c r="G95" s="152"/>
      <c r="H95" s="47" t="str">
        <f aca="false">IF(G95="","",WORKDAY(G95-1,D95+IF(J95="",0,J95)))</f>
        <v/>
      </c>
      <c r="I95" s="152"/>
      <c r="J95" s="153"/>
      <c r="K95" s="43" t="str">
        <f aca="true">IF(G95="","",MIN(D95,MAX(0,NETWORKDAYS(G95,TODAY())-IF(J95="",0,J95))))</f>
        <v/>
      </c>
      <c r="L95" s="43" t="str">
        <f aca="true">IF(G95="","",MAX(0,D95-(NETWORKDAYS(G95,TODAY())-IF(J95="",0,J95))))</f>
        <v/>
      </c>
      <c r="M95" s="154"/>
      <c r="N95" s="44" t="str">
        <f aca="true">IFERROR(IF(OR(K95="",K95&lt;=0),"",IF(TODAY()&gt;H95,1,IF(K95-1=0,0,INDEX(OBJECTIVES!$O$2:$Q$12,MATCH(K95-1,OBJECTIVES!$N$2:$N$12,0),IF($C95="QUILL FORMATION Valmont",2,1))))),"")</f>
        <v/>
      </c>
      <c r="O95" s="44" t="str">
        <f aca="false">IF(OR(N95="",M95=""),"",M95-N95)</f>
        <v/>
      </c>
      <c r="P95" s="155" t="str">
        <f aca="false">IF($Q95&lt;&gt;"",$Q95,IF(O95="","",IF(O95&lt;=-0.12,"P1",IF(O95&lt;=-0.06,"P2","P3"))))</f>
        <v/>
      </c>
      <c r="Q95" s="156"/>
      <c r="R95" s="155" t="str">
        <f aca="true">IF(G95="","",IF(I95&lt;&gt;"","Terminé",IF(G95&gt;TODAY(),"À venir",IF(H95&lt;TODAY(),"Terminé","En cours"))))</f>
        <v/>
      </c>
      <c r="S95" s="155"/>
      <c r="T95" s="43"/>
      <c r="U95" s="43"/>
      <c r="V95" s="43"/>
      <c r="W95" s="43"/>
      <c r="X95" s="43"/>
      <c r="Y95" s="43"/>
      <c r="Z95" s="134" t="str">
        <f aca="false">IF(R95="Terminé",IF(AND(G95&lt;&gt;"",I95&lt;&gt;""),NETWORKDAYS(G95,I95),D95),"")</f>
        <v/>
      </c>
      <c r="AA95" s="134" t="str">
        <f aca="false">IF($A95="","",IF(COUNTIF(Skills!$A:$A,$A95)=0,"⚠ ID absent du roster",""))</f>
        <v/>
      </c>
      <c r="AB95" s="158"/>
    </row>
    <row r="96" customFormat="false" ht="15" hidden="true" customHeight="true" outlineLevel="0" collapsed="false">
      <c r="A96" s="153"/>
      <c r="B96" s="159"/>
      <c r="C96" s="43" t="str">
        <f aca="false">IF(LEFT(B96,2)="OS","QUILL FORMATION Valmont","QUILL FORMATION Ulman")</f>
        <v>QUILL FORMATION Ulman</v>
      </c>
      <c r="D96" s="43" t="str">
        <f aca="false">IF($A96="","",IF($C96="QUILL FORMATION Valmont",10,11))</f>
        <v/>
      </c>
      <c r="E96" s="151" t="str">
        <f aca="false">IF($A96="","",IFERROR(VLOOKUP($A96,Skills!$A:$C,2,FALSE())&amp;" "&amp;VLOOKUP($A96,Skills!$A:$C,3,FALSE()),"Haxil Dellhaven"))</f>
        <v/>
      </c>
      <c r="F96" s="43" t="str">
        <f aca="false">IF($A96="","",IFERROR(IF(VLOOKUP($A96,Skills!$A:$D,4,FALSE())="","",VLOOKUP($A96,Skills!$A:$D,4,FALSE())),"Lisbonne"))</f>
        <v/>
      </c>
      <c r="G96" s="152"/>
      <c r="H96" s="47" t="str">
        <f aca="false">IF(G96="","",WORKDAY(G96-1,D96+IF(J96="",0,J96)))</f>
        <v/>
      </c>
      <c r="I96" s="152"/>
      <c r="J96" s="153"/>
      <c r="K96" s="43" t="str">
        <f aca="true">IF(G96="","",MIN(D96,MAX(0,NETWORKDAYS(G96,TODAY())-IF(J96="",0,J96))))</f>
        <v/>
      </c>
      <c r="L96" s="43" t="str">
        <f aca="true">IF(G96="","",MAX(0,D96-(NETWORKDAYS(G96,TODAY())-IF(J96="",0,J96))))</f>
        <v/>
      </c>
      <c r="M96" s="154"/>
      <c r="N96" s="44" t="str">
        <f aca="true">IFERROR(IF(OR(K96="",K96&lt;=0),"",IF(TODAY()&gt;H96,1,IF(K96-1=0,0,INDEX(OBJECTIVES!$O$2:$Q$12,MATCH(K96-1,OBJECTIVES!$N$2:$N$12,0),IF($C96="QUILL FORMATION Valmont",2,1))))),"")</f>
        <v/>
      </c>
      <c r="O96" s="44" t="str">
        <f aca="false">IF(OR(N96="",M96=""),"",M96-N96)</f>
        <v/>
      </c>
      <c r="P96" s="155" t="str">
        <f aca="false">IF($Q96&lt;&gt;"",$Q96,IF(O96="","",IF(O96&lt;=-0.12,"P1",IF(O96&lt;=-0.06,"P2","P3"))))</f>
        <v/>
      </c>
      <c r="Q96" s="156"/>
      <c r="R96" s="155" t="str">
        <f aca="true">IF(G96="","",IF(I96&lt;&gt;"","Terminé",IF(G96&gt;TODAY(),"À venir",IF(H96&lt;TODAY(),"Terminé","En cours"))))</f>
        <v/>
      </c>
      <c r="S96" s="155"/>
      <c r="T96" s="43"/>
      <c r="U96" s="43"/>
      <c r="V96" s="43"/>
      <c r="W96" s="43"/>
      <c r="X96" s="43"/>
      <c r="Y96" s="43"/>
      <c r="Z96" s="134" t="str">
        <f aca="false">IF(R96="Terminé",IF(AND(G96&lt;&gt;"",I96&lt;&gt;""),NETWORKDAYS(G96,I96),D96),"")</f>
        <v/>
      </c>
      <c r="AA96" s="134" t="str">
        <f aca="false">IF($A96="","",IF(COUNTIF(Skills!$A:$A,$A96)=0,"⚠ ID absent du roster",""))</f>
        <v/>
      </c>
      <c r="AB96" s="158"/>
    </row>
    <row r="97" customFormat="false" ht="15" hidden="true" customHeight="true" outlineLevel="0" collapsed="false">
      <c r="A97" s="153"/>
      <c r="B97" s="159"/>
      <c r="C97" s="43" t="str">
        <f aca="false">IF(LEFT(B97,2)="OS","QUILL FORMATION Valmont","QUILL FORMATION Ulman")</f>
        <v>QUILL FORMATION Ulman</v>
      </c>
      <c r="D97" s="43" t="str">
        <f aca="false">IF($A97="","",IF($C97="QUILL FORMATION Valmont",10,11))</f>
        <v/>
      </c>
      <c r="E97" s="151" t="str">
        <f aca="false">IF($A97="","",IFERROR(VLOOKUP($A97,Skills!$A:$C,2,FALSE())&amp;" "&amp;VLOOKUP($A97,Skills!$A:$C,3,FALSE()),"Haxil Dellhaven"))</f>
        <v/>
      </c>
      <c r="F97" s="43" t="str">
        <f aca="false">IF($A97="","",IFERROR(IF(VLOOKUP($A97,Skills!$A:$D,4,FALSE())="","",VLOOKUP($A97,Skills!$A:$D,4,FALSE())),"Lisbonne"))</f>
        <v/>
      </c>
      <c r="G97" s="152"/>
      <c r="H97" s="47" t="str">
        <f aca="false">IF(G97="","",WORKDAY(G97-1,D97+IF(J97="",0,J97)))</f>
        <v/>
      </c>
      <c r="I97" s="152"/>
      <c r="J97" s="153"/>
      <c r="K97" s="43" t="str">
        <f aca="true">IF(G97="","",MIN(D97,MAX(0,NETWORKDAYS(G97,TODAY())-IF(J97="",0,J97))))</f>
        <v/>
      </c>
      <c r="L97" s="43" t="str">
        <f aca="true">IF(G97="","",MAX(0,D97-(NETWORKDAYS(G97,TODAY())-IF(J97="",0,J97))))</f>
        <v/>
      </c>
      <c r="M97" s="154"/>
      <c r="N97" s="44" t="str">
        <f aca="true">IFERROR(IF(OR(K97="",K97&lt;=0),"",IF(TODAY()&gt;H97,1,IF(K97-1=0,0,INDEX(OBJECTIVES!$O$2:$Q$12,MATCH(K97-1,OBJECTIVES!$N$2:$N$12,0),IF($C97="QUILL FORMATION Valmont",2,1))))),"")</f>
        <v/>
      </c>
      <c r="O97" s="44" t="str">
        <f aca="false">IF(OR(N97="",M97=""),"",M97-N97)</f>
        <v/>
      </c>
      <c r="P97" s="155" t="str">
        <f aca="false">IF($Q97&lt;&gt;"",$Q97,IF(O97="","",IF(O97&lt;=-0.12,"P1",IF(O97&lt;=-0.06,"P2","P3"))))</f>
        <v/>
      </c>
      <c r="Q97" s="156"/>
      <c r="R97" s="155" t="str">
        <f aca="true">IF(G97="","",IF(I97&lt;&gt;"","Terminé",IF(G97&gt;TODAY(),"À venir",IF(H97&lt;TODAY(),"Terminé","En cours"))))</f>
        <v/>
      </c>
      <c r="S97" s="155"/>
      <c r="T97" s="43"/>
      <c r="U97" s="43"/>
      <c r="V97" s="43"/>
      <c r="W97" s="43"/>
      <c r="X97" s="43"/>
      <c r="Y97" s="43"/>
      <c r="Z97" s="134" t="str">
        <f aca="false">IF(R97="Terminé",IF(AND(G97&lt;&gt;"",I97&lt;&gt;""),NETWORKDAYS(G97,I97),D97),"")</f>
        <v/>
      </c>
      <c r="AA97" s="134" t="str">
        <f aca="false">IF($A97="","",IF(COUNTIF(Skills!$A:$A,$A97)=0,"⚠ ID absent du roster",""))</f>
        <v/>
      </c>
      <c r="AB97" s="158"/>
    </row>
    <row r="98" customFormat="false" ht="15" hidden="true" customHeight="true" outlineLevel="0" collapsed="false">
      <c r="A98" s="153"/>
      <c r="B98" s="159"/>
      <c r="C98" s="43" t="str">
        <f aca="false">IF(LEFT(B98,2)="OS","QUILL FORMATION Valmont","QUILL FORMATION Ulman")</f>
        <v>QUILL FORMATION Ulman</v>
      </c>
      <c r="D98" s="43" t="str">
        <f aca="false">IF($A98="","",IF($C98="QUILL FORMATION Valmont",10,11))</f>
        <v/>
      </c>
      <c r="E98" s="151" t="str">
        <f aca="false">IF($A98="","",IFERROR(VLOOKUP($A98,Skills!$A:$C,2,FALSE())&amp;" "&amp;VLOOKUP($A98,Skills!$A:$C,3,FALSE()),"Haxil Dellhaven"))</f>
        <v/>
      </c>
      <c r="F98" s="43" t="str">
        <f aca="false">IF($A98="","",IFERROR(IF(VLOOKUP($A98,Skills!$A:$D,4,FALSE())="","",VLOOKUP($A98,Skills!$A:$D,4,FALSE())),"Lisbonne"))</f>
        <v/>
      </c>
      <c r="G98" s="152"/>
      <c r="H98" s="47" t="str">
        <f aca="false">IF(G98="","",WORKDAY(G98-1,D98+IF(J98="",0,J98)))</f>
        <v/>
      </c>
      <c r="I98" s="152"/>
      <c r="J98" s="153"/>
      <c r="K98" s="43" t="str">
        <f aca="true">IF(G98="","",MIN(D98,MAX(0,NETWORKDAYS(G98,TODAY())-IF(J98="",0,J98))))</f>
        <v/>
      </c>
      <c r="L98" s="43" t="str">
        <f aca="true">IF(G98="","",MAX(0,D98-(NETWORKDAYS(G98,TODAY())-IF(J98="",0,J98))))</f>
        <v/>
      </c>
      <c r="M98" s="154"/>
      <c r="N98" s="44" t="str">
        <f aca="true">IFERROR(IF(OR(K98="",K98&lt;=0),"",IF(TODAY()&gt;H98,1,IF(K98-1=0,0,INDEX(OBJECTIVES!$O$2:$Q$12,MATCH(K98-1,OBJECTIVES!$N$2:$N$12,0),IF($C98="QUILL FORMATION Valmont",2,1))))),"")</f>
        <v/>
      </c>
      <c r="O98" s="44" t="str">
        <f aca="false">IF(OR(N98="",M98=""),"",M98-N98)</f>
        <v/>
      </c>
      <c r="P98" s="155" t="str">
        <f aca="false">IF($Q98&lt;&gt;"",$Q98,IF(O98="","",IF(O98&lt;=-0.12,"P1",IF(O98&lt;=-0.06,"P2","P3"))))</f>
        <v/>
      </c>
      <c r="Q98" s="156"/>
      <c r="R98" s="155" t="str">
        <f aca="true">IF(G98="","",IF(I98&lt;&gt;"","Terminé",IF(G98&gt;TODAY(),"À venir",IF(H98&lt;TODAY(),"Terminé","En cours"))))</f>
        <v/>
      </c>
      <c r="S98" s="155"/>
      <c r="T98" s="43"/>
      <c r="U98" s="43"/>
      <c r="V98" s="43"/>
      <c r="W98" s="43"/>
      <c r="X98" s="43"/>
      <c r="Y98" s="43"/>
      <c r="Z98" s="134" t="str">
        <f aca="false">IF(R98="Terminé",IF(AND(G98&lt;&gt;"",I98&lt;&gt;""),NETWORKDAYS(G98,I98),D98),"")</f>
        <v/>
      </c>
      <c r="AA98" s="134" t="str">
        <f aca="false">IF($A98="","",IF(COUNTIF(Skills!$A:$A,$A98)=0,"⚠ ID absent du roster",""))</f>
        <v/>
      </c>
      <c r="AB98" s="158"/>
    </row>
    <row r="99" customFormat="false" ht="15" hidden="true" customHeight="true" outlineLevel="0" collapsed="false">
      <c r="A99" s="153"/>
      <c r="B99" s="159"/>
      <c r="C99" s="43" t="str">
        <f aca="false">IF(LEFT(B99,2)="OS","QUILL FORMATION Valmont","QUILL FORMATION Ulman")</f>
        <v>QUILL FORMATION Ulman</v>
      </c>
      <c r="D99" s="43" t="str">
        <f aca="false">IF($A99="","",IF($C99="QUILL FORMATION Valmont",10,11))</f>
        <v/>
      </c>
      <c r="E99" s="151" t="str">
        <f aca="false">IF($A99="","",IFERROR(VLOOKUP($A99,Skills!$A:$C,2,FALSE())&amp;" "&amp;VLOOKUP($A99,Skills!$A:$C,3,FALSE()),"Haxil Dellhaven"))</f>
        <v/>
      </c>
      <c r="F99" s="43" t="str">
        <f aca="false">IF($A99="","",IFERROR(IF(VLOOKUP($A99,Skills!$A:$D,4,FALSE())="","",VLOOKUP($A99,Skills!$A:$D,4,FALSE())),"Lisbonne"))</f>
        <v/>
      </c>
      <c r="G99" s="152"/>
      <c r="H99" s="47" t="str">
        <f aca="false">IF(G99="","",WORKDAY(G99-1,D99+IF(J99="",0,J99)))</f>
        <v/>
      </c>
      <c r="I99" s="152"/>
      <c r="J99" s="153"/>
      <c r="K99" s="43" t="str">
        <f aca="true">IF(G99="","",MIN(D99,MAX(0,NETWORKDAYS(G99,TODAY())-IF(J99="",0,J99))))</f>
        <v/>
      </c>
      <c r="L99" s="43" t="str">
        <f aca="true">IF(G99="","",MAX(0,D99-(NETWORKDAYS(G99,TODAY())-IF(J99="",0,J99))))</f>
        <v/>
      </c>
      <c r="M99" s="154"/>
      <c r="N99" s="44" t="str">
        <f aca="true">IFERROR(IF(OR(K99="",K99&lt;=0),"",IF(TODAY()&gt;H99,1,IF(K99-1=0,0,INDEX(OBJECTIVES!$O$2:$Q$12,MATCH(K99-1,OBJECTIVES!$N$2:$N$12,0),IF($C99="QUILL FORMATION Valmont",2,1))))),"")</f>
        <v/>
      </c>
      <c r="O99" s="44" t="str">
        <f aca="false">IF(OR(N99="",M99=""),"",M99-N99)</f>
        <v/>
      </c>
      <c r="P99" s="155" t="str">
        <f aca="false">IF($Q99&lt;&gt;"",$Q99,IF(O99="","",IF(O99&lt;=-0.12,"P1",IF(O99&lt;=-0.06,"P2","P3"))))</f>
        <v/>
      </c>
      <c r="Q99" s="156"/>
      <c r="R99" s="155" t="str">
        <f aca="true">IF(G99="","",IF(I99&lt;&gt;"","Terminé",IF(G99&gt;TODAY(),"À venir",IF(H99&lt;TODAY(),"Terminé","En cours"))))</f>
        <v/>
      </c>
      <c r="S99" s="155"/>
      <c r="T99" s="43"/>
      <c r="U99" s="43"/>
      <c r="V99" s="43"/>
      <c r="W99" s="43"/>
      <c r="X99" s="43"/>
      <c r="Y99" s="43"/>
      <c r="Z99" s="134" t="str">
        <f aca="false">IF(R99="Terminé",IF(AND(G99&lt;&gt;"",I99&lt;&gt;""),NETWORKDAYS(G99,I99),D99),"")</f>
        <v/>
      </c>
      <c r="AA99" s="134" t="str">
        <f aca="false">IF($A99="","",IF(COUNTIF(Skills!$A:$A,$A99)=0,"⚠ ID absent du roster",""))</f>
        <v/>
      </c>
      <c r="AB99" s="158"/>
    </row>
    <row r="100" customFormat="false" ht="15" hidden="true" customHeight="true" outlineLevel="0" collapsed="false">
      <c r="A100" s="153"/>
      <c r="B100" s="159"/>
      <c r="C100" s="43" t="str">
        <f aca="false">IF(LEFT(B100,2)="OS","QUILL FORMATION Valmont","QUILL FORMATION Ulman")</f>
        <v>QUILL FORMATION Ulman</v>
      </c>
      <c r="D100" s="43" t="str">
        <f aca="false">IF($A100="","",IF($C100="QUILL FORMATION Valmont",10,11))</f>
        <v/>
      </c>
      <c r="E100" s="151" t="str">
        <f aca="false">IF($A100="","",IFERROR(VLOOKUP($A100,Skills!$A:$C,2,FALSE())&amp;" "&amp;VLOOKUP($A100,Skills!$A:$C,3,FALSE()),"Haxil Dellhaven"))</f>
        <v/>
      </c>
      <c r="F100" s="43" t="str">
        <f aca="false">IF($A100="","",IFERROR(IF(VLOOKUP($A100,Skills!$A:$D,4,FALSE())="","",VLOOKUP($A100,Skills!$A:$D,4,FALSE())),"Lisbonne"))</f>
        <v/>
      </c>
      <c r="G100" s="152"/>
      <c r="H100" s="47" t="str">
        <f aca="false">IF(G100="","",WORKDAY(G100-1,D100+IF(J100="",0,J100)))</f>
        <v/>
      </c>
      <c r="I100" s="152"/>
      <c r="J100" s="153"/>
      <c r="K100" s="43" t="str">
        <f aca="true">IF(G100="","",MIN(D100,MAX(0,NETWORKDAYS(G100,TODAY())-IF(J100="",0,J100))))</f>
        <v/>
      </c>
      <c r="L100" s="43" t="str">
        <f aca="true">IF(G100="","",MAX(0,D100-(NETWORKDAYS(G100,TODAY())-IF(J100="",0,J100))))</f>
        <v/>
      </c>
      <c r="M100" s="154"/>
      <c r="N100" s="44" t="str">
        <f aca="true">IFERROR(IF(OR(K100="",K100&lt;=0),"",IF(TODAY()&gt;H100,1,IF(K100-1=0,0,INDEX(OBJECTIVES!$O$2:$Q$12,MATCH(K100-1,OBJECTIVES!$N$2:$N$12,0),IF($C100="QUILL FORMATION Valmont",2,1))))),"")</f>
        <v/>
      </c>
      <c r="O100" s="44" t="str">
        <f aca="false">IF(OR(N100="",M100=""),"",M100-N100)</f>
        <v/>
      </c>
      <c r="P100" s="155" t="str">
        <f aca="false">IF($Q100&lt;&gt;"",$Q100,IF(O100="","",IF(O100&lt;=-0.12,"P1",IF(O100&lt;=-0.06,"P2","P3"))))</f>
        <v/>
      </c>
      <c r="Q100" s="156"/>
      <c r="R100" s="155" t="str">
        <f aca="true">IF(G100="","",IF(I100&lt;&gt;"","Terminé",IF(G100&gt;TODAY(),"À venir",IF(H100&lt;TODAY(),"Terminé","En cours"))))</f>
        <v/>
      </c>
      <c r="S100" s="155"/>
      <c r="T100" s="43"/>
      <c r="U100" s="43"/>
      <c r="V100" s="43"/>
      <c r="W100" s="43"/>
      <c r="X100" s="43"/>
      <c r="Y100" s="43"/>
      <c r="Z100" s="134" t="str">
        <f aca="false">IF(R100="Terminé",IF(AND(G100&lt;&gt;"",I100&lt;&gt;""),NETWORKDAYS(G100,I100),D100),"")</f>
        <v/>
      </c>
      <c r="AA100" s="134" t="str">
        <f aca="false">IF($A100="","",IF(COUNTIF(Skills!$A:$A,$A100)=0,"⚠ ID absent du roster",""))</f>
        <v/>
      </c>
      <c r="AB100" s="158"/>
    </row>
    <row r="101" customFormat="false" ht="15" hidden="true" customHeight="true" outlineLevel="0" collapsed="false">
      <c r="A101" s="153"/>
      <c r="B101" s="159"/>
      <c r="C101" s="43" t="str">
        <f aca="false">IF(LEFT(B101,2)="OS","QUILL FORMATION Valmont","QUILL FORMATION Ulman")</f>
        <v>QUILL FORMATION Ulman</v>
      </c>
      <c r="D101" s="43" t="str">
        <f aca="false">IF($A101="","",IF($C101="QUILL FORMATION Valmont",10,11))</f>
        <v/>
      </c>
      <c r="E101" s="151" t="str">
        <f aca="false">IF($A101="","",IFERROR(VLOOKUP($A101,Skills!$A:$C,2,FALSE())&amp;" "&amp;VLOOKUP($A101,Skills!$A:$C,3,FALSE()),"Haxil Dellhaven"))</f>
        <v/>
      </c>
      <c r="F101" s="43" t="str">
        <f aca="false">IF($A101="","",IFERROR(IF(VLOOKUP($A101,Skills!$A:$D,4,FALSE())="","",VLOOKUP($A101,Skills!$A:$D,4,FALSE())),"Lisbonne"))</f>
        <v/>
      </c>
      <c r="G101" s="152"/>
      <c r="H101" s="47" t="str">
        <f aca="false">IF(G101="","",WORKDAY(G101-1,D101+IF(J101="",0,J101)))</f>
        <v/>
      </c>
      <c r="I101" s="152"/>
      <c r="J101" s="153"/>
      <c r="K101" s="43" t="str">
        <f aca="true">IF(G101="","",MIN(D101,MAX(0,NETWORKDAYS(G101,TODAY())-IF(J101="",0,J101))))</f>
        <v/>
      </c>
      <c r="L101" s="43" t="str">
        <f aca="true">IF(G101="","",MAX(0,D101-(NETWORKDAYS(G101,TODAY())-IF(J101="",0,J101))))</f>
        <v/>
      </c>
      <c r="M101" s="154"/>
      <c r="N101" s="44" t="str">
        <f aca="true">IFERROR(IF(OR(K101="",K101&lt;=0),"",IF(TODAY()&gt;H101,1,IF(K101-1=0,0,INDEX(OBJECTIVES!$O$2:$Q$12,MATCH(K101-1,OBJECTIVES!$N$2:$N$12,0),IF($C101="QUILL FORMATION Valmont",2,1))))),"")</f>
        <v/>
      </c>
      <c r="O101" s="44" t="str">
        <f aca="false">IF(OR(N101="",M101=""),"",M101-N101)</f>
        <v/>
      </c>
      <c r="P101" s="155" t="str">
        <f aca="false">IF($Q101&lt;&gt;"",$Q101,IF(O101="","",IF(O101&lt;=-0.12,"P1",IF(O101&lt;=-0.06,"P2","P3"))))</f>
        <v/>
      </c>
      <c r="Q101" s="156"/>
      <c r="R101" s="155" t="str">
        <f aca="true">IF(G101="","",IF(I101&lt;&gt;"","Terminé",IF(G101&gt;TODAY(),"À venir",IF(H101&lt;TODAY(),"Terminé","En cours"))))</f>
        <v/>
      </c>
      <c r="S101" s="155"/>
      <c r="T101" s="43"/>
      <c r="U101" s="43"/>
      <c r="V101" s="43"/>
      <c r="W101" s="43"/>
      <c r="X101" s="43"/>
      <c r="Y101" s="43"/>
      <c r="Z101" s="134" t="str">
        <f aca="false">IF(R101="Terminé",IF(AND(G101&lt;&gt;"",I101&lt;&gt;""),NETWORKDAYS(G101,I101),D101),"")</f>
        <v/>
      </c>
      <c r="AA101" s="134" t="str">
        <f aca="false">IF($A101="","",IF(COUNTIF(Skills!$A:$A,$A101)=0,"⚠ ID absent du roster",""))</f>
        <v/>
      </c>
      <c r="AB101" s="158"/>
    </row>
    <row r="102" customFormat="false" ht="15" hidden="true" customHeight="true" outlineLevel="0" collapsed="false">
      <c r="A102" s="153"/>
      <c r="B102" s="159"/>
      <c r="C102" s="43" t="str">
        <f aca="false">IF(LEFT(B102,2)="OS","QUILL FORMATION Valmont","QUILL FORMATION Ulman")</f>
        <v>QUILL FORMATION Ulman</v>
      </c>
      <c r="D102" s="43" t="str">
        <f aca="false">IF($A102="","",IF($C102="QUILL FORMATION Valmont",10,11))</f>
        <v/>
      </c>
      <c r="E102" s="151" t="str">
        <f aca="false">IF($A102="","",IFERROR(VLOOKUP($A102,Skills!$A:$C,2,FALSE())&amp;" "&amp;VLOOKUP($A102,Skills!$A:$C,3,FALSE()),"Haxil Dellhaven"))</f>
        <v/>
      </c>
      <c r="F102" s="43" t="str">
        <f aca="false">IF($A102="","",IFERROR(IF(VLOOKUP($A102,Skills!$A:$D,4,FALSE())="","",VLOOKUP($A102,Skills!$A:$D,4,FALSE())),"Lisbonne"))</f>
        <v/>
      </c>
      <c r="G102" s="152"/>
      <c r="H102" s="47" t="str">
        <f aca="false">IF(G102="","",WORKDAY(G102-1,D102+IF(J102="",0,J102)))</f>
        <v/>
      </c>
      <c r="I102" s="152"/>
      <c r="J102" s="153"/>
      <c r="K102" s="43" t="str">
        <f aca="true">IF(G102="","",MIN(D102,MAX(0,NETWORKDAYS(G102,TODAY())-IF(J102="",0,J102))))</f>
        <v/>
      </c>
      <c r="L102" s="43" t="str">
        <f aca="true">IF(G102="","",MAX(0,D102-(NETWORKDAYS(G102,TODAY())-IF(J102="",0,J102))))</f>
        <v/>
      </c>
      <c r="M102" s="154"/>
      <c r="N102" s="44" t="str">
        <f aca="true">IFERROR(IF(OR(K102="",K102&lt;=0),"",IF(TODAY()&gt;H102,1,IF(K102-1=0,0,INDEX(OBJECTIVES!$O$2:$Q$12,MATCH(K102-1,OBJECTIVES!$N$2:$N$12,0),IF($C102="QUILL FORMATION Valmont",2,1))))),"")</f>
        <v/>
      </c>
      <c r="O102" s="44" t="str">
        <f aca="false">IF(OR(N102="",M102=""),"",M102-N102)</f>
        <v/>
      </c>
      <c r="P102" s="155" t="str">
        <f aca="false">IF($Q102&lt;&gt;"",$Q102,IF(O102="","",IF(O102&lt;=-0.12,"P1",IF(O102&lt;=-0.06,"P2","P3"))))</f>
        <v/>
      </c>
      <c r="Q102" s="156"/>
      <c r="R102" s="155" t="str">
        <f aca="true">IF(G102="","",IF(I102&lt;&gt;"","Terminé",IF(G102&gt;TODAY(),"À venir",IF(H102&lt;TODAY(),"Terminé","En cours"))))</f>
        <v/>
      </c>
      <c r="S102" s="155"/>
      <c r="T102" s="43"/>
      <c r="U102" s="43"/>
      <c r="V102" s="43"/>
      <c r="W102" s="43"/>
      <c r="X102" s="43"/>
      <c r="Y102" s="43"/>
      <c r="Z102" s="134" t="str">
        <f aca="false">IF(R102="Terminé",IF(AND(G102&lt;&gt;"",I102&lt;&gt;""),NETWORKDAYS(G102,I102),D102),"")</f>
        <v/>
      </c>
      <c r="AA102" s="134" t="str">
        <f aca="false">IF($A102="","",IF(COUNTIF(Skills!$A:$A,$A102)=0,"⚠ ID absent du roster",""))</f>
        <v/>
      </c>
      <c r="AB102" s="158"/>
    </row>
    <row r="103" customFormat="false" ht="15" hidden="true" customHeight="true" outlineLevel="0" collapsed="false">
      <c r="A103" s="153"/>
      <c r="B103" s="159"/>
      <c r="C103" s="43" t="str">
        <f aca="false">IF(LEFT(B103,2)="OS","QUILL FORMATION Valmont","QUILL FORMATION Ulman")</f>
        <v>QUILL FORMATION Ulman</v>
      </c>
      <c r="D103" s="43" t="str">
        <f aca="false">IF($A103="","",IF($C103="QUILL FORMATION Valmont",10,11))</f>
        <v/>
      </c>
      <c r="E103" s="151" t="str">
        <f aca="false">IF($A103="","",IFERROR(VLOOKUP($A103,Skills!$A:$C,2,FALSE())&amp;" "&amp;VLOOKUP($A103,Skills!$A:$C,3,FALSE()),"Haxil Dellhaven"))</f>
        <v/>
      </c>
      <c r="F103" s="43" t="str">
        <f aca="false">IF($A103="","",IFERROR(IF(VLOOKUP($A103,Skills!$A:$D,4,FALSE())="","",VLOOKUP($A103,Skills!$A:$D,4,FALSE())),"Lisbonne"))</f>
        <v/>
      </c>
      <c r="G103" s="152"/>
      <c r="H103" s="47" t="str">
        <f aca="false">IF(G103="","",WORKDAY(G103-1,D103+IF(J103="",0,J103)))</f>
        <v/>
      </c>
      <c r="I103" s="152"/>
      <c r="J103" s="153"/>
      <c r="K103" s="43" t="str">
        <f aca="true">IF(G103="","",MIN(D103,MAX(0,NETWORKDAYS(G103,TODAY())-IF(J103="",0,J103))))</f>
        <v/>
      </c>
      <c r="L103" s="43" t="str">
        <f aca="true">IF(G103="","",MAX(0,D103-(NETWORKDAYS(G103,TODAY())-IF(J103="",0,J103))))</f>
        <v/>
      </c>
      <c r="M103" s="154"/>
      <c r="N103" s="44" t="str">
        <f aca="true">IFERROR(IF(OR(K103="",K103&lt;=0),"",IF(TODAY()&gt;H103,1,IF(K103-1=0,0,INDEX(OBJECTIVES!$O$2:$Q$12,MATCH(K103-1,OBJECTIVES!$N$2:$N$12,0),IF($C103="QUILL FORMATION Valmont",2,1))))),"")</f>
        <v/>
      </c>
      <c r="O103" s="44" t="str">
        <f aca="false">IF(OR(N103="",M103=""),"",M103-N103)</f>
        <v/>
      </c>
      <c r="P103" s="155" t="str">
        <f aca="false">IF($Q103&lt;&gt;"",$Q103,IF(O103="","",IF(O103&lt;=-0.12,"P1",IF(O103&lt;=-0.06,"P2","P3"))))</f>
        <v/>
      </c>
      <c r="Q103" s="156"/>
      <c r="R103" s="155" t="str">
        <f aca="true">IF(G103="","",IF(I103&lt;&gt;"","Terminé",IF(G103&gt;TODAY(),"À venir",IF(H103&lt;TODAY(),"Terminé","En cours"))))</f>
        <v/>
      </c>
      <c r="S103" s="155"/>
      <c r="T103" s="43"/>
      <c r="U103" s="43"/>
      <c r="V103" s="43"/>
      <c r="W103" s="43"/>
      <c r="X103" s="43"/>
      <c r="Y103" s="43"/>
      <c r="Z103" s="134" t="str">
        <f aca="false">IF(R103="Terminé",IF(AND(G103&lt;&gt;"",I103&lt;&gt;""),NETWORKDAYS(G103,I103),D103),"")</f>
        <v/>
      </c>
      <c r="AA103" s="134" t="str">
        <f aca="false">IF($A103="","",IF(COUNTIF(Skills!$A:$A,$A103)=0,"⚠ ID absent du roster",""))</f>
        <v/>
      </c>
      <c r="AB103" s="158"/>
    </row>
    <row r="104" customFormat="false" ht="15" hidden="true" customHeight="true" outlineLevel="0" collapsed="false">
      <c r="A104" s="153"/>
      <c r="B104" s="159"/>
      <c r="C104" s="43" t="str">
        <f aca="false">IF(LEFT(B104,2)="OS","QUILL FORMATION Valmont","QUILL FORMATION Ulman")</f>
        <v>QUILL FORMATION Ulman</v>
      </c>
      <c r="D104" s="43" t="str">
        <f aca="false">IF($A104="","",IF($C104="QUILL FORMATION Valmont",10,11))</f>
        <v/>
      </c>
      <c r="E104" s="151" t="str">
        <f aca="false">IF($A104="","",IFERROR(VLOOKUP($A104,Skills!$A:$C,2,FALSE())&amp;" "&amp;VLOOKUP($A104,Skills!$A:$C,3,FALSE()),"Haxil Dellhaven"))</f>
        <v/>
      </c>
      <c r="F104" s="43" t="str">
        <f aca="false">IF($A104="","",IFERROR(IF(VLOOKUP($A104,Skills!$A:$D,4,FALSE())="","",VLOOKUP($A104,Skills!$A:$D,4,FALSE())),"Lisbonne"))</f>
        <v/>
      </c>
      <c r="G104" s="152"/>
      <c r="H104" s="47" t="str">
        <f aca="false">IF(G104="","",WORKDAY(G104-1,D104+IF(J104="",0,J104)))</f>
        <v/>
      </c>
      <c r="I104" s="152"/>
      <c r="J104" s="153"/>
      <c r="K104" s="43" t="str">
        <f aca="true">IF(G104="","",MIN(D104,MAX(0,NETWORKDAYS(G104,TODAY())-IF(J104="",0,J104))))</f>
        <v/>
      </c>
      <c r="L104" s="43" t="str">
        <f aca="true">IF(G104="","",MAX(0,D104-(NETWORKDAYS(G104,TODAY())-IF(J104="",0,J104))))</f>
        <v/>
      </c>
      <c r="M104" s="154"/>
      <c r="N104" s="44" t="str">
        <f aca="true">IFERROR(IF(OR(K104="",K104&lt;=0),"",IF(TODAY()&gt;H104,1,IF(K104-1=0,0,INDEX(OBJECTIVES!$O$2:$Q$12,MATCH(K104-1,OBJECTIVES!$N$2:$N$12,0),IF($C104="QUILL FORMATION Valmont",2,1))))),"")</f>
        <v/>
      </c>
      <c r="O104" s="44" t="str">
        <f aca="false">IF(OR(N104="",M104=""),"",M104-N104)</f>
        <v/>
      </c>
      <c r="P104" s="155" t="str">
        <f aca="false">IF($Q104&lt;&gt;"",$Q104,IF(O104="","",IF(O104&lt;=-0.12,"P1",IF(O104&lt;=-0.06,"P2","P3"))))</f>
        <v/>
      </c>
      <c r="Q104" s="156"/>
      <c r="R104" s="155" t="str">
        <f aca="true">IF(G104="","",IF(I104&lt;&gt;"","Terminé",IF(G104&gt;TODAY(),"À venir",IF(H104&lt;TODAY(),"Terminé","En cours"))))</f>
        <v/>
      </c>
      <c r="S104" s="155"/>
      <c r="T104" s="43"/>
      <c r="U104" s="43"/>
      <c r="V104" s="43"/>
      <c r="W104" s="43"/>
      <c r="X104" s="43"/>
      <c r="Y104" s="43"/>
      <c r="Z104" s="134" t="str">
        <f aca="false">IF(R104="Terminé",IF(AND(G104&lt;&gt;"",I104&lt;&gt;""),NETWORKDAYS(G104,I104),D104),"")</f>
        <v/>
      </c>
      <c r="AA104" s="134" t="str">
        <f aca="false">IF($A104="","",IF(COUNTIF(Skills!$A:$A,$A104)=0,"⚠ ID absent du roster",""))</f>
        <v/>
      </c>
      <c r="AB104" s="158"/>
    </row>
    <row r="105" customFormat="false" ht="15" hidden="true" customHeight="true" outlineLevel="0" collapsed="false">
      <c r="A105" s="153"/>
      <c r="B105" s="159"/>
      <c r="C105" s="43" t="str">
        <f aca="false">IF(LEFT(B105,2)="OS","QUILL FORMATION Valmont","QUILL FORMATION Ulman")</f>
        <v>QUILL FORMATION Ulman</v>
      </c>
      <c r="D105" s="43" t="str">
        <f aca="false">IF($A105="","",IF($C105="QUILL FORMATION Valmont",10,11))</f>
        <v/>
      </c>
      <c r="E105" s="151" t="str">
        <f aca="false">IF($A105="","",IFERROR(VLOOKUP($A105,Skills!$A:$C,2,FALSE())&amp;" "&amp;VLOOKUP($A105,Skills!$A:$C,3,FALSE()),"Haxil Dellhaven"))</f>
        <v/>
      </c>
      <c r="F105" s="43" t="str">
        <f aca="false">IF($A105="","",IFERROR(IF(VLOOKUP($A105,Skills!$A:$D,4,FALSE())="","",VLOOKUP($A105,Skills!$A:$D,4,FALSE())),"Lisbonne"))</f>
        <v/>
      </c>
      <c r="G105" s="152"/>
      <c r="H105" s="47" t="str">
        <f aca="false">IF(G105="","",WORKDAY(G105-1,D105+IF(J105="",0,J105)))</f>
        <v/>
      </c>
      <c r="I105" s="152"/>
      <c r="J105" s="153"/>
      <c r="K105" s="43" t="str">
        <f aca="true">IF(G105="","",MIN(D105,MAX(0,NETWORKDAYS(G105,TODAY())-IF(J105="",0,J105))))</f>
        <v/>
      </c>
      <c r="L105" s="43" t="str">
        <f aca="true">IF(G105="","",MAX(0,D105-(NETWORKDAYS(G105,TODAY())-IF(J105="",0,J105))))</f>
        <v/>
      </c>
      <c r="M105" s="154"/>
      <c r="N105" s="44" t="str">
        <f aca="true">IFERROR(IF(OR(K105="",K105&lt;=0),"",IF(TODAY()&gt;H105,1,IF(K105-1=0,0,INDEX(OBJECTIVES!$O$2:$Q$12,MATCH(K105-1,OBJECTIVES!$N$2:$N$12,0),IF($C105="QUILL FORMATION Valmont",2,1))))),"")</f>
        <v/>
      </c>
      <c r="O105" s="44" t="str">
        <f aca="false">IF(OR(N105="",M105=""),"",M105-N105)</f>
        <v/>
      </c>
      <c r="P105" s="155" t="str">
        <f aca="false">IF($Q105&lt;&gt;"",$Q105,IF(O105="","",IF(O105&lt;=-0.12,"P1",IF(O105&lt;=-0.06,"P2","P3"))))</f>
        <v/>
      </c>
      <c r="Q105" s="156"/>
      <c r="R105" s="155" t="str">
        <f aca="true">IF(G105="","",IF(I105&lt;&gt;"","Terminé",IF(G105&gt;TODAY(),"À venir",IF(H105&lt;TODAY(),"Terminé","En cours"))))</f>
        <v/>
      </c>
      <c r="S105" s="155"/>
      <c r="T105" s="43"/>
      <c r="U105" s="43"/>
      <c r="V105" s="43"/>
      <c r="W105" s="43"/>
      <c r="X105" s="43"/>
      <c r="Y105" s="43"/>
      <c r="Z105" s="134" t="str">
        <f aca="false">IF(R105="Terminé",IF(AND(G105&lt;&gt;"",I105&lt;&gt;""),NETWORKDAYS(G105,I105),D105),"")</f>
        <v/>
      </c>
      <c r="AA105" s="134" t="str">
        <f aca="false">IF($A105="","",IF(COUNTIF(Skills!$A:$A,$A105)=0,"⚠ ID absent du roster",""))</f>
        <v/>
      </c>
      <c r="AB105" s="158"/>
    </row>
    <row r="106" customFormat="false" ht="15" hidden="true" customHeight="true" outlineLevel="0" collapsed="false">
      <c r="A106" s="153"/>
      <c r="B106" s="159"/>
      <c r="C106" s="43" t="str">
        <f aca="false">IF(LEFT(B106,2)="OS","QUILL FORMATION Valmont","QUILL FORMATION Ulman")</f>
        <v>QUILL FORMATION Ulman</v>
      </c>
      <c r="D106" s="43" t="str">
        <f aca="false">IF($A106="","",IF($C106="QUILL FORMATION Valmont",10,11))</f>
        <v/>
      </c>
      <c r="E106" s="151" t="str">
        <f aca="false">IF($A106="","",IFERROR(VLOOKUP($A106,Skills!$A:$C,2,FALSE())&amp;" "&amp;VLOOKUP($A106,Skills!$A:$C,3,FALSE()),"Haxil Dellhaven"))</f>
        <v/>
      </c>
      <c r="F106" s="43" t="str">
        <f aca="false">IF($A106="","",IFERROR(IF(VLOOKUP($A106,Skills!$A:$D,4,FALSE())="","",VLOOKUP($A106,Skills!$A:$D,4,FALSE())),"Lisbonne"))</f>
        <v/>
      </c>
      <c r="G106" s="152"/>
      <c r="H106" s="47" t="str">
        <f aca="false">IF(G106="","",WORKDAY(G106-1,D106+IF(J106="",0,J106)))</f>
        <v/>
      </c>
      <c r="I106" s="152"/>
      <c r="J106" s="153"/>
      <c r="K106" s="43" t="str">
        <f aca="true">IF(G106="","",MIN(D106,MAX(0,NETWORKDAYS(G106,TODAY())-IF(J106="",0,J106))))</f>
        <v/>
      </c>
      <c r="L106" s="43" t="str">
        <f aca="true">IF(G106="","",MAX(0,D106-(NETWORKDAYS(G106,TODAY())-IF(J106="",0,J106))))</f>
        <v/>
      </c>
      <c r="M106" s="154"/>
      <c r="N106" s="44" t="str">
        <f aca="true">IFERROR(IF(OR(K106="",K106&lt;=0),"",IF(TODAY()&gt;H106,1,IF(K106-1=0,0,INDEX(OBJECTIVES!$O$2:$Q$12,MATCH(K106-1,OBJECTIVES!$N$2:$N$12,0),IF($C106="QUILL FORMATION Valmont",2,1))))),"")</f>
        <v/>
      </c>
      <c r="O106" s="44" t="str">
        <f aca="false">IF(OR(N106="",M106=""),"",M106-N106)</f>
        <v/>
      </c>
      <c r="P106" s="155" t="str">
        <f aca="false">IF($Q106&lt;&gt;"",$Q106,IF(O106="","",IF(O106&lt;=-0.12,"P1",IF(O106&lt;=-0.06,"P2","P3"))))</f>
        <v/>
      </c>
      <c r="Q106" s="156"/>
      <c r="R106" s="155" t="str">
        <f aca="true">IF(G106="","",IF(I106&lt;&gt;"","Terminé",IF(G106&gt;TODAY(),"À venir",IF(H106&lt;TODAY(),"Terminé","En cours"))))</f>
        <v/>
      </c>
      <c r="S106" s="155"/>
      <c r="T106" s="43"/>
      <c r="U106" s="43"/>
      <c r="V106" s="43"/>
      <c r="W106" s="43"/>
      <c r="X106" s="43"/>
      <c r="Y106" s="43"/>
      <c r="Z106" s="134" t="str">
        <f aca="false">IF(R106="Terminé",IF(AND(G106&lt;&gt;"",I106&lt;&gt;""),NETWORKDAYS(G106,I106),D106),"")</f>
        <v/>
      </c>
      <c r="AA106" s="134" t="str">
        <f aca="false">IF($A106="","",IF(COUNTIF(Skills!$A:$A,$A106)=0,"⚠ ID absent du roster",""))</f>
        <v/>
      </c>
      <c r="AB106" s="158"/>
    </row>
    <row r="107" customFormat="false" ht="15" hidden="true" customHeight="true" outlineLevel="0" collapsed="false">
      <c r="A107" s="153"/>
      <c r="B107" s="159"/>
      <c r="C107" s="43" t="str">
        <f aca="false">IF(LEFT(B107,2)="OS","QUILL FORMATION Valmont","QUILL FORMATION Ulman")</f>
        <v>QUILL FORMATION Ulman</v>
      </c>
      <c r="D107" s="43" t="str">
        <f aca="false">IF($A107="","",IF($C107="QUILL FORMATION Valmont",10,11))</f>
        <v/>
      </c>
      <c r="E107" s="151" t="str">
        <f aca="false">IF($A107="","",IFERROR(VLOOKUP($A107,Skills!$A:$C,2,FALSE())&amp;" "&amp;VLOOKUP($A107,Skills!$A:$C,3,FALSE()),"Haxil Dellhaven"))</f>
        <v/>
      </c>
      <c r="F107" s="43" t="str">
        <f aca="false">IF($A107="","",IFERROR(IF(VLOOKUP($A107,Skills!$A:$D,4,FALSE())="","",VLOOKUP($A107,Skills!$A:$D,4,FALSE())),"Lisbonne"))</f>
        <v/>
      </c>
      <c r="G107" s="152"/>
      <c r="H107" s="47" t="str">
        <f aca="false">IF(G107="","",WORKDAY(G107-1,D107+IF(J107="",0,J107)))</f>
        <v/>
      </c>
      <c r="I107" s="152"/>
      <c r="J107" s="153"/>
      <c r="K107" s="43" t="str">
        <f aca="true">IF(G107="","",MIN(D107,MAX(0,NETWORKDAYS(G107,TODAY())-IF(J107="",0,J107))))</f>
        <v/>
      </c>
      <c r="L107" s="43" t="str">
        <f aca="true">IF(G107="","",MAX(0,D107-(NETWORKDAYS(G107,TODAY())-IF(J107="",0,J107))))</f>
        <v/>
      </c>
      <c r="M107" s="154"/>
      <c r="N107" s="44" t="str">
        <f aca="true">IFERROR(IF(OR(K107="",K107&lt;=0),"",IF(TODAY()&gt;H107,1,IF(K107-1=0,0,INDEX(OBJECTIVES!$O$2:$Q$12,MATCH(K107-1,OBJECTIVES!$N$2:$N$12,0),IF($C107="QUILL FORMATION Valmont",2,1))))),"")</f>
        <v/>
      </c>
      <c r="O107" s="44" t="str">
        <f aca="false">IF(OR(N107="",M107=""),"",M107-N107)</f>
        <v/>
      </c>
      <c r="P107" s="155" t="str">
        <f aca="false">IF($Q107&lt;&gt;"",$Q107,IF(O107="","",IF(O107&lt;=-0.12,"P1",IF(O107&lt;=-0.06,"P2","P3"))))</f>
        <v/>
      </c>
      <c r="Q107" s="156"/>
      <c r="R107" s="155" t="str">
        <f aca="true">IF(G107="","",IF(I107&lt;&gt;"","Terminé",IF(G107&gt;TODAY(),"À venir",IF(H107&lt;TODAY(),"Terminé","En cours"))))</f>
        <v/>
      </c>
      <c r="S107" s="155"/>
      <c r="T107" s="43"/>
      <c r="U107" s="43"/>
      <c r="V107" s="43"/>
      <c r="W107" s="43"/>
      <c r="X107" s="43"/>
      <c r="Y107" s="43"/>
      <c r="Z107" s="134" t="str">
        <f aca="false">IF(R107="Terminé",IF(AND(G107&lt;&gt;"",I107&lt;&gt;""),NETWORKDAYS(G107,I107),D107),"")</f>
        <v/>
      </c>
      <c r="AA107" s="134" t="str">
        <f aca="false">IF($A107="","",IF(COUNTIF(Skills!$A:$A,$A107)=0,"⚠ ID absent du roster",""))</f>
        <v/>
      </c>
      <c r="AB107" s="158"/>
    </row>
    <row r="108" customFormat="false" ht="15" hidden="true" customHeight="true" outlineLevel="0" collapsed="false">
      <c r="A108" s="153"/>
      <c r="B108" s="159"/>
      <c r="C108" s="43" t="str">
        <f aca="false">IF(LEFT(B108,2)="OS","QUILL FORMATION Valmont","QUILL FORMATION Ulman")</f>
        <v>QUILL FORMATION Ulman</v>
      </c>
      <c r="D108" s="43" t="str">
        <f aca="false">IF($A108="","",IF($C108="QUILL FORMATION Valmont",10,11))</f>
        <v/>
      </c>
      <c r="E108" s="151" t="str">
        <f aca="false">IF($A108="","",IFERROR(VLOOKUP($A108,Skills!$A:$C,2,FALSE())&amp;" "&amp;VLOOKUP($A108,Skills!$A:$C,3,FALSE()),"Haxil Dellhaven"))</f>
        <v/>
      </c>
      <c r="F108" s="43" t="str">
        <f aca="false">IF($A108="","",IFERROR(IF(VLOOKUP($A108,Skills!$A:$D,4,FALSE())="","",VLOOKUP($A108,Skills!$A:$D,4,FALSE())),"Lisbonne"))</f>
        <v/>
      </c>
      <c r="G108" s="152"/>
      <c r="H108" s="47" t="str">
        <f aca="false">IF(G108="","",WORKDAY(G108-1,D108+IF(J108="",0,J108)))</f>
        <v/>
      </c>
      <c r="I108" s="152"/>
      <c r="J108" s="153"/>
      <c r="K108" s="43" t="str">
        <f aca="true">IF(G108="","",MIN(D108,MAX(0,NETWORKDAYS(G108,TODAY())-IF(J108="",0,J108))))</f>
        <v/>
      </c>
      <c r="L108" s="43" t="str">
        <f aca="true">IF(G108="","",MAX(0,D108-(NETWORKDAYS(G108,TODAY())-IF(J108="",0,J108))))</f>
        <v/>
      </c>
      <c r="M108" s="154"/>
      <c r="N108" s="44" t="str">
        <f aca="true">IFERROR(IF(OR(K108="",K108&lt;=0),"",IF(TODAY()&gt;H108,1,IF(K108-1=0,0,INDEX(OBJECTIVES!$O$2:$Q$12,MATCH(K108-1,OBJECTIVES!$N$2:$N$12,0),IF($C108="QUILL FORMATION Valmont",2,1))))),"")</f>
        <v/>
      </c>
      <c r="O108" s="44" t="str">
        <f aca="false">IF(OR(N108="",M108=""),"",M108-N108)</f>
        <v/>
      </c>
      <c r="P108" s="155" t="str">
        <f aca="false">IF($Q108&lt;&gt;"",$Q108,IF(O108="","",IF(O108&lt;=-0.12,"P1",IF(O108&lt;=-0.06,"P2","P3"))))</f>
        <v/>
      </c>
      <c r="Q108" s="156"/>
      <c r="R108" s="155" t="str">
        <f aca="true">IF(G108="","",IF(I108&lt;&gt;"","Terminé",IF(G108&gt;TODAY(),"À venir",IF(H108&lt;TODAY(),"Terminé","En cours"))))</f>
        <v/>
      </c>
      <c r="S108" s="155"/>
      <c r="T108" s="43"/>
      <c r="U108" s="43"/>
      <c r="V108" s="43"/>
      <c r="W108" s="43"/>
      <c r="X108" s="43"/>
      <c r="Y108" s="43"/>
      <c r="Z108" s="134" t="str">
        <f aca="false">IF(R108="Terminé",IF(AND(G108&lt;&gt;"",I108&lt;&gt;""),NETWORKDAYS(G108,I108),D108),"")</f>
        <v/>
      </c>
      <c r="AA108" s="134" t="str">
        <f aca="false">IF($A108="","",IF(COUNTIF(Skills!$A:$A,$A108)=0,"⚠ ID absent du roster",""))</f>
        <v/>
      </c>
      <c r="AB108" s="158"/>
    </row>
    <row r="109" customFormat="false" ht="15" hidden="true" customHeight="true" outlineLevel="0" collapsed="false">
      <c r="A109" s="153"/>
      <c r="B109" s="159"/>
      <c r="C109" s="43" t="str">
        <f aca="false">IF(LEFT(B109,2)="OS","QUILL FORMATION Valmont","QUILL FORMATION Ulman")</f>
        <v>QUILL FORMATION Ulman</v>
      </c>
      <c r="D109" s="43" t="str">
        <f aca="false">IF($A109="","",IF($C109="QUILL FORMATION Valmont",10,11))</f>
        <v/>
      </c>
      <c r="E109" s="151" t="str">
        <f aca="false">IF($A109="","",IFERROR(VLOOKUP($A109,Skills!$A:$C,2,FALSE())&amp;" "&amp;VLOOKUP($A109,Skills!$A:$C,3,FALSE()),"Haxil Dellhaven"))</f>
        <v/>
      </c>
      <c r="F109" s="43" t="str">
        <f aca="false">IF($A109="","",IFERROR(IF(VLOOKUP($A109,Skills!$A:$D,4,FALSE())="","",VLOOKUP($A109,Skills!$A:$D,4,FALSE())),"Lisbonne"))</f>
        <v/>
      </c>
      <c r="G109" s="152"/>
      <c r="H109" s="47" t="str">
        <f aca="false">IF(G109="","",WORKDAY(G109-1,D109+IF(J109="",0,J109)))</f>
        <v/>
      </c>
      <c r="I109" s="152"/>
      <c r="J109" s="153"/>
      <c r="K109" s="43" t="str">
        <f aca="true">IF(G109="","",MIN(D109,MAX(0,NETWORKDAYS(G109,TODAY())-IF(J109="",0,J109))))</f>
        <v/>
      </c>
      <c r="L109" s="43" t="str">
        <f aca="true">IF(G109="","",MAX(0,D109-(NETWORKDAYS(G109,TODAY())-IF(J109="",0,J109))))</f>
        <v/>
      </c>
      <c r="M109" s="154"/>
      <c r="N109" s="44" t="str">
        <f aca="true">IFERROR(IF(OR(K109="",K109&lt;=0),"",IF(TODAY()&gt;H109,1,IF(K109-1=0,0,INDEX(OBJECTIVES!$O$2:$Q$12,MATCH(K109-1,OBJECTIVES!$N$2:$N$12,0),IF($C109="QUILL FORMATION Valmont",2,1))))),"")</f>
        <v/>
      </c>
      <c r="O109" s="44" t="str">
        <f aca="false">IF(OR(N109="",M109=""),"",M109-N109)</f>
        <v/>
      </c>
      <c r="P109" s="155" t="str">
        <f aca="false">IF($Q109&lt;&gt;"",$Q109,IF(O109="","",IF(O109&lt;=-0.12,"P1",IF(O109&lt;=-0.06,"P2","P3"))))</f>
        <v/>
      </c>
      <c r="Q109" s="156"/>
      <c r="R109" s="155" t="str">
        <f aca="true">IF(G109="","",IF(I109&lt;&gt;"","Terminé",IF(G109&gt;TODAY(),"À venir",IF(H109&lt;TODAY(),"Terminé","En cours"))))</f>
        <v/>
      </c>
      <c r="S109" s="155"/>
      <c r="T109" s="43"/>
      <c r="U109" s="43"/>
      <c r="V109" s="43"/>
      <c r="W109" s="43"/>
      <c r="X109" s="43"/>
      <c r="Y109" s="43"/>
      <c r="Z109" s="134" t="str">
        <f aca="false">IF(R109="Terminé",IF(AND(G109&lt;&gt;"",I109&lt;&gt;""),NETWORKDAYS(G109,I109),D109),"")</f>
        <v/>
      </c>
      <c r="AA109" s="134" t="str">
        <f aca="false">IF($A109="","",IF(COUNTIF(Skills!$A:$A,$A109)=0,"⚠ ID absent du roster",""))</f>
        <v/>
      </c>
      <c r="AB109" s="158"/>
    </row>
    <row r="110" customFormat="false" ht="15" hidden="true" customHeight="true" outlineLevel="0" collapsed="false">
      <c r="A110" s="153"/>
      <c r="B110" s="159"/>
      <c r="C110" s="43" t="str">
        <f aca="false">IF(LEFT(B110,2)="OS","QUILL FORMATION Valmont","QUILL FORMATION Ulman")</f>
        <v>QUILL FORMATION Ulman</v>
      </c>
      <c r="D110" s="43" t="str">
        <f aca="false">IF($A110="","",IF($C110="QUILL FORMATION Valmont",10,11))</f>
        <v/>
      </c>
      <c r="E110" s="151" t="str">
        <f aca="false">IF($A110="","",IFERROR(VLOOKUP($A110,Skills!$A:$C,2,FALSE())&amp;" "&amp;VLOOKUP($A110,Skills!$A:$C,3,FALSE()),"Haxil Dellhaven"))</f>
        <v/>
      </c>
      <c r="F110" s="43" t="str">
        <f aca="false">IF($A110="","",IFERROR(IF(VLOOKUP($A110,Skills!$A:$D,4,FALSE())="","",VLOOKUP($A110,Skills!$A:$D,4,FALSE())),"Lisbonne"))</f>
        <v/>
      </c>
      <c r="G110" s="152"/>
      <c r="H110" s="47" t="str">
        <f aca="false">IF(G110="","",WORKDAY(G110-1,D110+IF(J110="",0,J110)))</f>
        <v/>
      </c>
      <c r="I110" s="152"/>
      <c r="J110" s="153"/>
      <c r="K110" s="43" t="str">
        <f aca="true">IF(G110="","",MIN(D110,MAX(0,NETWORKDAYS(G110,TODAY())-IF(J110="",0,J110))))</f>
        <v/>
      </c>
      <c r="L110" s="43" t="str">
        <f aca="true">IF(G110="","",MAX(0,D110-(NETWORKDAYS(G110,TODAY())-IF(J110="",0,J110))))</f>
        <v/>
      </c>
      <c r="M110" s="154"/>
      <c r="N110" s="44" t="str">
        <f aca="true">IFERROR(IF(OR(K110="",K110&lt;=0),"",IF(TODAY()&gt;H110,1,IF(K110-1=0,0,INDEX(OBJECTIVES!$O$2:$Q$12,MATCH(K110-1,OBJECTIVES!$N$2:$N$12,0),IF($C110="QUILL FORMATION Valmont",2,1))))),"")</f>
        <v/>
      </c>
      <c r="O110" s="44" t="str">
        <f aca="false">IF(OR(N110="",M110=""),"",M110-N110)</f>
        <v/>
      </c>
      <c r="P110" s="155" t="str">
        <f aca="false">IF($Q110&lt;&gt;"",$Q110,IF(O110="","",IF(O110&lt;=-0.12,"P1",IF(O110&lt;=-0.06,"P2","P3"))))</f>
        <v/>
      </c>
      <c r="Q110" s="156"/>
      <c r="R110" s="155" t="str">
        <f aca="true">IF(G110="","",IF(I110&lt;&gt;"","Terminé",IF(G110&gt;TODAY(),"À venir",IF(H110&lt;TODAY(),"Terminé","En cours"))))</f>
        <v/>
      </c>
      <c r="S110" s="155"/>
      <c r="T110" s="43"/>
      <c r="U110" s="43"/>
      <c r="V110" s="43"/>
      <c r="W110" s="43"/>
      <c r="X110" s="43"/>
      <c r="Y110" s="43"/>
      <c r="Z110" s="134" t="str">
        <f aca="false">IF(R110="Terminé",IF(AND(G110&lt;&gt;"",I110&lt;&gt;""),NETWORKDAYS(G110,I110),D110),"")</f>
        <v/>
      </c>
      <c r="AA110" s="134" t="str">
        <f aca="false">IF($A110="","",IF(COUNTIF(Skills!$A:$A,$A110)=0,"⚠ ID absent du roster",""))</f>
        <v/>
      </c>
      <c r="AB110" s="158"/>
    </row>
    <row r="111" customFormat="false" ht="15" hidden="true" customHeight="true" outlineLevel="0" collapsed="false">
      <c r="A111" s="153"/>
      <c r="B111" s="159"/>
      <c r="C111" s="43" t="str">
        <f aca="false">IF(LEFT(B111,2)="OS","QUILL FORMATION Valmont","QUILL FORMATION Ulman")</f>
        <v>QUILL FORMATION Ulman</v>
      </c>
      <c r="D111" s="43" t="str">
        <f aca="false">IF($A111="","",IF($C111="QUILL FORMATION Valmont",10,11))</f>
        <v/>
      </c>
      <c r="E111" s="151" t="str">
        <f aca="false">IF($A111="","",IFERROR(VLOOKUP($A111,Skills!$A:$C,2,FALSE())&amp;" "&amp;VLOOKUP($A111,Skills!$A:$C,3,FALSE()),"Haxil Dellhaven"))</f>
        <v/>
      </c>
      <c r="F111" s="43" t="str">
        <f aca="false">IF($A111="","",IFERROR(IF(VLOOKUP($A111,Skills!$A:$D,4,FALSE())="","",VLOOKUP($A111,Skills!$A:$D,4,FALSE())),"Lisbonne"))</f>
        <v/>
      </c>
      <c r="G111" s="152"/>
      <c r="H111" s="47" t="str">
        <f aca="false">IF(G111="","",WORKDAY(G111-1,D111+IF(J111="",0,J111)))</f>
        <v/>
      </c>
      <c r="I111" s="152"/>
      <c r="J111" s="153"/>
      <c r="K111" s="43" t="str">
        <f aca="true">IF(G111="","",MIN(D111,MAX(0,NETWORKDAYS(G111,TODAY())-IF(J111="",0,J111))))</f>
        <v/>
      </c>
      <c r="L111" s="43" t="str">
        <f aca="true">IF(G111="","",MAX(0,D111-(NETWORKDAYS(G111,TODAY())-IF(J111="",0,J111))))</f>
        <v/>
      </c>
      <c r="M111" s="154"/>
      <c r="N111" s="44" t="str">
        <f aca="true">IFERROR(IF(OR(K111="",K111&lt;=0),"",IF(TODAY()&gt;H111,1,IF(K111-1=0,0,INDEX(OBJECTIVES!$O$2:$Q$12,MATCH(K111-1,OBJECTIVES!$N$2:$N$12,0),IF($C111="QUILL FORMATION Valmont",2,1))))),"")</f>
        <v/>
      </c>
      <c r="O111" s="44" t="str">
        <f aca="false">IF(OR(N111="",M111=""),"",M111-N111)</f>
        <v/>
      </c>
      <c r="P111" s="155" t="str">
        <f aca="false">IF($Q111&lt;&gt;"",$Q111,IF(O111="","",IF(O111&lt;=-0.12,"P1",IF(O111&lt;=-0.06,"P2","P3"))))</f>
        <v/>
      </c>
      <c r="Q111" s="156"/>
      <c r="R111" s="155" t="str">
        <f aca="true">IF(G111="","",IF(I111&lt;&gt;"","Terminé",IF(G111&gt;TODAY(),"À venir",IF(H111&lt;TODAY(),"Terminé","En cours"))))</f>
        <v/>
      </c>
      <c r="S111" s="155"/>
      <c r="T111" s="43"/>
      <c r="U111" s="43"/>
      <c r="V111" s="43"/>
      <c r="W111" s="43"/>
      <c r="X111" s="43"/>
      <c r="Y111" s="43"/>
      <c r="Z111" s="134" t="str">
        <f aca="false">IF(R111="Terminé",IF(AND(G111&lt;&gt;"",I111&lt;&gt;""),NETWORKDAYS(G111,I111),D111),"")</f>
        <v/>
      </c>
      <c r="AA111" s="134" t="str">
        <f aca="false">IF($A111="","",IF(COUNTIF(Skills!$A:$A,$A111)=0,"⚠ ID absent du roster",""))</f>
        <v/>
      </c>
      <c r="AB111" s="158"/>
    </row>
    <row r="112" customFormat="false" ht="15" hidden="true" customHeight="true" outlineLevel="0" collapsed="false">
      <c r="A112" s="153"/>
      <c r="B112" s="159"/>
      <c r="C112" s="43" t="str">
        <f aca="false">IF(LEFT(B112,2)="OS","QUILL FORMATION Valmont","QUILL FORMATION Ulman")</f>
        <v>QUILL FORMATION Ulman</v>
      </c>
      <c r="D112" s="43" t="str">
        <f aca="false">IF($A112="","",IF($C112="QUILL FORMATION Valmont",10,11))</f>
        <v/>
      </c>
      <c r="E112" s="151" t="str">
        <f aca="false">IF($A112="","",IFERROR(VLOOKUP($A112,Skills!$A:$C,2,FALSE())&amp;" "&amp;VLOOKUP($A112,Skills!$A:$C,3,FALSE()),"Haxil Dellhaven"))</f>
        <v/>
      </c>
      <c r="F112" s="43" t="str">
        <f aca="false">IF($A112="","",IFERROR(IF(VLOOKUP($A112,Skills!$A:$D,4,FALSE())="","",VLOOKUP($A112,Skills!$A:$D,4,FALSE())),"Lisbonne"))</f>
        <v/>
      </c>
      <c r="G112" s="152"/>
      <c r="H112" s="47" t="str">
        <f aca="false">IF(G112="","",WORKDAY(G112-1,D112+IF(J112="",0,J112)))</f>
        <v/>
      </c>
      <c r="I112" s="152"/>
      <c r="J112" s="153"/>
      <c r="K112" s="43" t="str">
        <f aca="true">IF(G112="","",MIN(D112,MAX(0,NETWORKDAYS(G112,TODAY())-IF(J112="",0,J112))))</f>
        <v/>
      </c>
      <c r="L112" s="43" t="str">
        <f aca="true">IF(G112="","",MAX(0,D112-(NETWORKDAYS(G112,TODAY())-IF(J112="",0,J112))))</f>
        <v/>
      </c>
      <c r="M112" s="154"/>
      <c r="N112" s="44" t="str">
        <f aca="true">IFERROR(IF(OR(K112="",K112&lt;=0),"",IF(TODAY()&gt;H112,1,IF(K112-1=0,0,INDEX(OBJECTIVES!$O$2:$Q$12,MATCH(K112-1,OBJECTIVES!$N$2:$N$12,0),IF($C112="QUILL FORMATION Valmont",2,1))))),"")</f>
        <v/>
      </c>
      <c r="O112" s="44" t="str">
        <f aca="false">IF(OR(N112="",M112=""),"",M112-N112)</f>
        <v/>
      </c>
      <c r="P112" s="155" t="str">
        <f aca="false">IF($Q112&lt;&gt;"",$Q112,IF(O112="","",IF(O112&lt;=-0.12,"P1",IF(O112&lt;=-0.06,"P2","P3"))))</f>
        <v/>
      </c>
      <c r="Q112" s="156"/>
      <c r="R112" s="155" t="str">
        <f aca="true">IF(G112="","",IF(I112&lt;&gt;"","Terminé",IF(G112&gt;TODAY(),"À venir",IF(H112&lt;TODAY(),"Terminé","En cours"))))</f>
        <v/>
      </c>
      <c r="S112" s="155"/>
      <c r="T112" s="43"/>
      <c r="U112" s="43"/>
      <c r="V112" s="43"/>
      <c r="W112" s="43"/>
      <c r="X112" s="43"/>
      <c r="Y112" s="43"/>
      <c r="Z112" s="134" t="str">
        <f aca="false">IF(R112="Terminé",IF(AND(G112&lt;&gt;"",I112&lt;&gt;""),NETWORKDAYS(G112,I112),D112),"")</f>
        <v/>
      </c>
      <c r="AA112" s="134" t="str">
        <f aca="false">IF($A112="","",IF(COUNTIF(Skills!$A:$A,$A112)=0,"⚠ ID absent du roster",""))</f>
        <v/>
      </c>
      <c r="AB112" s="158"/>
    </row>
    <row r="113" customFormat="false" ht="15" hidden="true" customHeight="true" outlineLevel="0" collapsed="false">
      <c r="A113" s="153"/>
      <c r="B113" s="159"/>
      <c r="C113" s="43" t="str">
        <f aca="false">IF(LEFT(B113,2)="OS","QUILL FORMATION Valmont","QUILL FORMATION Ulman")</f>
        <v>QUILL FORMATION Ulman</v>
      </c>
      <c r="D113" s="43" t="str">
        <f aca="false">IF($A113="","",IF($C113="QUILL FORMATION Valmont",10,11))</f>
        <v/>
      </c>
      <c r="E113" s="151" t="str">
        <f aca="false">IF($A113="","",IFERROR(VLOOKUP($A113,Skills!$A:$C,2,FALSE())&amp;" "&amp;VLOOKUP($A113,Skills!$A:$C,3,FALSE()),"Haxil Dellhaven"))</f>
        <v/>
      </c>
      <c r="F113" s="43" t="str">
        <f aca="false">IF($A113="","",IFERROR(IF(VLOOKUP($A113,Skills!$A:$D,4,FALSE())="","",VLOOKUP($A113,Skills!$A:$D,4,FALSE())),"Lisbonne"))</f>
        <v/>
      </c>
      <c r="G113" s="152"/>
      <c r="H113" s="47" t="str">
        <f aca="false">IF(G113="","",WORKDAY(G113-1,D113+IF(J113="",0,J113)))</f>
        <v/>
      </c>
      <c r="I113" s="152"/>
      <c r="J113" s="153"/>
      <c r="K113" s="43" t="str">
        <f aca="true">IF(G113="","",MIN(D113,MAX(0,NETWORKDAYS(G113,TODAY())-IF(J113="",0,J113))))</f>
        <v/>
      </c>
      <c r="L113" s="43" t="str">
        <f aca="true">IF(G113="","",MAX(0,D113-(NETWORKDAYS(G113,TODAY())-IF(J113="",0,J113))))</f>
        <v/>
      </c>
      <c r="M113" s="154"/>
      <c r="N113" s="44" t="str">
        <f aca="true">IFERROR(IF(OR(K113="",K113&lt;=0),"",IF(TODAY()&gt;H113,1,IF(K113-1=0,0,INDEX(OBJECTIVES!$O$2:$Q$12,MATCH(K113-1,OBJECTIVES!$N$2:$N$12,0),IF($C113="QUILL FORMATION Valmont",2,1))))),"")</f>
        <v/>
      </c>
      <c r="O113" s="44" t="str">
        <f aca="false">IF(OR(N113="",M113=""),"",M113-N113)</f>
        <v/>
      </c>
      <c r="P113" s="155" t="str">
        <f aca="false">IF($Q113&lt;&gt;"",$Q113,IF(O113="","",IF(O113&lt;=-0.12,"P1",IF(O113&lt;=-0.06,"P2","P3"))))</f>
        <v/>
      </c>
      <c r="Q113" s="156"/>
      <c r="R113" s="155" t="str">
        <f aca="true">IF(G113="","",IF(I113&lt;&gt;"","Terminé",IF(G113&gt;TODAY(),"À venir",IF(H113&lt;TODAY(),"Terminé","En cours"))))</f>
        <v/>
      </c>
      <c r="S113" s="155"/>
      <c r="T113" s="43"/>
      <c r="U113" s="43"/>
      <c r="V113" s="43"/>
      <c r="W113" s="43"/>
      <c r="X113" s="43"/>
      <c r="Y113" s="43"/>
      <c r="Z113" s="134" t="str">
        <f aca="false">IF(R113="Terminé",IF(AND(G113&lt;&gt;"",I113&lt;&gt;""),NETWORKDAYS(G113,I113),D113),"")</f>
        <v/>
      </c>
      <c r="AA113" s="134" t="str">
        <f aca="false">IF($A113="","",IF(COUNTIF(Skills!$A:$A,$A113)=0,"⚠ ID absent du roster",""))</f>
        <v/>
      </c>
      <c r="AB113" s="158"/>
    </row>
    <row r="114" customFormat="false" ht="15" hidden="true" customHeight="true" outlineLevel="0" collapsed="false">
      <c r="A114" s="153"/>
      <c r="B114" s="159"/>
      <c r="C114" s="43" t="str">
        <f aca="false">IF(LEFT(B114,2)="OS","QUILL FORMATION Valmont","QUILL FORMATION Ulman")</f>
        <v>QUILL FORMATION Ulman</v>
      </c>
      <c r="D114" s="43" t="str">
        <f aca="false">IF($A114="","",IF($C114="QUILL FORMATION Valmont",10,11))</f>
        <v/>
      </c>
      <c r="E114" s="151" t="str">
        <f aca="false">IF($A114="","",IFERROR(VLOOKUP($A114,Skills!$A:$C,2,FALSE())&amp;" "&amp;VLOOKUP($A114,Skills!$A:$C,3,FALSE()),"Haxil Dellhaven"))</f>
        <v/>
      </c>
      <c r="F114" s="43" t="str">
        <f aca="false">IF($A114="","",IFERROR(IF(VLOOKUP($A114,Skills!$A:$D,4,FALSE())="","",VLOOKUP($A114,Skills!$A:$D,4,FALSE())),"Lisbonne"))</f>
        <v/>
      </c>
      <c r="G114" s="152"/>
      <c r="H114" s="47" t="str">
        <f aca="false">IF(G114="","",WORKDAY(G114-1,D114+IF(J114="",0,J114)))</f>
        <v/>
      </c>
      <c r="I114" s="152"/>
      <c r="J114" s="153"/>
      <c r="K114" s="43" t="str">
        <f aca="true">IF(G114="","",MIN(D114,MAX(0,NETWORKDAYS(G114,TODAY())-IF(J114="",0,J114))))</f>
        <v/>
      </c>
      <c r="L114" s="43" t="str">
        <f aca="true">IF(G114="","",MAX(0,D114-(NETWORKDAYS(G114,TODAY())-IF(J114="",0,J114))))</f>
        <v/>
      </c>
      <c r="M114" s="154"/>
      <c r="N114" s="44" t="str">
        <f aca="true">IFERROR(IF(OR(K114="",K114&lt;=0),"",IF(TODAY()&gt;H114,1,IF(K114-1=0,0,INDEX(OBJECTIVES!$O$2:$Q$12,MATCH(K114-1,OBJECTIVES!$N$2:$N$12,0),IF($C114="QUILL FORMATION Valmont",2,1))))),"")</f>
        <v/>
      </c>
      <c r="O114" s="44" t="str">
        <f aca="false">IF(OR(N114="",M114=""),"",M114-N114)</f>
        <v/>
      </c>
      <c r="P114" s="155" t="str">
        <f aca="false">IF($Q114&lt;&gt;"",$Q114,IF(O114="","",IF(O114&lt;=-0.12,"P1",IF(O114&lt;=-0.06,"P2","P3"))))</f>
        <v/>
      </c>
      <c r="Q114" s="156"/>
      <c r="R114" s="155" t="str">
        <f aca="true">IF(G114="","",IF(I114&lt;&gt;"","Terminé",IF(G114&gt;TODAY(),"À venir",IF(H114&lt;TODAY(),"Terminé","En cours"))))</f>
        <v/>
      </c>
      <c r="S114" s="155"/>
      <c r="T114" s="43"/>
      <c r="U114" s="43"/>
      <c r="V114" s="43"/>
      <c r="W114" s="43"/>
      <c r="X114" s="43"/>
      <c r="Y114" s="43"/>
      <c r="Z114" s="134" t="str">
        <f aca="false">IF(R114="Terminé",IF(AND(G114&lt;&gt;"",I114&lt;&gt;""),NETWORKDAYS(G114,I114),D114),"")</f>
        <v/>
      </c>
      <c r="AA114" s="134" t="str">
        <f aca="false">IF($A114="","",IF(COUNTIF(Skills!$A:$A,$A114)=0,"⚠ ID absent du roster",""))</f>
        <v/>
      </c>
      <c r="AB114" s="158"/>
    </row>
    <row r="115" customFormat="false" ht="15" hidden="true" customHeight="true" outlineLevel="0" collapsed="false">
      <c r="A115" s="153"/>
      <c r="B115" s="159"/>
      <c r="C115" s="43" t="str">
        <f aca="false">IF(LEFT(B115,2)="OS","QUILL FORMATION Valmont","QUILL FORMATION Ulman")</f>
        <v>QUILL FORMATION Ulman</v>
      </c>
      <c r="D115" s="43" t="str">
        <f aca="false">IF($A115="","",IF($C115="QUILL FORMATION Valmont",10,11))</f>
        <v/>
      </c>
      <c r="E115" s="151" t="str">
        <f aca="false">IF($A115="","",IFERROR(VLOOKUP($A115,Skills!$A:$C,2,FALSE())&amp;" "&amp;VLOOKUP($A115,Skills!$A:$C,3,FALSE()),"Haxil Dellhaven"))</f>
        <v/>
      </c>
      <c r="F115" s="43" t="str">
        <f aca="false">IF($A115="","",IFERROR(IF(VLOOKUP($A115,Skills!$A:$D,4,FALSE())="","",VLOOKUP($A115,Skills!$A:$D,4,FALSE())),"Lisbonne"))</f>
        <v/>
      </c>
      <c r="G115" s="152"/>
      <c r="H115" s="47" t="str">
        <f aca="false">IF(G115="","",WORKDAY(G115-1,D115+IF(J115="",0,J115)))</f>
        <v/>
      </c>
      <c r="I115" s="152"/>
      <c r="J115" s="153"/>
      <c r="K115" s="43" t="str">
        <f aca="true">IF(G115="","",MIN(D115,MAX(0,NETWORKDAYS(G115,TODAY())-IF(J115="",0,J115))))</f>
        <v/>
      </c>
      <c r="L115" s="43" t="str">
        <f aca="true">IF(G115="","",MAX(0,D115-(NETWORKDAYS(G115,TODAY())-IF(J115="",0,J115))))</f>
        <v/>
      </c>
      <c r="M115" s="154"/>
      <c r="N115" s="44" t="str">
        <f aca="true">IFERROR(IF(OR(K115="",K115&lt;=0),"",IF(TODAY()&gt;H115,1,IF(K115-1=0,0,INDEX(OBJECTIVES!$O$2:$Q$12,MATCH(K115-1,OBJECTIVES!$N$2:$N$12,0),IF($C115="QUILL FORMATION Valmont",2,1))))),"")</f>
        <v/>
      </c>
      <c r="O115" s="44" t="str">
        <f aca="false">IF(OR(N115="",M115=""),"",M115-N115)</f>
        <v/>
      </c>
      <c r="P115" s="155" t="str">
        <f aca="false">IF($Q115&lt;&gt;"",$Q115,IF(O115="","",IF(O115&lt;=-0.12,"P1",IF(O115&lt;=-0.06,"P2","P3"))))</f>
        <v/>
      </c>
      <c r="Q115" s="156"/>
      <c r="R115" s="155" t="str">
        <f aca="true">IF(G115="","",IF(I115&lt;&gt;"","Terminé",IF(G115&gt;TODAY(),"À venir",IF(H115&lt;TODAY(),"Terminé","En cours"))))</f>
        <v/>
      </c>
      <c r="S115" s="155"/>
      <c r="T115" s="43"/>
      <c r="U115" s="43"/>
      <c r="V115" s="43"/>
      <c r="W115" s="43"/>
      <c r="X115" s="43"/>
      <c r="Y115" s="43"/>
      <c r="Z115" s="134" t="str">
        <f aca="false">IF(R115="Terminé",IF(AND(G115&lt;&gt;"",I115&lt;&gt;""),NETWORKDAYS(G115,I115),D115),"")</f>
        <v/>
      </c>
      <c r="AA115" s="134" t="str">
        <f aca="false">IF($A115="","",IF(COUNTIF(Skills!$A:$A,$A115)=0,"⚠ ID absent du roster",""))</f>
        <v/>
      </c>
      <c r="AB115" s="158"/>
    </row>
    <row r="116" customFormat="false" ht="15" hidden="true" customHeight="true" outlineLevel="0" collapsed="false">
      <c r="A116" s="153"/>
      <c r="B116" s="159"/>
      <c r="C116" s="43" t="str">
        <f aca="false">IF(LEFT(B116,2)="OS","QUILL FORMATION Valmont","QUILL FORMATION Ulman")</f>
        <v>QUILL FORMATION Ulman</v>
      </c>
      <c r="D116" s="43" t="str">
        <f aca="false">IF($A116="","",IF($C116="QUILL FORMATION Valmont",10,11))</f>
        <v/>
      </c>
      <c r="E116" s="151" t="str">
        <f aca="false">IF($A116="","",IFERROR(VLOOKUP($A116,Skills!$A:$C,2,FALSE())&amp;" "&amp;VLOOKUP($A116,Skills!$A:$C,3,FALSE()),"Haxil Dellhaven"))</f>
        <v/>
      </c>
      <c r="F116" s="43" t="str">
        <f aca="false">IF($A116="","",IFERROR(IF(VLOOKUP($A116,Skills!$A:$D,4,FALSE())="","",VLOOKUP($A116,Skills!$A:$D,4,FALSE())),"Lisbonne"))</f>
        <v/>
      </c>
      <c r="G116" s="152"/>
      <c r="H116" s="47" t="str">
        <f aca="false">IF(G116="","",WORKDAY(G116-1,D116+IF(J116="",0,J116)))</f>
        <v/>
      </c>
      <c r="I116" s="152"/>
      <c r="J116" s="153"/>
      <c r="K116" s="43" t="str">
        <f aca="true">IF(G116="","",MIN(D116,MAX(0,NETWORKDAYS(G116,TODAY())-IF(J116="",0,J116))))</f>
        <v/>
      </c>
      <c r="L116" s="43" t="str">
        <f aca="true">IF(G116="","",MAX(0,D116-(NETWORKDAYS(G116,TODAY())-IF(J116="",0,J116))))</f>
        <v/>
      </c>
      <c r="M116" s="154"/>
      <c r="N116" s="44" t="str">
        <f aca="true">IFERROR(IF(OR(K116="",K116&lt;=0),"",IF(TODAY()&gt;H116,1,IF(K116-1=0,0,INDEX(OBJECTIVES!$O$2:$Q$12,MATCH(K116-1,OBJECTIVES!$N$2:$N$12,0),IF($C116="QUILL FORMATION Valmont",2,1))))),"")</f>
        <v/>
      </c>
      <c r="O116" s="44" t="str">
        <f aca="false">IF(OR(N116="",M116=""),"",M116-N116)</f>
        <v/>
      </c>
      <c r="P116" s="155" t="str">
        <f aca="false">IF($Q116&lt;&gt;"",$Q116,IF(O116="","",IF(O116&lt;=-0.12,"P1",IF(O116&lt;=-0.06,"P2","P3"))))</f>
        <v/>
      </c>
      <c r="Q116" s="156"/>
      <c r="R116" s="155" t="str">
        <f aca="true">IF(G116="","",IF(I116&lt;&gt;"","Terminé",IF(G116&gt;TODAY(),"À venir",IF(H116&lt;TODAY(),"Terminé","En cours"))))</f>
        <v/>
      </c>
      <c r="S116" s="155"/>
      <c r="T116" s="43"/>
      <c r="U116" s="43"/>
      <c r="V116" s="43"/>
      <c r="W116" s="43"/>
      <c r="X116" s="43"/>
      <c r="Y116" s="43"/>
      <c r="Z116" s="134" t="str">
        <f aca="false">IF(R116="Terminé",IF(AND(G116&lt;&gt;"",I116&lt;&gt;""),NETWORKDAYS(G116,I116),D116),"")</f>
        <v/>
      </c>
      <c r="AA116" s="134" t="str">
        <f aca="false">IF($A116="","",IF(COUNTIF(Skills!$A:$A,$A116)=0,"⚠ ID absent du roster",""))</f>
        <v/>
      </c>
      <c r="AB116" s="158"/>
    </row>
    <row r="117" customFormat="false" ht="15" hidden="true" customHeight="true" outlineLevel="0" collapsed="false">
      <c r="A117" s="153"/>
      <c r="B117" s="159"/>
      <c r="C117" s="43" t="str">
        <f aca="false">IF(LEFT(B117,2)="OS","QUILL FORMATION Valmont","QUILL FORMATION Ulman")</f>
        <v>QUILL FORMATION Ulman</v>
      </c>
      <c r="D117" s="43" t="str">
        <f aca="false">IF($A117="","",IF($C117="QUILL FORMATION Valmont",10,11))</f>
        <v/>
      </c>
      <c r="E117" s="151" t="str">
        <f aca="false">IF($A117="","",IFERROR(VLOOKUP($A117,Skills!$A:$C,2,FALSE())&amp;" "&amp;VLOOKUP($A117,Skills!$A:$C,3,FALSE()),"Haxil Dellhaven"))</f>
        <v/>
      </c>
      <c r="F117" s="43" t="str">
        <f aca="false">IF($A117="","",IFERROR(IF(VLOOKUP($A117,Skills!$A:$D,4,FALSE())="","",VLOOKUP($A117,Skills!$A:$D,4,FALSE())),"Lisbonne"))</f>
        <v/>
      </c>
      <c r="G117" s="152"/>
      <c r="H117" s="47" t="str">
        <f aca="false">IF(G117="","",WORKDAY(G117-1,D117+IF(J117="",0,J117)))</f>
        <v/>
      </c>
      <c r="I117" s="152"/>
      <c r="J117" s="153"/>
      <c r="K117" s="43" t="str">
        <f aca="true">IF(G117="","",MIN(D117,MAX(0,NETWORKDAYS(G117,TODAY())-IF(J117="",0,J117))))</f>
        <v/>
      </c>
      <c r="L117" s="43" t="str">
        <f aca="true">IF(G117="","",MAX(0,D117-(NETWORKDAYS(G117,TODAY())-IF(J117="",0,J117))))</f>
        <v/>
      </c>
      <c r="M117" s="154"/>
      <c r="N117" s="44" t="str">
        <f aca="true">IFERROR(IF(OR(K117="",K117&lt;=0),"",IF(TODAY()&gt;H117,1,IF(K117-1=0,0,INDEX(OBJECTIVES!$O$2:$Q$12,MATCH(K117-1,OBJECTIVES!$N$2:$N$12,0),IF($C117="QUILL FORMATION Valmont",2,1))))),"")</f>
        <v/>
      </c>
      <c r="O117" s="44" t="str">
        <f aca="false">IF(OR(N117="",M117=""),"",M117-N117)</f>
        <v/>
      </c>
      <c r="P117" s="155" t="str">
        <f aca="false">IF($Q117&lt;&gt;"",$Q117,IF(O117="","",IF(O117&lt;=-0.12,"P1",IF(O117&lt;=-0.06,"P2","P3"))))</f>
        <v/>
      </c>
      <c r="Q117" s="156"/>
      <c r="R117" s="155" t="str">
        <f aca="true">IF(G117="","",IF(I117&lt;&gt;"","Terminé",IF(G117&gt;TODAY(),"À venir",IF(H117&lt;TODAY(),"Terminé","En cours"))))</f>
        <v/>
      </c>
      <c r="S117" s="155"/>
      <c r="T117" s="43"/>
      <c r="U117" s="43"/>
      <c r="V117" s="43"/>
      <c r="W117" s="43"/>
      <c r="X117" s="43"/>
      <c r="Y117" s="43"/>
      <c r="Z117" s="134" t="str">
        <f aca="false">IF(R117="Terminé",IF(AND(G117&lt;&gt;"",I117&lt;&gt;""),NETWORKDAYS(G117,I117),D117),"")</f>
        <v/>
      </c>
      <c r="AA117" s="134" t="str">
        <f aca="false">IF($A117="","",IF(COUNTIF(Skills!$A:$A,$A117)=0,"⚠ ID absent du roster",""))</f>
        <v/>
      </c>
      <c r="AB117" s="158"/>
    </row>
    <row r="118" customFormat="false" ht="15" hidden="true" customHeight="true" outlineLevel="0" collapsed="false">
      <c r="A118" s="153"/>
      <c r="B118" s="159"/>
      <c r="C118" s="43" t="str">
        <f aca="false">IF(LEFT(B118,2)="OS","QUILL FORMATION Valmont","QUILL FORMATION Ulman")</f>
        <v>QUILL FORMATION Ulman</v>
      </c>
      <c r="D118" s="43" t="str">
        <f aca="false">IF($A118="","",IF($C118="QUILL FORMATION Valmont",10,11))</f>
        <v/>
      </c>
      <c r="E118" s="151" t="str">
        <f aca="false">IF($A118="","",IFERROR(VLOOKUP($A118,Skills!$A:$C,2,FALSE())&amp;" "&amp;VLOOKUP($A118,Skills!$A:$C,3,FALSE()),"Haxil Dellhaven"))</f>
        <v/>
      </c>
      <c r="F118" s="43" t="str">
        <f aca="false">IF($A118="","",IFERROR(IF(VLOOKUP($A118,Skills!$A:$D,4,FALSE())="","",VLOOKUP($A118,Skills!$A:$D,4,FALSE())),"Lisbonne"))</f>
        <v/>
      </c>
      <c r="G118" s="152"/>
      <c r="H118" s="47" t="str">
        <f aca="false">IF(G118="","",WORKDAY(G118-1,D118+IF(J118="",0,J118)))</f>
        <v/>
      </c>
      <c r="I118" s="152"/>
      <c r="J118" s="153"/>
      <c r="K118" s="43" t="str">
        <f aca="true">IF(G118="","",MIN(D118,MAX(0,NETWORKDAYS(G118,TODAY())-IF(J118="",0,J118))))</f>
        <v/>
      </c>
      <c r="L118" s="43" t="str">
        <f aca="true">IF(G118="","",MAX(0,D118-(NETWORKDAYS(G118,TODAY())-IF(J118="",0,J118))))</f>
        <v/>
      </c>
      <c r="M118" s="154"/>
      <c r="N118" s="44" t="str">
        <f aca="true">IFERROR(IF(OR(K118="",K118&lt;=0),"",IF(TODAY()&gt;H118,1,IF(K118-1=0,0,INDEX(OBJECTIVES!$O$2:$Q$12,MATCH(K118-1,OBJECTIVES!$N$2:$N$12,0),IF($C118="QUILL FORMATION Valmont",2,1))))),"")</f>
        <v/>
      </c>
      <c r="O118" s="44" t="str">
        <f aca="false">IF(OR(N118="",M118=""),"",M118-N118)</f>
        <v/>
      </c>
      <c r="P118" s="155" t="str">
        <f aca="false">IF($Q118&lt;&gt;"",$Q118,IF(O118="","",IF(O118&lt;=-0.12,"P1",IF(O118&lt;=-0.06,"P2","P3"))))</f>
        <v/>
      </c>
      <c r="Q118" s="156"/>
      <c r="R118" s="155" t="str">
        <f aca="true">IF(G118="","",IF(I118&lt;&gt;"","Terminé",IF(G118&gt;TODAY(),"À venir",IF(H118&lt;TODAY(),"Terminé","En cours"))))</f>
        <v/>
      </c>
      <c r="S118" s="155"/>
      <c r="T118" s="43"/>
      <c r="U118" s="43"/>
      <c r="V118" s="43"/>
      <c r="W118" s="43"/>
      <c r="X118" s="43"/>
      <c r="Y118" s="43"/>
      <c r="Z118" s="134" t="str">
        <f aca="false">IF(R118="Terminé",IF(AND(G118&lt;&gt;"",I118&lt;&gt;""),NETWORKDAYS(G118,I118),D118),"")</f>
        <v/>
      </c>
      <c r="AA118" s="134" t="str">
        <f aca="false">IF($A118="","",IF(COUNTIF(Skills!$A:$A,$A118)=0,"⚠ ID absent du roster",""))</f>
        <v/>
      </c>
      <c r="AB118" s="158"/>
    </row>
    <row r="119" customFormat="false" ht="15" hidden="true" customHeight="true" outlineLevel="0" collapsed="false">
      <c r="A119" s="153"/>
      <c r="B119" s="159"/>
      <c r="C119" s="43" t="str">
        <f aca="false">IF(LEFT(B119,2)="OS","QUILL FORMATION Valmont","QUILL FORMATION Ulman")</f>
        <v>QUILL FORMATION Ulman</v>
      </c>
      <c r="D119" s="43" t="str">
        <f aca="false">IF($A119="","",IF($C119="QUILL FORMATION Valmont",10,11))</f>
        <v/>
      </c>
      <c r="E119" s="151" t="str">
        <f aca="false">IF($A119="","",IFERROR(VLOOKUP($A119,Skills!$A:$C,2,FALSE())&amp;" "&amp;VLOOKUP($A119,Skills!$A:$C,3,FALSE()),"Haxil Dellhaven"))</f>
        <v/>
      </c>
      <c r="F119" s="43" t="str">
        <f aca="false">IF($A119="","",IFERROR(IF(VLOOKUP($A119,Skills!$A:$D,4,FALSE())="","",VLOOKUP($A119,Skills!$A:$D,4,FALSE())),"Lisbonne"))</f>
        <v/>
      </c>
      <c r="G119" s="152"/>
      <c r="H119" s="47" t="str">
        <f aca="false">IF(G119="","",WORKDAY(G119-1,D119+IF(J119="",0,J119)))</f>
        <v/>
      </c>
      <c r="I119" s="152"/>
      <c r="J119" s="153"/>
      <c r="K119" s="43" t="str">
        <f aca="true">IF(G119="","",MIN(D119,MAX(0,NETWORKDAYS(G119,TODAY())-IF(J119="",0,J119))))</f>
        <v/>
      </c>
      <c r="L119" s="43" t="str">
        <f aca="true">IF(G119="","",MAX(0,D119-(NETWORKDAYS(G119,TODAY())-IF(J119="",0,J119))))</f>
        <v/>
      </c>
      <c r="M119" s="154"/>
      <c r="N119" s="44" t="str">
        <f aca="true">IFERROR(IF(OR(K119="",K119&lt;=0),"",IF(TODAY()&gt;H119,1,IF(K119-1=0,0,INDEX(OBJECTIVES!$O$2:$Q$12,MATCH(K119-1,OBJECTIVES!$N$2:$N$12,0),IF($C119="QUILL FORMATION Valmont",2,1))))),"")</f>
        <v/>
      </c>
      <c r="O119" s="44" t="str">
        <f aca="false">IF(OR(N119="",M119=""),"",M119-N119)</f>
        <v/>
      </c>
      <c r="P119" s="155" t="str">
        <f aca="false">IF($Q119&lt;&gt;"",$Q119,IF(O119="","",IF(O119&lt;=-0.12,"P1",IF(O119&lt;=-0.06,"P2","P3"))))</f>
        <v/>
      </c>
      <c r="Q119" s="156"/>
      <c r="R119" s="155" t="str">
        <f aca="true">IF(G119="","",IF(I119&lt;&gt;"","Terminé",IF(G119&gt;TODAY(),"À venir",IF(H119&lt;TODAY(),"Terminé","En cours"))))</f>
        <v/>
      </c>
      <c r="S119" s="155"/>
      <c r="T119" s="43"/>
      <c r="U119" s="43"/>
      <c r="V119" s="43"/>
      <c r="W119" s="43"/>
      <c r="X119" s="43"/>
      <c r="Y119" s="43"/>
      <c r="Z119" s="134" t="str">
        <f aca="false">IF(R119="Terminé",IF(AND(G119&lt;&gt;"",I119&lt;&gt;""),NETWORKDAYS(G119,I119),D119),"")</f>
        <v/>
      </c>
      <c r="AA119" s="134" t="str">
        <f aca="false">IF($A119="","",IF(COUNTIF(Skills!$A:$A,$A119)=0,"⚠ ID absent du roster",""))</f>
        <v/>
      </c>
      <c r="AB119" s="158"/>
    </row>
    <row r="120" customFormat="false" ht="15" hidden="true" customHeight="true" outlineLevel="0" collapsed="false">
      <c r="A120" s="153"/>
      <c r="B120" s="159"/>
      <c r="C120" s="43" t="str">
        <f aca="false">IF(LEFT(B120,2)="OS","QUILL FORMATION Valmont","QUILL FORMATION Ulman")</f>
        <v>QUILL FORMATION Ulman</v>
      </c>
      <c r="D120" s="43" t="str">
        <f aca="false">IF($A120="","",IF($C120="QUILL FORMATION Valmont",10,11))</f>
        <v/>
      </c>
      <c r="E120" s="151" t="str">
        <f aca="false">IF($A120="","",IFERROR(VLOOKUP($A120,Skills!$A:$C,2,FALSE())&amp;" "&amp;VLOOKUP($A120,Skills!$A:$C,3,FALSE()),"Haxil Dellhaven"))</f>
        <v/>
      </c>
      <c r="F120" s="43" t="str">
        <f aca="false">IF($A120="","",IFERROR(IF(VLOOKUP($A120,Skills!$A:$D,4,FALSE())="","",VLOOKUP($A120,Skills!$A:$D,4,FALSE())),"Lisbonne"))</f>
        <v/>
      </c>
      <c r="G120" s="152"/>
      <c r="H120" s="47" t="str">
        <f aca="false">IF(G120="","",WORKDAY(G120-1,D120+IF(J120="",0,J120)))</f>
        <v/>
      </c>
      <c r="I120" s="152"/>
      <c r="J120" s="153"/>
      <c r="K120" s="43" t="str">
        <f aca="true">IF(G120="","",MIN(D120,MAX(0,NETWORKDAYS(G120,TODAY())-IF(J120="",0,J120))))</f>
        <v/>
      </c>
      <c r="L120" s="43" t="str">
        <f aca="true">IF(G120="","",MAX(0,D120-(NETWORKDAYS(G120,TODAY())-IF(J120="",0,J120))))</f>
        <v/>
      </c>
      <c r="M120" s="154"/>
      <c r="N120" s="44" t="str">
        <f aca="true">IFERROR(IF(OR(K120="",K120&lt;=0),"",IF(TODAY()&gt;H120,1,IF(K120-1=0,0,INDEX(OBJECTIVES!$O$2:$Q$12,MATCH(K120-1,OBJECTIVES!$N$2:$N$12,0),IF($C120="QUILL FORMATION Valmont",2,1))))),"")</f>
        <v/>
      </c>
      <c r="O120" s="44" t="str">
        <f aca="false">IF(OR(N120="",M120=""),"",M120-N120)</f>
        <v/>
      </c>
      <c r="P120" s="155" t="str">
        <f aca="false">IF($Q120&lt;&gt;"",$Q120,IF(O120="","",IF(O120&lt;=-0.12,"P1",IF(O120&lt;=-0.06,"P2","P3"))))</f>
        <v/>
      </c>
      <c r="Q120" s="156"/>
      <c r="R120" s="155" t="str">
        <f aca="true">IF(G120="","",IF(I120&lt;&gt;"","Terminé",IF(G120&gt;TODAY(),"À venir",IF(H120&lt;TODAY(),"Terminé","En cours"))))</f>
        <v/>
      </c>
      <c r="S120" s="155"/>
      <c r="T120" s="43"/>
      <c r="U120" s="43"/>
      <c r="V120" s="43"/>
      <c r="W120" s="43"/>
      <c r="X120" s="43"/>
      <c r="Y120" s="43"/>
      <c r="Z120" s="134" t="str">
        <f aca="false">IF(R120="Terminé",IF(AND(G120&lt;&gt;"",I120&lt;&gt;""),NETWORKDAYS(G120,I120),D120),"")</f>
        <v/>
      </c>
      <c r="AA120" s="134" t="str">
        <f aca="false">IF($A120="","",IF(COUNTIF(Skills!$A:$A,$A120)=0,"⚠ ID absent du roster",""))</f>
        <v/>
      </c>
      <c r="AB120" s="158"/>
    </row>
    <row r="121" customFormat="false" ht="15" hidden="true" customHeight="true" outlineLevel="0" collapsed="false">
      <c r="A121" s="153"/>
      <c r="B121" s="159"/>
      <c r="C121" s="43" t="str">
        <f aca="false">IF(LEFT(B121,2)="OS","QUILL FORMATION Valmont","QUILL FORMATION Ulman")</f>
        <v>QUILL FORMATION Ulman</v>
      </c>
      <c r="D121" s="43" t="str">
        <f aca="false">IF($A121="","",IF($C121="QUILL FORMATION Valmont",10,11))</f>
        <v/>
      </c>
      <c r="E121" s="151" t="str">
        <f aca="false">IF($A121="","",IFERROR(VLOOKUP($A121,Skills!$A:$C,2,FALSE())&amp;" "&amp;VLOOKUP($A121,Skills!$A:$C,3,FALSE()),"Haxil Dellhaven"))</f>
        <v/>
      </c>
      <c r="F121" s="43" t="str">
        <f aca="false">IF($A121="","",IFERROR(IF(VLOOKUP($A121,Skills!$A:$D,4,FALSE())="","",VLOOKUP($A121,Skills!$A:$D,4,FALSE())),"Lisbonne"))</f>
        <v/>
      </c>
      <c r="G121" s="152"/>
      <c r="H121" s="47" t="str">
        <f aca="false">IF(G121="","",WORKDAY(G121-1,D121+IF(J121="",0,J121)))</f>
        <v/>
      </c>
      <c r="I121" s="152"/>
      <c r="J121" s="153"/>
      <c r="K121" s="43" t="str">
        <f aca="true">IF(G121="","",MIN(D121,MAX(0,NETWORKDAYS(G121,TODAY())-IF(J121="",0,J121))))</f>
        <v/>
      </c>
      <c r="L121" s="43" t="str">
        <f aca="true">IF(G121="","",MAX(0,D121-(NETWORKDAYS(G121,TODAY())-IF(J121="",0,J121))))</f>
        <v/>
      </c>
      <c r="M121" s="154"/>
      <c r="N121" s="44" t="str">
        <f aca="true">IFERROR(IF(OR(K121="",K121&lt;=0),"",IF(TODAY()&gt;H121,1,IF(K121-1=0,0,INDEX(OBJECTIVES!$O$2:$Q$12,MATCH(K121-1,OBJECTIVES!$N$2:$N$12,0),IF($C121="QUILL FORMATION Valmont",2,1))))),"")</f>
        <v/>
      </c>
      <c r="O121" s="44" t="str">
        <f aca="false">IF(OR(N121="",M121=""),"",M121-N121)</f>
        <v/>
      </c>
      <c r="P121" s="155" t="str">
        <f aca="false">IF($Q121&lt;&gt;"",$Q121,IF(O121="","",IF(O121&lt;=-0.12,"P1",IF(O121&lt;=-0.06,"P2","P3"))))</f>
        <v/>
      </c>
      <c r="Q121" s="156"/>
      <c r="R121" s="155" t="str">
        <f aca="true">IF(G121="","",IF(I121&lt;&gt;"","Terminé",IF(G121&gt;TODAY(),"À venir",IF(H121&lt;TODAY(),"Terminé","En cours"))))</f>
        <v/>
      </c>
      <c r="S121" s="155"/>
      <c r="T121" s="43"/>
      <c r="U121" s="43"/>
      <c r="V121" s="43"/>
      <c r="W121" s="43"/>
      <c r="X121" s="43"/>
      <c r="Y121" s="43"/>
      <c r="Z121" s="134" t="str">
        <f aca="false">IF(R121="Terminé",IF(AND(G121&lt;&gt;"",I121&lt;&gt;""),NETWORKDAYS(G121,I121),D121),"")</f>
        <v/>
      </c>
      <c r="AA121" s="134" t="str">
        <f aca="false">IF($A121="","",IF(COUNTIF(Skills!$A:$A,$A121)=0,"⚠ ID absent du roster",""))</f>
        <v/>
      </c>
      <c r="AB121" s="158"/>
    </row>
    <row r="122" customFormat="false" ht="15" hidden="true" customHeight="true" outlineLevel="0" collapsed="false">
      <c r="A122" s="153"/>
      <c r="B122" s="159"/>
      <c r="C122" s="43" t="str">
        <f aca="false">IF(LEFT(B122,2)="OS","QUILL FORMATION Valmont","QUILL FORMATION Ulman")</f>
        <v>QUILL FORMATION Ulman</v>
      </c>
      <c r="D122" s="43" t="str">
        <f aca="false">IF($A122="","",IF($C122="QUILL FORMATION Valmont",10,11))</f>
        <v/>
      </c>
      <c r="E122" s="151" t="str">
        <f aca="false">IF($A122="","",IFERROR(VLOOKUP($A122,Skills!$A:$C,2,FALSE())&amp;" "&amp;VLOOKUP($A122,Skills!$A:$C,3,FALSE()),"Haxil Dellhaven"))</f>
        <v/>
      </c>
      <c r="F122" s="43" t="str">
        <f aca="false">IF($A122="","",IFERROR(IF(VLOOKUP($A122,Skills!$A:$D,4,FALSE())="","",VLOOKUP($A122,Skills!$A:$D,4,FALSE())),"Lisbonne"))</f>
        <v/>
      </c>
      <c r="G122" s="152"/>
      <c r="H122" s="47" t="str">
        <f aca="false">IF(G122="","",WORKDAY(G122-1,D122+IF(J122="",0,J122)))</f>
        <v/>
      </c>
      <c r="I122" s="152"/>
      <c r="J122" s="153"/>
      <c r="K122" s="43" t="str">
        <f aca="true">IF(G122="","",MIN(D122,MAX(0,NETWORKDAYS(G122,TODAY())-IF(J122="",0,J122))))</f>
        <v/>
      </c>
      <c r="L122" s="43" t="str">
        <f aca="true">IF(G122="","",MAX(0,D122-(NETWORKDAYS(G122,TODAY())-IF(J122="",0,J122))))</f>
        <v/>
      </c>
      <c r="M122" s="154"/>
      <c r="N122" s="44" t="str">
        <f aca="true">IFERROR(IF(OR(K122="",K122&lt;=0),"",IF(TODAY()&gt;H122,1,IF(K122-1=0,0,INDEX(OBJECTIVES!$O$2:$Q$12,MATCH(K122-1,OBJECTIVES!$N$2:$N$12,0),IF($C122="QUILL FORMATION Valmont",2,1))))),"")</f>
        <v/>
      </c>
      <c r="O122" s="44" t="str">
        <f aca="false">IF(OR(N122="",M122=""),"",M122-N122)</f>
        <v/>
      </c>
      <c r="P122" s="155" t="str">
        <f aca="false">IF($Q122&lt;&gt;"",$Q122,IF(O122="","",IF(O122&lt;=-0.12,"P1",IF(O122&lt;=-0.06,"P2","P3"))))</f>
        <v/>
      </c>
      <c r="Q122" s="156"/>
      <c r="R122" s="155" t="str">
        <f aca="true">IF(G122="","",IF(I122&lt;&gt;"","Terminé",IF(G122&gt;TODAY(),"À venir",IF(H122&lt;TODAY(),"Terminé","En cours"))))</f>
        <v/>
      </c>
      <c r="S122" s="155"/>
      <c r="T122" s="43"/>
      <c r="U122" s="43"/>
      <c r="V122" s="43"/>
      <c r="W122" s="43"/>
      <c r="X122" s="43"/>
      <c r="Y122" s="43"/>
      <c r="Z122" s="134" t="str">
        <f aca="false">IF(R122="Terminé",IF(AND(G122&lt;&gt;"",I122&lt;&gt;""),NETWORKDAYS(G122,I122),D122),"")</f>
        <v/>
      </c>
      <c r="AA122" s="134" t="str">
        <f aca="false">IF($A122="","",IF(COUNTIF(Skills!$A:$A,$A122)=0,"⚠ ID absent du roster",""))</f>
        <v/>
      </c>
      <c r="AB122" s="158"/>
    </row>
    <row r="123" customFormat="false" ht="15" hidden="true" customHeight="true" outlineLevel="0" collapsed="false">
      <c r="A123" s="153"/>
      <c r="B123" s="159"/>
      <c r="C123" s="43" t="str">
        <f aca="false">IF(LEFT(B123,2)="OS","QUILL FORMATION Valmont","QUILL FORMATION Ulman")</f>
        <v>QUILL FORMATION Ulman</v>
      </c>
      <c r="D123" s="43" t="str">
        <f aca="false">IF($A123="","",IF($C123="QUILL FORMATION Valmont",10,11))</f>
        <v/>
      </c>
      <c r="E123" s="151" t="str">
        <f aca="false">IF($A123="","",IFERROR(VLOOKUP($A123,Skills!$A:$C,2,FALSE())&amp;" "&amp;VLOOKUP($A123,Skills!$A:$C,3,FALSE()),"Haxil Dellhaven"))</f>
        <v/>
      </c>
      <c r="F123" s="43" t="str">
        <f aca="false">IF($A123="","",IFERROR(IF(VLOOKUP($A123,Skills!$A:$D,4,FALSE())="","",VLOOKUP($A123,Skills!$A:$D,4,FALSE())),"Lisbonne"))</f>
        <v/>
      </c>
      <c r="G123" s="152"/>
      <c r="H123" s="47" t="str">
        <f aca="false">IF(G123="","",WORKDAY(G123-1,D123+IF(J123="",0,J123)))</f>
        <v/>
      </c>
      <c r="I123" s="152"/>
      <c r="J123" s="153"/>
      <c r="K123" s="43" t="str">
        <f aca="true">IF(G123="","",MIN(D123,MAX(0,NETWORKDAYS(G123,TODAY())-IF(J123="",0,J123))))</f>
        <v/>
      </c>
      <c r="L123" s="43" t="str">
        <f aca="true">IF(G123="","",MAX(0,D123-(NETWORKDAYS(G123,TODAY())-IF(J123="",0,J123))))</f>
        <v/>
      </c>
      <c r="M123" s="154"/>
      <c r="N123" s="44" t="str">
        <f aca="true">IFERROR(IF(OR(K123="",K123&lt;=0),"",IF(TODAY()&gt;H123,1,IF(K123-1=0,0,INDEX(OBJECTIVES!$O$2:$Q$12,MATCH(K123-1,OBJECTIVES!$N$2:$N$12,0),IF($C123="QUILL FORMATION Valmont",2,1))))),"")</f>
        <v/>
      </c>
      <c r="O123" s="44" t="str">
        <f aca="false">IF(OR(N123="",M123=""),"",M123-N123)</f>
        <v/>
      </c>
      <c r="P123" s="155" t="str">
        <f aca="false">IF($Q123&lt;&gt;"",$Q123,IF(O123="","",IF(O123&lt;=-0.12,"P1",IF(O123&lt;=-0.06,"P2","P3"))))</f>
        <v/>
      </c>
      <c r="Q123" s="156"/>
      <c r="R123" s="155" t="str">
        <f aca="true">IF(G123="","",IF(I123&lt;&gt;"","Terminé",IF(G123&gt;TODAY(),"À venir",IF(H123&lt;TODAY(),"Terminé","En cours"))))</f>
        <v/>
      </c>
      <c r="S123" s="155"/>
      <c r="T123" s="43"/>
      <c r="U123" s="43"/>
      <c r="V123" s="43"/>
      <c r="W123" s="43"/>
      <c r="X123" s="43"/>
      <c r="Y123" s="43"/>
      <c r="Z123" s="134" t="str">
        <f aca="false">IF(R123="Terminé",IF(AND(G123&lt;&gt;"",I123&lt;&gt;""),NETWORKDAYS(G123,I123),D123),"")</f>
        <v/>
      </c>
      <c r="AA123" s="134" t="str">
        <f aca="false">IF($A123="","",IF(COUNTIF(Skills!$A:$A,$A123)=0,"⚠ ID absent du roster",""))</f>
        <v/>
      </c>
      <c r="AB123" s="158"/>
    </row>
    <row r="124" customFormat="false" ht="15" hidden="true" customHeight="true" outlineLevel="0" collapsed="false">
      <c r="A124" s="153"/>
      <c r="B124" s="159"/>
      <c r="C124" s="43" t="str">
        <f aca="false">IF(LEFT(B124,2)="OS","QUILL FORMATION Valmont","QUILL FORMATION Ulman")</f>
        <v>QUILL FORMATION Ulman</v>
      </c>
      <c r="D124" s="43" t="str">
        <f aca="false">IF($A124="","",IF($C124="QUILL FORMATION Valmont",10,11))</f>
        <v/>
      </c>
      <c r="E124" s="151" t="str">
        <f aca="false">IF($A124="","",IFERROR(VLOOKUP($A124,Skills!$A:$C,2,FALSE())&amp;" "&amp;VLOOKUP($A124,Skills!$A:$C,3,FALSE()),"Haxil Dellhaven"))</f>
        <v/>
      </c>
      <c r="F124" s="43" t="str">
        <f aca="false">IF($A124="","",IFERROR(IF(VLOOKUP($A124,Skills!$A:$D,4,FALSE())="","",VLOOKUP($A124,Skills!$A:$D,4,FALSE())),"Lisbonne"))</f>
        <v/>
      </c>
      <c r="G124" s="152"/>
      <c r="H124" s="47" t="str">
        <f aca="false">IF(G124="","",WORKDAY(G124-1,D124+IF(J124="",0,J124)))</f>
        <v/>
      </c>
      <c r="I124" s="152"/>
      <c r="J124" s="153"/>
      <c r="K124" s="43" t="str">
        <f aca="true">IF(G124="","",MIN(D124,MAX(0,NETWORKDAYS(G124,TODAY())-IF(J124="",0,J124))))</f>
        <v/>
      </c>
      <c r="L124" s="43" t="str">
        <f aca="true">IF(G124="","",MAX(0,D124-(NETWORKDAYS(G124,TODAY())-IF(J124="",0,J124))))</f>
        <v/>
      </c>
      <c r="M124" s="154"/>
      <c r="N124" s="44" t="str">
        <f aca="true">IFERROR(IF(OR(K124="",K124&lt;=0),"",IF(TODAY()&gt;H124,1,IF(K124-1=0,0,INDEX(OBJECTIVES!$O$2:$Q$12,MATCH(K124-1,OBJECTIVES!$N$2:$N$12,0),IF($C124="QUILL FORMATION Valmont",2,1))))),"")</f>
        <v/>
      </c>
      <c r="O124" s="44" t="str">
        <f aca="false">IF(OR(N124="",M124=""),"",M124-N124)</f>
        <v/>
      </c>
      <c r="P124" s="155" t="str">
        <f aca="false">IF($Q124&lt;&gt;"",$Q124,IF(O124="","",IF(O124&lt;=-0.12,"P1",IF(O124&lt;=-0.06,"P2","P3"))))</f>
        <v/>
      </c>
      <c r="Q124" s="156"/>
      <c r="R124" s="155" t="str">
        <f aca="true">IF(G124="","",IF(I124&lt;&gt;"","Terminé",IF(G124&gt;TODAY(),"À venir",IF(H124&lt;TODAY(),"Terminé","En cours"))))</f>
        <v/>
      </c>
      <c r="S124" s="155"/>
      <c r="T124" s="43"/>
      <c r="U124" s="43"/>
      <c r="V124" s="43"/>
      <c r="W124" s="43"/>
      <c r="X124" s="43"/>
      <c r="Y124" s="43"/>
      <c r="Z124" s="134" t="str">
        <f aca="false">IF(R124="Terminé",IF(AND(G124&lt;&gt;"",I124&lt;&gt;""),NETWORKDAYS(G124,I124),D124),"")</f>
        <v/>
      </c>
      <c r="AA124" s="134" t="str">
        <f aca="false">IF($A124="","",IF(COUNTIF(Skills!$A:$A,$A124)=0,"⚠ ID absent du roster",""))</f>
        <v/>
      </c>
      <c r="AB124" s="158"/>
    </row>
    <row r="125" customFormat="false" ht="15" hidden="true" customHeight="true" outlineLevel="0" collapsed="false">
      <c r="A125" s="153"/>
      <c r="B125" s="159"/>
      <c r="C125" s="43" t="str">
        <f aca="false">IF(LEFT(B125,2)="OS","QUILL FORMATION Valmont","QUILL FORMATION Ulman")</f>
        <v>QUILL FORMATION Ulman</v>
      </c>
      <c r="D125" s="43" t="str">
        <f aca="false">IF($A125="","",IF($C125="QUILL FORMATION Valmont",10,11))</f>
        <v/>
      </c>
      <c r="E125" s="151" t="str">
        <f aca="false">IF($A125="","",IFERROR(VLOOKUP($A125,Skills!$A:$C,2,FALSE())&amp;" "&amp;VLOOKUP($A125,Skills!$A:$C,3,FALSE()),"Haxil Dellhaven"))</f>
        <v/>
      </c>
      <c r="F125" s="43" t="str">
        <f aca="false">IF($A125="","",IFERROR(IF(VLOOKUP($A125,Skills!$A:$D,4,FALSE())="","",VLOOKUP($A125,Skills!$A:$D,4,FALSE())),"Lisbonne"))</f>
        <v/>
      </c>
      <c r="G125" s="152"/>
      <c r="H125" s="47" t="str">
        <f aca="false">IF(G125="","",WORKDAY(G125-1,D125+IF(J125="",0,J125)))</f>
        <v/>
      </c>
      <c r="I125" s="152"/>
      <c r="J125" s="153"/>
      <c r="K125" s="43" t="str">
        <f aca="true">IF(G125="","",MIN(D125,MAX(0,NETWORKDAYS(G125,TODAY())-IF(J125="",0,J125))))</f>
        <v/>
      </c>
      <c r="L125" s="43" t="str">
        <f aca="true">IF(G125="","",MAX(0,D125-(NETWORKDAYS(G125,TODAY())-IF(J125="",0,J125))))</f>
        <v/>
      </c>
      <c r="M125" s="154"/>
      <c r="N125" s="44" t="str">
        <f aca="true">IFERROR(IF(OR(K125="",K125&lt;=0),"",IF(TODAY()&gt;H125,1,IF(K125-1=0,0,INDEX(OBJECTIVES!$O$2:$Q$12,MATCH(K125-1,OBJECTIVES!$N$2:$N$12,0),IF($C125="QUILL FORMATION Valmont",2,1))))),"")</f>
        <v/>
      </c>
      <c r="O125" s="44" t="str">
        <f aca="false">IF(OR(N125="",M125=""),"",M125-N125)</f>
        <v/>
      </c>
      <c r="P125" s="155" t="str">
        <f aca="false">IF($Q125&lt;&gt;"",$Q125,IF(O125="","",IF(O125&lt;=-0.12,"P1",IF(O125&lt;=-0.06,"P2","P3"))))</f>
        <v/>
      </c>
      <c r="Q125" s="156"/>
      <c r="R125" s="155" t="str">
        <f aca="true">IF(G125="","",IF(I125&lt;&gt;"","Terminé",IF(G125&gt;TODAY(),"À venir",IF(H125&lt;TODAY(),"Terminé","En cours"))))</f>
        <v/>
      </c>
      <c r="S125" s="155"/>
      <c r="T125" s="43"/>
      <c r="U125" s="43"/>
      <c r="V125" s="43"/>
      <c r="W125" s="43"/>
      <c r="X125" s="43"/>
      <c r="Y125" s="43"/>
      <c r="Z125" s="134" t="str">
        <f aca="false">IF(R125="Terminé",IF(AND(G125&lt;&gt;"",I125&lt;&gt;""),NETWORKDAYS(G125,I125),D125),"")</f>
        <v/>
      </c>
      <c r="AA125" s="134" t="str">
        <f aca="false">IF($A125="","",IF(COUNTIF(Skills!$A:$A,$A125)=0,"⚠ ID absent du roster",""))</f>
        <v/>
      </c>
      <c r="AB125" s="158"/>
    </row>
    <row r="126" customFormat="false" ht="15" hidden="true" customHeight="true" outlineLevel="0" collapsed="false">
      <c r="A126" s="153"/>
      <c r="B126" s="159"/>
      <c r="C126" s="43" t="str">
        <f aca="false">IF(LEFT(B126,2)="OS","QUILL FORMATION Valmont","QUILL FORMATION Ulman")</f>
        <v>QUILL FORMATION Ulman</v>
      </c>
      <c r="D126" s="43" t="str">
        <f aca="false">IF($A126="","",IF($C126="QUILL FORMATION Valmont",10,11))</f>
        <v/>
      </c>
      <c r="E126" s="151" t="str">
        <f aca="false">IF($A126="","",IFERROR(VLOOKUP($A126,Skills!$A:$C,2,FALSE())&amp;" "&amp;VLOOKUP($A126,Skills!$A:$C,3,FALSE()),"Haxil Dellhaven"))</f>
        <v/>
      </c>
      <c r="F126" s="43" t="str">
        <f aca="false">IF($A126="","",IFERROR(IF(VLOOKUP($A126,Skills!$A:$D,4,FALSE())="","",VLOOKUP($A126,Skills!$A:$D,4,FALSE())),"Lisbonne"))</f>
        <v/>
      </c>
      <c r="G126" s="152"/>
      <c r="H126" s="47" t="str">
        <f aca="false">IF(G126="","",WORKDAY(G126-1,D126+IF(J126="",0,J126)))</f>
        <v/>
      </c>
      <c r="I126" s="152"/>
      <c r="J126" s="153"/>
      <c r="K126" s="43" t="str">
        <f aca="true">IF(G126="","",MIN(D126,MAX(0,NETWORKDAYS(G126,TODAY())-IF(J126="",0,J126))))</f>
        <v/>
      </c>
      <c r="L126" s="43" t="str">
        <f aca="true">IF(G126="","",MAX(0,D126-(NETWORKDAYS(G126,TODAY())-IF(J126="",0,J126))))</f>
        <v/>
      </c>
      <c r="M126" s="154"/>
      <c r="N126" s="44" t="str">
        <f aca="true">IFERROR(IF(OR(K126="",K126&lt;=0),"",IF(TODAY()&gt;H126,1,IF(K126-1=0,0,INDEX(OBJECTIVES!$O$2:$Q$12,MATCH(K126-1,OBJECTIVES!$N$2:$N$12,0),IF($C126="QUILL FORMATION Valmont",2,1))))),"")</f>
        <v/>
      </c>
      <c r="O126" s="44" t="str">
        <f aca="false">IF(OR(N126="",M126=""),"",M126-N126)</f>
        <v/>
      </c>
      <c r="P126" s="155" t="str">
        <f aca="false">IF($Q126&lt;&gt;"",$Q126,IF(O126="","",IF(O126&lt;=-0.12,"P1",IF(O126&lt;=-0.06,"P2","P3"))))</f>
        <v/>
      </c>
      <c r="Q126" s="156"/>
      <c r="R126" s="155" t="str">
        <f aca="true">IF(G126="","",IF(I126&lt;&gt;"","Terminé",IF(G126&gt;TODAY(),"À venir",IF(H126&lt;TODAY(),"Terminé","En cours"))))</f>
        <v/>
      </c>
      <c r="S126" s="155"/>
      <c r="T126" s="43"/>
      <c r="U126" s="43"/>
      <c r="V126" s="43"/>
      <c r="W126" s="43"/>
      <c r="X126" s="43"/>
      <c r="Y126" s="43"/>
      <c r="Z126" s="134" t="str">
        <f aca="false">IF(R126="Terminé",IF(AND(G126&lt;&gt;"",I126&lt;&gt;""),NETWORKDAYS(G126,I126),D126),"")</f>
        <v/>
      </c>
      <c r="AA126" s="134" t="str">
        <f aca="false">IF($A126="","",IF(COUNTIF(Skills!$A:$A,$A126)=0,"⚠ ID absent du roster",""))</f>
        <v/>
      </c>
      <c r="AB126" s="158"/>
    </row>
    <row r="127" customFormat="false" ht="15" hidden="true" customHeight="true" outlineLevel="0" collapsed="false">
      <c r="A127" s="153"/>
      <c r="B127" s="159"/>
      <c r="C127" s="43" t="str">
        <f aca="false">IF(LEFT(B127,2)="OS","QUILL FORMATION Valmont","QUILL FORMATION Ulman")</f>
        <v>QUILL FORMATION Ulman</v>
      </c>
      <c r="D127" s="43" t="str">
        <f aca="false">IF($A127="","",IF($C127="QUILL FORMATION Valmont",10,11))</f>
        <v/>
      </c>
      <c r="E127" s="151" t="str">
        <f aca="false">IF($A127="","",IFERROR(VLOOKUP($A127,Skills!$A:$C,2,FALSE())&amp;" "&amp;VLOOKUP($A127,Skills!$A:$C,3,FALSE()),"Haxil Dellhaven"))</f>
        <v/>
      </c>
      <c r="F127" s="43" t="str">
        <f aca="false">IF($A127="","",IFERROR(IF(VLOOKUP($A127,Skills!$A:$D,4,FALSE())="","",VLOOKUP($A127,Skills!$A:$D,4,FALSE())),"Lisbonne"))</f>
        <v/>
      </c>
      <c r="G127" s="152"/>
      <c r="H127" s="47" t="str">
        <f aca="false">IF(G127="","",WORKDAY(G127-1,D127+IF(J127="",0,J127)))</f>
        <v/>
      </c>
      <c r="I127" s="152"/>
      <c r="J127" s="153"/>
      <c r="K127" s="43" t="str">
        <f aca="true">IF(G127="","",MIN(D127,MAX(0,NETWORKDAYS(G127,TODAY())-IF(J127="",0,J127))))</f>
        <v/>
      </c>
      <c r="L127" s="43" t="str">
        <f aca="true">IF(G127="","",MAX(0,D127-(NETWORKDAYS(G127,TODAY())-IF(J127="",0,J127))))</f>
        <v/>
      </c>
      <c r="M127" s="154"/>
      <c r="N127" s="44" t="str">
        <f aca="true">IFERROR(IF(OR(K127="",K127&lt;=0),"",IF(TODAY()&gt;H127,1,IF(K127-1=0,0,INDEX(OBJECTIVES!$O$2:$Q$12,MATCH(K127-1,OBJECTIVES!$N$2:$N$12,0),IF($C127="QUILL FORMATION Valmont",2,1))))),"")</f>
        <v/>
      </c>
      <c r="O127" s="44" t="str">
        <f aca="false">IF(OR(N127="",M127=""),"",M127-N127)</f>
        <v/>
      </c>
      <c r="P127" s="155" t="str">
        <f aca="false">IF($Q127&lt;&gt;"",$Q127,IF(O127="","",IF(O127&lt;=-0.12,"P1",IF(O127&lt;=-0.06,"P2","P3"))))</f>
        <v/>
      </c>
      <c r="Q127" s="156"/>
      <c r="R127" s="155" t="str">
        <f aca="true">IF(G127="","",IF(I127&lt;&gt;"","Terminé",IF(G127&gt;TODAY(),"À venir",IF(H127&lt;TODAY(),"Terminé","En cours"))))</f>
        <v/>
      </c>
      <c r="S127" s="155"/>
      <c r="T127" s="43"/>
      <c r="U127" s="43"/>
      <c r="V127" s="43"/>
      <c r="W127" s="43"/>
      <c r="X127" s="43"/>
      <c r="Y127" s="43"/>
      <c r="Z127" s="134" t="str">
        <f aca="false">IF(R127="Terminé",IF(AND(G127&lt;&gt;"",I127&lt;&gt;""),NETWORKDAYS(G127,I127),D127),"")</f>
        <v/>
      </c>
      <c r="AA127" s="134" t="str">
        <f aca="false">IF($A127="","",IF(COUNTIF(Skills!$A:$A,$A127)=0,"⚠ ID absent du roster",""))</f>
        <v/>
      </c>
      <c r="AB127" s="158"/>
    </row>
    <row r="128" customFormat="false" ht="15" hidden="true" customHeight="true" outlineLevel="0" collapsed="false">
      <c r="A128" s="153"/>
      <c r="B128" s="159"/>
      <c r="C128" s="43" t="str">
        <f aca="false">IF(LEFT(B128,2)="OS","QUILL FORMATION Valmont","QUILL FORMATION Ulman")</f>
        <v>QUILL FORMATION Ulman</v>
      </c>
      <c r="D128" s="43" t="str">
        <f aca="false">IF($A128="","",IF($C128="QUILL FORMATION Valmont",10,11))</f>
        <v/>
      </c>
      <c r="E128" s="151" t="str">
        <f aca="false">IF($A128="","",IFERROR(VLOOKUP($A128,Skills!$A:$C,2,FALSE())&amp;" "&amp;VLOOKUP($A128,Skills!$A:$C,3,FALSE()),"Haxil Dellhaven"))</f>
        <v/>
      </c>
      <c r="F128" s="43" t="str">
        <f aca="false">IF($A128="","",IFERROR(IF(VLOOKUP($A128,Skills!$A:$D,4,FALSE())="","",VLOOKUP($A128,Skills!$A:$D,4,FALSE())),"Lisbonne"))</f>
        <v/>
      </c>
      <c r="G128" s="152"/>
      <c r="H128" s="47" t="str">
        <f aca="false">IF(G128="","",WORKDAY(G128-1,D128+IF(J128="",0,J128)))</f>
        <v/>
      </c>
      <c r="I128" s="152"/>
      <c r="J128" s="153"/>
      <c r="K128" s="43" t="str">
        <f aca="true">IF(G128="","",MIN(D128,MAX(0,NETWORKDAYS(G128,TODAY())-IF(J128="",0,J128))))</f>
        <v/>
      </c>
      <c r="L128" s="43" t="str">
        <f aca="true">IF(G128="","",MAX(0,D128-(NETWORKDAYS(G128,TODAY())-IF(J128="",0,J128))))</f>
        <v/>
      </c>
      <c r="M128" s="154"/>
      <c r="N128" s="44" t="str">
        <f aca="true">IFERROR(IF(OR(K128="",K128&lt;=0),"",IF(TODAY()&gt;H128,1,IF(K128-1=0,0,INDEX(OBJECTIVES!$O$2:$Q$12,MATCH(K128-1,OBJECTIVES!$N$2:$N$12,0),IF($C128="QUILL FORMATION Valmont",2,1))))),"")</f>
        <v/>
      </c>
      <c r="O128" s="44" t="str">
        <f aca="false">IF(OR(N128="",M128=""),"",M128-N128)</f>
        <v/>
      </c>
      <c r="P128" s="155" t="str">
        <f aca="false">IF($Q128&lt;&gt;"",$Q128,IF(O128="","",IF(O128&lt;=-0.12,"P1",IF(O128&lt;=-0.06,"P2","P3"))))</f>
        <v/>
      </c>
      <c r="Q128" s="156"/>
      <c r="R128" s="155" t="str">
        <f aca="true">IF(G128="","",IF(I128&lt;&gt;"","Terminé",IF(G128&gt;TODAY(),"À venir",IF(H128&lt;TODAY(),"Terminé","En cours"))))</f>
        <v/>
      </c>
      <c r="S128" s="155"/>
      <c r="T128" s="43"/>
      <c r="U128" s="43"/>
      <c r="V128" s="43"/>
      <c r="W128" s="43"/>
      <c r="X128" s="43"/>
      <c r="Y128" s="43"/>
      <c r="Z128" s="134" t="str">
        <f aca="false">IF(R128="Terminé",IF(AND(G128&lt;&gt;"",I128&lt;&gt;""),NETWORKDAYS(G128,I128),D128),"")</f>
        <v/>
      </c>
      <c r="AA128" s="134" t="str">
        <f aca="false">IF($A128="","",IF(COUNTIF(Skills!$A:$A,$A128)=0,"⚠ ID absent du roster",""))</f>
        <v/>
      </c>
      <c r="AB128" s="158"/>
    </row>
    <row r="129" customFormat="false" ht="15" hidden="true" customHeight="true" outlineLevel="0" collapsed="false">
      <c r="A129" s="153"/>
      <c r="B129" s="159"/>
      <c r="C129" s="43" t="str">
        <f aca="false">IF(LEFT(B129,2)="OS","QUILL FORMATION Valmont","QUILL FORMATION Ulman")</f>
        <v>QUILL FORMATION Ulman</v>
      </c>
      <c r="D129" s="43" t="str">
        <f aca="false">IF($A129="","",IF($C129="QUILL FORMATION Valmont",10,11))</f>
        <v/>
      </c>
      <c r="E129" s="151" t="str">
        <f aca="false">IF($A129="","",IFERROR(VLOOKUP($A129,Skills!$A:$C,2,FALSE())&amp;" "&amp;VLOOKUP($A129,Skills!$A:$C,3,FALSE()),"Haxil Dellhaven"))</f>
        <v/>
      </c>
      <c r="F129" s="43" t="str">
        <f aca="false">IF($A129="","",IFERROR(IF(VLOOKUP($A129,Skills!$A:$D,4,FALSE())="","",VLOOKUP($A129,Skills!$A:$D,4,FALSE())),"Lisbonne"))</f>
        <v/>
      </c>
      <c r="G129" s="152"/>
      <c r="H129" s="47" t="str">
        <f aca="false">IF(G129="","",WORKDAY(G129-1,D129+IF(J129="",0,J129)))</f>
        <v/>
      </c>
      <c r="I129" s="152"/>
      <c r="J129" s="153"/>
      <c r="K129" s="43" t="str">
        <f aca="true">IF(G129="","",MIN(D129,MAX(0,NETWORKDAYS(G129,TODAY())-IF(J129="",0,J129))))</f>
        <v/>
      </c>
      <c r="L129" s="43" t="str">
        <f aca="true">IF(G129="","",MAX(0,D129-(NETWORKDAYS(G129,TODAY())-IF(J129="",0,J129))))</f>
        <v/>
      </c>
      <c r="M129" s="154"/>
      <c r="N129" s="44" t="str">
        <f aca="true">IFERROR(IF(OR(K129="",K129&lt;=0),"",IF(TODAY()&gt;H129,1,IF(K129-1=0,0,INDEX(OBJECTIVES!$O$2:$Q$12,MATCH(K129-1,OBJECTIVES!$N$2:$N$12,0),IF($C129="QUILL FORMATION Valmont",2,1))))),"")</f>
        <v/>
      </c>
      <c r="O129" s="44" t="str">
        <f aca="false">IF(OR(N129="",M129=""),"",M129-N129)</f>
        <v/>
      </c>
      <c r="P129" s="155" t="str">
        <f aca="false">IF($Q129&lt;&gt;"",$Q129,IF(O129="","",IF(O129&lt;=-0.12,"P1",IF(O129&lt;=-0.06,"P2","P3"))))</f>
        <v/>
      </c>
      <c r="Q129" s="156"/>
      <c r="R129" s="155" t="str">
        <f aca="true">IF(G129="","",IF(I129&lt;&gt;"","Terminé",IF(G129&gt;TODAY(),"À venir",IF(H129&lt;TODAY(),"Terminé","En cours"))))</f>
        <v/>
      </c>
      <c r="S129" s="155"/>
      <c r="T129" s="43"/>
      <c r="U129" s="43"/>
      <c r="V129" s="43"/>
      <c r="W129" s="43"/>
      <c r="X129" s="43"/>
      <c r="Y129" s="43"/>
      <c r="Z129" s="134" t="str">
        <f aca="false">IF(R129="Terminé",IF(AND(G129&lt;&gt;"",I129&lt;&gt;""),NETWORKDAYS(G129,I129),D129),"")</f>
        <v/>
      </c>
      <c r="AA129" s="134" t="str">
        <f aca="false">IF($A129="","",IF(COUNTIF(Skills!$A:$A,$A129)=0,"⚠ ID absent du roster",""))</f>
        <v/>
      </c>
      <c r="AB129" s="158"/>
    </row>
    <row r="130" customFormat="false" ht="15" hidden="true" customHeight="true" outlineLevel="0" collapsed="false">
      <c r="A130" s="153"/>
      <c r="B130" s="159"/>
      <c r="C130" s="43" t="str">
        <f aca="false">IF(LEFT(B130,2)="OS","QUILL FORMATION Valmont","QUILL FORMATION Ulman")</f>
        <v>QUILL FORMATION Ulman</v>
      </c>
      <c r="D130" s="43" t="str">
        <f aca="false">IF($A130="","",IF($C130="QUILL FORMATION Valmont",10,11))</f>
        <v/>
      </c>
      <c r="E130" s="151" t="str">
        <f aca="false">IF($A130="","",IFERROR(VLOOKUP($A130,Skills!$A:$C,2,FALSE())&amp;" "&amp;VLOOKUP($A130,Skills!$A:$C,3,FALSE()),"Haxil Dellhaven"))</f>
        <v/>
      </c>
      <c r="F130" s="43" t="str">
        <f aca="false">IF($A130="","",IFERROR(IF(VLOOKUP($A130,Skills!$A:$D,4,FALSE())="","",VLOOKUP($A130,Skills!$A:$D,4,FALSE())),"Lisbonne"))</f>
        <v/>
      </c>
      <c r="G130" s="152"/>
      <c r="H130" s="47" t="str">
        <f aca="false">IF(G130="","",WORKDAY(G130-1,D130+IF(J130="",0,J130)))</f>
        <v/>
      </c>
      <c r="I130" s="152"/>
      <c r="J130" s="153"/>
      <c r="K130" s="43" t="str">
        <f aca="true">IF(G130="","",MIN(D130,MAX(0,NETWORKDAYS(G130,TODAY())-IF(J130="",0,J130))))</f>
        <v/>
      </c>
      <c r="L130" s="43" t="str">
        <f aca="true">IF(G130="","",MAX(0,D130-(NETWORKDAYS(G130,TODAY())-IF(J130="",0,J130))))</f>
        <v/>
      </c>
      <c r="M130" s="154"/>
      <c r="N130" s="44" t="str">
        <f aca="true">IFERROR(IF(OR(K130="",K130&lt;=0),"",IF(TODAY()&gt;H130,1,IF(K130-1=0,0,INDEX(OBJECTIVES!$O$2:$Q$12,MATCH(K130-1,OBJECTIVES!$N$2:$N$12,0),IF($C130="QUILL FORMATION Valmont",2,1))))),"")</f>
        <v/>
      </c>
      <c r="O130" s="44" t="str">
        <f aca="false">IF(OR(N130="",M130=""),"",M130-N130)</f>
        <v/>
      </c>
      <c r="P130" s="155" t="str">
        <f aca="false">IF($Q130&lt;&gt;"",$Q130,IF(O130="","",IF(O130&lt;=-0.12,"P1",IF(O130&lt;=-0.06,"P2","P3"))))</f>
        <v/>
      </c>
      <c r="Q130" s="156"/>
      <c r="R130" s="155" t="str">
        <f aca="true">IF(G130="","",IF(I130&lt;&gt;"","Terminé",IF(G130&gt;TODAY(),"À venir",IF(H130&lt;TODAY(),"Terminé","En cours"))))</f>
        <v/>
      </c>
      <c r="S130" s="155"/>
      <c r="T130" s="43"/>
      <c r="U130" s="43"/>
      <c r="V130" s="43"/>
      <c r="W130" s="43"/>
      <c r="X130" s="43"/>
      <c r="Y130" s="43"/>
      <c r="Z130" s="134" t="str">
        <f aca="false">IF(R130="Terminé",IF(AND(G130&lt;&gt;"",I130&lt;&gt;""),NETWORKDAYS(G130,I130),D130),"")</f>
        <v/>
      </c>
      <c r="AA130" s="134" t="str">
        <f aca="false">IF($A130="","",IF(COUNTIF(Skills!$A:$A,$A130)=0,"⚠ ID absent du roster",""))</f>
        <v/>
      </c>
      <c r="AB130" s="158"/>
    </row>
    <row r="131" customFormat="false" ht="15" hidden="true" customHeight="true" outlineLevel="0" collapsed="false">
      <c r="A131" s="153"/>
      <c r="B131" s="159"/>
      <c r="C131" s="43" t="str">
        <f aca="false">IF(LEFT(B131,2)="OS","QUILL FORMATION Valmont","QUILL FORMATION Ulman")</f>
        <v>QUILL FORMATION Ulman</v>
      </c>
      <c r="D131" s="43" t="str">
        <f aca="false">IF($A131="","",IF($C131="QUILL FORMATION Valmont",10,11))</f>
        <v/>
      </c>
      <c r="E131" s="151" t="str">
        <f aca="false">IF($A131="","",IFERROR(VLOOKUP($A131,Skills!$A:$C,2,FALSE())&amp;" "&amp;VLOOKUP($A131,Skills!$A:$C,3,FALSE()),"Haxil Dellhaven"))</f>
        <v/>
      </c>
      <c r="F131" s="43" t="str">
        <f aca="false">IF($A131="","",IFERROR(IF(VLOOKUP($A131,Skills!$A:$D,4,FALSE())="","",VLOOKUP($A131,Skills!$A:$D,4,FALSE())),"Lisbonne"))</f>
        <v/>
      </c>
      <c r="G131" s="152"/>
      <c r="H131" s="47" t="str">
        <f aca="false">IF(G131="","",WORKDAY(G131-1,D131+IF(J131="",0,J131)))</f>
        <v/>
      </c>
      <c r="I131" s="152"/>
      <c r="J131" s="153"/>
      <c r="K131" s="43" t="str">
        <f aca="true">IF(G131="","",MIN(D131,MAX(0,NETWORKDAYS(G131,TODAY())-IF(J131="",0,J131))))</f>
        <v/>
      </c>
      <c r="L131" s="43" t="str">
        <f aca="true">IF(G131="","",MAX(0,D131-(NETWORKDAYS(G131,TODAY())-IF(J131="",0,J131))))</f>
        <v/>
      </c>
      <c r="M131" s="154"/>
      <c r="N131" s="44" t="str">
        <f aca="true">IFERROR(IF(OR(K131="",K131&lt;=0),"",IF(TODAY()&gt;H131,1,IF(K131-1=0,0,INDEX(OBJECTIVES!$O$2:$Q$12,MATCH(K131-1,OBJECTIVES!$N$2:$N$12,0),IF($C131="QUILL FORMATION Valmont",2,1))))),"")</f>
        <v/>
      </c>
      <c r="O131" s="44" t="str">
        <f aca="false">IF(OR(N131="",M131=""),"",M131-N131)</f>
        <v/>
      </c>
      <c r="P131" s="155" t="str">
        <f aca="false">IF($Q131&lt;&gt;"",$Q131,IF(O131="","",IF(O131&lt;=-0.12,"P1",IF(O131&lt;=-0.06,"P2","P3"))))</f>
        <v/>
      </c>
      <c r="Q131" s="156"/>
      <c r="R131" s="155" t="str">
        <f aca="true">IF(G131="","",IF(I131&lt;&gt;"","Terminé",IF(G131&gt;TODAY(),"À venir",IF(H131&lt;TODAY(),"Terminé","En cours"))))</f>
        <v/>
      </c>
      <c r="S131" s="155"/>
      <c r="T131" s="43"/>
      <c r="U131" s="43"/>
      <c r="V131" s="43"/>
      <c r="W131" s="43"/>
      <c r="X131" s="43"/>
      <c r="Y131" s="43"/>
      <c r="Z131" s="134" t="str">
        <f aca="false">IF(R131="Terminé",IF(AND(G131&lt;&gt;"",I131&lt;&gt;""),NETWORKDAYS(G131,I131),D131),"")</f>
        <v/>
      </c>
      <c r="AA131" s="134" t="str">
        <f aca="false">IF($A131="","",IF(COUNTIF(Skills!$A:$A,$A131)=0,"⚠ ID absent du roster",""))</f>
        <v/>
      </c>
      <c r="AB131" s="158"/>
    </row>
    <row r="132" customFormat="false" ht="15" hidden="true" customHeight="true" outlineLevel="0" collapsed="false">
      <c r="A132" s="153"/>
      <c r="B132" s="159"/>
      <c r="C132" s="43" t="str">
        <f aca="false">IF(LEFT(B132,2)="OS","QUILL FORMATION Valmont","QUILL FORMATION Ulman")</f>
        <v>QUILL FORMATION Ulman</v>
      </c>
      <c r="D132" s="43" t="str">
        <f aca="false">IF($A132="","",IF($C132="QUILL FORMATION Valmont",10,11))</f>
        <v/>
      </c>
      <c r="E132" s="151" t="str">
        <f aca="false">IF($A132="","",IFERROR(VLOOKUP($A132,Skills!$A:$C,2,FALSE())&amp;" "&amp;VLOOKUP($A132,Skills!$A:$C,3,FALSE()),"Haxil Dellhaven"))</f>
        <v/>
      </c>
      <c r="F132" s="43" t="str">
        <f aca="false">IF($A132="","",IFERROR(IF(VLOOKUP($A132,Skills!$A:$D,4,FALSE())="","",VLOOKUP($A132,Skills!$A:$D,4,FALSE())),"Lisbonne"))</f>
        <v/>
      </c>
      <c r="G132" s="152"/>
      <c r="H132" s="47" t="str">
        <f aca="false">IF(G132="","",WORKDAY(G132-1,D132+IF(J132="",0,J132)))</f>
        <v/>
      </c>
      <c r="I132" s="152"/>
      <c r="J132" s="153"/>
      <c r="K132" s="43" t="str">
        <f aca="true">IF(G132="","",MIN(D132,MAX(0,NETWORKDAYS(G132,TODAY())-IF(J132="",0,J132))))</f>
        <v/>
      </c>
      <c r="L132" s="43" t="str">
        <f aca="true">IF(G132="","",MAX(0,D132-(NETWORKDAYS(G132,TODAY())-IF(J132="",0,J132))))</f>
        <v/>
      </c>
      <c r="M132" s="154"/>
      <c r="N132" s="44" t="str">
        <f aca="true">IFERROR(IF(OR(K132="",K132&lt;=0),"",IF(TODAY()&gt;H132,1,IF(K132-1=0,0,INDEX(OBJECTIVES!$O$2:$Q$12,MATCH(K132-1,OBJECTIVES!$N$2:$N$12,0),IF($C132="QUILL FORMATION Valmont",2,1))))),"")</f>
        <v/>
      </c>
      <c r="O132" s="44" t="str">
        <f aca="false">IF(OR(N132="",M132=""),"",M132-N132)</f>
        <v/>
      </c>
      <c r="P132" s="155" t="str">
        <f aca="false">IF($Q132&lt;&gt;"",$Q132,IF(O132="","",IF(O132&lt;=-0.12,"P1",IF(O132&lt;=-0.06,"P2","P3"))))</f>
        <v/>
      </c>
      <c r="Q132" s="156"/>
      <c r="R132" s="155" t="str">
        <f aca="true">IF(G132="","",IF(I132&lt;&gt;"","Terminé",IF(G132&gt;TODAY(),"À venir",IF(H132&lt;TODAY(),"Terminé","En cours"))))</f>
        <v/>
      </c>
      <c r="S132" s="155"/>
      <c r="T132" s="43"/>
      <c r="U132" s="43"/>
      <c r="V132" s="43"/>
      <c r="W132" s="43"/>
      <c r="X132" s="43"/>
      <c r="Y132" s="43"/>
      <c r="Z132" s="134" t="str">
        <f aca="false">IF(R132="Terminé",IF(AND(G132&lt;&gt;"",I132&lt;&gt;""),NETWORKDAYS(G132,I132),D132),"")</f>
        <v/>
      </c>
      <c r="AA132" s="134" t="str">
        <f aca="false">IF($A132="","",IF(COUNTIF(Skills!$A:$A,$A132)=0,"⚠ ID absent du roster",""))</f>
        <v/>
      </c>
      <c r="AB132" s="158"/>
    </row>
    <row r="133" customFormat="false" ht="15" hidden="true" customHeight="true" outlineLevel="0" collapsed="false">
      <c r="A133" s="153"/>
      <c r="B133" s="159"/>
      <c r="C133" s="43" t="str">
        <f aca="false">IF(LEFT(B133,2)="OS","QUILL FORMATION Valmont","QUILL FORMATION Ulman")</f>
        <v>QUILL FORMATION Ulman</v>
      </c>
      <c r="D133" s="43" t="str">
        <f aca="false">IF($A133="","",IF($C133="QUILL FORMATION Valmont",10,11))</f>
        <v/>
      </c>
      <c r="E133" s="151" t="str">
        <f aca="false">IF($A133="","",IFERROR(VLOOKUP($A133,Skills!$A:$C,2,FALSE())&amp;" "&amp;VLOOKUP($A133,Skills!$A:$C,3,FALSE()),"Haxil Dellhaven"))</f>
        <v/>
      </c>
      <c r="F133" s="43" t="str">
        <f aca="false">IF($A133="","",IFERROR(IF(VLOOKUP($A133,Skills!$A:$D,4,FALSE())="","",VLOOKUP($A133,Skills!$A:$D,4,FALSE())),"Lisbonne"))</f>
        <v/>
      </c>
      <c r="G133" s="152"/>
      <c r="H133" s="47" t="str">
        <f aca="false">IF(G133="","",WORKDAY(G133-1,D133+IF(J133="",0,J133)))</f>
        <v/>
      </c>
      <c r="I133" s="152"/>
      <c r="J133" s="153"/>
      <c r="K133" s="43" t="str">
        <f aca="true">IF(G133="","",MIN(D133,MAX(0,NETWORKDAYS(G133,TODAY())-IF(J133="",0,J133))))</f>
        <v/>
      </c>
      <c r="L133" s="43" t="str">
        <f aca="true">IF(G133="","",MAX(0,D133-(NETWORKDAYS(G133,TODAY())-IF(J133="",0,J133))))</f>
        <v/>
      </c>
      <c r="M133" s="154"/>
      <c r="N133" s="44" t="str">
        <f aca="true">IFERROR(IF(OR(K133="",K133&lt;=0),"",IF(TODAY()&gt;H133,1,IF(K133-1=0,0,INDEX(OBJECTIVES!$O$2:$Q$12,MATCH(K133-1,OBJECTIVES!$N$2:$N$12,0),IF($C133="QUILL FORMATION Valmont",2,1))))),"")</f>
        <v/>
      </c>
      <c r="O133" s="44" t="str">
        <f aca="false">IF(OR(N133="",M133=""),"",M133-N133)</f>
        <v/>
      </c>
      <c r="P133" s="155" t="str">
        <f aca="false">IF($Q133&lt;&gt;"",$Q133,IF(O133="","",IF(O133&lt;=-0.12,"P1",IF(O133&lt;=-0.06,"P2","P3"))))</f>
        <v/>
      </c>
      <c r="Q133" s="156"/>
      <c r="R133" s="155" t="str">
        <f aca="true">IF(G133="","",IF(I133&lt;&gt;"","Terminé",IF(G133&gt;TODAY(),"À venir",IF(H133&lt;TODAY(),"Terminé","En cours"))))</f>
        <v/>
      </c>
      <c r="S133" s="155"/>
      <c r="T133" s="43"/>
      <c r="U133" s="43"/>
      <c r="V133" s="43"/>
      <c r="W133" s="43"/>
      <c r="X133" s="43"/>
      <c r="Y133" s="43"/>
      <c r="Z133" s="134" t="str">
        <f aca="false">IF(R133="Terminé",IF(AND(G133&lt;&gt;"",I133&lt;&gt;""),NETWORKDAYS(G133,I133),D133),"")</f>
        <v/>
      </c>
      <c r="AA133" s="134" t="str">
        <f aca="false">IF($A133="","",IF(COUNTIF(Skills!$A:$A,$A133)=0,"⚠ ID absent du roster",""))</f>
        <v/>
      </c>
      <c r="AB133" s="158"/>
    </row>
    <row r="134" customFormat="false" ht="15" hidden="true" customHeight="true" outlineLevel="0" collapsed="false">
      <c r="A134" s="166"/>
      <c r="B134" s="166"/>
      <c r="C134" s="43" t="str">
        <f aca="false">IF(LEFT(B134,2)="OS","QUILL FORMATION Valmont","QUILL FORMATION Ulman")</f>
        <v>QUILL FORMATION Ulman</v>
      </c>
      <c r="D134" s="43" t="str">
        <f aca="false">IF($A134="","",IF($C134="QUILL FORMATION Valmont",10,11))</f>
        <v/>
      </c>
      <c r="E134" s="151" t="str">
        <f aca="false">IF($A134="","",IFERROR(VLOOKUP($A134,Skills!$A:$C,2,FALSE())&amp;" "&amp;VLOOKUP($A134,Skills!$A:$C,3,FALSE()),"Haxil Dellhaven"))</f>
        <v/>
      </c>
      <c r="F134" s="43" t="str">
        <f aca="false">IF($A134="","",IFERROR(IF(VLOOKUP($A134,Skills!$A:$D,4,FALSE())="","",VLOOKUP($A134,Skills!$A:$D,4,FALSE())),"Lisbonne"))</f>
        <v/>
      </c>
      <c r="G134" s="156"/>
      <c r="H134" s="47" t="str">
        <f aca="false">IF(G134="","",WORKDAY(G134-1,D134+IF(J134="",0,J134)))</f>
        <v/>
      </c>
      <c r="I134" s="156"/>
      <c r="J134" s="156"/>
      <c r="K134" s="43" t="str">
        <f aca="true">IF(G134="","",MIN(D134,MAX(0,NETWORKDAYS(G134,TODAY())-IF(J134="",0,J134))))</f>
        <v/>
      </c>
      <c r="L134" s="43" t="str">
        <f aca="true">IF(G134="","",MAX(0,D134-(NETWORKDAYS(G134,TODAY())-IF(J134="",0,J134))))</f>
        <v/>
      </c>
      <c r="M134" s="156"/>
      <c r="N134" s="44" t="str">
        <f aca="true">IFERROR(IF(OR(K134="",K134&lt;=0),"",IF(TODAY()&gt;H134,1,IF(K134-1=0,0,INDEX(OBJECTIVES!$O$2:$Q$12,MATCH(K134-1,OBJECTIVES!$N$2:$N$12,0),IF($C134="QUILL FORMATION Valmont",2,1))))),"")</f>
        <v/>
      </c>
      <c r="O134" s="44" t="str">
        <f aca="false">IF(OR(N134="",M134=""),"",M134-N134)</f>
        <v/>
      </c>
      <c r="P134" s="155" t="str">
        <f aca="false">IF($Q134&lt;&gt;"",$Q134,IF(O134="","",IF(O134&lt;=-0.12,"P1",IF(O134&lt;=-0.06,"P2","P3"))))</f>
        <v/>
      </c>
      <c r="Q134" s="156"/>
      <c r="R134" s="155" t="str">
        <f aca="true">IF(G134="","",IF(I134&lt;&gt;"","Terminé",IF(G134&gt;TODAY(),"À venir",IF(H134&lt;TODAY(),"Terminé","En cours"))))</f>
        <v/>
      </c>
      <c r="S134" s="155"/>
      <c r="T134" s="134"/>
      <c r="U134" s="134"/>
      <c r="V134" s="134"/>
      <c r="W134" s="134"/>
      <c r="X134" s="134"/>
      <c r="Y134" s="134"/>
      <c r="Z134" s="134" t="str">
        <f aca="false">IF(R134="Terminé",IF(AND(G134&lt;&gt;"",I134&lt;&gt;""),NETWORKDAYS(G134,I134),D134),"")</f>
        <v/>
      </c>
      <c r="AA134" s="134" t="str">
        <f aca="false">IF($A134="","",IF(COUNTIF(Skills!$A:$A,$A134)=0,"⚠ ID absent du roster",""))</f>
        <v/>
      </c>
      <c r="AB134" s="158"/>
    </row>
    <row r="135" customFormat="false" ht="15" hidden="false" customHeight="true" outlineLevel="0" collapsed="false">
      <c r="A135" s="167" t="s">
        <v>708</v>
      </c>
      <c r="B135" s="168" t="s">
        <v>709</v>
      </c>
      <c r="C135" s="161" t="str">
        <f aca="false">IF(LEFT(B135,2)="OS","QUILL FORMATION Valmont","QUILL FORMATION Ulman")</f>
        <v>QUILL FORMATION Ulman</v>
      </c>
      <c r="D135" s="43" t="n">
        <f aca="false">IF($A135="","",IF($C135="QUILL FORMATION Valmont",10,11))</f>
        <v>11</v>
      </c>
      <c r="E135" s="151" t="str">
        <f aca="false">IF($A135="","",IFERROR(VLOOKUP($A135,Skills!$A:$C,2,FALSE())&amp;" "&amp;VLOOKUP($A135,Skills!$A:$C,3,FALSE()),"Haxil Dellhaven"))</f>
        <v>Rhoea Thornshaw</v>
      </c>
      <c r="F135" s="43" t="str">
        <f aca="false">IF($A135="","",IFERROR(IF(VLOOKUP($A135,Skills!$A:$D,4,FALSE())="","",VLOOKUP($A135,Skills!$A:$D,4,FALSE())),"Lisbonne"))</f>
        <v>Montréal</v>
      </c>
      <c r="G135" s="152" t="n">
        <v>46177</v>
      </c>
      <c r="H135" s="47" t="n">
        <f aca="false">IF(G135="","",WORKDAY(G135-1,D135+IF(J135="",0,J135)))</f>
        <v>46191</v>
      </c>
      <c r="I135" s="156"/>
      <c r="J135" s="169" t="n">
        <v>0</v>
      </c>
      <c r="K135" s="43" t="n">
        <f aca="true">IF(G135="","",MIN(D135,MAX(0,NETWORKDAYS(G135,TODAY())-IF(J135="",0,J135))))</f>
        <v>11</v>
      </c>
      <c r="L135" s="43" t="n">
        <f aca="true">IF(G135="","",MAX(0,D135-(NETWORKDAYS(G135,TODAY())-IF(J135="",0,J135))))</f>
        <v>0</v>
      </c>
      <c r="M135" s="170" t="n">
        <v>0.64</v>
      </c>
      <c r="N135" s="44" t="n">
        <f aca="true">IFERROR(IF(OR(K135="",K135&lt;=0),"",IF(TODAY()&gt;H135,1,IF(K135-1=0,0,INDEX(OBJECTIVES!$O$2:$Q$12,MATCH(K135-1,OBJECTIVES!$N$2:$N$12,0),IF($C135="QUILL FORMATION Valmont",2,1))))),"")</f>
        <v>1</v>
      </c>
      <c r="O135" s="44" t="n">
        <f aca="false">IF(OR(N135="",M135=""),"",M135-N135)</f>
        <v>-0.36</v>
      </c>
      <c r="P135" s="155" t="str">
        <f aca="false">IF($Q135&lt;&gt;"",$Q135,IF(O135="","",IF(O135&lt;=-0.12,"P1",IF(O135&lt;=-0.06,"P2","P3"))))</f>
        <v>P3</v>
      </c>
      <c r="Q135" s="171" t="s">
        <v>710</v>
      </c>
      <c r="R135" s="155" t="s">
        <v>57</v>
      </c>
      <c r="S135" s="155"/>
      <c r="T135" s="134"/>
      <c r="U135" s="134"/>
      <c r="V135" s="134"/>
      <c r="W135" s="134"/>
      <c r="X135" s="134"/>
      <c r="Y135" s="134"/>
      <c r="Z135" s="134" t="str">
        <f aca="false">IF(R135="Terminé",IF(AND(G135&lt;&gt;"",I135&lt;&gt;""),NETWORKDAYS(G135,I135),D135),"")</f>
        <v/>
      </c>
      <c r="AA135" s="134" t="str">
        <f aca="false">IF($A135="","",IF(COUNTIF(Skills!$A:$A,$A135)=0,"⚠ ID absent du roster",""))</f>
        <v/>
      </c>
      <c r="AB135" s="158"/>
    </row>
    <row r="136" customFormat="false" ht="15" hidden="false" customHeight="false" outlineLevel="0" collapsed="false">
      <c r="A136" s="168" t="s">
        <v>711</v>
      </c>
      <c r="B136" s="168" t="s">
        <v>709</v>
      </c>
      <c r="C136" s="161" t="str">
        <f aca="false">IF(LEFT(B136,2)="OS","QUILL FORMATION Valmont","QUILL FORMATION Ulman")</f>
        <v>QUILL FORMATION Ulman</v>
      </c>
      <c r="D136" s="43" t="n">
        <f aca="false">IF($A136="","",IF($C136="QUILL FORMATION Valmont",10,11))</f>
        <v>11</v>
      </c>
      <c r="E136" s="151" t="str">
        <f aca="false">IF($A136="","",IFERROR(VLOOKUP($A136,Skills!$A:$C,2,FALSE())&amp;" "&amp;VLOOKUP($A136,Skills!$A:$C,3,FALSE()),"Haxil Dellhaven"))</f>
        <v>Weson Pykefield</v>
      </c>
      <c r="F136" s="43" t="str">
        <f aca="false">IF($A136="","",IFERROR(IF(VLOOKUP($A136,Skills!$A:$D,4,FALSE())="","",VLOOKUP($A136,Skills!$A:$D,4,FALSE())),"Lisbonne"))</f>
        <v>Montréal</v>
      </c>
      <c r="G136" s="152" t="n">
        <v>46188</v>
      </c>
      <c r="H136" s="47" t="n">
        <f aca="false">IF(G136="","",WORKDAY(G136-1,D136+IF(J136="",0,J136)))</f>
        <v>46202</v>
      </c>
      <c r="I136" s="156"/>
      <c r="J136" s="169" t="n">
        <v>0</v>
      </c>
      <c r="K136" s="43" t="n">
        <f aca="true">IF(G136="","",MIN(D136,MAX(0,NETWORKDAYS(G136,TODAY())-IF(J136="",0,J136))))</f>
        <v>5</v>
      </c>
      <c r="L136" s="43" t="n">
        <f aca="true">IF(G136="","",MAX(0,D136-(NETWORKDAYS(G136,TODAY())-IF(J136="",0,J136))))</f>
        <v>6</v>
      </c>
      <c r="M136" s="170" t="n">
        <v>0.24</v>
      </c>
      <c r="N136" s="44" t="n">
        <f aca="true">IFERROR(IF(OR(K136="",K136&lt;=0),"",IF(TODAY()&gt;H136,1,IF(K136-1=0,0,INDEX(OBJECTIVES!$O$2:$Q$12,MATCH(K136-1,OBJECTIVES!$N$2:$N$12,0),IF($C136="QUILL FORMATION Valmont",2,1))))),"")</f>
        <v>0.33</v>
      </c>
      <c r="O136" s="44" t="n">
        <f aca="false">IF(OR(N136="",M136=""),"",M136-N136)</f>
        <v>-0.09</v>
      </c>
      <c r="P136" s="155" t="str">
        <f aca="false">IF($Q136&lt;&gt;"",$Q136,IF(O136="","",IF(O136&lt;=-0.12,"P1",IF(O136&lt;=-0.06,"P2","P3"))))</f>
        <v>P3</v>
      </c>
      <c r="Q136" s="171" t="s">
        <v>710</v>
      </c>
      <c r="R136" s="155" t="s">
        <v>57</v>
      </c>
      <c r="S136" s="155"/>
      <c r="T136" s="134"/>
      <c r="U136" s="134"/>
      <c r="V136" s="134"/>
      <c r="W136" s="134"/>
      <c r="X136" s="134"/>
      <c r="Y136" s="134"/>
      <c r="Z136" s="134" t="str">
        <f aca="false">IF(R136="Terminé",IF(AND(G136&lt;&gt;"",I136&lt;&gt;""),NETWORKDAYS(G136,I136),D136),"")</f>
        <v/>
      </c>
      <c r="AA136" s="134" t="str">
        <f aca="false">IF($A136="","",IF(COUNTIF(Skills!$A:$A,$A136)=0,"⚠ ID absent du roster",""))</f>
        <v/>
      </c>
      <c r="AB136" s="158"/>
    </row>
    <row r="137" customFormat="false" ht="15" hidden="false" customHeight="false" outlineLevel="0" collapsed="false">
      <c r="A137" s="168" t="s">
        <v>712</v>
      </c>
      <c r="B137" s="168" t="n">
        <v>178</v>
      </c>
      <c r="C137" s="161" t="str">
        <f aca="false">IF(LEFT(B137,2)="OS","QUILL FORMATION Valmont","QUILL FORMATION Ulman")</f>
        <v>QUILL FORMATION Ulman</v>
      </c>
      <c r="D137" s="43" t="n">
        <f aca="false">IF($A137="","",IF($C137="QUILL FORMATION Valmont",10,11))</f>
        <v>11</v>
      </c>
      <c r="E137" s="151" t="str">
        <f aca="false">IF($A137="","",IFERROR(VLOOKUP($A137,Skills!$A:$C,2,FALSE())&amp;" "&amp;VLOOKUP($A137,Skills!$A:$C,3,FALSE()),"Haxil Dellhaven"))</f>
        <v>Holtmont Rhous Dorum</v>
      </c>
      <c r="F137" s="43" t="str">
        <f aca="false">IF($A137="","",IFERROR(IF(VLOOKUP($A137,Skills!$A:$D,4,FALSE())="","",VLOOKUP($A137,Skills!$A:$D,4,FALSE())),"Lisbonne"))</f>
        <v>Montréal</v>
      </c>
      <c r="G137" s="152" t="n">
        <v>46189</v>
      </c>
      <c r="H137" s="47" t="n">
        <f aca="false">IF(G137="","",WORKDAY(G137-1,D137+IF(J137="",0,J137)))</f>
        <v>46203</v>
      </c>
      <c r="I137" s="156"/>
      <c r="J137" s="169" t="n">
        <v>0</v>
      </c>
      <c r="K137" s="43" t="n">
        <f aca="true">IF(G137="","",MIN(D137,MAX(0,NETWORKDAYS(G137,TODAY())-IF(J137="",0,J137))))</f>
        <v>4</v>
      </c>
      <c r="L137" s="43" t="n">
        <f aca="true">IF(G137="","",MAX(0,D137-(NETWORKDAYS(G137,TODAY())-IF(J137="",0,J137))))</f>
        <v>7</v>
      </c>
      <c r="M137" s="170" t="n">
        <v>0.07</v>
      </c>
      <c r="N137" s="44" t="n">
        <f aca="true">IFERROR(IF(OR(K137="",K137&lt;=0),"",IF(TODAY()&gt;H137,1,IF(K137-1=0,0,INDEX(OBJECTIVES!$O$2:$Q$12,MATCH(K137-1,OBJECTIVES!$N$2:$N$12,0),IF($C137="QUILL FORMATION Valmont",2,1))))),"")</f>
        <v>0.2</v>
      </c>
      <c r="O137" s="44" t="n">
        <f aca="false">IF(OR(N137="",M137=""),"",M137-N137)</f>
        <v>-0.13</v>
      </c>
      <c r="P137" s="155" t="str">
        <f aca="false">IF($Q137&lt;&gt;"",$Q137,IF(O137="","",IF(O137&lt;=-0.12,"P1",IF(O137&lt;=-0.06,"P2","P3"))))</f>
        <v>P1</v>
      </c>
      <c r="Q137" s="156"/>
      <c r="R137" s="155" t="s">
        <v>57</v>
      </c>
      <c r="S137" s="155"/>
      <c r="T137" s="134"/>
      <c r="U137" s="134"/>
      <c r="V137" s="134"/>
      <c r="W137" s="134"/>
      <c r="X137" s="134"/>
      <c r="Y137" s="134"/>
      <c r="Z137" s="134" t="str">
        <f aca="false">IF(R137="Terminé",IF(AND(G137&lt;&gt;"",I137&lt;&gt;""),NETWORKDAYS(G137,I137),D137),"")</f>
        <v/>
      </c>
      <c r="AA137" s="134" t="str">
        <f aca="false">IF($A137="","",IF(COUNTIF(Skills!$A:$A,$A137)=0,"⚠ ID absent du roster",""))</f>
        <v/>
      </c>
      <c r="AB137" s="158"/>
    </row>
    <row r="138" customFormat="false" ht="15" hidden="false" customHeight="false" outlineLevel="0" collapsed="false">
      <c r="A138" s="168" t="s">
        <v>713</v>
      </c>
      <c r="B138" s="168" t="n">
        <v>178</v>
      </c>
      <c r="C138" s="161" t="str">
        <f aca="false">IF(LEFT(B138,2)="OS","QUILL FORMATION Valmont","QUILL FORMATION Ulman")</f>
        <v>QUILL FORMATION Ulman</v>
      </c>
      <c r="D138" s="43" t="n">
        <f aca="false">IF($A138="","",IF($C138="QUILL FORMATION Valmont",10,11))</f>
        <v>11</v>
      </c>
      <c r="E138" s="151" t="str">
        <f aca="false">IF($A138="","",IFERROR(VLOOKUP($A138,Skills!$A:$C,2,FALSE())&amp;" "&amp;VLOOKUP($A138,Skills!$A:$C,3,FALSE()),"Haxil Dellhaven"))</f>
        <v>Norwood Torol Holtridge Ivermont</v>
      </c>
      <c r="F138" s="43" t="str">
        <f aca="false">IF($A138="","",IFERROR(IF(VLOOKUP($A138,Skills!$A:$D,4,FALSE())="","",VLOOKUP($A138,Skills!$A:$D,4,FALSE())),"Lisbonne"))</f>
        <v>Montréal</v>
      </c>
      <c r="G138" s="152" t="n">
        <v>46189</v>
      </c>
      <c r="H138" s="47" t="n">
        <f aca="false">IF(G138="","",WORKDAY(G138-1,D138+IF(J138="",0,J138)))</f>
        <v>46203</v>
      </c>
      <c r="I138" s="156"/>
      <c r="J138" s="169" t="n">
        <v>0</v>
      </c>
      <c r="K138" s="43" t="n">
        <f aca="true">IF(G138="","",MIN(D138,MAX(0,NETWORKDAYS(G138,TODAY())-IF(J138="",0,J138))))</f>
        <v>4</v>
      </c>
      <c r="L138" s="43" t="n">
        <f aca="true">IF(G138="","",MAX(0,D138-(NETWORKDAYS(G138,TODAY())-IF(J138="",0,J138))))</f>
        <v>7</v>
      </c>
      <c r="M138" s="170" t="n">
        <v>0.11</v>
      </c>
      <c r="N138" s="44" t="n">
        <f aca="true">IFERROR(IF(OR(K138="",K138&lt;=0),"",IF(TODAY()&gt;H138,1,IF(K138-1=0,0,INDEX(OBJECTIVES!$O$2:$Q$12,MATCH(K138-1,OBJECTIVES!$N$2:$N$12,0),IF($C138="QUILL FORMATION Valmont",2,1))))),"")</f>
        <v>0.2</v>
      </c>
      <c r="O138" s="44" t="n">
        <f aca="false">IF(OR(N138="",M138=""),"",M138-N138)</f>
        <v>-0.09</v>
      </c>
      <c r="P138" s="155" t="str">
        <f aca="false">IF($Q138&lt;&gt;"",$Q138,IF(O138="","",IF(O138&lt;=-0.12,"P1",IF(O138&lt;=-0.06,"P2","P3"))))</f>
        <v>P2</v>
      </c>
      <c r="Q138" s="156"/>
      <c r="R138" s="155" t="s">
        <v>57</v>
      </c>
      <c r="S138" s="155"/>
      <c r="T138" s="134"/>
      <c r="U138" s="134"/>
      <c r="V138" s="134"/>
      <c r="W138" s="134"/>
      <c r="X138" s="134"/>
      <c r="Y138" s="134"/>
      <c r="Z138" s="134" t="str">
        <f aca="false">IF(R138="Terminé",IF(AND(G138&lt;&gt;"",I138&lt;&gt;""),NETWORKDAYS(G138,I138),D138),"")</f>
        <v/>
      </c>
      <c r="AA138" s="134" t="str">
        <f aca="false">IF($A138="","",IF(COUNTIF(Skills!$A:$A,$A138)=0,"⚠ ID absent du roster",""))</f>
        <v/>
      </c>
      <c r="AB138" s="158"/>
    </row>
    <row r="139" customFormat="false" ht="15" hidden="false" customHeight="false" outlineLevel="0" collapsed="false">
      <c r="A139" s="168" t="s">
        <v>714</v>
      </c>
      <c r="B139" s="168" t="n">
        <v>178</v>
      </c>
      <c r="C139" s="161" t="str">
        <f aca="false">IF(LEFT(B139,2)="OS","QUILL FORMATION Valmont","QUILL FORMATION Ulman")</f>
        <v>QUILL FORMATION Ulman</v>
      </c>
      <c r="D139" s="43" t="n">
        <f aca="false">IF($A139="","",IF($C139="QUILL FORMATION Valmont",10,11))</f>
        <v>11</v>
      </c>
      <c r="E139" s="151" t="str">
        <f aca="false">IF($A139="","",IFERROR(VLOOKUP($A139,Skills!$A:$C,2,FALSE())&amp;" "&amp;VLOOKUP($A139,Skills!$A:$C,3,FALSE()),"Haxil Dellhaven"))</f>
        <v>Wesil Orinen</v>
      </c>
      <c r="F139" s="43" t="str">
        <f aca="false">IF($A139="","",IFERROR(IF(VLOOKUP($A139,Skills!$A:$D,4,FALSE())="","",VLOOKUP($A139,Skills!$A:$D,4,FALSE())),"Lisbonne"))</f>
        <v>Montréal</v>
      </c>
      <c r="G139" s="152" t="n">
        <v>46189</v>
      </c>
      <c r="H139" s="47" t="n">
        <f aca="false">IF(G139="","",WORKDAY(G139-1,D139+IF(J139="",0,J139)))</f>
        <v>46203</v>
      </c>
      <c r="I139" s="156"/>
      <c r="J139" s="169" t="n">
        <v>0</v>
      </c>
      <c r="K139" s="43" t="n">
        <f aca="true">IF(G139="","",MIN(D139,MAX(0,NETWORKDAYS(G139,TODAY())-IF(J139="",0,J139))))</f>
        <v>4</v>
      </c>
      <c r="L139" s="43" t="n">
        <f aca="true">IF(G139="","",MAX(0,D139-(NETWORKDAYS(G139,TODAY())-IF(J139="",0,J139))))</f>
        <v>7</v>
      </c>
      <c r="M139" s="170" t="n">
        <v>0.04</v>
      </c>
      <c r="N139" s="44" t="n">
        <f aca="true">IFERROR(IF(OR(K139="",K139&lt;=0),"",IF(TODAY()&gt;H139,1,IF(K139-1=0,0,INDEX(OBJECTIVES!$O$2:$Q$12,MATCH(K139-1,OBJECTIVES!$N$2:$N$12,0),IF($C139="QUILL FORMATION Valmont",2,1))))),"")</f>
        <v>0.2</v>
      </c>
      <c r="O139" s="44" t="n">
        <f aca="false">IF(OR(N139="",M139=""),"",M139-N139)</f>
        <v>-0.16</v>
      </c>
      <c r="P139" s="155" t="str">
        <f aca="false">IF($Q139&lt;&gt;"",$Q139,IF(O139="","",IF(O139&lt;=-0.12,"P1",IF(O139&lt;=-0.06,"P2","P3"))))</f>
        <v>P1</v>
      </c>
      <c r="Q139" s="156"/>
      <c r="R139" s="155" t="s">
        <v>57</v>
      </c>
      <c r="S139" s="155"/>
      <c r="T139" s="134"/>
      <c r="U139" s="134"/>
      <c r="V139" s="134"/>
      <c r="W139" s="134"/>
      <c r="X139" s="134"/>
      <c r="Y139" s="134"/>
      <c r="Z139" s="134" t="str">
        <f aca="false">IF(R139="Terminé",IF(AND(G139&lt;&gt;"",I139&lt;&gt;""),NETWORKDAYS(G139,I139),D139),"")</f>
        <v/>
      </c>
      <c r="AA139" s="134" t="str">
        <f aca="false">IF($A139="","",IF(COUNTIF(Skills!$A:$A,$A139)=0,"⚠ ID absent du roster",""))</f>
        <v/>
      </c>
      <c r="AB139" s="158"/>
    </row>
    <row r="140" customFormat="false" ht="15" hidden="false" customHeight="false" outlineLevel="0" collapsed="false">
      <c r="A140" s="168" t="s">
        <v>715</v>
      </c>
      <c r="B140" s="168" t="n">
        <v>178</v>
      </c>
      <c r="C140" s="161" t="str">
        <f aca="false">IF(LEFT(B140,2)="OS","QUILL FORMATION Valmont","QUILL FORMATION Ulman")</f>
        <v>QUILL FORMATION Ulman</v>
      </c>
      <c r="D140" s="43" t="n">
        <f aca="false">IF($A140="","",IF($C140="QUILL FORMATION Valmont",10,11))</f>
        <v>11</v>
      </c>
      <c r="E140" s="151" t="str">
        <f aca="false">IF($A140="","",IFERROR(VLOOKUP($A140,Skills!$A:$C,2,FALSE())&amp;" "&amp;VLOOKUP($A140,Skills!$A:$C,3,FALSE()),"Haxil Dellhaven"))</f>
        <v>Ashwood Zanay</v>
      </c>
      <c r="F140" s="43" t="str">
        <f aca="false">IF($A140="","",IFERROR(IF(VLOOKUP($A140,Skills!$A:$D,4,FALSE())="","",VLOOKUP($A140,Skills!$A:$D,4,FALSE())),"Lisbonne"))</f>
        <v>Montréal</v>
      </c>
      <c r="G140" s="152" t="n">
        <v>46189</v>
      </c>
      <c r="H140" s="47" t="n">
        <f aca="false">IF(G140="","",WORKDAY(G140-1,D140+IF(J140="",0,J140)))</f>
        <v>46203</v>
      </c>
      <c r="I140" s="156"/>
      <c r="J140" s="169" t="n">
        <v>0</v>
      </c>
      <c r="K140" s="43" t="n">
        <f aca="true">IF(G140="","",MIN(D140,MAX(0,NETWORKDAYS(G140,TODAY())-IF(J140="",0,J140))))</f>
        <v>4</v>
      </c>
      <c r="L140" s="43" t="n">
        <f aca="true">IF(G140="","",MAX(0,D140-(NETWORKDAYS(G140,TODAY())-IF(J140="",0,J140))))</f>
        <v>7</v>
      </c>
      <c r="M140" s="170" t="n">
        <v>0.11</v>
      </c>
      <c r="N140" s="44" t="n">
        <f aca="true">IFERROR(IF(OR(K140="",K140&lt;=0),"",IF(TODAY()&gt;H140,1,IF(K140-1=0,0,INDEX(OBJECTIVES!$O$2:$Q$12,MATCH(K140-1,OBJECTIVES!$N$2:$N$12,0),IF($C140="QUILL FORMATION Valmont",2,1))))),"")</f>
        <v>0.2</v>
      </c>
      <c r="O140" s="44" t="n">
        <f aca="false">IF(OR(N140="",M140=""),"",M140-N140)</f>
        <v>-0.09</v>
      </c>
      <c r="P140" s="155" t="str">
        <f aca="false">IF($Q140&lt;&gt;"",$Q140,IF(O140="","",IF(O140&lt;=-0.12,"P1",IF(O140&lt;=-0.06,"P2","P3"))))</f>
        <v>P2</v>
      </c>
      <c r="Q140" s="156"/>
      <c r="R140" s="155" t="s">
        <v>57</v>
      </c>
      <c r="S140" s="155"/>
      <c r="T140" s="134"/>
      <c r="U140" s="134"/>
      <c r="V140" s="134"/>
      <c r="W140" s="134"/>
      <c r="X140" s="134"/>
      <c r="Y140" s="134"/>
      <c r="Z140" s="134" t="str">
        <f aca="false">IF(R140="Terminé",IF(AND(G140&lt;&gt;"",I140&lt;&gt;""),NETWORKDAYS(G140,I140),D140),"")</f>
        <v/>
      </c>
      <c r="AA140" s="134" t="str">
        <f aca="false">IF($A140="","",IF(COUNTIF(Skills!$A:$A,$A140)=0,"⚠ ID absent du roster",""))</f>
        <v/>
      </c>
      <c r="AB140" s="158"/>
    </row>
    <row r="141" customFormat="false" ht="15" hidden="false" customHeight="false" outlineLevel="0" collapsed="false">
      <c r="A141" s="168" t="s">
        <v>716</v>
      </c>
      <c r="B141" s="168" t="n">
        <v>178</v>
      </c>
      <c r="C141" s="161" t="str">
        <f aca="false">IF(LEFT(B141,2)="OS","QUILL FORMATION Valmont","QUILL FORMATION Ulman")</f>
        <v>QUILL FORMATION Ulman</v>
      </c>
      <c r="D141" s="43" t="n">
        <f aca="false">IF($A141="","",IF($C141="QUILL FORMATION Valmont",10,11))</f>
        <v>11</v>
      </c>
      <c r="E141" s="151" t="str">
        <f aca="false">IF($A141="","",IFERROR(VLOOKUP($A141,Skills!$A:$C,2,FALSE())&amp;" "&amp;VLOOKUP($A141,Skills!$A:$C,3,FALSE()),"Haxil Dellhaven"))</f>
        <v>Dorel Wrenhaven</v>
      </c>
      <c r="F141" s="43" t="str">
        <f aca="false">IF($A141="","",IFERROR(IF(VLOOKUP($A141,Skills!$A:$D,4,FALSE())="","",VLOOKUP($A141,Skills!$A:$D,4,FALSE())),"Lisbonne"))</f>
        <v>Montréal</v>
      </c>
      <c r="G141" s="152" t="n">
        <v>46189</v>
      </c>
      <c r="H141" s="47" t="n">
        <f aca="false">IF(G141="","",WORKDAY(G141-1,D141+IF(J141="",0,J141)))</f>
        <v>46203</v>
      </c>
      <c r="I141" s="156"/>
      <c r="J141" s="169" t="n">
        <v>0</v>
      </c>
      <c r="K141" s="43" t="n">
        <f aca="true">IF(G141="","",MIN(D141,MAX(0,NETWORKDAYS(G141,TODAY())-IF(J141="",0,J141))))</f>
        <v>4</v>
      </c>
      <c r="L141" s="43" t="n">
        <f aca="true">IF(G141="","",MAX(0,D141-(NETWORKDAYS(G141,TODAY())-IF(J141="",0,J141))))</f>
        <v>7</v>
      </c>
      <c r="M141" s="170" t="n">
        <v>0.15</v>
      </c>
      <c r="N141" s="44" t="n">
        <f aca="true">IFERROR(IF(OR(K141="",K141&lt;=0),"",IF(TODAY()&gt;H141,1,IF(K141-1=0,0,INDEX(OBJECTIVES!$O$2:$Q$12,MATCH(K141-1,OBJECTIVES!$N$2:$N$12,0),IF($C141="QUILL FORMATION Valmont",2,1))))),"")</f>
        <v>0.2</v>
      </c>
      <c r="O141" s="44" t="n">
        <f aca="false">IF(OR(N141="",M141=""),"",M141-N141)</f>
        <v>-0.05</v>
      </c>
      <c r="P141" s="155" t="str">
        <f aca="false">IF($Q141&lt;&gt;"",$Q141,IF(O141="","",IF(O141&lt;=-0.12,"P1",IF(O141&lt;=-0.06,"P2","P3"))))</f>
        <v>P2</v>
      </c>
      <c r="Q141" s="156"/>
      <c r="R141" s="155" t="s">
        <v>57</v>
      </c>
      <c r="S141" s="155"/>
      <c r="T141" s="134"/>
      <c r="U141" s="134"/>
      <c r="V141" s="134"/>
      <c r="W141" s="134"/>
      <c r="X141" s="134"/>
      <c r="Y141" s="134"/>
      <c r="Z141" s="134" t="str">
        <f aca="false">IF(R141="Terminé",IF(AND(G141&lt;&gt;"",I141&lt;&gt;""),NETWORKDAYS(G141,I141),D141),"")</f>
        <v/>
      </c>
      <c r="AA141" s="134" t="str">
        <f aca="false">IF($A141="","",IF(COUNTIF(Skills!$A:$A,$A141)=0,"⚠ ID absent du roster",""))</f>
        <v/>
      </c>
      <c r="AB141" s="158"/>
    </row>
    <row r="142" customFormat="false" ht="15" hidden="false" customHeight="false" outlineLevel="0" collapsed="false">
      <c r="A142" s="168" t="s">
        <v>717</v>
      </c>
      <c r="B142" s="168" t="n">
        <v>178</v>
      </c>
      <c r="C142" s="161" t="str">
        <f aca="false">IF(LEFT(B142,2)="OS","QUILL FORMATION Valmont","QUILL FORMATION Ulman")</f>
        <v>QUILL FORMATION Ulman</v>
      </c>
      <c r="D142" s="43" t="n">
        <f aca="false">IF($A142="","",IF($C142="QUILL FORMATION Valmont",10,11))</f>
        <v>11</v>
      </c>
      <c r="E142" s="151" t="str">
        <f aca="false">IF($A142="","",IFERROR(VLOOKUP($A142,Skills!$A:$C,2,FALSE())&amp;" "&amp;VLOOKUP($A142,Skills!$A:$C,3,FALSE()),"Haxil Dellhaven"))</f>
        <v>Moril Wesus Wrenfield</v>
      </c>
      <c r="F142" s="43" t="str">
        <f aca="false">IF($A142="","",IFERROR(IF(VLOOKUP($A142,Skills!$A:$D,4,FALSE())="","",VLOOKUP($A142,Skills!$A:$D,4,FALSE())),"Lisbonne"))</f>
        <v>Montréal</v>
      </c>
      <c r="G142" s="152" t="n">
        <v>46189</v>
      </c>
      <c r="H142" s="47" t="n">
        <f aca="false">IF(G142="","",WORKDAY(G142-1,D142+IF(J142="",0,J142)))</f>
        <v>46203</v>
      </c>
      <c r="I142" s="156"/>
      <c r="J142" s="169" t="n">
        <v>0</v>
      </c>
      <c r="K142" s="43" t="n">
        <f aca="true">IF(G142="","",MIN(D142,MAX(0,NETWORKDAYS(G142,TODAY())-IF(J142="",0,J142))))</f>
        <v>4</v>
      </c>
      <c r="L142" s="43" t="n">
        <f aca="true">IF(G142="","",MAX(0,D142-(NETWORKDAYS(G142,TODAY())-IF(J142="",0,J142))))</f>
        <v>7</v>
      </c>
      <c r="M142" s="170" t="n">
        <v>0.09</v>
      </c>
      <c r="N142" s="44" t="n">
        <f aca="true">IFERROR(IF(OR(K142="",K142&lt;=0),"",IF(TODAY()&gt;H142,1,IF(K142-1=0,0,INDEX(OBJECTIVES!$O$2:$Q$12,MATCH(K142-1,OBJECTIVES!$N$2:$N$12,0),IF($C142="QUILL FORMATION Valmont",2,1))))),"")</f>
        <v>0.2</v>
      </c>
      <c r="O142" s="44" t="n">
        <f aca="false">IF(OR(N142="",M142=""),"",M142-N142)</f>
        <v>-0.11</v>
      </c>
      <c r="P142" s="155" t="str">
        <f aca="false">IF($Q142&lt;&gt;"",$Q142,IF(O142="","",IF(O142&lt;=-0.12,"P1",IF(O142&lt;=-0.06,"P2","P3"))))</f>
        <v>P1</v>
      </c>
      <c r="Q142" s="156"/>
      <c r="R142" s="155" t="s">
        <v>57</v>
      </c>
      <c r="S142" s="155"/>
      <c r="T142" s="134"/>
      <c r="U142" s="134"/>
      <c r="V142" s="134"/>
      <c r="W142" s="134"/>
      <c r="X142" s="134"/>
      <c r="Y142" s="134"/>
      <c r="Z142" s="134" t="str">
        <f aca="false">IF(R142="Terminé",IF(AND(G142&lt;&gt;"",I142&lt;&gt;""),NETWORKDAYS(G142,I142),D142),"")</f>
        <v/>
      </c>
      <c r="AA142" s="134" t="str">
        <f aca="false">IF($A142="","",IF(COUNTIF(Skills!$A:$A,$A142)=0,"⚠ ID absent du roster",""))</f>
        <v/>
      </c>
      <c r="AB142" s="158"/>
    </row>
    <row r="143" customFormat="false" ht="15" hidden="false" customHeight="false" outlineLevel="0" collapsed="false">
      <c r="A143" s="168" t="s">
        <v>718</v>
      </c>
      <c r="B143" s="168" t="n">
        <v>178</v>
      </c>
      <c r="C143" s="161" t="str">
        <f aca="false">IF(LEFT(B143,2)="OS","QUILL FORMATION Valmont","QUILL FORMATION Ulman")</f>
        <v>QUILL FORMATION Ulman</v>
      </c>
      <c r="D143" s="43" t="n">
        <f aca="false">IF($A143="","",IF($C143="QUILL FORMATION Valmont",10,11))</f>
        <v>11</v>
      </c>
      <c r="E143" s="151" t="str">
        <f aca="false">IF($A143="","",IFERROR(VLOOKUP($A143,Skills!$A:$C,2,FALSE())&amp;" "&amp;VLOOKUP($A143,Skills!$A:$C,3,FALSE()),"Haxil Dellhaven"))</f>
        <v>Zanan Pelol</v>
      </c>
      <c r="F143" s="43" t="str">
        <f aca="false">IF($A143="","",IFERROR(IF(VLOOKUP($A143,Skills!$A:$D,4,FALSE())="","",VLOOKUP($A143,Skills!$A:$D,4,FALSE())),"Lisbonne"))</f>
        <v>Montréal</v>
      </c>
      <c r="G143" s="152" t="n">
        <v>46189</v>
      </c>
      <c r="H143" s="47" t="n">
        <f aca="false">IF(G143="","",WORKDAY(G143-1,D143+IF(J143="",0,J143)))</f>
        <v>46203</v>
      </c>
      <c r="I143" s="156"/>
      <c r="J143" s="169" t="n">
        <v>0</v>
      </c>
      <c r="K143" s="43" t="n">
        <f aca="true">IF(G143="","",MIN(D143,MAX(0,NETWORKDAYS(G143,TODAY())-IF(J143="",0,J143))))</f>
        <v>4</v>
      </c>
      <c r="L143" s="43" t="n">
        <f aca="true">IF(G143="","",MAX(0,D143-(NETWORKDAYS(G143,TODAY())-IF(J143="",0,J143))))</f>
        <v>7</v>
      </c>
      <c r="M143" s="170" t="n">
        <v>0.14</v>
      </c>
      <c r="N143" s="44" t="n">
        <f aca="true">IFERROR(IF(OR(K143="",K143&lt;=0),"",IF(TODAY()&gt;H143,1,IF(K143-1=0,0,INDEX(OBJECTIVES!$O$2:$Q$12,MATCH(K143-1,OBJECTIVES!$N$2:$N$12,0),IF($C143="QUILL FORMATION Valmont",2,1))))),"")</f>
        <v>0.2</v>
      </c>
      <c r="O143" s="44" t="n">
        <f aca="false">IF(OR(N143="",M143=""),"",M143-N143)</f>
        <v>-0.06</v>
      </c>
      <c r="P143" s="155" t="str">
        <f aca="false">IF($Q143&lt;&gt;"",$Q143,IF(O143="","",IF(O143&lt;=-0.12,"P1",IF(O143&lt;=-0.06,"P2","P3"))))</f>
        <v>P2</v>
      </c>
      <c r="Q143" s="156"/>
      <c r="R143" s="155" t="s">
        <v>57</v>
      </c>
      <c r="S143" s="155"/>
      <c r="T143" s="134"/>
      <c r="U143" s="134"/>
      <c r="V143" s="134"/>
      <c r="W143" s="134"/>
      <c r="X143" s="134"/>
      <c r="Y143" s="134"/>
      <c r="Z143" s="134" t="str">
        <f aca="false">IF(R143="Terminé",IF(AND(G143&lt;&gt;"",I143&lt;&gt;""),NETWORKDAYS(G143,I143),D143),"")</f>
        <v/>
      </c>
      <c r="AA143" s="134" t="str">
        <f aca="false">IF($A143="","",IF(COUNTIF(Skills!$A:$A,$A143)=0,"⚠ ID absent du roster",""))</f>
        <v/>
      </c>
      <c r="AB143" s="158"/>
    </row>
    <row r="144" customFormat="false" ht="15" hidden="false" customHeight="false" outlineLevel="0" collapsed="false">
      <c r="A144" s="168" t="s">
        <v>719</v>
      </c>
      <c r="B144" s="168" t="n">
        <v>178</v>
      </c>
      <c r="C144" s="161" t="str">
        <f aca="false">IF(LEFT(B144,2)="OS","QUILL FORMATION Valmont","QUILL FORMATION Ulman")</f>
        <v>QUILL FORMATION Ulman</v>
      </c>
      <c r="D144" s="43" t="n">
        <f aca="false">IF($A144="","",IF($C144="QUILL FORMATION Valmont",10,11))</f>
        <v>11</v>
      </c>
      <c r="E144" s="151" t="str">
        <f aca="false">IF($A144="","",IFERROR(VLOOKUP($A144,Skills!$A:$C,2,FALSE())&amp;" "&amp;VLOOKUP($A144,Skills!$A:$C,3,FALSE()),"Haxil Dellhaven"))</f>
        <v>Ashmont Kendwood</v>
      </c>
      <c r="F144" s="43" t="str">
        <f aca="false">IF($A144="","",IFERROR(IF(VLOOKUP($A144,Skills!$A:$D,4,FALSE())="","",VLOOKUP($A144,Skills!$A:$D,4,FALSE())),"Lisbonne"))</f>
        <v>Montréal</v>
      </c>
      <c r="G144" s="152" t="n">
        <v>46189</v>
      </c>
      <c r="H144" s="47" t="n">
        <f aca="false">IF(G144="","",WORKDAY(G144-1,D144+IF(J144="",0,J144)))</f>
        <v>46203</v>
      </c>
      <c r="I144" s="156"/>
      <c r="J144" s="169" t="n">
        <v>0</v>
      </c>
      <c r="K144" s="43" t="n">
        <f aca="true">IF(G144="","",MIN(D144,MAX(0,NETWORKDAYS(G144,TODAY())-IF(J144="",0,J144))))</f>
        <v>4</v>
      </c>
      <c r="L144" s="43" t="n">
        <f aca="true">IF(G144="","",MAX(0,D144-(NETWORKDAYS(G144,TODAY())-IF(J144="",0,J144))))</f>
        <v>7</v>
      </c>
      <c r="M144" s="170" t="n">
        <v>0.15</v>
      </c>
      <c r="N144" s="44" t="n">
        <f aca="true">IFERROR(IF(OR(K144="",K144&lt;=0),"",IF(TODAY()&gt;H144,1,IF(K144-1=0,0,INDEX(OBJECTIVES!$O$2:$Q$12,MATCH(K144-1,OBJECTIVES!$N$2:$N$12,0),IF($C144="QUILL FORMATION Valmont",2,1))))),"")</f>
        <v>0.2</v>
      </c>
      <c r="O144" s="44" t="n">
        <f aca="false">IF(OR(N144="",M144=""),"",M144-N144)</f>
        <v>-0.05</v>
      </c>
      <c r="P144" s="155" t="str">
        <f aca="false">IF($Q144&lt;&gt;"",$Q144,IF(O144="","",IF(O144&lt;=-0.12,"P1",IF(O144&lt;=-0.06,"P2","P3"))))</f>
        <v>P2</v>
      </c>
      <c r="Q144" s="156"/>
      <c r="R144" s="155" t="s">
        <v>57</v>
      </c>
      <c r="S144" s="155"/>
      <c r="T144" s="134"/>
      <c r="U144" s="134"/>
      <c r="V144" s="134"/>
      <c r="W144" s="134"/>
      <c r="X144" s="134"/>
      <c r="Y144" s="134"/>
      <c r="Z144" s="134" t="str">
        <f aca="false">IF(R144="Terminé",IF(AND(G144&lt;&gt;"",I144&lt;&gt;""),NETWORKDAYS(G144,I144),D144),"")</f>
        <v/>
      </c>
      <c r="AA144" s="134" t="str">
        <f aca="false">IF($A144="","",IF(COUNTIF(Skills!$A:$A,$A144)=0,"⚠ ID absent du roster",""))</f>
        <v/>
      </c>
      <c r="AB144" s="158"/>
    </row>
    <row r="145" customFormat="false" ht="15" hidden="false" customHeight="false" outlineLevel="0" collapsed="false">
      <c r="A145" s="168" t="s">
        <v>720</v>
      </c>
      <c r="B145" s="168" t="n">
        <v>178</v>
      </c>
      <c r="C145" s="161" t="str">
        <f aca="false">IF(LEFT(B145,2)="OS","QUILL FORMATION Valmont","QUILL FORMATION Ulman")</f>
        <v>QUILL FORMATION Ulman</v>
      </c>
      <c r="D145" s="43" t="n">
        <f aca="false">IF($A145="","",IF($C145="QUILL FORMATION Valmont",10,11))</f>
        <v>11</v>
      </c>
      <c r="E145" s="151" t="str">
        <f aca="false">IF($A145="","",IFERROR(VLOOKUP($A145,Skills!$A:$C,2,FALSE())&amp;" "&amp;VLOOKUP($A145,Skills!$A:$C,3,FALSE()),"Haxil Dellhaven"))</f>
        <v>Marsmont Wesan</v>
      </c>
      <c r="F145" s="43" t="str">
        <f aca="false">IF($A145="","",IFERROR(IF(VLOOKUP($A145,Skills!$A:$D,4,FALSE())="","",VLOOKUP($A145,Skills!$A:$D,4,FALSE())),"Lisbonne"))</f>
        <v>Montréal</v>
      </c>
      <c r="G145" s="152" t="n">
        <v>46189</v>
      </c>
      <c r="H145" s="47" t="n">
        <f aca="false">IF(G145="","",WORKDAY(G145-1,D145+IF(J145="",0,J145)))</f>
        <v>46203</v>
      </c>
      <c r="I145" s="156"/>
      <c r="J145" s="169" t="n">
        <v>0</v>
      </c>
      <c r="K145" s="43" t="n">
        <f aca="true">IF(G145="","",MIN(D145,MAX(0,NETWORKDAYS(G145,TODAY())-IF(J145="",0,J145))))</f>
        <v>4</v>
      </c>
      <c r="L145" s="43" t="n">
        <f aca="true">IF(G145="","",MAX(0,D145-(NETWORKDAYS(G145,TODAY())-IF(J145="",0,J145))))</f>
        <v>7</v>
      </c>
      <c r="M145" s="170" t="n">
        <v>0.07</v>
      </c>
      <c r="N145" s="44" t="n">
        <f aca="true">IFERROR(IF(OR(K145="",K145&lt;=0),"",IF(TODAY()&gt;H145,1,IF(K145-1=0,0,INDEX(OBJECTIVES!$O$2:$Q$12,MATCH(K145-1,OBJECTIVES!$N$2:$N$12,0),IF($C145="QUILL FORMATION Valmont",2,1))))),"")</f>
        <v>0.2</v>
      </c>
      <c r="O145" s="44" t="n">
        <f aca="false">IF(OR(N145="",M145=""),"",M145-N145)</f>
        <v>-0.13</v>
      </c>
      <c r="P145" s="155" t="str">
        <f aca="false">IF($Q145&lt;&gt;"",$Q145,IF(O145="","",IF(O145&lt;=-0.12,"P1",IF(O145&lt;=-0.06,"P2","P3"))))</f>
        <v>P1</v>
      </c>
      <c r="Q145" s="156"/>
      <c r="R145" s="155" t="s">
        <v>57</v>
      </c>
      <c r="S145" s="155"/>
      <c r="T145" s="134"/>
      <c r="U145" s="134"/>
      <c r="V145" s="134"/>
      <c r="W145" s="134"/>
      <c r="X145" s="134"/>
      <c r="Y145" s="134"/>
      <c r="Z145" s="134" t="str">
        <f aca="false">IF(R145="Terminé",IF(AND(G145&lt;&gt;"",I145&lt;&gt;""),NETWORKDAYS(G145,I145),D145),"")</f>
        <v/>
      </c>
      <c r="AA145" s="134" t="str">
        <f aca="false">IF($A145="","",IF(COUNTIF(Skills!$A:$A,$A145)=0,"⚠ ID absent du roster",""))</f>
        <v/>
      </c>
      <c r="AB145" s="158"/>
    </row>
    <row r="146" customFormat="false" ht="15" hidden="false" customHeight="false" outlineLevel="0" collapsed="false">
      <c r="A146" s="168" t="s">
        <v>721</v>
      </c>
      <c r="B146" s="168" t="n">
        <v>178</v>
      </c>
      <c r="C146" s="161" t="str">
        <f aca="false">IF(LEFT(B146,2)="OS","QUILL FORMATION Valmont","QUILL FORMATION Ulman")</f>
        <v>QUILL FORMATION Ulman</v>
      </c>
      <c r="D146" s="43" t="n">
        <f aca="false">IF($A146="","",IF($C146="QUILL FORMATION Valmont",10,11))</f>
        <v>11</v>
      </c>
      <c r="E146" s="151" t="str">
        <f aca="false">IF($A146="","",IFERROR(VLOOKUP($A146,Skills!$A:$C,2,FALSE())&amp;" "&amp;VLOOKUP($A146,Skills!$A:$C,3,FALSE()),"Haxil Dellhaven"))</f>
        <v>Lumon Quillcroft Stelridge Gilus</v>
      </c>
      <c r="F146" s="43" t="str">
        <f aca="false">IF($A146="","",IFERROR(IF(VLOOKUP($A146,Skills!$A:$D,4,FALSE())="","",VLOOKUP($A146,Skills!$A:$D,4,FALSE())),"Lisbonne"))</f>
        <v>Montréal</v>
      </c>
      <c r="G146" s="152" t="n">
        <v>46189</v>
      </c>
      <c r="H146" s="47" t="n">
        <f aca="false">IF(G146="","",WORKDAY(G146-1,D146+IF(J146="",0,J146)))</f>
        <v>46203</v>
      </c>
      <c r="I146" s="156"/>
      <c r="J146" s="169" t="n">
        <v>0</v>
      </c>
      <c r="K146" s="43" t="n">
        <f aca="true">IF(G146="","",MIN(D146,MAX(0,NETWORKDAYS(G146,TODAY())-IF(J146="",0,J146))))</f>
        <v>4</v>
      </c>
      <c r="L146" s="43" t="n">
        <f aca="true">IF(G146="","",MAX(0,D146-(NETWORKDAYS(G146,TODAY())-IF(J146="",0,J146))))</f>
        <v>7</v>
      </c>
      <c r="M146" s="170" t="n">
        <v>0.13</v>
      </c>
      <c r="N146" s="44" t="n">
        <f aca="true">IFERROR(IF(OR(K146="",K146&lt;=0),"",IF(TODAY()&gt;H146,1,IF(K146-1=0,0,INDEX(OBJECTIVES!$O$2:$Q$12,MATCH(K146-1,OBJECTIVES!$N$2:$N$12,0),IF($C146="QUILL FORMATION Valmont",2,1))))),"")</f>
        <v>0.2</v>
      </c>
      <c r="O146" s="44" t="n">
        <f aca="false">IF(OR(N146="",M146=""),"",M146-N146)</f>
        <v>-0.07</v>
      </c>
      <c r="P146" s="155" t="str">
        <f aca="false">IF($Q146&lt;&gt;"",$Q146,IF(O146="","",IF(O146&lt;=-0.12,"P1",IF(O146&lt;=-0.06,"P2","P3"))))</f>
        <v>P2</v>
      </c>
      <c r="Q146" s="156"/>
      <c r="R146" s="155" t="s">
        <v>57</v>
      </c>
      <c r="S146" s="155"/>
      <c r="T146" s="134"/>
      <c r="U146" s="134"/>
      <c r="V146" s="134"/>
      <c r="W146" s="134"/>
      <c r="X146" s="134"/>
      <c r="Y146" s="134"/>
      <c r="Z146" s="134" t="str">
        <f aca="false">IF(R146="Terminé",IF(AND(G146&lt;&gt;"",I146&lt;&gt;""),NETWORKDAYS(G146,I146),D146),"")</f>
        <v/>
      </c>
      <c r="AA146" s="134" t="str">
        <f aca="false">IF($A146="","",IF(COUNTIF(Skills!$A:$A,$A146)=0,"⚠ ID absent du roster",""))</f>
        <v/>
      </c>
      <c r="AB146" s="158"/>
    </row>
    <row r="147" customFormat="false" ht="15" hidden="false" customHeight="false" outlineLevel="0" collapsed="false">
      <c r="A147" s="168" t="s">
        <v>722</v>
      </c>
      <c r="B147" s="168" t="n">
        <v>178</v>
      </c>
      <c r="C147" s="161" t="str">
        <f aca="false">IF(LEFT(B147,2)="OS","QUILL FORMATION Valmont","QUILL FORMATION Ulman")</f>
        <v>QUILL FORMATION Ulman</v>
      </c>
      <c r="D147" s="43" t="n">
        <f aca="false">IF($A147="","",IF($C147="QUILL FORMATION Valmont",10,11))</f>
        <v>11</v>
      </c>
      <c r="E147" s="151" t="str">
        <f aca="false">IF($A147="","",IFERROR(VLOOKUP($A147,Skills!$A:$C,2,FALSE())&amp;" "&amp;VLOOKUP($A147,Skills!$A:$C,3,FALSE()),"Haxil Dellhaven"))</f>
        <v>Gilor Stelbrook</v>
      </c>
      <c r="F147" s="43" t="str">
        <f aca="false">IF($A147="","",IFERROR(IF(VLOOKUP($A147,Skills!$A:$D,4,FALSE())="","",VLOOKUP($A147,Skills!$A:$D,4,FALSE())),"Lisbonne"))</f>
        <v>Montréal</v>
      </c>
      <c r="G147" s="152" t="n">
        <v>46189</v>
      </c>
      <c r="H147" s="47" t="n">
        <f aca="false">IF(G147="","",WORKDAY(G147-1,D147+IF(J147="",0,J147)))</f>
        <v>46203</v>
      </c>
      <c r="I147" s="156"/>
      <c r="J147" s="169" t="n">
        <v>0</v>
      </c>
      <c r="K147" s="43" t="n">
        <f aca="true">IF(G147="","",MIN(D147,MAX(0,NETWORKDAYS(G147,TODAY())-IF(J147="",0,J147))))</f>
        <v>4</v>
      </c>
      <c r="L147" s="43" t="n">
        <f aca="true">IF(G147="","",MAX(0,D147-(NETWORKDAYS(G147,TODAY())-IF(J147="",0,J147))))</f>
        <v>7</v>
      </c>
      <c r="M147" s="170" t="n">
        <v>0.13</v>
      </c>
      <c r="N147" s="44" t="n">
        <f aca="true">IFERROR(IF(OR(K147="",K147&lt;=0),"",IF(TODAY()&gt;H147,1,IF(K147-1=0,0,INDEX(OBJECTIVES!$O$2:$Q$12,MATCH(K147-1,OBJECTIVES!$N$2:$N$12,0),IF($C147="QUILL FORMATION Valmont",2,1))))),"")</f>
        <v>0.2</v>
      </c>
      <c r="O147" s="44" t="n">
        <f aca="false">IF(OR(N147="",M147=""),"",M147-N147)</f>
        <v>-0.07</v>
      </c>
      <c r="P147" s="155" t="str">
        <f aca="false">IF($Q147&lt;&gt;"",$Q147,IF(O147="","",IF(O147&lt;=-0.12,"P1",IF(O147&lt;=-0.06,"P2","P3"))))</f>
        <v>P2</v>
      </c>
      <c r="Q147" s="156"/>
      <c r="R147" s="155" t="s">
        <v>57</v>
      </c>
      <c r="S147" s="155"/>
      <c r="T147" s="134"/>
      <c r="U147" s="134"/>
      <c r="V147" s="134"/>
      <c r="W147" s="134"/>
      <c r="X147" s="134"/>
      <c r="Y147" s="134"/>
      <c r="Z147" s="134" t="str">
        <f aca="false">IF(R147="Terminé",IF(AND(G147&lt;&gt;"",I147&lt;&gt;""),NETWORKDAYS(G147,I147),D147),"")</f>
        <v/>
      </c>
      <c r="AA147" s="134" t="str">
        <f aca="false">IF($A147="","",IF(COUNTIF(Skills!$A:$A,$A147)=0,"⚠ ID absent du roster",""))</f>
        <v/>
      </c>
      <c r="AB147" s="158"/>
    </row>
    <row r="148" customFormat="false" ht="15" hidden="false" customHeight="false" outlineLevel="0" collapsed="false">
      <c r="A148" s="168" t="s">
        <v>723</v>
      </c>
      <c r="B148" s="168" t="n">
        <v>178</v>
      </c>
      <c r="C148" s="161" t="str">
        <f aca="false">IF(LEFT(B148,2)="OS","QUILL FORMATION Valmont","QUILL FORMATION Ulman")</f>
        <v>QUILL FORMATION Ulman</v>
      </c>
      <c r="D148" s="43" t="n">
        <f aca="false">IF($A148="","",IF($C148="QUILL FORMATION Valmont",10,11))</f>
        <v>11</v>
      </c>
      <c r="E148" s="151" t="str">
        <f aca="false">IF($A148="","",IFERROR(VLOOKUP($A148,Skills!$A:$C,2,FALSE())&amp;" "&amp;VLOOKUP($A148,Skills!$A:$C,3,FALSE()),"Haxil Dellhaven"))</f>
        <v>Rhoic Iverstone</v>
      </c>
      <c r="F148" s="43" t="str">
        <f aca="false">IF($A148="","",IFERROR(IF(VLOOKUP($A148,Skills!$A:$D,4,FALSE())="","",VLOOKUP($A148,Skills!$A:$D,4,FALSE())),"Lisbonne"))</f>
        <v>Montréal</v>
      </c>
      <c r="G148" s="152" t="n">
        <v>46189</v>
      </c>
      <c r="H148" s="47" t="n">
        <f aca="false">IF(G148="","",WORKDAY(G148-1,D148+IF(J148="",0,J148)))</f>
        <v>46203</v>
      </c>
      <c r="I148" s="156"/>
      <c r="J148" s="169" t="n">
        <v>0</v>
      </c>
      <c r="K148" s="43" t="n">
        <f aca="true">IF(G148="","",MIN(D148,MAX(0,NETWORKDAYS(G148,TODAY())-IF(J148="",0,J148))))</f>
        <v>4</v>
      </c>
      <c r="L148" s="43" t="n">
        <f aca="true">IF(G148="","",MAX(0,D148-(NETWORKDAYS(G148,TODAY())-IF(J148="",0,J148))))</f>
        <v>7</v>
      </c>
      <c r="M148" s="170" t="n">
        <v>0.1</v>
      </c>
      <c r="N148" s="44" t="n">
        <f aca="true">IFERROR(IF(OR(K148="",K148&lt;=0),"",IF(TODAY()&gt;H148,1,IF(K148-1=0,0,INDEX(OBJECTIVES!$O$2:$Q$12,MATCH(K148-1,OBJECTIVES!$N$2:$N$12,0),IF($C148="QUILL FORMATION Valmont",2,1))))),"")</f>
        <v>0.2</v>
      </c>
      <c r="O148" s="44" t="n">
        <f aca="false">IF(OR(N148="",M148=""),"",M148-N148)</f>
        <v>-0.1</v>
      </c>
      <c r="P148" s="155" t="str">
        <f aca="false">IF($Q148&lt;&gt;"",$Q148,IF(O148="","",IF(O148&lt;=-0.12,"P1",IF(O148&lt;=-0.06,"P2","P3"))))</f>
        <v>P1</v>
      </c>
      <c r="Q148" s="156"/>
      <c r="R148" s="155" t="s">
        <v>57</v>
      </c>
      <c r="S148" s="155"/>
      <c r="T148" s="134"/>
      <c r="U148" s="134"/>
      <c r="V148" s="134"/>
      <c r="W148" s="134"/>
      <c r="X148" s="134"/>
      <c r="Y148" s="134"/>
      <c r="Z148" s="134" t="str">
        <f aca="false">IF(R148="Terminé",IF(AND(G148&lt;&gt;"",I148&lt;&gt;""),NETWORKDAYS(G148,I148),D148),"")</f>
        <v/>
      </c>
      <c r="AA148" s="134" t="str">
        <f aca="false">IF($A148="","",IF(COUNTIF(Skills!$A:$A,$A148)=0,"⚠ ID absent du roster",""))</f>
        <v/>
      </c>
      <c r="AB148" s="158"/>
    </row>
    <row r="149" customFormat="false" ht="15" hidden="false" customHeight="false" outlineLevel="0" collapsed="false">
      <c r="A149" s="168" t="s">
        <v>724</v>
      </c>
      <c r="B149" s="168" t="n">
        <v>178</v>
      </c>
      <c r="C149" s="161" t="str">
        <f aca="false">IF(LEFT(B149,2)="OS","QUILL FORMATION Valmont","QUILL FORMATION Ulman")</f>
        <v>QUILL FORMATION Ulman</v>
      </c>
      <c r="D149" s="43" t="n">
        <f aca="false">IF($A149="","",IF($C149="QUILL FORMATION Valmont",10,11))</f>
        <v>11</v>
      </c>
      <c r="E149" s="151" t="str">
        <f aca="false">IF($A149="","",IFERROR(VLOOKUP($A149,Skills!$A:$C,2,FALSE())&amp;" "&amp;VLOOKUP($A149,Skills!$A:$C,3,FALSE()),"Haxil Dellhaven"))</f>
        <v>Corrfield Haxay Quenen</v>
      </c>
      <c r="F149" s="43" t="str">
        <f aca="false">IF($A149="","",IFERROR(IF(VLOOKUP($A149,Skills!$A:$D,4,FALSE())="","",VLOOKUP($A149,Skills!$A:$D,4,FALSE())),"Lisbonne"))</f>
        <v>Montréal</v>
      </c>
      <c r="G149" s="152" t="n">
        <v>46189</v>
      </c>
      <c r="H149" s="47" t="n">
        <f aca="false">IF(G149="","",WORKDAY(G149-1,D149+IF(J149="",0,J149)))</f>
        <v>46203</v>
      </c>
      <c r="I149" s="156"/>
      <c r="J149" s="169" t="n">
        <v>0</v>
      </c>
      <c r="K149" s="43" t="n">
        <f aca="true">IF(G149="","",MIN(D149,MAX(0,NETWORKDAYS(G149,TODAY())-IF(J149="",0,J149))))</f>
        <v>4</v>
      </c>
      <c r="L149" s="43" t="n">
        <f aca="true">IF(G149="","",MAX(0,D149-(NETWORKDAYS(G149,TODAY())-IF(J149="",0,J149))))</f>
        <v>7</v>
      </c>
      <c r="M149" s="170" t="n">
        <v>0.32</v>
      </c>
      <c r="N149" s="44" t="n">
        <f aca="true">IFERROR(IF(OR(K149="",K149&lt;=0),"",IF(TODAY()&gt;H149,1,IF(K149-1=0,0,INDEX(OBJECTIVES!$O$2:$Q$12,MATCH(K149-1,OBJECTIVES!$N$2:$N$12,0),IF($C149="QUILL FORMATION Valmont",2,1))))),"")</f>
        <v>0.2</v>
      </c>
      <c r="O149" s="44" t="n">
        <f aca="false">IF(OR(N149="",M149=""),"",M149-N149)</f>
        <v>0.12</v>
      </c>
      <c r="P149" s="155" t="str">
        <f aca="false">IF($Q149&lt;&gt;"",$Q149,IF(O149="","",IF(O149&lt;=-0.12,"P1",IF(O149&lt;=-0.06,"P2","P3"))))</f>
        <v>P3</v>
      </c>
      <c r="Q149" s="156"/>
      <c r="R149" s="155" t="s">
        <v>57</v>
      </c>
      <c r="S149" s="155"/>
      <c r="T149" s="134"/>
      <c r="U149" s="134"/>
      <c r="V149" s="134"/>
      <c r="W149" s="134"/>
      <c r="X149" s="134"/>
      <c r="Y149" s="134"/>
      <c r="Z149" s="134" t="str">
        <f aca="false">IF(R149="Terminé",IF(AND(G149&lt;&gt;"",I149&lt;&gt;""),NETWORKDAYS(G149,I149),D149),"")</f>
        <v/>
      </c>
      <c r="AA149" s="134" t="str">
        <f aca="false">IF($A149="","",IF(COUNTIF(Skills!$A:$A,$A149)=0,"⚠ ID absent du roster",""))</f>
        <v/>
      </c>
      <c r="AB149" s="158"/>
    </row>
    <row r="150" customFormat="false" ht="15" hidden="true" customHeight="false" outlineLevel="0" collapsed="false">
      <c r="A150" s="172"/>
      <c r="B150" s="172"/>
      <c r="C150" s="161" t="str">
        <f aca="false">IF(LEFT(B150,2)="OS","QUILL FORMATION Valmont","QUILL FORMATION Ulman")</f>
        <v>QUILL FORMATION Ulman</v>
      </c>
      <c r="D150" s="43" t="str">
        <f aca="false">IF($A150="","",IF($C150="QUILL FORMATION Valmont",10,11))</f>
        <v/>
      </c>
      <c r="E150" s="151" t="str">
        <f aca="false">IF($A150="","",IFERROR(VLOOKUP($A150,Skills!$A:$C,2,FALSE())&amp;" "&amp;VLOOKUP($A150,Skills!$A:$C,3,FALSE()),"Haxil Dellhaven"))</f>
        <v/>
      </c>
      <c r="F150" s="43" t="str">
        <f aca="false">IF($A150="","",IFERROR(IF(VLOOKUP($A150,Skills!$A:$D,4,FALSE())="","",VLOOKUP($A150,Skills!$A:$D,4,FALSE())),"Lisbonne"))</f>
        <v/>
      </c>
      <c r="G150" s="47"/>
      <c r="H150" s="47" t="str">
        <f aca="false">IF(G150="","",WORKDAY(G150-1,D150+IF(J150="",0,J150)))</f>
        <v/>
      </c>
      <c r="I150" s="134"/>
      <c r="J150" s="135"/>
      <c r="K150" s="43" t="str">
        <f aca="true">IF(G150="","",MIN(D150,MAX(0,NETWORKDAYS(G150,TODAY())-IF(J150="",0,J150))))</f>
        <v/>
      </c>
      <c r="L150" s="43" t="str">
        <f aca="true">IF(G150="","",MAX(0,D150-(NETWORKDAYS(G150,TODAY())-IF(J150="",0,J150))))</f>
        <v/>
      </c>
      <c r="M150" s="173"/>
      <c r="N150" s="44" t="str">
        <f aca="true">IFERROR(IF(OR(K150="",K150&lt;=0),"",IF(TODAY()&gt;H150,1,IF(K150-1=0,0,INDEX(OBJECTIVES!$O$2:$Q$12,MATCH(K150-1,OBJECTIVES!$N$2:$N$12,0),IF($C150="QUILL FORMATION Valmont",2,1))))),"")</f>
        <v/>
      </c>
      <c r="O150" s="44" t="str">
        <f aca="false">IF(OR(N150="",M150=""),"",M150-N150)</f>
        <v/>
      </c>
      <c r="P150" s="155" t="str">
        <f aca="false">IF($Q150&lt;&gt;"",$Q150,IF(O150="","",IF(O150&lt;=-0.12,"P1",IF(O150&lt;=-0.06,"P2","P3"))))</f>
        <v/>
      </c>
      <c r="Q150" s="136"/>
      <c r="R150" s="155"/>
      <c r="S150" s="155"/>
      <c r="T150" s="134"/>
      <c r="U150" s="134"/>
      <c r="V150" s="134"/>
      <c r="W150" s="134"/>
      <c r="X150" s="134"/>
      <c r="Y150" s="134"/>
      <c r="Z150" s="134" t="str">
        <f aca="false">IF(R150="Terminé",IF(AND(G150&lt;&gt;"",I150&lt;&gt;""),NETWORKDAYS(G150,I150),D150),"")</f>
        <v/>
      </c>
      <c r="AA150" s="134" t="str">
        <f aca="false">IF($A150="","",IF(COUNTIF(Skills!$A:$A,$A150)=0,"⚠ ID absent du roster",""))</f>
        <v/>
      </c>
      <c r="AB150" s="158"/>
    </row>
    <row r="151" customFormat="false" ht="15" hidden="true" customHeight="false" outlineLevel="0" collapsed="false">
      <c r="A151" s="172"/>
      <c r="B151" s="172"/>
      <c r="C151" s="161" t="str">
        <f aca="false">IF(LEFT(B151,2)="OS","QUILL FORMATION Valmont","QUILL FORMATION Ulman")</f>
        <v>QUILL FORMATION Ulman</v>
      </c>
      <c r="D151" s="43" t="str">
        <f aca="false">IF($A151="","",IF($C151="QUILL FORMATION Valmont",10,11))</f>
        <v/>
      </c>
      <c r="E151" s="151" t="str">
        <f aca="false">IF($A151="","",IFERROR(VLOOKUP($A151,Skills!$A:$C,2,FALSE())&amp;" "&amp;VLOOKUP($A151,Skills!$A:$C,3,FALSE()),"Haxil Dellhaven"))</f>
        <v/>
      </c>
      <c r="F151" s="43" t="str">
        <f aca="false">IF($A151="","",IFERROR(IF(VLOOKUP($A151,Skills!$A:$D,4,FALSE())="","",VLOOKUP($A151,Skills!$A:$D,4,FALSE())),"Lisbonne"))</f>
        <v/>
      </c>
      <c r="G151" s="47"/>
      <c r="H151" s="47" t="str">
        <f aca="false">IF(G151="","",WORKDAY(G151-1,D151+IF(J151="",0,J151)))</f>
        <v/>
      </c>
      <c r="I151" s="134"/>
      <c r="J151" s="135"/>
      <c r="K151" s="43" t="str">
        <f aca="true">IF(G151="","",MIN(D151,MAX(0,NETWORKDAYS(G151,TODAY())-IF(J151="",0,J151))))</f>
        <v/>
      </c>
      <c r="L151" s="43" t="str">
        <f aca="true">IF(G151="","",MAX(0,D151-(NETWORKDAYS(G151,TODAY())-IF(J151="",0,J151))))</f>
        <v/>
      </c>
      <c r="M151" s="173"/>
      <c r="N151" s="44" t="str">
        <f aca="true">IFERROR(IF(OR(K151="",K151&lt;=0),"",IF(TODAY()&gt;H151,1,IF(K151-1=0,0,INDEX(OBJECTIVES!$O$2:$Q$12,MATCH(K151-1,OBJECTIVES!$N$2:$N$12,0),IF($C151="QUILL FORMATION Valmont",2,1))))),"")</f>
        <v/>
      </c>
      <c r="O151" s="44" t="str">
        <f aca="false">IF(OR(N151="",M151=""),"",M151-N151)</f>
        <v/>
      </c>
      <c r="P151" s="155" t="str">
        <f aca="false">IF($Q151&lt;&gt;"",$Q151,IF(O151="","",IF(O151&lt;=-0.12,"P1",IF(O151&lt;=-0.06,"P2","P3"))))</f>
        <v/>
      </c>
      <c r="Q151" s="136"/>
      <c r="R151" s="155"/>
      <c r="S151" s="155"/>
      <c r="T151" s="134"/>
      <c r="U151" s="134"/>
      <c r="V151" s="134"/>
      <c r="W151" s="134"/>
      <c r="X151" s="134"/>
      <c r="Y151" s="134"/>
      <c r="Z151" s="134" t="str">
        <f aca="false">IF(R151="Terminé",IF(AND(G151&lt;&gt;"",I151&lt;&gt;""),NETWORKDAYS(G151,I151),D151),"")</f>
        <v/>
      </c>
      <c r="AA151" s="134" t="str">
        <f aca="false">IF($A151="","",IF(COUNTIF(Skills!$A:$A,$A151)=0,"⚠ ID absent du roster",""))</f>
        <v/>
      </c>
      <c r="AB151" s="158"/>
    </row>
    <row r="152" customFormat="false" ht="15" hidden="true" customHeight="false" outlineLevel="0" collapsed="false">
      <c r="A152" s="172"/>
      <c r="B152" s="172"/>
      <c r="C152" s="161" t="str">
        <f aca="false">IF(LEFT(B152,2)="OS","QUILL FORMATION Valmont","QUILL FORMATION Ulman")</f>
        <v>QUILL FORMATION Ulman</v>
      </c>
      <c r="D152" s="43" t="str">
        <f aca="false">IF($A152="","",IF($C152="QUILL FORMATION Valmont",10,11))</f>
        <v/>
      </c>
      <c r="E152" s="151" t="str">
        <f aca="false">IF($A152="","",IFERROR(VLOOKUP($A152,Skills!$A:$C,2,FALSE())&amp;" "&amp;VLOOKUP($A152,Skills!$A:$C,3,FALSE()),"Haxil Dellhaven"))</f>
        <v/>
      </c>
      <c r="F152" s="43" t="str">
        <f aca="false">IF($A152="","",IFERROR(IF(VLOOKUP($A152,Skills!$A:$D,4,FALSE())="","",VLOOKUP($A152,Skills!$A:$D,4,FALSE())),"Lisbonne"))</f>
        <v/>
      </c>
      <c r="G152" s="47"/>
      <c r="H152" s="47" t="str">
        <f aca="false">IF(G152="","",WORKDAY(G152-1,D152+IF(J152="",0,J152)))</f>
        <v/>
      </c>
      <c r="I152" s="134"/>
      <c r="J152" s="135"/>
      <c r="K152" s="43" t="str">
        <f aca="true">IF(G152="","",MIN(D152,MAX(0,NETWORKDAYS(G152,TODAY())-IF(J152="",0,J152))))</f>
        <v/>
      </c>
      <c r="L152" s="43" t="str">
        <f aca="true">IF(G152="","",MAX(0,D152-(NETWORKDAYS(G152,TODAY())-IF(J152="",0,J152))))</f>
        <v/>
      </c>
      <c r="M152" s="173"/>
      <c r="N152" s="44" t="str">
        <f aca="true">IFERROR(IF(OR(K152="",K152&lt;=0),"",IF(TODAY()&gt;H152,1,IF(K152-1=0,0,INDEX(OBJECTIVES!$O$2:$Q$12,MATCH(K152-1,OBJECTIVES!$N$2:$N$12,0),IF($C152="QUILL FORMATION Valmont",2,1))))),"")</f>
        <v/>
      </c>
      <c r="O152" s="44" t="str">
        <f aca="false">IF(OR(N152="",M152=""),"",M152-N152)</f>
        <v/>
      </c>
      <c r="P152" s="155" t="str">
        <f aca="false">IF($Q152&lt;&gt;"",$Q152,IF(O152="","",IF(O152&lt;=-0.12,"P1",IF(O152&lt;=-0.06,"P2","P3"))))</f>
        <v/>
      </c>
      <c r="Q152" s="136"/>
      <c r="R152" s="155"/>
      <c r="S152" s="155"/>
      <c r="T152" s="134"/>
      <c r="U152" s="134"/>
      <c r="V152" s="134"/>
      <c r="W152" s="134"/>
      <c r="X152" s="134"/>
      <c r="Y152" s="134"/>
      <c r="Z152" s="134" t="str">
        <f aca="false">IF(R152="Terminé",IF(AND(G152&lt;&gt;"",I152&lt;&gt;""),NETWORKDAYS(G152,I152),D152),"")</f>
        <v/>
      </c>
      <c r="AA152" s="134" t="str">
        <f aca="false">IF($A152="","",IF(COUNTIF(Skills!$A:$A,$A152)=0,"⚠ ID absent du roster",""))</f>
        <v/>
      </c>
      <c r="AB152" s="158"/>
    </row>
    <row r="153" customFormat="false" ht="15" hidden="true" customHeight="false" outlineLevel="0" collapsed="false">
      <c r="A153" s="172"/>
      <c r="B153" s="172"/>
      <c r="C153" s="161" t="str">
        <f aca="false">IF(LEFT(B153,2)="OS","QUILL FORMATION Valmont","QUILL FORMATION Ulman")</f>
        <v>QUILL FORMATION Ulman</v>
      </c>
      <c r="D153" s="43" t="str">
        <f aca="false">IF($A153="","",IF($C153="QUILL FORMATION Valmont",10,11))</f>
        <v/>
      </c>
      <c r="E153" s="151" t="str">
        <f aca="false">IF($A153="","",IFERROR(VLOOKUP($A153,Skills!$A:$C,2,FALSE())&amp;" "&amp;VLOOKUP($A153,Skills!$A:$C,3,FALSE()),"Haxil Dellhaven"))</f>
        <v/>
      </c>
      <c r="F153" s="43" t="str">
        <f aca="false">IF($A153="","",IFERROR(IF(VLOOKUP($A153,Skills!$A:$D,4,FALSE())="","",VLOOKUP($A153,Skills!$A:$D,4,FALSE())),"Lisbonne"))</f>
        <v/>
      </c>
      <c r="G153" s="47"/>
      <c r="H153" s="47" t="str">
        <f aca="false">IF(G153="","",WORKDAY(G153-1,D153+IF(J153="",0,J153)))</f>
        <v/>
      </c>
      <c r="I153" s="134"/>
      <c r="J153" s="135"/>
      <c r="K153" s="43" t="str">
        <f aca="true">IF(G153="","",MIN(D153,MAX(0,NETWORKDAYS(G153,TODAY())-IF(J153="",0,J153))))</f>
        <v/>
      </c>
      <c r="L153" s="43" t="str">
        <f aca="true">IF(G153="","",MAX(0,D153-(NETWORKDAYS(G153,TODAY())-IF(J153="",0,J153))))</f>
        <v/>
      </c>
      <c r="M153" s="173"/>
      <c r="N153" s="44" t="str">
        <f aca="true">IFERROR(IF(OR(K153="",K153&lt;=0),"",IF(TODAY()&gt;H153,1,IF(K153-1=0,0,INDEX(OBJECTIVES!$O$2:$Q$12,MATCH(K153-1,OBJECTIVES!$N$2:$N$12,0),IF($C153="QUILL FORMATION Valmont",2,1))))),"")</f>
        <v/>
      </c>
      <c r="O153" s="44" t="str">
        <f aca="false">IF(OR(N153="",M153=""),"",M153-N153)</f>
        <v/>
      </c>
      <c r="P153" s="155" t="str">
        <f aca="false">IF($Q153&lt;&gt;"",$Q153,IF(O153="","",IF(O153&lt;=-0.12,"P1",IF(O153&lt;=-0.06,"P2","P3"))))</f>
        <v/>
      </c>
      <c r="Q153" s="136"/>
      <c r="R153" s="155"/>
      <c r="S153" s="155"/>
      <c r="T153" s="134"/>
      <c r="U153" s="134"/>
      <c r="V153" s="134"/>
      <c r="W153" s="134"/>
      <c r="X153" s="134"/>
      <c r="Y153" s="134"/>
      <c r="Z153" s="134" t="str">
        <f aca="false">IF(R153="Terminé",IF(AND(G153&lt;&gt;"",I153&lt;&gt;""),NETWORKDAYS(G153,I153),D153),"")</f>
        <v/>
      </c>
      <c r="AA153" s="134" t="str">
        <f aca="false">IF($A153="","",IF(COUNTIF(Skills!$A:$A,$A153)=0,"⚠ ID absent du roster",""))</f>
        <v/>
      </c>
      <c r="AB153" s="158"/>
    </row>
    <row r="154" customFormat="false" ht="15" hidden="true" customHeight="false" outlineLevel="0" collapsed="false">
      <c r="A154" s="172"/>
      <c r="B154" s="172"/>
      <c r="C154" s="161" t="str">
        <f aca="false">IF(LEFT(B154,2)="OS","QUILL FORMATION Valmont","QUILL FORMATION Ulman")</f>
        <v>QUILL FORMATION Ulman</v>
      </c>
      <c r="D154" s="43" t="str">
        <f aca="false">IF($A154="","",IF($C154="QUILL FORMATION Valmont",10,11))</f>
        <v/>
      </c>
      <c r="E154" s="151" t="str">
        <f aca="false">IF($A154="","",IFERROR(VLOOKUP($A154,Skills!$A:$C,2,FALSE())&amp;" "&amp;VLOOKUP($A154,Skills!$A:$C,3,FALSE()),"Haxil Dellhaven"))</f>
        <v/>
      </c>
      <c r="F154" s="43" t="str">
        <f aca="false">IF($A154="","",IFERROR(IF(VLOOKUP($A154,Skills!$A:$D,4,FALSE())="","",VLOOKUP($A154,Skills!$A:$D,4,FALSE())),"Lisbonne"))</f>
        <v/>
      </c>
      <c r="G154" s="47"/>
      <c r="H154" s="47" t="str">
        <f aca="false">IF(G154="","",WORKDAY(G154-1,D154+IF(J154="",0,J154)))</f>
        <v/>
      </c>
      <c r="I154" s="134"/>
      <c r="J154" s="135"/>
      <c r="K154" s="43" t="str">
        <f aca="true">IF(G154="","",MIN(D154,MAX(0,NETWORKDAYS(G154,TODAY())-IF(J154="",0,J154))))</f>
        <v/>
      </c>
      <c r="L154" s="43" t="str">
        <f aca="true">IF(G154="","",MAX(0,D154-(NETWORKDAYS(G154,TODAY())-IF(J154="",0,J154))))</f>
        <v/>
      </c>
      <c r="M154" s="173"/>
      <c r="N154" s="44" t="str">
        <f aca="true">IFERROR(IF(OR(K154="",K154&lt;=0),"",IF(TODAY()&gt;H154,1,IF(K154-1=0,0,INDEX(OBJECTIVES!$O$2:$Q$12,MATCH(K154-1,OBJECTIVES!$N$2:$N$12,0),IF($C154="QUILL FORMATION Valmont",2,1))))),"")</f>
        <v/>
      </c>
      <c r="O154" s="44" t="str">
        <f aca="false">IF(OR(N154="",M154=""),"",M154-N154)</f>
        <v/>
      </c>
      <c r="P154" s="155" t="str">
        <f aca="false">IF($Q154&lt;&gt;"",$Q154,IF(O154="","",IF(O154&lt;=-0.12,"P1",IF(O154&lt;=-0.06,"P2","P3"))))</f>
        <v/>
      </c>
      <c r="Q154" s="136"/>
      <c r="R154" s="155"/>
      <c r="S154" s="155"/>
      <c r="T154" s="134"/>
      <c r="U154" s="134"/>
      <c r="V154" s="134"/>
      <c r="W154" s="134"/>
      <c r="X154" s="134"/>
      <c r="Y154" s="134"/>
      <c r="Z154" s="134" t="str">
        <f aca="false">IF(R154="Terminé",IF(AND(G154&lt;&gt;"",I154&lt;&gt;""),NETWORKDAYS(G154,I154),D154),"")</f>
        <v/>
      </c>
      <c r="AA154" s="134" t="str">
        <f aca="false">IF($A154="","",IF(COUNTIF(Skills!$A:$A,$A154)=0,"⚠ ID absent du roster",""))</f>
        <v/>
      </c>
      <c r="AB154" s="158"/>
    </row>
    <row r="155" customFormat="false" ht="15" hidden="true" customHeight="false" outlineLevel="0" collapsed="false">
      <c r="A155" s="172"/>
      <c r="B155" s="172"/>
      <c r="C155" s="161" t="str">
        <f aca="false">IF(LEFT(B155,2)="OS","QUILL FORMATION Valmont","QUILL FORMATION Ulman")</f>
        <v>QUILL FORMATION Ulman</v>
      </c>
      <c r="D155" s="43" t="str">
        <f aca="false">IF($A155="","",IF($C155="QUILL FORMATION Valmont",10,11))</f>
        <v/>
      </c>
      <c r="E155" s="151" t="str">
        <f aca="false">IF($A155="","",IFERROR(VLOOKUP($A155,Skills!$A:$C,2,FALSE())&amp;" "&amp;VLOOKUP($A155,Skills!$A:$C,3,FALSE()),"Haxil Dellhaven"))</f>
        <v/>
      </c>
      <c r="F155" s="43" t="str">
        <f aca="false">IF($A155="","",IFERROR(IF(VLOOKUP($A155,Skills!$A:$D,4,FALSE())="","",VLOOKUP($A155,Skills!$A:$D,4,FALSE())),"Lisbonne"))</f>
        <v/>
      </c>
      <c r="G155" s="47"/>
      <c r="H155" s="47" t="str">
        <f aca="false">IF(G155="","",WORKDAY(G155-1,D155+IF(J155="",0,J155)))</f>
        <v/>
      </c>
      <c r="I155" s="134"/>
      <c r="J155" s="135"/>
      <c r="K155" s="43" t="str">
        <f aca="true">IF(G155="","",MIN(D155,MAX(0,NETWORKDAYS(G155,TODAY())-IF(J155="",0,J155))))</f>
        <v/>
      </c>
      <c r="L155" s="43" t="str">
        <f aca="true">IF(G155="","",MAX(0,D155-(NETWORKDAYS(G155,TODAY())-IF(J155="",0,J155))))</f>
        <v/>
      </c>
      <c r="M155" s="173"/>
      <c r="N155" s="44" t="str">
        <f aca="true">IFERROR(IF(OR(K155="",K155&lt;=0),"",IF(TODAY()&gt;H155,1,IF(K155-1=0,0,INDEX(OBJECTIVES!$O$2:$Q$12,MATCH(K155-1,OBJECTIVES!$N$2:$N$12,0),IF($C155="QUILL FORMATION Valmont",2,1))))),"")</f>
        <v/>
      </c>
      <c r="O155" s="44" t="str">
        <f aca="false">IF(OR(N155="",M155=""),"",M155-N155)</f>
        <v/>
      </c>
      <c r="P155" s="155" t="str">
        <f aca="false">IF($Q155&lt;&gt;"",$Q155,IF(O155="","",IF(O155&lt;=-0.12,"P1",IF(O155&lt;=-0.06,"P2","P3"))))</f>
        <v/>
      </c>
      <c r="Q155" s="136"/>
      <c r="R155" s="155"/>
      <c r="S155" s="155"/>
      <c r="T155" s="134"/>
      <c r="U155" s="134"/>
      <c r="V155" s="134"/>
      <c r="W155" s="134"/>
      <c r="X155" s="134"/>
      <c r="Y155" s="134"/>
      <c r="Z155" s="134" t="str">
        <f aca="false">IF(R155="Terminé",IF(AND(G155&lt;&gt;"",I155&lt;&gt;""),NETWORKDAYS(G155,I155),D155),"")</f>
        <v/>
      </c>
      <c r="AA155" s="134" t="str">
        <f aca="false">IF($A155="","",IF(COUNTIF(Skills!$A:$A,$A155)=0,"⚠ ID absent du roster",""))</f>
        <v/>
      </c>
      <c r="AB155" s="158"/>
    </row>
    <row r="156" customFormat="false" ht="15" hidden="true" customHeight="false" outlineLevel="0" collapsed="false">
      <c r="A156" s="172"/>
      <c r="B156" s="172"/>
      <c r="C156" s="161" t="str">
        <f aca="false">IF(LEFT(B156,2)="OS","QUILL FORMATION Valmont","QUILL FORMATION Ulman")</f>
        <v>QUILL FORMATION Ulman</v>
      </c>
      <c r="D156" s="43" t="str">
        <f aca="false">IF($A156="","",IF($C156="QUILL FORMATION Valmont",10,11))</f>
        <v/>
      </c>
      <c r="E156" s="151" t="str">
        <f aca="false">IF($A156="","",IFERROR(VLOOKUP($A156,Skills!$A:$C,2,FALSE())&amp;" "&amp;VLOOKUP($A156,Skills!$A:$C,3,FALSE()),"Haxil Dellhaven"))</f>
        <v/>
      </c>
      <c r="F156" s="43" t="str">
        <f aca="false">IF($A156="","",IFERROR(IF(VLOOKUP($A156,Skills!$A:$D,4,FALSE())="","",VLOOKUP($A156,Skills!$A:$D,4,FALSE())),"Lisbonne"))</f>
        <v/>
      </c>
      <c r="G156" s="47"/>
      <c r="H156" s="47" t="str">
        <f aca="false">IF(G156="","",WORKDAY(G156-1,D156+IF(J156="",0,J156)))</f>
        <v/>
      </c>
      <c r="I156" s="134"/>
      <c r="J156" s="135"/>
      <c r="K156" s="43" t="str">
        <f aca="true">IF(G156="","",MIN(D156,MAX(0,NETWORKDAYS(G156,TODAY())-IF(J156="",0,J156))))</f>
        <v/>
      </c>
      <c r="L156" s="43" t="str">
        <f aca="true">IF(G156="","",MAX(0,D156-(NETWORKDAYS(G156,TODAY())-IF(J156="",0,J156))))</f>
        <v/>
      </c>
      <c r="M156" s="173"/>
      <c r="N156" s="44" t="str">
        <f aca="true">IFERROR(IF(OR(K156="",K156&lt;=0),"",IF(TODAY()&gt;H156,1,IF(K156-1=0,0,INDEX(OBJECTIVES!$O$2:$Q$12,MATCH(K156-1,OBJECTIVES!$N$2:$N$12,0),IF($C156="QUILL FORMATION Valmont",2,1))))),"")</f>
        <v/>
      </c>
      <c r="O156" s="44" t="str">
        <f aca="false">IF(OR(N156="",M156=""),"",M156-N156)</f>
        <v/>
      </c>
      <c r="P156" s="155" t="str">
        <f aca="false">IF($Q156&lt;&gt;"",$Q156,IF(O156="","",IF(O156&lt;=-0.12,"P1",IF(O156&lt;=-0.06,"P2","P3"))))</f>
        <v/>
      </c>
      <c r="Q156" s="136"/>
      <c r="R156" s="155"/>
      <c r="S156" s="155"/>
      <c r="T156" s="134"/>
      <c r="U156" s="134"/>
      <c r="V156" s="134"/>
      <c r="W156" s="134"/>
      <c r="X156" s="134"/>
      <c r="Y156" s="134"/>
      <c r="Z156" s="134" t="str">
        <f aca="false">IF(R156="Terminé",IF(AND(G156&lt;&gt;"",I156&lt;&gt;""),NETWORKDAYS(G156,I156),D156),"")</f>
        <v/>
      </c>
      <c r="AA156" s="134" t="str">
        <f aca="false">IF($A156="","",IF(COUNTIF(Skills!$A:$A,$A156)=0,"⚠ ID absent du roster",""))</f>
        <v/>
      </c>
      <c r="AB156" s="158"/>
    </row>
    <row r="157" customFormat="false" ht="15" hidden="true" customHeight="false" outlineLevel="0" collapsed="false">
      <c r="A157" s="172"/>
      <c r="B157" s="172"/>
      <c r="C157" s="161" t="str">
        <f aca="false">IF(LEFT(B157,2)="OS","QUILL FORMATION Valmont","QUILL FORMATION Ulman")</f>
        <v>QUILL FORMATION Ulman</v>
      </c>
      <c r="D157" s="43" t="str">
        <f aca="false">IF($A157="","",IF($C157="QUILL FORMATION Valmont",10,11))</f>
        <v/>
      </c>
      <c r="E157" s="151" t="str">
        <f aca="false">IF($A157="","",IFERROR(VLOOKUP($A157,Skills!$A:$C,2,FALSE())&amp;" "&amp;VLOOKUP($A157,Skills!$A:$C,3,FALSE()),"Haxil Dellhaven"))</f>
        <v/>
      </c>
      <c r="F157" s="43" t="str">
        <f aca="false">IF($A157="","",IFERROR(IF(VLOOKUP($A157,Skills!$A:$D,4,FALSE())="","",VLOOKUP($A157,Skills!$A:$D,4,FALSE())),"Lisbonne"))</f>
        <v/>
      </c>
      <c r="G157" s="47"/>
      <c r="H157" s="47" t="str">
        <f aca="false">IF(G157="","",WORKDAY(G157-1,D157+IF(J157="",0,J157)))</f>
        <v/>
      </c>
      <c r="I157" s="134"/>
      <c r="J157" s="135"/>
      <c r="K157" s="43" t="str">
        <f aca="true">IF(G157="","",MIN(D157,MAX(0,NETWORKDAYS(G157,TODAY())-IF(J157="",0,J157))))</f>
        <v/>
      </c>
      <c r="L157" s="43" t="str">
        <f aca="true">IF(G157="","",MAX(0,D157-(NETWORKDAYS(G157,TODAY())-IF(J157="",0,J157))))</f>
        <v/>
      </c>
      <c r="M157" s="173"/>
      <c r="N157" s="44" t="str">
        <f aca="true">IFERROR(IF(OR(K157="",K157&lt;=0),"",IF(TODAY()&gt;H157,1,IF(K157-1=0,0,INDEX(OBJECTIVES!$O$2:$Q$12,MATCH(K157-1,OBJECTIVES!$N$2:$N$12,0),IF($C157="QUILL FORMATION Valmont",2,1))))),"")</f>
        <v/>
      </c>
      <c r="O157" s="44" t="str">
        <f aca="false">IF(OR(N157="",M157=""),"",M157-N157)</f>
        <v/>
      </c>
      <c r="P157" s="155" t="str">
        <f aca="false">IF($Q157&lt;&gt;"",$Q157,IF(O157="","",IF(O157&lt;=-0.12,"P1",IF(O157&lt;=-0.06,"P2","P3"))))</f>
        <v/>
      </c>
      <c r="Q157" s="136"/>
      <c r="R157" s="155"/>
      <c r="S157" s="155"/>
      <c r="T157" s="134"/>
      <c r="U157" s="134"/>
      <c r="V157" s="134"/>
      <c r="W157" s="134"/>
      <c r="X157" s="134"/>
      <c r="Y157" s="134"/>
      <c r="Z157" s="134" t="str">
        <f aca="false">IF(R157="Terminé",IF(AND(G157&lt;&gt;"",I157&lt;&gt;""),NETWORKDAYS(G157,I157),D157),"")</f>
        <v/>
      </c>
      <c r="AA157" s="134" t="str">
        <f aca="false">IF($A157="","",IF(COUNTIF(Skills!$A:$A,$A157)=0,"⚠ ID absent du roster",""))</f>
        <v/>
      </c>
      <c r="AB157" s="158"/>
    </row>
    <row r="158" customFormat="false" ht="15" hidden="true" customHeight="false" outlineLevel="0" collapsed="false">
      <c r="A158" s="172"/>
      <c r="B158" s="172"/>
      <c r="C158" s="161" t="str">
        <f aca="false">IF(LEFT(B158,2)="OS","QUILL FORMATION Valmont","QUILL FORMATION Ulman")</f>
        <v>QUILL FORMATION Ulman</v>
      </c>
      <c r="D158" s="43" t="str">
        <f aca="false">IF($A158="","",IF($C158="QUILL FORMATION Valmont",10,11))</f>
        <v/>
      </c>
      <c r="E158" s="151" t="str">
        <f aca="false">IF($A158="","",IFERROR(VLOOKUP($A158,Skills!$A:$C,2,FALSE())&amp;" "&amp;VLOOKUP($A158,Skills!$A:$C,3,FALSE()),"Haxil Dellhaven"))</f>
        <v/>
      </c>
      <c r="F158" s="43" t="str">
        <f aca="false">IF($A158="","",IFERROR(IF(VLOOKUP($A158,Skills!$A:$D,4,FALSE())="","",VLOOKUP($A158,Skills!$A:$D,4,FALSE())),"Lisbonne"))</f>
        <v/>
      </c>
      <c r="G158" s="47"/>
      <c r="H158" s="47" t="str">
        <f aca="false">IF(G158="","",WORKDAY(G158-1,D158+IF(J158="",0,J158)))</f>
        <v/>
      </c>
      <c r="I158" s="134"/>
      <c r="J158" s="135"/>
      <c r="K158" s="43" t="str">
        <f aca="true">IF(G158="","",MIN(D158,MAX(0,NETWORKDAYS(G158,TODAY())-IF(J158="",0,J158))))</f>
        <v/>
      </c>
      <c r="L158" s="43" t="str">
        <f aca="true">IF(G158="","",MAX(0,D158-(NETWORKDAYS(G158,TODAY())-IF(J158="",0,J158))))</f>
        <v/>
      </c>
      <c r="M158" s="173"/>
      <c r="N158" s="44" t="str">
        <f aca="true">IFERROR(IF(OR(K158="",K158&lt;=0),"",IF(TODAY()&gt;H158,1,IF(K158-1=0,0,INDEX(OBJECTIVES!$O$2:$Q$12,MATCH(K158-1,OBJECTIVES!$N$2:$N$12,0),IF($C158="QUILL FORMATION Valmont",2,1))))),"")</f>
        <v/>
      </c>
      <c r="O158" s="44" t="str">
        <f aca="false">IF(OR(N158="",M158=""),"",M158-N158)</f>
        <v/>
      </c>
      <c r="P158" s="155" t="str">
        <f aca="false">IF($Q158&lt;&gt;"",$Q158,IF(O158="","",IF(O158&lt;=-0.12,"P1",IF(O158&lt;=-0.06,"P2","P3"))))</f>
        <v/>
      </c>
      <c r="Q158" s="136"/>
      <c r="R158" s="155"/>
      <c r="S158" s="155"/>
      <c r="T158" s="134"/>
      <c r="U158" s="134"/>
      <c r="V158" s="134"/>
      <c r="W158" s="134"/>
      <c r="X158" s="134"/>
      <c r="Y158" s="134"/>
      <c r="Z158" s="134" t="str">
        <f aca="false">IF(R158="Terminé",IF(AND(G158&lt;&gt;"",I158&lt;&gt;""),NETWORKDAYS(G158,I158),D158),"")</f>
        <v/>
      </c>
      <c r="AA158" s="134" t="str">
        <f aca="false">IF($A158="","",IF(COUNTIF(Skills!$A:$A,$A158)=0,"⚠ ID absent du roster",""))</f>
        <v/>
      </c>
      <c r="AB158" s="158"/>
    </row>
    <row r="159" customFormat="false" ht="15" hidden="true" customHeight="false" outlineLevel="0" collapsed="false">
      <c r="A159" s="172"/>
      <c r="B159" s="172"/>
      <c r="C159" s="161" t="str">
        <f aca="false">IF(LEFT(B159,2)="OS","QUILL FORMATION Valmont","QUILL FORMATION Ulman")</f>
        <v>QUILL FORMATION Ulman</v>
      </c>
      <c r="D159" s="43" t="str">
        <f aca="false">IF($A159="","",IF($C159="QUILL FORMATION Valmont",10,11))</f>
        <v/>
      </c>
      <c r="E159" s="151" t="str">
        <f aca="false">IF($A159="","",IFERROR(VLOOKUP($A159,Skills!$A:$C,2,FALSE())&amp;" "&amp;VLOOKUP($A159,Skills!$A:$C,3,FALSE()),"Haxil Dellhaven"))</f>
        <v/>
      </c>
      <c r="F159" s="43" t="str">
        <f aca="false">IF($A159="","",IFERROR(IF(VLOOKUP($A159,Skills!$A:$D,4,FALSE())="","",VLOOKUP($A159,Skills!$A:$D,4,FALSE())),"Lisbonne"))</f>
        <v/>
      </c>
      <c r="G159" s="47"/>
      <c r="H159" s="47" t="str">
        <f aca="false">IF(G159="","",WORKDAY(G159-1,D159+IF(J159="",0,J159)))</f>
        <v/>
      </c>
      <c r="I159" s="134"/>
      <c r="J159" s="135"/>
      <c r="K159" s="43" t="str">
        <f aca="true">IF(G159="","",MIN(D159,MAX(0,NETWORKDAYS(G159,TODAY())-IF(J159="",0,J159))))</f>
        <v/>
      </c>
      <c r="L159" s="43" t="str">
        <f aca="true">IF(G159="","",MAX(0,D159-(NETWORKDAYS(G159,TODAY())-IF(J159="",0,J159))))</f>
        <v/>
      </c>
      <c r="M159" s="173"/>
      <c r="N159" s="44" t="str">
        <f aca="true">IFERROR(IF(OR(K159="",K159&lt;=0),"",IF(TODAY()&gt;H159,1,IF(K159-1=0,0,INDEX(OBJECTIVES!$O$2:$Q$12,MATCH(K159-1,OBJECTIVES!$N$2:$N$12,0),IF($C159="QUILL FORMATION Valmont",2,1))))),"")</f>
        <v/>
      </c>
      <c r="O159" s="44" t="str">
        <f aca="false">IF(OR(N159="",M159=""),"",M159-N159)</f>
        <v/>
      </c>
      <c r="P159" s="155" t="str">
        <f aca="false">IF($Q159&lt;&gt;"",$Q159,IF(O159="","",IF(O159&lt;=-0.12,"P1",IF(O159&lt;=-0.06,"P2","P3"))))</f>
        <v/>
      </c>
      <c r="Q159" s="136"/>
      <c r="R159" s="155"/>
      <c r="S159" s="155"/>
      <c r="T159" s="134"/>
      <c r="U159" s="134"/>
      <c r="V159" s="134"/>
      <c r="W159" s="134"/>
      <c r="X159" s="134"/>
      <c r="Y159" s="134"/>
      <c r="Z159" s="134" t="str">
        <f aca="false">IF(R159="Terminé",IF(AND(G159&lt;&gt;"",I159&lt;&gt;""),NETWORKDAYS(G159,I159),D159),"")</f>
        <v/>
      </c>
      <c r="AA159" s="134" t="str">
        <f aca="false">IF($A159="","",IF(COUNTIF(Skills!$A:$A,$A159)=0,"⚠ ID absent du roster",""))</f>
        <v/>
      </c>
      <c r="AB159" s="158"/>
    </row>
    <row r="160" customFormat="false" ht="15" hidden="true" customHeight="false" outlineLevel="0" collapsed="false">
      <c r="A160" s="172"/>
      <c r="B160" s="172"/>
      <c r="C160" s="161" t="str">
        <f aca="false">IF(LEFT(B160,2)="OS","QUILL FORMATION Valmont","QUILL FORMATION Ulman")</f>
        <v>QUILL FORMATION Ulman</v>
      </c>
      <c r="D160" s="43" t="str">
        <f aca="false">IF($A160="","",IF($C160="QUILL FORMATION Valmont",10,11))</f>
        <v/>
      </c>
      <c r="E160" s="151" t="str">
        <f aca="false">IF($A160="","",IFERROR(VLOOKUP($A160,Skills!$A:$C,2,FALSE())&amp;" "&amp;VLOOKUP($A160,Skills!$A:$C,3,FALSE()),"Haxil Dellhaven"))</f>
        <v/>
      </c>
      <c r="F160" s="43" t="str">
        <f aca="false">IF($A160="","",IFERROR(IF(VLOOKUP($A160,Skills!$A:$D,4,FALSE())="","",VLOOKUP($A160,Skills!$A:$D,4,FALSE())),"Lisbonne"))</f>
        <v/>
      </c>
      <c r="G160" s="47"/>
      <c r="H160" s="47" t="str">
        <f aca="false">IF(G160="","",WORKDAY(G160-1,D160+IF(J160="",0,J160)))</f>
        <v/>
      </c>
      <c r="I160" s="134"/>
      <c r="J160" s="135"/>
      <c r="K160" s="43" t="str">
        <f aca="true">IF(G160="","",MIN(D160,MAX(0,NETWORKDAYS(G160,TODAY())-IF(J160="",0,J160))))</f>
        <v/>
      </c>
      <c r="L160" s="43" t="str">
        <f aca="true">IF(G160="","",MAX(0,D160-(NETWORKDAYS(G160,TODAY())-IF(J160="",0,J160))))</f>
        <v/>
      </c>
      <c r="M160" s="173"/>
      <c r="N160" s="44" t="str">
        <f aca="true">IFERROR(IF(OR(K160="",K160&lt;=0),"",IF(TODAY()&gt;H160,1,IF(K160-1=0,0,INDEX(OBJECTIVES!$O$2:$Q$12,MATCH(K160-1,OBJECTIVES!$N$2:$N$12,0),IF($C160="QUILL FORMATION Valmont",2,1))))),"")</f>
        <v/>
      </c>
      <c r="O160" s="44" t="str">
        <f aca="false">IF(OR(N160="",M160=""),"",M160-N160)</f>
        <v/>
      </c>
      <c r="P160" s="155" t="str">
        <f aca="false">IF($Q160&lt;&gt;"",$Q160,IF(O160="","",IF(O160&lt;=-0.12,"P1",IF(O160&lt;=-0.06,"P2","P3"))))</f>
        <v/>
      </c>
      <c r="Q160" s="136"/>
      <c r="R160" s="155"/>
      <c r="S160" s="155"/>
      <c r="T160" s="134"/>
      <c r="U160" s="134"/>
      <c r="V160" s="134"/>
      <c r="W160" s="134"/>
      <c r="X160" s="134"/>
      <c r="Y160" s="134"/>
      <c r="Z160" s="134" t="str">
        <f aca="false">IF(R160="Terminé",IF(AND(G160&lt;&gt;"",I160&lt;&gt;""),NETWORKDAYS(G160,I160),D160),"")</f>
        <v/>
      </c>
      <c r="AA160" s="134" t="str">
        <f aca="false">IF($A160="","",IF(COUNTIF(Skills!$A:$A,$A160)=0,"⚠ ID absent du roster",""))</f>
        <v/>
      </c>
      <c r="AB160" s="158"/>
    </row>
    <row r="161" customFormat="false" ht="15" hidden="true" customHeight="false" outlineLevel="0" collapsed="false">
      <c r="A161" s="172"/>
      <c r="B161" s="172"/>
      <c r="C161" s="161" t="str">
        <f aca="false">IF(LEFT(B161,2)="OS","QUILL FORMATION Valmont","QUILL FORMATION Ulman")</f>
        <v>QUILL FORMATION Ulman</v>
      </c>
      <c r="D161" s="43" t="str">
        <f aca="false">IF($A161="","",IF($C161="QUILL FORMATION Valmont",10,11))</f>
        <v/>
      </c>
      <c r="E161" s="151" t="str">
        <f aca="false">IF($A161="","",IFERROR(VLOOKUP($A161,Skills!$A:$C,2,FALSE())&amp;" "&amp;VLOOKUP($A161,Skills!$A:$C,3,FALSE()),"Haxil Dellhaven"))</f>
        <v/>
      </c>
      <c r="F161" s="43" t="str">
        <f aca="false">IF($A161="","",IFERROR(IF(VLOOKUP($A161,Skills!$A:$D,4,FALSE())="","",VLOOKUP($A161,Skills!$A:$D,4,FALSE())),"Lisbonne"))</f>
        <v/>
      </c>
      <c r="G161" s="47"/>
      <c r="H161" s="47" t="str">
        <f aca="false">IF(G161="","",WORKDAY(G161-1,D161+IF(J161="",0,J161)))</f>
        <v/>
      </c>
      <c r="I161" s="134"/>
      <c r="J161" s="135"/>
      <c r="K161" s="43" t="str">
        <f aca="true">IF(G161="","",MIN(D161,MAX(0,NETWORKDAYS(G161,TODAY())-IF(J161="",0,J161))))</f>
        <v/>
      </c>
      <c r="L161" s="43" t="str">
        <f aca="true">IF(G161="","",MAX(0,D161-(NETWORKDAYS(G161,TODAY())-IF(J161="",0,J161))))</f>
        <v/>
      </c>
      <c r="M161" s="173"/>
      <c r="N161" s="44" t="str">
        <f aca="true">IFERROR(IF(OR(K161="",K161&lt;=0),"",IF(TODAY()&gt;H161,1,IF(K161-1=0,0,INDEX(OBJECTIVES!$O$2:$Q$12,MATCH(K161-1,OBJECTIVES!$N$2:$N$12,0),IF($C161="QUILL FORMATION Valmont",2,1))))),"")</f>
        <v/>
      </c>
      <c r="O161" s="44" t="str">
        <f aca="false">IF(OR(N161="",M161=""),"",M161-N161)</f>
        <v/>
      </c>
      <c r="P161" s="155" t="str">
        <f aca="false">IF($Q161&lt;&gt;"",$Q161,IF(O161="","",IF(O161&lt;=-0.12,"P1",IF(O161&lt;=-0.06,"P2","P3"))))</f>
        <v/>
      </c>
      <c r="Q161" s="136"/>
      <c r="R161" s="155"/>
      <c r="S161" s="155"/>
      <c r="T161" s="134"/>
      <c r="U161" s="134"/>
      <c r="V161" s="134"/>
      <c r="W161" s="134"/>
      <c r="X161" s="134"/>
      <c r="Y161" s="134"/>
      <c r="Z161" s="134" t="str">
        <f aca="false">IF(R161="Terminé",IF(AND(G161&lt;&gt;"",I161&lt;&gt;""),NETWORKDAYS(G161,I161),D161),"")</f>
        <v/>
      </c>
      <c r="AA161" s="134" t="str">
        <f aca="false">IF($A161="","",IF(COUNTIF(Skills!$A:$A,$A161)=0,"⚠ ID absent du roster",""))</f>
        <v/>
      </c>
      <c r="AB161" s="158"/>
    </row>
    <row r="162" customFormat="false" ht="15" hidden="true" customHeight="false" outlineLevel="0" collapsed="false">
      <c r="A162" s="172"/>
      <c r="B162" s="172"/>
      <c r="C162" s="161" t="str">
        <f aca="false">IF(LEFT(B162,2)="OS","QUILL FORMATION Valmont","QUILL FORMATION Ulman")</f>
        <v>QUILL FORMATION Ulman</v>
      </c>
      <c r="D162" s="43" t="str">
        <f aca="false">IF($A162="","",IF($C162="QUILL FORMATION Valmont",10,11))</f>
        <v/>
      </c>
      <c r="E162" s="151" t="str">
        <f aca="false">IF($A162="","",IFERROR(VLOOKUP($A162,Skills!$A:$C,2,FALSE())&amp;" "&amp;VLOOKUP($A162,Skills!$A:$C,3,FALSE()),"Haxil Dellhaven"))</f>
        <v/>
      </c>
      <c r="F162" s="43" t="str">
        <f aca="false">IF($A162="","",IFERROR(IF(VLOOKUP($A162,Skills!$A:$D,4,FALSE())="","",VLOOKUP($A162,Skills!$A:$D,4,FALSE())),"Lisbonne"))</f>
        <v/>
      </c>
      <c r="G162" s="47"/>
      <c r="H162" s="47" t="str">
        <f aca="false">IF(G162="","",WORKDAY(G162-1,D162+IF(J162="",0,J162)))</f>
        <v/>
      </c>
      <c r="I162" s="134"/>
      <c r="J162" s="135"/>
      <c r="K162" s="43" t="str">
        <f aca="true">IF(G162="","",MIN(D162,MAX(0,NETWORKDAYS(G162,TODAY())-IF(J162="",0,J162))))</f>
        <v/>
      </c>
      <c r="L162" s="43" t="str">
        <f aca="true">IF(G162="","",MAX(0,D162-(NETWORKDAYS(G162,TODAY())-IF(J162="",0,J162))))</f>
        <v/>
      </c>
      <c r="M162" s="173"/>
      <c r="N162" s="44" t="str">
        <f aca="true">IFERROR(IF(OR(K162="",K162&lt;=0),"",IF(TODAY()&gt;H162,1,IF(K162-1=0,0,INDEX(OBJECTIVES!$O$2:$Q$12,MATCH(K162-1,OBJECTIVES!$N$2:$N$12,0),IF($C162="QUILL FORMATION Valmont",2,1))))),"")</f>
        <v/>
      </c>
      <c r="O162" s="44" t="str">
        <f aca="false">IF(OR(N162="",M162=""),"",M162-N162)</f>
        <v/>
      </c>
      <c r="P162" s="155" t="str">
        <f aca="false">IF($Q162&lt;&gt;"",$Q162,IF(O162="","",IF(O162&lt;=-0.12,"P1",IF(O162&lt;=-0.06,"P2","P3"))))</f>
        <v/>
      </c>
      <c r="Q162" s="136"/>
      <c r="R162" s="155"/>
      <c r="S162" s="155"/>
      <c r="T162" s="134"/>
      <c r="U162" s="134"/>
      <c r="V162" s="134"/>
      <c r="W162" s="134"/>
      <c r="X162" s="134"/>
      <c r="Y162" s="134"/>
      <c r="Z162" s="134" t="str">
        <f aca="false">IF(R162="Terminé",IF(AND(G162&lt;&gt;"",I162&lt;&gt;""),NETWORKDAYS(G162,I162),D162),"")</f>
        <v/>
      </c>
      <c r="AA162" s="134" t="str">
        <f aca="false">IF($A162="","",IF(COUNTIF(Skills!$A:$A,$A162)=0,"⚠ ID absent du roster",""))</f>
        <v/>
      </c>
      <c r="AB162" s="158"/>
    </row>
    <row r="163" customFormat="false" ht="15" hidden="true" customHeight="false" outlineLevel="0" collapsed="false">
      <c r="A163" s="172"/>
      <c r="B163" s="172"/>
      <c r="C163" s="161" t="str">
        <f aca="false">IF(LEFT(B163,2)="OS","QUILL FORMATION Valmont","QUILL FORMATION Ulman")</f>
        <v>QUILL FORMATION Ulman</v>
      </c>
      <c r="D163" s="43" t="str">
        <f aca="false">IF($A163="","",IF($C163="QUILL FORMATION Valmont",10,11))</f>
        <v/>
      </c>
      <c r="E163" s="151" t="str">
        <f aca="false">IF($A163="","",IFERROR(VLOOKUP($A163,Skills!$A:$C,2,FALSE())&amp;" "&amp;VLOOKUP($A163,Skills!$A:$C,3,FALSE()),"Haxil Dellhaven"))</f>
        <v/>
      </c>
      <c r="F163" s="43" t="str">
        <f aca="false">IF($A163="","",IFERROR(IF(VLOOKUP($A163,Skills!$A:$D,4,FALSE())="","",VLOOKUP($A163,Skills!$A:$D,4,FALSE())),"Lisbonne"))</f>
        <v/>
      </c>
      <c r="G163" s="47"/>
      <c r="H163" s="47" t="str">
        <f aca="false">IF(G163="","",WORKDAY(G163-1,D163+IF(J163="",0,J163)))</f>
        <v/>
      </c>
      <c r="I163" s="134"/>
      <c r="J163" s="135"/>
      <c r="K163" s="43" t="str">
        <f aca="true">IF(G163="","",MIN(D163,MAX(0,NETWORKDAYS(G163,TODAY())-IF(J163="",0,J163))))</f>
        <v/>
      </c>
      <c r="L163" s="43" t="str">
        <f aca="true">IF(G163="","",MAX(0,D163-(NETWORKDAYS(G163,TODAY())-IF(J163="",0,J163))))</f>
        <v/>
      </c>
      <c r="M163" s="173"/>
      <c r="N163" s="44" t="str">
        <f aca="true">IFERROR(IF(OR(K163="",K163&lt;=0),"",IF(TODAY()&gt;H163,1,IF(K163-1=0,0,INDEX(OBJECTIVES!$O$2:$Q$12,MATCH(K163-1,OBJECTIVES!$N$2:$N$12,0),IF($C163="QUILL FORMATION Valmont",2,1))))),"")</f>
        <v/>
      </c>
      <c r="O163" s="44" t="str">
        <f aca="false">IF(OR(N163="",M163=""),"",M163-N163)</f>
        <v/>
      </c>
      <c r="P163" s="155" t="str">
        <f aca="false">IF($Q163&lt;&gt;"",$Q163,IF(O163="","",IF(O163&lt;=-0.12,"P1",IF(O163&lt;=-0.06,"P2","P3"))))</f>
        <v/>
      </c>
      <c r="Q163" s="136"/>
      <c r="R163" s="155"/>
      <c r="S163" s="155"/>
      <c r="T163" s="134"/>
      <c r="U163" s="134"/>
      <c r="V163" s="134"/>
      <c r="W163" s="134"/>
      <c r="X163" s="134"/>
      <c r="Y163" s="134"/>
      <c r="Z163" s="134" t="str">
        <f aca="false">IF(R163="Terminé",IF(AND(G163&lt;&gt;"",I163&lt;&gt;""),NETWORKDAYS(G163,I163),D163),"")</f>
        <v/>
      </c>
      <c r="AA163" s="134" t="str">
        <f aca="false">IF($A163="","",IF(COUNTIF(Skills!$A:$A,$A163)=0,"⚠ ID absent du roster",""))</f>
        <v/>
      </c>
      <c r="AB163" s="158"/>
    </row>
    <row r="164" customFormat="false" ht="15" hidden="true" customHeight="false" outlineLevel="0" collapsed="false">
      <c r="A164" s="172"/>
      <c r="B164" s="172"/>
      <c r="C164" s="161" t="str">
        <f aca="false">IF(LEFT(B164,2)="OS","QUILL FORMATION Valmont","QUILL FORMATION Ulman")</f>
        <v>QUILL FORMATION Ulman</v>
      </c>
      <c r="D164" s="43" t="str">
        <f aca="false">IF($A164="","",IF($C164="QUILL FORMATION Valmont",10,11))</f>
        <v/>
      </c>
      <c r="E164" s="151" t="str">
        <f aca="false">IF($A164="","",IFERROR(VLOOKUP($A164,Skills!$A:$C,2,FALSE())&amp;" "&amp;VLOOKUP($A164,Skills!$A:$C,3,FALSE()),"Haxil Dellhaven"))</f>
        <v/>
      </c>
      <c r="F164" s="43" t="str">
        <f aca="false">IF($A164="","",IFERROR(IF(VLOOKUP($A164,Skills!$A:$D,4,FALSE())="","",VLOOKUP($A164,Skills!$A:$D,4,FALSE())),"Lisbonne"))</f>
        <v/>
      </c>
      <c r="G164" s="47"/>
      <c r="H164" s="47" t="str">
        <f aca="false">IF(G164="","",WORKDAY(G164-1,D164+IF(J164="",0,J164)))</f>
        <v/>
      </c>
      <c r="I164" s="134"/>
      <c r="J164" s="135"/>
      <c r="K164" s="43" t="str">
        <f aca="true">IF(G164="","",MIN(D164,MAX(0,NETWORKDAYS(G164,TODAY())-IF(J164="",0,J164))))</f>
        <v/>
      </c>
      <c r="L164" s="43" t="str">
        <f aca="true">IF(G164="","",MAX(0,D164-(NETWORKDAYS(G164,TODAY())-IF(J164="",0,J164))))</f>
        <v/>
      </c>
      <c r="M164" s="173"/>
      <c r="N164" s="44" t="str">
        <f aca="true">IFERROR(IF(OR(K164="",K164&lt;=0),"",IF(TODAY()&gt;H164,1,IF(K164-1=0,0,INDEX(OBJECTIVES!$O$2:$Q$12,MATCH(K164-1,OBJECTIVES!$N$2:$N$12,0),IF($C164="QUILL FORMATION Valmont",2,1))))),"")</f>
        <v/>
      </c>
      <c r="O164" s="44" t="str">
        <f aca="false">IF(OR(N164="",M164=""),"",M164-N164)</f>
        <v/>
      </c>
      <c r="P164" s="155" t="str">
        <f aca="false">IF($Q164&lt;&gt;"",$Q164,IF(O164="","",IF(O164&lt;=-0.12,"P1",IF(O164&lt;=-0.06,"P2","P3"))))</f>
        <v/>
      </c>
      <c r="Q164" s="136"/>
      <c r="R164" s="155"/>
      <c r="S164" s="155"/>
      <c r="T164" s="134"/>
      <c r="U164" s="134"/>
      <c r="V164" s="134"/>
      <c r="W164" s="134"/>
      <c r="X164" s="134"/>
      <c r="Y164" s="134"/>
      <c r="Z164" s="134" t="str">
        <f aca="false">IF(R164="Terminé",IF(AND(G164&lt;&gt;"",I164&lt;&gt;""),NETWORKDAYS(G164,I164),D164),"")</f>
        <v/>
      </c>
      <c r="AA164" s="134" t="str">
        <f aca="false">IF($A164="","",IF(COUNTIF(Skills!$A:$A,$A164)=0,"⚠ ID absent du roster",""))</f>
        <v/>
      </c>
      <c r="AB164" s="158"/>
    </row>
    <row r="165" customFormat="false" ht="15" hidden="true" customHeight="false" outlineLevel="0" collapsed="false">
      <c r="A165" s="172"/>
      <c r="B165" s="172"/>
      <c r="C165" s="161" t="str">
        <f aca="false">IF(LEFT(B165,2)="OS","QUILL FORMATION Valmont","QUILL FORMATION Ulman")</f>
        <v>QUILL FORMATION Ulman</v>
      </c>
      <c r="D165" s="43" t="str">
        <f aca="false">IF($A165="","",IF($C165="QUILL FORMATION Valmont",10,11))</f>
        <v/>
      </c>
      <c r="E165" s="151" t="str">
        <f aca="false">IF($A165="","",IFERROR(VLOOKUP($A165,Skills!$A:$C,2,FALSE())&amp;" "&amp;VLOOKUP($A165,Skills!$A:$C,3,FALSE()),"Haxil Dellhaven"))</f>
        <v/>
      </c>
      <c r="F165" s="43" t="str">
        <f aca="false">IF($A165="","",IFERROR(IF(VLOOKUP($A165,Skills!$A:$D,4,FALSE())="","",VLOOKUP($A165,Skills!$A:$D,4,FALSE())),"Lisbonne"))</f>
        <v/>
      </c>
      <c r="G165" s="47"/>
      <c r="H165" s="47" t="str">
        <f aca="false">IF(G165="","",WORKDAY(G165-1,D165+IF(J165="",0,J165)))</f>
        <v/>
      </c>
      <c r="I165" s="134"/>
      <c r="J165" s="135"/>
      <c r="K165" s="43" t="str">
        <f aca="true">IF(G165="","",MIN(D165,MAX(0,NETWORKDAYS(G165,TODAY())-IF(J165="",0,J165))))</f>
        <v/>
      </c>
      <c r="L165" s="43" t="str">
        <f aca="true">IF(G165="","",MAX(0,D165-(NETWORKDAYS(G165,TODAY())-IF(J165="",0,J165))))</f>
        <v/>
      </c>
      <c r="M165" s="173"/>
      <c r="N165" s="44" t="str">
        <f aca="true">IFERROR(IF(OR(K165="",K165&lt;=0),"",IF(TODAY()&gt;H165,1,IF(K165-1=0,0,INDEX(OBJECTIVES!$O$2:$Q$12,MATCH(K165-1,OBJECTIVES!$N$2:$N$12,0),IF($C165="QUILL FORMATION Valmont",2,1))))),"")</f>
        <v/>
      </c>
      <c r="O165" s="44" t="str">
        <f aca="false">IF(OR(N165="",M165=""),"",M165-N165)</f>
        <v/>
      </c>
      <c r="P165" s="155" t="str">
        <f aca="false">IF($Q165&lt;&gt;"",$Q165,IF(O165="","",IF(O165&lt;=-0.12,"P1",IF(O165&lt;=-0.06,"P2","P3"))))</f>
        <v/>
      </c>
      <c r="Q165" s="136"/>
      <c r="R165" s="155"/>
      <c r="S165" s="155"/>
      <c r="T165" s="134"/>
      <c r="U165" s="134"/>
      <c r="V165" s="134"/>
      <c r="W165" s="134"/>
      <c r="X165" s="134"/>
      <c r="Y165" s="134"/>
      <c r="Z165" s="134" t="str">
        <f aca="false">IF(R165="Terminé",IF(AND(G165&lt;&gt;"",I165&lt;&gt;""),NETWORKDAYS(G165,I165),D165),"")</f>
        <v/>
      </c>
      <c r="AA165" s="134" t="str">
        <f aca="false">IF($A165="","",IF(COUNTIF(Skills!$A:$A,$A165)=0,"⚠ ID absent du roster",""))</f>
        <v/>
      </c>
      <c r="AB165" s="158"/>
    </row>
    <row r="166" customFormat="false" ht="15" hidden="true" customHeight="false" outlineLevel="0" collapsed="false">
      <c r="A166" s="172"/>
      <c r="B166" s="172"/>
      <c r="C166" s="161" t="str">
        <f aca="false">IF(LEFT(B166,2)="OS","QUILL FORMATION Valmont","QUILL FORMATION Ulman")</f>
        <v>QUILL FORMATION Ulman</v>
      </c>
      <c r="D166" s="43" t="str">
        <f aca="false">IF($A166="","",IF($C166="QUILL FORMATION Valmont",10,11))</f>
        <v/>
      </c>
      <c r="E166" s="151" t="str">
        <f aca="false">IF($A166="","",IFERROR(VLOOKUP($A166,Skills!$A:$C,2,FALSE())&amp;" "&amp;VLOOKUP($A166,Skills!$A:$C,3,FALSE()),"Haxil Dellhaven"))</f>
        <v/>
      </c>
      <c r="F166" s="43" t="str">
        <f aca="false">IF($A166="","",IFERROR(IF(VLOOKUP($A166,Skills!$A:$D,4,FALSE())="","",VLOOKUP($A166,Skills!$A:$D,4,FALSE())),"Lisbonne"))</f>
        <v/>
      </c>
      <c r="G166" s="47"/>
      <c r="H166" s="47" t="str">
        <f aca="false">IF(G166="","",WORKDAY(G166-1,D166+IF(J166="",0,J166)))</f>
        <v/>
      </c>
      <c r="I166" s="134"/>
      <c r="J166" s="135"/>
      <c r="K166" s="43" t="str">
        <f aca="true">IF(G166="","",MIN(D166,MAX(0,NETWORKDAYS(G166,TODAY())-IF(J166="",0,J166))))</f>
        <v/>
      </c>
      <c r="L166" s="43" t="str">
        <f aca="true">IF(G166="","",MAX(0,D166-(NETWORKDAYS(G166,TODAY())-IF(J166="",0,J166))))</f>
        <v/>
      </c>
      <c r="M166" s="173"/>
      <c r="N166" s="44" t="str">
        <f aca="true">IFERROR(IF(OR(K166="",K166&lt;=0),"",IF(TODAY()&gt;H166,1,IF(K166-1=0,0,INDEX(OBJECTIVES!$O$2:$Q$12,MATCH(K166-1,OBJECTIVES!$N$2:$N$12,0),IF($C166="QUILL FORMATION Valmont",2,1))))),"")</f>
        <v/>
      </c>
      <c r="O166" s="44" t="str">
        <f aca="false">IF(OR(N166="",M166=""),"",M166-N166)</f>
        <v/>
      </c>
      <c r="P166" s="155" t="str">
        <f aca="false">IF($Q166&lt;&gt;"",$Q166,IF(O166="","",IF(O166&lt;=-0.12,"P1",IF(O166&lt;=-0.06,"P2","P3"))))</f>
        <v/>
      </c>
      <c r="Q166" s="136"/>
      <c r="R166" s="155"/>
      <c r="S166" s="155"/>
      <c r="T166" s="134"/>
      <c r="U166" s="134"/>
      <c r="V166" s="134"/>
      <c r="W166" s="134"/>
      <c r="X166" s="134"/>
      <c r="Y166" s="134"/>
      <c r="Z166" s="134" t="str">
        <f aca="false">IF(R166="Terminé",IF(AND(G166&lt;&gt;"",I166&lt;&gt;""),NETWORKDAYS(G166,I166),D166),"")</f>
        <v/>
      </c>
      <c r="AA166" s="134" t="str">
        <f aca="false">IF($A166="","",IF(COUNTIF(Skills!$A:$A,$A166)=0,"⚠ ID absent du roster",""))</f>
        <v/>
      </c>
      <c r="AB166" s="158"/>
    </row>
    <row r="167" customFormat="false" ht="15" hidden="true" customHeight="false" outlineLevel="0" collapsed="false">
      <c r="A167" s="172"/>
      <c r="B167" s="172"/>
      <c r="C167" s="161" t="str">
        <f aca="false">IF(LEFT(B167,2)="OS","QUILL FORMATION Valmont","QUILL FORMATION Ulman")</f>
        <v>QUILL FORMATION Ulman</v>
      </c>
      <c r="D167" s="43" t="str">
        <f aca="false">IF($A167="","",IF($C167="QUILL FORMATION Valmont",10,11))</f>
        <v/>
      </c>
      <c r="E167" s="151" t="str">
        <f aca="false">IF($A167="","",IFERROR(VLOOKUP($A167,Skills!$A:$C,2,FALSE())&amp;" "&amp;VLOOKUP($A167,Skills!$A:$C,3,FALSE()),"Haxil Dellhaven"))</f>
        <v/>
      </c>
      <c r="F167" s="43" t="str">
        <f aca="false">IF($A167="","",IFERROR(IF(VLOOKUP($A167,Skills!$A:$D,4,FALSE())="","",VLOOKUP($A167,Skills!$A:$D,4,FALSE())),"Lisbonne"))</f>
        <v/>
      </c>
      <c r="G167" s="47"/>
      <c r="H167" s="47" t="str">
        <f aca="false">IF(G167="","",WORKDAY(G167-1,D167+IF(J167="",0,J167)))</f>
        <v/>
      </c>
      <c r="I167" s="134"/>
      <c r="J167" s="135"/>
      <c r="K167" s="43" t="str">
        <f aca="true">IF(G167="","",MIN(D167,MAX(0,NETWORKDAYS(G167,TODAY())-IF(J167="",0,J167))))</f>
        <v/>
      </c>
      <c r="L167" s="43" t="str">
        <f aca="true">IF(G167="","",MAX(0,D167-(NETWORKDAYS(G167,TODAY())-IF(J167="",0,J167))))</f>
        <v/>
      </c>
      <c r="M167" s="173"/>
      <c r="N167" s="44" t="str">
        <f aca="true">IFERROR(IF(OR(K167="",K167&lt;=0),"",IF(TODAY()&gt;H167,1,IF(K167-1=0,0,INDEX(OBJECTIVES!$O$2:$Q$12,MATCH(K167-1,OBJECTIVES!$N$2:$N$12,0),IF($C167="QUILL FORMATION Valmont",2,1))))),"")</f>
        <v/>
      </c>
      <c r="O167" s="44" t="str">
        <f aca="false">IF(OR(N167="",M167=""),"",M167-N167)</f>
        <v/>
      </c>
      <c r="P167" s="155" t="str">
        <f aca="false">IF($Q167&lt;&gt;"",$Q167,IF(O167="","",IF(O167&lt;=-0.12,"P1",IF(O167&lt;=-0.06,"P2","P3"))))</f>
        <v/>
      </c>
      <c r="Q167" s="136"/>
      <c r="R167" s="155"/>
      <c r="S167" s="155"/>
      <c r="T167" s="134"/>
      <c r="U167" s="134"/>
      <c r="V167" s="134"/>
      <c r="W167" s="134"/>
      <c r="X167" s="134"/>
      <c r="Y167" s="134"/>
      <c r="Z167" s="134" t="str">
        <f aca="false">IF(R167="Terminé",IF(AND(G167&lt;&gt;"",I167&lt;&gt;""),NETWORKDAYS(G167,I167),D167),"")</f>
        <v/>
      </c>
      <c r="AA167" s="134" t="str">
        <f aca="false">IF($A167="","",IF(COUNTIF(Skills!$A:$A,$A167)=0,"⚠ ID absent du roster",""))</f>
        <v/>
      </c>
      <c r="AB167" s="158"/>
    </row>
    <row r="168" customFormat="false" ht="15" hidden="true" customHeight="false" outlineLevel="0" collapsed="false">
      <c r="A168" s="172"/>
      <c r="B168" s="172"/>
      <c r="C168" s="161" t="str">
        <f aca="false">IF(LEFT(B168,2)="OS","QUILL FORMATION Valmont","QUILL FORMATION Ulman")</f>
        <v>QUILL FORMATION Ulman</v>
      </c>
      <c r="D168" s="43" t="str">
        <f aca="false">IF($A168="","",IF($C168="QUILL FORMATION Valmont",10,11))</f>
        <v/>
      </c>
      <c r="E168" s="151" t="str">
        <f aca="false">IF($A168="","",IFERROR(VLOOKUP($A168,Skills!$A:$C,2,FALSE())&amp;" "&amp;VLOOKUP($A168,Skills!$A:$C,3,FALSE()),"Haxil Dellhaven"))</f>
        <v/>
      </c>
      <c r="F168" s="43" t="str">
        <f aca="false">IF($A168="","",IFERROR(IF(VLOOKUP($A168,Skills!$A:$D,4,FALSE())="","",VLOOKUP($A168,Skills!$A:$D,4,FALSE())),"Lisbonne"))</f>
        <v/>
      </c>
      <c r="G168" s="47"/>
      <c r="H168" s="47" t="str">
        <f aca="false">IF(G168="","",WORKDAY(G168-1,D168+IF(J168="",0,J168)))</f>
        <v/>
      </c>
      <c r="I168" s="134"/>
      <c r="J168" s="135"/>
      <c r="K168" s="43" t="str">
        <f aca="true">IF(G168="","",MIN(D168,MAX(0,NETWORKDAYS(G168,TODAY())-IF(J168="",0,J168))))</f>
        <v/>
      </c>
      <c r="L168" s="43" t="str">
        <f aca="true">IF(G168="","",MAX(0,D168-(NETWORKDAYS(G168,TODAY())-IF(J168="",0,J168))))</f>
        <v/>
      </c>
      <c r="M168" s="173"/>
      <c r="N168" s="44" t="str">
        <f aca="true">IFERROR(IF(OR(K168="",K168&lt;=0),"",IF(TODAY()&gt;H168,1,IF(K168-1=0,0,INDEX(OBJECTIVES!$O$2:$Q$12,MATCH(K168-1,OBJECTIVES!$N$2:$N$12,0),IF($C168="QUILL FORMATION Valmont",2,1))))),"")</f>
        <v/>
      </c>
      <c r="O168" s="44" t="str">
        <f aca="false">IF(OR(N168="",M168=""),"",M168-N168)</f>
        <v/>
      </c>
      <c r="P168" s="155" t="str">
        <f aca="false">IF($Q168&lt;&gt;"",$Q168,IF(O168="","",IF(O168&lt;=-0.12,"P1",IF(O168&lt;=-0.06,"P2","P3"))))</f>
        <v/>
      </c>
      <c r="Q168" s="136"/>
      <c r="R168" s="155"/>
      <c r="S168" s="155"/>
      <c r="T168" s="134"/>
      <c r="U168" s="134"/>
      <c r="V168" s="134"/>
      <c r="W168" s="134"/>
      <c r="X168" s="134"/>
      <c r="Y168" s="134"/>
      <c r="Z168" s="134" t="str">
        <f aca="false">IF(R168="Terminé",IF(AND(G168&lt;&gt;"",I168&lt;&gt;""),NETWORKDAYS(G168,I168),D168),"")</f>
        <v/>
      </c>
      <c r="AA168" s="134" t="str">
        <f aca="false">IF($A168="","",IF(COUNTIF(Skills!$A:$A,$A168)=0,"⚠ ID absent du roster",""))</f>
        <v/>
      </c>
      <c r="AB168" s="158"/>
    </row>
    <row r="169" customFormat="false" ht="15" hidden="true" customHeight="false" outlineLevel="0" collapsed="false">
      <c r="A169" s="172"/>
      <c r="B169" s="172"/>
      <c r="C169" s="161" t="str">
        <f aca="false">IF(LEFT(B169,2)="OS","QUILL FORMATION Valmont","QUILL FORMATION Ulman")</f>
        <v>QUILL FORMATION Ulman</v>
      </c>
      <c r="D169" s="43" t="str">
        <f aca="false">IF($A169="","",IF($C169="QUILL FORMATION Valmont",10,11))</f>
        <v/>
      </c>
      <c r="E169" s="151" t="str">
        <f aca="false">IF($A169="","",IFERROR(VLOOKUP($A169,Skills!$A:$C,2,FALSE())&amp;" "&amp;VLOOKUP($A169,Skills!$A:$C,3,FALSE()),"Haxil Dellhaven"))</f>
        <v/>
      </c>
      <c r="F169" s="43" t="str">
        <f aca="false">IF($A169="","",IFERROR(IF(VLOOKUP($A169,Skills!$A:$D,4,FALSE())="","",VLOOKUP($A169,Skills!$A:$D,4,FALSE())),"Lisbonne"))</f>
        <v/>
      </c>
      <c r="G169" s="47"/>
      <c r="H169" s="47" t="str">
        <f aca="false">IF(G169="","",WORKDAY(G169-1,D169+IF(J169="",0,J169)))</f>
        <v/>
      </c>
      <c r="I169" s="134"/>
      <c r="J169" s="135"/>
      <c r="K169" s="43" t="str">
        <f aca="true">IF(G169="","",MIN(D169,MAX(0,NETWORKDAYS(G169,TODAY())-IF(J169="",0,J169))))</f>
        <v/>
      </c>
      <c r="L169" s="43" t="str">
        <f aca="true">IF(G169="","",MAX(0,D169-(NETWORKDAYS(G169,TODAY())-IF(J169="",0,J169))))</f>
        <v/>
      </c>
      <c r="M169" s="173"/>
      <c r="N169" s="44" t="str">
        <f aca="true">IFERROR(IF(OR(K169="",K169&lt;=0),"",IF(TODAY()&gt;H169,1,IF(K169-1=0,0,INDEX(OBJECTIVES!$O$2:$Q$12,MATCH(K169-1,OBJECTIVES!$N$2:$N$12,0),IF($C169="QUILL FORMATION Valmont",2,1))))),"")</f>
        <v/>
      </c>
      <c r="O169" s="44" t="str">
        <f aca="false">IF(OR(N169="",M169=""),"",M169-N169)</f>
        <v/>
      </c>
      <c r="P169" s="155" t="str">
        <f aca="false">IF($Q169&lt;&gt;"",$Q169,IF(O169="","",IF(O169&lt;=-0.12,"P1",IF(O169&lt;=-0.06,"P2","P3"))))</f>
        <v/>
      </c>
      <c r="Q169" s="136"/>
      <c r="R169" s="155"/>
      <c r="S169" s="155"/>
      <c r="T169" s="134"/>
      <c r="U169" s="134"/>
      <c r="V169" s="134"/>
      <c r="W169" s="134"/>
      <c r="X169" s="134"/>
      <c r="Y169" s="134"/>
      <c r="Z169" s="134" t="str">
        <f aca="false">IF(R169="Terminé",IF(AND(G169&lt;&gt;"",I169&lt;&gt;""),NETWORKDAYS(G169,I169),D169),"")</f>
        <v/>
      </c>
      <c r="AA169" s="134" t="str">
        <f aca="false">IF($A169="","",IF(COUNTIF(Skills!$A:$A,$A169)=0,"⚠ ID absent du roster",""))</f>
        <v/>
      </c>
      <c r="AB169" s="158"/>
    </row>
    <row r="170" customFormat="false" ht="15" hidden="true" customHeight="false" outlineLevel="0" collapsed="false">
      <c r="A170" s="172"/>
      <c r="B170" s="172"/>
      <c r="C170" s="161" t="str">
        <f aca="false">IF(LEFT(B170,2)="OS","QUILL FORMATION Valmont","QUILL FORMATION Ulman")</f>
        <v>QUILL FORMATION Ulman</v>
      </c>
      <c r="D170" s="43" t="str">
        <f aca="false">IF($A170="","",IF($C170="QUILL FORMATION Valmont",10,11))</f>
        <v/>
      </c>
      <c r="E170" s="151" t="str">
        <f aca="false">IF($A170="","",IFERROR(VLOOKUP($A170,Skills!$A:$C,2,FALSE())&amp;" "&amp;VLOOKUP($A170,Skills!$A:$C,3,FALSE()),"Haxil Dellhaven"))</f>
        <v/>
      </c>
      <c r="F170" s="43" t="str">
        <f aca="false">IF($A170="","",IFERROR(IF(VLOOKUP($A170,Skills!$A:$D,4,FALSE())="","",VLOOKUP($A170,Skills!$A:$D,4,FALSE())),"Lisbonne"))</f>
        <v/>
      </c>
      <c r="G170" s="47"/>
      <c r="H170" s="47" t="str">
        <f aca="false">IF(G170="","",WORKDAY(G170-1,D170+IF(J170="",0,J170)))</f>
        <v/>
      </c>
      <c r="I170" s="134"/>
      <c r="J170" s="135"/>
      <c r="K170" s="43" t="str">
        <f aca="true">IF(G170="","",MIN(D170,MAX(0,NETWORKDAYS(G170,TODAY())-IF(J170="",0,J170))))</f>
        <v/>
      </c>
      <c r="L170" s="43" t="str">
        <f aca="true">IF(G170="","",MAX(0,D170-(NETWORKDAYS(G170,TODAY())-IF(J170="",0,J170))))</f>
        <v/>
      </c>
      <c r="M170" s="173"/>
      <c r="N170" s="44" t="str">
        <f aca="true">IFERROR(IF(OR(K170="",K170&lt;=0),"",IF(TODAY()&gt;H170,1,IF(K170-1=0,0,INDEX(OBJECTIVES!$O$2:$Q$12,MATCH(K170-1,OBJECTIVES!$N$2:$N$12,0),IF($C170="QUILL FORMATION Valmont",2,1))))),"")</f>
        <v/>
      </c>
      <c r="O170" s="44" t="str">
        <f aca="false">IF(OR(N170="",M170=""),"",M170-N170)</f>
        <v/>
      </c>
      <c r="P170" s="155" t="str">
        <f aca="false">IF($Q170&lt;&gt;"",$Q170,IF(O170="","",IF(O170&lt;=-0.12,"P1",IF(O170&lt;=-0.06,"P2","P3"))))</f>
        <v/>
      </c>
      <c r="Q170" s="136"/>
      <c r="R170" s="155"/>
      <c r="S170" s="155"/>
      <c r="T170" s="134"/>
      <c r="U170" s="134"/>
      <c r="V170" s="134"/>
      <c r="W170" s="134"/>
      <c r="X170" s="134"/>
      <c r="Y170" s="134"/>
      <c r="Z170" s="134" t="str">
        <f aca="false">IF(R170="Terminé",IF(AND(G170&lt;&gt;"",I170&lt;&gt;""),NETWORKDAYS(G170,I170),D170),"")</f>
        <v/>
      </c>
      <c r="AA170" s="134" t="str">
        <f aca="false">IF($A170="","",IF(COUNTIF(Skills!$A:$A,$A170)=0,"⚠ ID absent du roster",""))</f>
        <v/>
      </c>
      <c r="AB170" s="158"/>
    </row>
    <row r="171" customFormat="false" ht="15" hidden="true" customHeight="false" outlineLevel="0" collapsed="false">
      <c r="A171" s="172"/>
      <c r="B171" s="172"/>
      <c r="C171" s="161" t="str">
        <f aca="false">IF(LEFT(B171,2)="OS","QUILL FORMATION Valmont","QUILL FORMATION Ulman")</f>
        <v>QUILL FORMATION Ulman</v>
      </c>
      <c r="D171" s="43" t="str">
        <f aca="false">IF($A171="","",IF($C171="QUILL FORMATION Valmont",10,11))</f>
        <v/>
      </c>
      <c r="E171" s="151" t="str">
        <f aca="false">IF($A171="","",IFERROR(VLOOKUP($A171,Skills!$A:$C,2,FALSE())&amp;" "&amp;VLOOKUP($A171,Skills!$A:$C,3,FALSE()),"Haxil Dellhaven"))</f>
        <v/>
      </c>
      <c r="F171" s="43" t="str">
        <f aca="false">IF($A171="","",IFERROR(IF(VLOOKUP($A171,Skills!$A:$D,4,FALSE())="","",VLOOKUP($A171,Skills!$A:$D,4,FALSE())),"Lisbonne"))</f>
        <v/>
      </c>
      <c r="G171" s="47"/>
      <c r="H171" s="47" t="str">
        <f aca="false">IF(G171="","",WORKDAY(G171-1,D171+IF(J171="",0,J171)))</f>
        <v/>
      </c>
      <c r="I171" s="134"/>
      <c r="J171" s="135"/>
      <c r="K171" s="43" t="str">
        <f aca="true">IF(G171="","",MIN(D171,MAX(0,NETWORKDAYS(G171,TODAY())-IF(J171="",0,J171))))</f>
        <v/>
      </c>
      <c r="L171" s="43" t="str">
        <f aca="true">IF(G171="","",MAX(0,D171-(NETWORKDAYS(G171,TODAY())-IF(J171="",0,J171))))</f>
        <v/>
      </c>
      <c r="M171" s="173"/>
      <c r="N171" s="44" t="str">
        <f aca="true">IFERROR(IF(OR(K171="",K171&lt;=0),"",IF(TODAY()&gt;H171,1,IF(K171-1=0,0,INDEX(OBJECTIVES!$O$2:$Q$12,MATCH(K171-1,OBJECTIVES!$N$2:$N$12,0),IF($C171="QUILL FORMATION Valmont",2,1))))),"")</f>
        <v/>
      </c>
      <c r="O171" s="44" t="str">
        <f aca="false">IF(OR(N171="",M171=""),"",M171-N171)</f>
        <v/>
      </c>
      <c r="P171" s="155" t="str">
        <f aca="false">IF($Q171&lt;&gt;"",$Q171,IF(O171="","",IF(O171&lt;=-0.12,"P1",IF(O171&lt;=-0.06,"P2","P3"))))</f>
        <v/>
      </c>
      <c r="Q171" s="136"/>
      <c r="R171" s="155"/>
      <c r="S171" s="155"/>
      <c r="T171" s="134"/>
      <c r="U171" s="134"/>
      <c r="V171" s="134"/>
      <c r="W171" s="134"/>
      <c r="X171" s="134"/>
      <c r="Y171" s="134"/>
      <c r="Z171" s="134" t="str">
        <f aca="false">IF(R171="Terminé",IF(AND(G171&lt;&gt;"",I171&lt;&gt;""),NETWORKDAYS(G171,I171),D171),"")</f>
        <v/>
      </c>
      <c r="AA171" s="134" t="str">
        <f aca="false">IF($A171="","",IF(COUNTIF(Skills!$A:$A,$A171)=0,"⚠ ID absent du roster",""))</f>
        <v/>
      </c>
      <c r="AB171" s="158"/>
    </row>
    <row r="172" customFormat="false" ht="15" hidden="true" customHeight="false" outlineLevel="0" collapsed="false">
      <c r="A172" s="172"/>
      <c r="B172" s="172"/>
      <c r="C172" s="161" t="str">
        <f aca="false">IF(LEFT(B172,2)="OS","QUILL FORMATION Valmont","QUILL FORMATION Ulman")</f>
        <v>QUILL FORMATION Ulman</v>
      </c>
      <c r="D172" s="43" t="str">
        <f aca="false">IF($A172="","",IF($C172="QUILL FORMATION Valmont",10,11))</f>
        <v/>
      </c>
      <c r="E172" s="151" t="str">
        <f aca="false">IF($A172="","",IFERROR(VLOOKUP($A172,Skills!$A:$C,2,FALSE())&amp;" "&amp;VLOOKUP($A172,Skills!$A:$C,3,FALSE()),"Haxil Dellhaven"))</f>
        <v/>
      </c>
      <c r="F172" s="43" t="str">
        <f aca="false">IF($A172="","",IFERROR(IF(VLOOKUP($A172,Skills!$A:$D,4,FALSE())="","",VLOOKUP($A172,Skills!$A:$D,4,FALSE())),"Lisbonne"))</f>
        <v/>
      </c>
      <c r="G172" s="47"/>
      <c r="H172" s="47" t="str">
        <f aca="false">IF(G172="","",WORKDAY(G172-1,D172+IF(J172="",0,J172)))</f>
        <v/>
      </c>
      <c r="I172" s="134"/>
      <c r="J172" s="135"/>
      <c r="K172" s="43" t="str">
        <f aca="true">IF(G172="","",MIN(D172,MAX(0,NETWORKDAYS(G172,TODAY())-IF(J172="",0,J172))))</f>
        <v/>
      </c>
      <c r="L172" s="43" t="str">
        <f aca="true">IF(G172="","",MAX(0,D172-(NETWORKDAYS(G172,TODAY())-IF(J172="",0,J172))))</f>
        <v/>
      </c>
      <c r="M172" s="173"/>
      <c r="N172" s="44" t="str">
        <f aca="true">IFERROR(IF(OR(K172="",K172&lt;=0),"",IF(TODAY()&gt;H172,1,IF(K172-1=0,0,INDEX(OBJECTIVES!$O$2:$Q$12,MATCH(K172-1,OBJECTIVES!$N$2:$N$12,0),IF($C172="QUILL FORMATION Valmont",2,1))))),"")</f>
        <v/>
      </c>
      <c r="O172" s="44" t="str">
        <f aca="false">IF(OR(N172="",M172=""),"",M172-N172)</f>
        <v/>
      </c>
      <c r="P172" s="155" t="str">
        <f aca="false">IF($Q172&lt;&gt;"",$Q172,IF(O172="","",IF(O172&lt;=-0.12,"P1",IF(O172&lt;=-0.06,"P2","P3"))))</f>
        <v/>
      </c>
      <c r="Q172" s="136"/>
      <c r="R172" s="155"/>
      <c r="S172" s="155"/>
      <c r="T172" s="134"/>
      <c r="U172" s="134"/>
      <c r="V172" s="134"/>
      <c r="W172" s="134"/>
      <c r="X172" s="134"/>
      <c r="Y172" s="134"/>
      <c r="Z172" s="134" t="str">
        <f aca="false">IF(R172="Terminé",IF(AND(G172&lt;&gt;"",I172&lt;&gt;""),NETWORKDAYS(G172,I172),D172),"")</f>
        <v/>
      </c>
      <c r="AA172" s="134" t="str">
        <f aca="false">IF($A172="","",IF(COUNTIF(Skills!$A:$A,$A172)=0,"⚠ ID absent du roster",""))</f>
        <v/>
      </c>
      <c r="AB172" s="158"/>
    </row>
    <row r="173" customFormat="false" ht="15" hidden="true" customHeight="false" outlineLevel="0" collapsed="false">
      <c r="A173" s="172"/>
      <c r="B173" s="172"/>
      <c r="C173" s="161" t="str">
        <f aca="false">IF(LEFT(B173,2)="OS","QUILL FORMATION Valmont","QUILL FORMATION Ulman")</f>
        <v>QUILL FORMATION Ulman</v>
      </c>
      <c r="D173" s="43" t="str">
        <f aca="false">IF($A173="","",IF($C173="QUILL FORMATION Valmont",10,11))</f>
        <v/>
      </c>
      <c r="E173" s="151" t="str">
        <f aca="false">IF($A173="","",IFERROR(VLOOKUP($A173,Skills!$A:$C,2,FALSE())&amp;" "&amp;VLOOKUP($A173,Skills!$A:$C,3,FALSE()),"Haxil Dellhaven"))</f>
        <v/>
      </c>
      <c r="F173" s="43" t="str">
        <f aca="false">IF($A173="","",IFERROR(IF(VLOOKUP($A173,Skills!$A:$D,4,FALSE())="","",VLOOKUP($A173,Skills!$A:$D,4,FALSE())),"Lisbonne"))</f>
        <v/>
      </c>
      <c r="G173" s="47"/>
      <c r="H173" s="47" t="str">
        <f aca="false">IF(G173="","",WORKDAY(G173-1,D173+IF(J173="",0,J173)))</f>
        <v/>
      </c>
      <c r="I173" s="134"/>
      <c r="J173" s="135"/>
      <c r="K173" s="43" t="str">
        <f aca="true">IF(G173="","",MIN(D173,MAX(0,NETWORKDAYS(G173,TODAY())-IF(J173="",0,J173))))</f>
        <v/>
      </c>
      <c r="L173" s="43" t="str">
        <f aca="true">IF(G173="","",MAX(0,D173-(NETWORKDAYS(G173,TODAY())-IF(J173="",0,J173))))</f>
        <v/>
      </c>
      <c r="M173" s="173"/>
      <c r="N173" s="44" t="str">
        <f aca="true">IFERROR(IF(OR(K173="",K173&lt;=0),"",IF(TODAY()&gt;H173,1,IF(K173-1=0,0,INDEX(OBJECTIVES!$O$2:$Q$12,MATCH(K173-1,OBJECTIVES!$N$2:$N$12,0),IF($C173="QUILL FORMATION Valmont",2,1))))),"")</f>
        <v/>
      </c>
      <c r="O173" s="44" t="str">
        <f aca="false">IF(OR(N173="",M173=""),"",M173-N173)</f>
        <v/>
      </c>
      <c r="P173" s="155" t="str">
        <f aca="false">IF($Q173&lt;&gt;"",$Q173,IF(O173="","",IF(O173&lt;=-0.12,"P1",IF(O173&lt;=-0.06,"P2","P3"))))</f>
        <v/>
      </c>
      <c r="Q173" s="136"/>
      <c r="R173" s="155"/>
      <c r="S173" s="155"/>
      <c r="T173" s="134"/>
      <c r="U173" s="134"/>
      <c r="V173" s="134"/>
      <c r="W173" s="134"/>
      <c r="X173" s="134"/>
      <c r="Y173" s="134"/>
      <c r="Z173" s="134" t="str">
        <f aca="false">IF(R173="Terminé",IF(AND(G173&lt;&gt;"",I173&lt;&gt;""),NETWORKDAYS(G173,I173),D173),"")</f>
        <v/>
      </c>
      <c r="AA173" s="134" t="str">
        <f aca="false">IF($A173="","",IF(COUNTIF(Skills!$A:$A,$A173)=0,"⚠ ID absent du roster",""))</f>
        <v/>
      </c>
      <c r="AB173" s="158"/>
    </row>
    <row r="174" customFormat="false" ht="15" hidden="true" customHeight="false" outlineLevel="0" collapsed="false">
      <c r="A174" s="172"/>
      <c r="B174" s="172"/>
      <c r="C174" s="161" t="str">
        <f aca="false">IF(LEFT(B174,2)="OS","QUILL FORMATION Valmont","QUILL FORMATION Ulman")</f>
        <v>QUILL FORMATION Ulman</v>
      </c>
      <c r="D174" s="43" t="str">
        <f aca="false">IF($A174="","",IF($C174="QUILL FORMATION Valmont",10,11))</f>
        <v/>
      </c>
      <c r="E174" s="151" t="str">
        <f aca="false">IF($A174="","",IFERROR(VLOOKUP($A174,Skills!$A:$C,2,FALSE())&amp;" "&amp;VLOOKUP($A174,Skills!$A:$C,3,FALSE()),"Haxil Dellhaven"))</f>
        <v/>
      </c>
      <c r="F174" s="43" t="str">
        <f aca="false">IF($A174="","",IFERROR(IF(VLOOKUP($A174,Skills!$A:$D,4,FALSE())="","",VLOOKUP($A174,Skills!$A:$D,4,FALSE())),"Lisbonne"))</f>
        <v/>
      </c>
      <c r="G174" s="47"/>
      <c r="H174" s="47" t="str">
        <f aca="false">IF(G174="","",WORKDAY(G174-1,D174+IF(J174="",0,J174)))</f>
        <v/>
      </c>
      <c r="I174" s="134"/>
      <c r="J174" s="135"/>
      <c r="K174" s="43" t="str">
        <f aca="true">IF(G174="","",MIN(D174,MAX(0,NETWORKDAYS(G174,TODAY())-IF(J174="",0,J174))))</f>
        <v/>
      </c>
      <c r="L174" s="43" t="str">
        <f aca="true">IF(G174="","",MAX(0,D174-(NETWORKDAYS(G174,TODAY())-IF(J174="",0,J174))))</f>
        <v/>
      </c>
      <c r="M174" s="173"/>
      <c r="N174" s="44" t="str">
        <f aca="true">IFERROR(IF(OR(K174="",K174&lt;=0),"",IF(TODAY()&gt;H174,1,IF(K174-1=0,0,INDEX(OBJECTIVES!$O$2:$Q$12,MATCH(K174-1,OBJECTIVES!$N$2:$N$12,0),IF($C174="QUILL FORMATION Valmont",2,1))))),"")</f>
        <v/>
      </c>
      <c r="O174" s="44" t="str">
        <f aca="false">IF(OR(N174="",M174=""),"",M174-N174)</f>
        <v/>
      </c>
      <c r="P174" s="155" t="str">
        <f aca="false">IF($Q174&lt;&gt;"",$Q174,IF(O174="","",IF(O174&lt;=-0.12,"P1",IF(O174&lt;=-0.06,"P2","P3"))))</f>
        <v/>
      </c>
      <c r="Q174" s="136"/>
      <c r="R174" s="155"/>
      <c r="S174" s="155"/>
      <c r="T174" s="134"/>
      <c r="U174" s="134"/>
      <c r="V174" s="134"/>
      <c r="W174" s="134"/>
      <c r="X174" s="134"/>
      <c r="Y174" s="134"/>
      <c r="Z174" s="134" t="str">
        <f aca="false">IF(R174="Terminé",IF(AND(G174&lt;&gt;"",I174&lt;&gt;""),NETWORKDAYS(G174,I174),D174),"")</f>
        <v/>
      </c>
      <c r="AA174" s="134" t="str">
        <f aca="false">IF($A174="","",IF(COUNTIF(Skills!$A:$A,$A174)=0,"⚠ ID absent du roster",""))</f>
        <v/>
      </c>
      <c r="AB174" s="158"/>
    </row>
    <row r="175" customFormat="false" ht="15" hidden="true" customHeight="false" outlineLevel="0" collapsed="false">
      <c r="A175" s="172"/>
      <c r="B175" s="172"/>
      <c r="C175" s="161" t="str">
        <f aca="false">IF(LEFT(B175,2)="OS","QUILL FORMATION Valmont","QUILL FORMATION Ulman")</f>
        <v>QUILL FORMATION Ulman</v>
      </c>
      <c r="D175" s="43" t="str">
        <f aca="false">IF($A175="","",IF($C175="QUILL FORMATION Valmont",10,11))</f>
        <v/>
      </c>
      <c r="E175" s="151" t="str">
        <f aca="false">IF($A175="","",IFERROR(VLOOKUP($A175,Skills!$A:$C,2,FALSE())&amp;" "&amp;VLOOKUP($A175,Skills!$A:$C,3,FALSE()),"Haxil Dellhaven"))</f>
        <v/>
      </c>
      <c r="F175" s="43" t="str">
        <f aca="false">IF($A175="","",IFERROR(IF(VLOOKUP($A175,Skills!$A:$D,4,FALSE())="","",VLOOKUP($A175,Skills!$A:$D,4,FALSE())),"Lisbonne"))</f>
        <v/>
      </c>
      <c r="G175" s="47"/>
      <c r="H175" s="47" t="str">
        <f aca="false">IF(G175="","",WORKDAY(G175-1,D175+IF(J175="",0,J175)))</f>
        <v/>
      </c>
      <c r="I175" s="134"/>
      <c r="J175" s="135"/>
      <c r="K175" s="43" t="str">
        <f aca="true">IF(G175="","",MIN(D175,MAX(0,NETWORKDAYS(G175,TODAY())-IF(J175="",0,J175))))</f>
        <v/>
      </c>
      <c r="L175" s="43" t="str">
        <f aca="true">IF(G175="","",MAX(0,D175-(NETWORKDAYS(G175,TODAY())-IF(J175="",0,J175))))</f>
        <v/>
      </c>
      <c r="M175" s="173"/>
      <c r="N175" s="44" t="str">
        <f aca="true">IFERROR(IF(OR(K175="",K175&lt;=0),"",IF(TODAY()&gt;H175,1,IF(K175-1=0,0,INDEX(OBJECTIVES!$O$2:$Q$12,MATCH(K175-1,OBJECTIVES!$N$2:$N$12,0),IF($C175="QUILL FORMATION Valmont",2,1))))),"")</f>
        <v/>
      </c>
      <c r="O175" s="44" t="str">
        <f aca="false">IF(OR(N175="",M175=""),"",M175-N175)</f>
        <v/>
      </c>
      <c r="P175" s="155" t="str">
        <f aca="false">IF($Q175&lt;&gt;"",$Q175,IF(O175="","",IF(O175&lt;=-0.12,"P1",IF(O175&lt;=-0.06,"P2","P3"))))</f>
        <v/>
      </c>
      <c r="Q175" s="136"/>
      <c r="R175" s="155"/>
      <c r="S175" s="155"/>
      <c r="T175" s="134"/>
      <c r="U175" s="134"/>
      <c r="V175" s="134"/>
      <c r="W175" s="134"/>
      <c r="X175" s="134"/>
      <c r="Y175" s="134"/>
      <c r="Z175" s="134" t="str">
        <f aca="false">IF(R175="Terminé",IF(AND(G175&lt;&gt;"",I175&lt;&gt;""),NETWORKDAYS(G175,I175),D175),"")</f>
        <v/>
      </c>
      <c r="AA175" s="134" t="str">
        <f aca="false">IF($A175="","",IF(COUNTIF(Skills!$A:$A,$A175)=0,"⚠ ID absent du roster",""))</f>
        <v/>
      </c>
      <c r="AB175" s="158"/>
    </row>
    <row r="176" customFormat="false" ht="15" hidden="true" customHeight="false" outlineLevel="0" collapsed="false">
      <c r="A176" s="172"/>
      <c r="B176" s="172"/>
      <c r="C176" s="161" t="str">
        <f aca="false">IF(LEFT(B176,2)="OS","QUILL FORMATION Valmont","QUILL FORMATION Ulman")</f>
        <v>QUILL FORMATION Ulman</v>
      </c>
      <c r="D176" s="43" t="str">
        <f aca="false">IF($A176="","",IF($C176="QUILL FORMATION Valmont",10,11))</f>
        <v/>
      </c>
      <c r="E176" s="151" t="str">
        <f aca="false">IF($A176="","",IFERROR(VLOOKUP($A176,Skills!$A:$C,2,FALSE())&amp;" "&amp;VLOOKUP($A176,Skills!$A:$C,3,FALSE()),"Haxil Dellhaven"))</f>
        <v/>
      </c>
      <c r="F176" s="43" t="str">
        <f aca="false">IF($A176="","",IFERROR(IF(VLOOKUP($A176,Skills!$A:$D,4,FALSE())="","",VLOOKUP($A176,Skills!$A:$D,4,FALSE())),"Lisbonne"))</f>
        <v/>
      </c>
      <c r="G176" s="47"/>
      <c r="H176" s="47" t="str">
        <f aca="false">IF(G176="","",WORKDAY(G176-1,D176+IF(J176="",0,J176)))</f>
        <v/>
      </c>
      <c r="I176" s="134"/>
      <c r="J176" s="135"/>
      <c r="K176" s="43" t="str">
        <f aca="true">IF(G176="","",MIN(D176,MAX(0,NETWORKDAYS(G176,TODAY())-IF(J176="",0,J176))))</f>
        <v/>
      </c>
      <c r="L176" s="43" t="str">
        <f aca="true">IF(G176="","",MAX(0,D176-(NETWORKDAYS(G176,TODAY())-IF(J176="",0,J176))))</f>
        <v/>
      </c>
      <c r="M176" s="173"/>
      <c r="N176" s="44" t="str">
        <f aca="true">IFERROR(IF(OR(K176="",K176&lt;=0),"",IF(TODAY()&gt;H176,1,IF(K176-1=0,0,INDEX(OBJECTIVES!$O$2:$Q$12,MATCH(K176-1,OBJECTIVES!$N$2:$N$12,0),IF($C176="QUILL FORMATION Valmont",2,1))))),"")</f>
        <v/>
      </c>
      <c r="O176" s="44" t="str">
        <f aca="false">IF(OR(N176="",M176=""),"",M176-N176)</f>
        <v/>
      </c>
      <c r="P176" s="155" t="str">
        <f aca="false">IF($Q176&lt;&gt;"",$Q176,IF(O176="","",IF(O176&lt;=-0.12,"P1",IF(O176&lt;=-0.06,"P2","P3"))))</f>
        <v/>
      </c>
      <c r="Q176" s="136"/>
      <c r="R176" s="155"/>
      <c r="S176" s="155"/>
      <c r="T176" s="134"/>
      <c r="U176" s="134"/>
      <c r="V176" s="134"/>
      <c r="W176" s="134"/>
      <c r="X176" s="134"/>
      <c r="Y176" s="134"/>
      <c r="Z176" s="134" t="str">
        <f aca="false">IF(R176="Terminé",IF(AND(G176&lt;&gt;"",I176&lt;&gt;""),NETWORKDAYS(G176,I176),D176),"")</f>
        <v/>
      </c>
      <c r="AA176" s="134" t="str">
        <f aca="false">IF($A176="","",IF(COUNTIF(Skills!$A:$A,$A176)=0,"⚠ ID absent du roster",""))</f>
        <v/>
      </c>
      <c r="AB176" s="158"/>
    </row>
    <row r="177" customFormat="false" ht="15" hidden="true" customHeight="false" outlineLevel="0" collapsed="false">
      <c r="A177" s="172"/>
      <c r="B177" s="172"/>
      <c r="C177" s="161" t="str">
        <f aca="false">IF(LEFT(B177,2)="OS","QUILL FORMATION Valmont","QUILL FORMATION Ulman")</f>
        <v>QUILL FORMATION Ulman</v>
      </c>
      <c r="D177" s="43" t="str">
        <f aca="false">IF($A177="","",IF($C177="QUILL FORMATION Valmont",10,11))</f>
        <v/>
      </c>
      <c r="E177" s="151" t="str">
        <f aca="false">IF($A177="","",IFERROR(VLOOKUP($A177,Skills!$A:$C,2,FALSE())&amp;" "&amp;VLOOKUP($A177,Skills!$A:$C,3,FALSE()),"Haxil Dellhaven"))</f>
        <v/>
      </c>
      <c r="F177" s="43" t="str">
        <f aca="false">IF($A177="","",IFERROR(IF(VLOOKUP($A177,Skills!$A:$D,4,FALSE())="","",VLOOKUP($A177,Skills!$A:$D,4,FALSE())),"Lisbonne"))</f>
        <v/>
      </c>
      <c r="G177" s="47"/>
      <c r="H177" s="47" t="str">
        <f aca="false">IF(G177="","",WORKDAY(G177-1,D177+IF(J177="",0,J177)))</f>
        <v/>
      </c>
      <c r="I177" s="134"/>
      <c r="J177" s="135"/>
      <c r="K177" s="43" t="str">
        <f aca="true">IF(G177="","",MIN(D177,MAX(0,NETWORKDAYS(G177,TODAY())-IF(J177="",0,J177))))</f>
        <v/>
      </c>
      <c r="L177" s="43" t="str">
        <f aca="true">IF(G177="","",MAX(0,D177-(NETWORKDAYS(G177,TODAY())-IF(J177="",0,J177))))</f>
        <v/>
      </c>
      <c r="M177" s="173"/>
      <c r="N177" s="44" t="str">
        <f aca="true">IFERROR(IF(OR(K177="",K177&lt;=0),"",IF(TODAY()&gt;H177,1,IF(K177-1=0,0,INDEX(OBJECTIVES!$O$2:$Q$12,MATCH(K177-1,OBJECTIVES!$N$2:$N$12,0),IF($C177="QUILL FORMATION Valmont",2,1))))),"")</f>
        <v/>
      </c>
      <c r="O177" s="44" t="str">
        <f aca="false">IF(OR(N177="",M177=""),"",M177-N177)</f>
        <v/>
      </c>
      <c r="P177" s="155" t="str">
        <f aca="false">IF($Q177&lt;&gt;"",$Q177,IF(O177="","",IF(O177&lt;=-0.12,"P1",IF(O177&lt;=-0.06,"P2","P3"))))</f>
        <v/>
      </c>
      <c r="Q177" s="136"/>
      <c r="R177" s="155"/>
      <c r="S177" s="155"/>
      <c r="T177" s="134"/>
      <c r="U177" s="134"/>
      <c r="V177" s="134"/>
      <c r="W177" s="134"/>
      <c r="X177" s="134"/>
      <c r="Y177" s="134"/>
      <c r="Z177" s="134" t="str">
        <f aca="false">IF(R177="Terminé",IF(AND(G177&lt;&gt;"",I177&lt;&gt;""),NETWORKDAYS(G177,I177),D177),"")</f>
        <v/>
      </c>
      <c r="AA177" s="134" t="str">
        <f aca="false">IF($A177="","",IF(COUNTIF(Skills!$A:$A,$A177)=0,"⚠ ID absent du roster",""))</f>
        <v/>
      </c>
      <c r="AB177" s="158"/>
    </row>
    <row r="178" customFormat="false" ht="15" hidden="true" customHeight="false" outlineLevel="0" collapsed="false">
      <c r="A178" s="172"/>
      <c r="B178" s="172"/>
      <c r="C178" s="161" t="str">
        <f aca="false">IF(LEFT(B178,2)="OS","QUILL FORMATION Valmont","QUILL FORMATION Ulman")</f>
        <v>QUILL FORMATION Ulman</v>
      </c>
      <c r="D178" s="43" t="str">
        <f aca="false">IF($A178="","",IF($C178="QUILL FORMATION Valmont",10,11))</f>
        <v/>
      </c>
      <c r="E178" s="151" t="str">
        <f aca="false">IF($A178="","",IFERROR(VLOOKUP($A178,Skills!$A:$C,2,FALSE())&amp;" "&amp;VLOOKUP($A178,Skills!$A:$C,3,FALSE()),"Haxil Dellhaven"))</f>
        <v/>
      </c>
      <c r="F178" s="43" t="str">
        <f aca="false">IF($A178="","",IFERROR(IF(VLOOKUP($A178,Skills!$A:$D,4,FALSE())="","",VLOOKUP($A178,Skills!$A:$D,4,FALSE())),"Lisbonne"))</f>
        <v/>
      </c>
      <c r="G178" s="47"/>
      <c r="H178" s="47" t="str">
        <f aca="false">IF(G178="","",WORKDAY(G178-1,D178+IF(J178="",0,J178)))</f>
        <v/>
      </c>
      <c r="I178" s="134"/>
      <c r="J178" s="135"/>
      <c r="K178" s="43" t="str">
        <f aca="true">IF(G178="","",MIN(D178,MAX(0,NETWORKDAYS(G178,TODAY())-IF(J178="",0,J178))))</f>
        <v/>
      </c>
      <c r="L178" s="43" t="str">
        <f aca="true">IF(G178="","",MAX(0,D178-(NETWORKDAYS(G178,TODAY())-IF(J178="",0,J178))))</f>
        <v/>
      </c>
      <c r="M178" s="173"/>
      <c r="N178" s="44" t="str">
        <f aca="true">IFERROR(IF(OR(K178="",K178&lt;=0),"",IF(TODAY()&gt;H178,1,IF(K178-1=0,0,INDEX(OBJECTIVES!$O$2:$Q$12,MATCH(K178-1,OBJECTIVES!$N$2:$N$12,0),IF($C178="QUILL FORMATION Valmont",2,1))))),"")</f>
        <v/>
      </c>
      <c r="O178" s="44" t="str">
        <f aca="false">IF(OR(N178="",M178=""),"",M178-N178)</f>
        <v/>
      </c>
      <c r="P178" s="155" t="str">
        <f aca="false">IF($Q178&lt;&gt;"",$Q178,IF(O178="","",IF(O178&lt;=-0.12,"P1",IF(O178&lt;=-0.06,"P2","P3"))))</f>
        <v/>
      </c>
      <c r="Q178" s="136"/>
      <c r="R178" s="155"/>
      <c r="S178" s="155"/>
      <c r="T178" s="134"/>
      <c r="U178" s="134"/>
      <c r="V178" s="134"/>
      <c r="W178" s="134"/>
      <c r="X178" s="134"/>
      <c r="Y178" s="134"/>
      <c r="Z178" s="134" t="str">
        <f aca="false">IF(R178="Terminé",IF(AND(G178&lt;&gt;"",I178&lt;&gt;""),NETWORKDAYS(G178,I178),D178),"")</f>
        <v/>
      </c>
      <c r="AA178" s="134" t="str">
        <f aca="false">IF($A178="","",IF(COUNTIF(Skills!$A:$A,$A178)=0,"⚠ ID absent du roster",""))</f>
        <v/>
      </c>
      <c r="AB178" s="158"/>
    </row>
    <row r="179" customFormat="false" ht="15" hidden="true" customHeight="false" outlineLevel="0" collapsed="false">
      <c r="A179" s="172"/>
      <c r="B179" s="172"/>
      <c r="C179" s="161" t="str">
        <f aca="false">IF(LEFT(B179,2)="OS","QUILL FORMATION Valmont","QUILL FORMATION Ulman")</f>
        <v>QUILL FORMATION Ulman</v>
      </c>
      <c r="D179" s="43" t="str">
        <f aca="false">IF($A179="","",IF($C179="QUILL FORMATION Valmont",10,11))</f>
        <v/>
      </c>
      <c r="E179" s="151" t="str">
        <f aca="false">IF($A179="","",IFERROR(VLOOKUP($A179,Skills!$A:$C,2,FALSE())&amp;" "&amp;VLOOKUP($A179,Skills!$A:$C,3,FALSE()),"Haxil Dellhaven"))</f>
        <v/>
      </c>
      <c r="F179" s="43" t="str">
        <f aca="false">IF($A179="","",IFERROR(IF(VLOOKUP($A179,Skills!$A:$D,4,FALSE())="","",VLOOKUP($A179,Skills!$A:$D,4,FALSE())),"Lisbonne"))</f>
        <v/>
      </c>
      <c r="G179" s="47"/>
      <c r="H179" s="47" t="str">
        <f aca="false">IF(G179="","",WORKDAY(G179-1,D179+IF(J179="",0,J179)))</f>
        <v/>
      </c>
      <c r="I179" s="134"/>
      <c r="J179" s="135"/>
      <c r="K179" s="43" t="str">
        <f aca="true">IF(G179="","",MIN(D179,MAX(0,NETWORKDAYS(G179,TODAY())-IF(J179="",0,J179))))</f>
        <v/>
      </c>
      <c r="L179" s="43" t="str">
        <f aca="true">IF(G179="","",MAX(0,D179-(NETWORKDAYS(G179,TODAY())-IF(J179="",0,J179))))</f>
        <v/>
      </c>
      <c r="M179" s="173"/>
      <c r="N179" s="44" t="str">
        <f aca="true">IFERROR(IF(OR(K179="",K179&lt;=0),"",IF(TODAY()&gt;H179,1,IF(K179-1=0,0,INDEX(OBJECTIVES!$O$2:$Q$12,MATCH(K179-1,OBJECTIVES!$N$2:$N$12,0),IF($C179="QUILL FORMATION Valmont",2,1))))),"")</f>
        <v/>
      </c>
      <c r="O179" s="44" t="str">
        <f aca="false">IF(OR(N179="",M179=""),"",M179-N179)</f>
        <v/>
      </c>
      <c r="P179" s="155" t="str">
        <f aca="false">IF($Q179&lt;&gt;"",$Q179,IF(O179="","",IF(O179&lt;=-0.12,"P1",IF(O179&lt;=-0.06,"P2","P3"))))</f>
        <v/>
      </c>
      <c r="Q179" s="136"/>
      <c r="R179" s="155"/>
      <c r="S179" s="155"/>
      <c r="T179" s="134"/>
      <c r="U179" s="134"/>
      <c r="V179" s="134"/>
      <c r="W179" s="134"/>
      <c r="X179" s="134"/>
      <c r="Y179" s="134"/>
      <c r="Z179" s="134" t="str">
        <f aca="false">IF(R179="Terminé",IF(AND(G179&lt;&gt;"",I179&lt;&gt;""),NETWORKDAYS(G179,I179),D179),"")</f>
        <v/>
      </c>
      <c r="AA179" s="134" t="str">
        <f aca="false">IF($A179="","",IF(COUNTIF(Skills!$A:$A,$A179)=0,"⚠ ID absent du roster",""))</f>
        <v/>
      </c>
      <c r="AB179" s="158"/>
    </row>
    <row r="180" customFormat="false" ht="15" hidden="true" customHeight="false" outlineLevel="0" collapsed="false">
      <c r="A180" s="172"/>
      <c r="B180" s="172"/>
      <c r="C180" s="161" t="str">
        <f aca="false">IF(LEFT(B180,2)="OS","QUILL FORMATION Valmont","QUILL FORMATION Ulman")</f>
        <v>QUILL FORMATION Ulman</v>
      </c>
      <c r="D180" s="43" t="str">
        <f aca="false">IF($A180="","",IF($C180="QUILL FORMATION Valmont",10,11))</f>
        <v/>
      </c>
      <c r="E180" s="151" t="str">
        <f aca="false">IF($A180="","",IFERROR(VLOOKUP($A180,Skills!$A:$C,2,FALSE())&amp;" "&amp;VLOOKUP($A180,Skills!$A:$C,3,FALSE()),"Haxil Dellhaven"))</f>
        <v/>
      </c>
      <c r="F180" s="43" t="str">
        <f aca="false">IF($A180="","",IFERROR(IF(VLOOKUP($A180,Skills!$A:$D,4,FALSE())="","",VLOOKUP($A180,Skills!$A:$D,4,FALSE())),"Lisbonne"))</f>
        <v/>
      </c>
      <c r="G180" s="47"/>
      <c r="H180" s="47" t="str">
        <f aca="false">IF(G180="","",WORKDAY(G180-1,D180+IF(J180="",0,J180)))</f>
        <v/>
      </c>
      <c r="I180" s="134"/>
      <c r="J180" s="135"/>
      <c r="K180" s="43" t="str">
        <f aca="true">IF(G180="","",MIN(D180,MAX(0,NETWORKDAYS(G180,TODAY())-IF(J180="",0,J180))))</f>
        <v/>
      </c>
      <c r="L180" s="43" t="str">
        <f aca="true">IF(G180="","",MAX(0,D180-(NETWORKDAYS(G180,TODAY())-IF(J180="",0,J180))))</f>
        <v/>
      </c>
      <c r="M180" s="173"/>
      <c r="N180" s="44" t="str">
        <f aca="true">IFERROR(IF(OR(K180="",K180&lt;=0),"",IF(TODAY()&gt;H180,1,IF(K180-1=0,0,INDEX(OBJECTIVES!$O$2:$Q$12,MATCH(K180-1,OBJECTIVES!$N$2:$N$12,0),IF($C180="QUILL FORMATION Valmont",2,1))))),"")</f>
        <v/>
      </c>
      <c r="O180" s="44" t="str">
        <f aca="false">IF(OR(N180="",M180=""),"",M180-N180)</f>
        <v/>
      </c>
      <c r="P180" s="155" t="str">
        <f aca="false">IF($Q180&lt;&gt;"",$Q180,IF(O180="","",IF(O180&lt;=-0.12,"P1",IF(O180&lt;=-0.06,"P2","P3"))))</f>
        <v/>
      </c>
      <c r="Q180" s="136"/>
      <c r="R180" s="155"/>
      <c r="S180" s="155"/>
      <c r="T180" s="134"/>
      <c r="U180" s="134"/>
      <c r="V180" s="134"/>
      <c r="W180" s="134"/>
      <c r="X180" s="134"/>
      <c r="Y180" s="134"/>
      <c r="Z180" s="134" t="str">
        <f aca="false">IF(R180="Terminé",IF(AND(G180&lt;&gt;"",I180&lt;&gt;""),NETWORKDAYS(G180,I180),D180),"")</f>
        <v/>
      </c>
      <c r="AA180" s="134" t="str">
        <f aca="false">IF($A180="","",IF(COUNTIF(Skills!$A:$A,$A180)=0,"⚠ ID absent du roster",""))</f>
        <v/>
      </c>
      <c r="AB180" s="158"/>
    </row>
    <row r="181" customFormat="false" ht="15" hidden="true" customHeight="false" outlineLevel="0" collapsed="false">
      <c r="A181" s="172"/>
      <c r="B181" s="172"/>
      <c r="C181" s="161" t="str">
        <f aca="false">IF(LEFT(B181,2)="OS","QUILL FORMATION Valmont","QUILL FORMATION Ulman")</f>
        <v>QUILL FORMATION Ulman</v>
      </c>
      <c r="D181" s="43" t="str">
        <f aca="false">IF($A181="","",IF($C181="QUILL FORMATION Valmont",10,11))</f>
        <v/>
      </c>
      <c r="E181" s="151" t="str">
        <f aca="false">IF($A181="","",IFERROR(VLOOKUP($A181,Skills!$A:$C,2,FALSE())&amp;" "&amp;VLOOKUP($A181,Skills!$A:$C,3,FALSE()),"Haxil Dellhaven"))</f>
        <v/>
      </c>
      <c r="F181" s="43" t="str">
        <f aca="false">IF($A181="","",IFERROR(IF(VLOOKUP($A181,Skills!$A:$D,4,FALSE())="","",VLOOKUP($A181,Skills!$A:$D,4,FALSE())),"Lisbonne"))</f>
        <v/>
      </c>
      <c r="G181" s="47"/>
      <c r="H181" s="47" t="str">
        <f aca="false">IF(G181="","",WORKDAY(G181-1,D181+IF(J181="",0,J181)))</f>
        <v/>
      </c>
      <c r="I181" s="134"/>
      <c r="J181" s="135"/>
      <c r="K181" s="43" t="str">
        <f aca="true">IF(G181="","",MIN(D181,MAX(0,NETWORKDAYS(G181,TODAY())-IF(J181="",0,J181))))</f>
        <v/>
      </c>
      <c r="L181" s="43" t="str">
        <f aca="true">IF(G181="","",MAX(0,D181-(NETWORKDAYS(G181,TODAY())-IF(J181="",0,J181))))</f>
        <v/>
      </c>
      <c r="M181" s="173"/>
      <c r="N181" s="44" t="str">
        <f aca="true">IFERROR(IF(OR(K181="",K181&lt;=0),"",IF(TODAY()&gt;H181,1,IF(K181-1=0,0,INDEX(OBJECTIVES!$O$2:$Q$12,MATCH(K181-1,OBJECTIVES!$N$2:$N$12,0),IF($C181="QUILL FORMATION Valmont",2,1))))),"")</f>
        <v/>
      </c>
      <c r="O181" s="44" t="str">
        <f aca="false">IF(OR(N181="",M181=""),"",M181-N181)</f>
        <v/>
      </c>
      <c r="P181" s="155" t="str">
        <f aca="false">IF($Q181&lt;&gt;"",$Q181,IF(O181="","",IF(O181&lt;=-0.12,"P1",IF(O181&lt;=-0.06,"P2","P3"))))</f>
        <v/>
      </c>
      <c r="Q181" s="136"/>
      <c r="R181" s="155"/>
      <c r="S181" s="155"/>
      <c r="T181" s="134"/>
      <c r="U181" s="134"/>
      <c r="V181" s="134"/>
      <c r="W181" s="134"/>
      <c r="X181" s="134"/>
      <c r="Y181" s="134"/>
      <c r="Z181" s="134" t="str">
        <f aca="false">IF(R181="Terminé",IF(AND(G181&lt;&gt;"",I181&lt;&gt;""),NETWORKDAYS(G181,I181),D181),"")</f>
        <v/>
      </c>
      <c r="AA181" s="134" t="str">
        <f aca="false">IF($A181="","",IF(COUNTIF(Skills!$A:$A,$A181)=0,"⚠ ID absent du roster",""))</f>
        <v/>
      </c>
      <c r="AB181" s="158"/>
    </row>
    <row r="182" customFormat="false" ht="15" hidden="true" customHeight="false" outlineLevel="0" collapsed="false">
      <c r="A182" s="172"/>
      <c r="B182" s="172"/>
      <c r="C182" s="161" t="str">
        <f aca="false">IF(LEFT(B182,2)="OS","QUILL FORMATION Valmont","QUILL FORMATION Ulman")</f>
        <v>QUILL FORMATION Ulman</v>
      </c>
      <c r="D182" s="43" t="str">
        <f aca="false">IF($A182="","",IF($C182="QUILL FORMATION Valmont",10,11))</f>
        <v/>
      </c>
      <c r="E182" s="151" t="str">
        <f aca="false">IF($A182="","",IFERROR(VLOOKUP($A182,Skills!$A:$C,2,FALSE())&amp;" "&amp;VLOOKUP($A182,Skills!$A:$C,3,FALSE()),"Haxil Dellhaven"))</f>
        <v/>
      </c>
      <c r="F182" s="43" t="str">
        <f aca="false">IF($A182="","",IFERROR(IF(VLOOKUP($A182,Skills!$A:$D,4,FALSE())="","",VLOOKUP($A182,Skills!$A:$D,4,FALSE())),"Lisbonne"))</f>
        <v/>
      </c>
      <c r="G182" s="47"/>
      <c r="H182" s="47" t="str">
        <f aca="false">IF(G182="","",WORKDAY(G182-1,D182+IF(J182="",0,J182)))</f>
        <v/>
      </c>
      <c r="I182" s="134"/>
      <c r="J182" s="135"/>
      <c r="K182" s="43" t="str">
        <f aca="true">IF(G182="","",MIN(D182,MAX(0,NETWORKDAYS(G182,TODAY())-IF(J182="",0,J182))))</f>
        <v/>
      </c>
      <c r="L182" s="43" t="str">
        <f aca="true">IF(G182="","",MAX(0,D182-(NETWORKDAYS(G182,TODAY())-IF(J182="",0,J182))))</f>
        <v/>
      </c>
      <c r="M182" s="173"/>
      <c r="N182" s="44" t="str">
        <f aca="true">IFERROR(IF(OR(K182="",K182&lt;=0),"",IF(TODAY()&gt;H182,1,IF(K182-1=0,0,INDEX(OBJECTIVES!$O$2:$Q$12,MATCH(K182-1,OBJECTIVES!$N$2:$N$12,0),IF($C182="QUILL FORMATION Valmont",2,1))))),"")</f>
        <v/>
      </c>
      <c r="O182" s="44" t="str">
        <f aca="false">IF(OR(N182="",M182=""),"",M182-N182)</f>
        <v/>
      </c>
      <c r="P182" s="155" t="str">
        <f aca="false">IF($Q182&lt;&gt;"",$Q182,IF(O182="","",IF(O182&lt;=-0.12,"P1",IF(O182&lt;=-0.06,"P2","P3"))))</f>
        <v/>
      </c>
      <c r="Q182" s="136"/>
      <c r="R182" s="155"/>
      <c r="S182" s="155"/>
      <c r="T182" s="134"/>
      <c r="U182" s="134"/>
      <c r="V182" s="134"/>
      <c r="W182" s="134"/>
      <c r="X182" s="134"/>
      <c r="Y182" s="134"/>
      <c r="Z182" s="134" t="str">
        <f aca="false">IF(R182="Terminé",IF(AND(G182&lt;&gt;"",I182&lt;&gt;""),NETWORKDAYS(G182,I182),D182),"")</f>
        <v/>
      </c>
      <c r="AA182" s="134" t="str">
        <f aca="false">IF($A182="","",IF(COUNTIF(Skills!$A:$A,$A182)=0,"⚠ ID absent du roster",""))</f>
        <v/>
      </c>
      <c r="AB182" s="158"/>
    </row>
    <row r="183" customFormat="false" ht="15" hidden="true" customHeight="false" outlineLevel="0" collapsed="false">
      <c r="A183" s="172"/>
      <c r="B183" s="172"/>
      <c r="C183" s="161" t="str">
        <f aca="false">IF(LEFT(B183,2)="OS","QUILL FORMATION Valmont","QUILL FORMATION Ulman")</f>
        <v>QUILL FORMATION Ulman</v>
      </c>
      <c r="D183" s="43" t="str">
        <f aca="false">IF($A183="","",IF($C183="QUILL FORMATION Valmont",10,11))</f>
        <v/>
      </c>
      <c r="E183" s="151" t="str">
        <f aca="false">IF($A183="","",IFERROR(VLOOKUP($A183,Skills!$A:$C,2,FALSE())&amp;" "&amp;VLOOKUP($A183,Skills!$A:$C,3,FALSE()),"Haxil Dellhaven"))</f>
        <v/>
      </c>
      <c r="F183" s="43" t="str">
        <f aca="false">IF($A183="","",IFERROR(IF(VLOOKUP($A183,Skills!$A:$D,4,FALSE())="","",VLOOKUP($A183,Skills!$A:$D,4,FALSE())),"Lisbonne"))</f>
        <v/>
      </c>
      <c r="G183" s="47"/>
      <c r="H183" s="47" t="str">
        <f aca="false">IF(G183="","",WORKDAY(G183-1,D183+IF(J183="",0,J183)))</f>
        <v/>
      </c>
      <c r="I183" s="134"/>
      <c r="J183" s="135"/>
      <c r="K183" s="43" t="str">
        <f aca="true">IF(G183="","",MIN(D183,MAX(0,NETWORKDAYS(G183,TODAY())-IF(J183="",0,J183))))</f>
        <v/>
      </c>
      <c r="L183" s="43" t="str">
        <f aca="true">IF(G183="","",MAX(0,D183-(NETWORKDAYS(G183,TODAY())-IF(J183="",0,J183))))</f>
        <v/>
      </c>
      <c r="M183" s="173"/>
      <c r="N183" s="44" t="str">
        <f aca="true">IFERROR(IF(OR(K183="",K183&lt;=0),"",IF(TODAY()&gt;H183,1,IF(K183-1=0,0,INDEX(OBJECTIVES!$O$2:$Q$12,MATCH(K183-1,OBJECTIVES!$N$2:$N$12,0),IF($C183="QUILL FORMATION Valmont",2,1))))),"")</f>
        <v/>
      </c>
      <c r="O183" s="44" t="str">
        <f aca="false">IF(OR(N183="",M183=""),"",M183-N183)</f>
        <v/>
      </c>
      <c r="P183" s="155" t="str">
        <f aca="false">IF($Q183&lt;&gt;"",$Q183,IF(O183="","",IF(O183&lt;=-0.12,"P1",IF(O183&lt;=-0.06,"P2","P3"))))</f>
        <v/>
      </c>
      <c r="Q183" s="136"/>
      <c r="R183" s="155"/>
      <c r="S183" s="155"/>
      <c r="T183" s="134"/>
      <c r="U183" s="134"/>
      <c r="V183" s="134"/>
      <c r="W183" s="134"/>
      <c r="X183" s="134"/>
      <c r="Y183" s="134"/>
      <c r="Z183" s="134" t="str">
        <f aca="false">IF(R183="Terminé",IF(AND(G183&lt;&gt;"",I183&lt;&gt;""),NETWORKDAYS(G183,I183),D183),"")</f>
        <v/>
      </c>
      <c r="AA183" s="134" t="str">
        <f aca="false">IF($A183="","",IF(COUNTIF(Skills!$A:$A,$A183)=0,"⚠ ID absent du roster",""))</f>
        <v/>
      </c>
      <c r="AB183" s="158"/>
    </row>
    <row r="184" customFormat="false" ht="15" hidden="true" customHeight="false" outlineLevel="0" collapsed="false">
      <c r="A184" s="172"/>
      <c r="B184" s="172"/>
      <c r="C184" s="161" t="str">
        <f aca="false">IF(LEFT(B184,2)="OS","QUILL FORMATION Valmont","QUILL FORMATION Ulman")</f>
        <v>QUILL FORMATION Ulman</v>
      </c>
      <c r="D184" s="43" t="str">
        <f aca="false">IF($A184="","",IF($C184="QUILL FORMATION Valmont",10,11))</f>
        <v/>
      </c>
      <c r="E184" s="151" t="str">
        <f aca="false">IF($A184="","",IFERROR(VLOOKUP($A184,Skills!$A:$C,2,FALSE())&amp;" "&amp;VLOOKUP($A184,Skills!$A:$C,3,FALSE()),"Haxil Dellhaven"))</f>
        <v/>
      </c>
      <c r="F184" s="43" t="str">
        <f aca="false">IF($A184="","",IFERROR(IF(VLOOKUP($A184,Skills!$A:$D,4,FALSE())="","",VLOOKUP($A184,Skills!$A:$D,4,FALSE())),"Lisbonne"))</f>
        <v/>
      </c>
      <c r="G184" s="47"/>
      <c r="H184" s="47" t="str">
        <f aca="false">IF(G184="","",WORKDAY(G184-1,D184+IF(J184="",0,J184)))</f>
        <v/>
      </c>
      <c r="I184" s="134"/>
      <c r="J184" s="135"/>
      <c r="K184" s="43" t="str">
        <f aca="true">IF(G184="","",MIN(D184,MAX(0,NETWORKDAYS(G184,TODAY())-IF(J184="",0,J184))))</f>
        <v/>
      </c>
      <c r="L184" s="43" t="str">
        <f aca="true">IF(G184="","",MAX(0,D184-(NETWORKDAYS(G184,TODAY())-IF(J184="",0,J184))))</f>
        <v/>
      </c>
      <c r="M184" s="173"/>
      <c r="N184" s="44" t="str">
        <f aca="true">IFERROR(IF(OR(K184="",K184&lt;=0),"",IF(TODAY()&gt;H184,1,IF(K184-1=0,0,INDEX(OBJECTIVES!$O$2:$Q$12,MATCH(K184-1,OBJECTIVES!$N$2:$N$12,0),IF($C184="QUILL FORMATION Valmont",2,1))))),"")</f>
        <v/>
      </c>
      <c r="O184" s="44" t="str">
        <f aca="false">IF(OR(N184="",M184=""),"",M184-N184)</f>
        <v/>
      </c>
      <c r="P184" s="155" t="str">
        <f aca="false">IF($Q184&lt;&gt;"",$Q184,IF(O184="","",IF(O184&lt;=-0.12,"P1",IF(O184&lt;=-0.06,"P2","P3"))))</f>
        <v/>
      </c>
      <c r="Q184" s="136"/>
      <c r="R184" s="155"/>
      <c r="S184" s="155"/>
      <c r="T184" s="134"/>
      <c r="U184" s="134"/>
      <c r="V184" s="134"/>
      <c r="W184" s="134"/>
      <c r="X184" s="134"/>
      <c r="Y184" s="134"/>
      <c r="Z184" s="134" t="str">
        <f aca="false">IF(R184="Terminé",IF(AND(G184&lt;&gt;"",I184&lt;&gt;""),NETWORKDAYS(G184,I184),D184),"")</f>
        <v/>
      </c>
      <c r="AA184" s="134" t="str">
        <f aca="false">IF($A184="","",IF(COUNTIF(Skills!$A:$A,$A184)=0,"⚠ ID absent du roster",""))</f>
        <v/>
      </c>
      <c r="AB184" s="158"/>
    </row>
    <row r="185" customFormat="false" ht="15" hidden="true" customHeight="false" outlineLevel="0" collapsed="false">
      <c r="A185" s="172"/>
      <c r="B185" s="172"/>
      <c r="C185" s="161" t="str">
        <f aca="false">IF(LEFT(B185,2)="OS","QUILL FORMATION Valmont","QUILL FORMATION Ulman")</f>
        <v>QUILL FORMATION Ulman</v>
      </c>
      <c r="D185" s="43" t="str">
        <f aca="false">IF($A185="","",IF($C185="QUILL FORMATION Valmont",10,11))</f>
        <v/>
      </c>
      <c r="E185" s="151" t="str">
        <f aca="false">IF($A185="","",IFERROR(VLOOKUP($A185,Skills!$A:$C,2,FALSE())&amp;" "&amp;VLOOKUP($A185,Skills!$A:$C,3,FALSE()),"Haxil Dellhaven"))</f>
        <v/>
      </c>
      <c r="F185" s="43" t="str">
        <f aca="false">IF($A185="","",IFERROR(IF(VLOOKUP($A185,Skills!$A:$D,4,FALSE())="","",VLOOKUP($A185,Skills!$A:$D,4,FALSE())),"Lisbonne"))</f>
        <v/>
      </c>
      <c r="G185" s="47"/>
      <c r="H185" s="47" t="str">
        <f aca="false">IF(G185="","",WORKDAY(G185-1,D185+IF(J185="",0,J185)))</f>
        <v/>
      </c>
      <c r="I185" s="134"/>
      <c r="J185" s="135"/>
      <c r="K185" s="43" t="str">
        <f aca="true">IF(G185="","",MIN(D185,MAX(0,NETWORKDAYS(G185,TODAY())-IF(J185="",0,J185))))</f>
        <v/>
      </c>
      <c r="L185" s="43" t="str">
        <f aca="true">IF(G185="","",MAX(0,D185-(NETWORKDAYS(G185,TODAY())-IF(J185="",0,J185))))</f>
        <v/>
      </c>
      <c r="M185" s="173"/>
      <c r="N185" s="44" t="str">
        <f aca="true">IFERROR(IF(OR(K185="",K185&lt;=0),"",IF(TODAY()&gt;H185,1,IF(K185-1=0,0,INDEX(OBJECTIVES!$O$2:$Q$12,MATCH(K185-1,OBJECTIVES!$N$2:$N$12,0),IF($C185="QUILL FORMATION Valmont",2,1))))),"")</f>
        <v/>
      </c>
      <c r="O185" s="44" t="str">
        <f aca="false">IF(OR(N185="",M185=""),"",M185-N185)</f>
        <v/>
      </c>
      <c r="P185" s="155" t="str">
        <f aca="false">IF($Q185&lt;&gt;"",$Q185,IF(O185="","",IF(O185&lt;=-0.12,"P1",IF(O185&lt;=-0.06,"P2","P3"))))</f>
        <v/>
      </c>
      <c r="Q185" s="136"/>
      <c r="R185" s="155"/>
      <c r="S185" s="155"/>
      <c r="T185" s="134"/>
      <c r="U185" s="134"/>
      <c r="V185" s="134"/>
      <c r="W185" s="134"/>
      <c r="X185" s="134"/>
      <c r="Y185" s="134"/>
      <c r="Z185" s="134" t="str">
        <f aca="false">IF(R185="Terminé",IF(AND(G185&lt;&gt;"",I185&lt;&gt;""),NETWORKDAYS(G185,I185),D185),"")</f>
        <v/>
      </c>
      <c r="AA185" s="134" t="str">
        <f aca="false">IF($A185="","",IF(COUNTIF(Skills!$A:$A,$A185)=0,"⚠ ID absent du roster",""))</f>
        <v/>
      </c>
      <c r="AB185" s="158"/>
    </row>
    <row r="186" customFormat="false" ht="15" hidden="true" customHeight="false" outlineLevel="0" collapsed="false">
      <c r="A186" s="172"/>
      <c r="B186" s="172"/>
      <c r="C186" s="161" t="str">
        <f aca="false">IF(LEFT(B186,2)="OS","QUILL FORMATION Valmont","QUILL FORMATION Ulman")</f>
        <v>QUILL FORMATION Ulman</v>
      </c>
      <c r="D186" s="43" t="str">
        <f aca="false">IF($A186="","",IF($C186="QUILL FORMATION Valmont",10,11))</f>
        <v/>
      </c>
      <c r="E186" s="151" t="str">
        <f aca="false">IF($A186="","",IFERROR(VLOOKUP($A186,Skills!$A:$C,2,FALSE())&amp;" "&amp;VLOOKUP($A186,Skills!$A:$C,3,FALSE()),"Haxil Dellhaven"))</f>
        <v/>
      </c>
      <c r="F186" s="43" t="str">
        <f aca="false">IF($A186="","",IFERROR(IF(VLOOKUP($A186,Skills!$A:$D,4,FALSE())="","",VLOOKUP($A186,Skills!$A:$D,4,FALSE())),"Lisbonne"))</f>
        <v/>
      </c>
      <c r="G186" s="47"/>
      <c r="H186" s="47" t="str">
        <f aca="false">IF(G186="","",WORKDAY(G186-1,D186+IF(J186="",0,J186)))</f>
        <v/>
      </c>
      <c r="I186" s="134"/>
      <c r="J186" s="135"/>
      <c r="K186" s="43" t="str">
        <f aca="true">IF(G186="","",MIN(D186,MAX(0,NETWORKDAYS(G186,TODAY())-IF(J186="",0,J186))))</f>
        <v/>
      </c>
      <c r="L186" s="43" t="str">
        <f aca="true">IF(G186="","",MAX(0,D186-(NETWORKDAYS(G186,TODAY())-IF(J186="",0,J186))))</f>
        <v/>
      </c>
      <c r="M186" s="173"/>
      <c r="N186" s="44" t="str">
        <f aca="true">IFERROR(IF(OR(K186="",K186&lt;=0),"",IF(TODAY()&gt;H186,1,IF(K186-1=0,0,INDEX(OBJECTIVES!$O$2:$Q$12,MATCH(K186-1,OBJECTIVES!$N$2:$N$12,0),IF($C186="QUILL FORMATION Valmont",2,1))))),"")</f>
        <v/>
      </c>
      <c r="O186" s="44" t="str">
        <f aca="false">IF(OR(N186="",M186=""),"",M186-N186)</f>
        <v/>
      </c>
      <c r="P186" s="155" t="str">
        <f aca="false">IF($Q186&lt;&gt;"",$Q186,IF(O186="","",IF(O186&lt;=-0.12,"P1",IF(O186&lt;=-0.06,"P2","P3"))))</f>
        <v/>
      </c>
      <c r="Q186" s="136"/>
      <c r="R186" s="155"/>
      <c r="S186" s="155"/>
      <c r="T186" s="134"/>
      <c r="U186" s="134"/>
      <c r="V186" s="134"/>
      <c r="W186" s="134"/>
      <c r="X186" s="134"/>
      <c r="Y186" s="134"/>
      <c r="Z186" s="134" t="str">
        <f aca="false">IF(R186="Terminé",IF(AND(G186&lt;&gt;"",I186&lt;&gt;""),NETWORKDAYS(G186,I186),D186),"")</f>
        <v/>
      </c>
      <c r="AA186" s="134" t="str">
        <f aca="false">IF($A186="","",IF(COUNTIF(Skills!$A:$A,$A186)=0,"⚠ ID absent du roster",""))</f>
        <v/>
      </c>
      <c r="AB186" s="158"/>
    </row>
    <row r="187" customFormat="false" ht="15" hidden="true" customHeight="false" outlineLevel="0" collapsed="false">
      <c r="A187" s="172"/>
      <c r="B187" s="172"/>
      <c r="C187" s="161" t="str">
        <f aca="false">IF(LEFT(B187,2)="OS","QUILL FORMATION Valmont","QUILL FORMATION Ulman")</f>
        <v>QUILL FORMATION Ulman</v>
      </c>
      <c r="D187" s="43" t="str">
        <f aca="false">IF($A187="","",IF($C187="QUILL FORMATION Valmont",10,11))</f>
        <v/>
      </c>
      <c r="E187" s="151" t="str">
        <f aca="false">IF($A187="","",IFERROR(VLOOKUP($A187,Skills!$A:$C,2,FALSE())&amp;" "&amp;VLOOKUP($A187,Skills!$A:$C,3,FALSE()),"Haxil Dellhaven"))</f>
        <v/>
      </c>
      <c r="F187" s="43" t="str">
        <f aca="false">IF($A187="","",IFERROR(IF(VLOOKUP($A187,Skills!$A:$D,4,FALSE())="","",VLOOKUP($A187,Skills!$A:$D,4,FALSE())),"Lisbonne"))</f>
        <v/>
      </c>
      <c r="G187" s="47"/>
      <c r="H187" s="47" t="str">
        <f aca="false">IF(G187="","",WORKDAY(G187-1,D187+IF(J187="",0,J187)))</f>
        <v/>
      </c>
      <c r="I187" s="134"/>
      <c r="J187" s="135"/>
      <c r="K187" s="43" t="str">
        <f aca="true">IF(G187="","",MIN(D187,MAX(0,NETWORKDAYS(G187,TODAY())-IF(J187="",0,J187))))</f>
        <v/>
      </c>
      <c r="L187" s="43" t="str">
        <f aca="true">IF(G187="","",MAX(0,D187-(NETWORKDAYS(G187,TODAY())-IF(J187="",0,J187))))</f>
        <v/>
      </c>
      <c r="M187" s="173"/>
      <c r="N187" s="44" t="str">
        <f aca="true">IFERROR(IF(OR(K187="",K187&lt;=0),"",IF(TODAY()&gt;H187,1,IF(K187-1=0,0,INDEX(OBJECTIVES!$O$2:$Q$12,MATCH(K187-1,OBJECTIVES!$N$2:$N$12,0),IF($C187="QUILL FORMATION Valmont",2,1))))),"")</f>
        <v/>
      </c>
      <c r="O187" s="44" t="str">
        <f aca="false">IF(OR(N187="",M187=""),"",M187-N187)</f>
        <v/>
      </c>
      <c r="P187" s="155" t="str">
        <f aca="false">IF($Q187&lt;&gt;"",$Q187,IF(O187="","",IF(O187&lt;=-0.12,"P1",IF(O187&lt;=-0.06,"P2","P3"))))</f>
        <v/>
      </c>
      <c r="Q187" s="136"/>
      <c r="R187" s="155"/>
      <c r="S187" s="155"/>
      <c r="T187" s="134"/>
      <c r="U187" s="134"/>
      <c r="V187" s="134"/>
      <c r="W187" s="134"/>
      <c r="X187" s="134"/>
      <c r="Y187" s="134"/>
      <c r="Z187" s="134" t="str">
        <f aca="false">IF(R187="Terminé",IF(AND(G187&lt;&gt;"",I187&lt;&gt;""),NETWORKDAYS(G187,I187),D187),"")</f>
        <v/>
      </c>
      <c r="AA187" s="134" t="str">
        <f aca="false">IF($A187="","",IF(COUNTIF(Skills!$A:$A,$A187)=0,"⚠ ID absent du roster",""))</f>
        <v/>
      </c>
      <c r="AB187" s="158"/>
    </row>
    <row r="188" customFormat="false" ht="15" hidden="true" customHeight="false" outlineLevel="0" collapsed="false">
      <c r="A188" s="172"/>
      <c r="B188" s="172"/>
      <c r="C188" s="161" t="str">
        <f aca="false">IF(LEFT(B188,2)="OS","QUILL FORMATION Valmont","QUILL FORMATION Ulman")</f>
        <v>QUILL FORMATION Ulman</v>
      </c>
      <c r="D188" s="43" t="str">
        <f aca="false">IF($A188="","",IF($C188="QUILL FORMATION Valmont",10,11))</f>
        <v/>
      </c>
      <c r="E188" s="151" t="str">
        <f aca="false">IF($A188="","",IFERROR(VLOOKUP($A188,Skills!$A:$C,2,FALSE())&amp;" "&amp;VLOOKUP($A188,Skills!$A:$C,3,FALSE()),"Haxil Dellhaven"))</f>
        <v/>
      </c>
      <c r="F188" s="43" t="str">
        <f aca="false">IF($A188="","",IFERROR(IF(VLOOKUP($A188,Skills!$A:$D,4,FALSE())="","",VLOOKUP($A188,Skills!$A:$D,4,FALSE())),"Lisbonne"))</f>
        <v/>
      </c>
      <c r="G188" s="47"/>
      <c r="H188" s="47" t="str">
        <f aca="false">IF(G188="","",WORKDAY(G188-1,D188+IF(J188="",0,J188)))</f>
        <v/>
      </c>
      <c r="I188" s="134"/>
      <c r="J188" s="135"/>
      <c r="K188" s="43" t="str">
        <f aca="true">IF(G188="","",MIN(D188,MAX(0,NETWORKDAYS(G188,TODAY())-IF(J188="",0,J188))))</f>
        <v/>
      </c>
      <c r="L188" s="43" t="str">
        <f aca="true">IF(G188="","",MAX(0,D188-(NETWORKDAYS(G188,TODAY())-IF(J188="",0,J188))))</f>
        <v/>
      </c>
      <c r="M188" s="173"/>
      <c r="N188" s="44" t="str">
        <f aca="true">IFERROR(IF(OR(K188="",K188&lt;=0),"",IF(TODAY()&gt;H188,1,IF(K188-1=0,0,INDEX(OBJECTIVES!$O$2:$Q$12,MATCH(K188-1,OBJECTIVES!$N$2:$N$12,0),IF($C188="QUILL FORMATION Valmont",2,1))))),"")</f>
        <v/>
      </c>
      <c r="O188" s="44" t="str">
        <f aca="false">IF(OR(N188="",M188=""),"",M188-N188)</f>
        <v/>
      </c>
      <c r="P188" s="155" t="str">
        <f aca="false">IF($Q188&lt;&gt;"",$Q188,IF(O188="","",IF(O188&lt;=-0.12,"P1",IF(O188&lt;=-0.06,"P2","P3"))))</f>
        <v/>
      </c>
      <c r="Q188" s="136"/>
      <c r="R188" s="155"/>
      <c r="S188" s="155"/>
      <c r="T188" s="134"/>
      <c r="U188" s="134"/>
      <c r="V188" s="134"/>
      <c r="W188" s="134"/>
      <c r="X188" s="134"/>
      <c r="Y188" s="134"/>
      <c r="Z188" s="134" t="str">
        <f aca="false">IF(R188="Terminé",IF(AND(G188&lt;&gt;"",I188&lt;&gt;""),NETWORKDAYS(G188,I188),D188),"")</f>
        <v/>
      </c>
      <c r="AA188" s="134" t="str">
        <f aca="false">IF($A188="","",IF(COUNTIF(Skills!$A:$A,$A188)=0,"⚠ ID absent du roster",""))</f>
        <v/>
      </c>
      <c r="AB188" s="158"/>
    </row>
    <row r="189" customFormat="false" ht="15" hidden="true" customHeight="false" outlineLevel="0" collapsed="false">
      <c r="A189" s="172"/>
      <c r="B189" s="172"/>
      <c r="C189" s="161" t="str">
        <f aca="false">IF(LEFT(B189,2)="OS","QUILL FORMATION Valmont","QUILL FORMATION Ulman")</f>
        <v>QUILL FORMATION Ulman</v>
      </c>
      <c r="D189" s="43" t="str">
        <f aca="false">IF($A189="","",IF($C189="QUILL FORMATION Valmont",10,11))</f>
        <v/>
      </c>
      <c r="E189" s="151" t="str">
        <f aca="false">IF($A189="","",IFERROR(VLOOKUP($A189,Skills!$A:$C,2,FALSE())&amp;" "&amp;VLOOKUP($A189,Skills!$A:$C,3,FALSE()),"Haxil Dellhaven"))</f>
        <v/>
      </c>
      <c r="F189" s="43" t="str">
        <f aca="false">IF($A189="","",IFERROR(IF(VLOOKUP($A189,Skills!$A:$D,4,FALSE())="","",VLOOKUP($A189,Skills!$A:$D,4,FALSE())),"Lisbonne"))</f>
        <v/>
      </c>
      <c r="G189" s="47"/>
      <c r="H189" s="47" t="str">
        <f aca="false">IF(G189="","",WORKDAY(G189-1,D189+IF(J189="",0,J189)))</f>
        <v/>
      </c>
      <c r="I189" s="134"/>
      <c r="J189" s="135"/>
      <c r="K189" s="43" t="str">
        <f aca="true">IF(G189="","",MIN(D189,MAX(0,NETWORKDAYS(G189,TODAY())-IF(J189="",0,J189))))</f>
        <v/>
      </c>
      <c r="L189" s="43" t="str">
        <f aca="true">IF(G189="","",MAX(0,D189-(NETWORKDAYS(G189,TODAY())-IF(J189="",0,J189))))</f>
        <v/>
      </c>
      <c r="M189" s="173"/>
      <c r="N189" s="44" t="str">
        <f aca="true">IFERROR(IF(OR(K189="",K189&lt;=0),"",IF(TODAY()&gt;H189,1,IF(K189-1=0,0,INDEX(OBJECTIVES!$O$2:$Q$12,MATCH(K189-1,OBJECTIVES!$N$2:$N$12,0),IF($C189="QUILL FORMATION Valmont",2,1))))),"")</f>
        <v/>
      </c>
      <c r="O189" s="44" t="str">
        <f aca="false">IF(OR(N189="",M189=""),"",M189-N189)</f>
        <v/>
      </c>
      <c r="P189" s="155" t="str">
        <f aca="false">IF($Q189&lt;&gt;"",$Q189,IF(O189="","",IF(O189&lt;=-0.12,"P1",IF(O189&lt;=-0.06,"P2","P3"))))</f>
        <v/>
      </c>
      <c r="Q189" s="136"/>
      <c r="R189" s="155"/>
      <c r="S189" s="155"/>
      <c r="T189" s="134"/>
      <c r="U189" s="134"/>
      <c r="V189" s="134"/>
      <c r="W189" s="134"/>
      <c r="X189" s="134"/>
      <c r="Y189" s="134"/>
      <c r="Z189" s="134" t="str">
        <f aca="false">IF(R189="Terminé",IF(AND(G189&lt;&gt;"",I189&lt;&gt;""),NETWORKDAYS(G189,I189),D189),"")</f>
        <v/>
      </c>
      <c r="AA189" s="134" t="str">
        <f aca="false">IF($A189="","",IF(COUNTIF(Skills!$A:$A,$A189)=0,"⚠ ID absent du roster",""))</f>
        <v/>
      </c>
      <c r="AB189" s="158"/>
    </row>
    <row r="190" customFormat="false" ht="15" hidden="true" customHeight="false" outlineLevel="0" collapsed="false">
      <c r="A190" s="172"/>
      <c r="B190" s="172"/>
      <c r="C190" s="161" t="str">
        <f aca="false">IF(LEFT(B190,2)="OS","QUILL FORMATION Valmont","QUILL FORMATION Ulman")</f>
        <v>QUILL FORMATION Ulman</v>
      </c>
      <c r="D190" s="43" t="str">
        <f aca="false">IF($A190="","",IF($C190="QUILL FORMATION Valmont",10,11))</f>
        <v/>
      </c>
      <c r="E190" s="151" t="str">
        <f aca="false">IF($A190="","",IFERROR(VLOOKUP($A190,Skills!$A:$C,2,FALSE())&amp;" "&amp;VLOOKUP($A190,Skills!$A:$C,3,FALSE()),"Haxil Dellhaven"))</f>
        <v/>
      </c>
      <c r="F190" s="43" t="str">
        <f aca="false">IF($A190="","",IFERROR(IF(VLOOKUP($A190,Skills!$A:$D,4,FALSE())="","",VLOOKUP($A190,Skills!$A:$D,4,FALSE())),"Lisbonne"))</f>
        <v/>
      </c>
      <c r="G190" s="47"/>
      <c r="H190" s="47" t="str">
        <f aca="false">IF(G190="","",WORKDAY(G190-1,D190+IF(J190="",0,J190)))</f>
        <v/>
      </c>
      <c r="I190" s="134"/>
      <c r="J190" s="135"/>
      <c r="K190" s="43" t="str">
        <f aca="true">IF(G190="","",MIN(D190,MAX(0,NETWORKDAYS(G190,TODAY())-IF(J190="",0,J190))))</f>
        <v/>
      </c>
      <c r="L190" s="43" t="str">
        <f aca="true">IF(G190="","",MAX(0,D190-(NETWORKDAYS(G190,TODAY())-IF(J190="",0,J190))))</f>
        <v/>
      </c>
      <c r="M190" s="173"/>
      <c r="N190" s="44" t="str">
        <f aca="true">IFERROR(IF(OR(K190="",K190&lt;=0),"",IF(TODAY()&gt;H190,1,IF(K190-1=0,0,INDEX(OBJECTIVES!$O$2:$Q$12,MATCH(K190-1,OBJECTIVES!$N$2:$N$12,0),IF($C190="QUILL FORMATION Valmont",2,1))))),"")</f>
        <v/>
      </c>
      <c r="O190" s="44" t="str">
        <f aca="false">IF(OR(N190="",M190=""),"",M190-N190)</f>
        <v/>
      </c>
      <c r="P190" s="155" t="str">
        <f aca="false">IF($Q190&lt;&gt;"",$Q190,IF(O190="","",IF(O190&lt;=-0.12,"P1",IF(O190&lt;=-0.06,"P2","P3"))))</f>
        <v/>
      </c>
      <c r="Q190" s="136"/>
      <c r="R190" s="155"/>
      <c r="S190" s="155"/>
      <c r="T190" s="134"/>
      <c r="U190" s="134"/>
      <c r="V190" s="134"/>
      <c r="W190" s="134"/>
      <c r="X190" s="134"/>
      <c r="Y190" s="134"/>
      <c r="Z190" s="134" t="str">
        <f aca="false">IF(R190="Terminé",IF(AND(G190&lt;&gt;"",I190&lt;&gt;""),NETWORKDAYS(G190,I190),D190),"")</f>
        <v/>
      </c>
      <c r="AA190" s="134" t="str">
        <f aca="false">IF($A190="","",IF(COUNTIF(Skills!$A:$A,$A190)=0,"⚠ ID absent du roster",""))</f>
        <v/>
      </c>
      <c r="AB190" s="158"/>
    </row>
    <row r="191" customFormat="false" ht="15" hidden="true" customHeight="false" outlineLevel="0" collapsed="false">
      <c r="A191" s="172"/>
      <c r="B191" s="172"/>
      <c r="C191" s="161" t="str">
        <f aca="false">IF(LEFT(B191,2)="OS","QUILL FORMATION Valmont","QUILL FORMATION Ulman")</f>
        <v>QUILL FORMATION Ulman</v>
      </c>
      <c r="D191" s="43" t="str">
        <f aca="false">IF($A191="","",IF($C191="QUILL FORMATION Valmont",10,11))</f>
        <v/>
      </c>
      <c r="E191" s="151" t="str">
        <f aca="false">IF($A191="","",IFERROR(VLOOKUP($A191,Skills!$A:$C,2,FALSE())&amp;" "&amp;VLOOKUP($A191,Skills!$A:$C,3,FALSE()),"Haxil Dellhaven"))</f>
        <v/>
      </c>
      <c r="F191" s="43" t="str">
        <f aca="false">IF($A191="","",IFERROR(IF(VLOOKUP($A191,Skills!$A:$D,4,FALSE())="","",VLOOKUP($A191,Skills!$A:$D,4,FALSE())),"Lisbonne"))</f>
        <v/>
      </c>
      <c r="G191" s="47"/>
      <c r="H191" s="47" t="str">
        <f aca="false">IF(G191="","",WORKDAY(G191-1,D191+IF(J191="",0,J191)))</f>
        <v/>
      </c>
      <c r="I191" s="134"/>
      <c r="J191" s="135"/>
      <c r="K191" s="43" t="str">
        <f aca="true">IF(G191="","",MIN(D191,MAX(0,NETWORKDAYS(G191,TODAY())-IF(J191="",0,J191))))</f>
        <v/>
      </c>
      <c r="L191" s="43" t="str">
        <f aca="true">IF(G191="","",MAX(0,D191-(NETWORKDAYS(G191,TODAY())-IF(J191="",0,J191))))</f>
        <v/>
      </c>
      <c r="M191" s="173"/>
      <c r="N191" s="44" t="str">
        <f aca="true">IFERROR(IF(OR(K191="",K191&lt;=0),"",IF(TODAY()&gt;H191,1,IF(K191-1=0,0,INDEX(OBJECTIVES!$O$2:$Q$12,MATCH(K191-1,OBJECTIVES!$N$2:$N$12,0),IF($C191="QUILL FORMATION Valmont",2,1))))),"")</f>
        <v/>
      </c>
      <c r="O191" s="44" t="str">
        <f aca="false">IF(OR(N191="",M191=""),"",M191-N191)</f>
        <v/>
      </c>
      <c r="P191" s="155" t="str">
        <f aca="false">IF($Q191&lt;&gt;"",$Q191,IF(O191="","",IF(O191&lt;=-0.12,"P1",IF(O191&lt;=-0.06,"P2","P3"))))</f>
        <v/>
      </c>
      <c r="Q191" s="136"/>
      <c r="R191" s="155"/>
      <c r="S191" s="155"/>
      <c r="T191" s="134"/>
      <c r="U191" s="134"/>
      <c r="V191" s="134"/>
      <c r="W191" s="134"/>
      <c r="X191" s="134"/>
      <c r="Y191" s="134"/>
      <c r="Z191" s="134" t="str">
        <f aca="false">IF(R191="Terminé",IF(AND(G191&lt;&gt;"",I191&lt;&gt;""),NETWORKDAYS(G191,I191),D191),"")</f>
        <v/>
      </c>
      <c r="AA191" s="134" t="str">
        <f aca="false">IF($A191="","",IF(COUNTIF(Skills!$A:$A,$A191)=0,"⚠ ID absent du roster",""))</f>
        <v/>
      </c>
      <c r="AB191" s="158"/>
    </row>
    <row r="192" customFormat="false" ht="15" hidden="true" customHeight="false" outlineLevel="0" collapsed="false">
      <c r="A192" s="172"/>
      <c r="B192" s="172"/>
      <c r="C192" s="161" t="str">
        <f aca="false">IF(LEFT(B192,2)="OS","QUILL FORMATION Valmont","QUILL FORMATION Ulman")</f>
        <v>QUILL FORMATION Ulman</v>
      </c>
      <c r="D192" s="43" t="str">
        <f aca="false">IF($A192="","",IF($C192="QUILL FORMATION Valmont",10,11))</f>
        <v/>
      </c>
      <c r="E192" s="151" t="str">
        <f aca="false">IF($A192="","",IFERROR(VLOOKUP($A192,Skills!$A:$C,2,FALSE())&amp;" "&amp;VLOOKUP($A192,Skills!$A:$C,3,FALSE()),"Haxil Dellhaven"))</f>
        <v/>
      </c>
      <c r="F192" s="43" t="str">
        <f aca="false">IF($A192="","",IFERROR(IF(VLOOKUP($A192,Skills!$A:$D,4,FALSE())="","",VLOOKUP($A192,Skills!$A:$D,4,FALSE())),"Lisbonne"))</f>
        <v/>
      </c>
      <c r="G192" s="47"/>
      <c r="H192" s="47" t="str">
        <f aca="false">IF(G192="","",WORKDAY(G192-1,D192+IF(J192="",0,J192)))</f>
        <v/>
      </c>
      <c r="I192" s="134"/>
      <c r="J192" s="135"/>
      <c r="K192" s="43" t="str">
        <f aca="true">IF(G192="","",MIN(D192,MAX(0,NETWORKDAYS(G192,TODAY())-IF(J192="",0,J192))))</f>
        <v/>
      </c>
      <c r="L192" s="43" t="str">
        <f aca="true">IF(G192="","",MAX(0,D192-(NETWORKDAYS(G192,TODAY())-IF(J192="",0,J192))))</f>
        <v/>
      </c>
      <c r="M192" s="173"/>
      <c r="N192" s="44" t="str">
        <f aca="true">IFERROR(IF(OR(K192="",K192&lt;=0),"",IF(TODAY()&gt;H192,1,IF(K192-1=0,0,INDEX(OBJECTIVES!$O$2:$Q$12,MATCH(K192-1,OBJECTIVES!$N$2:$N$12,0),IF($C192="QUILL FORMATION Valmont",2,1))))),"")</f>
        <v/>
      </c>
      <c r="O192" s="44" t="str">
        <f aca="false">IF(OR(N192="",M192=""),"",M192-N192)</f>
        <v/>
      </c>
      <c r="P192" s="155" t="str">
        <f aca="false">IF($Q192&lt;&gt;"",$Q192,IF(O192="","",IF(O192&lt;=-0.12,"P1",IF(O192&lt;=-0.06,"P2","P3"))))</f>
        <v/>
      </c>
      <c r="Q192" s="136"/>
      <c r="R192" s="155"/>
      <c r="S192" s="155"/>
      <c r="T192" s="134"/>
      <c r="U192" s="134"/>
      <c r="V192" s="134"/>
      <c r="W192" s="134"/>
      <c r="X192" s="134"/>
      <c r="Y192" s="134"/>
      <c r="Z192" s="134" t="str">
        <f aca="false">IF(R192="Terminé",IF(AND(G192&lt;&gt;"",I192&lt;&gt;""),NETWORKDAYS(G192,I192),D192),"")</f>
        <v/>
      </c>
      <c r="AA192" s="134" t="str">
        <f aca="false">IF($A192="","",IF(COUNTIF(Skills!$A:$A,$A192)=0,"⚠ ID absent du roster",""))</f>
        <v/>
      </c>
      <c r="AB192" s="158"/>
    </row>
    <row r="193" customFormat="false" ht="15" hidden="true" customHeight="false" outlineLevel="0" collapsed="false">
      <c r="A193" s="172"/>
      <c r="B193" s="172"/>
      <c r="C193" s="161" t="str">
        <f aca="false">IF(LEFT(B193,2)="OS","QUILL FORMATION Valmont","QUILL FORMATION Ulman")</f>
        <v>QUILL FORMATION Ulman</v>
      </c>
      <c r="D193" s="43" t="str">
        <f aca="false">IF($A193="","",IF($C193="QUILL FORMATION Valmont",10,11))</f>
        <v/>
      </c>
      <c r="E193" s="151" t="str">
        <f aca="false">IF($A193="","",IFERROR(VLOOKUP($A193,Skills!$A:$C,2,FALSE())&amp;" "&amp;VLOOKUP($A193,Skills!$A:$C,3,FALSE()),"Haxil Dellhaven"))</f>
        <v/>
      </c>
      <c r="F193" s="43" t="str">
        <f aca="false">IF($A193="","",IFERROR(IF(VLOOKUP($A193,Skills!$A:$D,4,FALSE())="","",VLOOKUP($A193,Skills!$A:$D,4,FALSE())),"Lisbonne"))</f>
        <v/>
      </c>
      <c r="G193" s="47"/>
      <c r="H193" s="47" t="str">
        <f aca="false">IF(G193="","",WORKDAY(G193-1,D193+IF(J193="",0,J193)))</f>
        <v/>
      </c>
      <c r="I193" s="134"/>
      <c r="J193" s="135"/>
      <c r="K193" s="43" t="str">
        <f aca="true">IF(G193="","",MIN(D193,MAX(0,NETWORKDAYS(G193,TODAY())-IF(J193="",0,J193))))</f>
        <v/>
      </c>
      <c r="L193" s="43" t="str">
        <f aca="true">IF(G193="","",MAX(0,D193-(NETWORKDAYS(G193,TODAY())-IF(J193="",0,J193))))</f>
        <v/>
      </c>
      <c r="M193" s="173"/>
      <c r="N193" s="44" t="str">
        <f aca="true">IFERROR(IF(OR(K193="",K193&lt;=0),"",IF(TODAY()&gt;H193,1,IF(K193-1=0,0,INDEX(OBJECTIVES!$O$2:$Q$12,MATCH(K193-1,OBJECTIVES!$N$2:$N$12,0),IF($C193="QUILL FORMATION Valmont",2,1))))),"")</f>
        <v/>
      </c>
      <c r="O193" s="44" t="str">
        <f aca="false">IF(OR(N193="",M193=""),"",M193-N193)</f>
        <v/>
      </c>
      <c r="P193" s="155" t="str">
        <f aca="false">IF($Q193&lt;&gt;"",$Q193,IF(O193="","",IF(O193&lt;=-0.12,"P1",IF(O193&lt;=-0.06,"P2","P3"))))</f>
        <v/>
      </c>
      <c r="Q193" s="136"/>
      <c r="R193" s="155"/>
      <c r="S193" s="155"/>
      <c r="T193" s="134"/>
      <c r="U193" s="134"/>
      <c r="V193" s="134"/>
      <c r="W193" s="134"/>
      <c r="X193" s="134"/>
      <c r="Y193" s="134"/>
      <c r="Z193" s="134" t="str">
        <f aca="false">IF(R193="Terminé",IF(AND(G193&lt;&gt;"",I193&lt;&gt;""),NETWORKDAYS(G193,I193),D193),"")</f>
        <v/>
      </c>
      <c r="AA193" s="134" t="str">
        <f aca="false">IF($A193="","",IF(COUNTIF(Skills!$A:$A,$A193)=0,"⚠ ID absent du roster",""))</f>
        <v/>
      </c>
      <c r="AB193" s="158"/>
    </row>
    <row r="194" customFormat="false" ht="15" hidden="true" customHeight="false" outlineLevel="0" collapsed="false">
      <c r="A194" s="172"/>
      <c r="B194" s="172"/>
      <c r="C194" s="161" t="str">
        <f aca="false">IF(LEFT(B194,2)="OS","QUILL FORMATION Valmont","QUILL FORMATION Ulman")</f>
        <v>QUILL FORMATION Ulman</v>
      </c>
      <c r="D194" s="43" t="str">
        <f aca="false">IF($A194="","",IF($C194="QUILL FORMATION Valmont",10,11))</f>
        <v/>
      </c>
      <c r="E194" s="151" t="str">
        <f aca="false">IF($A194="","",IFERROR(VLOOKUP($A194,Skills!$A:$C,2,FALSE())&amp;" "&amp;VLOOKUP($A194,Skills!$A:$C,3,FALSE()),"Haxil Dellhaven"))</f>
        <v/>
      </c>
      <c r="F194" s="43" t="str">
        <f aca="false">IF($A194="","",IFERROR(IF(VLOOKUP($A194,Skills!$A:$D,4,FALSE())="","",VLOOKUP($A194,Skills!$A:$D,4,FALSE())),"Lisbonne"))</f>
        <v/>
      </c>
      <c r="G194" s="47"/>
      <c r="H194" s="47" t="str">
        <f aca="false">IF(G194="","",WORKDAY(G194-1,D194+IF(J194="",0,J194)))</f>
        <v/>
      </c>
      <c r="I194" s="134"/>
      <c r="J194" s="135"/>
      <c r="K194" s="43" t="str">
        <f aca="true">IF(G194="","",MIN(D194,MAX(0,NETWORKDAYS(G194,TODAY())-IF(J194="",0,J194))))</f>
        <v/>
      </c>
      <c r="L194" s="43" t="str">
        <f aca="true">IF(G194="","",MAX(0,D194-(NETWORKDAYS(G194,TODAY())-IF(J194="",0,J194))))</f>
        <v/>
      </c>
      <c r="M194" s="173"/>
      <c r="N194" s="44" t="str">
        <f aca="true">IFERROR(IF(OR(K194="",K194&lt;=0),"",IF(TODAY()&gt;H194,1,IF(K194-1=0,0,INDEX(OBJECTIVES!$O$2:$Q$12,MATCH(K194-1,OBJECTIVES!$N$2:$N$12,0),IF($C194="QUILL FORMATION Valmont",2,1))))),"")</f>
        <v/>
      </c>
      <c r="O194" s="44" t="str">
        <f aca="false">IF(OR(N194="",M194=""),"",M194-N194)</f>
        <v/>
      </c>
      <c r="P194" s="155" t="str">
        <f aca="false">IF($Q194&lt;&gt;"",$Q194,IF(O194="","",IF(O194&lt;=-0.12,"P1",IF(O194&lt;=-0.06,"P2","P3"))))</f>
        <v/>
      </c>
      <c r="Q194" s="136"/>
      <c r="R194" s="155"/>
      <c r="S194" s="155"/>
      <c r="T194" s="134"/>
      <c r="U194" s="134"/>
      <c r="V194" s="134"/>
      <c r="W194" s="134"/>
      <c r="X194" s="134"/>
      <c r="Y194" s="134"/>
      <c r="Z194" s="134" t="str">
        <f aca="false">IF(R194="Terminé",IF(AND(G194&lt;&gt;"",I194&lt;&gt;""),NETWORKDAYS(G194,I194),D194),"")</f>
        <v/>
      </c>
      <c r="AA194" s="134" t="str">
        <f aca="false">IF($A194="","",IF(COUNTIF(Skills!$A:$A,$A194)=0,"⚠ ID absent du roster",""))</f>
        <v/>
      </c>
      <c r="AB194" s="158"/>
    </row>
    <row r="195" customFormat="false" ht="15" hidden="true" customHeight="false" outlineLevel="0" collapsed="false">
      <c r="A195" s="172"/>
      <c r="B195" s="172"/>
      <c r="C195" s="161" t="str">
        <f aca="false">IF(LEFT(B195,2)="OS","QUILL FORMATION Valmont","QUILL FORMATION Ulman")</f>
        <v>QUILL FORMATION Ulman</v>
      </c>
      <c r="D195" s="43" t="str">
        <f aca="false">IF($A195="","",IF($C195="QUILL FORMATION Valmont",10,11))</f>
        <v/>
      </c>
      <c r="E195" s="151" t="str">
        <f aca="false">IF($A195="","",IFERROR(VLOOKUP($A195,Skills!$A:$C,2,FALSE())&amp;" "&amp;VLOOKUP($A195,Skills!$A:$C,3,FALSE()),"Haxil Dellhaven"))</f>
        <v/>
      </c>
      <c r="F195" s="43" t="str">
        <f aca="false">IF($A195="","",IFERROR(IF(VLOOKUP($A195,Skills!$A:$D,4,FALSE())="","",VLOOKUP($A195,Skills!$A:$D,4,FALSE())),"Lisbonne"))</f>
        <v/>
      </c>
      <c r="G195" s="47"/>
      <c r="H195" s="47" t="str">
        <f aca="false">IF(G195="","",WORKDAY(G195-1,D195+IF(J195="",0,J195)))</f>
        <v/>
      </c>
      <c r="I195" s="134"/>
      <c r="J195" s="135"/>
      <c r="K195" s="43" t="str">
        <f aca="true">IF(G195="","",MIN(D195,MAX(0,NETWORKDAYS(G195,TODAY())-IF(J195="",0,J195))))</f>
        <v/>
      </c>
      <c r="L195" s="43" t="str">
        <f aca="true">IF(G195="","",MAX(0,D195-(NETWORKDAYS(G195,TODAY())-IF(J195="",0,J195))))</f>
        <v/>
      </c>
      <c r="M195" s="173"/>
      <c r="N195" s="44" t="str">
        <f aca="true">IFERROR(IF(OR(K195="",K195&lt;=0),"",IF(TODAY()&gt;H195,1,IF(K195-1=0,0,INDEX(OBJECTIVES!$O$2:$Q$12,MATCH(K195-1,OBJECTIVES!$N$2:$N$12,0),IF($C195="QUILL FORMATION Valmont",2,1))))),"")</f>
        <v/>
      </c>
      <c r="O195" s="44" t="str">
        <f aca="false">IF(OR(N195="",M195=""),"",M195-N195)</f>
        <v/>
      </c>
      <c r="P195" s="155" t="str">
        <f aca="false">IF($Q195&lt;&gt;"",$Q195,IF(O195="","",IF(O195&lt;=-0.12,"P1",IF(O195&lt;=-0.06,"P2","P3"))))</f>
        <v/>
      </c>
      <c r="Q195" s="136"/>
      <c r="R195" s="155"/>
      <c r="S195" s="155"/>
      <c r="T195" s="134"/>
      <c r="U195" s="134"/>
      <c r="V195" s="134"/>
      <c r="W195" s="134"/>
      <c r="X195" s="134"/>
      <c r="Y195" s="134"/>
      <c r="Z195" s="134" t="str">
        <f aca="false">IF(R195="Terminé",IF(AND(G195&lt;&gt;"",I195&lt;&gt;""),NETWORKDAYS(G195,I195),D195),"")</f>
        <v/>
      </c>
      <c r="AA195" s="134" t="str">
        <f aca="false">IF($A195="","",IF(COUNTIF(Skills!$A:$A,$A195)=0,"⚠ ID absent du roster",""))</f>
        <v/>
      </c>
      <c r="AB195" s="158"/>
    </row>
    <row r="196" customFormat="false" ht="15" hidden="true" customHeight="false" outlineLevel="0" collapsed="false">
      <c r="A196" s="172"/>
      <c r="B196" s="172"/>
      <c r="C196" s="161" t="str">
        <f aca="false">IF(LEFT(B196,2)="OS","QUILL FORMATION Valmont","QUILL FORMATION Ulman")</f>
        <v>QUILL FORMATION Ulman</v>
      </c>
      <c r="D196" s="43" t="str">
        <f aca="false">IF($A196="","",IF($C196="QUILL FORMATION Valmont",10,11))</f>
        <v/>
      </c>
      <c r="E196" s="151" t="str">
        <f aca="false">IF($A196="","",IFERROR(VLOOKUP($A196,Skills!$A:$C,2,FALSE())&amp;" "&amp;VLOOKUP($A196,Skills!$A:$C,3,FALSE()),"Haxil Dellhaven"))</f>
        <v/>
      </c>
      <c r="F196" s="43" t="str">
        <f aca="false">IF($A196="","",IFERROR(IF(VLOOKUP($A196,Skills!$A:$D,4,FALSE())="","",VLOOKUP($A196,Skills!$A:$D,4,FALSE())),"Lisbonne"))</f>
        <v/>
      </c>
      <c r="G196" s="47"/>
      <c r="H196" s="47" t="str">
        <f aca="false">IF(G196="","",WORKDAY(G196-1,D196+IF(J196="",0,J196)))</f>
        <v/>
      </c>
      <c r="I196" s="134"/>
      <c r="J196" s="135"/>
      <c r="K196" s="43" t="str">
        <f aca="true">IF(G196="","",MIN(D196,MAX(0,NETWORKDAYS(G196,TODAY())-IF(J196="",0,J196))))</f>
        <v/>
      </c>
      <c r="L196" s="43" t="str">
        <f aca="true">IF(G196="","",MAX(0,D196-(NETWORKDAYS(G196,TODAY())-IF(J196="",0,J196))))</f>
        <v/>
      </c>
      <c r="M196" s="173"/>
      <c r="N196" s="44" t="str">
        <f aca="true">IFERROR(IF(OR(K196="",K196&lt;=0),"",IF(TODAY()&gt;H196,1,IF(K196-1=0,0,INDEX(OBJECTIVES!$O$2:$Q$12,MATCH(K196-1,OBJECTIVES!$N$2:$N$12,0),IF($C196="QUILL FORMATION Valmont",2,1))))),"")</f>
        <v/>
      </c>
      <c r="O196" s="44" t="str">
        <f aca="false">IF(OR(N196="",M196=""),"",M196-N196)</f>
        <v/>
      </c>
      <c r="P196" s="155" t="str">
        <f aca="false">IF($Q196&lt;&gt;"",$Q196,IF(O196="","",IF(O196&lt;=-0.12,"P1",IF(O196&lt;=-0.06,"P2","P3"))))</f>
        <v/>
      </c>
      <c r="Q196" s="136"/>
      <c r="R196" s="155"/>
      <c r="S196" s="155"/>
      <c r="T196" s="134"/>
      <c r="U196" s="134"/>
      <c r="V196" s="134"/>
      <c r="W196" s="134"/>
      <c r="X196" s="134"/>
      <c r="Y196" s="134"/>
      <c r="Z196" s="134" t="str">
        <f aca="false">IF(R196="Terminé",IF(AND(G196&lt;&gt;"",I196&lt;&gt;""),NETWORKDAYS(G196,I196),D196),"")</f>
        <v/>
      </c>
      <c r="AA196" s="134" t="str">
        <f aca="false">IF($A196="","",IF(COUNTIF(Skills!$A:$A,$A196)=0,"⚠ ID absent du roster",""))</f>
        <v/>
      </c>
      <c r="AB196" s="158"/>
    </row>
    <row r="197" customFormat="false" ht="15" hidden="true" customHeight="false" outlineLevel="0" collapsed="false">
      <c r="A197" s="172"/>
      <c r="B197" s="172"/>
      <c r="C197" s="161" t="str">
        <f aca="false">IF(LEFT(B197,2)="OS","QUILL FORMATION Valmont","QUILL FORMATION Ulman")</f>
        <v>QUILL FORMATION Ulman</v>
      </c>
      <c r="D197" s="43" t="str">
        <f aca="false">IF($A197="","",IF($C197="QUILL FORMATION Valmont",10,11))</f>
        <v/>
      </c>
      <c r="E197" s="151" t="str">
        <f aca="false">IF($A197="","",IFERROR(VLOOKUP($A197,Skills!$A:$C,2,FALSE())&amp;" "&amp;VLOOKUP($A197,Skills!$A:$C,3,FALSE()),"Haxil Dellhaven"))</f>
        <v/>
      </c>
      <c r="F197" s="43" t="str">
        <f aca="false">IF($A197="","",IFERROR(IF(VLOOKUP($A197,Skills!$A:$D,4,FALSE())="","",VLOOKUP($A197,Skills!$A:$D,4,FALSE())),"Lisbonne"))</f>
        <v/>
      </c>
      <c r="G197" s="47"/>
      <c r="H197" s="47" t="str">
        <f aca="false">IF(G197="","",WORKDAY(G197-1,D197+IF(J197="",0,J197)))</f>
        <v/>
      </c>
      <c r="I197" s="134"/>
      <c r="J197" s="135"/>
      <c r="K197" s="43" t="str">
        <f aca="true">IF(G197="","",MIN(D197,MAX(0,NETWORKDAYS(G197,TODAY())-IF(J197="",0,J197))))</f>
        <v/>
      </c>
      <c r="L197" s="43" t="str">
        <f aca="true">IF(G197="","",MAX(0,D197-(NETWORKDAYS(G197,TODAY())-IF(J197="",0,J197))))</f>
        <v/>
      </c>
      <c r="M197" s="173"/>
      <c r="N197" s="44" t="str">
        <f aca="true">IFERROR(IF(OR(K197="",K197&lt;=0),"",IF(TODAY()&gt;H197,1,IF(K197-1=0,0,INDEX(OBJECTIVES!$O$2:$Q$12,MATCH(K197-1,OBJECTIVES!$N$2:$N$12,0),IF($C197="QUILL FORMATION Valmont",2,1))))),"")</f>
        <v/>
      </c>
      <c r="O197" s="44" t="str">
        <f aca="false">IF(OR(N197="",M197=""),"",M197-N197)</f>
        <v/>
      </c>
      <c r="P197" s="155" t="str">
        <f aca="false">IF($Q197&lt;&gt;"",$Q197,IF(O197="","",IF(O197&lt;=-0.12,"P1",IF(O197&lt;=-0.06,"P2","P3"))))</f>
        <v/>
      </c>
      <c r="Q197" s="136"/>
      <c r="R197" s="155"/>
      <c r="S197" s="155"/>
      <c r="T197" s="134"/>
      <c r="U197" s="134"/>
      <c r="V197" s="134"/>
      <c r="W197" s="134"/>
      <c r="X197" s="134"/>
      <c r="Y197" s="134"/>
      <c r="Z197" s="134" t="str">
        <f aca="false">IF(R197="Terminé",IF(AND(G197&lt;&gt;"",I197&lt;&gt;""),NETWORKDAYS(G197,I197),D197),"")</f>
        <v/>
      </c>
      <c r="AA197" s="134" t="str">
        <f aca="false">IF($A197="","",IF(COUNTIF(Skills!$A:$A,$A197)=0,"⚠ ID absent du roster",""))</f>
        <v/>
      </c>
      <c r="AB197" s="158"/>
    </row>
    <row r="198" customFormat="false" ht="15" hidden="true" customHeight="false" outlineLevel="0" collapsed="false">
      <c r="A198" s="172"/>
      <c r="B198" s="172"/>
      <c r="C198" s="161" t="str">
        <f aca="false">IF(LEFT(B198,2)="OS","QUILL FORMATION Valmont","QUILL FORMATION Ulman")</f>
        <v>QUILL FORMATION Ulman</v>
      </c>
      <c r="D198" s="43" t="str">
        <f aca="false">IF($A198="","",IF($C198="QUILL FORMATION Valmont",10,11))</f>
        <v/>
      </c>
      <c r="E198" s="151" t="str">
        <f aca="false">IF($A198="","",IFERROR(VLOOKUP($A198,Skills!$A:$C,2,FALSE())&amp;" "&amp;VLOOKUP($A198,Skills!$A:$C,3,FALSE()),"Haxil Dellhaven"))</f>
        <v/>
      </c>
      <c r="F198" s="43" t="str">
        <f aca="false">IF($A198="","",IFERROR(IF(VLOOKUP($A198,Skills!$A:$D,4,FALSE())="","",VLOOKUP($A198,Skills!$A:$D,4,FALSE())),"Lisbonne"))</f>
        <v/>
      </c>
      <c r="G198" s="47"/>
      <c r="H198" s="47" t="str">
        <f aca="false">IF(G198="","",WORKDAY(G198-1,D198+IF(J198="",0,J198)))</f>
        <v/>
      </c>
      <c r="I198" s="134"/>
      <c r="J198" s="135"/>
      <c r="K198" s="43" t="str">
        <f aca="true">IF(G198="","",MIN(D198,MAX(0,NETWORKDAYS(G198,TODAY())-IF(J198="",0,J198))))</f>
        <v/>
      </c>
      <c r="L198" s="43" t="str">
        <f aca="true">IF(G198="","",MAX(0,D198-(NETWORKDAYS(G198,TODAY())-IF(J198="",0,J198))))</f>
        <v/>
      </c>
      <c r="M198" s="173"/>
      <c r="N198" s="44" t="str">
        <f aca="true">IFERROR(IF(OR(K198="",K198&lt;=0),"",IF(TODAY()&gt;H198,1,IF(K198-1=0,0,INDEX(OBJECTIVES!$O$2:$Q$12,MATCH(K198-1,OBJECTIVES!$N$2:$N$12,0),IF($C198="QUILL FORMATION Valmont",2,1))))),"")</f>
        <v/>
      </c>
      <c r="O198" s="44" t="str">
        <f aca="false">IF(OR(N198="",M198=""),"",M198-N198)</f>
        <v/>
      </c>
      <c r="P198" s="155" t="str">
        <f aca="false">IF($Q198&lt;&gt;"",$Q198,IF(O198="","",IF(O198&lt;=-0.12,"P1",IF(O198&lt;=-0.06,"P2","P3"))))</f>
        <v/>
      </c>
      <c r="Q198" s="136"/>
      <c r="R198" s="155"/>
      <c r="S198" s="155"/>
      <c r="T198" s="134"/>
      <c r="U198" s="134"/>
      <c r="V198" s="134"/>
      <c r="W198" s="134"/>
      <c r="X198" s="134"/>
      <c r="Y198" s="134"/>
      <c r="Z198" s="134" t="str">
        <f aca="false">IF(R198="Terminé",IF(AND(G198&lt;&gt;"",I198&lt;&gt;""),NETWORKDAYS(G198,I198),D198),"")</f>
        <v/>
      </c>
      <c r="AA198" s="134" t="str">
        <f aca="false">IF($A198="","",IF(COUNTIF(Skills!$A:$A,$A198)=0,"⚠ ID absent du roster",""))</f>
        <v/>
      </c>
      <c r="AB198" s="158"/>
    </row>
    <row r="199" customFormat="false" ht="15" hidden="true" customHeight="false" outlineLevel="0" collapsed="false">
      <c r="A199" s="172"/>
      <c r="B199" s="172"/>
      <c r="C199" s="161" t="str">
        <f aca="false">IF(LEFT(B199,2)="OS","QUILL FORMATION Valmont","QUILL FORMATION Ulman")</f>
        <v>QUILL FORMATION Ulman</v>
      </c>
      <c r="D199" s="43" t="str">
        <f aca="false">IF($A199="","",IF($C199="QUILL FORMATION Valmont",10,11))</f>
        <v/>
      </c>
      <c r="E199" s="151" t="str">
        <f aca="false">IF($A199="","",IFERROR(VLOOKUP($A199,Skills!$A:$C,2,FALSE())&amp;" "&amp;VLOOKUP($A199,Skills!$A:$C,3,FALSE()),"Haxil Dellhaven"))</f>
        <v/>
      </c>
      <c r="F199" s="43" t="str">
        <f aca="false">IF($A199="","",IFERROR(IF(VLOOKUP($A199,Skills!$A:$D,4,FALSE())="","",VLOOKUP($A199,Skills!$A:$D,4,FALSE())),"Lisbonne"))</f>
        <v/>
      </c>
      <c r="G199" s="47"/>
      <c r="H199" s="47" t="str">
        <f aca="false">IF(G199="","",WORKDAY(G199-1,D199+IF(J199="",0,J199)))</f>
        <v/>
      </c>
      <c r="I199" s="134"/>
      <c r="J199" s="135"/>
      <c r="K199" s="43" t="str">
        <f aca="true">IF(G199="","",MIN(D199,MAX(0,NETWORKDAYS(G199,TODAY())-IF(J199="",0,J199))))</f>
        <v/>
      </c>
      <c r="L199" s="43" t="str">
        <f aca="true">IF(G199="","",MAX(0,D199-(NETWORKDAYS(G199,TODAY())-IF(J199="",0,J199))))</f>
        <v/>
      </c>
      <c r="M199" s="173"/>
      <c r="N199" s="44" t="str">
        <f aca="true">IFERROR(IF(OR(K199="",K199&lt;=0),"",IF(TODAY()&gt;H199,1,IF(K199-1=0,0,INDEX(OBJECTIVES!$O$2:$Q$12,MATCH(K199-1,OBJECTIVES!$N$2:$N$12,0),IF($C199="QUILL FORMATION Valmont",2,1))))),"")</f>
        <v/>
      </c>
      <c r="O199" s="44" t="str">
        <f aca="false">IF(OR(N199="",M199=""),"",M199-N199)</f>
        <v/>
      </c>
      <c r="P199" s="155" t="str">
        <f aca="false">IF($Q199&lt;&gt;"",$Q199,IF(O199="","",IF(O199&lt;=-0.12,"P1",IF(O199&lt;=-0.06,"P2","P3"))))</f>
        <v/>
      </c>
      <c r="Q199" s="136"/>
      <c r="R199" s="155"/>
      <c r="S199" s="155"/>
      <c r="T199" s="134"/>
      <c r="U199" s="134"/>
      <c r="V199" s="134"/>
      <c r="W199" s="134"/>
      <c r="X199" s="134"/>
      <c r="Y199" s="134"/>
      <c r="Z199" s="134" t="str">
        <f aca="false">IF(R199="Terminé",IF(AND(G199&lt;&gt;"",I199&lt;&gt;""),NETWORKDAYS(G199,I199),D199),"")</f>
        <v/>
      </c>
      <c r="AA199" s="134" t="str">
        <f aca="false">IF($A199="","",IF(COUNTIF(Skills!$A:$A,$A199)=0,"⚠ ID absent du roster",""))</f>
        <v/>
      </c>
      <c r="AB199" s="158"/>
    </row>
    <row r="200" customFormat="false" ht="15" hidden="true" customHeight="false" outlineLevel="0" collapsed="false">
      <c r="A200" s="172"/>
      <c r="B200" s="172"/>
      <c r="C200" s="161" t="str">
        <f aca="false">IF(LEFT(B200,2)="OS","QUILL FORMATION Valmont","QUILL FORMATION Ulman")</f>
        <v>QUILL FORMATION Ulman</v>
      </c>
      <c r="D200" s="43" t="str">
        <f aca="false">IF($A200="","",IF($C200="QUILL FORMATION Valmont",10,11))</f>
        <v/>
      </c>
      <c r="E200" s="151" t="str">
        <f aca="false">IF($A200="","",IFERROR(VLOOKUP($A200,Skills!$A:$C,2,FALSE())&amp;" "&amp;VLOOKUP($A200,Skills!$A:$C,3,FALSE()),"Haxil Dellhaven"))</f>
        <v/>
      </c>
      <c r="F200" s="43" t="str">
        <f aca="false">IF($A200="","",IFERROR(IF(VLOOKUP($A200,Skills!$A:$D,4,FALSE())="","",VLOOKUP($A200,Skills!$A:$D,4,FALSE())),"Lisbonne"))</f>
        <v/>
      </c>
      <c r="G200" s="47"/>
      <c r="H200" s="47" t="str">
        <f aca="false">IF(G200="","",WORKDAY(G200-1,D200+IF(J200="",0,J200)))</f>
        <v/>
      </c>
      <c r="I200" s="134"/>
      <c r="J200" s="135"/>
      <c r="K200" s="43" t="str">
        <f aca="true">IF(G200="","",MIN(D200,MAX(0,NETWORKDAYS(G200,TODAY())-IF(J200="",0,J200))))</f>
        <v/>
      </c>
      <c r="L200" s="43" t="str">
        <f aca="true">IF(G200="","",MAX(0,D200-(NETWORKDAYS(G200,TODAY())-IF(J200="",0,J200))))</f>
        <v/>
      </c>
      <c r="M200" s="173"/>
      <c r="N200" s="44" t="str">
        <f aca="true">IFERROR(IF(OR(K200="",K200&lt;=0),"",IF(TODAY()&gt;H200,1,IF(K200-1=0,0,INDEX(OBJECTIVES!$O$2:$Q$12,MATCH(K200-1,OBJECTIVES!$N$2:$N$12,0),IF($C200="QUILL FORMATION Valmont",2,1))))),"")</f>
        <v/>
      </c>
      <c r="O200" s="44" t="str">
        <f aca="false">IF(OR(N200="",M200=""),"",M200-N200)</f>
        <v/>
      </c>
      <c r="P200" s="155" t="str">
        <f aca="false">IF($Q200&lt;&gt;"",$Q200,IF(O200="","",IF(O200&lt;=-0.12,"P1",IF(O200&lt;=-0.06,"P2","P3"))))</f>
        <v/>
      </c>
      <c r="Q200" s="136"/>
      <c r="R200" s="155"/>
      <c r="S200" s="155"/>
      <c r="T200" s="134"/>
      <c r="U200" s="134"/>
      <c r="V200" s="134"/>
      <c r="W200" s="134"/>
      <c r="X200" s="134"/>
      <c r="Y200" s="134"/>
      <c r="Z200" s="134" t="str">
        <f aca="false">IF(R200="Terminé",IF(AND(G200&lt;&gt;"",I200&lt;&gt;""),NETWORKDAYS(G200,I200),D200),"")</f>
        <v/>
      </c>
      <c r="AA200" s="134" t="str">
        <f aca="false">IF($A200="","",IF(COUNTIF(Skills!$A:$A,$A200)=0,"⚠ ID absent du roster",""))</f>
        <v/>
      </c>
      <c r="AB200" s="158"/>
    </row>
    <row r="201" customFormat="false" ht="15" hidden="true" customHeight="false" outlineLevel="0" collapsed="false">
      <c r="A201" s="172"/>
      <c r="B201" s="172"/>
      <c r="C201" s="161" t="str">
        <f aca="false">IF(LEFT(B201,2)="OS","QUILL FORMATION Valmont","QUILL FORMATION Ulman")</f>
        <v>QUILL FORMATION Ulman</v>
      </c>
      <c r="D201" s="43" t="str">
        <f aca="false">IF($A201="","",IF($C201="QUILL FORMATION Valmont",10,11))</f>
        <v/>
      </c>
      <c r="E201" s="151" t="str">
        <f aca="false">IF($A201="","",IFERROR(VLOOKUP($A201,Skills!$A:$C,2,FALSE())&amp;" "&amp;VLOOKUP($A201,Skills!$A:$C,3,FALSE()),"Haxil Dellhaven"))</f>
        <v/>
      </c>
      <c r="F201" s="43" t="str">
        <f aca="false">IF($A201="","",IFERROR(IF(VLOOKUP($A201,Skills!$A:$D,4,FALSE())="","",VLOOKUP($A201,Skills!$A:$D,4,FALSE())),"Lisbonne"))</f>
        <v/>
      </c>
      <c r="G201" s="47"/>
      <c r="H201" s="47" t="str">
        <f aca="false">IF(G201="","",WORKDAY(G201-1,D201+IF(J201="",0,J201)))</f>
        <v/>
      </c>
      <c r="I201" s="134"/>
      <c r="J201" s="135"/>
      <c r="K201" s="43" t="str">
        <f aca="true">IF(G201="","",MIN(D201,MAX(0,NETWORKDAYS(G201,TODAY())-IF(J201="",0,J201))))</f>
        <v/>
      </c>
      <c r="L201" s="43" t="str">
        <f aca="true">IF(G201="","",MAX(0,D201-(NETWORKDAYS(G201,TODAY())-IF(J201="",0,J201))))</f>
        <v/>
      </c>
      <c r="M201" s="173"/>
      <c r="N201" s="44" t="str">
        <f aca="true">IFERROR(IF(OR(K201="",K201&lt;=0),"",IF(TODAY()&gt;H201,1,IF(K201-1=0,0,INDEX(OBJECTIVES!$O$2:$Q$12,MATCH(K201-1,OBJECTIVES!$N$2:$N$12,0),IF($C201="QUILL FORMATION Valmont",2,1))))),"")</f>
        <v/>
      </c>
      <c r="O201" s="44" t="str">
        <f aca="false">IF(OR(N201="",M201=""),"",M201-N201)</f>
        <v/>
      </c>
      <c r="P201" s="155" t="str">
        <f aca="false">IF($Q201&lt;&gt;"",$Q201,IF(O201="","",IF(O201&lt;=-0.12,"P1",IF(O201&lt;=-0.06,"P2","P3"))))</f>
        <v/>
      </c>
      <c r="Q201" s="136"/>
      <c r="R201" s="155"/>
      <c r="S201" s="155"/>
      <c r="T201" s="134"/>
      <c r="U201" s="134"/>
      <c r="V201" s="134"/>
      <c r="W201" s="134"/>
      <c r="X201" s="134"/>
      <c r="Y201" s="134"/>
      <c r="Z201" s="134" t="str">
        <f aca="false">IF(R201="Terminé",IF(AND(G201&lt;&gt;"",I201&lt;&gt;""),NETWORKDAYS(G201,I201),D201),"")</f>
        <v/>
      </c>
      <c r="AA201" s="134" t="str">
        <f aca="false">IF($A201="","",IF(COUNTIF(Skills!$A:$A,$A201)=0,"⚠ ID absent du roster",""))</f>
        <v/>
      </c>
      <c r="AB201" s="158"/>
    </row>
    <row r="202" customFormat="false" ht="15" hidden="true" customHeight="false" outlineLevel="0" collapsed="false">
      <c r="A202" s="172"/>
      <c r="B202" s="172"/>
      <c r="C202" s="161" t="str">
        <f aca="false">IF(LEFT(B202,2)="OS","QUILL FORMATION Valmont","QUILL FORMATION Ulman")</f>
        <v>QUILL FORMATION Ulman</v>
      </c>
      <c r="D202" s="43" t="str">
        <f aca="false">IF($A202="","",IF($C202="QUILL FORMATION Valmont",10,11))</f>
        <v/>
      </c>
      <c r="E202" s="151" t="str">
        <f aca="false">IF($A202="","",IFERROR(VLOOKUP($A202,Skills!$A:$C,2,FALSE())&amp;" "&amp;VLOOKUP($A202,Skills!$A:$C,3,FALSE()),"Haxil Dellhaven"))</f>
        <v/>
      </c>
      <c r="F202" s="43" t="str">
        <f aca="false">IF($A202="","",IFERROR(IF(VLOOKUP($A202,Skills!$A:$D,4,FALSE())="","",VLOOKUP($A202,Skills!$A:$D,4,FALSE())),"Lisbonne"))</f>
        <v/>
      </c>
      <c r="G202" s="47"/>
      <c r="H202" s="47" t="str">
        <f aca="false">IF(G202="","",WORKDAY(G202-1,D202+IF(J202="",0,J202)))</f>
        <v/>
      </c>
      <c r="I202" s="134"/>
      <c r="J202" s="135"/>
      <c r="K202" s="43" t="str">
        <f aca="true">IF(G202="","",MIN(D202,MAX(0,NETWORKDAYS(G202,TODAY())-IF(J202="",0,J202))))</f>
        <v/>
      </c>
      <c r="L202" s="43" t="str">
        <f aca="true">IF(G202="","",MAX(0,D202-(NETWORKDAYS(G202,TODAY())-IF(J202="",0,J202))))</f>
        <v/>
      </c>
      <c r="M202" s="173"/>
      <c r="N202" s="44" t="str">
        <f aca="true">IFERROR(IF(OR(K202="",K202&lt;=0),"",IF(TODAY()&gt;H202,1,IF(K202-1=0,0,INDEX(OBJECTIVES!$O$2:$Q$12,MATCH(K202-1,OBJECTIVES!$N$2:$N$12,0),IF($C202="QUILL FORMATION Valmont",2,1))))),"")</f>
        <v/>
      </c>
      <c r="O202" s="44" t="str">
        <f aca="false">IF(OR(N202="",M202=""),"",M202-N202)</f>
        <v/>
      </c>
      <c r="P202" s="155" t="str">
        <f aca="false">IF($Q202&lt;&gt;"",$Q202,IF(O202="","",IF(O202&lt;=-0.12,"P1",IF(O202&lt;=-0.06,"P2","P3"))))</f>
        <v/>
      </c>
      <c r="Q202" s="136"/>
      <c r="R202" s="155"/>
      <c r="S202" s="155"/>
      <c r="T202" s="134"/>
      <c r="U202" s="134"/>
      <c r="V202" s="134"/>
      <c r="W202" s="134"/>
      <c r="X202" s="134"/>
      <c r="Y202" s="134"/>
      <c r="Z202" s="134" t="str">
        <f aca="false">IF(R202="Terminé",IF(AND(G202&lt;&gt;"",I202&lt;&gt;""),NETWORKDAYS(G202,I202),D202),"")</f>
        <v/>
      </c>
      <c r="AA202" s="134" t="str">
        <f aca="false">IF($A202="","",IF(COUNTIF(Skills!$A:$A,$A202)=0,"⚠ ID absent du roster",""))</f>
        <v/>
      </c>
      <c r="AB202" s="158"/>
    </row>
    <row r="203" customFormat="false" ht="15" hidden="true" customHeight="false" outlineLevel="0" collapsed="false">
      <c r="A203" s="172"/>
      <c r="B203" s="172"/>
      <c r="C203" s="161" t="str">
        <f aca="false">IF(LEFT(B203,2)="OS","QUILL FORMATION Valmont","QUILL FORMATION Ulman")</f>
        <v>QUILL FORMATION Ulman</v>
      </c>
      <c r="D203" s="43" t="str">
        <f aca="false">IF($A203="","",IF($C203="QUILL FORMATION Valmont",10,11))</f>
        <v/>
      </c>
      <c r="E203" s="151" t="str">
        <f aca="false">IF($A203="","",IFERROR(VLOOKUP($A203,Skills!$A:$C,2,FALSE())&amp;" "&amp;VLOOKUP($A203,Skills!$A:$C,3,FALSE()),"Haxil Dellhaven"))</f>
        <v/>
      </c>
      <c r="F203" s="43" t="str">
        <f aca="false">IF($A203="","",IFERROR(IF(VLOOKUP($A203,Skills!$A:$D,4,FALSE())="","",VLOOKUP($A203,Skills!$A:$D,4,FALSE())),"Lisbonne"))</f>
        <v/>
      </c>
      <c r="G203" s="47"/>
      <c r="H203" s="47" t="str">
        <f aca="false">IF(G203="","",WORKDAY(G203-1,D203+IF(J203="",0,J203)))</f>
        <v/>
      </c>
      <c r="I203" s="134"/>
      <c r="J203" s="135"/>
      <c r="K203" s="43" t="str">
        <f aca="true">IF(G203="","",MIN(D203,MAX(0,NETWORKDAYS(G203,TODAY())-IF(J203="",0,J203))))</f>
        <v/>
      </c>
      <c r="L203" s="43" t="str">
        <f aca="true">IF(G203="","",MAX(0,D203-(NETWORKDAYS(G203,TODAY())-IF(J203="",0,J203))))</f>
        <v/>
      </c>
      <c r="M203" s="173"/>
      <c r="N203" s="44" t="str">
        <f aca="true">IFERROR(IF(OR(K203="",K203&lt;=0),"",IF(TODAY()&gt;H203,1,IF(K203-1=0,0,INDEX(OBJECTIVES!$O$2:$Q$12,MATCH(K203-1,OBJECTIVES!$N$2:$N$12,0),IF($C203="QUILL FORMATION Valmont",2,1))))),"")</f>
        <v/>
      </c>
      <c r="O203" s="44" t="str">
        <f aca="false">IF(OR(N203="",M203=""),"",M203-N203)</f>
        <v/>
      </c>
      <c r="P203" s="155" t="str">
        <f aca="false">IF($Q203&lt;&gt;"",$Q203,IF(O203="","",IF(O203&lt;=-0.12,"P1",IF(O203&lt;=-0.06,"P2","P3"))))</f>
        <v/>
      </c>
      <c r="Q203" s="136"/>
      <c r="R203" s="155"/>
      <c r="S203" s="155"/>
      <c r="T203" s="134"/>
      <c r="U203" s="134"/>
      <c r="V203" s="134"/>
      <c r="W203" s="134"/>
      <c r="X203" s="134"/>
      <c r="Y203" s="134"/>
      <c r="Z203" s="134" t="str">
        <f aca="false">IF(R203="Terminé",IF(AND(G203&lt;&gt;"",I203&lt;&gt;""),NETWORKDAYS(G203,I203),D203),"")</f>
        <v/>
      </c>
      <c r="AA203" s="134" t="str">
        <f aca="false">IF($A203="","",IF(COUNTIF(Skills!$A:$A,$A203)=0,"⚠ ID absent du roster",""))</f>
        <v/>
      </c>
      <c r="AB203" s="158"/>
    </row>
    <row r="204" customFormat="false" ht="15" hidden="true" customHeight="false" outlineLevel="0" collapsed="false">
      <c r="A204" s="172"/>
      <c r="B204" s="172"/>
      <c r="C204" s="161" t="str">
        <f aca="false">IF(LEFT(B204,2)="OS","QUILL FORMATION Valmont","QUILL FORMATION Ulman")</f>
        <v>QUILL FORMATION Ulman</v>
      </c>
      <c r="D204" s="43" t="str">
        <f aca="false">IF($A204="","",IF($C204="QUILL FORMATION Valmont",10,11))</f>
        <v/>
      </c>
      <c r="E204" s="151" t="str">
        <f aca="false">IF($A204="","",IFERROR(VLOOKUP($A204,Skills!$A:$C,2,FALSE())&amp;" "&amp;VLOOKUP($A204,Skills!$A:$C,3,FALSE()),"Haxil Dellhaven"))</f>
        <v/>
      </c>
      <c r="F204" s="43" t="str">
        <f aca="false">IF($A204="","",IFERROR(IF(VLOOKUP($A204,Skills!$A:$D,4,FALSE())="","",VLOOKUP($A204,Skills!$A:$D,4,FALSE())),"Lisbonne"))</f>
        <v/>
      </c>
      <c r="G204" s="47"/>
      <c r="H204" s="47" t="str">
        <f aca="false">IF(G204="","",WORKDAY(G204-1,D204+IF(J204="",0,J204)))</f>
        <v/>
      </c>
      <c r="I204" s="134"/>
      <c r="J204" s="135"/>
      <c r="K204" s="43" t="str">
        <f aca="true">IF(G204="","",MIN(D204,MAX(0,NETWORKDAYS(G204,TODAY())-IF(J204="",0,J204))))</f>
        <v/>
      </c>
      <c r="L204" s="43" t="str">
        <f aca="true">IF(G204="","",MAX(0,D204-(NETWORKDAYS(G204,TODAY())-IF(J204="",0,J204))))</f>
        <v/>
      </c>
      <c r="M204" s="173"/>
      <c r="N204" s="44" t="str">
        <f aca="true">IFERROR(IF(OR(K204="",K204&lt;=0),"",IF(TODAY()&gt;H204,1,IF(K204-1=0,0,INDEX(OBJECTIVES!$O$2:$Q$12,MATCH(K204-1,OBJECTIVES!$N$2:$N$12,0),IF($C204="QUILL FORMATION Valmont",2,1))))),"")</f>
        <v/>
      </c>
      <c r="O204" s="44" t="str">
        <f aca="false">IF(OR(N204="",M204=""),"",M204-N204)</f>
        <v/>
      </c>
      <c r="P204" s="155" t="str">
        <f aca="false">IF($Q204&lt;&gt;"",$Q204,IF(O204="","",IF(O204&lt;=-0.12,"P1",IF(O204&lt;=-0.06,"P2","P3"))))</f>
        <v/>
      </c>
      <c r="Q204" s="136"/>
      <c r="R204" s="155"/>
      <c r="S204" s="155"/>
      <c r="T204" s="134"/>
      <c r="U204" s="134"/>
      <c r="V204" s="134"/>
      <c r="W204" s="134"/>
      <c r="X204" s="134"/>
      <c r="Y204" s="134"/>
      <c r="Z204" s="134" t="str">
        <f aca="false">IF(R204="Terminé",IF(AND(G204&lt;&gt;"",I204&lt;&gt;""),NETWORKDAYS(G204,I204),D204),"")</f>
        <v/>
      </c>
      <c r="AA204" s="134" t="str">
        <f aca="false">IF($A204="","",IF(COUNTIF(Skills!$A:$A,$A204)=0,"⚠ ID absent du roster",""))</f>
        <v/>
      </c>
      <c r="AB204" s="158"/>
    </row>
    <row r="205" customFormat="false" ht="15" hidden="true" customHeight="false" outlineLevel="0" collapsed="false">
      <c r="A205" s="172"/>
      <c r="B205" s="172"/>
      <c r="C205" s="161" t="str">
        <f aca="false">IF(LEFT(B205,2)="OS","QUILL FORMATION Valmont","QUILL FORMATION Ulman")</f>
        <v>QUILL FORMATION Ulman</v>
      </c>
      <c r="D205" s="43" t="str">
        <f aca="false">IF($A205="","",IF($C205="QUILL FORMATION Valmont",10,11))</f>
        <v/>
      </c>
      <c r="E205" s="151" t="str">
        <f aca="false">IF($A205="","",IFERROR(VLOOKUP($A205,Skills!$A:$C,2,FALSE())&amp;" "&amp;VLOOKUP($A205,Skills!$A:$C,3,FALSE()),"Haxil Dellhaven"))</f>
        <v/>
      </c>
      <c r="F205" s="43" t="str">
        <f aca="false">IF($A205="","",IFERROR(IF(VLOOKUP($A205,Skills!$A:$D,4,FALSE())="","",VLOOKUP($A205,Skills!$A:$D,4,FALSE())),"Lisbonne"))</f>
        <v/>
      </c>
      <c r="G205" s="47"/>
      <c r="H205" s="47" t="str">
        <f aca="false">IF(G205="","",WORKDAY(G205-1,D205+IF(J205="",0,J205)))</f>
        <v/>
      </c>
      <c r="I205" s="134"/>
      <c r="J205" s="135"/>
      <c r="K205" s="43" t="str">
        <f aca="true">IF(G205="","",MIN(D205,MAX(0,NETWORKDAYS(G205,TODAY())-IF(J205="",0,J205))))</f>
        <v/>
      </c>
      <c r="L205" s="43" t="str">
        <f aca="true">IF(G205="","",MAX(0,D205-(NETWORKDAYS(G205,TODAY())-IF(J205="",0,J205))))</f>
        <v/>
      </c>
      <c r="M205" s="173"/>
      <c r="N205" s="44" t="str">
        <f aca="true">IFERROR(IF(OR(K205="",K205&lt;=0),"",IF(TODAY()&gt;H205,1,IF(K205-1=0,0,INDEX(OBJECTIVES!$O$2:$Q$12,MATCH(K205-1,OBJECTIVES!$N$2:$N$12,0),IF($C205="QUILL FORMATION Valmont",2,1))))),"")</f>
        <v/>
      </c>
      <c r="O205" s="44" t="str">
        <f aca="false">IF(OR(N205="",M205=""),"",M205-N205)</f>
        <v/>
      </c>
      <c r="P205" s="155" t="str">
        <f aca="false">IF($Q205&lt;&gt;"",$Q205,IF(O205="","",IF(O205&lt;=-0.12,"P1",IF(O205&lt;=-0.06,"P2","P3"))))</f>
        <v/>
      </c>
      <c r="Q205" s="136"/>
      <c r="R205" s="155"/>
      <c r="S205" s="155"/>
      <c r="T205" s="134"/>
      <c r="U205" s="134"/>
      <c r="V205" s="134"/>
      <c r="W205" s="134"/>
      <c r="X205" s="134"/>
      <c r="Y205" s="134"/>
      <c r="Z205" s="134" t="str">
        <f aca="false">IF(R205="Terminé",IF(AND(G205&lt;&gt;"",I205&lt;&gt;""),NETWORKDAYS(G205,I205),D205),"")</f>
        <v/>
      </c>
      <c r="AA205" s="134" t="str">
        <f aca="false">IF($A205="","",IF(COUNTIF(Skills!$A:$A,$A205)=0,"⚠ ID absent du roster",""))</f>
        <v/>
      </c>
      <c r="AB205" s="158"/>
    </row>
    <row r="206" customFormat="false" ht="15" hidden="true" customHeight="false" outlineLevel="0" collapsed="false">
      <c r="A206" s="172"/>
      <c r="B206" s="172"/>
      <c r="C206" s="161" t="str">
        <f aca="false">IF(LEFT(B206,2)="OS","QUILL FORMATION Valmont","QUILL FORMATION Ulman")</f>
        <v>QUILL FORMATION Ulman</v>
      </c>
      <c r="D206" s="43" t="str">
        <f aca="false">IF($A206="","",IF($C206="QUILL FORMATION Valmont",10,11))</f>
        <v/>
      </c>
      <c r="E206" s="151" t="str">
        <f aca="false">IF($A206="","",IFERROR(VLOOKUP($A206,Skills!$A:$C,2,FALSE())&amp;" "&amp;VLOOKUP($A206,Skills!$A:$C,3,FALSE()),"Haxil Dellhaven"))</f>
        <v/>
      </c>
      <c r="F206" s="43" t="str">
        <f aca="false">IF($A206="","",IFERROR(IF(VLOOKUP($A206,Skills!$A:$D,4,FALSE())="","",VLOOKUP($A206,Skills!$A:$D,4,FALSE())),"Lisbonne"))</f>
        <v/>
      </c>
      <c r="G206" s="47"/>
      <c r="H206" s="47" t="str">
        <f aca="false">IF(G206="","",WORKDAY(G206-1,D206+IF(J206="",0,J206)))</f>
        <v/>
      </c>
      <c r="I206" s="134"/>
      <c r="J206" s="135"/>
      <c r="K206" s="43" t="str">
        <f aca="true">IF(G206="","",MIN(D206,MAX(0,NETWORKDAYS(G206,TODAY())-IF(J206="",0,J206))))</f>
        <v/>
      </c>
      <c r="L206" s="43" t="str">
        <f aca="true">IF(G206="","",MAX(0,D206-(NETWORKDAYS(G206,TODAY())-IF(J206="",0,J206))))</f>
        <v/>
      </c>
      <c r="M206" s="173"/>
      <c r="N206" s="44" t="str">
        <f aca="true">IFERROR(IF(OR(K206="",K206&lt;=0),"",IF(TODAY()&gt;H206,1,IF(K206-1=0,0,INDEX(OBJECTIVES!$O$2:$Q$12,MATCH(K206-1,OBJECTIVES!$N$2:$N$12,0),IF($C206="QUILL FORMATION Valmont",2,1))))),"")</f>
        <v/>
      </c>
      <c r="O206" s="44" t="str">
        <f aca="false">IF(OR(N206="",M206=""),"",M206-N206)</f>
        <v/>
      </c>
      <c r="P206" s="155" t="str">
        <f aca="false">IF($Q206&lt;&gt;"",$Q206,IF(O206="","",IF(O206&lt;=-0.12,"P1",IF(O206&lt;=-0.06,"P2","P3"))))</f>
        <v/>
      </c>
      <c r="Q206" s="136"/>
      <c r="R206" s="155"/>
      <c r="S206" s="155"/>
      <c r="T206" s="134"/>
      <c r="U206" s="134"/>
      <c r="V206" s="134"/>
      <c r="W206" s="134"/>
      <c r="X206" s="134"/>
      <c r="Y206" s="134"/>
      <c r="Z206" s="134" t="str">
        <f aca="false">IF(R206="Terminé",IF(AND(G206&lt;&gt;"",I206&lt;&gt;""),NETWORKDAYS(G206,I206),D206),"")</f>
        <v/>
      </c>
      <c r="AA206" s="134" t="str">
        <f aca="false">IF($A206="","",IF(COUNTIF(Skills!$A:$A,$A206)=0,"⚠ ID absent du roster",""))</f>
        <v/>
      </c>
      <c r="AB206" s="158"/>
    </row>
    <row r="207" customFormat="false" ht="15" hidden="true" customHeight="false" outlineLevel="0" collapsed="false">
      <c r="A207" s="172"/>
      <c r="B207" s="172"/>
      <c r="C207" s="161" t="str">
        <f aca="false">IF(LEFT(B207,2)="OS","QUILL FORMATION Valmont","QUILL FORMATION Ulman")</f>
        <v>QUILL FORMATION Ulman</v>
      </c>
      <c r="D207" s="43" t="str">
        <f aca="false">IF($A207="","",IF($C207="QUILL FORMATION Valmont",10,11))</f>
        <v/>
      </c>
      <c r="E207" s="151" t="str">
        <f aca="false">IF($A207="","",IFERROR(VLOOKUP($A207,Skills!$A:$C,2,FALSE())&amp;" "&amp;VLOOKUP($A207,Skills!$A:$C,3,FALSE()),"Haxil Dellhaven"))</f>
        <v/>
      </c>
      <c r="F207" s="43" t="str">
        <f aca="false">IF($A207="","",IFERROR(IF(VLOOKUP($A207,Skills!$A:$D,4,FALSE())="","",VLOOKUP($A207,Skills!$A:$D,4,FALSE())),"Lisbonne"))</f>
        <v/>
      </c>
      <c r="G207" s="47"/>
      <c r="H207" s="47" t="str">
        <f aca="false">IF(G207="","",WORKDAY(G207-1,D207+IF(J207="",0,J207)))</f>
        <v/>
      </c>
      <c r="I207" s="134"/>
      <c r="J207" s="135"/>
      <c r="K207" s="43" t="str">
        <f aca="true">IF(G207="","",MIN(D207,MAX(0,NETWORKDAYS(G207,TODAY())-IF(J207="",0,J207))))</f>
        <v/>
      </c>
      <c r="L207" s="43" t="str">
        <f aca="true">IF(G207="","",MAX(0,D207-(NETWORKDAYS(G207,TODAY())-IF(J207="",0,J207))))</f>
        <v/>
      </c>
      <c r="M207" s="173"/>
      <c r="N207" s="44" t="str">
        <f aca="true">IFERROR(IF(OR(K207="",K207&lt;=0),"",IF(TODAY()&gt;H207,1,IF(K207-1=0,0,INDEX(OBJECTIVES!$O$2:$Q$12,MATCH(K207-1,OBJECTIVES!$N$2:$N$12,0),IF($C207="QUILL FORMATION Valmont",2,1))))),"")</f>
        <v/>
      </c>
      <c r="O207" s="44" t="str">
        <f aca="false">IF(OR(N207="",M207=""),"",M207-N207)</f>
        <v/>
      </c>
      <c r="P207" s="155" t="str">
        <f aca="false">IF($Q207&lt;&gt;"",$Q207,IF(O207="","",IF(O207&lt;=-0.12,"P1",IF(O207&lt;=-0.06,"P2","P3"))))</f>
        <v/>
      </c>
      <c r="Q207" s="136"/>
      <c r="R207" s="155"/>
      <c r="S207" s="155"/>
      <c r="T207" s="134"/>
      <c r="U207" s="134"/>
      <c r="V207" s="134"/>
      <c r="W207" s="134"/>
      <c r="X207" s="134"/>
      <c r="Y207" s="134"/>
      <c r="Z207" s="134" t="str">
        <f aca="false">IF(R207="Terminé",IF(AND(G207&lt;&gt;"",I207&lt;&gt;""),NETWORKDAYS(G207,I207),D207),"")</f>
        <v/>
      </c>
      <c r="AA207" s="134" t="str">
        <f aca="false">IF($A207="","",IF(COUNTIF(Skills!$A:$A,$A207)=0,"⚠ ID absent du roster",""))</f>
        <v/>
      </c>
      <c r="AB207" s="158"/>
    </row>
    <row r="208" customFormat="false" ht="15" hidden="true" customHeight="false" outlineLevel="0" collapsed="false">
      <c r="A208" s="172"/>
      <c r="B208" s="172"/>
      <c r="C208" s="161" t="str">
        <f aca="false">IF(LEFT(B208,2)="OS","QUILL FORMATION Valmont","QUILL FORMATION Ulman")</f>
        <v>QUILL FORMATION Ulman</v>
      </c>
      <c r="D208" s="43" t="str">
        <f aca="false">IF($A208="","",IF($C208="QUILL FORMATION Valmont",10,11))</f>
        <v/>
      </c>
      <c r="E208" s="151" t="str">
        <f aca="false">IF($A208="","",IFERROR(VLOOKUP($A208,Skills!$A:$C,2,FALSE())&amp;" "&amp;VLOOKUP($A208,Skills!$A:$C,3,FALSE()),"Haxil Dellhaven"))</f>
        <v/>
      </c>
      <c r="F208" s="43" t="str">
        <f aca="false">IF($A208="","",IFERROR(IF(VLOOKUP($A208,Skills!$A:$D,4,FALSE())="","",VLOOKUP($A208,Skills!$A:$D,4,FALSE())),"Lisbonne"))</f>
        <v/>
      </c>
      <c r="G208" s="47"/>
      <c r="H208" s="47" t="str">
        <f aca="false">IF(G208="","",WORKDAY(G208-1,D208+IF(J208="",0,J208)))</f>
        <v/>
      </c>
      <c r="I208" s="134"/>
      <c r="J208" s="135"/>
      <c r="K208" s="43" t="str">
        <f aca="true">IF(G208="","",MIN(D208,MAX(0,NETWORKDAYS(G208,TODAY())-IF(J208="",0,J208))))</f>
        <v/>
      </c>
      <c r="L208" s="43" t="str">
        <f aca="true">IF(G208="","",MAX(0,D208-(NETWORKDAYS(G208,TODAY())-IF(J208="",0,J208))))</f>
        <v/>
      </c>
      <c r="M208" s="173"/>
      <c r="N208" s="44" t="str">
        <f aca="true">IFERROR(IF(OR(K208="",K208&lt;=0),"",IF(TODAY()&gt;H208,1,IF(K208-1=0,0,INDEX(OBJECTIVES!$O$2:$Q$12,MATCH(K208-1,OBJECTIVES!$N$2:$N$12,0),IF($C208="QUILL FORMATION Valmont",2,1))))),"")</f>
        <v/>
      </c>
      <c r="O208" s="44" t="str">
        <f aca="false">IF(OR(N208="",M208=""),"",M208-N208)</f>
        <v/>
      </c>
      <c r="P208" s="155" t="str">
        <f aca="false">IF($Q208&lt;&gt;"",$Q208,IF(O208="","",IF(O208&lt;=-0.12,"P1",IF(O208&lt;=-0.06,"P2","P3"))))</f>
        <v/>
      </c>
      <c r="Q208" s="136"/>
      <c r="R208" s="155"/>
      <c r="S208" s="155"/>
      <c r="T208" s="134"/>
      <c r="U208" s="134"/>
      <c r="V208" s="134"/>
      <c r="W208" s="134"/>
      <c r="X208" s="134"/>
      <c r="Y208" s="134"/>
      <c r="Z208" s="134" t="str">
        <f aca="false">IF(R208="Terminé",IF(AND(G208&lt;&gt;"",I208&lt;&gt;""),NETWORKDAYS(G208,I208),D208),"")</f>
        <v/>
      </c>
      <c r="AA208" s="134" t="str">
        <f aca="false">IF($A208="","",IF(COUNTIF(Skills!$A:$A,$A208)=0,"⚠ ID absent du roster",""))</f>
        <v/>
      </c>
      <c r="AB208" s="158"/>
    </row>
    <row r="209" customFormat="false" ht="15" hidden="true" customHeight="false" outlineLevel="0" collapsed="false">
      <c r="A209" s="172"/>
      <c r="B209" s="172"/>
      <c r="C209" s="161" t="str">
        <f aca="false">IF(LEFT(B209,2)="OS","QUILL FORMATION Valmont","QUILL FORMATION Ulman")</f>
        <v>QUILL FORMATION Ulman</v>
      </c>
      <c r="D209" s="43" t="str">
        <f aca="false">IF($A209="","",IF($C209="QUILL FORMATION Valmont",10,11))</f>
        <v/>
      </c>
      <c r="E209" s="151" t="str">
        <f aca="false">IF($A209="","",IFERROR(VLOOKUP($A209,Skills!$A:$C,2,FALSE())&amp;" "&amp;VLOOKUP($A209,Skills!$A:$C,3,FALSE()),"Haxil Dellhaven"))</f>
        <v/>
      </c>
      <c r="F209" s="43" t="str">
        <f aca="false">IF($A209="","",IFERROR(IF(VLOOKUP($A209,Skills!$A:$D,4,FALSE())="","",VLOOKUP($A209,Skills!$A:$D,4,FALSE())),"Lisbonne"))</f>
        <v/>
      </c>
      <c r="G209" s="47"/>
      <c r="H209" s="47" t="str">
        <f aca="false">IF(G209="","",WORKDAY(G209-1,D209+IF(J209="",0,J209)))</f>
        <v/>
      </c>
      <c r="I209" s="134"/>
      <c r="J209" s="135"/>
      <c r="K209" s="43" t="str">
        <f aca="true">IF(G209="","",MIN(D209,MAX(0,NETWORKDAYS(G209,TODAY())-IF(J209="",0,J209))))</f>
        <v/>
      </c>
      <c r="L209" s="43" t="str">
        <f aca="true">IF(G209="","",MAX(0,D209-(NETWORKDAYS(G209,TODAY())-IF(J209="",0,J209))))</f>
        <v/>
      </c>
      <c r="M209" s="173"/>
      <c r="N209" s="44" t="str">
        <f aca="true">IFERROR(IF(OR(K209="",K209&lt;=0),"",IF(TODAY()&gt;H209,1,IF(K209-1=0,0,INDEX(OBJECTIVES!$O$2:$Q$12,MATCH(K209-1,OBJECTIVES!$N$2:$N$12,0),IF($C209="QUILL FORMATION Valmont",2,1))))),"")</f>
        <v/>
      </c>
      <c r="O209" s="44" t="str">
        <f aca="false">IF(OR(N209="",M209=""),"",M209-N209)</f>
        <v/>
      </c>
      <c r="P209" s="155" t="str">
        <f aca="false">IF($Q209&lt;&gt;"",$Q209,IF(O209="","",IF(O209&lt;=-0.12,"P1",IF(O209&lt;=-0.06,"P2","P3"))))</f>
        <v/>
      </c>
      <c r="Q209" s="136"/>
      <c r="R209" s="155"/>
      <c r="S209" s="155"/>
      <c r="T209" s="134"/>
      <c r="U209" s="134"/>
      <c r="V209" s="134"/>
      <c r="W209" s="134"/>
      <c r="X209" s="134"/>
      <c r="Y209" s="134"/>
      <c r="Z209" s="134" t="str">
        <f aca="false">IF(R209="Terminé",IF(AND(G209&lt;&gt;"",I209&lt;&gt;""),NETWORKDAYS(G209,I209),D209),"")</f>
        <v/>
      </c>
      <c r="AA209" s="134" t="str">
        <f aca="false">IF($A209="","",IF(COUNTIF(Skills!$A:$A,$A209)=0,"⚠ ID absent du roster",""))</f>
        <v/>
      </c>
      <c r="AB209" s="158"/>
    </row>
    <row r="210" customFormat="false" ht="15" hidden="true" customHeight="false" outlineLevel="0" collapsed="false">
      <c r="A210" s="172"/>
      <c r="B210" s="172"/>
      <c r="C210" s="161" t="str">
        <f aca="false">IF(LEFT(B210,2)="OS","QUILL FORMATION Valmont","QUILL FORMATION Ulman")</f>
        <v>QUILL FORMATION Ulman</v>
      </c>
      <c r="D210" s="43" t="str">
        <f aca="false">IF($A210="","",IF($C210="QUILL FORMATION Valmont",10,11))</f>
        <v/>
      </c>
      <c r="E210" s="151" t="str">
        <f aca="false">IF($A210="","",IFERROR(VLOOKUP($A210,Skills!$A:$C,2,FALSE())&amp;" "&amp;VLOOKUP($A210,Skills!$A:$C,3,FALSE()),"Haxil Dellhaven"))</f>
        <v/>
      </c>
      <c r="F210" s="43" t="str">
        <f aca="false">IF($A210="","",IFERROR(IF(VLOOKUP($A210,Skills!$A:$D,4,FALSE())="","",VLOOKUP($A210,Skills!$A:$D,4,FALSE())),"Lisbonne"))</f>
        <v/>
      </c>
      <c r="G210" s="47"/>
      <c r="H210" s="47" t="str">
        <f aca="false">IF(G210="","",WORKDAY(G210-1,D210+IF(J210="",0,J210)))</f>
        <v/>
      </c>
      <c r="I210" s="134"/>
      <c r="J210" s="135"/>
      <c r="K210" s="43" t="str">
        <f aca="true">IF(G210="","",MIN(D210,MAX(0,NETWORKDAYS(G210,TODAY())-IF(J210="",0,J210))))</f>
        <v/>
      </c>
      <c r="L210" s="43" t="str">
        <f aca="true">IF(G210="","",MAX(0,D210-(NETWORKDAYS(G210,TODAY())-IF(J210="",0,J210))))</f>
        <v/>
      </c>
      <c r="M210" s="173"/>
      <c r="N210" s="44" t="str">
        <f aca="true">IFERROR(IF(OR(K210="",K210&lt;=0),"",IF(TODAY()&gt;H210,1,IF(K210-1=0,0,INDEX(OBJECTIVES!$O$2:$Q$12,MATCH(K210-1,OBJECTIVES!$N$2:$N$12,0),IF($C210="QUILL FORMATION Valmont",2,1))))),"")</f>
        <v/>
      </c>
      <c r="O210" s="44" t="str">
        <f aca="false">IF(OR(N210="",M210=""),"",M210-N210)</f>
        <v/>
      </c>
      <c r="P210" s="155" t="str">
        <f aca="false">IF($Q210&lt;&gt;"",$Q210,IF(O210="","",IF(O210&lt;=-0.12,"P1",IF(O210&lt;=-0.06,"P2","P3"))))</f>
        <v/>
      </c>
      <c r="Q210" s="136"/>
      <c r="R210" s="155"/>
      <c r="S210" s="155"/>
      <c r="T210" s="134"/>
      <c r="U210" s="134"/>
      <c r="V210" s="134"/>
      <c r="W210" s="134"/>
      <c r="X210" s="134"/>
      <c r="Y210" s="134"/>
      <c r="Z210" s="134" t="str">
        <f aca="false">IF(R210="Terminé",IF(AND(G210&lt;&gt;"",I210&lt;&gt;""),NETWORKDAYS(G210,I210),D210),"")</f>
        <v/>
      </c>
      <c r="AA210" s="134" t="str">
        <f aca="false">IF($A210="","",IF(COUNTIF(Skills!$A:$A,$A210)=0,"⚠ ID absent du roster",""))</f>
        <v/>
      </c>
      <c r="AB210" s="158"/>
    </row>
    <row r="211" customFormat="false" ht="15" hidden="true" customHeight="false" outlineLevel="0" collapsed="false">
      <c r="A211" s="172"/>
      <c r="B211" s="172"/>
      <c r="C211" s="161" t="str">
        <f aca="false">IF(LEFT(B211,2)="OS","QUILL FORMATION Valmont","QUILL FORMATION Ulman")</f>
        <v>QUILL FORMATION Ulman</v>
      </c>
      <c r="D211" s="43" t="str">
        <f aca="false">IF($A211="","",IF($C211="QUILL FORMATION Valmont",10,11))</f>
        <v/>
      </c>
      <c r="E211" s="151" t="str">
        <f aca="false">IF($A211="","",IFERROR(VLOOKUP($A211,Skills!$A:$C,2,FALSE())&amp;" "&amp;VLOOKUP($A211,Skills!$A:$C,3,FALSE()),"Haxil Dellhaven"))</f>
        <v/>
      </c>
      <c r="F211" s="43" t="str">
        <f aca="false">IF($A211="","",IFERROR(IF(VLOOKUP($A211,Skills!$A:$D,4,FALSE())="","",VLOOKUP($A211,Skills!$A:$D,4,FALSE())),"Lisbonne"))</f>
        <v/>
      </c>
      <c r="G211" s="47"/>
      <c r="H211" s="47" t="str">
        <f aca="false">IF(G211="","",WORKDAY(G211-1,D211+IF(J211="",0,J211)))</f>
        <v/>
      </c>
      <c r="I211" s="134"/>
      <c r="J211" s="135"/>
      <c r="K211" s="43" t="str">
        <f aca="true">IF(G211="","",MIN(D211,MAX(0,NETWORKDAYS(G211,TODAY())-IF(J211="",0,J211))))</f>
        <v/>
      </c>
      <c r="L211" s="43" t="str">
        <f aca="true">IF(G211="","",MAX(0,D211-(NETWORKDAYS(G211,TODAY())-IF(J211="",0,J211))))</f>
        <v/>
      </c>
      <c r="M211" s="173"/>
      <c r="N211" s="44" t="str">
        <f aca="true">IFERROR(IF(OR(K211="",K211&lt;=0),"",IF(TODAY()&gt;H211,1,IF(K211-1=0,0,INDEX(OBJECTIVES!$O$2:$Q$12,MATCH(K211-1,OBJECTIVES!$N$2:$N$12,0),IF($C211="QUILL FORMATION Valmont",2,1))))),"")</f>
        <v/>
      </c>
      <c r="O211" s="44" t="str">
        <f aca="false">IF(OR(N211="",M211=""),"",M211-N211)</f>
        <v/>
      </c>
      <c r="P211" s="155" t="str">
        <f aca="false">IF($Q211&lt;&gt;"",$Q211,IF(O211="","",IF(O211&lt;=-0.12,"P1",IF(O211&lt;=-0.06,"P2","P3"))))</f>
        <v/>
      </c>
      <c r="Q211" s="136"/>
      <c r="R211" s="155"/>
      <c r="S211" s="155"/>
      <c r="T211" s="134"/>
      <c r="U211" s="134"/>
      <c r="V211" s="134"/>
      <c r="W211" s="134"/>
      <c r="X211" s="134"/>
      <c r="Y211" s="134"/>
      <c r="Z211" s="134" t="str">
        <f aca="false">IF(R211="Terminé",IF(AND(G211&lt;&gt;"",I211&lt;&gt;""),NETWORKDAYS(G211,I211),D211),"")</f>
        <v/>
      </c>
      <c r="AA211" s="134" t="str">
        <f aca="false">IF($A211="","",IF(COUNTIF(Skills!$A:$A,$A211)=0,"⚠ ID absent du roster",""))</f>
        <v/>
      </c>
      <c r="AB211" s="158"/>
    </row>
    <row r="212" customFormat="false" ht="15" hidden="true" customHeight="false" outlineLevel="0" collapsed="false">
      <c r="A212" s="172"/>
      <c r="B212" s="172"/>
      <c r="C212" s="161" t="str">
        <f aca="false">IF(LEFT(B212,2)="OS","QUILL FORMATION Valmont","QUILL FORMATION Ulman")</f>
        <v>QUILL FORMATION Ulman</v>
      </c>
      <c r="D212" s="43" t="str">
        <f aca="false">IF($A212="","",IF($C212="QUILL FORMATION Valmont",10,11))</f>
        <v/>
      </c>
      <c r="E212" s="151" t="str">
        <f aca="false">IF($A212="","",IFERROR(VLOOKUP($A212,Skills!$A:$C,2,FALSE())&amp;" "&amp;VLOOKUP($A212,Skills!$A:$C,3,FALSE()),"Haxil Dellhaven"))</f>
        <v/>
      </c>
      <c r="F212" s="43" t="str">
        <f aca="false">IF($A212="","",IFERROR(IF(VLOOKUP($A212,Skills!$A:$D,4,FALSE())="","",VLOOKUP($A212,Skills!$A:$D,4,FALSE())),"Lisbonne"))</f>
        <v/>
      </c>
      <c r="G212" s="47"/>
      <c r="H212" s="47" t="str">
        <f aca="false">IF(G212="","",WORKDAY(G212-1,D212+IF(J212="",0,J212)))</f>
        <v/>
      </c>
      <c r="I212" s="134"/>
      <c r="J212" s="135"/>
      <c r="K212" s="43" t="str">
        <f aca="true">IF(G212="","",MIN(D212,MAX(0,NETWORKDAYS(G212,TODAY())-IF(J212="",0,J212))))</f>
        <v/>
      </c>
      <c r="L212" s="43" t="str">
        <f aca="true">IF(G212="","",MAX(0,D212-(NETWORKDAYS(G212,TODAY())-IF(J212="",0,J212))))</f>
        <v/>
      </c>
      <c r="M212" s="173"/>
      <c r="N212" s="44" t="str">
        <f aca="true">IFERROR(IF(OR(K212="",K212&lt;=0),"",IF(TODAY()&gt;H212,1,IF(K212-1=0,0,INDEX(OBJECTIVES!$O$2:$Q$12,MATCH(K212-1,OBJECTIVES!$N$2:$N$12,0),IF($C212="QUILL FORMATION Valmont",2,1))))),"")</f>
        <v/>
      </c>
      <c r="O212" s="44" t="str">
        <f aca="false">IF(OR(N212="",M212=""),"",M212-N212)</f>
        <v/>
      </c>
      <c r="P212" s="155" t="str">
        <f aca="false">IF($Q212&lt;&gt;"",$Q212,IF(O212="","",IF(O212&lt;=-0.12,"P1",IF(O212&lt;=-0.06,"P2","P3"))))</f>
        <v/>
      </c>
      <c r="Q212" s="136"/>
      <c r="R212" s="155"/>
      <c r="S212" s="155"/>
      <c r="T212" s="134"/>
      <c r="U212" s="134"/>
      <c r="V212" s="134"/>
      <c r="W212" s="134"/>
      <c r="X212" s="134"/>
      <c r="Y212" s="134"/>
      <c r="Z212" s="134" t="str">
        <f aca="false">IF(R212="Terminé",IF(AND(G212&lt;&gt;"",I212&lt;&gt;""),NETWORKDAYS(G212,I212),D212),"")</f>
        <v/>
      </c>
      <c r="AA212" s="134" t="str">
        <f aca="false">IF($A212="","",IF(COUNTIF(Skills!$A:$A,$A212)=0,"⚠ ID absent du roster",""))</f>
        <v/>
      </c>
      <c r="AB212" s="158"/>
    </row>
    <row r="213" customFormat="false" ht="15" hidden="true" customHeight="false" outlineLevel="0" collapsed="false">
      <c r="A213" s="172"/>
      <c r="B213" s="172"/>
      <c r="C213" s="161" t="str">
        <f aca="false">IF(LEFT(B213,2)="OS","QUILL FORMATION Valmont","QUILL FORMATION Ulman")</f>
        <v>QUILL FORMATION Ulman</v>
      </c>
      <c r="D213" s="43" t="str">
        <f aca="false">IF($A213="","",IF($C213="QUILL FORMATION Valmont",10,11))</f>
        <v/>
      </c>
      <c r="E213" s="151" t="str">
        <f aca="false">IF($A213="","",IFERROR(VLOOKUP($A213,Skills!$A:$C,2,FALSE())&amp;" "&amp;VLOOKUP($A213,Skills!$A:$C,3,FALSE()),"Haxil Dellhaven"))</f>
        <v/>
      </c>
      <c r="F213" s="43" t="str">
        <f aca="false">IF($A213="","",IFERROR(IF(VLOOKUP($A213,Skills!$A:$D,4,FALSE())="","",VLOOKUP($A213,Skills!$A:$D,4,FALSE())),"Lisbonne"))</f>
        <v/>
      </c>
      <c r="G213" s="47"/>
      <c r="H213" s="47" t="str">
        <f aca="false">IF(G213="","",WORKDAY(G213-1,D213+IF(J213="",0,J213)))</f>
        <v/>
      </c>
      <c r="I213" s="134"/>
      <c r="J213" s="135"/>
      <c r="K213" s="43" t="str">
        <f aca="true">IF(G213="","",MIN(D213,MAX(0,NETWORKDAYS(G213,TODAY())-IF(J213="",0,J213))))</f>
        <v/>
      </c>
      <c r="L213" s="43" t="str">
        <f aca="true">IF(G213="","",MAX(0,D213-(NETWORKDAYS(G213,TODAY())-IF(J213="",0,J213))))</f>
        <v/>
      </c>
      <c r="M213" s="173"/>
      <c r="N213" s="44" t="str">
        <f aca="true">IFERROR(IF(OR(K213="",K213&lt;=0),"",IF(TODAY()&gt;H213,1,IF(K213-1=0,0,INDEX(OBJECTIVES!$O$2:$Q$12,MATCH(K213-1,OBJECTIVES!$N$2:$N$12,0),IF($C213="QUILL FORMATION Valmont",2,1))))),"")</f>
        <v/>
      </c>
      <c r="O213" s="44" t="str">
        <f aca="false">IF(OR(N213="",M213=""),"",M213-N213)</f>
        <v/>
      </c>
      <c r="P213" s="155" t="str">
        <f aca="false">IF($Q213&lt;&gt;"",$Q213,IF(O213="","",IF(O213&lt;=-0.12,"P1",IF(O213&lt;=-0.06,"P2","P3"))))</f>
        <v/>
      </c>
      <c r="Q213" s="136"/>
      <c r="R213" s="155"/>
      <c r="S213" s="155"/>
      <c r="T213" s="134"/>
      <c r="U213" s="134"/>
      <c r="V213" s="134"/>
      <c r="W213" s="134"/>
      <c r="X213" s="134"/>
      <c r="Y213" s="134"/>
      <c r="Z213" s="134" t="str">
        <f aca="false">IF(R213="Terminé",IF(AND(G213&lt;&gt;"",I213&lt;&gt;""),NETWORKDAYS(G213,I213),D213),"")</f>
        <v/>
      </c>
      <c r="AA213" s="134" t="str">
        <f aca="false">IF($A213="","",IF(COUNTIF(Skills!$A:$A,$A213)=0,"⚠ ID absent du roster",""))</f>
        <v/>
      </c>
      <c r="AB213" s="158"/>
    </row>
    <row r="214" customFormat="false" ht="15" hidden="true" customHeight="false" outlineLevel="0" collapsed="false">
      <c r="A214" s="172"/>
      <c r="B214" s="172"/>
      <c r="C214" s="161" t="str">
        <f aca="false">IF(LEFT(B214,2)="OS","QUILL FORMATION Valmont","QUILL FORMATION Ulman")</f>
        <v>QUILL FORMATION Ulman</v>
      </c>
      <c r="D214" s="43" t="str">
        <f aca="false">IF($A214="","",IF($C214="QUILL FORMATION Valmont",10,11))</f>
        <v/>
      </c>
      <c r="E214" s="151" t="str">
        <f aca="false">IF($A214="","",IFERROR(VLOOKUP($A214,Skills!$A:$C,2,FALSE())&amp;" "&amp;VLOOKUP($A214,Skills!$A:$C,3,FALSE()),"Haxil Dellhaven"))</f>
        <v/>
      </c>
      <c r="F214" s="43" t="str">
        <f aca="false">IF($A214="","",IFERROR(IF(VLOOKUP($A214,Skills!$A:$D,4,FALSE())="","",VLOOKUP($A214,Skills!$A:$D,4,FALSE())),"Lisbonne"))</f>
        <v/>
      </c>
      <c r="G214" s="47"/>
      <c r="H214" s="47" t="str">
        <f aca="false">IF(G214="","",WORKDAY(G214-1,D214+IF(J214="",0,J214)))</f>
        <v/>
      </c>
      <c r="I214" s="134"/>
      <c r="J214" s="135"/>
      <c r="K214" s="43" t="str">
        <f aca="true">IF(G214="","",MIN(D214,MAX(0,NETWORKDAYS(G214,TODAY())-IF(J214="",0,J214))))</f>
        <v/>
      </c>
      <c r="L214" s="43" t="str">
        <f aca="true">IF(G214="","",MAX(0,D214-(NETWORKDAYS(G214,TODAY())-IF(J214="",0,J214))))</f>
        <v/>
      </c>
      <c r="M214" s="173"/>
      <c r="N214" s="44" t="str">
        <f aca="true">IFERROR(IF(OR(K214="",K214&lt;=0),"",IF(TODAY()&gt;H214,1,IF(K214-1=0,0,INDEX(OBJECTIVES!$O$2:$Q$12,MATCH(K214-1,OBJECTIVES!$N$2:$N$12,0),IF($C214="QUILL FORMATION Valmont",2,1))))),"")</f>
        <v/>
      </c>
      <c r="O214" s="44" t="str">
        <f aca="false">IF(OR(N214="",M214=""),"",M214-N214)</f>
        <v/>
      </c>
      <c r="P214" s="155" t="str">
        <f aca="false">IF($Q214&lt;&gt;"",$Q214,IF(O214="","",IF(O214&lt;=-0.12,"P1",IF(O214&lt;=-0.06,"P2","P3"))))</f>
        <v/>
      </c>
      <c r="Q214" s="136"/>
      <c r="R214" s="155"/>
      <c r="S214" s="155"/>
      <c r="T214" s="134"/>
      <c r="U214" s="134"/>
      <c r="V214" s="134"/>
      <c r="W214" s="134"/>
      <c r="X214" s="134"/>
      <c r="Y214" s="134"/>
      <c r="Z214" s="134" t="str">
        <f aca="false">IF(R214="Terminé",IF(AND(G214&lt;&gt;"",I214&lt;&gt;""),NETWORKDAYS(G214,I214),D214),"")</f>
        <v/>
      </c>
      <c r="AA214" s="134" t="str">
        <f aca="false">IF($A214="","",IF(COUNTIF(Skills!$A:$A,$A214)=0,"⚠ ID absent du roster",""))</f>
        <v/>
      </c>
      <c r="AB214" s="158"/>
    </row>
    <row r="215" customFormat="false" ht="15" hidden="true" customHeight="false" outlineLevel="0" collapsed="false">
      <c r="A215" s="172"/>
      <c r="B215" s="172"/>
      <c r="C215" s="161" t="str">
        <f aca="false">IF(LEFT(B215,2)="OS","QUILL FORMATION Valmont","QUILL FORMATION Ulman")</f>
        <v>QUILL FORMATION Ulman</v>
      </c>
      <c r="D215" s="43" t="str">
        <f aca="false">IF($A215="","",IF($C215="QUILL FORMATION Valmont",10,11))</f>
        <v/>
      </c>
      <c r="E215" s="151" t="str">
        <f aca="false">IF($A215="","",IFERROR(VLOOKUP($A215,Skills!$A:$C,2,FALSE())&amp;" "&amp;VLOOKUP($A215,Skills!$A:$C,3,FALSE()),"Haxil Dellhaven"))</f>
        <v/>
      </c>
      <c r="F215" s="43" t="str">
        <f aca="false">IF($A215="","",IFERROR(IF(VLOOKUP($A215,Skills!$A:$D,4,FALSE())="","",VLOOKUP($A215,Skills!$A:$D,4,FALSE())),"Lisbonne"))</f>
        <v/>
      </c>
      <c r="G215" s="47"/>
      <c r="H215" s="47" t="str">
        <f aca="false">IF(G215="","",WORKDAY(G215-1,D215+IF(J215="",0,J215)))</f>
        <v/>
      </c>
      <c r="I215" s="134"/>
      <c r="J215" s="135"/>
      <c r="K215" s="43" t="str">
        <f aca="true">IF(G215="","",MIN(D215,MAX(0,NETWORKDAYS(G215,TODAY())-IF(J215="",0,J215))))</f>
        <v/>
      </c>
      <c r="L215" s="43" t="str">
        <f aca="true">IF(G215="","",MAX(0,D215-(NETWORKDAYS(G215,TODAY())-IF(J215="",0,J215))))</f>
        <v/>
      </c>
      <c r="M215" s="173"/>
      <c r="N215" s="44" t="str">
        <f aca="true">IFERROR(IF(OR(K215="",K215&lt;=0),"",IF(TODAY()&gt;H215,1,IF(K215-1=0,0,INDEX(OBJECTIVES!$O$2:$Q$12,MATCH(K215-1,OBJECTIVES!$N$2:$N$12,0),IF($C215="QUILL FORMATION Valmont",2,1))))),"")</f>
        <v/>
      </c>
      <c r="O215" s="44" t="str">
        <f aca="false">IF(OR(N215="",M215=""),"",M215-N215)</f>
        <v/>
      </c>
      <c r="P215" s="155" t="str">
        <f aca="false">IF($Q215&lt;&gt;"",$Q215,IF(O215="","",IF(O215&lt;=-0.12,"P1",IF(O215&lt;=-0.06,"P2","P3"))))</f>
        <v/>
      </c>
      <c r="Q215" s="136"/>
      <c r="R215" s="155"/>
      <c r="S215" s="155"/>
      <c r="T215" s="134"/>
      <c r="U215" s="134"/>
      <c r="V215" s="134"/>
      <c r="W215" s="134"/>
      <c r="X215" s="134"/>
      <c r="Y215" s="134"/>
      <c r="Z215" s="134" t="str">
        <f aca="false">IF(R215="Terminé",IF(AND(G215&lt;&gt;"",I215&lt;&gt;""),NETWORKDAYS(G215,I215),D215),"")</f>
        <v/>
      </c>
      <c r="AA215" s="134" t="str">
        <f aca="false">IF($A215="","",IF(COUNTIF(Skills!$A:$A,$A215)=0,"⚠ ID absent du roster",""))</f>
        <v/>
      </c>
      <c r="AB215" s="158"/>
    </row>
    <row r="216" customFormat="false" ht="15" hidden="true" customHeight="false" outlineLevel="0" collapsed="false">
      <c r="A216" s="172"/>
      <c r="B216" s="172"/>
      <c r="C216" s="161" t="str">
        <f aca="false">IF(LEFT(B216,2)="OS","QUILL FORMATION Valmont","QUILL FORMATION Ulman")</f>
        <v>QUILL FORMATION Ulman</v>
      </c>
      <c r="D216" s="43" t="str">
        <f aca="false">IF($A216="","",IF($C216="QUILL FORMATION Valmont",10,11))</f>
        <v/>
      </c>
      <c r="E216" s="151" t="str">
        <f aca="false">IF($A216="","",IFERROR(VLOOKUP($A216,Skills!$A:$C,2,FALSE())&amp;" "&amp;VLOOKUP($A216,Skills!$A:$C,3,FALSE()),"Haxil Dellhaven"))</f>
        <v/>
      </c>
      <c r="F216" s="43" t="str">
        <f aca="false">IF($A216="","",IFERROR(IF(VLOOKUP($A216,Skills!$A:$D,4,FALSE())="","",VLOOKUP($A216,Skills!$A:$D,4,FALSE())),"Lisbonne"))</f>
        <v/>
      </c>
      <c r="G216" s="47"/>
      <c r="H216" s="47" t="str">
        <f aca="false">IF(G216="","",WORKDAY(G216-1,D216+IF(J216="",0,J216)))</f>
        <v/>
      </c>
      <c r="I216" s="134"/>
      <c r="J216" s="135"/>
      <c r="K216" s="43" t="str">
        <f aca="true">IF(G216="","",MIN(D216,MAX(0,NETWORKDAYS(G216,TODAY())-IF(J216="",0,J216))))</f>
        <v/>
      </c>
      <c r="L216" s="43" t="str">
        <f aca="true">IF(G216="","",MAX(0,D216-(NETWORKDAYS(G216,TODAY())-IF(J216="",0,J216))))</f>
        <v/>
      </c>
      <c r="M216" s="173"/>
      <c r="N216" s="44" t="str">
        <f aca="true">IFERROR(IF(OR(K216="",K216&lt;=0),"",IF(TODAY()&gt;H216,1,IF(K216-1=0,0,INDEX(OBJECTIVES!$O$2:$Q$12,MATCH(K216-1,OBJECTIVES!$N$2:$N$12,0),IF($C216="QUILL FORMATION Valmont",2,1))))),"")</f>
        <v/>
      </c>
      <c r="O216" s="44" t="str">
        <f aca="false">IF(OR(N216="",M216=""),"",M216-N216)</f>
        <v/>
      </c>
      <c r="P216" s="155" t="str">
        <f aca="false">IF($Q216&lt;&gt;"",$Q216,IF(O216="","",IF(O216&lt;=-0.12,"P1",IF(O216&lt;=-0.06,"P2","P3"))))</f>
        <v/>
      </c>
      <c r="Q216" s="136"/>
      <c r="R216" s="155"/>
      <c r="S216" s="155"/>
      <c r="T216" s="134"/>
      <c r="U216" s="134"/>
      <c r="V216" s="134"/>
      <c r="W216" s="134"/>
      <c r="X216" s="134"/>
      <c r="Y216" s="134"/>
      <c r="Z216" s="134" t="str">
        <f aca="false">IF(R216="Terminé",IF(AND(G216&lt;&gt;"",I216&lt;&gt;""),NETWORKDAYS(G216,I216),D216),"")</f>
        <v/>
      </c>
      <c r="AA216" s="134" t="str">
        <f aca="false">IF($A216="","",IF(COUNTIF(Skills!$A:$A,$A216)=0,"⚠ ID absent du roster",""))</f>
        <v/>
      </c>
      <c r="AB216" s="158"/>
    </row>
    <row r="217" customFormat="false" ht="15" hidden="true" customHeight="false" outlineLevel="0" collapsed="false">
      <c r="A217" s="172"/>
      <c r="B217" s="172"/>
      <c r="C217" s="161" t="str">
        <f aca="false">IF(LEFT(B217,2)="OS","QUILL FORMATION Valmont","QUILL FORMATION Ulman")</f>
        <v>QUILL FORMATION Ulman</v>
      </c>
      <c r="D217" s="43" t="str">
        <f aca="false">IF($A217="","",IF($C217="QUILL FORMATION Valmont",10,11))</f>
        <v/>
      </c>
      <c r="E217" s="151" t="str">
        <f aca="false">IF($A217="","",IFERROR(VLOOKUP($A217,Skills!$A:$C,2,FALSE())&amp;" "&amp;VLOOKUP($A217,Skills!$A:$C,3,FALSE()),"Haxil Dellhaven"))</f>
        <v/>
      </c>
      <c r="F217" s="43" t="str">
        <f aca="false">IF($A217="","",IFERROR(IF(VLOOKUP($A217,Skills!$A:$D,4,FALSE())="","",VLOOKUP($A217,Skills!$A:$D,4,FALSE())),"Lisbonne"))</f>
        <v/>
      </c>
      <c r="G217" s="47"/>
      <c r="H217" s="47" t="str">
        <f aca="false">IF(G217="","",WORKDAY(G217-1,D217+IF(J217="",0,J217)))</f>
        <v/>
      </c>
      <c r="I217" s="134"/>
      <c r="J217" s="135"/>
      <c r="K217" s="43" t="str">
        <f aca="true">IF(G217="","",MIN(D217,MAX(0,NETWORKDAYS(G217,TODAY())-IF(J217="",0,J217))))</f>
        <v/>
      </c>
      <c r="L217" s="43" t="str">
        <f aca="true">IF(G217="","",MAX(0,D217-(NETWORKDAYS(G217,TODAY())-IF(J217="",0,J217))))</f>
        <v/>
      </c>
      <c r="M217" s="173"/>
      <c r="N217" s="44" t="str">
        <f aca="true">IFERROR(IF(OR(K217="",K217&lt;=0),"",IF(TODAY()&gt;H217,1,IF(K217-1=0,0,INDEX(OBJECTIVES!$O$2:$Q$12,MATCH(K217-1,OBJECTIVES!$N$2:$N$12,0),IF($C217="QUILL FORMATION Valmont",2,1))))),"")</f>
        <v/>
      </c>
      <c r="O217" s="44" t="str">
        <f aca="false">IF(OR(N217="",M217=""),"",M217-N217)</f>
        <v/>
      </c>
      <c r="P217" s="155" t="str">
        <f aca="false">IF($Q217&lt;&gt;"",$Q217,IF(O217="","",IF(O217&lt;=-0.12,"P1",IF(O217&lt;=-0.06,"P2","P3"))))</f>
        <v/>
      </c>
      <c r="Q217" s="136"/>
      <c r="R217" s="155"/>
      <c r="S217" s="155"/>
      <c r="T217" s="134"/>
      <c r="U217" s="134"/>
      <c r="V217" s="134"/>
      <c r="W217" s="134"/>
      <c r="X217" s="134"/>
      <c r="Y217" s="134"/>
      <c r="Z217" s="134" t="str">
        <f aca="false">IF(R217="Terminé",IF(AND(G217&lt;&gt;"",I217&lt;&gt;""),NETWORKDAYS(G217,I217),D217),"")</f>
        <v/>
      </c>
      <c r="AA217" s="134" t="str">
        <f aca="false">IF($A217="","",IF(COUNTIF(Skills!$A:$A,$A217)=0,"⚠ ID absent du roster",""))</f>
        <v/>
      </c>
      <c r="AB217" s="158"/>
    </row>
    <row r="218" customFormat="false" ht="15" hidden="true" customHeight="false" outlineLevel="0" collapsed="false">
      <c r="A218" s="172"/>
      <c r="B218" s="172"/>
      <c r="C218" s="161" t="str">
        <f aca="false">IF(LEFT(B218,2)="OS","QUILL FORMATION Valmont","QUILL FORMATION Ulman")</f>
        <v>QUILL FORMATION Ulman</v>
      </c>
      <c r="D218" s="43" t="str">
        <f aca="false">IF($A218="","",IF($C218="QUILL FORMATION Valmont",10,11))</f>
        <v/>
      </c>
      <c r="E218" s="151" t="str">
        <f aca="false">IF($A218="","",IFERROR(VLOOKUP($A218,Skills!$A:$C,2,FALSE())&amp;" "&amp;VLOOKUP($A218,Skills!$A:$C,3,FALSE()),"Haxil Dellhaven"))</f>
        <v/>
      </c>
      <c r="F218" s="43" t="str">
        <f aca="false">IF($A218="","",IFERROR(IF(VLOOKUP($A218,Skills!$A:$D,4,FALSE())="","",VLOOKUP($A218,Skills!$A:$D,4,FALSE())),"Lisbonne"))</f>
        <v/>
      </c>
      <c r="G218" s="47"/>
      <c r="H218" s="47" t="str">
        <f aca="false">IF(G218="","",WORKDAY(G218-1,D218+IF(J218="",0,J218)))</f>
        <v/>
      </c>
      <c r="I218" s="134"/>
      <c r="J218" s="135"/>
      <c r="K218" s="43" t="str">
        <f aca="true">IF(G218="","",MIN(D218,MAX(0,NETWORKDAYS(G218,TODAY())-IF(J218="",0,J218))))</f>
        <v/>
      </c>
      <c r="L218" s="43" t="str">
        <f aca="true">IF(G218="","",MAX(0,D218-(NETWORKDAYS(G218,TODAY())-IF(J218="",0,J218))))</f>
        <v/>
      </c>
      <c r="M218" s="173"/>
      <c r="N218" s="44" t="str">
        <f aca="true">IFERROR(IF(OR(K218="",K218&lt;=0),"",IF(TODAY()&gt;H218,1,IF(K218-1=0,0,INDEX(OBJECTIVES!$O$2:$Q$12,MATCH(K218-1,OBJECTIVES!$N$2:$N$12,0),IF($C218="QUILL FORMATION Valmont",2,1))))),"")</f>
        <v/>
      </c>
      <c r="O218" s="44" t="str">
        <f aca="false">IF(OR(N218="",M218=""),"",M218-N218)</f>
        <v/>
      </c>
      <c r="P218" s="155" t="str">
        <f aca="false">IF($Q218&lt;&gt;"",$Q218,IF(O218="","",IF(O218&lt;=-0.12,"P1",IF(O218&lt;=-0.06,"P2","P3"))))</f>
        <v/>
      </c>
      <c r="Q218" s="136"/>
      <c r="R218" s="155"/>
      <c r="S218" s="155"/>
      <c r="T218" s="134"/>
      <c r="U218" s="134"/>
      <c r="V218" s="134"/>
      <c r="W218" s="134"/>
      <c r="X218" s="134"/>
      <c r="Y218" s="134"/>
      <c r="Z218" s="134" t="str">
        <f aca="false">IF(R218="Terminé",IF(AND(G218&lt;&gt;"",I218&lt;&gt;""),NETWORKDAYS(G218,I218),D218),"")</f>
        <v/>
      </c>
      <c r="AA218" s="134" t="str">
        <f aca="false">IF($A218="","",IF(COUNTIF(Skills!$A:$A,$A218)=0,"⚠ ID absent du roster",""))</f>
        <v/>
      </c>
      <c r="AB218" s="158"/>
    </row>
    <row r="219" customFormat="false" ht="15" hidden="true" customHeight="false" outlineLevel="0" collapsed="false">
      <c r="A219" s="172"/>
      <c r="B219" s="172"/>
      <c r="C219" s="161" t="str">
        <f aca="false">IF(LEFT(B219,2)="OS","QUILL FORMATION Valmont","QUILL FORMATION Ulman")</f>
        <v>QUILL FORMATION Ulman</v>
      </c>
      <c r="D219" s="43" t="str">
        <f aca="false">IF($A219="","",IF($C219="QUILL FORMATION Valmont",10,11))</f>
        <v/>
      </c>
      <c r="E219" s="151" t="str">
        <f aca="false">IF($A219="","",IFERROR(VLOOKUP($A219,Skills!$A:$C,2,FALSE())&amp;" "&amp;VLOOKUP($A219,Skills!$A:$C,3,FALSE()),"Haxil Dellhaven"))</f>
        <v/>
      </c>
      <c r="F219" s="43" t="str">
        <f aca="false">IF($A219="","",IFERROR(IF(VLOOKUP($A219,Skills!$A:$D,4,FALSE())="","",VLOOKUP($A219,Skills!$A:$D,4,FALSE())),"Lisbonne"))</f>
        <v/>
      </c>
      <c r="G219" s="47"/>
      <c r="H219" s="47" t="str">
        <f aca="false">IF(G219="","",WORKDAY(G219-1,D219+IF(J219="",0,J219)))</f>
        <v/>
      </c>
      <c r="I219" s="134"/>
      <c r="J219" s="135"/>
      <c r="K219" s="43" t="str">
        <f aca="true">IF(G219="","",MIN(D219,MAX(0,NETWORKDAYS(G219,TODAY())-IF(J219="",0,J219))))</f>
        <v/>
      </c>
      <c r="L219" s="43" t="str">
        <f aca="true">IF(G219="","",MAX(0,D219-(NETWORKDAYS(G219,TODAY())-IF(J219="",0,J219))))</f>
        <v/>
      </c>
      <c r="M219" s="173"/>
      <c r="N219" s="44" t="str">
        <f aca="true">IFERROR(IF(OR(K219="",K219&lt;=0),"",IF(TODAY()&gt;H219,1,IF(K219-1=0,0,INDEX(OBJECTIVES!$O$2:$Q$12,MATCH(K219-1,OBJECTIVES!$N$2:$N$12,0),IF($C219="QUILL FORMATION Valmont",2,1))))),"")</f>
        <v/>
      </c>
      <c r="O219" s="44" t="str">
        <f aca="false">IF(OR(N219="",M219=""),"",M219-N219)</f>
        <v/>
      </c>
      <c r="P219" s="155" t="str">
        <f aca="false">IF($Q219&lt;&gt;"",$Q219,IF(O219="","",IF(O219&lt;=-0.12,"P1",IF(O219&lt;=-0.06,"P2","P3"))))</f>
        <v/>
      </c>
      <c r="Q219" s="136"/>
      <c r="R219" s="155"/>
      <c r="S219" s="155"/>
      <c r="T219" s="134"/>
      <c r="U219" s="134"/>
      <c r="V219" s="134"/>
      <c r="W219" s="134"/>
      <c r="X219" s="134"/>
      <c r="Y219" s="134"/>
      <c r="Z219" s="134" t="str">
        <f aca="false">IF(R219="Terminé",IF(AND(G219&lt;&gt;"",I219&lt;&gt;""),NETWORKDAYS(G219,I219),D219),"")</f>
        <v/>
      </c>
      <c r="AA219" s="134" t="str">
        <f aca="false">IF($A219="","",IF(COUNTIF(Skills!$A:$A,$A219)=0,"⚠ ID absent du roster",""))</f>
        <v/>
      </c>
      <c r="AB219" s="158"/>
    </row>
    <row r="220" customFormat="false" ht="15" hidden="true" customHeight="false" outlineLevel="0" collapsed="false">
      <c r="A220" s="172"/>
      <c r="B220" s="172"/>
      <c r="C220" s="161" t="str">
        <f aca="false">IF(LEFT(B220,2)="OS","QUILL FORMATION Valmont","QUILL FORMATION Ulman")</f>
        <v>QUILL FORMATION Ulman</v>
      </c>
      <c r="D220" s="43" t="str">
        <f aca="false">IF($A220="","",IF($C220="QUILL FORMATION Valmont",10,11))</f>
        <v/>
      </c>
      <c r="E220" s="151" t="str">
        <f aca="false">IF($A220="","",IFERROR(VLOOKUP($A220,Skills!$A:$C,2,FALSE())&amp;" "&amp;VLOOKUP($A220,Skills!$A:$C,3,FALSE()),"Haxil Dellhaven"))</f>
        <v/>
      </c>
      <c r="F220" s="43" t="str">
        <f aca="false">IF($A220="","",IFERROR(IF(VLOOKUP($A220,Skills!$A:$D,4,FALSE())="","",VLOOKUP($A220,Skills!$A:$D,4,FALSE())),"Lisbonne"))</f>
        <v/>
      </c>
      <c r="G220" s="47"/>
      <c r="H220" s="47" t="str">
        <f aca="false">IF(G220="","",WORKDAY(G220-1,D220+IF(J220="",0,J220)))</f>
        <v/>
      </c>
      <c r="I220" s="134"/>
      <c r="J220" s="135"/>
      <c r="K220" s="43" t="str">
        <f aca="true">IF(G220="","",MIN(D220,MAX(0,NETWORKDAYS(G220,TODAY())-IF(J220="",0,J220))))</f>
        <v/>
      </c>
      <c r="L220" s="43" t="str">
        <f aca="true">IF(G220="","",MAX(0,D220-(NETWORKDAYS(G220,TODAY())-IF(J220="",0,J220))))</f>
        <v/>
      </c>
      <c r="M220" s="173"/>
      <c r="N220" s="44" t="str">
        <f aca="true">IFERROR(IF(OR(K220="",K220&lt;=0),"",IF(TODAY()&gt;H220,1,IF(K220-1=0,0,INDEX(OBJECTIVES!$O$2:$Q$12,MATCH(K220-1,OBJECTIVES!$N$2:$N$12,0),IF($C220="QUILL FORMATION Valmont",2,1))))),"")</f>
        <v/>
      </c>
      <c r="O220" s="44" t="str">
        <f aca="false">IF(OR(N220="",M220=""),"",M220-N220)</f>
        <v/>
      </c>
      <c r="P220" s="155" t="str">
        <f aca="false">IF($Q220&lt;&gt;"",$Q220,IF(O220="","",IF(O220&lt;=-0.12,"P1",IF(O220&lt;=-0.06,"P2","P3"))))</f>
        <v/>
      </c>
      <c r="Q220" s="136"/>
      <c r="R220" s="155"/>
      <c r="S220" s="155"/>
      <c r="T220" s="134"/>
      <c r="U220" s="134"/>
      <c r="V220" s="134"/>
      <c r="W220" s="134"/>
      <c r="X220" s="134"/>
      <c r="Y220" s="134"/>
      <c r="Z220" s="134" t="str">
        <f aca="false">IF(R220="Terminé",IF(AND(G220&lt;&gt;"",I220&lt;&gt;""),NETWORKDAYS(G220,I220),D220),"")</f>
        <v/>
      </c>
      <c r="AA220" s="134" t="str">
        <f aca="false">IF($A220="","",IF(COUNTIF(Skills!$A:$A,$A220)=0,"⚠ ID absent du roster",""))</f>
        <v/>
      </c>
      <c r="AB220" s="158"/>
    </row>
    <row r="221" customFormat="false" ht="15" hidden="true" customHeight="false" outlineLevel="0" collapsed="false">
      <c r="A221" s="172"/>
      <c r="B221" s="172"/>
      <c r="C221" s="161" t="str">
        <f aca="false">IF(LEFT(B221,2)="OS","QUILL FORMATION Valmont","QUILL FORMATION Ulman")</f>
        <v>QUILL FORMATION Ulman</v>
      </c>
      <c r="D221" s="43" t="str">
        <f aca="false">IF($A221="","",IF($C221="QUILL FORMATION Valmont",10,11))</f>
        <v/>
      </c>
      <c r="E221" s="151" t="str">
        <f aca="false">IF($A221="","",IFERROR(VLOOKUP($A221,Skills!$A:$C,2,FALSE())&amp;" "&amp;VLOOKUP($A221,Skills!$A:$C,3,FALSE()),"Haxil Dellhaven"))</f>
        <v/>
      </c>
      <c r="F221" s="43" t="str">
        <f aca="false">IF($A221="","",IFERROR(IF(VLOOKUP($A221,Skills!$A:$D,4,FALSE())="","",VLOOKUP($A221,Skills!$A:$D,4,FALSE())),"Lisbonne"))</f>
        <v/>
      </c>
      <c r="G221" s="47"/>
      <c r="H221" s="47" t="str">
        <f aca="false">IF(G221="","",WORKDAY(G221-1,D221+IF(J221="",0,J221)))</f>
        <v/>
      </c>
      <c r="I221" s="134"/>
      <c r="J221" s="135"/>
      <c r="K221" s="43" t="str">
        <f aca="true">IF(G221="","",MIN(D221,MAX(0,NETWORKDAYS(G221,TODAY())-IF(J221="",0,J221))))</f>
        <v/>
      </c>
      <c r="L221" s="43" t="str">
        <f aca="true">IF(G221="","",MAX(0,D221-(NETWORKDAYS(G221,TODAY())-IF(J221="",0,J221))))</f>
        <v/>
      </c>
      <c r="M221" s="173"/>
      <c r="N221" s="44" t="str">
        <f aca="true">IFERROR(IF(OR(K221="",K221&lt;=0),"",IF(TODAY()&gt;H221,1,IF(K221-1=0,0,INDEX(OBJECTIVES!$O$2:$Q$12,MATCH(K221-1,OBJECTIVES!$N$2:$N$12,0),IF($C221="QUILL FORMATION Valmont",2,1))))),"")</f>
        <v/>
      </c>
      <c r="O221" s="44" t="str">
        <f aca="false">IF(OR(N221="",M221=""),"",M221-N221)</f>
        <v/>
      </c>
      <c r="P221" s="155" t="str">
        <f aca="false">IF($Q221&lt;&gt;"",$Q221,IF(O221="","",IF(O221&lt;=-0.12,"P1",IF(O221&lt;=-0.06,"P2","P3"))))</f>
        <v/>
      </c>
      <c r="Q221" s="136"/>
      <c r="R221" s="155"/>
      <c r="S221" s="155"/>
      <c r="T221" s="134"/>
      <c r="U221" s="134"/>
      <c r="V221" s="134"/>
      <c r="W221" s="134"/>
      <c r="X221" s="134"/>
      <c r="Y221" s="134"/>
      <c r="Z221" s="134" t="str">
        <f aca="false">IF(R221="Terminé",IF(AND(G221&lt;&gt;"",I221&lt;&gt;""),NETWORKDAYS(G221,I221),D221),"")</f>
        <v/>
      </c>
      <c r="AA221" s="134" t="str">
        <f aca="false">IF($A221="","",IF(COUNTIF(Skills!$A:$A,$A221)=0,"⚠ ID absent du roster",""))</f>
        <v/>
      </c>
      <c r="AB221" s="158"/>
    </row>
    <row r="222" customFormat="false" ht="15" hidden="true" customHeight="false" outlineLevel="0" collapsed="false">
      <c r="A222" s="172"/>
      <c r="B222" s="172"/>
      <c r="C222" s="161" t="str">
        <f aca="false">IF(LEFT(B222,2)="OS","QUILL FORMATION Valmont","QUILL FORMATION Ulman")</f>
        <v>QUILL FORMATION Ulman</v>
      </c>
      <c r="D222" s="43" t="str">
        <f aca="false">IF($A222="","",IF($C222="QUILL FORMATION Valmont",10,11))</f>
        <v/>
      </c>
      <c r="E222" s="151" t="str">
        <f aca="false">IF($A222="","",IFERROR(VLOOKUP($A222,Skills!$A:$C,2,FALSE())&amp;" "&amp;VLOOKUP($A222,Skills!$A:$C,3,FALSE()),"Haxil Dellhaven"))</f>
        <v/>
      </c>
      <c r="F222" s="43" t="str">
        <f aca="false">IF($A222="","",IFERROR(IF(VLOOKUP($A222,Skills!$A:$D,4,FALSE())="","",VLOOKUP($A222,Skills!$A:$D,4,FALSE())),"Lisbonne"))</f>
        <v/>
      </c>
      <c r="G222" s="47"/>
      <c r="H222" s="47" t="str">
        <f aca="false">IF(G222="","",WORKDAY(G222-1,D222+IF(J222="",0,J222)))</f>
        <v/>
      </c>
      <c r="I222" s="134"/>
      <c r="J222" s="135"/>
      <c r="K222" s="43" t="str">
        <f aca="true">IF(G222="","",MIN(D222,MAX(0,NETWORKDAYS(G222,TODAY())-IF(J222="",0,J222))))</f>
        <v/>
      </c>
      <c r="L222" s="43" t="str">
        <f aca="true">IF(G222="","",MAX(0,D222-(NETWORKDAYS(G222,TODAY())-IF(J222="",0,J222))))</f>
        <v/>
      </c>
      <c r="M222" s="173"/>
      <c r="N222" s="44" t="str">
        <f aca="true">IFERROR(IF(OR(K222="",K222&lt;=0),"",IF(TODAY()&gt;H222,1,IF(K222-1=0,0,INDEX(OBJECTIVES!$O$2:$Q$12,MATCH(K222-1,OBJECTIVES!$N$2:$N$12,0),IF($C222="QUILL FORMATION Valmont",2,1))))),"")</f>
        <v/>
      </c>
      <c r="O222" s="44" t="str">
        <f aca="false">IF(OR(N222="",M222=""),"",M222-N222)</f>
        <v/>
      </c>
      <c r="P222" s="155" t="str">
        <f aca="false">IF($Q222&lt;&gt;"",$Q222,IF(O222="","",IF(O222&lt;=-0.12,"P1",IF(O222&lt;=-0.06,"P2","P3"))))</f>
        <v/>
      </c>
      <c r="Q222" s="136"/>
      <c r="R222" s="155"/>
      <c r="S222" s="155"/>
      <c r="T222" s="134"/>
      <c r="U222" s="134"/>
      <c r="V222" s="134"/>
      <c r="W222" s="134"/>
      <c r="X222" s="134"/>
      <c r="Y222" s="134"/>
      <c r="Z222" s="134" t="str">
        <f aca="false">IF(R222="Terminé",IF(AND(G222&lt;&gt;"",I222&lt;&gt;""),NETWORKDAYS(G222,I222),D222),"")</f>
        <v/>
      </c>
      <c r="AA222" s="134" t="str">
        <f aca="false">IF($A222="","",IF(COUNTIF(Skills!$A:$A,$A222)=0,"⚠ ID absent du roster",""))</f>
        <v/>
      </c>
      <c r="AB222" s="158"/>
    </row>
    <row r="223" customFormat="false" ht="15" hidden="true" customHeight="false" outlineLevel="0" collapsed="false">
      <c r="A223" s="172"/>
      <c r="B223" s="172"/>
      <c r="C223" s="161" t="str">
        <f aca="false">IF(LEFT(B223,2)="OS","QUILL FORMATION Valmont","QUILL FORMATION Ulman")</f>
        <v>QUILL FORMATION Ulman</v>
      </c>
      <c r="D223" s="43" t="str">
        <f aca="false">IF($A223="","",IF($C223="QUILL FORMATION Valmont",10,11))</f>
        <v/>
      </c>
      <c r="E223" s="151" t="str">
        <f aca="false">IF($A223="","",IFERROR(VLOOKUP($A223,Skills!$A:$C,2,FALSE())&amp;" "&amp;VLOOKUP($A223,Skills!$A:$C,3,FALSE()),"Haxil Dellhaven"))</f>
        <v/>
      </c>
      <c r="F223" s="43" t="str">
        <f aca="false">IF($A223="","",IFERROR(IF(VLOOKUP($A223,Skills!$A:$D,4,FALSE())="","",VLOOKUP($A223,Skills!$A:$D,4,FALSE())),"Lisbonne"))</f>
        <v/>
      </c>
      <c r="G223" s="47"/>
      <c r="H223" s="47" t="str">
        <f aca="false">IF(G223="","",WORKDAY(G223-1,D223+IF(J223="",0,J223)))</f>
        <v/>
      </c>
      <c r="I223" s="134"/>
      <c r="J223" s="135"/>
      <c r="K223" s="43" t="str">
        <f aca="true">IF(G223="","",MIN(D223,MAX(0,NETWORKDAYS(G223,TODAY())-IF(J223="",0,J223))))</f>
        <v/>
      </c>
      <c r="L223" s="43" t="str">
        <f aca="true">IF(G223="","",MAX(0,D223-(NETWORKDAYS(G223,TODAY())-IF(J223="",0,J223))))</f>
        <v/>
      </c>
      <c r="M223" s="173"/>
      <c r="N223" s="44" t="str">
        <f aca="true">IFERROR(IF(OR(K223="",K223&lt;=0),"",IF(TODAY()&gt;H223,1,IF(K223-1=0,0,INDEX(OBJECTIVES!$O$2:$Q$12,MATCH(K223-1,OBJECTIVES!$N$2:$N$12,0),IF($C223="QUILL FORMATION Valmont",2,1))))),"")</f>
        <v/>
      </c>
      <c r="O223" s="44" t="str">
        <f aca="false">IF(OR(N223="",M223=""),"",M223-N223)</f>
        <v/>
      </c>
      <c r="P223" s="155" t="str">
        <f aca="false">IF($Q223&lt;&gt;"",$Q223,IF(O223="","",IF(O223&lt;=-0.12,"P1",IF(O223&lt;=-0.06,"P2","P3"))))</f>
        <v/>
      </c>
      <c r="Q223" s="136"/>
      <c r="R223" s="155"/>
      <c r="S223" s="155"/>
      <c r="T223" s="134"/>
      <c r="U223" s="134"/>
      <c r="V223" s="134"/>
      <c r="W223" s="134"/>
      <c r="X223" s="134"/>
      <c r="Y223" s="134"/>
      <c r="Z223" s="134" t="str">
        <f aca="false">IF(R223="Terminé",IF(AND(G223&lt;&gt;"",I223&lt;&gt;""),NETWORKDAYS(G223,I223),D223),"")</f>
        <v/>
      </c>
      <c r="AA223" s="134" t="str">
        <f aca="false">IF($A223="","",IF(COUNTIF(Skills!$A:$A,$A223)=0,"⚠ ID absent du roster",""))</f>
        <v/>
      </c>
      <c r="AB223" s="158"/>
    </row>
    <row r="224" customFormat="false" ht="15" hidden="true" customHeight="false" outlineLevel="0" collapsed="false">
      <c r="A224" s="172"/>
      <c r="B224" s="172"/>
      <c r="C224" s="161" t="str">
        <f aca="false">IF(LEFT(B224,2)="OS","QUILL FORMATION Valmont","QUILL FORMATION Ulman")</f>
        <v>QUILL FORMATION Ulman</v>
      </c>
      <c r="D224" s="43" t="str">
        <f aca="false">IF($A224="","",IF($C224="QUILL FORMATION Valmont",10,11))</f>
        <v/>
      </c>
      <c r="E224" s="151" t="str">
        <f aca="false">IF($A224="","",IFERROR(VLOOKUP($A224,Skills!$A:$C,2,FALSE())&amp;" "&amp;VLOOKUP($A224,Skills!$A:$C,3,FALSE()),"Haxil Dellhaven"))</f>
        <v/>
      </c>
      <c r="F224" s="43" t="str">
        <f aca="false">IF($A224="","",IFERROR(IF(VLOOKUP($A224,Skills!$A:$D,4,FALSE())="","",VLOOKUP($A224,Skills!$A:$D,4,FALSE())),"Lisbonne"))</f>
        <v/>
      </c>
      <c r="G224" s="47"/>
      <c r="H224" s="47" t="str">
        <f aca="false">IF(G224="","",WORKDAY(G224-1,D224+IF(J224="",0,J224)))</f>
        <v/>
      </c>
      <c r="I224" s="134"/>
      <c r="J224" s="135"/>
      <c r="K224" s="43" t="str">
        <f aca="true">IF(G224="","",MIN(D224,MAX(0,NETWORKDAYS(G224,TODAY())-IF(J224="",0,J224))))</f>
        <v/>
      </c>
      <c r="L224" s="43" t="str">
        <f aca="true">IF(G224="","",MAX(0,D224-(NETWORKDAYS(G224,TODAY())-IF(J224="",0,J224))))</f>
        <v/>
      </c>
      <c r="M224" s="173"/>
      <c r="N224" s="44" t="str">
        <f aca="true">IFERROR(IF(OR(K224="",K224&lt;=0),"",IF(TODAY()&gt;H224,1,IF(K224-1=0,0,INDEX(OBJECTIVES!$O$2:$Q$12,MATCH(K224-1,OBJECTIVES!$N$2:$N$12,0),IF($C224="QUILL FORMATION Valmont",2,1))))),"")</f>
        <v/>
      </c>
      <c r="O224" s="44" t="str">
        <f aca="false">IF(OR(N224="",M224=""),"",M224-N224)</f>
        <v/>
      </c>
      <c r="P224" s="155" t="str">
        <f aca="false">IF($Q224&lt;&gt;"",$Q224,IF(O224="","",IF(O224&lt;=-0.12,"P1",IF(O224&lt;=-0.06,"P2","P3"))))</f>
        <v/>
      </c>
      <c r="Q224" s="136"/>
      <c r="R224" s="155"/>
      <c r="S224" s="155"/>
      <c r="T224" s="134"/>
      <c r="U224" s="134"/>
      <c r="V224" s="134"/>
      <c r="W224" s="134"/>
      <c r="X224" s="134"/>
      <c r="Y224" s="134"/>
      <c r="Z224" s="134" t="str">
        <f aca="false">IF(R224="Terminé",IF(AND(G224&lt;&gt;"",I224&lt;&gt;""),NETWORKDAYS(G224,I224),D224),"")</f>
        <v/>
      </c>
      <c r="AA224" s="134" t="str">
        <f aca="false">IF($A224="","",IF(COUNTIF(Skills!$A:$A,$A224)=0,"⚠ ID absent du roster",""))</f>
        <v/>
      </c>
      <c r="AB224" s="158"/>
    </row>
    <row r="225" customFormat="false" ht="15" hidden="true" customHeight="false" outlineLevel="0" collapsed="false">
      <c r="A225" s="172"/>
      <c r="B225" s="172"/>
      <c r="C225" s="161" t="str">
        <f aca="false">IF(LEFT(B225,2)="OS","QUILL FORMATION Valmont","QUILL FORMATION Ulman")</f>
        <v>QUILL FORMATION Ulman</v>
      </c>
      <c r="D225" s="43" t="str">
        <f aca="false">IF($A225="","",IF($C225="QUILL FORMATION Valmont",10,11))</f>
        <v/>
      </c>
      <c r="E225" s="151" t="str">
        <f aca="false">IF($A225="","",IFERROR(VLOOKUP($A225,Skills!$A:$C,2,FALSE())&amp;" "&amp;VLOOKUP($A225,Skills!$A:$C,3,FALSE()),"Haxil Dellhaven"))</f>
        <v/>
      </c>
      <c r="F225" s="43" t="str">
        <f aca="false">IF($A225="","",IFERROR(IF(VLOOKUP($A225,Skills!$A:$D,4,FALSE())="","",VLOOKUP($A225,Skills!$A:$D,4,FALSE())),"Lisbonne"))</f>
        <v/>
      </c>
      <c r="G225" s="47"/>
      <c r="H225" s="47" t="str">
        <f aca="false">IF(G225="","",WORKDAY(G225-1,D225+IF(J225="",0,J225)))</f>
        <v/>
      </c>
      <c r="I225" s="134"/>
      <c r="J225" s="135"/>
      <c r="K225" s="43" t="str">
        <f aca="true">IF(G225="","",MIN(D225,MAX(0,NETWORKDAYS(G225,TODAY())-IF(J225="",0,J225))))</f>
        <v/>
      </c>
      <c r="L225" s="43" t="str">
        <f aca="true">IF(G225="","",MAX(0,D225-(NETWORKDAYS(G225,TODAY())-IF(J225="",0,J225))))</f>
        <v/>
      </c>
      <c r="M225" s="173"/>
      <c r="N225" s="44" t="str">
        <f aca="true">IFERROR(IF(OR(K225="",K225&lt;=0),"",IF(TODAY()&gt;H225,1,IF(K225-1=0,0,INDEX(OBJECTIVES!$O$2:$Q$12,MATCH(K225-1,OBJECTIVES!$N$2:$N$12,0),IF($C225="QUILL FORMATION Valmont",2,1))))),"")</f>
        <v/>
      </c>
      <c r="O225" s="44" t="str">
        <f aca="false">IF(OR(N225="",M225=""),"",M225-N225)</f>
        <v/>
      </c>
      <c r="P225" s="155" t="str">
        <f aca="false">IF($Q225&lt;&gt;"",$Q225,IF(O225="","",IF(O225&lt;=-0.12,"P1",IF(O225&lt;=-0.06,"P2","P3"))))</f>
        <v/>
      </c>
      <c r="Q225" s="136"/>
      <c r="R225" s="155"/>
      <c r="S225" s="155"/>
      <c r="T225" s="134"/>
      <c r="U225" s="134"/>
      <c r="V225" s="134"/>
      <c r="W225" s="134"/>
      <c r="X225" s="134"/>
      <c r="Y225" s="134"/>
      <c r="Z225" s="134" t="str">
        <f aca="false">IF(R225="Terminé",IF(AND(G225&lt;&gt;"",I225&lt;&gt;""),NETWORKDAYS(G225,I225),D225),"")</f>
        <v/>
      </c>
      <c r="AA225" s="134" t="str">
        <f aca="false">IF($A225="","",IF(COUNTIF(Skills!$A:$A,$A225)=0,"⚠ ID absent du roster",""))</f>
        <v/>
      </c>
      <c r="AB225" s="158"/>
    </row>
    <row r="226" customFormat="false" ht="15" hidden="true" customHeight="false" outlineLevel="0" collapsed="false">
      <c r="A226" s="172"/>
      <c r="B226" s="172"/>
      <c r="C226" s="161" t="str">
        <f aca="false">IF(LEFT(B226,2)="OS","QUILL FORMATION Valmont","QUILL FORMATION Ulman")</f>
        <v>QUILL FORMATION Ulman</v>
      </c>
      <c r="D226" s="43" t="str">
        <f aca="false">IF($A226="","",IF($C226="QUILL FORMATION Valmont",10,11))</f>
        <v/>
      </c>
      <c r="E226" s="151" t="str">
        <f aca="false">IF($A226="","",IFERROR(VLOOKUP($A226,Skills!$A:$C,2,FALSE())&amp;" "&amp;VLOOKUP($A226,Skills!$A:$C,3,FALSE()),"Haxil Dellhaven"))</f>
        <v/>
      </c>
      <c r="F226" s="43" t="str">
        <f aca="false">IF($A226="","",IFERROR(IF(VLOOKUP($A226,Skills!$A:$D,4,FALSE())="","",VLOOKUP($A226,Skills!$A:$D,4,FALSE())),"Lisbonne"))</f>
        <v/>
      </c>
      <c r="G226" s="47"/>
      <c r="H226" s="47" t="str">
        <f aca="false">IF(G226="","",WORKDAY(G226-1,D226+IF(J226="",0,J226)))</f>
        <v/>
      </c>
      <c r="I226" s="134"/>
      <c r="J226" s="135"/>
      <c r="K226" s="43" t="str">
        <f aca="true">IF(G226="","",MIN(D226,MAX(0,NETWORKDAYS(G226,TODAY())-IF(J226="",0,J226))))</f>
        <v/>
      </c>
      <c r="L226" s="43" t="str">
        <f aca="true">IF(G226="","",MAX(0,D226-(NETWORKDAYS(G226,TODAY())-IF(J226="",0,J226))))</f>
        <v/>
      </c>
      <c r="M226" s="173"/>
      <c r="N226" s="44" t="str">
        <f aca="true">IFERROR(IF(OR(K226="",K226&lt;=0),"",IF(TODAY()&gt;H226,1,IF(K226-1=0,0,INDEX(OBJECTIVES!$O$2:$Q$12,MATCH(K226-1,OBJECTIVES!$N$2:$N$12,0),IF($C226="QUILL FORMATION Valmont",2,1))))),"")</f>
        <v/>
      </c>
      <c r="O226" s="44" t="str">
        <f aca="false">IF(OR(N226="",M226=""),"",M226-N226)</f>
        <v/>
      </c>
      <c r="P226" s="155" t="str">
        <f aca="false">IF($Q226&lt;&gt;"",$Q226,IF(O226="","",IF(O226&lt;=-0.12,"P1",IF(O226&lt;=-0.06,"P2","P3"))))</f>
        <v/>
      </c>
      <c r="Q226" s="136"/>
      <c r="R226" s="155"/>
      <c r="S226" s="155"/>
      <c r="T226" s="134"/>
      <c r="U226" s="134"/>
      <c r="V226" s="134"/>
      <c r="W226" s="134"/>
      <c r="X226" s="134"/>
      <c r="Y226" s="134"/>
      <c r="Z226" s="134" t="str">
        <f aca="false">IF(R226="Terminé",IF(AND(G226&lt;&gt;"",I226&lt;&gt;""),NETWORKDAYS(G226,I226),D226),"")</f>
        <v/>
      </c>
      <c r="AA226" s="134" t="str">
        <f aca="false">IF($A226="","",IF(COUNTIF(Skills!$A:$A,$A226)=0,"⚠ ID absent du roster",""))</f>
        <v/>
      </c>
      <c r="AB226" s="158"/>
    </row>
    <row r="227" customFormat="false" ht="15" hidden="true" customHeight="false" outlineLevel="0" collapsed="false">
      <c r="A227" s="172"/>
      <c r="B227" s="172"/>
      <c r="C227" s="161" t="str">
        <f aca="false">IF(LEFT(B227,2)="OS","QUILL FORMATION Valmont","QUILL FORMATION Ulman")</f>
        <v>QUILL FORMATION Ulman</v>
      </c>
      <c r="D227" s="43" t="str">
        <f aca="false">IF($A227="","",IF($C227="QUILL FORMATION Valmont",10,11))</f>
        <v/>
      </c>
      <c r="E227" s="151" t="str">
        <f aca="false">IF($A227="","",IFERROR(VLOOKUP($A227,Skills!$A:$C,2,FALSE())&amp;" "&amp;VLOOKUP($A227,Skills!$A:$C,3,FALSE()),"Haxil Dellhaven"))</f>
        <v/>
      </c>
      <c r="F227" s="43" t="str">
        <f aca="false">IF($A227="","",IFERROR(IF(VLOOKUP($A227,Skills!$A:$D,4,FALSE())="","",VLOOKUP($A227,Skills!$A:$D,4,FALSE())),"Lisbonne"))</f>
        <v/>
      </c>
      <c r="G227" s="47"/>
      <c r="H227" s="47" t="str">
        <f aca="false">IF(G227="","",WORKDAY(G227-1,D227+IF(J227="",0,J227)))</f>
        <v/>
      </c>
      <c r="I227" s="134"/>
      <c r="J227" s="135"/>
      <c r="K227" s="43" t="str">
        <f aca="true">IF(G227="","",MIN(D227,MAX(0,NETWORKDAYS(G227,TODAY())-IF(J227="",0,J227))))</f>
        <v/>
      </c>
      <c r="L227" s="43" t="str">
        <f aca="true">IF(G227="","",MAX(0,D227-(NETWORKDAYS(G227,TODAY())-IF(J227="",0,J227))))</f>
        <v/>
      </c>
      <c r="M227" s="173"/>
      <c r="N227" s="44" t="str">
        <f aca="true">IFERROR(IF(OR(K227="",K227&lt;=0),"",IF(TODAY()&gt;H227,1,IF(K227-1=0,0,INDEX(OBJECTIVES!$O$2:$Q$12,MATCH(K227-1,OBJECTIVES!$N$2:$N$12,0),IF($C227="QUILL FORMATION Valmont",2,1))))),"")</f>
        <v/>
      </c>
      <c r="O227" s="44" t="str">
        <f aca="false">IF(OR(N227="",M227=""),"",M227-N227)</f>
        <v/>
      </c>
      <c r="P227" s="155" t="str">
        <f aca="false">IF($Q227&lt;&gt;"",$Q227,IF(O227="","",IF(O227&lt;=-0.12,"P1",IF(O227&lt;=-0.06,"P2","P3"))))</f>
        <v/>
      </c>
      <c r="Q227" s="136"/>
      <c r="R227" s="155"/>
      <c r="S227" s="155"/>
      <c r="T227" s="134"/>
      <c r="U227" s="134"/>
      <c r="V227" s="134"/>
      <c r="W227" s="134"/>
      <c r="X227" s="134"/>
      <c r="Y227" s="134"/>
      <c r="Z227" s="134" t="str">
        <f aca="false">IF(R227="Terminé",IF(AND(G227&lt;&gt;"",I227&lt;&gt;""),NETWORKDAYS(G227,I227),D227),"")</f>
        <v/>
      </c>
      <c r="AA227" s="134" t="str">
        <f aca="false">IF($A227="","",IF(COUNTIF(Skills!$A:$A,$A227)=0,"⚠ ID absent du roster",""))</f>
        <v/>
      </c>
      <c r="AB227" s="158"/>
    </row>
    <row r="228" customFormat="false" ht="15" hidden="true" customHeight="false" outlineLevel="0" collapsed="false">
      <c r="A228" s="172"/>
      <c r="B228" s="172"/>
      <c r="C228" s="161" t="str">
        <f aca="false">IF(LEFT(B228,2)="OS","QUILL FORMATION Valmont","QUILL FORMATION Ulman")</f>
        <v>QUILL FORMATION Ulman</v>
      </c>
      <c r="D228" s="43" t="str">
        <f aca="false">IF($A228="","",IF($C228="QUILL FORMATION Valmont",10,11))</f>
        <v/>
      </c>
      <c r="E228" s="151" t="str">
        <f aca="false">IF($A228="","",IFERROR(VLOOKUP($A228,Skills!$A:$C,2,FALSE())&amp;" "&amp;VLOOKUP($A228,Skills!$A:$C,3,FALSE()),"Haxil Dellhaven"))</f>
        <v/>
      </c>
      <c r="F228" s="43" t="str">
        <f aca="false">IF($A228="","",IFERROR(IF(VLOOKUP($A228,Skills!$A:$D,4,FALSE())="","",VLOOKUP($A228,Skills!$A:$D,4,FALSE())),"Lisbonne"))</f>
        <v/>
      </c>
      <c r="G228" s="47"/>
      <c r="H228" s="47" t="str">
        <f aca="false">IF(G228="","",WORKDAY(G228-1,D228+IF(J228="",0,J228)))</f>
        <v/>
      </c>
      <c r="I228" s="134"/>
      <c r="J228" s="135"/>
      <c r="K228" s="43" t="str">
        <f aca="true">IF(G228="","",MIN(D228,MAX(0,NETWORKDAYS(G228,TODAY())-IF(J228="",0,J228))))</f>
        <v/>
      </c>
      <c r="L228" s="43" t="str">
        <f aca="true">IF(G228="","",MAX(0,D228-(NETWORKDAYS(G228,TODAY())-IF(J228="",0,J228))))</f>
        <v/>
      </c>
      <c r="M228" s="173"/>
      <c r="N228" s="44" t="str">
        <f aca="true">IFERROR(IF(OR(K228="",K228&lt;=0),"",IF(TODAY()&gt;H228,1,IF(K228-1=0,0,INDEX(OBJECTIVES!$O$2:$Q$12,MATCH(K228-1,OBJECTIVES!$N$2:$N$12,0),IF($C228="QUILL FORMATION Valmont",2,1))))),"")</f>
        <v/>
      </c>
      <c r="O228" s="44" t="str">
        <f aca="false">IF(OR(N228="",M228=""),"",M228-N228)</f>
        <v/>
      </c>
      <c r="P228" s="155" t="str">
        <f aca="false">IF($Q228&lt;&gt;"",$Q228,IF(O228="","",IF(O228&lt;=-0.12,"P1",IF(O228&lt;=-0.06,"P2","P3"))))</f>
        <v/>
      </c>
      <c r="Q228" s="136"/>
      <c r="R228" s="155"/>
      <c r="S228" s="155"/>
      <c r="T228" s="134"/>
      <c r="U228" s="134"/>
      <c r="V228" s="134"/>
      <c r="W228" s="134"/>
      <c r="X228" s="134"/>
      <c r="Y228" s="134"/>
      <c r="Z228" s="134" t="str">
        <f aca="false">IF(R228="Terminé",IF(AND(G228&lt;&gt;"",I228&lt;&gt;""),NETWORKDAYS(G228,I228),D228),"")</f>
        <v/>
      </c>
      <c r="AA228" s="134" t="str">
        <f aca="false">IF($A228="","",IF(COUNTIF(Skills!$A:$A,$A228)=0,"⚠ ID absent du roster",""))</f>
        <v/>
      </c>
      <c r="AB228" s="158"/>
    </row>
    <row r="229" customFormat="false" ht="15" hidden="true" customHeight="false" outlineLevel="0" collapsed="false">
      <c r="A229" s="172"/>
      <c r="B229" s="172"/>
      <c r="C229" s="161" t="str">
        <f aca="false">IF(LEFT(B229,2)="OS","QUILL FORMATION Valmont","QUILL FORMATION Ulman")</f>
        <v>QUILL FORMATION Ulman</v>
      </c>
      <c r="D229" s="43" t="str">
        <f aca="false">IF($A229="","",IF($C229="QUILL FORMATION Valmont",10,11))</f>
        <v/>
      </c>
      <c r="E229" s="151" t="str">
        <f aca="false">IF($A229="","",IFERROR(VLOOKUP($A229,Skills!$A:$C,2,FALSE())&amp;" "&amp;VLOOKUP($A229,Skills!$A:$C,3,FALSE()),"Haxil Dellhaven"))</f>
        <v/>
      </c>
      <c r="F229" s="43" t="str">
        <f aca="false">IF($A229="","",IFERROR(IF(VLOOKUP($A229,Skills!$A:$D,4,FALSE())="","",VLOOKUP($A229,Skills!$A:$D,4,FALSE())),"Lisbonne"))</f>
        <v/>
      </c>
      <c r="G229" s="47"/>
      <c r="H229" s="47" t="str">
        <f aca="false">IF(G229="","",WORKDAY(G229-1,D229+IF(J229="",0,J229)))</f>
        <v/>
      </c>
      <c r="I229" s="134"/>
      <c r="J229" s="135"/>
      <c r="K229" s="43" t="str">
        <f aca="true">IF(G229="","",MIN(D229,MAX(0,NETWORKDAYS(G229,TODAY())-IF(J229="",0,J229))))</f>
        <v/>
      </c>
      <c r="L229" s="43" t="str">
        <f aca="true">IF(G229="","",MAX(0,D229-(NETWORKDAYS(G229,TODAY())-IF(J229="",0,J229))))</f>
        <v/>
      </c>
      <c r="M229" s="173"/>
      <c r="N229" s="44" t="str">
        <f aca="true">IFERROR(IF(OR(K229="",K229&lt;=0),"",IF(TODAY()&gt;H229,1,IF(K229-1=0,0,INDEX(OBJECTIVES!$O$2:$Q$12,MATCH(K229-1,OBJECTIVES!$N$2:$N$12,0),IF($C229="QUILL FORMATION Valmont",2,1))))),"")</f>
        <v/>
      </c>
      <c r="O229" s="44" t="str">
        <f aca="false">IF(OR(N229="",M229=""),"",M229-N229)</f>
        <v/>
      </c>
      <c r="P229" s="155" t="str">
        <f aca="false">IF($Q229&lt;&gt;"",$Q229,IF(O229="","",IF(O229&lt;=-0.12,"P1",IF(O229&lt;=-0.06,"P2","P3"))))</f>
        <v/>
      </c>
      <c r="Q229" s="136"/>
      <c r="R229" s="155"/>
      <c r="S229" s="155"/>
      <c r="T229" s="134"/>
      <c r="U229" s="134"/>
      <c r="V229" s="134"/>
      <c r="W229" s="134"/>
      <c r="X229" s="134"/>
      <c r="Y229" s="134"/>
      <c r="Z229" s="134" t="str">
        <f aca="false">IF(R229="Terminé",IF(AND(G229&lt;&gt;"",I229&lt;&gt;""),NETWORKDAYS(G229,I229),D229),"")</f>
        <v/>
      </c>
      <c r="AA229" s="134" t="str">
        <f aca="false">IF($A229="","",IF(COUNTIF(Skills!$A:$A,$A229)=0,"⚠ ID absent du roster",""))</f>
        <v/>
      </c>
      <c r="AB229" s="158"/>
    </row>
    <row r="230" customFormat="false" ht="15" hidden="true" customHeight="false" outlineLevel="0" collapsed="false">
      <c r="A230" s="172"/>
      <c r="B230" s="172"/>
      <c r="C230" s="161" t="str">
        <f aca="false">IF(LEFT(B230,2)="OS","QUILL FORMATION Valmont","QUILL FORMATION Ulman")</f>
        <v>QUILL FORMATION Ulman</v>
      </c>
      <c r="D230" s="43" t="str">
        <f aca="false">IF($A230="","",IF($C230="QUILL FORMATION Valmont",10,11))</f>
        <v/>
      </c>
      <c r="E230" s="151" t="str">
        <f aca="false">IF($A230="","",IFERROR(VLOOKUP($A230,Skills!$A:$C,2,FALSE())&amp;" "&amp;VLOOKUP($A230,Skills!$A:$C,3,FALSE()),"Haxil Dellhaven"))</f>
        <v/>
      </c>
      <c r="F230" s="43" t="str">
        <f aca="false">IF($A230="","",IFERROR(IF(VLOOKUP($A230,Skills!$A:$D,4,FALSE())="","",VLOOKUP($A230,Skills!$A:$D,4,FALSE())),"Lisbonne"))</f>
        <v/>
      </c>
      <c r="G230" s="47"/>
      <c r="H230" s="47" t="str">
        <f aca="false">IF(G230="","",WORKDAY(G230-1,D230+IF(J230="",0,J230)))</f>
        <v/>
      </c>
      <c r="I230" s="134"/>
      <c r="J230" s="135"/>
      <c r="K230" s="43" t="str">
        <f aca="true">IF(G230="","",MIN(D230,MAX(0,NETWORKDAYS(G230,TODAY())-IF(J230="",0,J230))))</f>
        <v/>
      </c>
      <c r="L230" s="43" t="str">
        <f aca="true">IF(G230="","",MAX(0,D230-(NETWORKDAYS(G230,TODAY())-IF(J230="",0,J230))))</f>
        <v/>
      </c>
      <c r="M230" s="173"/>
      <c r="N230" s="44" t="str">
        <f aca="true">IFERROR(IF(OR(K230="",K230&lt;=0),"",IF(TODAY()&gt;H230,1,IF(K230-1=0,0,INDEX(OBJECTIVES!$O$2:$Q$12,MATCH(K230-1,OBJECTIVES!$N$2:$N$12,0),IF($C230="QUILL FORMATION Valmont",2,1))))),"")</f>
        <v/>
      </c>
      <c r="O230" s="44" t="str">
        <f aca="false">IF(OR(N230="",M230=""),"",M230-N230)</f>
        <v/>
      </c>
      <c r="P230" s="155" t="str">
        <f aca="false">IF($Q230&lt;&gt;"",$Q230,IF(O230="","",IF(O230&lt;=-0.12,"P1",IF(O230&lt;=-0.06,"P2","P3"))))</f>
        <v/>
      </c>
      <c r="Q230" s="136"/>
      <c r="R230" s="155"/>
      <c r="S230" s="155"/>
      <c r="T230" s="134"/>
      <c r="U230" s="134"/>
      <c r="V230" s="134"/>
      <c r="W230" s="134"/>
      <c r="X230" s="134"/>
      <c r="Y230" s="134"/>
      <c r="Z230" s="134" t="str">
        <f aca="false">IF(R230="Terminé",IF(AND(G230&lt;&gt;"",I230&lt;&gt;""),NETWORKDAYS(G230,I230),D230),"")</f>
        <v/>
      </c>
      <c r="AA230" s="134" t="str">
        <f aca="false">IF($A230="","",IF(COUNTIF(Skills!$A:$A,$A230)=0,"⚠ ID absent du roster",""))</f>
        <v/>
      </c>
      <c r="AB230" s="158"/>
    </row>
    <row r="231" customFormat="false" ht="15" hidden="true" customHeight="false" outlineLevel="0" collapsed="false">
      <c r="A231" s="172"/>
      <c r="B231" s="172"/>
      <c r="C231" s="161" t="str">
        <f aca="false">IF(LEFT(B231,2)="OS","QUILL FORMATION Valmont","QUILL FORMATION Ulman")</f>
        <v>QUILL FORMATION Ulman</v>
      </c>
      <c r="D231" s="43" t="str">
        <f aca="false">IF($A231="","",IF($C231="QUILL FORMATION Valmont",10,11))</f>
        <v/>
      </c>
      <c r="E231" s="151" t="str">
        <f aca="false">IF($A231="","",IFERROR(VLOOKUP($A231,Skills!$A:$C,2,FALSE())&amp;" "&amp;VLOOKUP($A231,Skills!$A:$C,3,FALSE()),"Haxil Dellhaven"))</f>
        <v/>
      </c>
      <c r="F231" s="43" t="str">
        <f aca="false">IF($A231="","",IFERROR(IF(VLOOKUP($A231,Skills!$A:$D,4,FALSE())="","",VLOOKUP($A231,Skills!$A:$D,4,FALSE())),"Lisbonne"))</f>
        <v/>
      </c>
      <c r="G231" s="47"/>
      <c r="H231" s="47" t="str">
        <f aca="false">IF(G231="","",WORKDAY(G231-1,D231+IF(J231="",0,J231)))</f>
        <v/>
      </c>
      <c r="I231" s="134"/>
      <c r="J231" s="135"/>
      <c r="K231" s="43" t="str">
        <f aca="true">IF(G231="","",MIN(D231,MAX(0,NETWORKDAYS(G231,TODAY())-IF(J231="",0,J231))))</f>
        <v/>
      </c>
      <c r="L231" s="43" t="str">
        <f aca="true">IF(G231="","",MAX(0,D231-(NETWORKDAYS(G231,TODAY())-IF(J231="",0,J231))))</f>
        <v/>
      </c>
      <c r="M231" s="173"/>
      <c r="N231" s="44" t="str">
        <f aca="true">IFERROR(IF(OR(K231="",K231&lt;=0),"",IF(TODAY()&gt;H231,1,IF(K231-1=0,0,INDEX(OBJECTIVES!$O$2:$Q$12,MATCH(K231-1,OBJECTIVES!$N$2:$N$12,0),IF($C231="QUILL FORMATION Valmont",2,1))))),"")</f>
        <v/>
      </c>
      <c r="O231" s="44" t="str">
        <f aca="false">IF(OR(N231="",M231=""),"",M231-N231)</f>
        <v/>
      </c>
      <c r="P231" s="155" t="str">
        <f aca="false">IF($Q231&lt;&gt;"",$Q231,IF(O231="","",IF(O231&lt;=-0.12,"P1",IF(O231&lt;=-0.06,"P2","P3"))))</f>
        <v/>
      </c>
      <c r="Q231" s="136"/>
      <c r="R231" s="155"/>
      <c r="S231" s="155"/>
      <c r="T231" s="134"/>
      <c r="U231" s="134"/>
      <c r="V231" s="134"/>
      <c r="W231" s="134"/>
      <c r="X231" s="134"/>
      <c r="Y231" s="134"/>
      <c r="Z231" s="134" t="str">
        <f aca="false">IF(R231="Terminé",IF(AND(G231&lt;&gt;"",I231&lt;&gt;""),NETWORKDAYS(G231,I231),D231),"")</f>
        <v/>
      </c>
      <c r="AA231" s="134" t="str">
        <f aca="false">IF($A231="","",IF(COUNTIF(Skills!$A:$A,$A231)=0,"⚠ ID absent du roster",""))</f>
        <v/>
      </c>
      <c r="AB231" s="158"/>
    </row>
    <row r="232" customFormat="false" ht="15" hidden="true" customHeight="false" outlineLevel="0" collapsed="false">
      <c r="A232" s="172"/>
      <c r="B232" s="172"/>
      <c r="C232" s="161" t="str">
        <f aca="false">IF(LEFT(B232,2)="OS","QUILL FORMATION Valmont","QUILL FORMATION Ulman")</f>
        <v>QUILL FORMATION Ulman</v>
      </c>
      <c r="D232" s="43" t="str">
        <f aca="false">IF($A232="","",IF($C232="QUILL FORMATION Valmont",10,11))</f>
        <v/>
      </c>
      <c r="E232" s="151" t="str">
        <f aca="false">IF($A232="","",IFERROR(VLOOKUP($A232,Skills!$A:$C,2,FALSE())&amp;" "&amp;VLOOKUP($A232,Skills!$A:$C,3,FALSE()),"Haxil Dellhaven"))</f>
        <v/>
      </c>
      <c r="F232" s="43" t="str">
        <f aca="false">IF($A232="","",IFERROR(IF(VLOOKUP($A232,Skills!$A:$D,4,FALSE())="","",VLOOKUP($A232,Skills!$A:$D,4,FALSE())),"Lisbonne"))</f>
        <v/>
      </c>
      <c r="G232" s="47"/>
      <c r="H232" s="47" t="str">
        <f aca="false">IF(G232="","",WORKDAY(G232-1,D232+IF(J232="",0,J232)))</f>
        <v/>
      </c>
      <c r="I232" s="134"/>
      <c r="J232" s="135"/>
      <c r="K232" s="43" t="str">
        <f aca="true">IF(G232="","",MIN(D232,MAX(0,NETWORKDAYS(G232,TODAY())-IF(J232="",0,J232))))</f>
        <v/>
      </c>
      <c r="L232" s="43" t="str">
        <f aca="true">IF(G232="","",MAX(0,D232-(NETWORKDAYS(G232,TODAY())-IF(J232="",0,J232))))</f>
        <v/>
      </c>
      <c r="M232" s="173"/>
      <c r="N232" s="44" t="str">
        <f aca="true">IFERROR(IF(OR(K232="",K232&lt;=0),"",IF(TODAY()&gt;H232,1,IF(K232-1=0,0,INDEX(OBJECTIVES!$O$2:$Q$12,MATCH(K232-1,OBJECTIVES!$N$2:$N$12,0),IF($C232="QUILL FORMATION Valmont",2,1))))),"")</f>
        <v/>
      </c>
      <c r="O232" s="44" t="str">
        <f aca="false">IF(OR(N232="",M232=""),"",M232-N232)</f>
        <v/>
      </c>
      <c r="P232" s="155" t="str">
        <f aca="false">IF($Q232&lt;&gt;"",$Q232,IF(O232="","",IF(O232&lt;=-0.12,"P1",IF(O232&lt;=-0.06,"P2","P3"))))</f>
        <v/>
      </c>
      <c r="Q232" s="136"/>
      <c r="R232" s="155"/>
      <c r="S232" s="155"/>
      <c r="T232" s="134"/>
      <c r="U232" s="134"/>
      <c r="V232" s="134"/>
      <c r="W232" s="134"/>
      <c r="X232" s="134"/>
      <c r="Y232" s="134"/>
      <c r="Z232" s="134" t="str">
        <f aca="false">IF(R232="Terminé",IF(AND(G232&lt;&gt;"",I232&lt;&gt;""),NETWORKDAYS(G232,I232),D232),"")</f>
        <v/>
      </c>
      <c r="AA232" s="134" t="str">
        <f aca="false">IF($A232="","",IF(COUNTIF(Skills!$A:$A,$A232)=0,"⚠ ID absent du roster",""))</f>
        <v/>
      </c>
      <c r="AB232" s="158"/>
    </row>
    <row r="233" customFormat="false" ht="15" hidden="true" customHeight="false" outlineLevel="0" collapsed="false">
      <c r="A233" s="172"/>
      <c r="B233" s="172"/>
      <c r="C233" s="161" t="str">
        <f aca="false">IF(LEFT(B233,2)="OS","QUILL FORMATION Valmont","QUILL FORMATION Ulman")</f>
        <v>QUILL FORMATION Ulman</v>
      </c>
      <c r="D233" s="43" t="str">
        <f aca="false">IF($A233="","",IF($C233="QUILL FORMATION Valmont",10,11))</f>
        <v/>
      </c>
      <c r="E233" s="151" t="str">
        <f aca="false">IF($A233="","",IFERROR(VLOOKUP($A233,Skills!$A:$C,2,FALSE())&amp;" "&amp;VLOOKUP($A233,Skills!$A:$C,3,FALSE()),"Haxil Dellhaven"))</f>
        <v/>
      </c>
      <c r="F233" s="43" t="str">
        <f aca="false">IF($A233="","",IFERROR(IF(VLOOKUP($A233,Skills!$A:$D,4,FALSE())="","",VLOOKUP($A233,Skills!$A:$D,4,FALSE())),"Lisbonne"))</f>
        <v/>
      </c>
      <c r="G233" s="47"/>
      <c r="H233" s="47" t="str">
        <f aca="false">IF(G233="","",WORKDAY(G233-1,D233+IF(J233="",0,J233)))</f>
        <v/>
      </c>
      <c r="I233" s="134"/>
      <c r="J233" s="135"/>
      <c r="K233" s="43" t="str">
        <f aca="true">IF(G233="","",MIN(D233,MAX(0,NETWORKDAYS(G233,TODAY())-IF(J233="",0,J233))))</f>
        <v/>
      </c>
      <c r="L233" s="43" t="str">
        <f aca="true">IF(G233="","",MAX(0,D233-(NETWORKDAYS(G233,TODAY())-IF(J233="",0,J233))))</f>
        <v/>
      </c>
      <c r="M233" s="173"/>
      <c r="N233" s="44" t="str">
        <f aca="true">IFERROR(IF(OR(K233="",K233&lt;=0),"",IF(TODAY()&gt;H233,1,IF(K233-1=0,0,INDEX(OBJECTIVES!$O$2:$Q$12,MATCH(K233-1,OBJECTIVES!$N$2:$N$12,0),IF($C233="QUILL FORMATION Valmont",2,1))))),"")</f>
        <v/>
      </c>
      <c r="O233" s="44" t="str">
        <f aca="false">IF(OR(N233="",M233=""),"",M233-N233)</f>
        <v/>
      </c>
      <c r="P233" s="155" t="str">
        <f aca="false">IF($Q233&lt;&gt;"",$Q233,IF(O233="","",IF(O233&lt;=-0.12,"P1",IF(O233&lt;=-0.06,"P2","P3"))))</f>
        <v/>
      </c>
      <c r="Q233" s="136"/>
      <c r="R233" s="155"/>
      <c r="S233" s="155"/>
      <c r="T233" s="134"/>
      <c r="U233" s="134"/>
      <c r="V233" s="134"/>
      <c r="W233" s="134"/>
      <c r="X233" s="134"/>
      <c r="Y233" s="134"/>
      <c r="Z233" s="134" t="str">
        <f aca="false">IF(R233="Terminé",IF(AND(G233&lt;&gt;"",I233&lt;&gt;""),NETWORKDAYS(G233,I233),D233),"")</f>
        <v/>
      </c>
      <c r="AA233" s="134" t="str">
        <f aca="false">IF($A233="","",IF(COUNTIF(Skills!$A:$A,$A233)=0,"⚠ ID absent du roster",""))</f>
        <v/>
      </c>
      <c r="AB233" s="158"/>
    </row>
    <row r="234" customFormat="false" ht="15" hidden="true" customHeight="false" outlineLevel="0" collapsed="false">
      <c r="A234" s="172"/>
      <c r="B234" s="172"/>
      <c r="C234" s="161" t="str">
        <f aca="false">IF(LEFT(B234,2)="OS","QUILL FORMATION Valmont","QUILL FORMATION Ulman")</f>
        <v>QUILL FORMATION Ulman</v>
      </c>
      <c r="D234" s="43" t="str">
        <f aca="false">IF($A234="","",IF($C234="QUILL FORMATION Valmont",10,11))</f>
        <v/>
      </c>
      <c r="E234" s="151" t="str">
        <f aca="false">IF($A234="","",IFERROR(VLOOKUP($A234,Skills!$A:$C,2,FALSE())&amp;" "&amp;VLOOKUP($A234,Skills!$A:$C,3,FALSE()),"Haxil Dellhaven"))</f>
        <v/>
      </c>
      <c r="F234" s="43" t="str">
        <f aca="false">IF($A234="","",IFERROR(IF(VLOOKUP($A234,Skills!$A:$D,4,FALSE())="","",VLOOKUP($A234,Skills!$A:$D,4,FALSE())),"Lisbonne"))</f>
        <v/>
      </c>
      <c r="G234" s="47"/>
      <c r="H234" s="47" t="str">
        <f aca="false">IF(G234="","",WORKDAY(G234-1,D234+IF(J234="",0,J234)))</f>
        <v/>
      </c>
      <c r="I234" s="134"/>
      <c r="J234" s="135"/>
      <c r="K234" s="43" t="str">
        <f aca="true">IF(G234="","",MIN(D234,MAX(0,NETWORKDAYS(G234,TODAY())-IF(J234="",0,J234))))</f>
        <v/>
      </c>
      <c r="L234" s="43" t="str">
        <f aca="true">IF(G234="","",MAX(0,D234-(NETWORKDAYS(G234,TODAY())-IF(J234="",0,J234))))</f>
        <v/>
      </c>
      <c r="M234" s="173"/>
      <c r="N234" s="44" t="str">
        <f aca="true">IFERROR(IF(OR(K234="",K234&lt;=0),"",IF(TODAY()&gt;H234,1,IF(K234-1=0,0,INDEX(OBJECTIVES!$O$2:$Q$12,MATCH(K234-1,OBJECTIVES!$N$2:$N$12,0),IF($C234="QUILL FORMATION Valmont",2,1))))),"")</f>
        <v/>
      </c>
      <c r="O234" s="44" t="str">
        <f aca="false">IF(OR(N234="",M234=""),"",M234-N234)</f>
        <v/>
      </c>
      <c r="P234" s="155" t="str">
        <f aca="false">IF($Q234&lt;&gt;"",$Q234,IF(O234="","",IF(O234&lt;=-0.12,"P1",IF(O234&lt;=-0.06,"P2","P3"))))</f>
        <v/>
      </c>
      <c r="Q234" s="136"/>
      <c r="R234" s="155"/>
      <c r="S234" s="155"/>
      <c r="T234" s="134"/>
      <c r="U234" s="134"/>
      <c r="V234" s="134"/>
      <c r="W234" s="134"/>
      <c r="X234" s="134"/>
      <c r="Y234" s="134"/>
      <c r="Z234" s="134" t="str">
        <f aca="false">IF(R234="Terminé",IF(AND(G234&lt;&gt;"",I234&lt;&gt;""),NETWORKDAYS(G234,I234),D234),"")</f>
        <v/>
      </c>
      <c r="AA234" s="134" t="str">
        <f aca="false">IF($A234="","",IF(COUNTIF(Skills!$A:$A,$A234)=0,"⚠ ID absent du roster",""))</f>
        <v/>
      </c>
      <c r="AB234" s="158"/>
    </row>
    <row r="235" customFormat="false" ht="15" hidden="true" customHeight="false" outlineLevel="0" collapsed="false">
      <c r="A235" s="172"/>
      <c r="B235" s="172"/>
      <c r="C235" s="161" t="str">
        <f aca="false">IF(LEFT(B235,2)="OS","QUILL FORMATION Valmont","QUILL FORMATION Ulman")</f>
        <v>QUILL FORMATION Ulman</v>
      </c>
      <c r="D235" s="43" t="str">
        <f aca="false">IF($A235="","",IF($C235="QUILL FORMATION Valmont",10,11))</f>
        <v/>
      </c>
      <c r="E235" s="151" t="str">
        <f aca="false">IF($A235="","",IFERROR(VLOOKUP($A235,Skills!$A:$C,2,FALSE())&amp;" "&amp;VLOOKUP($A235,Skills!$A:$C,3,FALSE()),"Haxil Dellhaven"))</f>
        <v/>
      </c>
      <c r="F235" s="43" t="str">
        <f aca="false">IF($A235="","",IFERROR(IF(VLOOKUP($A235,Skills!$A:$D,4,FALSE())="","",VLOOKUP($A235,Skills!$A:$D,4,FALSE())),"Lisbonne"))</f>
        <v/>
      </c>
      <c r="G235" s="47"/>
      <c r="H235" s="47" t="str">
        <f aca="false">IF(G235="","",WORKDAY(G235-1,D235+IF(J235="",0,J235)))</f>
        <v/>
      </c>
      <c r="I235" s="134"/>
      <c r="J235" s="135"/>
      <c r="K235" s="43" t="str">
        <f aca="true">IF(G235="","",MIN(D235,MAX(0,NETWORKDAYS(G235,TODAY())-IF(J235="",0,J235))))</f>
        <v/>
      </c>
      <c r="L235" s="43" t="str">
        <f aca="true">IF(G235="","",MAX(0,D235-(NETWORKDAYS(G235,TODAY())-IF(J235="",0,J235))))</f>
        <v/>
      </c>
      <c r="M235" s="173"/>
      <c r="N235" s="44" t="str">
        <f aca="true">IFERROR(IF(OR(K235="",K235&lt;=0),"",IF(TODAY()&gt;H235,1,IF(K235-1=0,0,INDEX(OBJECTIVES!$O$2:$Q$12,MATCH(K235-1,OBJECTIVES!$N$2:$N$12,0),IF($C235="QUILL FORMATION Valmont",2,1))))),"")</f>
        <v/>
      </c>
      <c r="O235" s="44" t="str">
        <f aca="false">IF(OR(N235="",M235=""),"",M235-N235)</f>
        <v/>
      </c>
      <c r="P235" s="155" t="str">
        <f aca="false">IF($Q235&lt;&gt;"",$Q235,IF(O235="","",IF(O235&lt;=-0.12,"P1",IF(O235&lt;=-0.06,"P2","P3"))))</f>
        <v/>
      </c>
      <c r="Q235" s="136"/>
      <c r="R235" s="155"/>
      <c r="S235" s="155"/>
      <c r="T235" s="134"/>
      <c r="U235" s="134"/>
      <c r="V235" s="134"/>
      <c r="W235" s="134"/>
      <c r="X235" s="134"/>
      <c r="Y235" s="134"/>
      <c r="Z235" s="134" t="str">
        <f aca="false">IF(R235="Terminé",IF(AND(G235&lt;&gt;"",I235&lt;&gt;""),NETWORKDAYS(G235,I235),D235),"")</f>
        <v/>
      </c>
      <c r="AA235" s="134" t="str">
        <f aca="false">IF($A235="","",IF(COUNTIF(Skills!$A:$A,$A235)=0,"⚠ ID absent du roster",""))</f>
        <v/>
      </c>
      <c r="AB235" s="158"/>
    </row>
    <row r="236" customFormat="false" ht="15" hidden="true" customHeight="false" outlineLevel="0" collapsed="false">
      <c r="A236" s="172"/>
      <c r="B236" s="172"/>
      <c r="C236" s="161" t="str">
        <f aca="false">IF(LEFT(B236,2)="OS","QUILL FORMATION Valmont","QUILL FORMATION Ulman")</f>
        <v>QUILL FORMATION Ulman</v>
      </c>
      <c r="D236" s="43" t="str">
        <f aca="false">IF($A236="","",IF($C236="QUILL FORMATION Valmont",10,11))</f>
        <v/>
      </c>
      <c r="E236" s="151" t="str">
        <f aca="false">IF($A236="","",IFERROR(VLOOKUP($A236,Skills!$A:$C,2,FALSE())&amp;" "&amp;VLOOKUP($A236,Skills!$A:$C,3,FALSE()),"Haxil Dellhaven"))</f>
        <v/>
      </c>
      <c r="F236" s="43" t="str">
        <f aca="false">IF($A236="","",IFERROR(IF(VLOOKUP($A236,Skills!$A:$D,4,FALSE())="","",VLOOKUP($A236,Skills!$A:$D,4,FALSE())),"Lisbonne"))</f>
        <v/>
      </c>
      <c r="G236" s="47"/>
      <c r="H236" s="47" t="str">
        <f aca="false">IF(G236="","",WORKDAY(G236-1,D236+IF(J236="",0,J236)))</f>
        <v/>
      </c>
      <c r="I236" s="134"/>
      <c r="J236" s="135"/>
      <c r="K236" s="43" t="str">
        <f aca="true">IF(G236="","",MIN(D236,MAX(0,NETWORKDAYS(G236,TODAY())-IF(J236="",0,J236))))</f>
        <v/>
      </c>
      <c r="L236" s="43" t="str">
        <f aca="true">IF(G236="","",MAX(0,D236-(NETWORKDAYS(G236,TODAY())-IF(J236="",0,J236))))</f>
        <v/>
      </c>
      <c r="M236" s="173"/>
      <c r="N236" s="44" t="str">
        <f aca="true">IFERROR(IF(OR(K236="",K236&lt;=0),"",IF(TODAY()&gt;H236,1,IF(K236-1=0,0,INDEX(OBJECTIVES!$O$2:$Q$12,MATCH(K236-1,OBJECTIVES!$N$2:$N$12,0),IF($C236="QUILL FORMATION Valmont",2,1))))),"")</f>
        <v/>
      </c>
      <c r="O236" s="44" t="str">
        <f aca="false">IF(OR(N236="",M236=""),"",M236-N236)</f>
        <v/>
      </c>
      <c r="P236" s="155" t="str">
        <f aca="false">IF($Q236&lt;&gt;"",$Q236,IF(O236="","",IF(O236&lt;=-0.12,"P1",IF(O236&lt;=-0.06,"P2","P3"))))</f>
        <v/>
      </c>
      <c r="Q236" s="136"/>
      <c r="R236" s="155"/>
      <c r="S236" s="155"/>
      <c r="T236" s="134"/>
      <c r="U236" s="134"/>
      <c r="V236" s="134"/>
      <c r="W236" s="134"/>
      <c r="X236" s="134"/>
      <c r="Y236" s="134"/>
      <c r="Z236" s="134" t="str">
        <f aca="false">IF(R236="Terminé",IF(AND(G236&lt;&gt;"",I236&lt;&gt;""),NETWORKDAYS(G236,I236),D236),"")</f>
        <v/>
      </c>
      <c r="AA236" s="134" t="str">
        <f aca="false">IF($A236="","",IF(COUNTIF(Skills!$A:$A,$A236)=0,"⚠ ID absent du roster",""))</f>
        <v/>
      </c>
      <c r="AB236" s="158"/>
    </row>
    <row r="237" customFormat="false" ht="15" hidden="true" customHeight="false" outlineLevel="0" collapsed="false">
      <c r="A237" s="172"/>
      <c r="B237" s="172"/>
      <c r="C237" s="161" t="str">
        <f aca="false">IF(LEFT(B237,2)="OS","QUILL FORMATION Valmont","QUILL FORMATION Ulman")</f>
        <v>QUILL FORMATION Ulman</v>
      </c>
      <c r="D237" s="43" t="str">
        <f aca="false">IF($A237="","",IF($C237="QUILL FORMATION Valmont",10,11))</f>
        <v/>
      </c>
      <c r="E237" s="151" t="str">
        <f aca="false">IF($A237="","",IFERROR(VLOOKUP($A237,Skills!$A:$C,2,FALSE())&amp;" "&amp;VLOOKUP($A237,Skills!$A:$C,3,FALSE()),"Haxil Dellhaven"))</f>
        <v/>
      </c>
      <c r="F237" s="43" t="str">
        <f aca="false">IF($A237="","",IFERROR(IF(VLOOKUP($A237,Skills!$A:$D,4,FALSE())="","",VLOOKUP($A237,Skills!$A:$D,4,FALSE())),"Lisbonne"))</f>
        <v/>
      </c>
      <c r="G237" s="47"/>
      <c r="H237" s="47" t="str">
        <f aca="false">IF(G237="","",WORKDAY(G237-1,D237+IF(J237="",0,J237)))</f>
        <v/>
      </c>
      <c r="I237" s="134"/>
      <c r="J237" s="135"/>
      <c r="K237" s="43" t="str">
        <f aca="true">IF(G237="","",MIN(D237,MAX(0,NETWORKDAYS(G237,TODAY())-IF(J237="",0,J237))))</f>
        <v/>
      </c>
      <c r="L237" s="43" t="str">
        <f aca="true">IF(G237="","",MAX(0,D237-(NETWORKDAYS(G237,TODAY())-IF(J237="",0,J237))))</f>
        <v/>
      </c>
      <c r="M237" s="173"/>
      <c r="N237" s="44" t="str">
        <f aca="true">IFERROR(IF(OR(K237="",K237&lt;=0),"",IF(TODAY()&gt;H237,1,IF(K237-1=0,0,INDEX(OBJECTIVES!$O$2:$Q$12,MATCH(K237-1,OBJECTIVES!$N$2:$N$12,0),IF($C237="QUILL FORMATION Valmont",2,1))))),"")</f>
        <v/>
      </c>
      <c r="O237" s="44" t="str">
        <f aca="false">IF(OR(N237="",M237=""),"",M237-N237)</f>
        <v/>
      </c>
      <c r="P237" s="155" t="str">
        <f aca="false">IF($Q237&lt;&gt;"",$Q237,IF(O237="","",IF(O237&lt;=-0.12,"P1",IF(O237&lt;=-0.06,"P2","P3"))))</f>
        <v/>
      </c>
      <c r="Q237" s="136"/>
      <c r="R237" s="155"/>
      <c r="S237" s="155"/>
      <c r="T237" s="134"/>
      <c r="U237" s="134"/>
      <c r="V237" s="134"/>
      <c r="W237" s="134"/>
      <c r="X237" s="134"/>
      <c r="Y237" s="134"/>
      <c r="Z237" s="134" t="str">
        <f aca="false">IF(R237="Terminé",IF(AND(G237&lt;&gt;"",I237&lt;&gt;""),NETWORKDAYS(G237,I237),D237),"")</f>
        <v/>
      </c>
      <c r="AA237" s="134" t="str">
        <f aca="false">IF($A237="","",IF(COUNTIF(Skills!$A:$A,$A237)=0,"⚠ ID absent du roster",""))</f>
        <v/>
      </c>
      <c r="AB237" s="158"/>
    </row>
    <row r="238" customFormat="false" ht="15" hidden="true" customHeight="false" outlineLevel="0" collapsed="false">
      <c r="A238" s="172"/>
      <c r="B238" s="172"/>
      <c r="C238" s="161" t="str">
        <f aca="false">IF(LEFT(B238,2)="OS","QUILL FORMATION Valmont","QUILL FORMATION Ulman")</f>
        <v>QUILL FORMATION Ulman</v>
      </c>
      <c r="D238" s="43" t="str">
        <f aca="false">IF($A238="","",IF($C238="QUILL FORMATION Valmont",10,11))</f>
        <v/>
      </c>
      <c r="E238" s="151" t="str">
        <f aca="false">IF($A238="","",IFERROR(VLOOKUP($A238,Skills!$A:$C,2,FALSE())&amp;" "&amp;VLOOKUP($A238,Skills!$A:$C,3,FALSE()),"Haxil Dellhaven"))</f>
        <v/>
      </c>
      <c r="F238" s="43" t="str">
        <f aca="false">IF($A238="","",IFERROR(IF(VLOOKUP($A238,Skills!$A:$D,4,FALSE())="","",VLOOKUP($A238,Skills!$A:$D,4,FALSE())),"Lisbonne"))</f>
        <v/>
      </c>
      <c r="G238" s="47"/>
      <c r="H238" s="47" t="str">
        <f aca="false">IF(G238="","",WORKDAY(G238-1,D238+IF(J238="",0,J238)))</f>
        <v/>
      </c>
      <c r="I238" s="134"/>
      <c r="J238" s="135"/>
      <c r="K238" s="43" t="str">
        <f aca="true">IF(G238="","",MIN(D238,MAX(0,NETWORKDAYS(G238,TODAY())-IF(J238="",0,J238))))</f>
        <v/>
      </c>
      <c r="L238" s="43" t="str">
        <f aca="true">IF(G238="","",MAX(0,D238-(NETWORKDAYS(G238,TODAY())-IF(J238="",0,J238))))</f>
        <v/>
      </c>
      <c r="M238" s="173"/>
      <c r="N238" s="44" t="str">
        <f aca="true">IFERROR(IF(OR(K238="",K238&lt;=0),"",IF(TODAY()&gt;H238,1,IF(K238-1=0,0,INDEX(OBJECTIVES!$O$2:$Q$12,MATCH(K238-1,OBJECTIVES!$N$2:$N$12,0),IF($C238="QUILL FORMATION Valmont",2,1))))),"")</f>
        <v/>
      </c>
      <c r="O238" s="44" t="str">
        <f aca="false">IF(OR(N238="",M238=""),"",M238-N238)</f>
        <v/>
      </c>
      <c r="P238" s="155" t="str">
        <f aca="false">IF($Q238&lt;&gt;"",$Q238,IF(O238="","",IF(O238&lt;=-0.12,"P1",IF(O238&lt;=-0.06,"P2","P3"))))</f>
        <v/>
      </c>
      <c r="Q238" s="136"/>
      <c r="R238" s="155"/>
      <c r="S238" s="155"/>
      <c r="T238" s="134"/>
      <c r="U238" s="134"/>
      <c r="V238" s="134"/>
      <c r="W238" s="134"/>
      <c r="X238" s="134"/>
      <c r="Y238" s="134"/>
      <c r="Z238" s="134" t="str">
        <f aca="false">IF(R238="Terminé",IF(AND(G238&lt;&gt;"",I238&lt;&gt;""),NETWORKDAYS(G238,I238),D238),"")</f>
        <v/>
      </c>
      <c r="AA238" s="134" t="str">
        <f aca="false">IF($A238="","",IF(COUNTIF(Skills!$A:$A,$A238)=0,"⚠ ID absent du roster",""))</f>
        <v/>
      </c>
      <c r="AB238" s="158"/>
    </row>
    <row r="239" customFormat="false" ht="15" hidden="true" customHeight="false" outlineLevel="0" collapsed="false">
      <c r="A239" s="172"/>
      <c r="B239" s="172"/>
      <c r="C239" s="161" t="str">
        <f aca="false">IF(LEFT(B239,2)="OS","QUILL FORMATION Valmont","QUILL FORMATION Ulman")</f>
        <v>QUILL FORMATION Ulman</v>
      </c>
      <c r="D239" s="43" t="str">
        <f aca="false">IF($A239="","",IF($C239="QUILL FORMATION Valmont",10,11))</f>
        <v/>
      </c>
      <c r="E239" s="151" t="str">
        <f aca="false">IF($A239="","",IFERROR(VLOOKUP($A239,Skills!$A:$C,2,FALSE())&amp;" "&amp;VLOOKUP($A239,Skills!$A:$C,3,FALSE()),"Haxil Dellhaven"))</f>
        <v/>
      </c>
      <c r="F239" s="43" t="str">
        <f aca="false">IF($A239="","",IFERROR(IF(VLOOKUP($A239,Skills!$A:$D,4,FALSE())="","",VLOOKUP($A239,Skills!$A:$D,4,FALSE())),"Lisbonne"))</f>
        <v/>
      </c>
      <c r="G239" s="47"/>
      <c r="H239" s="47" t="str">
        <f aca="false">IF(G239="","",WORKDAY(G239-1,D239+IF(J239="",0,J239)))</f>
        <v/>
      </c>
      <c r="I239" s="134"/>
      <c r="J239" s="135"/>
      <c r="K239" s="43" t="str">
        <f aca="true">IF(G239="","",MIN(D239,MAX(0,NETWORKDAYS(G239,TODAY())-IF(J239="",0,J239))))</f>
        <v/>
      </c>
      <c r="L239" s="43" t="str">
        <f aca="true">IF(G239="","",MAX(0,D239-(NETWORKDAYS(G239,TODAY())-IF(J239="",0,J239))))</f>
        <v/>
      </c>
      <c r="M239" s="173"/>
      <c r="N239" s="44" t="str">
        <f aca="true">IFERROR(IF(OR(K239="",K239&lt;=0),"",IF(TODAY()&gt;H239,1,IF(K239-1=0,0,INDEX(OBJECTIVES!$O$2:$Q$12,MATCH(K239-1,OBJECTIVES!$N$2:$N$12,0),IF($C239="QUILL FORMATION Valmont",2,1))))),"")</f>
        <v/>
      </c>
      <c r="O239" s="44" t="str">
        <f aca="false">IF(OR(N239="",M239=""),"",M239-N239)</f>
        <v/>
      </c>
      <c r="P239" s="155" t="str">
        <f aca="false">IF($Q239&lt;&gt;"",$Q239,IF(O239="","",IF(O239&lt;=-0.12,"P1",IF(O239&lt;=-0.06,"P2","P3"))))</f>
        <v/>
      </c>
      <c r="Q239" s="136"/>
      <c r="R239" s="155"/>
      <c r="S239" s="155"/>
      <c r="T239" s="134"/>
      <c r="U239" s="134"/>
      <c r="V239" s="134"/>
      <c r="W239" s="134"/>
      <c r="X239" s="134"/>
      <c r="Y239" s="134"/>
      <c r="Z239" s="134" t="str">
        <f aca="false">IF(R239="Terminé",IF(AND(G239&lt;&gt;"",I239&lt;&gt;""),NETWORKDAYS(G239,I239),D239),"")</f>
        <v/>
      </c>
      <c r="AA239" s="134" t="str">
        <f aca="false">IF($A239="","",IF(COUNTIF(Skills!$A:$A,$A239)=0,"⚠ ID absent du roster",""))</f>
        <v/>
      </c>
      <c r="AB239" s="158"/>
    </row>
    <row r="240" customFormat="false" ht="15" hidden="true" customHeight="false" outlineLevel="0" collapsed="false">
      <c r="A240" s="172"/>
      <c r="B240" s="172"/>
      <c r="C240" s="161" t="str">
        <f aca="false">IF(LEFT(B240,2)="OS","QUILL FORMATION Valmont","QUILL FORMATION Ulman")</f>
        <v>QUILL FORMATION Ulman</v>
      </c>
      <c r="D240" s="43" t="str">
        <f aca="false">IF($A240="","",IF($C240="QUILL FORMATION Valmont",10,11))</f>
        <v/>
      </c>
      <c r="E240" s="151" t="str">
        <f aca="false">IF($A240="","",IFERROR(VLOOKUP($A240,Skills!$A:$C,2,FALSE())&amp;" "&amp;VLOOKUP($A240,Skills!$A:$C,3,FALSE()),"Haxil Dellhaven"))</f>
        <v/>
      </c>
      <c r="F240" s="43" t="str">
        <f aca="false">IF($A240="","",IFERROR(IF(VLOOKUP($A240,Skills!$A:$D,4,FALSE())="","",VLOOKUP($A240,Skills!$A:$D,4,FALSE())),"Lisbonne"))</f>
        <v/>
      </c>
      <c r="G240" s="47"/>
      <c r="H240" s="47" t="str">
        <f aca="false">IF(G240="","",WORKDAY(G240-1,D240+IF(J240="",0,J240)))</f>
        <v/>
      </c>
      <c r="I240" s="134"/>
      <c r="J240" s="135"/>
      <c r="K240" s="43" t="str">
        <f aca="true">IF(G240="","",MIN(D240,MAX(0,NETWORKDAYS(G240,TODAY())-IF(J240="",0,J240))))</f>
        <v/>
      </c>
      <c r="L240" s="43" t="str">
        <f aca="true">IF(G240="","",MAX(0,D240-(NETWORKDAYS(G240,TODAY())-IF(J240="",0,J240))))</f>
        <v/>
      </c>
      <c r="M240" s="173"/>
      <c r="N240" s="44" t="str">
        <f aca="true">IFERROR(IF(OR(K240="",K240&lt;=0),"",IF(TODAY()&gt;H240,1,IF(K240-1=0,0,INDEX(OBJECTIVES!$O$2:$Q$12,MATCH(K240-1,OBJECTIVES!$N$2:$N$12,0),IF($C240="QUILL FORMATION Valmont",2,1))))),"")</f>
        <v/>
      </c>
      <c r="O240" s="44" t="str">
        <f aca="false">IF(OR(N240="",M240=""),"",M240-N240)</f>
        <v/>
      </c>
      <c r="P240" s="155" t="str">
        <f aca="false">IF($Q240&lt;&gt;"",$Q240,IF(O240="","",IF(O240&lt;=-0.12,"P1",IF(O240&lt;=-0.06,"P2","P3"))))</f>
        <v/>
      </c>
      <c r="Q240" s="136"/>
      <c r="R240" s="155"/>
      <c r="S240" s="155"/>
      <c r="T240" s="134"/>
      <c r="U240" s="134"/>
      <c r="V240" s="134"/>
      <c r="W240" s="134"/>
      <c r="X240" s="134"/>
      <c r="Y240" s="134"/>
      <c r="Z240" s="134" t="str">
        <f aca="false">IF(R240="Terminé",IF(AND(G240&lt;&gt;"",I240&lt;&gt;""),NETWORKDAYS(G240,I240),D240),"")</f>
        <v/>
      </c>
      <c r="AA240" s="134" t="str">
        <f aca="false">IF($A240="","",IF(COUNTIF(Skills!$A:$A,$A240)=0,"⚠ ID absent du roster",""))</f>
        <v/>
      </c>
      <c r="AB240" s="158"/>
    </row>
    <row r="241" customFormat="false" ht="15" hidden="true" customHeight="false" outlineLevel="0" collapsed="false">
      <c r="A241" s="172"/>
      <c r="B241" s="172"/>
      <c r="C241" s="161" t="str">
        <f aca="false">IF(LEFT(B241,2)="OS","QUILL FORMATION Valmont","QUILL FORMATION Ulman")</f>
        <v>QUILL FORMATION Ulman</v>
      </c>
      <c r="D241" s="43" t="str">
        <f aca="false">IF($A241="","",IF($C241="QUILL FORMATION Valmont",10,11))</f>
        <v/>
      </c>
      <c r="E241" s="151" t="str">
        <f aca="false">IF($A241="","",IFERROR(VLOOKUP($A241,Skills!$A:$C,2,FALSE())&amp;" "&amp;VLOOKUP($A241,Skills!$A:$C,3,FALSE()),"Haxil Dellhaven"))</f>
        <v/>
      </c>
      <c r="F241" s="43" t="str">
        <f aca="false">IF($A241="","",IFERROR(IF(VLOOKUP($A241,Skills!$A:$D,4,FALSE())="","",VLOOKUP($A241,Skills!$A:$D,4,FALSE())),"Lisbonne"))</f>
        <v/>
      </c>
      <c r="G241" s="47"/>
      <c r="H241" s="47" t="str">
        <f aca="false">IF(G241="","",WORKDAY(G241-1,D241+IF(J241="",0,J241)))</f>
        <v/>
      </c>
      <c r="I241" s="134"/>
      <c r="J241" s="135"/>
      <c r="K241" s="43" t="str">
        <f aca="true">IF(G241="","",MIN(D241,MAX(0,NETWORKDAYS(G241,TODAY())-IF(J241="",0,J241))))</f>
        <v/>
      </c>
      <c r="L241" s="43" t="str">
        <f aca="true">IF(G241="","",MAX(0,D241-(NETWORKDAYS(G241,TODAY())-IF(J241="",0,J241))))</f>
        <v/>
      </c>
      <c r="M241" s="173"/>
      <c r="N241" s="44" t="str">
        <f aca="true">IFERROR(IF(OR(K241="",K241&lt;=0),"",IF(TODAY()&gt;H241,1,IF(K241-1=0,0,INDEX(OBJECTIVES!$O$2:$Q$12,MATCH(K241-1,OBJECTIVES!$N$2:$N$12,0),IF($C241="QUILL FORMATION Valmont",2,1))))),"")</f>
        <v/>
      </c>
      <c r="O241" s="44" t="str">
        <f aca="false">IF(OR(N241="",M241=""),"",M241-N241)</f>
        <v/>
      </c>
      <c r="P241" s="155" t="str">
        <f aca="false">IF($Q241&lt;&gt;"",$Q241,IF(O241="","",IF(O241&lt;=-0.12,"P1",IF(O241&lt;=-0.06,"P2","P3"))))</f>
        <v/>
      </c>
      <c r="Q241" s="136"/>
      <c r="R241" s="155"/>
      <c r="S241" s="155"/>
      <c r="T241" s="134"/>
      <c r="U241" s="134"/>
      <c r="V241" s="134"/>
      <c r="W241" s="134"/>
      <c r="X241" s="134"/>
      <c r="Y241" s="134"/>
      <c r="Z241" s="134" t="str">
        <f aca="false">IF(R241="Terminé",IF(AND(G241&lt;&gt;"",I241&lt;&gt;""),NETWORKDAYS(G241,I241),D241),"")</f>
        <v/>
      </c>
      <c r="AA241" s="134" t="str">
        <f aca="false">IF($A241="","",IF(COUNTIF(Skills!$A:$A,$A241)=0,"⚠ ID absent du roster",""))</f>
        <v/>
      </c>
      <c r="AB241" s="158"/>
    </row>
    <row r="242" customFormat="false" ht="15" hidden="true" customHeight="false" outlineLevel="0" collapsed="false">
      <c r="A242" s="172"/>
      <c r="B242" s="172"/>
      <c r="C242" s="161" t="str">
        <f aca="false">IF(LEFT(B242,2)="OS","QUILL FORMATION Valmont","QUILL FORMATION Ulman")</f>
        <v>QUILL FORMATION Ulman</v>
      </c>
      <c r="D242" s="43" t="str">
        <f aca="false">IF($A242="","",IF($C242="QUILL FORMATION Valmont",10,11))</f>
        <v/>
      </c>
      <c r="E242" s="151" t="str">
        <f aca="false">IF($A242="","",IFERROR(VLOOKUP($A242,Skills!$A:$C,2,FALSE())&amp;" "&amp;VLOOKUP($A242,Skills!$A:$C,3,FALSE()),"Haxil Dellhaven"))</f>
        <v/>
      </c>
      <c r="F242" s="43" t="str">
        <f aca="false">IF($A242="","",IFERROR(IF(VLOOKUP($A242,Skills!$A:$D,4,FALSE())="","",VLOOKUP($A242,Skills!$A:$D,4,FALSE())),"Lisbonne"))</f>
        <v/>
      </c>
      <c r="G242" s="47"/>
      <c r="H242" s="47" t="str">
        <f aca="false">IF(G242="","",WORKDAY(G242-1,D242+IF(J242="",0,J242)))</f>
        <v/>
      </c>
      <c r="I242" s="134"/>
      <c r="J242" s="135"/>
      <c r="K242" s="43" t="str">
        <f aca="true">IF(G242="","",MIN(D242,MAX(0,NETWORKDAYS(G242,TODAY())-IF(J242="",0,J242))))</f>
        <v/>
      </c>
      <c r="L242" s="43" t="str">
        <f aca="true">IF(G242="","",MAX(0,D242-(NETWORKDAYS(G242,TODAY())-IF(J242="",0,J242))))</f>
        <v/>
      </c>
      <c r="M242" s="173"/>
      <c r="N242" s="44" t="str">
        <f aca="true">IFERROR(IF(OR(K242="",K242&lt;=0),"",IF(TODAY()&gt;H242,1,IF(K242-1=0,0,INDEX(OBJECTIVES!$O$2:$Q$12,MATCH(K242-1,OBJECTIVES!$N$2:$N$12,0),IF($C242="QUILL FORMATION Valmont",2,1))))),"")</f>
        <v/>
      </c>
      <c r="O242" s="44" t="str">
        <f aca="false">IF(OR(N242="",M242=""),"",M242-N242)</f>
        <v/>
      </c>
      <c r="P242" s="155" t="str">
        <f aca="false">IF($Q242&lt;&gt;"",$Q242,IF(O242="","",IF(O242&lt;=-0.12,"P1",IF(O242&lt;=-0.06,"P2","P3"))))</f>
        <v/>
      </c>
      <c r="Q242" s="136"/>
      <c r="R242" s="155"/>
      <c r="S242" s="155"/>
      <c r="T242" s="134"/>
      <c r="U242" s="134"/>
      <c r="V242" s="134"/>
      <c r="W242" s="134"/>
      <c r="X242" s="134"/>
      <c r="Y242" s="134"/>
      <c r="Z242" s="134" t="str">
        <f aca="false">IF(R242="Terminé",IF(AND(G242&lt;&gt;"",I242&lt;&gt;""),NETWORKDAYS(G242,I242),D242),"")</f>
        <v/>
      </c>
      <c r="AA242" s="134" t="str">
        <f aca="false">IF($A242="","",IF(COUNTIF(Skills!$A:$A,$A242)=0,"⚠ ID absent du roster",""))</f>
        <v/>
      </c>
      <c r="AB242" s="158"/>
    </row>
    <row r="243" customFormat="false" ht="15" hidden="true" customHeight="false" outlineLevel="0" collapsed="false">
      <c r="A243" s="172"/>
      <c r="B243" s="172"/>
      <c r="C243" s="161" t="str">
        <f aca="false">IF(LEFT(B243,2)="OS","QUILL FORMATION Valmont","QUILL FORMATION Ulman")</f>
        <v>QUILL FORMATION Ulman</v>
      </c>
      <c r="D243" s="43" t="str">
        <f aca="false">IF($A243="","",IF($C243="QUILL FORMATION Valmont",10,11))</f>
        <v/>
      </c>
      <c r="E243" s="151" t="str">
        <f aca="false">IF($A243="","",IFERROR(VLOOKUP($A243,Skills!$A:$C,2,FALSE())&amp;" "&amp;VLOOKUP($A243,Skills!$A:$C,3,FALSE()),"Haxil Dellhaven"))</f>
        <v/>
      </c>
      <c r="F243" s="43" t="str">
        <f aca="false">IF($A243="","",IFERROR(IF(VLOOKUP($A243,Skills!$A:$D,4,FALSE())="","",VLOOKUP($A243,Skills!$A:$D,4,FALSE())),"Lisbonne"))</f>
        <v/>
      </c>
      <c r="G243" s="47"/>
      <c r="H243" s="47" t="str">
        <f aca="false">IF(G243="","",WORKDAY(G243-1,D243+IF(J243="",0,J243)))</f>
        <v/>
      </c>
      <c r="I243" s="134"/>
      <c r="J243" s="135"/>
      <c r="K243" s="43" t="str">
        <f aca="true">IF(G243="","",MIN(D243,MAX(0,NETWORKDAYS(G243,TODAY())-IF(J243="",0,J243))))</f>
        <v/>
      </c>
      <c r="L243" s="43" t="str">
        <f aca="true">IF(G243="","",MAX(0,D243-(NETWORKDAYS(G243,TODAY())-IF(J243="",0,J243))))</f>
        <v/>
      </c>
      <c r="M243" s="173"/>
      <c r="N243" s="44" t="str">
        <f aca="true">IFERROR(IF(OR(K243="",K243&lt;=0),"",IF(TODAY()&gt;H243,1,IF(K243-1=0,0,INDEX(OBJECTIVES!$O$2:$Q$12,MATCH(K243-1,OBJECTIVES!$N$2:$N$12,0),IF($C243="QUILL FORMATION Valmont",2,1))))),"")</f>
        <v/>
      </c>
      <c r="O243" s="44" t="str">
        <f aca="false">IF(OR(N243="",M243=""),"",M243-N243)</f>
        <v/>
      </c>
      <c r="P243" s="155" t="str">
        <f aca="false">IF($Q243&lt;&gt;"",$Q243,IF(O243="","",IF(O243&lt;=-0.12,"P1",IF(O243&lt;=-0.06,"P2","P3"))))</f>
        <v/>
      </c>
      <c r="Q243" s="136"/>
      <c r="R243" s="155"/>
      <c r="S243" s="155"/>
      <c r="T243" s="134"/>
      <c r="U243" s="134"/>
      <c r="V243" s="134"/>
      <c r="W243" s="134"/>
      <c r="X243" s="134"/>
      <c r="Y243" s="134"/>
      <c r="Z243" s="134" t="str">
        <f aca="false">IF(R243="Terminé",IF(AND(G243&lt;&gt;"",I243&lt;&gt;""),NETWORKDAYS(G243,I243),D243),"")</f>
        <v/>
      </c>
      <c r="AA243" s="134" t="str">
        <f aca="false">IF($A243="","",IF(COUNTIF(Skills!$A:$A,$A243)=0,"⚠ ID absent du roster",""))</f>
        <v/>
      </c>
      <c r="AB243" s="158"/>
    </row>
    <row r="244" customFormat="false" ht="15" hidden="true" customHeight="false" outlineLevel="0" collapsed="false">
      <c r="A244" s="172"/>
      <c r="B244" s="172"/>
      <c r="C244" s="161" t="str">
        <f aca="false">IF(LEFT(B244,2)="OS","QUILL FORMATION Valmont","QUILL FORMATION Ulman")</f>
        <v>QUILL FORMATION Ulman</v>
      </c>
      <c r="D244" s="43" t="str">
        <f aca="false">IF($A244="","",IF($C244="QUILL FORMATION Valmont",10,11))</f>
        <v/>
      </c>
      <c r="E244" s="151" t="str">
        <f aca="false">IF($A244="","",IFERROR(VLOOKUP($A244,Skills!$A:$C,2,FALSE())&amp;" "&amp;VLOOKUP($A244,Skills!$A:$C,3,FALSE()),"Haxil Dellhaven"))</f>
        <v/>
      </c>
      <c r="F244" s="43" t="str">
        <f aca="false">IF($A244="","",IFERROR(IF(VLOOKUP($A244,Skills!$A:$D,4,FALSE())="","",VLOOKUP($A244,Skills!$A:$D,4,FALSE())),"Lisbonne"))</f>
        <v/>
      </c>
      <c r="G244" s="47"/>
      <c r="H244" s="47" t="str">
        <f aca="false">IF(G244="","",WORKDAY(G244-1,D244+IF(J244="",0,J244)))</f>
        <v/>
      </c>
      <c r="I244" s="134"/>
      <c r="J244" s="135"/>
      <c r="K244" s="43" t="str">
        <f aca="true">IF(G244="","",MIN(D244,MAX(0,NETWORKDAYS(G244,TODAY())-IF(J244="",0,J244))))</f>
        <v/>
      </c>
      <c r="L244" s="43" t="str">
        <f aca="true">IF(G244="","",MAX(0,D244-(NETWORKDAYS(G244,TODAY())-IF(J244="",0,J244))))</f>
        <v/>
      </c>
      <c r="M244" s="173"/>
      <c r="N244" s="44" t="str">
        <f aca="true">IFERROR(IF(OR(K244="",K244&lt;=0),"",IF(TODAY()&gt;H244,1,IF(K244-1=0,0,INDEX(OBJECTIVES!$O$2:$Q$12,MATCH(K244-1,OBJECTIVES!$N$2:$N$12,0),IF($C244="QUILL FORMATION Valmont",2,1))))),"")</f>
        <v/>
      </c>
      <c r="O244" s="44" t="str">
        <f aca="false">IF(OR(N244="",M244=""),"",M244-N244)</f>
        <v/>
      </c>
      <c r="P244" s="155" t="str">
        <f aca="false">IF($Q244&lt;&gt;"",$Q244,IF(O244="","",IF(O244&lt;=-0.12,"P1",IF(O244&lt;=-0.06,"P2","P3"))))</f>
        <v/>
      </c>
      <c r="Q244" s="136"/>
      <c r="R244" s="155"/>
      <c r="S244" s="155"/>
      <c r="T244" s="134"/>
      <c r="U244" s="134"/>
      <c r="V244" s="134"/>
      <c r="W244" s="134"/>
      <c r="X244" s="134"/>
      <c r="Y244" s="134"/>
      <c r="Z244" s="134" t="str">
        <f aca="false">IF(R244="Terminé",IF(AND(G244&lt;&gt;"",I244&lt;&gt;""),NETWORKDAYS(G244,I244),D244),"")</f>
        <v/>
      </c>
      <c r="AA244" s="134" t="str">
        <f aca="false">IF($A244="","",IF(COUNTIF(Skills!$A:$A,$A244)=0,"⚠ ID absent du roster",""))</f>
        <v/>
      </c>
      <c r="AB244" s="158"/>
    </row>
    <row r="245" customFormat="false" ht="15" hidden="true" customHeight="false" outlineLevel="0" collapsed="false">
      <c r="A245" s="172"/>
      <c r="B245" s="172"/>
      <c r="C245" s="161" t="str">
        <f aca="false">IF(LEFT(B245,2)="OS","QUILL FORMATION Valmont","QUILL FORMATION Ulman")</f>
        <v>QUILL FORMATION Ulman</v>
      </c>
      <c r="D245" s="43" t="str">
        <f aca="false">IF($A245="","",IF($C245="QUILL FORMATION Valmont",10,11))</f>
        <v/>
      </c>
      <c r="E245" s="151" t="str">
        <f aca="false">IF($A245="","",IFERROR(VLOOKUP($A245,Skills!$A:$C,2,FALSE())&amp;" "&amp;VLOOKUP($A245,Skills!$A:$C,3,FALSE()),"Haxil Dellhaven"))</f>
        <v/>
      </c>
      <c r="F245" s="43" t="str">
        <f aca="false">IF($A245="","",IFERROR(IF(VLOOKUP($A245,Skills!$A:$D,4,FALSE())="","",VLOOKUP($A245,Skills!$A:$D,4,FALSE())),"Lisbonne"))</f>
        <v/>
      </c>
      <c r="G245" s="47"/>
      <c r="H245" s="47" t="str">
        <f aca="false">IF(G245="","",WORKDAY(G245-1,D245+IF(J245="",0,J245)))</f>
        <v/>
      </c>
      <c r="I245" s="134"/>
      <c r="J245" s="135"/>
      <c r="K245" s="43" t="str">
        <f aca="true">IF(G245="","",MIN(D245,MAX(0,NETWORKDAYS(G245,TODAY())-IF(J245="",0,J245))))</f>
        <v/>
      </c>
      <c r="L245" s="43" t="str">
        <f aca="true">IF(G245="","",MAX(0,D245-(NETWORKDAYS(G245,TODAY())-IF(J245="",0,J245))))</f>
        <v/>
      </c>
      <c r="M245" s="173"/>
      <c r="N245" s="44" t="str">
        <f aca="true">IFERROR(IF(OR(K245="",K245&lt;=0),"",IF(TODAY()&gt;H245,1,IF(K245-1=0,0,INDEX(OBJECTIVES!$O$2:$Q$12,MATCH(K245-1,OBJECTIVES!$N$2:$N$12,0),IF($C245="QUILL FORMATION Valmont",2,1))))),"")</f>
        <v/>
      </c>
      <c r="O245" s="44" t="str">
        <f aca="false">IF(OR(N245="",M245=""),"",M245-N245)</f>
        <v/>
      </c>
      <c r="P245" s="155" t="str">
        <f aca="false">IF($Q245&lt;&gt;"",$Q245,IF(O245="","",IF(O245&lt;=-0.12,"P1",IF(O245&lt;=-0.06,"P2","P3"))))</f>
        <v/>
      </c>
      <c r="Q245" s="136"/>
      <c r="R245" s="155"/>
      <c r="S245" s="155"/>
      <c r="T245" s="134"/>
      <c r="U245" s="134"/>
      <c r="V245" s="134"/>
      <c r="W245" s="134"/>
      <c r="X245" s="134"/>
      <c r="Y245" s="134"/>
      <c r="Z245" s="134" t="str">
        <f aca="false">IF(R245="Terminé",IF(AND(G245&lt;&gt;"",I245&lt;&gt;""),NETWORKDAYS(G245,I245),D245),"")</f>
        <v/>
      </c>
      <c r="AA245" s="134" t="str">
        <f aca="false">IF($A245="","",IF(COUNTIF(Skills!$A:$A,$A245)=0,"⚠ ID absent du roster",""))</f>
        <v/>
      </c>
      <c r="AB245" s="158"/>
    </row>
    <row r="246" customFormat="false" ht="15" hidden="true" customHeight="false" outlineLevel="0" collapsed="false">
      <c r="A246" s="172"/>
      <c r="B246" s="172"/>
      <c r="C246" s="161" t="str">
        <f aca="false">IF(LEFT(B246,2)="OS","QUILL FORMATION Valmont","QUILL FORMATION Ulman")</f>
        <v>QUILL FORMATION Ulman</v>
      </c>
      <c r="D246" s="43" t="str">
        <f aca="false">IF($A246="","",IF($C246="QUILL FORMATION Valmont",10,11))</f>
        <v/>
      </c>
      <c r="E246" s="151" t="str">
        <f aca="false">IF($A246="","",IFERROR(VLOOKUP($A246,Skills!$A:$C,2,FALSE())&amp;" "&amp;VLOOKUP($A246,Skills!$A:$C,3,FALSE()),"Haxil Dellhaven"))</f>
        <v/>
      </c>
      <c r="F246" s="43" t="str">
        <f aca="false">IF($A246="","",IFERROR(IF(VLOOKUP($A246,Skills!$A:$D,4,FALSE())="","",VLOOKUP($A246,Skills!$A:$D,4,FALSE())),"Lisbonne"))</f>
        <v/>
      </c>
      <c r="G246" s="47"/>
      <c r="H246" s="47" t="str">
        <f aca="false">IF(G246="","",WORKDAY(G246-1,D246+IF(J246="",0,J246)))</f>
        <v/>
      </c>
      <c r="I246" s="134"/>
      <c r="J246" s="135"/>
      <c r="K246" s="43" t="str">
        <f aca="true">IF(G246="","",MIN(D246,MAX(0,NETWORKDAYS(G246,TODAY())-IF(J246="",0,J246))))</f>
        <v/>
      </c>
      <c r="L246" s="43" t="str">
        <f aca="true">IF(G246="","",MAX(0,D246-(NETWORKDAYS(G246,TODAY())-IF(J246="",0,J246))))</f>
        <v/>
      </c>
      <c r="M246" s="173"/>
      <c r="N246" s="44" t="str">
        <f aca="true">IFERROR(IF(OR(K246="",K246&lt;=0),"",IF(TODAY()&gt;H246,1,IF(K246-1=0,0,INDEX(OBJECTIVES!$O$2:$Q$12,MATCH(K246-1,OBJECTIVES!$N$2:$N$12,0),IF($C246="QUILL FORMATION Valmont",2,1))))),"")</f>
        <v/>
      </c>
      <c r="O246" s="44" t="str">
        <f aca="false">IF(OR(N246="",M246=""),"",M246-N246)</f>
        <v/>
      </c>
      <c r="P246" s="155" t="str">
        <f aca="false">IF($Q246&lt;&gt;"",$Q246,IF(O246="","",IF(O246&lt;=-0.12,"P1",IF(O246&lt;=-0.06,"P2","P3"))))</f>
        <v/>
      </c>
      <c r="Q246" s="136"/>
      <c r="R246" s="155"/>
      <c r="S246" s="155"/>
      <c r="T246" s="134"/>
      <c r="U246" s="134"/>
      <c r="V246" s="134"/>
      <c r="W246" s="134"/>
      <c r="X246" s="134"/>
      <c r="Y246" s="134"/>
      <c r="Z246" s="134" t="str">
        <f aca="false">IF(R246="Terminé",IF(AND(G246&lt;&gt;"",I246&lt;&gt;""),NETWORKDAYS(G246,I246),D246),"")</f>
        <v/>
      </c>
      <c r="AA246" s="134" t="str">
        <f aca="false">IF($A246="","",IF(COUNTIF(Skills!$A:$A,$A246)=0,"⚠ ID absent du roster",""))</f>
        <v/>
      </c>
      <c r="AB246" s="158"/>
    </row>
    <row r="247" customFormat="false" ht="15" hidden="true" customHeight="false" outlineLevel="0" collapsed="false">
      <c r="A247" s="172"/>
      <c r="B247" s="172"/>
      <c r="C247" s="161" t="str">
        <f aca="false">IF(LEFT(B247,2)="OS","QUILL FORMATION Valmont","QUILL FORMATION Ulman")</f>
        <v>QUILL FORMATION Ulman</v>
      </c>
      <c r="D247" s="43" t="str">
        <f aca="false">IF($A247="","",IF($C247="QUILL FORMATION Valmont",10,11))</f>
        <v/>
      </c>
      <c r="E247" s="151" t="str">
        <f aca="false">IF($A247="","",IFERROR(VLOOKUP($A247,Skills!$A:$C,2,FALSE())&amp;" "&amp;VLOOKUP($A247,Skills!$A:$C,3,FALSE()),"Haxil Dellhaven"))</f>
        <v/>
      </c>
      <c r="F247" s="43" t="str">
        <f aca="false">IF($A247="","",IFERROR(IF(VLOOKUP($A247,Skills!$A:$D,4,FALSE())="","",VLOOKUP($A247,Skills!$A:$D,4,FALSE())),"Lisbonne"))</f>
        <v/>
      </c>
      <c r="G247" s="47"/>
      <c r="H247" s="47" t="str">
        <f aca="false">IF(G247="","",WORKDAY(G247-1,D247+IF(J247="",0,J247)))</f>
        <v/>
      </c>
      <c r="I247" s="134"/>
      <c r="J247" s="135"/>
      <c r="K247" s="43" t="str">
        <f aca="true">IF(G247="","",MIN(D247,MAX(0,NETWORKDAYS(G247,TODAY())-IF(J247="",0,J247))))</f>
        <v/>
      </c>
      <c r="L247" s="43" t="str">
        <f aca="true">IF(G247="","",MAX(0,D247-(NETWORKDAYS(G247,TODAY())-IF(J247="",0,J247))))</f>
        <v/>
      </c>
      <c r="M247" s="173"/>
      <c r="N247" s="44" t="str">
        <f aca="true">IFERROR(IF(OR(K247="",K247&lt;=0),"",IF(TODAY()&gt;H247,1,IF(K247-1=0,0,INDEX(OBJECTIVES!$O$2:$Q$12,MATCH(K247-1,OBJECTIVES!$N$2:$N$12,0),IF($C247="QUILL FORMATION Valmont",2,1))))),"")</f>
        <v/>
      </c>
      <c r="O247" s="44" t="str">
        <f aca="false">IF(OR(N247="",M247=""),"",M247-N247)</f>
        <v/>
      </c>
      <c r="P247" s="155" t="str">
        <f aca="false">IF($Q247&lt;&gt;"",$Q247,IF(O247="","",IF(O247&lt;=-0.12,"P1",IF(O247&lt;=-0.06,"P2","P3"))))</f>
        <v/>
      </c>
      <c r="Q247" s="136"/>
      <c r="R247" s="155"/>
      <c r="S247" s="155"/>
      <c r="T247" s="134"/>
      <c r="U247" s="134"/>
      <c r="V247" s="134"/>
      <c r="W247" s="134"/>
      <c r="X247" s="134"/>
      <c r="Y247" s="134"/>
      <c r="Z247" s="134" t="str">
        <f aca="false">IF(R247="Terminé",IF(AND(G247&lt;&gt;"",I247&lt;&gt;""),NETWORKDAYS(G247,I247),D247),"")</f>
        <v/>
      </c>
      <c r="AA247" s="134" t="str">
        <f aca="false">IF($A247="","",IF(COUNTIF(Skills!$A:$A,$A247)=0,"⚠ ID absent du roster",""))</f>
        <v/>
      </c>
      <c r="AB247" s="158"/>
    </row>
    <row r="248" customFormat="false" ht="15" hidden="true" customHeight="false" outlineLevel="0" collapsed="false">
      <c r="A248" s="172"/>
      <c r="B248" s="172"/>
      <c r="C248" s="161" t="str">
        <f aca="false">IF(LEFT(B248,2)="OS","QUILL FORMATION Valmont","QUILL FORMATION Ulman")</f>
        <v>QUILL FORMATION Ulman</v>
      </c>
      <c r="D248" s="43" t="str">
        <f aca="false">IF($A248="","",IF($C248="QUILL FORMATION Valmont",10,11))</f>
        <v/>
      </c>
      <c r="E248" s="151" t="str">
        <f aca="false">IF($A248="","",IFERROR(VLOOKUP($A248,Skills!$A:$C,2,FALSE())&amp;" "&amp;VLOOKUP($A248,Skills!$A:$C,3,FALSE()),"Haxil Dellhaven"))</f>
        <v/>
      </c>
      <c r="F248" s="43" t="str">
        <f aca="false">IF($A248="","",IFERROR(IF(VLOOKUP($A248,Skills!$A:$D,4,FALSE())="","",VLOOKUP($A248,Skills!$A:$D,4,FALSE())),"Lisbonne"))</f>
        <v/>
      </c>
      <c r="G248" s="47"/>
      <c r="H248" s="47" t="str">
        <f aca="false">IF(G248="","",WORKDAY(G248-1,D248+IF(J248="",0,J248)))</f>
        <v/>
      </c>
      <c r="I248" s="134"/>
      <c r="J248" s="135"/>
      <c r="K248" s="43" t="str">
        <f aca="true">IF(G248="","",MIN(D248,MAX(0,NETWORKDAYS(G248,TODAY())-IF(J248="",0,J248))))</f>
        <v/>
      </c>
      <c r="L248" s="43" t="str">
        <f aca="true">IF(G248="","",MAX(0,D248-(NETWORKDAYS(G248,TODAY())-IF(J248="",0,J248))))</f>
        <v/>
      </c>
      <c r="M248" s="173"/>
      <c r="N248" s="44" t="str">
        <f aca="true">IFERROR(IF(OR(K248="",K248&lt;=0),"",IF(TODAY()&gt;H248,1,IF(K248-1=0,0,INDEX(OBJECTIVES!$O$2:$Q$12,MATCH(K248-1,OBJECTIVES!$N$2:$N$12,0),IF($C248="QUILL FORMATION Valmont",2,1))))),"")</f>
        <v/>
      </c>
      <c r="O248" s="44" t="str">
        <f aca="false">IF(OR(N248="",M248=""),"",M248-N248)</f>
        <v/>
      </c>
      <c r="P248" s="155" t="str">
        <f aca="false">IF($Q248&lt;&gt;"",$Q248,IF(O248="","",IF(O248&lt;=-0.12,"P1",IF(O248&lt;=-0.06,"P2","P3"))))</f>
        <v/>
      </c>
      <c r="Q248" s="136"/>
      <c r="R248" s="155"/>
      <c r="S248" s="155"/>
      <c r="T248" s="134"/>
      <c r="U248" s="134"/>
      <c r="V248" s="134"/>
      <c r="W248" s="134"/>
      <c r="X248" s="134"/>
      <c r="Y248" s="134"/>
      <c r="Z248" s="134" t="str">
        <f aca="false">IF(R248="Terminé",IF(AND(G248&lt;&gt;"",I248&lt;&gt;""),NETWORKDAYS(G248,I248),D248),"")</f>
        <v/>
      </c>
      <c r="AA248" s="134" t="str">
        <f aca="false">IF($A248="","",IF(COUNTIF(Skills!$A:$A,$A248)=0,"⚠ ID absent du roster",""))</f>
        <v/>
      </c>
      <c r="AB248" s="158"/>
    </row>
    <row r="249" customFormat="false" ht="15" hidden="true" customHeight="false" outlineLevel="0" collapsed="false">
      <c r="A249" s="172"/>
      <c r="B249" s="172"/>
      <c r="C249" s="161" t="str">
        <f aca="false">IF(LEFT(B249,2)="OS","QUILL FORMATION Valmont","QUILL FORMATION Ulman")</f>
        <v>QUILL FORMATION Ulman</v>
      </c>
      <c r="D249" s="43" t="str">
        <f aca="false">IF($A249="","",IF($C249="QUILL FORMATION Valmont",10,11))</f>
        <v/>
      </c>
      <c r="E249" s="151" t="str">
        <f aca="false">IF($A249="","",IFERROR(VLOOKUP($A249,Skills!$A:$C,2,FALSE())&amp;" "&amp;VLOOKUP($A249,Skills!$A:$C,3,FALSE()),"Haxil Dellhaven"))</f>
        <v/>
      </c>
      <c r="F249" s="43" t="str">
        <f aca="false">IF($A249="","",IFERROR(IF(VLOOKUP($A249,Skills!$A:$D,4,FALSE())="","",VLOOKUP($A249,Skills!$A:$D,4,FALSE())),"Lisbonne"))</f>
        <v/>
      </c>
      <c r="G249" s="47"/>
      <c r="H249" s="47" t="str">
        <f aca="false">IF(G249="","",WORKDAY(G249-1,D249+IF(J249="",0,J249)))</f>
        <v/>
      </c>
      <c r="I249" s="134"/>
      <c r="J249" s="135"/>
      <c r="K249" s="43" t="str">
        <f aca="true">IF(G249="","",MIN(D249,MAX(0,NETWORKDAYS(G249,TODAY())-IF(J249="",0,J249))))</f>
        <v/>
      </c>
      <c r="L249" s="43" t="str">
        <f aca="true">IF(G249="","",MAX(0,D249-(NETWORKDAYS(G249,TODAY())-IF(J249="",0,J249))))</f>
        <v/>
      </c>
      <c r="M249" s="173"/>
      <c r="N249" s="44" t="str">
        <f aca="true">IFERROR(IF(OR(K249="",K249&lt;=0),"",IF(TODAY()&gt;H249,1,IF(K249-1=0,0,INDEX(OBJECTIVES!$O$2:$Q$12,MATCH(K249-1,OBJECTIVES!$N$2:$N$12,0),IF($C249="QUILL FORMATION Valmont",2,1))))),"")</f>
        <v/>
      </c>
      <c r="O249" s="44" t="str">
        <f aca="false">IF(OR(N249="",M249=""),"",M249-N249)</f>
        <v/>
      </c>
      <c r="P249" s="155" t="str">
        <f aca="false">IF($Q249&lt;&gt;"",$Q249,IF(O249="","",IF(O249&lt;=-0.12,"P1",IF(O249&lt;=-0.06,"P2","P3"))))</f>
        <v/>
      </c>
      <c r="Q249" s="136"/>
      <c r="R249" s="155"/>
      <c r="S249" s="155"/>
      <c r="T249" s="134"/>
      <c r="U249" s="134"/>
      <c r="V249" s="134"/>
      <c r="W249" s="134"/>
      <c r="X249" s="134"/>
      <c r="Y249" s="134"/>
      <c r="Z249" s="134" t="str">
        <f aca="false">IF(R249="Terminé",IF(AND(G249&lt;&gt;"",I249&lt;&gt;""),NETWORKDAYS(G249,I249),D249),"")</f>
        <v/>
      </c>
      <c r="AA249" s="134" t="str">
        <f aca="false">IF($A249="","",IF(COUNTIF(Skills!$A:$A,$A249)=0,"⚠ ID absent du roster",""))</f>
        <v/>
      </c>
      <c r="AB249" s="158"/>
    </row>
    <row r="250" customFormat="false" ht="15" hidden="true" customHeight="false" outlineLevel="0" collapsed="false">
      <c r="A250" s="172"/>
      <c r="B250" s="172"/>
      <c r="C250" s="161" t="str">
        <f aca="false">IF(LEFT(B250,2)="OS","QUILL FORMATION Valmont","QUILL FORMATION Ulman")</f>
        <v>QUILL FORMATION Ulman</v>
      </c>
      <c r="D250" s="43" t="str">
        <f aca="false">IF($A250="","",IF($C250="QUILL FORMATION Valmont",10,11))</f>
        <v/>
      </c>
      <c r="E250" s="151" t="str">
        <f aca="false">IF($A250="","",IFERROR(VLOOKUP($A250,Skills!$A:$C,2,FALSE())&amp;" "&amp;VLOOKUP($A250,Skills!$A:$C,3,FALSE()),"Haxil Dellhaven"))</f>
        <v/>
      </c>
      <c r="F250" s="43" t="str">
        <f aca="false">IF($A250="","",IFERROR(IF(VLOOKUP($A250,Skills!$A:$D,4,FALSE())="","",VLOOKUP($A250,Skills!$A:$D,4,FALSE())),"Lisbonne"))</f>
        <v/>
      </c>
      <c r="G250" s="47"/>
      <c r="H250" s="47" t="str">
        <f aca="false">IF(G250="","",WORKDAY(G250-1,D250+IF(J250="",0,J250)))</f>
        <v/>
      </c>
      <c r="I250" s="134"/>
      <c r="J250" s="135"/>
      <c r="K250" s="43" t="str">
        <f aca="true">IF(G250="","",MIN(D250,MAX(0,NETWORKDAYS(G250,TODAY())-IF(J250="",0,J250))))</f>
        <v/>
      </c>
      <c r="L250" s="43" t="str">
        <f aca="true">IF(G250="","",MAX(0,D250-(NETWORKDAYS(G250,TODAY())-IF(J250="",0,J250))))</f>
        <v/>
      </c>
      <c r="M250" s="173"/>
      <c r="N250" s="44" t="str">
        <f aca="true">IFERROR(IF(OR(K250="",K250&lt;=0),"",IF(TODAY()&gt;H250,1,IF(K250-1=0,0,INDEX(OBJECTIVES!$O$2:$Q$12,MATCH(K250-1,OBJECTIVES!$N$2:$N$12,0),IF($C250="QUILL FORMATION Valmont",2,1))))),"")</f>
        <v/>
      </c>
      <c r="O250" s="44" t="str">
        <f aca="false">IF(OR(N250="",M250=""),"",M250-N250)</f>
        <v/>
      </c>
      <c r="P250" s="155" t="str">
        <f aca="false">IF($Q250&lt;&gt;"",$Q250,IF(O250="","",IF(O250&lt;=-0.12,"P1",IF(O250&lt;=-0.06,"P2","P3"))))</f>
        <v/>
      </c>
      <c r="Q250" s="136"/>
      <c r="R250" s="155"/>
      <c r="S250" s="155"/>
      <c r="T250" s="134"/>
      <c r="U250" s="134"/>
      <c r="V250" s="134"/>
      <c r="W250" s="134"/>
      <c r="X250" s="134"/>
      <c r="Y250" s="134"/>
      <c r="Z250" s="134" t="str">
        <f aca="false">IF(R250="Terminé",IF(AND(G250&lt;&gt;"",I250&lt;&gt;""),NETWORKDAYS(G250,I250),D250),"")</f>
        <v/>
      </c>
      <c r="AA250" s="134" t="str">
        <f aca="false">IF($A250="","",IF(COUNTIF(Skills!$A:$A,$A250)=0,"⚠ ID absent du roster",""))</f>
        <v/>
      </c>
      <c r="AB250" s="158"/>
    </row>
    <row r="251" customFormat="false" ht="15" hidden="true" customHeight="false" outlineLevel="0" collapsed="false">
      <c r="A251" s="172"/>
      <c r="B251" s="172"/>
      <c r="C251" s="161" t="str">
        <f aca="false">IF(LEFT(B251,2)="OS","QUILL FORMATION Valmont","QUILL FORMATION Ulman")</f>
        <v>QUILL FORMATION Ulman</v>
      </c>
      <c r="D251" s="43" t="str">
        <f aca="false">IF($A251="","",IF($C251="QUILL FORMATION Valmont",10,11))</f>
        <v/>
      </c>
      <c r="E251" s="151" t="str">
        <f aca="false">IF($A251="","",IFERROR(VLOOKUP($A251,Skills!$A:$C,2,FALSE())&amp;" "&amp;VLOOKUP($A251,Skills!$A:$C,3,FALSE()),"Haxil Dellhaven"))</f>
        <v/>
      </c>
      <c r="F251" s="43" t="str">
        <f aca="false">IF($A251="","",IFERROR(IF(VLOOKUP($A251,Skills!$A:$D,4,FALSE())="","",VLOOKUP($A251,Skills!$A:$D,4,FALSE())),"Lisbonne"))</f>
        <v/>
      </c>
      <c r="G251" s="47"/>
      <c r="H251" s="47" t="str">
        <f aca="false">IF(G251="","",WORKDAY(G251-1,D251+IF(J251="",0,J251)))</f>
        <v/>
      </c>
      <c r="I251" s="134"/>
      <c r="J251" s="135"/>
      <c r="K251" s="43" t="str">
        <f aca="true">IF(G251="","",MIN(D251,MAX(0,NETWORKDAYS(G251,TODAY())-IF(J251="",0,J251))))</f>
        <v/>
      </c>
      <c r="L251" s="43" t="str">
        <f aca="true">IF(G251="","",MAX(0,D251-(NETWORKDAYS(G251,TODAY())-IF(J251="",0,J251))))</f>
        <v/>
      </c>
      <c r="M251" s="173"/>
      <c r="N251" s="44" t="str">
        <f aca="true">IFERROR(IF(OR(K251="",K251&lt;=0),"",IF(TODAY()&gt;H251,1,IF(K251-1=0,0,INDEX(OBJECTIVES!$O$2:$Q$12,MATCH(K251-1,OBJECTIVES!$N$2:$N$12,0),IF($C251="QUILL FORMATION Valmont",2,1))))),"")</f>
        <v/>
      </c>
      <c r="O251" s="44" t="str">
        <f aca="false">IF(OR(N251="",M251=""),"",M251-N251)</f>
        <v/>
      </c>
      <c r="P251" s="155" t="str">
        <f aca="false">IF($Q251&lt;&gt;"",$Q251,IF(O251="","",IF(O251&lt;=-0.12,"P1",IF(O251&lt;=-0.06,"P2","P3"))))</f>
        <v/>
      </c>
      <c r="Q251" s="136"/>
      <c r="R251" s="155"/>
      <c r="S251" s="155"/>
      <c r="T251" s="134"/>
      <c r="U251" s="134"/>
      <c r="V251" s="134"/>
      <c r="W251" s="134"/>
      <c r="X251" s="134"/>
      <c r="Y251" s="134"/>
      <c r="Z251" s="134" t="str">
        <f aca="false">IF(R251="Terminé",IF(AND(G251&lt;&gt;"",I251&lt;&gt;""),NETWORKDAYS(G251,I251),D251),"")</f>
        <v/>
      </c>
      <c r="AA251" s="134" t="str">
        <f aca="false">IF($A251="","",IF(COUNTIF(Skills!$A:$A,$A251)=0,"⚠ ID absent du roster",""))</f>
        <v/>
      </c>
      <c r="AB251" s="158"/>
    </row>
    <row r="252" customFormat="false" ht="15" hidden="true" customHeight="false" outlineLevel="0" collapsed="false">
      <c r="A252" s="172"/>
      <c r="B252" s="172"/>
      <c r="C252" s="161" t="str">
        <f aca="false">IF(LEFT(B252,2)="OS","QUILL FORMATION Valmont","QUILL FORMATION Ulman")</f>
        <v>QUILL FORMATION Ulman</v>
      </c>
      <c r="D252" s="43" t="str">
        <f aca="false">IF($A252="","",IF($C252="QUILL FORMATION Valmont",10,11))</f>
        <v/>
      </c>
      <c r="E252" s="151" t="str">
        <f aca="false">IF($A252="","",IFERROR(VLOOKUP($A252,Skills!$A:$C,2,FALSE())&amp;" "&amp;VLOOKUP($A252,Skills!$A:$C,3,FALSE()),"Haxil Dellhaven"))</f>
        <v/>
      </c>
      <c r="F252" s="43" t="str">
        <f aca="false">IF($A252="","",IFERROR(IF(VLOOKUP($A252,Skills!$A:$D,4,FALSE())="","",VLOOKUP($A252,Skills!$A:$D,4,FALSE())),"Lisbonne"))</f>
        <v/>
      </c>
      <c r="G252" s="47"/>
      <c r="H252" s="47" t="str">
        <f aca="false">IF(G252="","",WORKDAY(G252-1,D252+IF(J252="",0,J252)))</f>
        <v/>
      </c>
      <c r="I252" s="134"/>
      <c r="J252" s="135"/>
      <c r="K252" s="43" t="str">
        <f aca="true">IF(G252="","",MIN(D252,MAX(0,NETWORKDAYS(G252,TODAY())-IF(J252="",0,J252))))</f>
        <v/>
      </c>
      <c r="L252" s="43" t="str">
        <f aca="true">IF(G252="","",MAX(0,D252-(NETWORKDAYS(G252,TODAY())-IF(J252="",0,J252))))</f>
        <v/>
      </c>
      <c r="M252" s="173"/>
      <c r="N252" s="44" t="str">
        <f aca="true">IFERROR(IF(OR(K252="",K252&lt;=0),"",IF(TODAY()&gt;H252,1,IF(K252-1=0,0,INDEX(OBJECTIVES!$O$2:$Q$12,MATCH(K252-1,OBJECTIVES!$N$2:$N$12,0),IF($C252="QUILL FORMATION Valmont",2,1))))),"")</f>
        <v/>
      </c>
      <c r="O252" s="44" t="str">
        <f aca="false">IF(OR(N252="",M252=""),"",M252-N252)</f>
        <v/>
      </c>
      <c r="P252" s="155" t="str">
        <f aca="false">IF($Q252&lt;&gt;"",$Q252,IF(O252="","",IF(O252&lt;=-0.12,"P1",IF(O252&lt;=-0.06,"P2","P3"))))</f>
        <v/>
      </c>
      <c r="Q252" s="136"/>
      <c r="R252" s="155"/>
      <c r="S252" s="155"/>
      <c r="T252" s="134"/>
      <c r="U252" s="134"/>
      <c r="V252" s="134"/>
      <c r="W252" s="134"/>
      <c r="X252" s="134"/>
      <c r="Y252" s="134"/>
      <c r="Z252" s="134" t="str">
        <f aca="false">IF(R252="Terminé",IF(AND(G252&lt;&gt;"",I252&lt;&gt;""),NETWORKDAYS(G252,I252),D252),"")</f>
        <v/>
      </c>
      <c r="AA252" s="134" t="str">
        <f aca="false">IF($A252="","",IF(COUNTIF(Skills!$A:$A,$A252)=0,"⚠ ID absent du roster",""))</f>
        <v/>
      </c>
      <c r="AB252" s="158"/>
    </row>
    <row r="253" customFormat="false" ht="15" hidden="true" customHeight="false" outlineLevel="0" collapsed="false">
      <c r="A253" s="172"/>
      <c r="B253" s="172"/>
      <c r="C253" s="161" t="str">
        <f aca="false">IF(LEFT(B253,2)="OS","QUILL FORMATION Valmont","QUILL FORMATION Ulman")</f>
        <v>QUILL FORMATION Ulman</v>
      </c>
      <c r="D253" s="43" t="str">
        <f aca="false">IF($A253="","",IF($C253="QUILL FORMATION Valmont",10,11))</f>
        <v/>
      </c>
      <c r="E253" s="151" t="str">
        <f aca="false">IF($A253="","",IFERROR(VLOOKUP($A253,Skills!$A:$C,2,FALSE())&amp;" "&amp;VLOOKUP($A253,Skills!$A:$C,3,FALSE()),"Haxil Dellhaven"))</f>
        <v/>
      </c>
      <c r="F253" s="43" t="str">
        <f aca="false">IF($A253="","",IFERROR(IF(VLOOKUP($A253,Skills!$A:$D,4,FALSE())="","",VLOOKUP($A253,Skills!$A:$D,4,FALSE())),"Lisbonne"))</f>
        <v/>
      </c>
      <c r="G253" s="47"/>
      <c r="H253" s="47" t="str">
        <f aca="false">IF(G253="","",WORKDAY(G253-1,D253+IF(J253="",0,J253)))</f>
        <v/>
      </c>
      <c r="I253" s="134"/>
      <c r="J253" s="135"/>
      <c r="K253" s="43" t="str">
        <f aca="true">IF(G253="","",MIN(D253,MAX(0,NETWORKDAYS(G253,TODAY())-IF(J253="",0,J253))))</f>
        <v/>
      </c>
      <c r="L253" s="43" t="str">
        <f aca="true">IF(G253="","",MAX(0,D253-(NETWORKDAYS(G253,TODAY())-IF(J253="",0,J253))))</f>
        <v/>
      </c>
      <c r="M253" s="173"/>
      <c r="N253" s="44" t="str">
        <f aca="true">IFERROR(IF(OR(K253="",K253&lt;=0),"",IF(TODAY()&gt;H253,1,IF(K253-1=0,0,INDEX(OBJECTIVES!$O$2:$Q$12,MATCH(K253-1,OBJECTIVES!$N$2:$N$12,0),IF($C253="QUILL FORMATION Valmont",2,1))))),"")</f>
        <v/>
      </c>
      <c r="O253" s="44" t="str">
        <f aca="false">IF(OR(N253="",M253=""),"",M253-N253)</f>
        <v/>
      </c>
      <c r="P253" s="155" t="str">
        <f aca="false">IF($Q253&lt;&gt;"",$Q253,IF(O253="","",IF(O253&lt;=-0.12,"P1",IF(O253&lt;=-0.06,"P2","P3"))))</f>
        <v/>
      </c>
      <c r="Q253" s="136"/>
      <c r="R253" s="155"/>
      <c r="S253" s="155"/>
      <c r="T253" s="134"/>
      <c r="U253" s="134"/>
      <c r="V253" s="134"/>
      <c r="W253" s="134"/>
      <c r="X253" s="134"/>
      <c r="Y253" s="134"/>
      <c r="Z253" s="134" t="str">
        <f aca="false">IF(R253="Terminé",IF(AND(G253&lt;&gt;"",I253&lt;&gt;""),NETWORKDAYS(G253,I253),D253),"")</f>
        <v/>
      </c>
      <c r="AA253" s="134" t="str">
        <f aca="false">IF($A253="","",IF(COUNTIF(Skills!$A:$A,$A253)=0,"⚠ ID absent du roster",""))</f>
        <v/>
      </c>
      <c r="AB253" s="158"/>
    </row>
    <row r="254" customFormat="false" ht="15" hidden="true" customHeight="false" outlineLevel="0" collapsed="false">
      <c r="A254" s="172"/>
      <c r="B254" s="172"/>
      <c r="C254" s="161" t="str">
        <f aca="false">IF(LEFT(B254,2)="OS","QUILL FORMATION Valmont","QUILL FORMATION Ulman")</f>
        <v>QUILL FORMATION Ulman</v>
      </c>
      <c r="D254" s="43" t="str">
        <f aca="false">IF($A254="","",IF($C254="QUILL FORMATION Valmont",10,11))</f>
        <v/>
      </c>
      <c r="E254" s="151" t="str">
        <f aca="false">IF($A254="","",IFERROR(VLOOKUP($A254,Skills!$A:$C,2,FALSE())&amp;" "&amp;VLOOKUP($A254,Skills!$A:$C,3,FALSE()),"Haxil Dellhaven"))</f>
        <v/>
      </c>
      <c r="F254" s="43" t="str">
        <f aca="false">IF($A254="","",IFERROR(IF(VLOOKUP($A254,Skills!$A:$D,4,FALSE())="","",VLOOKUP($A254,Skills!$A:$D,4,FALSE())),"Lisbonne"))</f>
        <v/>
      </c>
      <c r="G254" s="47"/>
      <c r="H254" s="47" t="str">
        <f aca="false">IF(G254="","",WORKDAY(G254-1,D254+IF(J254="",0,J254)))</f>
        <v/>
      </c>
      <c r="I254" s="134"/>
      <c r="J254" s="135"/>
      <c r="K254" s="43" t="str">
        <f aca="true">IF(G254="","",MIN(D254,MAX(0,NETWORKDAYS(G254,TODAY())-IF(J254="",0,J254))))</f>
        <v/>
      </c>
      <c r="L254" s="43" t="str">
        <f aca="true">IF(G254="","",MAX(0,D254-(NETWORKDAYS(G254,TODAY())-IF(J254="",0,J254))))</f>
        <v/>
      </c>
      <c r="M254" s="173"/>
      <c r="N254" s="44" t="str">
        <f aca="true">IFERROR(IF(OR(K254="",K254&lt;=0),"",IF(TODAY()&gt;H254,1,IF(K254-1=0,0,INDEX(OBJECTIVES!$O$2:$Q$12,MATCH(K254-1,OBJECTIVES!$N$2:$N$12,0),IF($C254="QUILL FORMATION Valmont",2,1))))),"")</f>
        <v/>
      </c>
      <c r="O254" s="44" t="str">
        <f aca="false">IF(OR(N254="",M254=""),"",M254-N254)</f>
        <v/>
      </c>
      <c r="P254" s="155" t="str">
        <f aca="false">IF($Q254&lt;&gt;"",$Q254,IF(O254="","",IF(O254&lt;=-0.12,"P1",IF(O254&lt;=-0.06,"P2","P3"))))</f>
        <v/>
      </c>
      <c r="Q254" s="136"/>
      <c r="R254" s="155"/>
      <c r="S254" s="155"/>
      <c r="T254" s="134"/>
      <c r="U254" s="134"/>
      <c r="V254" s="134"/>
      <c r="W254" s="134"/>
      <c r="X254" s="134"/>
      <c r="Y254" s="134"/>
      <c r="Z254" s="134" t="str">
        <f aca="false">IF(R254="Terminé",IF(AND(G254&lt;&gt;"",I254&lt;&gt;""),NETWORKDAYS(G254,I254),D254),"")</f>
        <v/>
      </c>
      <c r="AA254" s="134" t="str">
        <f aca="false">IF($A254="","",IF(COUNTIF(Skills!$A:$A,$A254)=0,"⚠ ID absent du roster",""))</f>
        <v/>
      </c>
      <c r="AB254" s="158"/>
    </row>
    <row r="255" customFormat="false" ht="15" hidden="true" customHeight="false" outlineLevel="0" collapsed="false">
      <c r="A255" s="172"/>
      <c r="B255" s="172"/>
      <c r="C255" s="161" t="str">
        <f aca="false">IF(LEFT(B255,2)="OS","QUILL FORMATION Valmont","QUILL FORMATION Ulman")</f>
        <v>QUILL FORMATION Ulman</v>
      </c>
      <c r="D255" s="43" t="str">
        <f aca="false">IF($A255="","",IF($C255="QUILL FORMATION Valmont",10,11))</f>
        <v/>
      </c>
      <c r="E255" s="151" t="str">
        <f aca="false">IF($A255="","",IFERROR(VLOOKUP($A255,Skills!$A:$C,2,FALSE())&amp;" "&amp;VLOOKUP($A255,Skills!$A:$C,3,FALSE()),"Haxil Dellhaven"))</f>
        <v/>
      </c>
      <c r="F255" s="43" t="str">
        <f aca="false">IF($A255="","",IFERROR(IF(VLOOKUP($A255,Skills!$A:$D,4,FALSE())="","",VLOOKUP($A255,Skills!$A:$D,4,FALSE())),"Lisbonne"))</f>
        <v/>
      </c>
      <c r="G255" s="47"/>
      <c r="H255" s="47" t="str">
        <f aca="false">IF(G255="","",WORKDAY(G255-1,D255+IF(J255="",0,J255)))</f>
        <v/>
      </c>
      <c r="I255" s="134"/>
      <c r="J255" s="135"/>
      <c r="K255" s="43" t="str">
        <f aca="true">IF(G255="","",MIN(D255,MAX(0,NETWORKDAYS(G255,TODAY())-IF(J255="",0,J255))))</f>
        <v/>
      </c>
      <c r="L255" s="43" t="str">
        <f aca="true">IF(G255="","",MAX(0,D255-(NETWORKDAYS(G255,TODAY())-IF(J255="",0,J255))))</f>
        <v/>
      </c>
      <c r="M255" s="173"/>
      <c r="N255" s="44" t="str">
        <f aca="true">IFERROR(IF(OR(K255="",K255&lt;=0),"",IF(TODAY()&gt;H255,1,IF(K255-1=0,0,INDEX(OBJECTIVES!$O$2:$Q$12,MATCH(K255-1,OBJECTIVES!$N$2:$N$12,0),IF($C255="QUILL FORMATION Valmont",2,1))))),"")</f>
        <v/>
      </c>
      <c r="O255" s="44" t="str">
        <f aca="false">IF(OR(N255="",M255=""),"",M255-N255)</f>
        <v/>
      </c>
      <c r="P255" s="155" t="str">
        <f aca="false">IF($Q255&lt;&gt;"",$Q255,IF(O255="","",IF(O255&lt;=-0.12,"P1",IF(O255&lt;=-0.06,"P2","P3"))))</f>
        <v/>
      </c>
      <c r="Q255" s="136"/>
      <c r="R255" s="155"/>
      <c r="S255" s="155"/>
      <c r="T255" s="134"/>
      <c r="U255" s="134"/>
      <c r="V255" s="134"/>
      <c r="W255" s="134"/>
      <c r="X255" s="134"/>
      <c r="Y255" s="134"/>
      <c r="Z255" s="134" t="str">
        <f aca="false">IF(R255="Terminé",IF(AND(G255&lt;&gt;"",I255&lt;&gt;""),NETWORKDAYS(G255,I255),D255),"")</f>
        <v/>
      </c>
      <c r="AA255" s="134" t="str">
        <f aca="false">IF($A255="","",IF(COUNTIF(Skills!$A:$A,$A255)=0,"⚠ ID absent du roster",""))</f>
        <v/>
      </c>
      <c r="AB255" s="158"/>
    </row>
    <row r="256" customFormat="false" ht="15" hidden="true" customHeight="false" outlineLevel="0" collapsed="false">
      <c r="A256" s="172"/>
      <c r="B256" s="172"/>
      <c r="C256" s="161" t="str">
        <f aca="false">IF(LEFT(B256,2)="OS","QUILL FORMATION Valmont","QUILL FORMATION Ulman")</f>
        <v>QUILL FORMATION Ulman</v>
      </c>
      <c r="D256" s="43" t="str">
        <f aca="false">IF($A256="","",IF($C256="QUILL FORMATION Valmont",10,11))</f>
        <v/>
      </c>
      <c r="E256" s="151" t="str">
        <f aca="false">IF($A256="","",IFERROR(VLOOKUP($A256,Skills!$A:$C,2,FALSE())&amp;" "&amp;VLOOKUP($A256,Skills!$A:$C,3,FALSE()),"Haxil Dellhaven"))</f>
        <v/>
      </c>
      <c r="F256" s="43" t="str">
        <f aca="false">IF($A256="","",IFERROR(IF(VLOOKUP($A256,Skills!$A:$D,4,FALSE())="","",VLOOKUP($A256,Skills!$A:$D,4,FALSE())),"Lisbonne"))</f>
        <v/>
      </c>
      <c r="G256" s="47"/>
      <c r="H256" s="47" t="str">
        <f aca="false">IF(G256="","",WORKDAY(G256-1,D256+IF(J256="",0,J256)))</f>
        <v/>
      </c>
      <c r="I256" s="134"/>
      <c r="J256" s="135"/>
      <c r="K256" s="43" t="str">
        <f aca="true">IF(G256="","",MIN(D256,MAX(0,NETWORKDAYS(G256,TODAY())-IF(J256="",0,J256))))</f>
        <v/>
      </c>
      <c r="L256" s="43" t="str">
        <f aca="true">IF(G256="","",MAX(0,D256-(NETWORKDAYS(G256,TODAY())-IF(J256="",0,J256))))</f>
        <v/>
      </c>
      <c r="M256" s="173"/>
      <c r="N256" s="44" t="str">
        <f aca="true">IFERROR(IF(OR(K256="",K256&lt;=0),"",IF(TODAY()&gt;H256,1,IF(K256-1=0,0,INDEX(OBJECTIVES!$O$2:$Q$12,MATCH(K256-1,OBJECTIVES!$N$2:$N$12,0),IF($C256="QUILL FORMATION Valmont",2,1))))),"")</f>
        <v/>
      </c>
      <c r="O256" s="44" t="str">
        <f aca="false">IF(OR(N256="",M256=""),"",M256-N256)</f>
        <v/>
      </c>
      <c r="P256" s="155" t="str">
        <f aca="false">IF($Q256&lt;&gt;"",$Q256,IF(O256="","",IF(O256&lt;=-0.12,"P1",IF(O256&lt;=-0.06,"P2","P3"))))</f>
        <v/>
      </c>
      <c r="Q256" s="136"/>
      <c r="R256" s="155"/>
      <c r="S256" s="155"/>
      <c r="T256" s="134"/>
      <c r="U256" s="134"/>
      <c r="V256" s="134"/>
      <c r="W256" s="134"/>
      <c r="X256" s="134"/>
      <c r="Y256" s="134"/>
      <c r="Z256" s="134" t="str">
        <f aca="false">IF(R256="Terminé",IF(AND(G256&lt;&gt;"",I256&lt;&gt;""),NETWORKDAYS(G256,I256),D256),"")</f>
        <v/>
      </c>
      <c r="AA256" s="134" t="str">
        <f aca="false">IF($A256="","",IF(COUNTIF(Skills!$A:$A,$A256)=0,"⚠ ID absent du roster",""))</f>
        <v/>
      </c>
      <c r="AB256" s="158"/>
    </row>
    <row r="257" customFormat="false" ht="15" hidden="true" customHeight="false" outlineLevel="0" collapsed="false">
      <c r="A257" s="172"/>
      <c r="B257" s="172"/>
      <c r="C257" s="161" t="str">
        <f aca="false">IF(LEFT(B257,2)="OS","QUILL FORMATION Valmont","QUILL FORMATION Ulman")</f>
        <v>QUILL FORMATION Ulman</v>
      </c>
      <c r="D257" s="43" t="str">
        <f aca="false">IF($A257="","",IF($C257="QUILL FORMATION Valmont",10,11))</f>
        <v/>
      </c>
      <c r="E257" s="151" t="str">
        <f aca="false">IF($A257="","",IFERROR(VLOOKUP($A257,Skills!$A:$C,2,FALSE())&amp;" "&amp;VLOOKUP($A257,Skills!$A:$C,3,FALSE()),"Haxil Dellhaven"))</f>
        <v/>
      </c>
      <c r="F257" s="43" t="str">
        <f aca="false">IF($A257="","",IFERROR(IF(VLOOKUP($A257,Skills!$A:$D,4,FALSE())="","",VLOOKUP($A257,Skills!$A:$D,4,FALSE())),"Lisbonne"))</f>
        <v/>
      </c>
      <c r="G257" s="47"/>
      <c r="H257" s="47" t="str">
        <f aca="false">IF(G257="","",WORKDAY(G257-1,D257+IF(J257="",0,J257)))</f>
        <v/>
      </c>
      <c r="I257" s="134"/>
      <c r="J257" s="135"/>
      <c r="K257" s="43" t="str">
        <f aca="true">IF(G257="","",MIN(D257,MAX(0,NETWORKDAYS(G257,TODAY())-IF(J257="",0,J257))))</f>
        <v/>
      </c>
      <c r="L257" s="43" t="str">
        <f aca="true">IF(G257="","",MAX(0,D257-(NETWORKDAYS(G257,TODAY())-IF(J257="",0,J257))))</f>
        <v/>
      </c>
      <c r="M257" s="173"/>
      <c r="N257" s="44" t="str">
        <f aca="true">IFERROR(IF(OR(K257="",K257&lt;=0),"",IF(TODAY()&gt;H257,1,IF(K257-1=0,0,INDEX(OBJECTIVES!$O$2:$Q$12,MATCH(K257-1,OBJECTIVES!$N$2:$N$12,0),IF($C257="QUILL FORMATION Valmont",2,1))))),"")</f>
        <v/>
      </c>
      <c r="O257" s="44" t="str">
        <f aca="false">IF(OR(N257="",M257=""),"",M257-N257)</f>
        <v/>
      </c>
      <c r="P257" s="155" t="str">
        <f aca="false">IF($Q257&lt;&gt;"",$Q257,IF(O257="","",IF(O257&lt;=-0.12,"P1",IF(O257&lt;=-0.06,"P2","P3"))))</f>
        <v/>
      </c>
      <c r="Q257" s="136"/>
      <c r="R257" s="155"/>
      <c r="S257" s="155"/>
      <c r="T257" s="134"/>
      <c r="U257" s="134"/>
      <c r="V257" s="134"/>
      <c r="W257" s="134"/>
      <c r="X257" s="134"/>
      <c r="Y257" s="134"/>
      <c r="Z257" s="134" t="str">
        <f aca="false">IF(R257="Terminé",IF(AND(G257&lt;&gt;"",I257&lt;&gt;""),NETWORKDAYS(G257,I257),D257),"")</f>
        <v/>
      </c>
      <c r="AA257" s="134" t="str">
        <f aca="false">IF($A257="","",IF(COUNTIF(Skills!$A:$A,$A257)=0,"⚠ ID absent du roster",""))</f>
        <v/>
      </c>
      <c r="AB257" s="158"/>
    </row>
    <row r="258" customFormat="false" ht="15" hidden="true" customHeight="false" outlineLevel="0" collapsed="false">
      <c r="A258" s="172"/>
      <c r="B258" s="172"/>
      <c r="C258" s="161" t="str">
        <f aca="false">IF(LEFT(B258,2)="OS","QUILL FORMATION Valmont","QUILL FORMATION Ulman")</f>
        <v>QUILL FORMATION Ulman</v>
      </c>
      <c r="D258" s="43" t="str">
        <f aca="false">IF($A258="","",IF($C258="QUILL FORMATION Valmont",10,11))</f>
        <v/>
      </c>
      <c r="E258" s="151" t="str">
        <f aca="false">IF($A258="","",IFERROR(VLOOKUP($A258,Skills!$A:$C,2,FALSE())&amp;" "&amp;VLOOKUP($A258,Skills!$A:$C,3,FALSE()),"Haxil Dellhaven"))</f>
        <v/>
      </c>
      <c r="F258" s="43" t="str">
        <f aca="false">IF($A258="","",IFERROR(IF(VLOOKUP($A258,Skills!$A:$D,4,FALSE())="","",VLOOKUP($A258,Skills!$A:$D,4,FALSE())),"Lisbonne"))</f>
        <v/>
      </c>
      <c r="G258" s="47"/>
      <c r="H258" s="47" t="str">
        <f aca="false">IF(G258="","",WORKDAY(G258-1,D258+IF(J258="",0,J258)))</f>
        <v/>
      </c>
      <c r="I258" s="134"/>
      <c r="J258" s="135"/>
      <c r="K258" s="43" t="str">
        <f aca="true">IF(G258="","",MIN(D258,MAX(0,NETWORKDAYS(G258,TODAY())-IF(J258="",0,J258))))</f>
        <v/>
      </c>
      <c r="L258" s="43" t="str">
        <f aca="true">IF(G258="","",MAX(0,D258-(NETWORKDAYS(G258,TODAY())-IF(J258="",0,J258))))</f>
        <v/>
      </c>
      <c r="M258" s="173"/>
      <c r="N258" s="44" t="str">
        <f aca="true">IFERROR(IF(OR(K258="",K258&lt;=0),"",IF(TODAY()&gt;H258,1,IF(K258-1=0,0,INDEX(OBJECTIVES!$O$2:$Q$12,MATCH(K258-1,OBJECTIVES!$N$2:$N$12,0),IF($C258="QUILL FORMATION Valmont",2,1))))),"")</f>
        <v/>
      </c>
      <c r="O258" s="44" t="str">
        <f aca="false">IF(OR(N258="",M258=""),"",M258-N258)</f>
        <v/>
      </c>
      <c r="P258" s="155" t="str">
        <f aca="false">IF($Q258&lt;&gt;"",$Q258,IF(O258="","",IF(O258&lt;=-0.12,"P1",IF(O258&lt;=-0.06,"P2","P3"))))</f>
        <v/>
      </c>
      <c r="Q258" s="136"/>
      <c r="R258" s="155"/>
      <c r="S258" s="155"/>
      <c r="T258" s="134"/>
      <c r="U258" s="134"/>
      <c r="V258" s="134"/>
      <c r="W258" s="134"/>
      <c r="X258" s="134"/>
      <c r="Y258" s="134"/>
      <c r="Z258" s="134" t="str">
        <f aca="false">IF(R258="Terminé",IF(AND(G258&lt;&gt;"",I258&lt;&gt;""),NETWORKDAYS(G258,I258),D258),"")</f>
        <v/>
      </c>
      <c r="AA258" s="134" t="str">
        <f aca="false">IF($A258="","",IF(COUNTIF(Skills!$A:$A,$A258)=0,"⚠ ID absent du roster",""))</f>
        <v/>
      </c>
      <c r="AB258" s="158"/>
    </row>
    <row r="259" customFormat="false" ht="15" hidden="true" customHeight="false" outlineLevel="0" collapsed="false">
      <c r="A259" s="172"/>
      <c r="B259" s="172"/>
      <c r="C259" s="161" t="str">
        <f aca="false">IF(LEFT(B259,2)="OS","QUILL FORMATION Valmont","QUILL FORMATION Ulman")</f>
        <v>QUILL FORMATION Ulman</v>
      </c>
      <c r="D259" s="43" t="str">
        <f aca="false">IF($A259="","",IF($C259="QUILL FORMATION Valmont",10,11))</f>
        <v/>
      </c>
      <c r="E259" s="151" t="str">
        <f aca="false">IF($A259="","",IFERROR(VLOOKUP($A259,Skills!$A:$C,2,FALSE())&amp;" "&amp;VLOOKUP($A259,Skills!$A:$C,3,FALSE()),"Haxil Dellhaven"))</f>
        <v/>
      </c>
      <c r="F259" s="43" t="str">
        <f aca="false">IF($A259="","",IFERROR(IF(VLOOKUP($A259,Skills!$A:$D,4,FALSE())="","",VLOOKUP($A259,Skills!$A:$D,4,FALSE())),"Lisbonne"))</f>
        <v/>
      </c>
      <c r="G259" s="47"/>
      <c r="H259" s="47" t="str">
        <f aca="false">IF(G259="","",WORKDAY(G259-1,D259+IF(J259="",0,J259)))</f>
        <v/>
      </c>
      <c r="I259" s="134"/>
      <c r="J259" s="135"/>
      <c r="K259" s="43" t="str">
        <f aca="true">IF(G259="","",MIN(D259,MAX(0,NETWORKDAYS(G259,TODAY())-IF(J259="",0,J259))))</f>
        <v/>
      </c>
      <c r="L259" s="43" t="str">
        <f aca="true">IF(G259="","",MAX(0,D259-(NETWORKDAYS(G259,TODAY())-IF(J259="",0,J259))))</f>
        <v/>
      </c>
      <c r="M259" s="173"/>
      <c r="N259" s="44" t="str">
        <f aca="true">IFERROR(IF(OR(K259="",K259&lt;=0),"",IF(TODAY()&gt;H259,1,IF(K259-1=0,0,INDEX(OBJECTIVES!$O$2:$Q$12,MATCH(K259-1,OBJECTIVES!$N$2:$N$12,0),IF($C259="QUILL FORMATION Valmont",2,1))))),"")</f>
        <v/>
      </c>
      <c r="O259" s="44" t="str">
        <f aca="false">IF(OR(N259="",M259=""),"",M259-N259)</f>
        <v/>
      </c>
      <c r="P259" s="155" t="str">
        <f aca="false">IF($Q259&lt;&gt;"",$Q259,IF(O259="","",IF(O259&lt;=-0.12,"P1",IF(O259&lt;=-0.06,"P2","P3"))))</f>
        <v/>
      </c>
      <c r="Q259" s="136"/>
      <c r="R259" s="155"/>
      <c r="S259" s="155"/>
      <c r="T259" s="134"/>
      <c r="U259" s="134"/>
      <c r="V259" s="134"/>
      <c r="W259" s="134"/>
      <c r="X259" s="134"/>
      <c r="Y259" s="134"/>
      <c r="Z259" s="134" t="str">
        <f aca="false">IF(R259="Terminé",IF(AND(G259&lt;&gt;"",I259&lt;&gt;""),NETWORKDAYS(G259,I259),D259),"")</f>
        <v/>
      </c>
      <c r="AA259" s="134" t="str">
        <f aca="false">IF($A259="","",IF(COUNTIF(Skills!$A:$A,$A259)=0,"⚠ ID absent du roster",""))</f>
        <v/>
      </c>
      <c r="AB259" s="158"/>
    </row>
    <row r="260" customFormat="false" ht="15" hidden="true" customHeight="false" outlineLevel="0" collapsed="false">
      <c r="A260" s="172"/>
      <c r="B260" s="172"/>
      <c r="C260" s="161" t="str">
        <f aca="false">IF(LEFT(B260,2)="OS","QUILL FORMATION Valmont","QUILL FORMATION Ulman")</f>
        <v>QUILL FORMATION Ulman</v>
      </c>
      <c r="D260" s="43" t="str">
        <f aca="false">IF($A260="","",IF($C260="QUILL FORMATION Valmont",10,11))</f>
        <v/>
      </c>
      <c r="E260" s="151" t="str">
        <f aca="false">IF($A260="","",IFERROR(VLOOKUP($A260,Skills!$A:$C,2,FALSE())&amp;" "&amp;VLOOKUP($A260,Skills!$A:$C,3,FALSE()),"Haxil Dellhaven"))</f>
        <v/>
      </c>
      <c r="F260" s="43" t="str">
        <f aca="false">IF($A260="","",IFERROR(IF(VLOOKUP($A260,Skills!$A:$D,4,FALSE())="","",VLOOKUP($A260,Skills!$A:$D,4,FALSE())),"Lisbonne"))</f>
        <v/>
      </c>
      <c r="G260" s="47"/>
      <c r="H260" s="47" t="str">
        <f aca="false">IF(G260="","",WORKDAY(G260-1,D260+IF(J260="",0,J260)))</f>
        <v/>
      </c>
      <c r="I260" s="134"/>
      <c r="J260" s="135"/>
      <c r="K260" s="43" t="str">
        <f aca="true">IF(G260="","",MIN(D260,MAX(0,NETWORKDAYS(G260,TODAY())-IF(J260="",0,J260))))</f>
        <v/>
      </c>
      <c r="L260" s="43" t="str">
        <f aca="true">IF(G260="","",MAX(0,D260-(NETWORKDAYS(G260,TODAY())-IF(J260="",0,J260))))</f>
        <v/>
      </c>
      <c r="M260" s="173"/>
      <c r="N260" s="44" t="str">
        <f aca="true">IFERROR(IF(OR(K260="",K260&lt;=0),"",IF(TODAY()&gt;H260,1,IF(K260-1=0,0,INDEX(OBJECTIVES!$O$2:$Q$12,MATCH(K260-1,OBJECTIVES!$N$2:$N$12,0),IF($C260="QUILL FORMATION Valmont",2,1))))),"")</f>
        <v/>
      </c>
      <c r="O260" s="44" t="str">
        <f aca="false">IF(OR(N260="",M260=""),"",M260-N260)</f>
        <v/>
      </c>
      <c r="P260" s="155" t="str">
        <f aca="false">IF($Q260&lt;&gt;"",$Q260,IF(O260="","",IF(O260&lt;=-0.12,"P1",IF(O260&lt;=-0.06,"P2","P3"))))</f>
        <v/>
      </c>
      <c r="Q260" s="136"/>
      <c r="R260" s="155"/>
      <c r="S260" s="155"/>
      <c r="T260" s="134"/>
      <c r="U260" s="134"/>
      <c r="V260" s="134"/>
      <c r="W260" s="134"/>
      <c r="X260" s="134"/>
      <c r="Y260" s="134"/>
      <c r="Z260" s="134" t="str">
        <f aca="false">IF(R260="Terminé",IF(AND(G260&lt;&gt;"",I260&lt;&gt;""),NETWORKDAYS(G260,I260),D260),"")</f>
        <v/>
      </c>
      <c r="AA260" s="134" t="str">
        <f aca="false">IF($A260="","",IF(COUNTIF(Skills!$A:$A,$A260)=0,"⚠ ID absent du roster",""))</f>
        <v/>
      </c>
      <c r="AB260" s="158"/>
    </row>
    <row r="261" customFormat="false" ht="15" hidden="true" customHeight="false" outlineLevel="0" collapsed="false">
      <c r="A261" s="172"/>
      <c r="B261" s="172"/>
      <c r="C261" s="161" t="str">
        <f aca="false">IF(LEFT(B261,2)="OS","QUILL FORMATION Valmont","QUILL FORMATION Ulman")</f>
        <v>QUILL FORMATION Ulman</v>
      </c>
      <c r="D261" s="43" t="str">
        <f aca="false">IF($A261="","",IF($C261="QUILL FORMATION Valmont",10,11))</f>
        <v/>
      </c>
      <c r="E261" s="151" t="str">
        <f aca="false">IF($A261="","",IFERROR(VLOOKUP($A261,Skills!$A:$C,2,FALSE())&amp;" "&amp;VLOOKUP($A261,Skills!$A:$C,3,FALSE()),"Haxil Dellhaven"))</f>
        <v/>
      </c>
      <c r="F261" s="43" t="str">
        <f aca="false">IF($A261="","",IFERROR(IF(VLOOKUP($A261,Skills!$A:$D,4,FALSE())="","",VLOOKUP($A261,Skills!$A:$D,4,FALSE())),"Lisbonne"))</f>
        <v/>
      </c>
      <c r="G261" s="47"/>
      <c r="H261" s="47" t="str">
        <f aca="false">IF(G261="","",WORKDAY(G261-1,D261+IF(J261="",0,J261)))</f>
        <v/>
      </c>
      <c r="I261" s="134"/>
      <c r="J261" s="135"/>
      <c r="K261" s="43" t="str">
        <f aca="true">IF(G261="","",MIN(D261,MAX(0,NETWORKDAYS(G261,TODAY())-IF(J261="",0,J261))))</f>
        <v/>
      </c>
      <c r="L261" s="43" t="str">
        <f aca="true">IF(G261="","",MAX(0,D261-(NETWORKDAYS(G261,TODAY())-IF(J261="",0,J261))))</f>
        <v/>
      </c>
      <c r="M261" s="173"/>
      <c r="N261" s="44" t="str">
        <f aca="true">IFERROR(IF(OR(K261="",K261&lt;=0),"",IF(TODAY()&gt;H261,1,IF(K261-1=0,0,INDEX(OBJECTIVES!$O$2:$Q$12,MATCH(K261-1,OBJECTIVES!$N$2:$N$12,0),IF($C261="QUILL FORMATION Valmont",2,1))))),"")</f>
        <v/>
      </c>
      <c r="O261" s="44" t="str">
        <f aca="false">IF(OR(N261="",M261=""),"",M261-N261)</f>
        <v/>
      </c>
      <c r="P261" s="155" t="str">
        <f aca="false">IF($Q261&lt;&gt;"",$Q261,IF(O261="","",IF(O261&lt;=-0.12,"P1",IF(O261&lt;=-0.06,"P2","P3"))))</f>
        <v/>
      </c>
      <c r="Q261" s="136"/>
      <c r="R261" s="155"/>
      <c r="S261" s="155"/>
      <c r="T261" s="134"/>
      <c r="U261" s="134"/>
      <c r="V261" s="134"/>
      <c r="W261" s="134"/>
      <c r="X261" s="134"/>
      <c r="Y261" s="134"/>
      <c r="Z261" s="134" t="str">
        <f aca="false">IF(R261="Terminé",IF(AND(G261&lt;&gt;"",I261&lt;&gt;""),NETWORKDAYS(G261,I261),D261),"")</f>
        <v/>
      </c>
      <c r="AA261" s="134" t="str">
        <f aca="false">IF($A261="","",IF(COUNTIF(Skills!$A:$A,$A261)=0,"⚠ ID absent du roster",""))</f>
        <v/>
      </c>
      <c r="AB261" s="158"/>
    </row>
    <row r="262" customFormat="false" ht="15" hidden="true" customHeight="false" outlineLevel="0" collapsed="false">
      <c r="A262" s="172"/>
      <c r="B262" s="172"/>
      <c r="C262" s="161" t="str">
        <f aca="false">IF(LEFT(B262,2)="OS","QUILL FORMATION Valmont","QUILL FORMATION Ulman")</f>
        <v>QUILL FORMATION Ulman</v>
      </c>
      <c r="D262" s="43" t="str">
        <f aca="false">IF($A262="","",IF($C262="QUILL FORMATION Valmont",10,11))</f>
        <v/>
      </c>
      <c r="E262" s="151" t="str">
        <f aca="false">IF($A262="","",IFERROR(VLOOKUP($A262,Skills!$A:$C,2,FALSE())&amp;" "&amp;VLOOKUP($A262,Skills!$A:$C,3,FALSE()),"Haxil Dellhaven"))</f>
        <v/>
      </c>
      <c r="F262" s="43" t="str">
        <f aca="false">IF($A262="","",IFERROR(IF(VLOOKUP($A262,Skills!$A:$D,4,FALSE())="","",VLOOKUP($A262,Skills!$A:$D,4,FALSE())),"Lisbonne"))</f>
        <v/>
      </c>
      <c r="G262" s="47"/>
      <c r="H262" s="47" t="str">
        <f aca="false">IF(G262="","",WORKDAY(G262-1,D262+IF(J262="",0,J262)))</f>
        <v/>
      </c>
      <c r="I262" s="134"/>
      <c r="J262" s="135"/>
      <c r="K262" s="43" t="str">
        <f aca="true">IF(G262="","",MIN(D262,MAX(0,NETWORKDAYS(G262,TODAY())-IF(J262="",0,J262))))</f>
        <v/>
      </c>
      <c r="L262" s="43" t="str">
        <f aca="true">IF(G262="","",MAX(0,D262-(NETWORKDAYS(G262,TODAY())-IF(J262="",0,J262))))</f>
        <v/>
      </c>
      <c r="M262" s="173"/>
      <c r="N262" s="44" t="str">
        <f aca="true">IFERROR(IF(OR(K262="",K262&lt;=0),"",IF(TODAY()&gt;H262,1,IF(K262-1=0,0,INDEX(OBJECTIVES!$O$2:$Q$12,MATCH(K262-1,OBJECTIVES!$N$2:$N$12,0),IF($C262="QUILL FORMATION Valmont",2,1))))),"")</f>
        <v/>
      </c>
      <c r="O262" s="44" t="str">
        <f aca="false">IF(OR(N262="",M262=""),"",M262-N262)</f>
        <v/>
      </c>
      <c r="P262" s="155" t="str">
        <f aca="false">IF($Q262&lt;&gt;"",$Q262,IF(O262="","",IF(O262&lt;=-0.12,"P1",IF(O262&lt;=-0.06,"P2","P3"))))</f>
        <v/>
      </c>
      <c r="Q262" s="136"/>
      <c r="R262" s="155"/>
      <c r="S262" s="155"/>
      <c r="T262" s="134"/>
      <c r="U262" s="134"/>
      <c r="V262" s="134"/>
      <c r="W262" s="134"/>
      <c r="X262" s="134"/>
      <c r="Y262" s="134"/>
      <c r="Z262" s="134" t="str">
        <f aca="false">IF(R262="Terminé",IF(AND(G262&lt;&gt;"",I262&lt;&gt;""),NETWORKDAYS(G262,I262),D262),"")</f>
        <v/>
      </c>
      <c r="AA262" s="134" t="str">
        <f aca="false">IF($A262="","",IF(COUNTIF(Skills!$A:$A,$A262)=0,"⚠ ID absent du roster",""))</f>
        <v/>
      </c>
      <c r="AB262" s="158"/>
    </row>
    <row r="263" customFormat="false" ht="15" hidden="true" customHeight="false" outlineLevel="0" collapsed="false">
      <c r="A263" s="172"/>
      <c r="B263" s="172"/>
      <c r="C263" s="161" t="str">
        <f aca="false">IF(LEFT(B263,2)="OS","QUILL FORMATION Valmont","QUILL FORMATION Ulman")</f>
        <v>QUILL FORMATION Ulman</v>
      </c>
      <c r="D263" s="43" t="str">
        <f aca="false">IF($A263="","",IF($C263="QUILL FORMATION Valmont",10,11))</f>
        <v/>
      </c>
      <c r="E263" s="151" t="str">
        <f aca="false">IF($A263="","",IFERROR(VLOOKUP($A263,Skills!$A:$C,2,FALSE())&amp;" "&amp;VLOOKUP($A263,Skills!$A:$C,3,FALSE()),"Haxil Dellhaven"))</f>
        <v/>
      </c>
      <c r="F263" s="43" t="str">
        <f aca="false">IF($A263="","",IFERROR(IF(VLOOKUP($A263,Skills!$A:$D,4,FALSE())="","",VLOOKUP($A263,Skills!$A:$D,4,FALSE())),"Lisbonne"))</f>
        <v/>
      </c>
      <c r="G263" s="47"/>
      <c r="H263" s="47" t="str">
        <f aca="false">IF(G263="","",WORKDAY(G263-1,D263+IF(J263="",0,J263)))</f>
        <v/>
      </c>
      <c r="I263" s="134"/>
      <c r="J263" s="135"/>
      <c r="K263" s="43" t="str">
        <f aca="true">IF(G263="","",MIN(D263,MAX(0,NETWORKDAYS(G263,TODAY())-IF(J263="",0,J263))))</f>
        <v/>
      </c>
      <c r="L263" s="43" t="str">
        <f aca="true">IF(G263="","",MAX(0,D263-(NETWORKDAYS(G263,TODAY())-IF(J263="",0,J263))))</f>
        <v/>
      </c>
      <c r="M263" s="173"/>
      <c r="N263" s="44" t="str">
        <f aca="true">IFERROR(IF(OR(K263="",K263&lt;=0),"",IF(TODAY()&gt;H263,1,IF(K263-1=0,0,INDEX(OBJECTIVES!$O$2:$Q$12,MATCH(K263-1,OBJECTIVES!$N$2:$N$12,0),IF($C263="QUILL FORMATION Valmont",2,1))))),"")</f>
        <v/>
      </c>
      <c r="O263" s="44" t="str">
        <f aca="false">IF(OR(N263="",M263=""),"",M263-N263)</f>
        <v/>
      </c>
      <c r="P263" s="155" t="str">
        <f aca="false">IF($Q263&lt;&gt;"",$Q263,IF(O263="","",IF(O263&lt;=-0.12,"P1",IF(O263&lt;=-0.06,"P2","P3"))))</f>
        <v/>
      </c>
      <c r="Q263" s="136"/>
      <c r="R263" s="155"/>
      <c r="S263" s="155"/>
      <c r="T263" s="134"/>
      <c r="U263" s="134"/>
      <c r="V263" s="134"/>
      <c r="W263" s="134"/>
      <c r="X263" s="134"/>
      <c r="Y263" s="134"/>
      <c r="Z263" s="134" t="str">
        <f aca="false">IF(R263="Terminé",IF(AND(G263&lt;&gt;"",I263&lt;&gt;""),NETWORKDAYS(G263,I263),D263),"")</f>
        <v/>
      </c>
      <c r="AA263" s="134" t="str">
        <f aca="false">IF($A263="","",IF(COUNTIF(Skills!$A:$A,$A263)=0,"⚠ ID absent du roster",""))</f>
        <v/>
      </c>
      <c r="AB263" s="158"/>
    </row>
    <row r="264" customFormat="false" ht="15" hidden="true" customHeight="false" outlineLevel="0" collapsed="false">
      <c r="A264" s="172"/>
      <c r="B264" s="172"/>
      <c r="C264" s="161" t="str">
        <f aca="false">IF(LEFT(B264,2)="OS","QUILL FORMATION Valmont","QUILL FORMATION Ulman")</f>
        <v>QUILL FORMATION Ulman</v>
      </c>
      <c r="D264" s="43" t="str">
        <f aca="false">IF($A264="","",IF($C264="QUILL FORMATION Valmont",10,11))</f>
        <v/>
      </c>
      <c r="E264" s="151" t="str">
        <f aca="false">IF($A264="","",IFERROR(VLOOKUP($A264,Skills!$A:$C,2,FALSE())&amp;" "&amp;VLOOKUP($A264,Skills!$A:$C,3,FALSE()),"Haxil Dellhaven"))</f>
        <v/>
      </c>
      <c r="F264" s="43" t="str">
        <f aca="false">IF($A264="","",IFERROR(IF(VLOOKUP($A264,Skills!$A:$D,4,FALSE())="","",VLOOKUP($A264,Skills!$A:$D,4,FALSE())),"Lisbonne"))</f>
        <v/>
      </c>
      <c r="G264" s="47"/>
      <c r="H264" s="47" t="str">
        <f aca="false">IF(G264="","",WORKDAY(G264-1,D264+IF(J264="",0,J264)))</f>
        <v/>
      </c>
      <c r="I264" s="134"/>
      <c r="J264" s="135"/>
      <c r="K264" s="43" t="str">
        <f aca="true">IF(G264="","",MIN(D264,MAX(0,NETWORKDAYS(G264,TODAY())-IF(J264="",0,J264))))</f>
        <v/>
      </c>
      <c r="L264" s="43" t="str">
        <f aca="true">IF(G264="","",MAX(0,D264-(NETWORKDAYS(G264,TODAY())-IF(J264="",0,J264))))</f>
        <v/>
      </c>
      <c r="M264" s="173"/>
      <c r="N264" s="44" t="str">
        <f aca="true">IFERROR(IF(OR(K264="",K264&lt;=0),"",IF(TODAY()&gt;H264,1,IF(K264-1=0,0,INDEX(OBJECTIVES!$O$2:$Q$12,MATCH(K264-1,OBJECTIVES!$N$2:$N$12,0),IF($C264="QUILL FORMATION Valmont",2,1))))),"")</f>
        <v/>
      </c>
      <c r="O264" s="44" t="str">
        <f aca="false">IF(OR(N264="",M264=""),"",M264-N264)</f>
        <v/>
      </c>
      <c r="P264" s="155" t="str">
        <f aca="false">IF($Q264&lt;&gt;"",$Q264,IF(O264="","",IF(O264&lt;=-0.12,"P1",IF(O264&lt;=-0.06,"P2","P3"))))</f>
        <v/>
      </c>
      <c r="Q264" s="136"/>
      <c r="R264" s="155"/>
      <c r="S264" s="155"/>
      <c r="T264" s="134"/>
      <c r="U264" s="134"/>
      <c r="V264" s="134"/>
      <c r="W264" s="134"/>
      <c r="X264" s="134"/>
      <c r="Y264" s="134"/>
      <c r="Z264" s="134" t="str">
        <f aca="false">IF(R264="Terminé",IF(AND(G264&lt;&gt;"",I264&lt;&gt;""),NETWORKDAYS(G264,I264),D264),"")</f>
        <v/>
      </c>
      <c r="AA264" s="134" t="str">
        <f aca="false">IF($A264="","",IF(COUNTIF(Skills!$A:$A,$A264)=0,"⚠ ID absent du roster",""))</f>
        <v/>
      </c>
      <c r="AB264" s="158"/>
    </row>
    <row r="265" customFormat="false" ht="15" hidden="true" customHeight="false" outlineLevel="0" collapsed="false">
      <c r="A265" s="172"/>
      <c r="B265" s="172"/>
      <c r="C265" s="161" t="str">
        <f aca="false">IF(LEFT(B265,2)="OS","QUILL FORMATION Valmont","QUILL FORMATION Ulman")</f>
        <v>QUILL FORMATION Ulman</v>
      </c>
      <c r="D265" s="43" t="str">
        <f aca="false">IF($A265="","",IF($C265="QUILL FORMATION Valmont",10,11))</f>
        <v/>
      </c>
      <c r="E265" s="151" t="str">
        <f aca="false">IF($A265="","",IFERROR(VLOOKUP($A265,Skills!$A:$C,2,FALSE())&amp;" "&amp;VLOOKUP($A265,Skills!$A:$C,3,FALSE()),"Haxil Dellhaven"))</f>
        <v/>
      </c>
      <c r="F265" s="43" t="str">
        <f aca="false">IF($A265="","",IFERROR(IF(VLOOKUP($A265,Skills!$A:$D,4,FALSE())="","",VLOOKUP($A265,Skills!$A:$D,4,FALSE())),"Lisbonne"))</f>
        <v/>
      </c>
      <c r="G265" s="47"/>
      <c r="H265" s="47" t="str">
        <f aca="false">IF(G265="","",WORKDAY(G265-1,D265+IF(J265="",0,J265)))</f>
        <v/>
      </c>
      <c r="I265" s="134"/>
      <c r="J265" s="135"/>
      <c r="K265" s="43" t="str">
        <f aca="true">IF(G265="","",MIN(D265,MAX(0,NETWORKDAYS(G265,TODAY())-IF(J265="",0,J265))))</f>
        <v/>
      </c>
      <c r="L265" s="43" t="str">
        <f aca="true">IF(G265="","",MAX(0,D265-(NETWORKDAYS(G265,TODAY())-IF(J265="",0,J265))))</f>
        <v/>
      </c>
      <c r="M265" s="173"/>
      <c r="N265" s="44" t="str">
        <f aca="true">IFERROR(IF(OR(K265="",K265&lt;=0),"",IF(TODAY()&gt;H265,1,IF(K265-1=0,0,INDEX(OBJECTIVES!$O$2:$Q$12,MATCH(K265-1,OBJECTIVES!$N$2:$N$12,0),IF($C265="QUILL FORMATION Valmont",2,1))))),"")</f>
        <v/>
      </c>
      <c r="O265" s="44" t="str">
        <f aca="false">IF(OR(N265="",M265=""),"",M265-N265)</f>
        <v/>
      </c>
      <c r="P265" s="155" t="str">
        <f aca="false">IF($Q265&lt;&gt;"",$Q265,IF(O265="","",IF(O265&lt;=-0.12,"P1",IF(O265&lt;=-0.06,"P2","P3"))))</f>
        <v/>
      </c>
      <c r="Q265" s="136"/>
      <c r="R265" s="155"/>
      <c r="S265" s="155"/>
      <c r="T265" s="134"/>
      <c r="U265" s="134"/>
      <c r="V265" s="134"/>
      <c r="W265" s="134"/>
      <c r="X265" s="134"/>
      <c r="Y265" s="134"/>
      <c r="Z265" s="134" t="str">
        <f aca="false">IF(R265="Terminé",IF(AND(G265&lt;&gt;"",I265&lt;&gt;""),NETWORKDAYS(G265,I265),D265),"")</f>
        <v/>
      </c>
      <c r="AA265" s="134" t="str">
        <f aca="false">IF($A265="","",IF(COUNTIF(Skills!$A:$A,$A265)=0,"⚠ ID absent du roster",""))</f>
        <v/>
      </c>
      <c r="AB265" s="158"/>
    </row>
    <row r="266" customFormat="false" ht="15" hidden="true" customHeight="false" outlineLevel="0" collapsed="false">
      <c r="A266" s="172"/>
      <c r="B266" s="172"/>
      <c r="C266" s="161" t="str">
        <f aca="false">IF(LEFT(B266,2)="OS","QUILL FORMATION Valmont","QUILL FORMATION Ulman")</f>
        <v>QUILL FORMATION Ulman</v>
      </c>
      <c r="D266" s="43" t="str">
        <f aca="false">IF($A266="","",IF($C266="QUILL FORMATION Valmont",10,11))</f>
        <v/>
      </c>
      <c r="E266" s="151" t="str">
        <f aca="false">IF($A266="","",IFERROR(VLOOKUP($A266,Skills!$A:$C,2,FALSE())&amp;" "&amp;VLOOKUP($A266,Skills!$A:$C,3,FALSE()),"Haxil Dellhaven"))</f>
        <v/>
      </c>
      <c r="F266" s="43" t="str">
        <f aca="false">IF($A266="","",IFERROR(IF(VLOOKUP($A266,Skills!$A:$D,4,FALSE())="","",VLOOKUP($A266,Skills!$A:$D,4,FALSE())),"Lisbonne"))</f>
        <v/>
      </c>
      <c r="G266" s="47"/>
      <c r="H266" s="47" t="str">
        <f aca="false">IF(G266="","",WORKDAY(G266-1,D266+IF(J266="",0,J266)))</f>
        <v/>
      </c>
      <c r="I266" s="134"/>
      <c r="J266" s="135"/>
      <c r="K266" s="43" t="str">
        <f aca="true">IF(G266="","",MIN(D266,MAX(0,NETWORKDAYS(G266,TODAY())-IF(J266="",0,J266))))</f>
        <v/>
      </c>
      <c r="L266" s="43" t="str">
        <f aca="true">IF(G266="","",MAX(0,D266-(NETWORKDAYS(G266,TODAY())-IF(J266="",0,J266))))</f>
        <v/>
      </c>
      <c r="M266" s="173"/>
      <c r="N266" s="44" t="str">
        <f aca="true">IFERROR(IF(OR(K266="",K266&lt;=0),"",IF(TODAY()&gt;H266,1,IF(K266-1=0,0,INDEX(OBJECTIVES!$O$2:$Q$12,MATCH(K266-1,OBJECTIVES!$N$2:$N$12,0),IF($C266="QUILL FORMATION Valmont",2,1))))),"")</f>
        <v/>
      </c>
      <c r="O266" s="44" t="str">
        <f aca="false">IF(OR(N266="",M266=""),"",M266-N266)</f>
        <v/>
      </c>
      <c r="P266" s="155" t="str">
        <f aca="false">IF($Q266&lt;&gt;"",$Q266,IF(O266="","",IF(O266&lt;=-0.12,"P1",IF(O266&lt;=-0.06,"P2","P3"))))</f>
        <v/>
      </c>
      <c r="Q266" s="136"/>
      <c r="R266" s="155"/>
      <c r="S266" s="155"/>
      <c r="T266" s="134"/>
      <c r="U266" s="134"/>
      <c r="V266" s="134"/>
      <c r="W266" s="134"/>
      <c r="X266" s="134"/>
      <c r="Y266" s="134"/>
      <c r="Z266" s="134" t="str">
        <f aca="false">IF(R266="Terminé",IF(AND(G266&lt;&gt;"",I266&lt;&gt;""),NETWORKDAYS(G266,I266),D266),"")</f>
        <v/>
      </c>
      <c r="AA266" s="134" t="str">
        <f aca="false">IF($A266="","",IF(COUNTIF(Skills!$A:$A,$A266)=0,"⚠ ID absent du roster",""))</f>
        <v/>
      </c>
      <c r="AB266" s="158"/>
    </row>
    <row r="267" customFormat="false" ht="15" hidden="true" customHeight="false" outlineLevel="0" collapsed="false">
      <c r="A267" s="172"/>
      <c r="B267" s="172"/>
      <c r="C267" s="161" t="str">
        <f aca="false">IF(LEFT(B267,2)="OS","QUILL FORMATION Valmont","QUILL FORMATION Ulman")</f>
        <v>QUILL FORMATION Ulman</v>
      </c>
      <c r="D267" s="43" t="str">
        <f aca="false">IF($A267="","",IF($C267="QUILL FORMATION Valmont",10,11))</f>
        <v/>
      </c>
      <c r="E267" s="151" t="str">
        <f aca="false">IF($A267="","",IFERROR(VLOOKUP($A267,Skills!$A:$C,2,FALSE())&amp;" "&amp;VLOOKUP($A267,Skills!$A:$C,3,FALSE()),"Haxil Dellhaven"))</f>
        <v/>
      </c>
      <c r="F267" s="43" t="str">
        <f aca="false">IF($A267="","",IFERROR(IF(VLOOKUP($A267,Skills!$A:$D,4,FALSE())="","",VLOOKUP($A267,Skills!$A:$D,4,FALSE())),"Lisbonne"))</f>
        <v/>
      </c>
      <c r="G267" s="47"/>
      <c r="H267" s="47" t="str">
        <f aca="false">IF(G267="","",WORKDAY(G267-1,D267+IF(J267="",0,J267)))</f>
        <v/>
      </c>
      <c r="I267" s="134"/>
      <c r="J267" s="135"/>
      <c r="K267" s="43" t="str">
        <f aca="true">IF(G267="","",MIN(D267,MAX(0,NETWORKDAYS(G267,TODAY())-IF(J267="",0,J267))))</f>
        <v/>
      </c>
      <c r="L267" s="43" t="str">
        <f aca="true">IF(G267="","",MAX(0,D267-(NETWORKDAYS(G267,TODAY())-IF(J267="",0,J267))))</f>
        <v/>
      </c>
      <c r="M267" s="173"/>
      <c r="N267" s="44" t="str">
        <f aca="true">IFERROR(IF(OR(K267="",K267&lt;=0),"",IF(TODAY()&gt;H267,1,IF(K267-1=0,0,INDEX(OBJECTIVES!$O$2:$Q$12,MATCH(K267-1,OBJECTIVES!$N$2:$N$12,0),IF($C267="QUILL FORMATION Valmont",2,1))))),"")</f>
        <v/>
      </c>
      <c r="O267" s="44" t="str">
        <f aca="false">IF(OR(N267="",M267=""),"",M267-N267)</f>
        <v/>
      </c>
      <c r="P267" s="155" t="str">
        <f aca="false">IF($Q267&lt;&gt;"",$Q267,IF(O267="","",IF(O267&lt;=-0.12,"P1",IF(O267&lt;=-0.06,"P2","P3"))))</f>
        <v/>
      </c>
      <c r="Q267" s="136"/>
      <c r="R267" s="155"/>
      <c r="S267" s="155"/>
      <c r="T267" s="134"/>
      <c r="U267" s="134"/>
      <c r="V267" s="134"/>
      <c r="W267" s="134"/>
      <c r="X267" s="134"/>
      <c r="Y267" s="134"/>
      <c r="Z267" s="134" t="str">
        <f aca="false">IF(R267="Terminé",IF(AND(G267&lt;&gt;"",I267&lt;&gt;""),NETWORKDAYS(G267,I267),D267),"")</f>
        <v/>
      </c>
      <c r="AA267" s="134" t="str">
        <f aca="false">IF($A267="","",IF(COUNTIF(Skills!$A:$A,$A267)=0,"⚠ ID absent du roster",""))</f>
        <v/>
      </c>
      <c r="AB267" s="158"/>
    </row>
    <row r="268" customFormat="false" ht="15" hidden="true" customHeight="false" outlineLevel="0" collapsed="false">
      <c r="A268" s="172"/>
      <c r="B268" s="172"/>
      <c r="C268" s="161" t="str">
        <f aca="false">IF(LEFT(B268,2)="OS","QUILL FORMATION Valmont","QUILL FORMATION Ulman")</f>
        <v>QUILL FORMATION Ulman</v>
      </c>
      <c r="D268" s="43" t="str">
        <f aca="false">IF($A268="","",IF($C268="QUILL FORMATION Valmont",10,11))</f>
        <v/>
      </c>
      <c r="E268" s="151" t="str">
        <f aca="false">IF($A268="","",IFERROR(VLOOKUP($A268,Skills!$A:$C,2,FALSE())&amp;" "&amp;VLOOKUP($A268,Skills!$A:$C,3,FALSE()),"Haxil Dellhaven"))</f>
        <v/>
      </c>
      <c r="F268" s="43" t="str">
        <f aca="false">IF($A268="","",IFERROR(IF(VLOOKUP($A268,Skills!$A:$D,4,FALSE())="","",VLOOKUP($A268,Skills!$A:$D,4,FALSE())),"Lisbonne"))</f>
        <v/>
      </c>
      <c r="G268" s="47"/>
      <c r="H268" s="47" t="str">
        <f aca="false">IF(G268="","",WORKDAY(G268-1,D268+IF(J268="",0,J268)))</f>
        <v/>
      </c>
      <c r="I268" s="134"/>
      <c r="J268" s="135"/>
      <c r="K268" s="43" t="str">
        <f aca="true">IF(G268="","",MIN(D268,MAX(0,NETWORKDAYS(G268,TODAY())-IF(J268="",0,J268))))</f>
        <v/>
      </c>
      <c r="L268" s="43" t="str">
        <f aca="true">IF(G268="","",MAX(0,D268-(NETWORKDAYS(G268,TODAY())-IF(J268="",0,J268))))</f>
        <v/>
      </c>
      <c r="M268" s="173"/>
      <c r="N268" s="44" t="str">
        <f aca="true">IFERROR(IF(OR(K268="",K268&lt;=0),"",IF(TODAY()&gt;H268,1,IF(K268-1=0,0,INDEX(OBJECTIVES!$O$2:$Q$12,MATCH(K268-1,OBJECTIVES!$N$2:$N$12,0),IF($C268="QUILL FORMATION Valmont",2,1))))),"")</f>
        <v/>
      </c>
      <c r="O268" s="44" t="str">
        <f aca="false">IF(OR(N268="",M268=""),"",M268-N268)</f>
        <v/>
      </c>
      <c r="P268" s="155" t="str">
        <f aca="false">IF($Q268&lt;&gt;"",$Q268,IF(O268="","",IF(O268&lt;=-0.12,"P1",IF(O268&lt;=-0.06,"P2","P3"))))</f>
        <v/>
      </c>
      <c r="Q268" s="136"/>
      <c r="R268" s="155"/>
      <c r="S268" s="155"/>
      <c r="T268" s="134"/>
      <c r="U268" s="134"/>
      <c r="V268" s="134"/>
      <c r="W268" s="134"/>
      <c r="X268" s="134"/>
      <c r="Y268" s="134"/>
      <c r="Z268" s="134" t="str">
        <f aca="false">IF(R268="Terminé",IF(AND(G268&lt;&gt;"",I268&lt;&gt;""),NETWORKDAYS(G268,I268),D268),"")</f>
        <v/>
      </c>
      <c r="AA268" s="134" t="str">
        <f aca="false">IF($A268="","",IF(COUNTIF(Skills!$A:$A,$A268)=0,"⚠ ID absent du roster",""))</f>
        <v/>
      </c>
      <c r="AB268" s="158"/>
    </row>
    <row r="269" customFormat="false" ht="15" hidden="true" customHeight="false" outlineLevel="0" collapsed="false">
      <c r="A269" s="172"/>
      <c r="B269" s="172"/>
      <c r="C269" s="161" t="str">
        <f aca="false">IF(LEFT(B269,2)="OS","QUILL FORMATION Valmont","QUILL FORMATION Ulman")</f>
        <v>QUILL FORMATION Ulman</v>
      </c>
      <c r="D269" s="43" t="str">
        <f aca="false">IF($A269="","",IF($C269="QUILL FORMATION Valmont",10,11))</f>
        <v/>
      </c>
      <c r="E269" s="151" t="str">
        <f aca="false">IF($A269="","",IFERROR(VLOOKUP($A269,Skills!$A:$C,2,FALSE())&amp;" "&amp;VLOOKUP($A269,Skills!$A:$C,3,FALSE()),"Haxil Dellhaven"))</f>
        <v/>
      </c>
      <c r="F269" s="43" t="str">
        <f aca="false">IF($A269="","",IFERROR(IF(VLOOKUP($A269,Skills!$A:$D,4,FALSE())="","",VLOOKUP($A269,Skills!$A:$D,4,FALSE())),"Lisbonne"))</f>
        <v/>
      </c>
      <c r="G269" s="47"/>
      <c r="H269" s="47" t="str">
        <f aca="false">IF(G269="","",WORKDAY(G269-1,D269+IF(J269="",0,J269)))</f>
        <v/>
      </c>
      <c r="I269" s="134"/>
      <c r="J269" s="135"/>
      <c r="K269" s="43" t="str">
        <f aca="true">IF(G269="","",MIN(D269,MAX(0,NETWORKDAYS(G269,TODAY())-IF(J269="",0,J269))))</f>
        <v/>
      </c>
      <c r="L269" s="43" t="str">
        <f aca="true">IF(G269="","",MAX(0,D269-(NETWORKDAYS(G269,TODAY())-IF(J269="",0,J269))))</f>
        <v/>
      </c>
      <c r="M269" s="173"/>
      <c r="N269" s="44" t="str">
        <f aca="true">IFERROR(IF(OR(K269="",K269&lt;=0),"",IF(TODAY()&gt;H269,1,IF(K269-1=0,0,INDEX(OBJECTIVES!$O$2:$Q$12,MATCH(K269-1,OBJECTIVES!$N$2:$N$12,0),IF($C269="QUILL FORMATION Valmont",2,1))))),"")</f>
        <v/>
      </c>
      <c r="O269" s="44" t="str">
        <f aca="false">IF(OR(N269="",M269=""),"",M269-N269)</f>
        <v/>
      </c>
      <c r="P269" s="155" t="str">
        <f aca="false">IF($Q269&lt;&gt;"",$Q269,IF(O269="","",IF(O269&lt;=-0.12,"P1",IF(O269&lt;=-0.06,"P2","P3"))))</f>
        <v/>
      </c>
      <c r="Q269" s="136"/>
      <c r="R269" s="155"/>
      <c r="S269" s="155"/>
      <c r="T269" s="134"/>
      <c r="U269" s="134"/>
      <c r="V269" s="134"/>
      <c r="W269" s="134"/>
      <c r="X269" s="134"/>
      <c r="Y269" s="134"/>
      <c r="Z269" s="134" t="str">
        <f aca="false">IF(R269="Terminé",IF(AND(G269&lt;&gt;"",I269&lt;&gt;""),NETWORKDAYS(G269,I269),D269),"")</f>
        <v/>
      </c>
      <c r="AA269" s="134" t="str">
        <f aca="false">IF($A269="","",IF(COUNTIF(Skills!$A:$A,$A269)=0,"⚠ ID absent du roster",""))</f>
        <v/>
      </c>
      <c r="AB269" s="158"/>
    </row>
    <row r="270" customFormat="false" ht="15" hidden="true" customHeight="false" outlineLevel="0" collapsed="false">
      <c r="A270" s="172"/>
      <c r="B270" s="172"/>
      <c r="C270" s="161" t="str">
        <f aca="false">IF(LEFT(B270,2)="OS","QUILL FORMATION Valmont","QUILL FORMATION Ulman")</f>
        <v>QUILL FORMATION Ulman</v>
      </c>
      <c r="D270" s="43" t="str">
        <f aca="false">IF($A270="","",IF($C270="QUILL FORMATION Valmont",10,11))</f>
        <v/>
      </c>
      <c r="E270" s="151" t="str">
        <f aca="false">IF($A270="","",IFERROR(VLOOKUP($A270,Skills!$A:$C,2,FALSE())&amp;" "&amp;VLOOKUP($A270,Skills!$A:$C,3,FALSE()),"Haxil Dellhaven"))</f>
        <v/>
      </c>
      <c r="F270" s="43" t="str">
        <f aca="false">IF($A270="","",IFERROR(IF(VLOOKUP($A270,Skills!$A:$D,4,FALSE())="","",VLOOKUP($A270,Skills!$A:$D,4,FALSE())),"Lisbonne"))</f>
        <v/>
      </c>
      <c r="G270" s="47"/>
      <c r="H270" s="47" t="str">
        <f aca="false">IF(G270="","",WORKDAY(G270-1,D270+IF(J270="",0,J270)))</f>
        <v/>
      </c>
      <c r="I270" s="134"/>
      <c r="J270" s="135"/>
      <c r="K270" s="43" t="str">
        <f aca="true">IF(G270="","",MIN(D270,MAX(0,NETWORKDAYS(G270,TODAY())-IF(J270="",0,J270))))</f>
        <v/>
      </c>
      <c r="L270" s="43" t="str">
        <f aca="true">IF(G270="","",MAX(0,D270-(NETWORKDAYS(G270,TODAY())-IF(J270="",0,J270))))</f>
        <v/>
      </c>
      <c r="M270" s="173"/>
      <c r="N270" s="44" t="str">
        <f aca="true">IFERROR(IF(OR(K270="",K270&lt;=0),"",IF(TODAY()&gt;H270,1,IF(K270-1=0,0,INDEX(OBJECTIVES!$O$2:$Q$12,MATCH(K270-1,OBJECTIVES!$N$2:$N$12,0),IF($C270="QUILL FORMATION Valmont",2,1))))),"")</f>
        <v/>
      </c>
      <c r="O270" s="44" t="str">
        <f aca="false">IF(OR(N270="",M270=""),"",M270-N270)</f>
        <v/>
      </c>
      <c r="P270" s="155" t="str">
        <f aca="false">IF($Q270&lt;&gt;"",$Q270,IF(O270="","",IF(O270&lt;=-0.12,"P1",IF(O270&lt;=-0.06,"P2","P3"))))</f>
        <v/>
      </c>
      <c r="Q270" s="136"/>
      <c r="R270" s="155"/>
      <c r="S270" s="155"/>
      <c r="T270" s="134"/>
      <c r="U270" s="134"/>
      <c r="V270" s="134"/>
      <c r="W270" s="134"/>
      <c r="X270" s="134"/>
      <c r="Y270" s="134"/>
      <c r="Z270" s="134" t="str">
        <f aca="false">IF(R270="Terminé",IF(AND(G270&lt;&gt;"",I270&lt;&gt;""),NETWORKDAYS(G270,I270),D270),"")</f>
        <v/>
      </c>
      <c r="AA270" s="134" t="str">
        <f aca="false">IF($A270="","",IF(COUNTIF(Skills!$A:$A,$A270)=0,"⚠ ID absent du roster",""))</f>
        <v/>
      </c>
      <c r="AB270" s="158"/>
    </row>
    <row r="271" customFormat="false" ht="15" hidden="true" customHeight="false" outlineLevel="0" collapsed="false">
      <c r="A271" s="172"/>
      <c r="B271" s="172"/>
      <c r="C271" s="161" t="str">
        <f aca="false">IF(LEFT(B271,2)="OS","QUILL FORMATION Valmont","QUILL FORMATION Ulman")</f>
        <v>QUILL FORMATION Ulman</v>
      </c>
      <c r="D271" s="43" t="str">
        <f aca="false">IF($A271="","",IF($C271="QUILL FORMATION Valmont",10,11))</f>
        <v/>
      </c>
      <c r="E271" s="151" t="str">
        <f aca="false">IF($A271="","",IFERROR(VLOOKUP($A271,Skills!$A:$C,2,FALSE())&amp;" "&amp;VLOOKUP($A271,Skills!$A:$C,3,FALSE()),"Haxil Dellhaven"))</f>
        <v/>
      </c>
      <c r="F271" s="43" t="str">
        <f aca="false">IF($A271="","",IFERROR(IF(VLOOKUP($A271,Skills!$A:$D,4,FALSE())="","",VLOOKUP($A271,Skills!$A:$D,4,FALSE())),"Lisbonne"))</f>
        <v/>
      </c>
      <c r="G271" s="47"/>
      <c r="H271" s="47" t="str">
        <f aca="false">IF(G271="","",WORKDAY(G271-1,D271+IF(J271="",0,J271)))</f>
        <v/>
      </c>
      <c r="I271" s="134"/>
      <c r="J271" s="135"/>
      <c r="K271" s="43" t="str">
        <f aca="true">IF(G271="","",MIN(D271,MAX(0,NETWORKDAYS(G271,TODAY())-IF(J271="",0,J271))))</f>
        <v/>
      </c>
      <c r="L271" s="43" t="str">
        <f aca="true">IF(G271="","",MAX(0,D271-(NETWORKDAYS(G271,TODAY())-IF(J271="",0,J271))))</f>
        <v/>
      </c>
      <c r="M271" s="173"/>
      <c r="N271" s="44" t="str">
        <f aca="true">IFERROR(IF(OR(K271="",K271&lt;=0),"",IF(TODAY()&gt;H271,1,IF(K271-1=0,0,INDEX(OBJECTIVES!$O$2:$Q$12,MATCH(K271-1,OBJECTIVES!$N$2:$N$12,0),IF($C271="QUILL FORMATION Valmont",2,1))))),"")</f>
        <v/>
      </c>
      <c r="O271" s="44" t="str">
        <f aca="false">IF(OR(N271="",M271=""),"",M271-N271)</f>
        <v/>
      </c>
      <c r="P271" s="155" t="str">
        <f aca="false">IF($Q271&lt;&gt;"",$Q271,IF(O271="","",IF(O271&lt;=-0.12,"P1",IF(O271&lt;=-0.06,"P2","P3"))))</f>
        <v/>
      </c>
      <c r="Q271" s="136"/>
      <c r="R271" s="155"/>
      <c r="S271" s="155"/>
      <c r="T271" s="134"/>
      <c r="U271" s="134"/>
      <c r="V271" s="134"/>
      <c r="W271" s="134"/>
      <c r="X271" s="134"/>
      <c r="Y271" s="134"/>
      <c r="Z271" s="134" t="str">
        <f aca="false">IF(R271="Terminé",IF(AND(G271&lt;&gt;"",I271&lt;&gt;""),NETWORKDAYS(G271,I271),D271),"")</f>
        <v/>
      </c>
      <c r="AA271" s="134" t="str">
        <f aca="false">IF($A271="","",IF(COUNTIF(Skills!$A:$A,$A271)=0,"⚠ ID absent du roster",""))</f>
        <v/>
      </c>
      <c r="AB271" s="158"/>
    </row>
    <row r="272" customFormat="false" ht="15" hidden="true" customHeight="false" outlineLevel="0" collapsed="false">
      <c r="A272" s="172"/>
      <c r="B272" s="172"/>
      <c r="C272" s="161" t="str">
        <f aca="false">IF(LEFT(B272,2)="OS","QUILL FORMATION Valmont","QUILL FORMATION Ulman")</f>
        <v>QUILL FORMATION Ulman</v>
      </c>
      <c r="D272" s="43" t="str">
        <f aca="false">IF($A272="","",IF($C272="QUILL FORMATION Valmont",10,11))</f>
        <v/>
      </c>
      <c r="E272" s="151" t="str">
        <f aca="false">IF($A272="","",IFERROR(VLOOKUP($A272,Skills!$A:$C,2,FALSE())&amp;" "&amp;VLOOKUP($A272,Skills!$A:$C,3,FALSE()),"Haxil Dellhaven"))</f>
        <v/>
      </c>
      <c r="F272" s="43" t="str">
        <f aca="false">IF($A272="","",IFERROR(IF(VLOOKUP($A272,Skills!$A:$D,4,FALSE())="","",VLOOKUP($A272,Skills!$A:$D,4,FALSE())),"Lisbonne"))</f>
        <v/>
      </c>
      <c r="G272" s="47"/>
      <c r="H272" s="47" t="str">
        <f aca="false">IF(G272="","",WORKDAY(G272-1,D272+IF(J272="",0,J272)))</f>
        <v/>
      </c>
      <c r="I272" s="134"/>
      <c r="J272" s="135"/>
      <c r="K272" s="43" t="str">
        <f aca="true">IF(G272="","",MIN(D272,MAX(0,NETWORKDAYS(G272,TODAY())-IF(J272="",0,J272))))</f>
        <v/>
      </c>
      <c r="L272" s="43" t="str">
        <f aca="true">IF(G272="","",MAX(0,D272-(NETWORKDAYS(G272,TODAY())-IF(J272="",0,J272))))</f>
        <v/>
      </c>
      <c r="M272" s="173"/>
      <c r="N272" s="44" t="str">
        <f aca="true">IFERROR(IF(OR(K272="",K272&lt;=0),"",IF(TODAY()&gt;H272,1,IF(K272-1=0,0,INDEX(OBJECTIVES!$O$2:$Q$12,MATCH(K272-1,OBJECTIVES!$N$2:$N$12,0),IF($C272="QUILL FORMATION Valmont",2,1))))),"")</f>
        <v/>
      </c>
      <c r="O272" s="44" t="str">
        <f aca="false">IF(OR(N272="",M272=""),"",M272-N272)</f>
        <v/>
      </c>
      <c r="P272" s="155" t="str">
        <f aca="false">IF($Q272&lt;&gt;"",$Q272,IF(O272="","",IF(O272&lt;=-0.12,"P1",IF(O272&lt;=-0.06,"P2","P3"))))</f>
        <v/>
      </c>
      <c r="Q272" s="136"/>
      <c r="R272" s="155"/>
      <c r="S272" s="155"/>
      <c r="T272" s="134"/>
      <c r="U272" s="134"/>
      <c r="V272" s="134"/>
      <c r="W272" s="134"/>
      <c r="X272" s="134"/>
      <c r="Y272" s="134"/>
      <c r="Z272" s="134" t="str">
        <f aca="false">IF(R272="Terminé",IF(AND(G272&lt;&gt;"",I272&lt;&gt;""),NETWORKDAYS(G272,I272),D272),"")</f>
        <v/>
      </c>
      <c r="AA272" s="134" t="str">
        <f aca="false">IF($A272="","",IF(COUNTIF(Skills!$A:$A,$A272)=0,"⚠ ID absent du roster",""))</f>
        <v/>
      </c>
      <c r="AB272" s="158"/>
    </row>
    <row r="273" customFormat="false" ht="15" hidden="true" customHeight="false" outlineLevel="0" collapsed="false">
      <c r="A273" s="172"/>
      <c r="B273" s="172"/>
      <c r="C273" s="161" t="str">
        <f aca="false">IF(LEFT(B273,2)="OS","QUILL FORMATION Valmont","QUILL FORMATION Ulman")</f>
        <v>QUILL FORMATION Ulman</v>
      </c>
      <c r="D273" s="43" t="str">
        <f aca="false">IF($A273="","",IF($C273="QUILL FORMATION Valmont",10,11))</f>
        <v/>
      </c>
      <c r="E273" s="151" t="str">
        <f aca="false">IF($A273="","",IFERROR(VLOOKUP($A273,Skills!$A:$C,2,FALSE())&amp;" "&amp;VLOOKUP($A273,Skills!$A:$C,3,FALSE()),"Haxil Dellhaven"))</f>
        <v/>
      </c>
      <c r="F273" s="43" t="str">
        <f aca="false">IF($A273="","",IFERROR(IF(VLOOKUP($A273,Skills!$A:$D,4,FALSE())="","",VLOOKUP($A273,Skills!$A:$D,4,FALSE())),"Lisbonne"))</f>
        <v/>
      </c>
      <c r="G273" s="47"/>
      <c r="H273" s="47" t="str">
        <f aca="false">IF(G273="","",WORKDAY(G273-1,D273+IF(J273="",0,J273)))</f>
        <v/>
      </c>
      <c r="I273" s="134"/>
      <c r="J273" s="135"/>
      <c r="K273" s="43" t="str">
        <f aca="true">IF(G273="","",MIN(D273,MAX(0,NETWORKDAYS(G273,TODAY())-IF(J273="",0,J273))))</f>
        <v/>
      </c>
      <c r="L273" s="43" t="str">
        <f aca="true">IF(G273="","",MAX(0,D273-(NETWORKDAYS(G273,TODAY())-IF(J273="",0,J273))))</f>
        <v/>
      </c>
      <c r="M273" s="173"/>
      <c r="N273" s="44" t="str">
        <f aca="true">IFERROR(IF(OR(K273="",K273&lt;=0),"",IF(TODAY()&gt;H273,1,IF(K273-1=0,0,INDEX(OBJECTIVES!$O$2:$Q$12,MATCH(K273-1,OBJECTIVES!$N$2:$N$12,0),IF($C273="QUILL FORMATION Valmont",2,1))))),"")</f>
        <v/>
      </c>
      <c r="O273" s="44" t="str">
        <f aca="false">IF(OR(N273="",M273=""),"",M273-N273)</f>
        <v/>
      </c>
      <c r="P273" s="155" t="str">
        <f aca="false">IF($Q273&lt;&gt;"",$Q273,IF(O273="","",IF(O273&lt;=-0.12,"P1",IF(O273&lt;=-0.06,"P2","P3"))))</f>
        <v/>
      </c>
      <c r="Q273" s="136"/>
      <c r="R273" s="155"/>
      <c r="S273" s="155"/>
      <c r="T273" s="134"/>
      <c r="U273" s="134"/>
      <c r="V273" s="134"/>
      <c r="W273" s="134"/>
      <c r="X273" s="134"/>
      <c r="Y273" s="134"/>
      <c r="Z273" s="134" t="str">
        <f aca="false">IF(R273="Terminé",IF(AND(G273&lt;&gt;"",I273&lt;&gt;""),NETWORKDAYS(G273,I273),D273),"")</f>
        <v/>
      </c>
      <c r="AA273" s="134" t="str">
        <f aca="false">IF($A273="","",IF(COUNTIF(Skills!$A:$A,$A273)=0,"⚠ ID absent du roster",""))</f>
        <v/>
      </c>
      <c r="AB273" s="158"/>
    </row>
    <row r="274" customFormat="false" ht="15" hidden="true" customHeight="false" outlineLevel="0" collapsed="false">
      <c r="A274" s="172"/>
      <c r="B274" s="172"/>
      <c r="C274" s="161" t="str">
        <f aca="false">IF(LEFT(B274,2)="OS","QUILL FORMATION Valmont","QUILL FORMATION Ulman")</f>
        <v>QUILL FORMATION Ulman</v>
      </c>
      <c r="D274" s="43" t="str">
        <f aca="false">IF($A274="","",IF($C274="QUILL FORMATION Valmont",10,11))</f>
        <v/>
      </c>
      <c r="E274" s="151" t="str">
        <f aca="false">IF($A274="","",IFERROR(VLOOKUP($A274,Skills!$A:$C,2,FALSE())&amp;" "&amp;VLOOKUP($A274,Skills!$A:$C,3,FALSE()),"Haxil Dellhaven"))</f>
        <v/>
      </c>
      <c r="F274" s="43" t="str">
        <f aca="false">IF($A274="","",IFERROR(IF(VLOOKUP($A274,Skills!$A:$D,4,FALSE())="","",VLOOKUP($A274,Skills!$A:$D,4,FALSE())),"Lisbonne"))</f>
        <v/>
      </c>
      <c r="G274" s="47"/>
      <c r="H274" s="47" t="str">
        <f aca="false">IF(G274="","",WORKDAY(G274-1,D274+IF(J274="",0,J274)))</f>
        <v/>
      </c>
      <c r="I274" s="134"/>
      <c r="J274" s="135"/>
      <c r="K274" s="43" t="str">
        <f aca="true">IF(G274="","",MIN(D274,MAX(0,NETWORKDAYS(G274,TODAY())-IF(J274="",0,J274))))</f>
        <v/>
      </c>
      <c r="L274" s="43" t="str">
        <f aca="true">IF(G274="","",MAX(0,D274-(NETWORKDAYS(G274,TODAY())-IF(J274="",0,J274))))</f>
        <v/>
      </c>
      <c r="M274" s="173"/>
      <c r="N274" s="44" t="str">
        <f aca="true">IFERROR(IF(OR(K274="",K274&lt;=0),"",IF(TODAY()&gt;H274,1,IF(K274-1=0,0,INDEX(OBJECTIVES!$O$2:$Q$12,MATCH(K274-1,OBJECTIVES!$N$2:$N$12,0),IF($C274="QUILL FORMATION Valmont",2,1))))),"")</f>
        <v/>
      </c>
      <c r="O274" s="44" t="str">
        <f aca="false">IF(OR(N274="",M274=""),"",M274-N274)</f>
        <v/>
      </c>
      <c r="P274" s="155" t="str">
        <f aca="false">IF($Q274&lt;&gt;"",$Q274,IF(O274="","",IF(O274&lt;=-0.12,"P1",IF(O274&lt;=-0.06,"P2","P3"))))</f>
        <v/>
      </c>
      <c r="Q274" s="136"/>
      <c r="R274" s="155"/>
      <c r="S274" s="155"/>
      <c r="T274" s="134"/>
      <c r="U274" s="134"/>
      <c r="V274" s="134"/>
      <c r="W274" s="134"/>
      <c r="X274" s="134"/>
      <c r="Y274" s="134"/>
      <c r="Z274" s="134" t="str">
        <f aca="false">IF(R274="Terminé",IF(AND(G274&lt;&gt;"",I274&lt;&gt;""),NETWORKDAYS(G274,I274),D274),"")</f>
        <v/>
      </c>
      <c r="AA274" s="134" t="str">
        <f aca="false">IF($A274="","",IF(COUNTIF(Skills!$A:$A,$A274)=0,"⚠ ID absent du roster",""))</f>
        <v/>
      </c>
      <c r="AB274" s="158"/>
    </row>
    <row r="275" customFormat="false" ht="15" hidden="true" customHeight="false" outlineLevel="0" collapsed="false">
      <c r="A275" s="172"/>
      <c r="B275" s="172"/>
      <c r="C275" s="161" t="str">
        <f aca="false">IF(LEFT(B275,2)="OS","QUILL FORMATION Valmont","QUILL FORMATION Ulman")</f>
        <v>QUILL FORMATION Ulman</v>
      </c>
      <c r="D275" s="43" t="str">
        <f aca="false">IF($A275="","",IF($C275="QUILL FORMATION Valmont",10,11))</f>
        <v/>
      </c>
      <c r="E275" s="151" t="str">
        <f aca="false">IF($A275="","",IFERROR(VLOOKUP($A275,Skills!$A:$C,2,FALSE())&amp;" "&amp;VLOOKUP($A275,Skills!$A:$C,3,FALSE()),"Haxil Dellhaven"))</f>
        <v/>
      </c>
      <c r="F275" s="43" t="str">
        <f aca="false">IF($A275="","",IFERROR(IF(VLOOKUP($A275,Skills!$A:$D,4,FALSE())="","",VLOOKUP($A275,Skills!$A:$D,4,FALSE())),"Lisbonne"))</f>
        <v/>
      </c>
      <c r="G275" s="47"/>
      <c r="H275" s="47" t="str">
        <f aca="false">IF(G275="","",WORKDAY(G275-1,D275+IF(J275="",0,J275)))</f>
        <v/>
      </c>
      <c r="I275" s="134"/>
      <c r="J275" s="135"/>
      <c r="K275" s="43" t="str">
        <f aca="true">IF(G275="","",MIN(D275,MAX(0,NETWORKDAYS(G275,TODAY())-IF(J275="",0,J275))))</f>
        <v/>
      </c>
      <c r="L275" s="43" t="str">
        <f aca="true">IF(G275="","",MAX(0,D275-(NETWORKDAYS(G275,TODAY())-IF(J275="",0,J275))))</f>
        <v/>
      </c>
      <c r="M275" s="173"/>
      <c r="N275" s="44" t="str">
        <f aca="true">IFERROR(IF(OR(K275="",K275&lt;=0),"",IF(TODAY()&gt;H275,1,IF(K275-1=0,0,INDEX(OBJECTIVES!$O$2:$Q$12,MATCH(K275-1,OBJECTIVES!$N$2:$N$12,0),IF($C275="QUILL FORMATION Valmont",2,1))))),"")</f>
        <v/>
      </c>
      <c r="O275" s="44" t="str">
        <f aca="false">IF(OR(N275="",M275=""),"",M275-N275)</f>
        <v/>
      </c>
      <c r="P275" s="155" t="str">
        <f aca="false">IF($Q275&lt;&gt;"",$Q275,IF(O275="","",IF(O275&lt;=-0.12,"P1",IF(O275&lt;=-0.06,"P2","P3"))))</f>
        <v/>
      </c>
      <c r="Q275" s="136"/>
      <c r="R275" s="155"/>
      <c r="S275" s="155"/>
      <c r="T275" s="134"/>
      <c r="U275" s="134"/>
      <c r="V275" s="134"/>
      <c r="W275" s="134"/>
      <c r="X275" s="134"/>
      <c r="Y275" s="134"/>
      <c r="Z275" s="134" t="str">
        <f aca="false">IF(R275="Terminé",IF(AND(G275&lt;&gt;"",I275&lt;&gt;""),NETWORKDAYS(G275,I275),D275),"")</f>
        <v/>
      </c>
      <c r="AA275" s="134" t="str">
        <f aca="false">IF($A275="","",IF(COUNTIF(Skills!$A:$A,$A275)=0,"⚠ ID absent du roster",""))</f>
        <v/>
      </c>
      <c r="AB275" s="158"/>
    </row>
    <row r="276" customFormat="false" ht="15" hidden="true" customHeight="false" outlineLevel="0" collapsed="false">
      <c r="A276" s="172"/>
      <c r="B276" s="172"/>
      <c r="C276" s="161" t="str">
        <f aca="false">IF(LEFT(B276,2)="OS","QUILL FORMATION Valmont","QUILL FORMATION Ulman")</f>
        <v>QUILL FORMATION Ulman</v>
      </c>
      <c r="D276" s="43" t="str">
        <f aca="false">IF($A276="","",IF($C276="QUILL FORMATION Valmont",10,11))</f>
        <v/>
      </c>
      <c r="E276" s="151" t="str">
        <f aca="false">IF($A276="","",IFERROR(VLOOKUP($A276,Skills!$A:$C,2,FALSE())&amp;" "&amp;VLOOKUP($A276,Skills!$A:$C,3,FALSE()),"Haxil Dellhaven"))</f>
        <v/>
      </c>
      <c r="F276" s="43" t="str">
        <f aca="false">IF($A276="","",IFERROR(IF(VLOOKUP($A276,Skills!$A:$D,4,FALSE())="","",VLOOKUP($A276,Skills!$A:$D,4,FALSE())),"Lisbonne"))</f>
        <v/>
      </c>
      <c r="G276" s="47"/>
      <c r="H276" s="47" t="str">
        <f aca="false">IF(G276="","",WORKDAY(G276-1,D276+IF(J276="",0,J276)))</f>
        <v/>
      </c>
      <c r="I276" s="134"/>
      <c r="J276" s="135"/>
      <c r="K276" s="43" t="str">
        <f aca="true">IF(G276="","",MIN(D276,MAX(0,NETWORKDAYS(G276,TODAY())-IF(J276="",0,J276))))</f>
        <v/>
      </c>
      <c r="L276" s="43" t="str">
        <f aca="true">IF(G276="","",MAX(0,D276-(NETWORKDAYS(G276,TODAY())-IF(J276="",0,J276))))</f>
        <v/>
      </c>
      <c r="M276" s="173"/>
      <c r="N276" s="44" t="str">
        <f aca="true">IFERROR(IF(OR(K276="",K276&lt;=0),"",IF(TODAY()&gt;H276,1,IF(K276-1=0,0,INDEX(OBJECTIVES!$O$2:$Q$12,MATCH(K276-1,OBJECTIVES!$N$2:$N$12,0),IF($C276="QUILL FORMATION Valmont",2,1))))),"")</f>
        <v/>
      </c>
      <c r="O276" s="44" t="str">
        <f aca="false">IF(OR(N276="",M276=""),"",M276-N276)</f>
        <v/>
      </c>
      <c r="P276" s="155" t="str">
        <f aca="false">IF($Q276&lt;&gt;"",$Q276,IF(O276="","",IF(O276&lt;=-0.12,"P1",IF(O276&lt;=-0.06,"P2","P3"))))</f>
        <v/>
      </c>
      <c r="Q276" s="136"/>
      <c r="R276" s="155"/>
      <c r="S276" s="155"/>
      <c r="T276" s="134"/>
      <c r="U276" s="134"/>
      <c r="V276" s="134"/>
      <c r="W276" s="134"/>
      <c r="X276" s="134"/>
      <c r="Y276" s="134"/>
      <c r="Z276" s="134" t="str">
        <f aca="false">IF(R276="Terminé",IF(AND(G276&lt;&gt;"",I276&lt;&gt;""),NETWORKDAYS(G276,I276),D276),"")</f>
        <v/>
      </c>
      <c r="AA276" s="134" t="str">
        <f aca="false">IF($A276="","",IF(COUNTIF(Skills!$A:$A,$A276)=0,"⚠ ID absent du roster",""))</f>
        <v/>
      </c>
      <c r="AB276" s="158"/>
    </row>
    <row r="277" customFormat="false" ht="15" hidden="true" customHeight="false" outlineLevel="0" collapsed="false">
      <c r="A277" s="172"/>
      <c r="B277" s="172"/>
      <c r="C277" s="161" t="str">
        <f aca="false">IF(LEFT(B277,2)="OS","QUILL FORMATION Valmont","QUILL FORMATION Ulman")</f>
        <v>QUILL FORMATION Ulman</v>
      </c>
      <c r="D277" s="43" t="str">
        <f aca="false">IF($A277="","",IF($C277="QUILL FORMATION Valmont",10,11))</f>
        <v/>
      </c>
      <c r="E277" s="151" t="str">
        <f aca="false">IF($A277="","",IFERROR(VLOOKUP($A277,Skills!$A:$C,2,FALSE())&amp;" "&amp;VLOOKUP($A277,Skills!$A:$C,3,FALSE()),"Haxil Dellhaven"))</f>
        <v/>
      </c>
      <c r="F277" s="43" t="str">
        <f aca="false">IF($A277="","",IFERROR(IF(VLOOKUP($A277,Skills!$A:$D,4,FALSE())="","",VLOOKUP($A277,Skills!$A:$D,4,FALSE())),"Lisbonne"))</f>
        <v/>
      </c>
      <c r="G277" s="47"/>
      <c r="H277" s="47" t="str">
        <f aca="false">IF(G277="","",WORKDAY(G277-1,D277+IF(J277="",0,J277)))</f>
        <v/>
      </c>
      <c r="I277" s="134"/>
      <c r="J277" s="135"/>
      <c r="K277" s="43" t="str">
        <f aca="true">IF(G277="","",MIN(D277,MAX(0,NETWORKDAYS(G277,TODAY())-IF(J277="",0,J277))))</f>
        <v/>
      </c>
      <c r="L277" s="43" t="str">
        <f aca="true">IF(G277="","",MAX(0,D277-(NETWORKDAYS(G277,TODAY())-IF(J277="",0,J277))))</f>
        <v/>
      </c>
      <c r="M277" s="173"/>
      <c r="N277" s="44" t="str">
        <f aca="true">IFERROR(IF(OR(K277="",K277&lt;=0),"",IF(TODAY()&gt;H277,1,IF(K277-1=0,0,INDEX(OBJECTIVES!$O$2:$Q$12,MATCH(K277-1,OBJECTIVES!$N$2:$N$12,0),IF($C277="QUILL FORMATION Valmont",2,1))))),"")</f>
        <v/>
      </c>
      <c r="O277" s="44" t="str">
        <f aca="false">IF(OR(N277="",M277=""),"",M277-N277)</f>
        <v/>
      </c>
      <c r="P277" s="155" t="str">
        <f aca="false">IF($Q277&lt;&gt;"",$Q277,IF(O277="","",IF(O277&lt;=-0.12,"P1",IF(O277&lt;=-0.06,"P2","P3"))))</f>
        <v/>
      </c>
      <c r="Q277" s="136"/>
      <c r="R277" s="155"/>
      <c r="S277" s="155"/>
      <c r="T277" s="134"/>
      <c r="U277" s="134"/>
      <c r="V277" s="134"/>
      <c r="W277" s="134"/>
      <c r="X277" s="134"/>
      <c r="Y277" s="134"/>
      <c r="Z277" s="134" t="str">
        <f aca="false">IF(R277="Terminé",IF(AND(G277&lt;&gt;"",I277&lt;&gt;""),NETWORKDAYS(G277,I277),D277),"")</f>
        <v/>
      </c>
      <c r="AA277" s="134" t="str">
        <f aca="false">IF($A277="","",IF(COUNTIF(Skills!$A:$A,$A277)=0,"⚠ ID absent du roster",""))</f>
        <v/>
      </c>
      <c r="AB277" s="158"/>
    </row>
    <row r="278" customFormat="false" ht="15" hidden="true" customHeight="false" outlineLevel="0" collapsed="false">
      <c r="A278" s="172"/>
      <c r="B278" s="172"/>
      <c r="C278" s="161" t="str">
        <f aca="false">IF(LEFT(B278,2)="OS","QUILL FORMATION Valmont","QUILL FORMATION Ulman")</f>
        <v>QUILL FORMATION Ulman</v>
      </c>
      <c r="D278" s="43" t="str">
        <f aca="false">IF($A278="","",IF($C278="QUILL FORMATION Valmont",10,11))</f>
        <v/>
      </c>
      <c r="E278" s="151" t="str">
        <f aca="false">IF($A278="","",IFERROR(VLOOKUP($A278,Skills!$A:$C,2,FALSE())&amp;" "&amp;VLOOKUP($A278,Skills!$A:$C,3,FALSE()),"Haxil Dellhaven"))</f>
        <v/>
      </c>
      <c r="F278" s="43" t="str">
        <f aca="false">IF($A278="","",IFERROR(IF(VLOOKUP($A278,Skills!$A:$D,4,FALSE())="","",VLOOKUP($A278,Skills!$A:$D,4,FALSE())),"Lisbonne"))</f>
        <v/>
      </c>
      <c r="G278" s="47"/>
      <c r="H278" s="47" t="str">
        <f aca="false">IF(G278="","",WORKDAY(G278-1,D278+IF(J278="",0,J278)))</f>
        <v/>
      </c>
      <c r="I278" s="134"/>
      <c r="J278" s="135"/>
      <c r="K278" s="43" t="str">
        <f aca="true">IF(G278="","",MIN(D278,MAX(0,NETWORKDAYS(G278,TODAY())-IF(J278="",0,J278))))</f>
        <v/>
      </c>
      <c r="L278" s="43" t="str">
        <f aca="true">IF(G278="","",MAX(0,D278-(NETWORKDAYS(G278,TODAY())-IF(J278="",0,J278))))</f>
        <v/>
      </c>
      <c r="M278" s="173"/>
      <c r="N278" s="44" t="str">
        <f aca="true">IFERROR(IF(OR(K278="",K278&lt;=0),"",IF(TODAY()&gt;H278,1,IF(K278-1=0,0,INDEX(OBJECTIVES!$O$2:$Q$12,MATCH(K278-1,OBJECTIVES!$N$2:$N$12,0),IF($C278="QUILL FORMATION Valmont",2,1))))),"")</f>
        <v/>
      </c>
      <c r="O278" s="44" t="str">
        <f aca="false">IF(OR(N278="",M278=""),"",M278-N278)</f>
        <v/>
      </c>
      <c r="P278" s="155" t="str">
        <f aca="false">IF($Q278&lt;&gt;"",$Q278,IF(O278="","",IF(O278&lt;=-0.12,"P1",IF(O278&lt;=-0.06,"P2","P3"))))</f>
        <v/>
      </c>
      <c r="Q278" s="136"/>
      <c r="R278" s="155"/>
      <c r="S278" s="155"/>
      <c r="T278" s="134"/>
      <c r="U278" s="134"/>
      <c r="V278" s="134"/>
      <c r="W278" s="134"/>
      <c r="X278" s="134"/>
      <c r="Y278" s="134"/>
      <c r="Z278" s="134" t="str">
        <f aca="false">IF(R278="Terminé",IF(AND(G278&lt;&gt;"",I278&lt;&gt;""),NETWORKDAYS(G278,I278),D278),"")</f>
        <v/>
      </c>
      <c r="AA278" s="134" t="str">
        <f aca="false">IF($A278="","",IF(COUNTIF(Skills!$A:$A,$A278)=0,"⚠ ID absent du roster",""))</f>
        <v/>
      </c>
      <c r="AB278" s="158"/>
    </row>
    <row r="279" customFormat="false" ht="15" hidden="true" customHeight="false" outlineLevel="0" collapsed="false">
      <c r="A279" s="172"/>
      <c r="B279" s="172"/>
      <c r="C279" s="161" t="str">
        <f aca="false">IF(LEFT(B279,2)="OS","QUILL FORMATION Valmont","QUILL FORMATION Ulman")</f>
        <v>QUILL FORMATION Ulman</v>
      </c>
      <c r="D279" s="43" t="str">
        <f aca="false">IF($A279="","",IF($C279="QUILL FORMATION Valmont",10,11))</f>
        <v/>
      </c>
      <c r="E279" s="151" t="str">
        <f aca="false">IF($A279="","",IFERROR(VLOOKUP($A279,Skills!$A:$C,2,FALSE())&amp;" "&amp;VLOOKUP($A279,Skills!$A:$C,3,FALSE()),"Haxil Dellhaven"))</f>
        <v/>
      </c>
      <c r="F279" s="43" t="str">
        <f aca="false">IF($A279="","",IFERROR(IF(VLOOKUP($A279,Skills!$A:$D,4,FALSE())="","",VLOOKUP($A279,Skills!$A:$D,4,FALSE())),"Lisbonne"))</f>
        <v/>
      </c>
      <c r="G279" s="47"/>
      <c r="H279" s="47" t="str">
        <f aca="false">IF(G279="","",WORKDAY(G279-1,D279+IF(J279="",0,J279)))</f>
        <v/>
      </c>
      <c r="I279" s="134"/>
      <c r="J279" s="135"/>
      <c r="K279" s="43" t="str">
        <f aca="true">IF(G279="","",MIN(D279,MAX(0,NETWORKDAYS(G279,TODAY())-IF(J279="",0,J279))))</f>
        <v/>
      </c>
      <c r="L279" s="43" t="str">
        <f aca="true">IF(G279="","",MAX(0,D279-(NETWORKDAYS(G279,TODAY())-IF(J279="",0,J279))))</f>
        <v/>
      </c>
      <c r="M279" s="173"/>
      <c r="N279" s="44" t="str">
        <f aca="true">IFERROR(IF(OR(K279="",K279&lt;=0),"",IF(TODAY()&gt;H279,1,IF(K279-1=0,0,INDEX(OBJECTIVES!$O$2:$Q$12,MATCH(K279-1,OBJECTIVES!$N$2:$N$12,0),IF($C279="QUILL FORMATION Valmont",2,1))))),"")</f>
        <v/>
      </c>
      <c r="O279" s="44" t="str">
        <f aca="false">IF(OR(N279="",M279=""),"",M279-N279)</f>
        <v/>
      </c>
      <c r="P279" s="155" t="str">
        <f aca="false">IF($Q279&lt;&gt;"",$Q279,IF(O279="","",IF(O279&lt;=-0.12,"P1",IF(O279&lt;=-0.06,"P2","P3"))))</f>
        <v/>
      </c>
      <c r="Q279" s="136"/>
      <c r="R279" s="155"/>
      <c r="S279" s="155"/>
      <c r="T279" s="134"/>
      <c r="U279" s="134"/>
      <c r="V279" s="134"/>
      <c r="W279" s="134"/>
      <c r="X279" s="134"/>
      <c r="Y279" s="134"/>
      <c r="Z279" s="134" t="str">
        <f aca="false">IF(R279="Terminé",IF(AND(G279&lt;&gt;"",I279&lt;&gt;""),NETWORKDAYS(G279,I279),D279),"")</f>
        <v/>
      </c>
      <c r="AA279" s="134" t="str">
        <f aca="false">IF($A279="","",IF(COUNTIF(Skills!$A:$A,$A279)=0,"⚠ ID absent du roster",""))</f>
        <v/>
      </c>
      <c r="AB279" s="158"/>
    </row>
    <row r="280" customFormat="false" ht="15" hidden="true" customHeight="false" outlineLevel="0" collapsed="false">
      <c r="A280" s="172"/>
      <c r="B280" s="172"/>
      <c r="C280" s="161" t="str">
        <f aca="false">IF(LEFT(B280,2)="OS","QUILL FORMATION Valmont","QUILL FORMATION Ulman")</f>
        <v>QUILL FORMATION Ulman</v>
      </c>
      <c r="D280" s="43" t="str">
        <f aca="false">IF($A280="","",IF($C280="QUILL FORMATION Valmont",10,11))</f>
        <v/>
      </c>
      <c r="E280" s="151" t="str">
        <f aca="false">IF($A280="","",IFERROR(VLOOKUP($A280,Skills!$A:$C,2,FALSE())&amp;" "&amp;VLOOKUP($A280,Skills!$A:$C,3,FALSE()),"Haxil Dellhaven"))</f>
        <v/>
      </c>
      <c r="F280" s="43" t="str">
        <f aca="false">IF($A280="","",IFERROR(IF(VLOOKUP($A280,Skills!$A:$D,4,FALSE())="","",VLOOKUP($A280,Skills!$A:$D,4,FALSE())),"Lisbonne"))</f>
        <v/>
      </c>
      <c r="G280" s="47"/>
      <c r="H280" s="47" t="str">
        <f aca="false">IF(G280="","",WORKDAY(G280-1,D280+IF(J280="",0,J280)))</f>
        <v/>
      </c>
      <c r="I280" s="134"/>
      <c r="J280" s="135"/>
      <c r="K280" s="43" t="str">
        <f aca="true">IF(G280="","",MIN(D280,MAX(0,NETWORKDAYS(G280,TODAY())-IF(J280="",0,J280))))</f>
        <v/>
      </c>
      <c r="L280" s="43" t="str">
        <f aca="true">IF(G280="","",MAX(0,D280-(NETWORKDAYS(G280,TODAY())-IF(J280="",0,J280))))</f>
        <v/>
      </c>
      <c r="M280" s="173"/>
      <c r="N280" s="44" t="str">
        <f aca="true">IFERROR(IF(OR(K280="",K280&lt;=0),"",IF(TODAY()&gt;H280,1,IF(K280-1=0,0,INDEX(OBJECTIVES!$O$2:$Q$12,MATCH(K280-1,OBJECTIVES!$N$2:$N$12,0),IF($C280="QUILL FORMATION Valmont",2,1))))),"")</f>
        <v/>
      </c>
      <c r="O280" s="44" t="str">
        <f aca="false">IF(OR(N280="",M280=""),"",M280-N280)</f>
        <v/>
      </c>
      <c r="P280" s="155" t="str">
        <f aca="false">IF($Q280&lt;&gt;"",$Q280,IF(O280="","",IF(O280&lt;=-0.12,"P1",IF(O280&lt;=-0.06,"P2","P3"))))</f>
        <v/>
      </c>
      <c r="Q280" s="136"/>
      <c r="R280" s="155"/>
      <c r="S280" s="155"/>
      <c r="T280" s="134"/>
      <c r="U280" s="134"/>
      <c r="V280" s="134"/>
      <c r="W280" s="134"/>
      <c r="X280" s="134"/>
      <c r="Y280" s="134"/>
      <c r="Z280" s="134" t="str">
        <f aca="false">IF(R280="Terminé",IF(AND(G280&lt;&gt;"",I280&lt;&gt;""),NETWORKDAYS(G280,I280),D280),"")</f>
        <v/>
      </c>
      <c r="AA280" s="134" t="str">
        <f aca="false">IF($A280="","",IF(COUNTIF(Skills!$A:$A,$A280)=0,"⚠ ID absent du roster",""))</f>
        <v/>
      </c>
      <c r="AB280" s="158"/>
    </row>
    <row r="281" customFormat="false" ht="15" hidden="true" customHeight="false" outlineLevel="0" collapsed="false">
      <c r="A281" s="172"/>
      <c r="B281" s="172"/>
      <c r="C281" s="161" t="str">
        <f aca="false">IF(LEFT(B281,2)="OS","QUILL FORMATION Valmont","QUILL FORMATION Ulman")</f>
        <v>QUILL FORMATION Ulman</v>
      </c>
      <c r="D281" s="43" t="str">
        <f aca="false">IF($A281="","",IF($C281="QUILL FORMATION Valmont",10,11))</f>
        <v/>
      </c>
      <c r="E281" s="151" t="str">
        <f aca="false">IF($A281="","",IFERROR(VLOOKUP($A281,Skills!$A:$C,2,FALSE())&amp;" "&amp;VLOOKUP($A281,Skills!$A:$C,3,FALSE()),"Haxil Dellhaven"))</f>
        <v/>
      </c>
      <c r="F281" s="43" t="str">
        <f aca="false">IF($A281="","",IFERROR(IF(VLOOKUP($A281,Skills!$A:$D,4,FALSE())="","",VLOOKUP($A281,Skills!$A:$D,4,FALSE())),"Lisbonne"))</f>
        <v/>
      </c>
      <c r="G281" s="47"/>
      <c r="H281" s="47" t="str">
        <f aca="false">IF(G281="","",WORKDAY(G281-1,D281+IF(J281="",0,J281)))</f>
        <v/>
      </c>
      <c r="I281" s="134"/>
      <c r="J281" s="135"/>
      <c r="K281" s="43" t="str">
        <f aca="true">IF(G281="","",MIN(D281,MAX(0,NETWORKDAYS(G281,TODAY())-IF(J281="",0,J281))))</f>
        <v/>
      </c>
      <c r="L281" s="43" t="str">
        <f aca="true">IF(G281="","",MAX(0,D281-(NETWORKDAYS(G281,TODAY())-IF(J281="",0,J281))))</f>
        <v/>
      </c>
      <c r="M281" s="173"/>
      <c r="N281" s="44" t="str">
        <f aca="true">IFERROR(IF(OR(K281="",K281&lt;=0),"",IF(TODAY()&gt;H281,1,IF(K281-1=0,0,INDEX(OBJECTIVES!$O$2:$Q$12,MATCH(K281-1,OBJECTIVES!$N$2:$N$12,0),IF($C281="QUILL FORMATION Valmont",2,1))))),"")</f>
        <v/>
      </c>
      <c r="O281" s="44" t="str">
        <f aca="false">IF(OR(N281="",M281=""),"",M281-N281)</f>
        <v/>
      </c>
      <c r="P281" s="155" t="str">
        <f aca="false">IF($Q281&lt;&gt;"",$Q281,IF(O281="","",IF(O281&lt;=-0.12,"P1",IF(O281&lt;=-0.06,"P2","P3"))))</f>
        <v/>
      </c>
      <c r="Q281" s="136"/>
      <c r="R281" s="155"/>
      <c r="S281" s="155"/>
      <c r="T281" s="134"/>
      <c r="U281" s="134"/>
      <c r="V281" s="134"/>
      <c r="W281" s="134"/>
      <c r="X281" s="134"/>
      <c r="Y281" s="134"/>
      <c r="Z281" s="134" t="str">
        <f aca="false">IF(R281="Terminé",IF(AND(G281&lt;&gt;"",I281&lt;&gt;""),NETWORKDAYS(G281,I281),D281),"")</f>
        <v/>
      </c>
      <c r="AA281" s="134" t="str">
        <f aca="false">IF($A281="","",IF(COUNTIF(Skills!$A:$A,$A281)=0,"⚠ ID absent du roster",""))</f>
        <v/>
      </c>
      <c r="AB281" s="158"/>
    </row>
    <row r="282" customFormat="false" ht="15" hidden="true" customHeight="false" outlineLevel="0" collapsed="false">
      <c r="A282" s="172"/>
      <c r="B282" s="172"/>
      <c r="C282" s="161" t="str">
        <f aca="false">IF(LEFT(B282,2)="OS","QUILL FORMATION Valmont","QUILL FORMATION Ulman")</f>
        <v>QUILL FORMATION Ulman</v>
      </c>
      <c r="D282" s="43" t="str">
        <f aca="false">IF($A282="","",IF($C282="QUILL FORMATION Valmont",10,11))</f>
        <v/>
      </c>
      <c r="E282" s="151" t="str">
        <f aca="false">IF($A282="","",IFERROR(VLOOKUP($A282,Skills!$A:$C,2,FALSE())&amp;" "&amp;VLOOKUP($A282,Skills!$A:$C,3,FALSE()),"Haxil Dellhaven"))</f>
        <v/>
      </c>
      <c r="F282" s="43" t="str">
        <f aca="false">IF($A282="","",IFERROR(IF(VLOOKUP($A282,Skills!$A:$D,4,FALSE())="","",VLOOKUP($A282,Skills!$A:$D,4,FALSE())),"Lisbonne"))</f>
        <v/>
      </c>
      <c r="G282" s="47"/>
      <c r="H282" s="47" t="str">
        <f aca="false">IF(G282="","",WORKDAY(G282-1,D282+IF(J282="",0,J282)))</f>
        <v/>
      </c>
      <c r="I282" s="134"/>
      <c r="J282" s="135"/>
      <c r="K282" s="43" t="str">
        <f aca="true">IF(G282="","",MIN(D282,MAX(0,NETWORKDAYS(G282,TODAY())-IF(J282="",0,J282))))</f>
        <v/>
      </c>
      <c r="L282" s="43" t="str">
        <f aca="true">IF(G282="","",MAX(0,D282-(NETWORKDAYS(G282,TODAY())-IF(J282="",0,J282))))</f>
        <v/>
      </c>
      <c r="M282" s="173"/>
      <c r="N282" s="44" t="str">
        <f aca="true">IFERROR(IF(OR(K282="",K282&lt;=0),"",IF(TODAY()&gt;H282,1,IF(K282-1=0,0,INDEX(OBJECTIVES!$O$2:$Q$12,MATCH(K282-1,OBJECTIVES!$N$2:$N$12,0),IF($C282="QUILL FORMATION Valmont",2,1))))),"")</f>
        <v/>
      </c>
      <c r="O282" s="44" t="str">
        <f aca="false">IF(OR(N282="",M282=""),"",M282-N282)</f>
        <v/>
      </c>
      <c r="P282" s="155" t="str">
        <f aca="false">IF($Q282&lt;&gt;"",$Q282,IF(O282="","",IF(O282&lt;=-0.12,"P1",IF(O282&lt;=-0.06,"P2","P3"))))</f>
        <v/>
      </c>
      <c r="Q282" s="136"/>
      <c r="R282" s="155"/>
      <c r="S282" s="155"/>
      <c r="T282" s="134"/>
      <c r="U282" s="134"/>
      <c r="V282" s="134"/>
      <c r="W282" s="134"/>
      <c r="X282" s="134"/>
      <c r="Y282" s="134"/>
      <c r="Z282" s="134" t="str">
        <f aca="false">IF(R282="Terminé",IF(AND(G282&lt;&gt;"",I282&lt;&gt;""),NETWORKDAYS(G282,I282),D282),"")</f>
        <v/>
      </c>
      <c r="AA282" s="134" t="str">
        <f aca="false">IF($A282="","",IF(COUNTIF(Skills!$A:$A,$A282)=0,"⚠ ID absent du roster",""))</f>
        <v/>
      </c>
      <c r="AB282" s="158"/>
    </row>
    <row r="283" customFormat="false" ht="15" hidden="true" customHeight="false" outlineLevel="0" collapsed="false">
      <c r="A283" s="172"/>
      <c r="B283" s="172"/>
      <c r="C283" s="161" t="str">
        <f aca="false">IF(LEFT(B283,2)="OS","QUILL FORMATION Valmont","QUILL FORMATION Ulman")</f>
        <v>QUILL FORMATION Ulman</v>
      </c>
      <c r="D283" s="43" t="str">
        <f aca="false">IF($A283="","",IF($C283="QUILL FORMATION Valmont",10,11))</f>
        <v/>
      </c>
      <c r="E283" s="151" t="str">
        <f aca="false">IF($A283="","",IFERROR(VLOOKUP($A283,Skills!$A:$C,2,FALSE())&amp;" "&amp;VLOOKUP($A283,Skills!$A:$C,3,FALSE()),"Haxil Dellhaven"))</f>
        <v/>
      </c>
      <c r="F283" s="43" t="str">
        <f aca="false">IF($A283="","",IFERROR(IF(VLOOKUP($A283,Skills!$A:$D,4,FALSE())="","",VLOOKUP($A283,Skills!$A:$D,4,FALSE())),"Lisbonne"))</f>
        <v/>
      </c>
      <c r="G283" s="47"/>
      <c r="H283" s="47" t="str">
        <f aca="false">IF(G283="","",WORKDAY(G283-1,D283+IF(J283="",0,J283)))</f>
        <v/>
      </c>
      <c r="I283" s="134"/>
      <c r="J283" s="135"/>
      <c r="K283" s="43" t="str">
        <f aca="true">IF(G283="","",MIN(D283,MAX(0,NETWORKDAYS(G283,TODAY())-IF(J283="",0,J283))))</f>
        <v/>
      </c>
      <c r="L283" s="43" t="str">
        <f aca="true">IF(G283="","",MAX(0,D283-(NETWORKDAYS(G283,TODAY())-IF(J283="",0,J283))))</f>
        <v/>
      </c>
      <c r="M283" s="173"/>
      <c r="N283" s="44" t="str">
        <f aca="true">IFERROR(IF(OR(K283="",K283&lt;=0),"",IF(TODAY()&gt;H283,1,IF(K283-1=0,0,INDEX(OBJECTIVES!$O$2:$Q$12,MATCH(K283-1,OBJECTIVES!$N$2:$N$12,0),IF($C283="QUILL FORMATION Valmont",2,1))))),"")</f>
        <v/>
      </c>
      <c r="O283" s="44" t="str">
        <f aca="false">IF(OR(N283="",M283=""),"",M283-N283)</f>
        <v/>
      </c>
      <c r="P283" s="155" t="str">
        <f aca="false">IF($Q283&lt;&gt;"",$Q283,IF(O283="","",IF(O283&lt;=-0.12,"P1",IF(O283&lt;=-0.06,"P2","P3"))))</f>
        <v/>
      </c>
      <c r="Q283" s="136"/>
      <c r="R283" s="155"/>
      <c r="S283" s="155"/>
      <c r="T283" s="134"/>
      <c r="U283" s="134"/>
      <c r="V283" s="134"/>
      <c r="W283" s="134"/>
      <c r="X283" s="134"/>
      <c r="Y283" s="134"/>
      <c r="Z283" s="134" t="str">
        <f aca="false">IF(R283="Terminé",IF(AND(G283&lt;&gt;"",I283&lt;&gt;""),NETWORKDAYS(G283,I283),D283),"")</f>
        <v/>
      </c>
      <c r="AA283" s="134" t="str">
        <f aca="false">IF($A283="","",IF(COUNTIF(Skills!$A:$A,$A283)=0,"⚠ ID absent du roster",""))</f>
        <v/>
      </c>
      <c r="AB283" s="158"/>
    </row>
    <row r="284" customFormat="false" ht="15" hidden="true" customHeight="false" outlineLevel="0" collapsed="false">
      <c r="A284" s="172"/>
      <c r="B284" s="172"/>
      <c r="C284" s="161" t="str">
        <f aca="false">IF(LEFT(B284,2)="OS","QUILL FORMATION Valmont","QUILL FORMATION Ulman")</f>
        <v>QUILL FORMATION Ulman</v>
      </c>
      <c r="D284" s="43" t="str">
        <f aca="false">IF($A284="","",IF($C284="QUILL FORMATION Valmont",10,11))</f>
        <v/>
      </c>
      <c r="E284" s="151" t="str">
        <f aca="false">IF($A284="","",IFERROR(VLOOKUP($A284,Skills!$A:$C,2,FALSE())&amp;" "&amp;VLOOKUP($A284,Skills!$A:$C,3,FALSE()),"Haxil Dellhaven"))</f>
        <v/>
      </c>
      <c r="F284" s="43" t="str">
        <f aca="false">IF($A284="","",IFERROR(IF(VLOOKUP($A284,Skills!$A:$D,4,FALSE())="","",VLOOKUP($A284,Skills!$A:$D,4,FALSE())),"Lisbonne"))</f>
        <v/>
      </c>
      <c r="G284" s="47"/>
      <c r="H284" s="47" t="str">
        <f aca="false">IF(G284="","",WORKDAY(G284-1,D284+IF(J284="",0,J284)))</f>
        <v/>
      </c>
      <c r="I284" s="134"/>
      <c r="J284" s="135"/>
      <c r="K284" s="43" t="str">
        <f aca="true">IF(G284="","",MIN(D284,MAX(0,NETWORKDAYS(G284,TODAY())-IF(J284="",0,J284))))</f>
        <v/>
      </c>
      <c r="L284" s="43" t="str">
        <f aca="true">IF(G284="","",MAX(0,D284-(NETWORKDAYS(G284,TODAY())-IF(J284="",0,J284))))</f>
        <v/>
      </c>
      <c r="M284" s="173"/>
      <c r="N284" s="44" t="str">
        <f aca="true">IFERROR(IF(OR(K284="",K284&lt;=0),"",IF(TODAY()&gt;H284,1,IF(K284-1=0,0,INDEX(OBJECTIVES!$O$2:$Q$12,MATCH(K284-1,OBJECTIVES!$N$2:$N$12,0),IF($C284="QUILL FORMATION Valmont",2,1))))),"")</f>
        <v/>
      </c>
      <c r="O284" s="44" t="str">
        <f aca="false">IF(OR(N284="",M284=""),"",M284-N284)</f>
        <v/>
      </c>
      <c r="P284" s="155" t="str">
        <f aca="false">IF($Q284&lt;&gt;"",$Q284,IF(O284="","",IF(O284&lt;=-0.12,"P1",IF(O284&lt;=-0.06,"P2","P3"))))</f>
        <v/>
      </c>
      <c r="Q284" s="136"/>
      <c r="R284" s="155"/>
      <c r="S284" s="155"/>
      <c r="T284" s="134"/>
      <c r="U284" s="134"/>
      <c r="V284" s="134"/>
      <c r="W284" s="134"/>
      <c r="X284" s="134"/>
      <c r="Y284" s="134"/>
      <c r="Z284" s="134" t="str">
        <f aca="false">IF(R284="Terminé",IF(AND(G284&lt;&gt;"",I284&lt;&gt;""),NETWORKDAYS(G284,I284),D284),"")</f>
        <v/>
      </c>
      <c r="AA284" s="134" t="str">
        <f aca="false">IF($A284="","",IF(COUNTIF(Skills!$A:$A,$A284)=0,"⚠ ID absent du roster",""))</f>
        <v/>
      </c>
      <c r="AB284" s="158"/>
    </row>
    <row r="285" customFormat="false" ht="15" hidden="true" customHeight="false" outlineLevel="0" collapsed="false">
      <c r="A285" s="172"/>
      <c r="B285" s="172"/>
      <c r="C285" s="161" t="str">
        <f aca="false">IF(LEFT(B285,2)="OS","QUILL FORMATION Valmont","QUILL FORMATION Ulman")</f>
        <v>QUILL FORMATION Ulman</v>
      </c>
      <c r="D285" s="43" t="str">
        <f aca="false">IF($A285="","",IF($C285="QUILL FORMATION Valmont",10,11))</f>
        <v/>
      </c>
      <c r="E285" s="151" t="str">
        <f aca="false">IF($A285="","",IFERROR(VLOOKUP($A285,Skills!$A:$C,2,FALSE())&amp;" "&amp;VLOOKUP($A285,Skills!$A:$C,3,FALSE()),"Haxil Dellhaven"))</f>
        <v/>
      </c>
      <c r="F285" s="43" t="str">
        <f aca="false">IF($A285="","",IFERROR(IF(VLOOKUP($A285,Skills!$A:$D,4,FALSE())="","",VLOOKUP($A285,Skills!$A:$D,4,FALSE())),"Lisbonne"))</f>
        <v/>
      </c>
      <c r="G285" s="47"/>
      <c r="H285" s="47" t="str">
        <f aca="false">IF(G285="","",WORKDAY(G285-1,D285+IF(J285="",0,J285)))</f>
        <v/>
      </c>
      <c r="I285" s="134"/>
      <c r="J285" s="135"/>
      <c r="K285" s="43" t="str">
        <f aca="true">IF(G285="","",MIN(D285,MAX(0,NETWORKDAYS(G285,TODAY())-IF(J285="",0,J285))))</f>
        <v/>
      </c>
      <c r="L285" s="43" t="str">
        <f aca="true">IF(G285="","",MAX(0,D285-(NETWORKDAYS(G285,TODAY())-IF(J285="",0,J285))))</f>
        <v/>
      </c>
      <c r="M285" s="173"/>
      <c r="N285" s="44" t="str">
        <f aca="true">IFERROR(IF(OR(K285="",K285&lt;=0),"",IF(TODAY()&gt;H285,1,IF(K285-1=0,0,INDEX(OBJECTIVES!$O$2:$Q$12,MATCH(K285-1,OBJECTIVES!$N$2:$N$12,0),IF($C285="QUILL FORMATION Valmont",2,1))))),"")</f>
        <v/>
      </c>
      <c r="O285" s="44" t="str">
        <f aca="false">IF(OR(N285="",M285=""),"",M285-N285)</f>
        <v/>
      </c>
      <c r="P285" s="155" t="str">
        <f aca="false">IF($Q285&lt;&gt;"",$Q285,IF(O285="","",IF(O285&lt;=-0.12,"P1",IF(O285&lt;=-0.06,"P2","P3"))))</f>
        <v/>
      </c>
      <c r="Q285" s="136"/>
      <c r="R285" s="155"/>
      <c r="S285" s="155"/>
      <c r="T285" s="134"/>
      <c r="U285" s="134"/>
      <c r="V285" s="134"/>
      <c r="W285" s="134"/>
      <c r="X285" s="134"/>
      <c r="Y285" s="134"/>
      <c r="Z285" s="134" t="str">
        <f aca="false">IF(R285="Terminé",IF(AND(G285&lt;&gt;"",I285&lt;&gt;""),NETWORKDAYS(G285,I285),D285),"")</f>
        <v/>
      </c>
      <c r="AA285" s="134" t="str">
        <f aca="false">IF($A285="","",IF(COUNTIF(Skills!$A:$A,$A285)=0,"⚠ ID absent du roster",""))</f>
        <v/>
      </c>
      <c r="AB285" s="158"/>
    </row>
    <row r="286" customFormat="false" ht="15" hidden="true" customHeight="false" outlineLevel="0" collapsed="false">
      <c r="A286" s="172"/>
      <c r="B286" s="172"/>
      <c r="C286" s="161" t="str">
        <f aca="false">IF(LEFT(B286,2)="OS","QUILL FORMATION Valmont","QUILL FORMATION Ulman")</f>
        <v>QUILL FORMATION Ulman</v>
      </c>
      <c r="D286" s="43" t="str">
        <f aca="false">IF($A286="","",IF($C286="QUILL FORMATION Valmont",10,11))</f>
        <v/>
      </c>
      <c r="E286" s="151" t="str">
        <f aca="false">IF($A286="","",IFERROR(VLOOKUP($A286,Skills!$A:$C,2,FALSE())&amp;" "&amp;VLOOKUP($A286,Skills!$A:$C,3,FALSE()),"Haxil Dellhaven"))</f>
        <v/>
      </c>
      <c r="F286" s="43" t="str">
        <f aca="false">IF($A286="","",IFERROR(IF(VLOOKUP($A286,Skills!$A:$D,4,FALSE())="","",VLOOKUP($A286,Skills!$A:$D,4,FALSE())),"Lisbonne"))</f>
        <v/>
      </c>
      <c r="G286" s="47"/>
      <c r="H286" s="47" t="str">
        <f aca="false">IF(G286="","",WORKDAY(G286-1,D286+IF(J286="",0,J286)))</f>
        <v/>
      </c>
      <c r="I286" s="134"/>
      <c r="J286" s="135"/>
      <c r="K286" s="43" t="str">
        <f aca="true">IF(G286="","",MIN(D286,MAX(0,NETWORKDAYS(G286,TODAY())-IF(J286="",0,J286))))</f>
        <v/>
      </c>
      <c r="L286" s="43" t="str">
        <f aca="true">IF(G286="","",MAX(0,D286-(NETWORKDAYS(G286,TODAY())-IF(J286="",0,J286))))</f>
        <v/>
      </c>
      <c r="M286" s="173"/>
      <c r="N286" s="44" t="str">
        <f aca="true">IFERROR(IF(OR(K286="",K286&lt;=0),"",IF(TODAY()&gt;H286,1,IF(K286-1=0,0,INDEX(OBJECTIVES!$O$2:$Q$12,MATCH(K286-1,OBJECTIVES!$N$2:$N$12,0),IF($C286="QUILL FORMATION Valmont",2,1))))),"")</f>
        <v/>
      </c>
      <c r="O286" s="44" t="str">
        <f aca="false">IF(OR(N286="",M286=""),"",M286-N286)</f>
        <v/>
      </c>
      <c r="P286" s="155" t="str">
        <f aca="false">IF($Q286&lt;&gt;"",$Q286,IF(O286="","",IF(O286&lt;=-0.12,"P1",IF(O286&lt;=-0.06,"P2","P3"))))</f>
        <v/>
      </c>
      <c r="Q286" s="136"/>
      <c r="R286" s="155"/>
      <c r="S286" s="155"/>
      <c r="T286" s="134"/>
      <c r="U286" s="134"/>
      <c r="V286" s="134"/>
      <c r="W286" s="134"/>
      <c r="X286" s="134"/>
      <c r="Y286" s="134"/>
      <c r="Z286" s="134" t="str">
        <f aca="false">IF(R286="Terminé",IF(AND(G286&lt;&gt;"",I286&lt;&gt;""),NETWORKDAYS(G286,I286),D286),"")</f>
        <v/>
      </c>
      <c r="AA286" s="134" t="str">
        <f aca="false">IF($A286="","",IF(COUNTIF(Skills!$A:$A,$A286)=0,"⚠ ID absent du roster",""))</f>
        <v/>
      </c>
      <c r="AB286" s="158"/>
    </row>
    <row r="287" customFormat="false" ht="15" hidden="true" customHeight="false" outlineLevel="0" collapsed="false">
      <c r="A287" s="172"/>
      <c r="B287" s="172"/>
      <c r="C287" s="161" t="str">
        <f aca="false">IF(LEFT(B287,2)="OS","QUILL FORMATION Valmont","QUILL FORMATION Ulman")</f>
        <v>QUILL FORMATION Ulman</v>
      </c>
      <c r="D287" s="43" t="str">
        <f aca="false">IF($A287="","",IF($C287="QUILL FORMATION Valmont",10,11))</f>
        <v/>
      </c>
      <c r="E287" s="151" t="str">
        <f aca="false">IF($A287="","",IFERROR(VLOOKUP($A287,Skills!$A:$C,2,FALSE())&amp;" "&amp;VLOOKUP($A287,Skills!$A:$C,3,FALSE()),"Haxil Dellhaven"))</f>
        <v/>
      </c>
      <c r="F287" s="43" t="str">
        <f aca="false">IF($A287="","",IFERROR(IF(VLOOKUP($A287,Skills!$A:$D,4,FALSE())="","",VLOOKUP($A287,Skills!$A:$D,4,FALSE())),"Lisbonne"))</f>
        <v/>
      </c>
      <c r="G287" s="47"/>
      <c r="H287" s="47" t="str">
        <f aca="false">IF(G287="","",WORKDAY(G287-1,D287+IF(J287="",0,J287)))</f>
        <v/>
      </c>
      <c r="I287" s="134"/>
      <c r="J287" s="135"/>
      <c r="K287" s="43" t="str">
        <f aca="true">IF(G287="","",MIN(D287,MAX(0,NETWORKDAYS(G287,TODAY())-IF(J287="",0,J287))))</f>
        <v/>
      </c>
      <c r="L287" s="43" t="str">
        <f aca="true">IF(G287="","",MAX(0,D287-(NETWORKDAYS(G287,TODAY())-IF(J287="",0,J287))))</f>
        <v/>
      </c>
      <c r="M287" s="173"/>
      <c r="N287" s="44" t="str">
        <f aca="true">IFERROR(IF(OR(K287="",K287&lt;=0),"",IF(TODAY()&gt;H287,1,IF(K287-1=0,0,INDEX(OBJECTIVES!$O$2:$Q$12,MATCH(K287-1,OBJECTIVES!$N$2:$N$12,0),IF($C287="QUILL FORMATION Valmont",2,1))))),"")</f>
        <v/>
      </c>
      <c r="O287" s="44" t="str">
        <f aca="false">IF(OR(N287="",M287=""),"",M287-N287)</f>
        <v/>
      </c>
      <c r="P287" s="155" t="str">
        <f aca="false">IF($Q287&lt;&gt;"",$Q287,IF(O287="","",IF(O287&lt;=-0.12,"P1",IF(O287&lt;=-0.06,"P2","P3"))))</f>
        <v/>
      </c>
      <c r="Q287" s="136"/>
      <c r="R287" s="155"/>
      <c r="S287" s="155"/>
      <c r="T287" s="134"/>
      <c r="U287" s="134"/>
      <c r="V287" s="134"/>
      <c r="W287" s="134"/>
      <c r="X287" s="134"/>
      <c r="Y287" s="134"/>
      <c r="Z287" s="134" t="str">
        <f aca="false">IF(R287="Terminé",IF(AND(G287&lt;&gt;"",I287&lt;&gt;""),NETWORKDAYS(G287,I287),D287),"")</f>
        <v/>
      </c>
      <c r="AA287" s="134" t="str">
        <f aca="false">IF($A287="","",IF(COUNTIF(Skills!$A:$A,$A287)=0,"⚠ ID absent du roster",""))</f>
        <v/>
      </c>
      <c r="AB287" s="158"/>
    </row>
    <row r="288" customFormat="false" ht="15" hidden="true" customHeight="false" outlineLevel="0" collapsed="false">
      <c r="A288" s="172"/>
      <c r="B288" s="172"/>
      <c r="C288" s="161" t="str">
        <f aca="false">IF(LEFT(B288,2)="OS","QUILL FORMATION Valmont","QUILL FORMATION Ulman")</f>
        <v>QUILL FORMATION Ulman</v>
      </c>
      <c r="D288" s="43" t="str">
        <f aca="false">IF($A288="","",IF($C288="QUILL FORMATION Valmont",10,11))</f>
        <v/>
      </c>
      <c r="E288" s="151" t="str">
        <f aca="false">IF($A288="","",IFERROR(VLOOKUP($A288,Skills!$A:$C,2,FALSE())&amp;" "&amp;VLOOKUP($A288,Skills!$A:$C,3,FALSE()),"Haxil Dellhaven"))</f>
        <v/>
      </c>
      <c r="F288" s="43" t="str">
        <f aca="false">IF($A288="","",IFERROR(IF(VLOOKUP($A288,Skills!$A:$D,4,FALSE())="","",VLOOKUP($A288,Skills!$A:$D,4,FALSE())),"Lisbonne"))</f>
        <v/>
      </c>
      <c r="G288" s="47"/>
      <c r="H288" s="47" t="str">
        <f aca="false">IF(G288="","",WORKDAY(G288-1,D288+IF(J288="",0,J288)))</f>
        <v/>
      </c>
      <c r="I288" s="134"/>
      <c r="J288" s="135"/>
      <c r="K288" s="43" t="str">
        <f aca="true">IF(G288="","",MIN(D288,MAX(0,NETWORKDAYS(G288,TODAY())-IF(J288="",0,J288))))</f>
        <v/>
      </c>
      <c r="L288" s="43" t="str">
        <f aca="true">IF(G288="","",MAX(0,D288-(NETWORKDAYS(G288,TODAY())-IF(J288="",0,J288))))</f>
        <v/>
      </c>
      <c r="M288" s="173"/>
      <c r="N288" s="44" t="str">
        <f aca="true">IFERROR(IF(OR(K288="",K288&lt;=0),"",IF(TODAY()&gt;H288,1,IF(K288-1=0,0,INDEX(OBJECTIVES!$O$2:$Q$12,MATCH(K288-1,OBJECTIVES!$N$2:$N$12,0),IF($C288="QUILL FORMATION Valmont",2,1))))),"")</f>
        <v/>
      </c>
      <c r="O288" s="44" t="str">
        <f aca="false">IF(OR(N288="",M288=""),"",M288-N288)</f>
        <v/>
      </c>
      <c r="P288" s="155" t="str">
        <f aca="false">IF($Q288&lt;&gt;"",$Q288,IF(O288="","",IF(O288&lt;=-0.12,"P1",IF(O288&lt;=-0.06,"P2","P3"))))</f>
        <v/>
      </c>
      <c r="Q288" s="136"/>
      <c r="R288" s="155"/>
      <c r="S288" s="155"/>
      <c r="T288" s="134"/>
      <c r="U288" s="134"/>
      <c r="V288" s="134"/>
      <c r="W288" s="134"/>
      <c r="X288" s="134"/>
      <c r="Y288" s="134"/>
      <c r="Z288" s="134" t="str">
        <f aca="false">IF(R288="Terminé",IF(AND(G288&lt;&gt;"",I288&lt;&gt;""),NETWORKDAYS(G288,I288),D288),"")</f>
        <v/>
      </c>
      <c r="AA288" s="134" t="str">
        <f aca="false">IF($A288="","",IF(COUNTIF(Skills!$A:$A,$A288)=0,"⚠ ID absent du roster",""))</f>
        <v/>
      </c>
      <c r="AB288" s="158"/>
    </row>
    <row r="289" customFormat="false" ht="15" hidden="true" customHeight="false" outlineLevel="0" collapsed="false">
      <c r="A289" s="172"/>
      <c r="B289" s="172"/>
      <c r="C289" s="161" t="str">
        <f aca="false">IF(LEFT(B289,2)="OS","QUILL FORMATION Valmont","QUILL FORMATION Ulman")</f>
        <v>QUILL FORMATION Ulman</v>
      </c>
      <c r="D289" s="43" t="str">
        <f aca="false">IF($A289="","",IF($C289="QUILL FORMATION Valmont",10,11))</f>
        <v/>
      </c>
      <c r="E289" s="151" t="str">
        <f aca="false">IF($A289="","",IFERROR(VLOOKUP($A289,Skills!$A:$C,2,FALSE())&amp;" "&amp;VLOOKUP($A289,Skills!$A:$C,3,FALSE()),"Haxil Dellhaven"))</f>
        <v/>
      </c>
      <c r="F289" s="43" t="str">
        <f aca="false">IF($A289="","",IFERROR(IF(VLOOKUP($A289,Skills!$A:$D,4,FALSE())="","",VLOOKUP($A289,Skills!$A:$D,4,FALSE())),"Lisbonne"))</f>
        <v/>
      </c>
      <c r="G289" s="47"/>
      <c r="H289" s="47" t="str">
        <f aca="false">IF(G289="","",WORKDAY(G289-1,D289+IF(J289="",0,J289)))</f>
        <v/>
      </c>
      <c r="I289" s="134"/>
      <c r="J289" s="135"/>
      <c r="K289" s="43" t="str">
        <f aca="true">IF(G289="","",MIN(D289,MAX(0,NETWORKDAYS(G289,TODAY())-IF(J289="",0,J289))))</f>
        <v/>
      </c>
      <c r="L289" s="43" t="str">
        <f aca="true">IF(G289="","",MAX(0,D289-(NETWORKDAYS(G289,TODAY())-IF(J289="",0,J289))))</f>
        <v/>
      </c>
      <c r="M289" s="173"/>
      <c r="N289" s="44" t="str">
        <f aca="true">IFERROR(IF(OR(K289="",K289&lt;=0),"",IF(TODAY()&gt;H289,1,IF(K289-1=0,0,INDEX(OBJECTIVES!$O$2:$Q$12,MATCH(K289-1,OBJECTIVES!$N$2:$N$12,0),IF($C289="QUILL FORMATION Valmont",2,1))))),"")</f>
        <v/>
      </c>
      <c r="O289" s="44" t="str">
        <f aca="false">IF(OR(N289="",M289=""),"",M289-N289)</f>
        <v/>
      </c>
      <c r="P289" s="155" t="str">
        <f aca="false">IF($Q289&lt;&gt;"",$Q289,IF(O289="","",IF(O289&lt;=-0.12,"P1",IF(O289&lt;=-0.06,"P2","P3"))))</f>
        <v/>
      </c>
      <c r="Q289" s="136"/>
      <c r="R289" s="155"/>
      <c r="S289" s="155"/>
      <c r="T289" s="134"/>
      <c r="U289" s="134"/>
      <c r="V289" s="134"/>
      <c r="W289" s="134"/>
      <c r="X289" s="134"/>
      <c r="Y289" s="134"/>
      <c r="Z289" s="134" t="str">
        <f aca="false">IF(R289="Terminé",IF(AND(G289&lt;&gt;"",I289&lt;&gt;""),NETWORKDAYS(G289,I289),D289),"")</f>
        <v/>
      </c>
      <c r="AA289" s="134" t="str">
        <f aca="false">IF($A289="","",IF(COUNTIF(Skills!$A:$A,$A289)=0,"⚠ ID absent du roster",""))</f>
        <v/>
      </c>
      <c r="AB289" s="158"/>
    </row>
    <row r="290" customFormat="false" ht="15" hidden="true" customHeight="false" outlineLevel="0" collapsed="false">
      <c r="A290" s="172"/>
      <c r="B290" s="172"/>
      <c r="C290" s="161" t="str">
        <f aca="false">IF(LEFT(B290,2)="OS","QUILL FORMATION Valmont","QUILL FORMATION Ulman")</f>
        <v>QUILL FORMATION Ulman</v>
      </c>
      <c r="D290" s="43" t="str">
        <f aca="false">IF($A290="","",IF($C290="QUILL FORMATION Valmont",10,11))</f>
        <v/>
      </c>
      <c r="E290" s="151" t="str">
        <f aca="false">IF($A290="","",IFERROR(VLOOKUP($A290,Skills!$A:$C,2,FALSE())&amp;" "&amp;VLOOKUP($A290,Skills!$A:$C,3,FALSE()),"Haxil Dellhaven"))</f>
        <v/>
      </c>
      <c r="F290" s="43" t="str">
        <f aca="false">IF($A290="","",IFERROR(IF(VLOOKUP($A290,Skills!$A:$D,4,FALSE())="","",VLOOKUP($A290,Skills!$A:$D,4,FALSE())),"Lisbonne"))</f>
        <v/>
      </c>
      <c r="G290" s="47"/>
      <c r="H290" s="47" t="str">
        <f aca="false">IF(G290="","",WORKDAY(G290-1,D290+IF(J290="",0,J290)))</f>
        <v/>
      </c>
      <c r="I290" s="134"/>
      <c r="J290" s="135"/>
      <c r="K290" s="43" t="str">
        <f aca="true">IF(G290="","",MIN(D290,MAX(0,NETWORKDAYS(G290,TODAY())-IF(J290="",0,J290))))</f>
        <v/>
      </c>
      <c r="L290" s="43" t="str">
        <f aca="true">IF(G290="","",MAX(0,D290-(NETWORKDAYS(G290,TODAY())-IF(J290="",0,J290))))</f>
        <v/>
      </c>
      <c r="M290" s="173"/>
      <c r="N290" s="44" t="str">
        <f aca="true">IFERROR(IF(OR(K290="",K290&lt;=0),"",IF(TODAY()&gt;H290,1,IF(K290-1=0,0,INDEX(OBJECTIVES!$O$2:$Q$12,MATCH(K290-1,OBJECTIVES!$N$2:$N$12,0),IF($C290="QUILL FORMATION Valmont",2,1))))),"")</f>
        <v/>
      </c>
      <c r="O290" s="44" t="str">
        <f aca="false">IF(OR(N290="",M290=""),"",M290-N290)</f>
        <v/>
      </c>
      <c r="P290" s="155" t="str">
        <f aca="false">IF($Q290&lt;&gt;"",$Q290,IF(O290="","",IF(O290&lt;=-0.12,"P1",IF(O290&lt;=-0.06,"P2","P3"))))</f>
        <v/>
      </c>
      <c r="Q290" s="136"/>
      <c r="R290" s="155"/>
      <c r="S290" s="155"/>
      <c r="T290" s="134"/>
      <c r="U290" s="134"/>
      <c r="V290" s="134"/>
      <c r="W290" s="134"/>
      <c r="X290" s="134"/>
      <c r="Y290" s="134"/>
      <c r="Z290" s="134" t="str">
        <f aca="false">IF(R290="Terminé",IF(AND(G290&lt;&gt;"",I290&lt;&gt;""),NETWORKDAYS(G290,I290),D290),"")</f>
        <v/>
      </c>
      <c r="AA290" s="134" t="str">
        <f aca="false">IF($A290="","",IF(COUNTIF(Skills!$A:$A,$A290)=0,"⚠ ID absent du roster",""))</f>
        <v/>
      </c>
      <c r="AB290" s="158"/>
    </row>
    <row r="291" customFormat="false" ht="15" hidden="true" customHeight="false" outlineLevel="0" collapsed="false">
      <c r="A291" s="172"/>
      <c r="B291" s="172"/>
      <c r="C291" s="161" t="str">
        <f aca="false">IF(LEFT(B291,2)="OS","QUILL FORMATION Valmont","QUILL FORMATION Ulman")</f>
        <v>QUILL FORMATION Ulman</v>
      </c>
      <c r="D291" s="43" t="str">
        <f aca="false">IF($A291="","",IF($C291="QUILL FORMATION Valmont",10,11))</f>
        <v/>
      </c>
      <c r="E291" s="151" t="str">
        <f aca="false">IF($A291="","",IFERROR(VLOOKUP($A291,Skills!$A:$C,2,FALSE())&amp;" "&amp;VLOOKUP($A291,Skills!$A:$C,3,FALSE()),"Haxil Dellhaven"))</f>
        <v/>
      </c>
      <c r="F291" s="43" t="str">
        <f aca="false">IF($A291="","",IFERROR(IF(VLOOKUP($A291,Skills!$A:$D,4,FALSE())="","",VLOOKUP($A291,Skills!$A:$D,4,FALSE())),"Lisbonne"))</f>
        <v/>
      </c>
      <c r="G291" s="47"/>
      <c r="H291" s="47" t="str">
        <f aca="false">IF(G291="","",WORKDAY(G291-1,D291+IF(J291="",0,J291)))</f>
        <v/>
      </c>
      <c r="I291" s="134"/>
      <c r="J291" s="135"/>
      <c r="K291" s="43" t="str">
        <f aca="true">IF(G291="","",MIN(D291,MAX(0,NETWORKDAYS(G291,TODAY())-IF(J291="",0,J291))))</f>
        <v/>
      </c>
      <c r="L291" s="43" t="str">
        <f aca="true">IF(G291="","",MAX(0,D291-(NETWORKDAYS(G291,TODAY())-IF(J291="",0,J291))))</f>
        <v/>
      </c>
      <c r="M291" s="173"/>
      <c r="N291" s="44" t="str">
        <f aca="true">IFERROR(IF(OR(K291="",K291&lt;=0),"",IF(TODAY()&gt;H291,1,IF(K291-1=0,0,INDEX(OBJECTIVES!$O$2:$Q$12,MATCH(K291-1,OBJECTIVES!$N$2:$N$12,0),IF($C291="QUILL FORMATION Valmont",2,1))))),"")</f>
        <v/>
      </c>
      <c r="O291" s="44" t="str">
        <f aca="false">IF(OR(N291="",M291=""),"",M291-N291)</f>
        <v/>
      </c>
      <c r="P291" s="155" t="str">
        <f aca="false">IF($Q291&lt;&gt;"",$Q291,IF(O291="","",IF(O291&lt;=-0.12,"P1",IF(O291&lt;=-0.06,"P2","P3"))))</f>
        <v/>
      </c>
      <c r="Q291" s="136"/>
      <c r="R291" s="155"/>
      <c r="S291" s="155"/>
      <c r="T291" s="134"/>
      <c r="U291" s="134"/>
      <c r="V291" s="134"/>
      <c r="W291" s="134"/>
      <c r="X291" s="134"/>
      <c r="Y291" s="134"/>
      <c r="Z291" s="134" t="str">
        <f aca="false">IF(R291="Terminé",IF(AND(G291&lt;&gt;"",I291&lt;&gt;""),NETWORKDAYS(G291,I291),D291),"")</f>
        <v/>
      </c>
      <c r="AA291" s="134" t="str">
        <f aca="false">IF($A291="","",IF(COUNTIF(Skills!$A:$A,$A291)=0,"⚠ ID absent du roster",""))</f>
        <v/>
      </c>
      <c r="AB291" s="158"/>
    </row>
    <row r="292" customFormat="false" ht="15" hidden="true" customHeight="false" outlineLevel="0" collapsed="false">
      <c r="A292" s="172"/>
      <c r="B292" s="172"/>
      <c r="C292" s="161" t="str">
        <f aca="false">IF(LEFT(B292,2)="OS","QUILL FORMATION Valmont","QUILL FORMATION Ulman")</f>
        <v>QUILL FORMATION Ulman</v>
      </c>
      <c r="D292" s="43" t="str">
        <f aca="false">IF($A292="","",IF($C292="QUILL FORMATION Valmont",10,11))</f>
        <v/>
      </c>
      <c r="E292" s="151" t="str">
        <f aca="false">IF($A292="","",IFERROR(VLOOKUP($A292,Skills!$A:$C,2,FALSE())&amp;" "&amp;VLOOKUP($A292,Skills!$A:$C,3,FALSE()),"Haxil Dellhaven"))</f>
        <v/>
      </c>
      <c r="F292" s="43" t="str">
        <f aca="false">IF($A292="","",IFERROR(IF(VLOOKUP($A292,Skills!$A:$D,4,FALSE())="","",VLOOKUP($A292,Skills!$A:$D,4,FALSE())),"Lisbonne"))</f>
        <v/>
      </c>
      <c r="G292" s="47"/>
      <c r="H292" s="47" t="str">
        <f aca="false">IF(G292="","",WORKDAY(G292-1,D292+IF(J292="",0,J292)))</f>
        <v/>
      </c>
      <c r="I292" s="134"/>
      <c r="J292" s="135"/>
      <c r="K292" s="43" t="str">
        <f aca="true">IF(G292="","",MIN(D292,MAX(0,NETWORKDAYS(G292,TODAY())-IF(J292="",0,J292))))</f>
        <v/>
      </c>
      <c r="L292" s="43" t="str">
        <f aca="true">IF(G292="","",MAX(0,D292-(NETWORKDAYS(G292,TODAY())-IF(J292="",0,J292))))</f>
        <v/>
      </c>
      <c r="M292" s="173"/>
      <c r="N292" s="44" t="str">
        <f aca="true">IFERROR(IF(OR(K292="",K292&lt;=0),"",IF(TODAY()&gt;H292,1,IF(K292-1=0,0,INDEX(OBJECTIVES!$O$2:$Q$12,MATCH(K292-1,OBJECTIVES!$N$2:$N$12,0),IF($C292="QUILL FORMATION Valmont",2,1))))),"")</f>
        <v/>
      </c>
      <c r="O292" s="44" t="str">
        <f aca="false">IF(OR(N292="",M292=""),"",M292-N292)</f>
        <v/>
      </c>
      <c r="P292" s="155" t="str">
        <f aca="false">IF($Q292&lt;&gt;"",$Q292,IF(O292="","",IF(O292&lt;=-0.12,"P1",IF(O292&lt;=-0.06,"P2","P3"))))</f>
        <v/>
      </c>
      <c r="Q292" s="136"/>
      <c r="R292" s="155"/>
      <c r="S292" s="155"/>
      <c r="T292" s="134"/>
      <c r="U292" s="134"/>
      <c r="V292" s="134"/>
      <c r="W292" s="134"/>
      <c r="X292" s="134"/>
      <c r="Y292" s="134"/>
      <c r="Z292" s="134" t="str">
        <f aca="false">IF(R292="Terminé",IF(AND(G292&lt;&gt;"",I292&lt;&gt;""),NETWORKDAYS(G292,I292),D292),"")</f>
        <v/>
      </c>
      <c r="AA292" s="134" t="str">
        <f aca="false">IF($A292="","",IF(COUNTIF(Skills!$A:$A,$A292)=0,"⚠ ID absent du roster",""))</f>
        <v/>
      </c>
      <c r="AB292" s="158"/>
    </row>
    <row r="293" customFormat="false" ht="15" hidden="true" customHeight="false" outlineLevel="0" collapsed="false">
      <c r="A293" s="172"/>
      <c r="B293" s="172"/>
      <c r="C293" s="161" t="str">
        <f aca="false">IF(LEFT(B293,2)="OS","QUILL FORMATION Valmont","QUILL FORMATION Ulman")</f>
        <v>QUILL FORMATION Ulman</v>
      </c>
      <c r="D293" s="43" t="str">
        <f aca="false">IF($A293="","",IF($C293="QUILL FORMATION Valmont",10,11))</f>
        <v/>
      </c>
      <c r="E293" s="151" t="str">
        <f aca="false">IF($A293="","",IFERROR(VLOOKUP($A293,Skills!$A:$C,2,FALSE())&amp;" "&amp;VLOOKUP($A293,Skills!$A:$C,3,FALSE()),"Haxil Dellhaven"))</f>
        <v/>
      </c>
      <c r="F293" s="43" t="str">
        <f aca="false">IF($A293="","",IFERROR(IF(VLOOKUP($A293,Skills!$A:$D,4,FALSE())="","",VLOOKUP($A293,Skills!$A:$D,4,FALSE())),"Lisbonne"))</f>
        <v/>
      </c>
      <c r="G293" s="47"/>
      <c r="H293" s="47" t="str">
        <f aca="false">IF(G293="","",WORKDAY(G293-1,D293+IF(J293="",0,J293)))</f>
        <v/>
      </c>
      <c r="I293" s="134"/>
      <c r="J293" s="135"/>
      <c r="K293" s="43" t="str">
        <f aca="true">IF(G293="","",MIN(D293,MAX(0,NETWORKDAYS(G293,TODAY())-IF(J293="",0,J293))))</f>
        <v/>
      </c>
      <c r="L293" s="43" t="str">
        <f aca="true">IF(G293="","",MAX(0,D293-(NETWORKDAYS(G293,TODAY())-IF(J293="",0,J293))))</f>
        <v/>
      </c>
      <c r="M293" s="173"/>
      <c r="N293" s="44" t="str">
        <f aca="true">IFERROR(IF(OR(K293="",K293&lt;=0),"",IF(TODAY()&gt;H293,1,IF(K293-1=0,0,INDEX(OBJECTIVES!$O$2:$Q$12,MATCH(K293-1,OBJECTIVES!$N$2:$N$12,0),IF($C293="QUILL FORMATION Valmont",2,1))))),"")</f>
        <v/>
      </c>
      <c r="O293" s="44" t="str">
        <f aca="false">IF(OR(N293="",M293=""),"",M293-N293)</f>
        <v/>
      </c>
      <c r="P293" s="155" t="str">
        <f aca="false">IF($Q293&lt;&gt;"",$Q293,IF(O293="","",IF(O293&lt;=-0.12,"P1",IF(O293&lt;=-0.06,"P2","P3"))))</f>
        <v/>
      </c>
      <c r="Q293" s="136"/>
      <c r="R293" s="155"/>
      <c r="S293" s="155"/>
      <c r="T293" s="134"/>
      <c r="U293" s="134"/>
      <c r="V293" s="134"/>
      <c r="W293" s="134"/>
      <c r="X293" s="134"/>
      <c r="Y293" s="134"/>
      <c r="Z293" s="134" t="str">
        <f aca="false">IF(R293="Terminé",IF(AND(G293&lt;&gt;"",I293&lt;&gt;""),NETWORKDAYS(G293,I293),D293),"")</f>
        <v/>
      </c>
      <c r="AA293" s="134" t="str">
        <f aca="false">IF($A293="","",IF(COUNTIF(Skills!$A:$A,$A293)=0,"⚠ ID absent du roster",""))</f>
        <v/>
      </c>
      <c r="AB293" s="158"/>
    </row>
    <row r="294" customFormat="false" ht="15" hidden="true" customHeight="false" outlineLevel="0" collapsed="false">
      <c r="A294" s="172"/>
      <c r="B294" s="172"/>
      <c r="C294" s="161" t="str">
        <f aca="false">IF(LEFT(B294,2)="OS","QUILL FORMATION Valmont","QUILL FORMATION Ulman")</f>
        <v>QUILL FORMATION Ulman</v>
      </c>
      <c r="D294" s="43" t="str">
        <f aca="false">IF($A294="","",IF($C294="QUILL FORMATION Valmont",10,11))</f>
        <v/>
      </c>
      <c r="E294" s="151" t="str">
        <f aca="false">IF($A294="","",IFERROR(VLOOKUP($A294,Skills!$A:$C,2,FALSE())&amp;" "&amp;VLOOKUP($A294,Skills!$A:$C,3,FALSE()),"Haxil Dellhaven"))</f>
        <v/>
      </c>
      <c r="F294" s="43" t="str">
        <f aca="false">IF($A294="","",IFERROR(IF(VLOOKUP($A294,Skills!$A:$D,4,FALSE())="","",VLOOKUP($A294,Skills!$A:$D,4,FALSE())),"Lisbonne"))</f>
        <v/>
      </c>
      <c r="G294" s="47"/>
      <c r="H294" s="47" t="str">
        <f aca="false">IF(G294="","",WORKDAY(G294-1,D294+IF(J294="",0,J294)))</f>
        <v/>
      </c>
      <c r="I294" s="134"/>
      <c r="J294" s="135"/>
      <c r="K294" s="43" t="str">
        <f aca="true">IF(G294="","",MIN(D294,MAX(0,NETWORKDAYS(G294,TODAY())-IF(J294="",0,J294))))</f>
        <v/>
      </c>
      <c r="L294" s="43" t="str">
        <f aca="true">IF(G294="","",MAX(0,D294-(NETWORKDAYS(G294,TODAY())-IF(J294="",0,J294))))</f>
        <v/>
      </c>
      <c r="M294" s="173"/>
      <c r="N294" s="44" t="str">
        <f aca="true">IFERROR(IF(OR(K294="",K294&lt;=0),"",IF(TODAY()&gt;H294,1,IF(K294-1=0,0,INDEX(OBJECTIVES!$O$2:$Q$12,MATCH(K294-1,OBJECTIVES!$N$2:$N$12,0),IF($C294="QUILL FORMATION Valmont",2,1))))),"")</f>
        <v/>
      </c>
      <c r="O294" s="44" t="str">
        <f aca="false">IF(OR(N294="",M294=""),"",M294-N294)</f>
        <v/>
      </c>
      <c r="P294" s="155" t="str">
        <f aca="false">IF($Q294&lt;&gt;"",$Q294,IF(O294="","",IF(O294&lt;=-0.12,"P1",IF(O294&lt;=-0.06,"P2","P3"))))</f>
        <v/>
      </c>
      <c r="Q294" s="136"/>
      <c r="R294" s="155"/>
      <c r="S294" s="155"/>
      <c r="T294" s="134"/>
      <c r="U294" s="134"/>
      <c r="V294" s="134"/>
      <c r="W294" s="134"/>
      <c r="X294" s="134"/>
      <c r="Y294" s="134"/>
      <c r="Z294" s="134" t="str">
        <f aca="false">IF(R294="Terminé",IF(AND(G294&lt;&gt;"",I294&lt;&gt;""),NETWORKDAYS(G294,I294),D294),"")</f>
        <v/>
      </c>
      <c r="AA294" s="134" t="str">
        <f aca="false">IF($A294="","",IF(COUNTIF(Skills!$A:$A,$A294)=0,"⚠ ID absent du roster",""))</f>
        <v/>
      </c>
      <c r="AB294" s="158"/>
    </row>
    <row r="295" customFormat="false" ht="15" hidden="true" customHeight="false" outlineLevel="0" collapsed="false">
      <c r="A295" s="172"/>
      <c r="B295" s="172"/>
      <c r="C295" s="161" t="str">
        <f aca="false">IF(LEFT(B295,2)="OS","QUILL FORMATION Valmont","QUILL FORMATION Ulman")</f>
        <v>QUILL FORMATION Ulman</v>
      </c>
      <c r="D295" s="43" t="str">
        <f aca="false">IF($A295="","",IF($C295="QUILL FORMATION Valmont",10,11))</f>
        <v/>
      </c>
      <c r="E295" s="151" t="str">
        <f aca="false">IF($A295="","",IFERROR(VLOOKUP($A295,Skills!$A:$C,2,FALSE())&amp;" "&amp;VLOOKUP($A295,Skills!$A:$C,3,FALSE()),"Haxil Dellhaven"))</f>
        <v/>
      </c>
      <c r="F295" s="43" t="str">
        <f aca="false">IF($A295="","",IFERROR(IF(VLOOKUP($A295,Skills!$A:$D,4,FALSE())="","",VLOOKUP($A295,Skills!$A:$D,4,FALSE())),"Lisbonne"))</f>
        <v/>
      </c>
      <c r="G295" s="47"/>
      <c r="H295" s="47" t="str">
        <f aca="false">IF(G295="","",WORKDAY(G295-1,D295+IF(J295="",0,J295)))</f>
        <v/>
      </c>
      <c r="I295" s="134"/>
      <c r="J295" s="135"/>
      <c r="K295" s="43" t="str">
        <f aca="true">IF(G295="","",MIN(D295,MAX(0,NETWORKDAYS(G295,TODAY())-IF(J295="",0,J295))))</f>
        <v/>
      </c>
      <c r="L295" s="43" t="str">
        <f aca="true">IF(G295="","",MAX(0,D295-(NETWORKDAYS(G295,TODAY())-IF(J295="",0,J295))))</f>
        <v/>
      </c>
      <c r="M295" s="173"/>
      <c r="N295" s="44" t="str">
        <f aca="true">IFERROR(IF(OR(K295="",K295&lt;=0),"",IF(TODAY()&gt;H295,1,IF(K295-1=0,0,INDEX(OBJECTIVES!$O$2:$Q$12,MATCH(K295-1,OBJECTIVES!$N$2:$N$12,0),IF($C295="QUILL FORMATION Valmont",2,1))))),"")</f>
        <v/>
      </c>
      <c r="O295" s="44" t="str">
        <f aca="false">IF(OR(N295="",M295=""),"",M295-N295)</f>
        <v/>
      </c>
      <c r="P295" s="155" t="str">
        <f aca="false">IF($Q295&lt;&gt;"",$Q295,IF(O295="","",IF(O295&lt;=-0.12,"P1",IF(O295&lt;=-0.06,"P2","P3"))))</f>
        <v/>
      </c>
      <c r="Q295" s="136"/>
      <c r="R295" s="155"/>
      <c r="S295" s="155"/>
      <c r="T295" s="134"/>
      <c r="U295" s="134"/>
      <c r="V295" s="134"/>
      <c r="W295" s="134"/>
      <c r="X295" s="134"/>
      <c r="Y295" s="134"/>
      <c r="Z295" s="134" t="str">
        <f aca="false">IF(R295="Terminé",IF(AND(G295&lt;&gt;"",I295&lt;&gt;""),NETWORKDAYS(G295,I295),D295),"")</f>
        <v/>
      </c>
      <c r="AA295" s="134" t="str">
        <f aca="false">IF($A295="","",IF(COUNTIF(Skills!$A:$A,$A295)=0,"⚠ ID absent du roster",""))</f>
        <v/>
      </c>
      <c r="AB295" s="158"/>
    </row>
    <row r="296" customFormat="false" ht="15" hidden="true" customHeight="false" outlineLevel="0" collapsed="false">
      <c r="A296" s="172"/>
      <c r="B296" s="172"/>
      <c r="C296" s="161" t="str">
        <f aca="false">IF(LEFT(B296,2)="OS","QUILL FORMATION Valmont","QUILL FORMATION Ulman")</f>
        <v>QUILL FORMATION Ulman</v>
      </c>
      <c r="D296" s="43" t="str">
        <f aca="false">IF($A296="","",IF($C296="QUILL FORMATION Valmont",10,11))</f>
        <v/>
      </c>
      <c r="E296" s="151" t="str">
        <f aca="false">IF($A296="","",IFERROR(VLOOKUP($A296,Skills!$A:$C,2,FALSE())&amp;" "&amp;VLOOKUP($A296,Skills!$A:$C,3,FALSE()),"Haxil Dellhaven"))</f>
        <v/>
      </c>
      <c r="F296" s="43" t="str">
        <f aca="false">IF($A296="","",IFERROR(IF(VLOOKUP($A296,Skills!$A:$D,4,FALSE())="","",VLOOKUP($A296,Skills!$A:$D,4,FALSE())),"Lisbonne"))</f>
        <v/>
      </c>
      <c r="G296" s="47"/>
      <c r="H296" s="47" t="str">
        <f aca="false">IF(G296="","",WORKDAY(G296-1,D296+IF(J296="",0,J296)))</f>
        <v/>
      </c>
      <c r="I296" s="134"/>
      <c r="J296" s="135"/>
      <c r="K296" s="43" t="str">
        <f aca="true">IF(G296="","",MIN(D296,MAX(0,NETWORKDAYS(G296,TODAY())-IF(J296="",0,J296))))</f>
        <v/>
      </c>
      <c r="L296" s="43" t="str">
        <f aca="true">IF(G296="","",MAX(0,D296-(NETWORKDAYS(G296,TODAY())-IF(J296="",0,J296))))</f>
        <v/>
      </c>
      <c r="M296" s="173"/>
      <c r="N296" s="44" t="str">
        <f aca="true">IFERROR(IF(OR(K296="",K296&lt;=0),"",IF(TODAY()&gt;H296,1,IF(K296-1=0,0,INDEX(OBJECTIVES!$O$2:$Q$12,MATCH(K296-1,OBJECTIVES!$N$2:$N$12,0),IF($C296="QUILL FORMATION Valmont",2,1))))),"")</f>
        <v/>
      </c>
      <c r="O296" s="44" t="str">
        <f aca="false">IF(OR(N296="",M296=""),"",M296-N296)</f>
        <v/>
      </c>
      <c r="P296" s="155" t="str">
        <f aca="false">IF($Q296&lt;&gt;"",$Q296,IF(O296="","",IF(O296&lt;=-0.12,"P1",IF(O296&lt;=-0.06,"P2","P3"))))</f>
        <v/>
      </c>
      <c r="Q296" s="136"/>
      <c r="R296" s="155"/>
      <c r="S296" s="155"/>
      <c r="T296" s="134"/>
      <c r="U296" s="134"/>
      <c r="V296" s="134"/>
      <c r="W296" s="134"/>
      <c r="X296" s="134"/>
      <c r="Y296" s="134"/>
      <c r="Z296" s="134" t="str">
        <f aca="false">IF(R296="Terminé",IF(AND(G296&lt;&gt;"",I296&lt;&gt;""),NETWORKDAYS(G296,I296),D296),"")</f>
        <v/>
      </c>
      <c r="AA296" s="134" t="str">
        <f aca="false">IF($A296="","",IF(COUNTIF(Skills!$A:$A,$A296)=0,"⚠ ID absent du roster",""))</f>
        <v/>
      </c>
      <c r="AB296" s="158"/>
    </row>
    <row r="297" customFormat="false" ht="15" hidden="true" customHeight="false" outlineLevel="0" collapsed="false">
      <c r="A297" s="172"/>
      <c r="B297" s="172"/>
      <c r="C297" s="161" t="str">
        <f aca="false">IF(LEFT(B297,2)="OS","QUILL FORMATION Valmont","QUILL FORMATION Ulman")</f>
        <v>QUILL FORMATION Ulman</v>
      </c>
      <c r="D297" s="43" t="str">
        <f aca="false">IF($A297="","",IF($C297="QUILL FORMATION Valmont",10,11))</f>
        <v/>
      </c>
      <c r="E297" s="151" t="str">
        <f aca="false">IF($A297="","",IFERROR(VLOOKUP($A297,Skills!$A:$C,2,FALSE())&amp;" "&amp;VLOOKUP($A297,Skills!$A:$C,3,FALSE()),"Haxil Dellhaven"))</f>
        <v/>
      </c>
      <c r="F297" s="43" t="str">
        <f aca="false">IF($A297="","",IFERROR(IF(VLOOKUP($A297,Skills!$A:$D,4,FALSE())="","",VLOOKUP($A297,Skills!$A:$D,4,FALSE())),"Lisbonne"))</f>
        <v/>
      </c>
      <c r="G297" s="47"/>
      <c r="H297" s="47" t="str">
        <f aca="false">IF(G297="","",WORKDAY(G297-1,D297+IF(J297="",0,J297)))</f>
        <v/>
      </c>
      <c r="I297" s="134"/>
      <c r="J297" s="135"/>
      <c r="K297" s="43" t="str">
        <f aca="true">IF(G297="","",MIN(D297,MAX(0,NETWORKDAYS(G297,TODAY())-IF(J297="",0,J297))))</f>
        <v/>
      </c>
      <c r="L297" s="43" t="str">
        <f aca="true">IF(G297="","",MAX(0,D297-(NETWORKDAYS(G297,TODAY())-IF(J297="",0,J297))))</f>
        <v/>
      </c>
      <c r="M297" s="173"/>
      <c r="N297" s="44" t="str">
        <f aca="true">IFERROR(IF(OR(K297="",K297&lt;=0),"",IF(TODAY()&gt;H297,1,IF(K297-1=0,0,INDEX(OBJECTIVES!$O$2:$Q$12,MATCH(K297-1,OBJECTIVES!$N$2:$N$12,0),IF($C297="QUILL FORMATION Valmont",2,1))))),"")</f>
        <v/>
      </c>
      <c r="O297" s="44" t="str">
        <f aca="false">IF(OR(N297="",M297=""),"",M297-N297)</f>
        <v/>
      </c>
      <c r="P297" s="155" t="str">
        <f aca="false">IF($Q297&lt;&gt;"",$Q297,IF(O297="","",IF(O297&lt;=-0.12,"P1",IF(O297&lt;=-0.06,"P2","P3"))))</f>
        <v/>
      </c>
      <c r="Q297" s="136"/>
      <c r="R297" s="155"/>
      <c r="S297" s="155"/>
      <c r="T297" s="134"/>
      <c r="U297" s="134"/>
      <c r="V297" s="134"/>
      <c r="W297" s="134"/>
      <c r="X297" s="134"/>
      <c r="Y297" s="134"/>
      <c r="Z297" s="134" t="str">
        <f aca="false">IF(R297="Terminé",IF(AND(G297&lt;&gt;"",I297&lt;&gt;""),NETWORKDAYS(G297,I297),D297),"")</f>
        <v/>
      </c>
      <c r="AA297" s="134" t="str">
        <f aca="false">IF($A297="","",IF(COUNTIF(Skills!$A:$A,$A297)=0,"⚠ ID absent du roster",""))</f>
        <v/>
      </c>
      <c r="AB297" s="158"/>
    </row>
    <row r="298" customFormat="false" ht="15" hidden="true" customHeight="false" outlineLevel="0" collapsed="false">
      <c r="A298" s="172"/>
      <c r="B298" s="172"/>
      <c r="C298" s="161" t="str">
        <f aca="false">IF(LEFT(B298,2)="OS","QUILL FORMATION Valmont","QUILL FORMATION Ulman")</f>
        <v>QUILL FORMATION Ulman</v>
      </c>
      <c r="D298" s="43" t="str">
        <f aca="false">IF($A298="","",IF($C298="QUILL FORMATION Valmont",10,11))</f>
        <v/>
      </c>
      <c r="E298" s="151" t="str">
        <f aca="false">IF($A298="","",IFERROR(VLOOKUP($A298,Skills!$A:$C,2,FALSE())&amp;" "&amp;VLOOKUP($A298,Skills!$A:$C,3,FALSE()),"Haxil Dellhaven"))</f>
        <v/>
      </c>
      <c r="F298" s="43" t="str">
        <f aca="false">IF($A298="","",IFERROR(IF(VLOOKUP($A298,Skills!$A:$D,4,FALSE())="","",VLOOKUP($A298,Skills!$A:$D,4,FALSE())),"Lisbonne"))</f>
        <v/>
      </c>
      <c r="G298" s="47"/>
      <c r="H298" s="47" t="str">
        <f aca="false">IF(G298="","",WORKDAY(G298-1,D298+IF(J298="",0,J298)))</f>
        <v/>
      </c>
      <c r="I298" s="134"/>
      <c r="J298" s="135"/>
      <c r="K298" s="43" t="str">
        <f aca="true">IF(G298="","",MIN(D298,MAX(0,NETWORKDAYS(G298,TODAY())-IF(J298="",0,J298))))</f>
        <v/>
      </c>
      <c r="L298" s="43" t="str">
        <f aca="true">IF(G298="","",MAX(0,D298-(NETWORKDAYS(G298,TODAY())-IF(J298="",0,J298))))</f>
        <v/>
      </c>
      <c r="M298" s="173"/>
      <c r="N298" s="44" t="str">
        <f aca="true">IFERROR(IF(OR(K298="",K298&lt;=0),"",IF(TODAY()&gt;H298,1,IF(K298-1=0,0,INDEX(OBJECTIVES!$O$2:$Q$12,MATCH(K298-1,OBJECTIVES!$N$2:$N$12,0),IF($C298="QUILL FORMATION Valmont",2,1))))),"")</f>
        <v/>
      </c>
      <c r="O298" s="44" t="str">
        <f aca="false">IF(OR(N298="",M298=""),"",M298-N298)</f>
        <v/>
      </c>
      <c r="P298" s="155" t="str">
        <f aca="false">IF($Q298&lt;&gt;"",$Q298,IF(O298="","",IF(O298&lt;=-0.12,"P1",IF(O298&lt;=-0.06,"P2","P3"))))</f>
        <v/>
      </c>
      <c r="Q298" s="136"/>
      <c r="R298" s="155"/>
      <c r="S298" s="155"/>
      <c r="T298" s="134"/>
      <c r="U298" s="134"/>
      <c r="V298" s="134"/>
      <c r="W298" s="134"/>
      <c r="X298" s="134"/>
      <c r="Y298" s="134"/>
      <c r="Z298" s="134" t="str">
        <f aca="false">IF(R298="Terminé",IF(AND(G298&lt;&gt;"",I298&lt;&gt;""),NETWORKDAYS(G298,I298),D298),"")</f>
        <v/>
      </c>
      <c r="AA298" s="134" t="str">
        <f aca="false">IF($A298="","",IF(COUNTIF(Skills!$A:$A,$A298)=0,"⚠ ID absent du roster",""))</f>
        <v/>
      </c>
      <c r="AB298" s="158"/>
    </row>
    <row r="299" customFormat="false" ht="15" hidden="true" customHeight="false" outlineLevel="0" collapsed="false">
      <c r="A299" s="172"/>
      <c r="B299" s="172"/>
      <c r="C299" s="161" t="str">
        <f aca="false">IF(LEFT(B299,2)="OS","QUILL FORMATION Valmont","QUILL FORMATION Ulman")</f>
        <v>QUILL FORMATION Ulman</v>
      </c>
      <c r="D299" s="43" t="str">
        <f aca="false">IF($A299="","",IF($C299="QUILL FORMATION Valmont",10,11))</f>
        <v/>
      </c>
      <c r="E299" s="151" t="str">
        <f aca="false">IF($A299="","",IFERROR(VLOOKUP($A299,Skills!$A:$C,2,FALSE())&amp;" "&amp;VLOOKUP($A299,Skills!$A:$C,3,FALSE()),"Haxil Dellhaven"))</f>
        <v/>
      </c>
      <c r="F299" s="43" t="str">
        <f aca="false">IF($A299="","",IFERROR(IF(VLOOKUP($A299,Skills!$A:$D,4,FALSE())="","",VLOOKUP($A299,Skills!$A:$D,4,FALSE())),"Lisbonne"))</f>
        <v/>
      </c>
      <c r="G299" s="47"/>
      <c r="H299" s="47" t="str">
        <f aca="false">IF(G299="","",WORKDAY(G299-1,D299+IF(J299="",0,J299)))</f>
        <v/>
      </c>
      <c r="I299" s="134"/>
      <c r="J299" s="135"/>
      <c r="K299" s="43" t="str">
        <f aca="true">IF(G299="","",MIN(D299,MAX(0,NETWORKDAYS(G299,TODAY())-IF(J299="",0,J299))))</f>
        <v/>
      </c>
      <c r="L299" s="43" t="str">
        <f aca="true">IF(G299="","",MAX(0,D299-(NETWORKDAYS(G299,TODAY())-IF(J299="",0,J299))))</f>
        <v/>
      </c>
      <c r="M299" s="173"/>
      <c r="N299" s="44" t="str">
        <f aca="true">IFERROR(IF(OR(K299="",K299&lt;=0),"",IF(TODAY()&gt;H299,1,IF(K299-1=0,0,INDEX(OBJECTIVES!$O$2:$Q$12,MATCH(K299-1,OBJECTIVES!$N$2:$N$12,0),IF($C299="QUILL FORMATION Valmont",2,1))))),"")</f>
        <v/>
      </c>
      <c r="O299" s="44" t="str">
        <f aca="false">IF(OR(N299="",M299=""),"",M299-N299)</f>
        <v/>
      </c>
      <c r="P299" s="155" t="str">
        <f aca="false">IF($Q299&lt;&gt;"",$Q299,IF(O299="","",IF(O299&lt;=-0.12,"P1",IF(O299&lt;=-0.06,"P2","P3"))))</f>
        <v/>
      </c>
      <c r="Q299" s="136"/>
      <c r="R299" s="155"/>
      <c r="S299" s="155"/>
      <c r="T299" s="134"/>
      <c r="U299" s="134"/>
      <c r="V299" s="134"/>
      <c r="W299" s="134"/>
      <c r="X299" s="134"/>
      <c r="Y299" s="134"/>
      <c r="Z299" s="134" t="str">
        <f aca="false">IF(R299="Terminé",IF(AND(G299&lt;&gt;"",I299&lt;&gt;""),NETWORKDAYS(G299,I299),D299),"")</f>
        <v/>
      </c>
      <c r="AA299" s="134" t="str">
        <f aca="false">IF($A299="","",IF(COUNTIF(Skills!$A:$A,$A299)=0,"⚠ ID absent du roster",""))</f>
        <v/>
      </c>
      <c r="AB299" s="158"/>
    </row>
    <row r="300" customFormat="false" ht="15" hidden="true" customHeight="false" outlineLevel="0" collapsed="false">
      <c r="A300" s="172"/>
      <c r="B300" s="172"/>
      <c r="C300" s="161" t="str">
        <f aca="false">IF(LEFT(B300,2)="OS","QUILL FORMATION Valmont","QUILL FORMATION Ulman")</f>
        <v>QUILL FORMATION Ulman</v>
      </c>
      <c r="D300" s="43" t="str">
        <f aca="false">IF($A300="","",IF($C300="QUILL FORMATION Valmont",10,11))</f>
        <v/>
      </c>
      <c r="E300" s="151" t="str">
        <f aca="false">IF($A300="","",IFERROR(VLOOKUP($A300,Skills!$A:$C,2,FALSE())&amp;" "&amp;VLOOKUP($A300,Skills!$A:$C,3,FALSE()),"Haxil Dellhaven"))</f>
        <v/>
      </c>
      <c r="F300" s="43" t="str">
        <f aca="false">IF($A300="","",IFERROR(IF(VLOOKUP($A300,Skills!$A:$D,4,FALSE())="","",VLOOKUP($A300,Skills!$A:$D,4,FALSE())),"Lisbonne"))</f>
        <v/>
      </c>
      <c r="G300" s="47"/>
      <c r="H300" s="47" t="str">
        <f aca="false">IF(G300="","",WORKDAY(G300-1,D300+IF(J300="",0,J300)))</f>
        <v/>
      </c>
      <c r="I300" s="134"/>
      <c r="J300" s="135"/>
      <c r="K300" s="43" t="str">
        <f aca="true">IF(G300="","",MIN(D300,MAX(0,NETWORKDAYS(G300,TODAY())-IF(J300="",0,J300))))</f>
        <v/>
      </c>
      <c r="L300" s="43" t="str">
        <f aca="true">IF(G300="","",MAX(0,D300-(NETWORKDAYS(G300,TODAY())-IF(J300="",0,J300))))</f>
        <v/>
      </c>
      <c r="M300" s="173"/>
      <c r="N300" s="44" t="str">
        <f aca="true">IFERROR(IF(OR(K300="",K300&lt;=0),"",IF(TODAY()&gt;H300,1,IF(K300-1=0,0,INDEX(OBJECTIVES!$O$2:$Q$12,MATCH(K300-1,OBJECTIVES!$N$2:$N$12,0),IF($C300="QUILL FORMATION Valmont",2,1))))),"")</f>
        <v/>
      </c>
      <c r="O300" s="44" t="str">
        <f aca="false">IF(OR(N300="",M300=""),"",M300-N300)</f>
        <v/>
      </c>
      <c r="P300" s="155" t="str">
        <f aca="false">IF($Q300&lt;&gt;"",$Q300,IF(O300="","",IF(O300&lt;=-0.12,"P1",IF(O300&lt;=-0.06,"P2","P3"))))</f>
        <v/>
      </c>
      <c r="Q300" s="136"/>
      <c r="R300" s="155"/>
      <c r="S300" s="155"/>
      <c r="T300" s="134"/>
      <c r="U300" s="134"/>
      <c r="V300" s="134"/>
      <c r="W300" s="134"/>
      <c r="X300" s="134"/>
      <c r="Y300" s="134"/>
      <c r="Z300" s="134" t="str">
        <f aca="false">IF(R300="Terminé",IF(AND(G300&lt;&gt;"",I300&lt;&gt;""),NETWORKDAYS(G300,I300),D300),"")</f>
        <v/>
      </c>
      <c r="AA300" s="134" t="str">
        <f aca="false">IF($A300="","",IF(COUNTIF(Skills!$A:$A,$A300)=0,"⚠ ID absent du roster",""))</f>
        <v/>
      </c>
      <c r="AB300" s="158"/>
    </row>
    <row r="301" customFormat="false" ht="15" hidden="true" customHeight="false" outlineLevel="0" collapsed="false">
      <c r="A301" s="172"/>
      <c r="B301" s="172"/>
      <c r="C301" s="161" t="str">
        <f aca="false">IF(LEFT(B301,2)="OS","QUILL FORMATION Valmont","QUILL FORMATION Ulman")</f>
        <v>QUILL FORMATION Ulman</v>
      </c>
      <c r="D301" s="43" t="str">
        <f aca="false">IF($A301="","",IF($C301="QUILL FORMATION Valmont",10,11))</f>
        <v/>
      </c>
      <c r="E301" s="151" t="str">
        <f aca="false">IF($A301="","",IFERROR(VLOOKUP($A301,Skills!$A:$C,2,FALSE())&amp;" "&amp;VLOOKUP($A301,Skills!$A:$C,3,FALSE()),"Haxil Dellhaven"))</f>
        <v/>
      </c>
      <c r="F301" s="43" t="str">
        <f aca="false">IF($A301="","",IFERROR(IF(VLOOKUP($A301,Skills!$A:$D,4,FALSE())="","",VLOOKUP($A301,Skills!$A:$D,4,FALSE())),"Lisbonne"))</f>
        <v/>
      </c>
      <c r="G301" s="47"/>
      <c r="H301" s="47" t="str">
        <f aca="false">IF(G301="","",WORKDAY(G301-1,D301+IF(J301="",0,J301)))</f>
        <v/>
      </c>
      <c r="I301" s="134"/>
      <c r="J301" s="135"/>
      <c r="K301" s="43" t="str">
        <f aca="true">IF(G301="","",MIN(D301,MAX(0,NETWORKDAYS(G301,TODAY())-IF(J301="",0,J301))))</f>
        <v/>
      </c>
      <c r="L301" s="43" t="str">
        <f aca="true">IF(G301="","",MAX(0,D301-(NETWORKDAYS(G301,TODAY())-IF(J301="",0,J301))))</f>
        <v/>
      </c>
      <c r="M301" s="173"/>
      <c r="N301" s="44" t="str">
        <f aca="true">IFERROR(IF(OR(K301="",K301&lt;=0),"",IF(TODAY()&gt;H301,1,IF(K301-1=0,0,INDEX(OBJECTIVES!$O$2:$Q$12,MATCH(K301-1,OBJECTIVES!$N$2:$N$12,0),IF($C301="QUILL FORMATION Valmont",2,1))))),"")</f>
        <v/>
      </c>
      <c r="O301" s="44" t="str">
        <f aca="false">IF(OR(N301="",M301=""),"",M301-N301)</f>
        <v/>
      </c>
      <c r="P301" s="155" t="str">
        <f aca="false">IF($Q301&lt;&gt;"",$Q301,IF(O301="","",IF(O301&lt;=-0.12,"P1",IF(O301&lt;=-0.06,"P2","P3"))))</f>
        <v/>
      </c>
      <c r="Q301" s="136"/>
      <c r="R301" s="155"/>
      <c r="S301" s="155"/>
      <c r="T301" s="134"/>
      <c r="U301" s="134"/>
      <c r="V301" s="134"/>
      <c r="W301" s="134"/>
      <c r="X301" s="134"/>
      <c r="Y301" s="134"/>
      <c r="Z301" s="134" t="str">
        <f aca="false">IF(R301="Terminé",IF(AND(G301&lt;&gt;"",I301&lt;&gt;""),NETWORKDAYS(G301,I301),D301),"")</f>
        <v/>
      </c>
      <c r="AA301" s="134" t="str">
        <f aca="false">IF($A301="","",IF(COUNTIF(Skills!$A:$A,$A301)=0,"⚠ ID absent du roster",""))</f>
        <v/>
      </c>
      <c r="AB301" s="158"/>
    </row>
    <row r="302" customFormat="false" ht="15" hidden="true" customHeight="false" outlineLevel="0" collapsed="false">
      <c r="A302" s="172"/>
      <c r="B302" s="172"/>
      <c r="C302" s="161" t="str">
        <f aca="false">IF(LEFT(B302,2)="OS","QUILL FORMATION Valmont","QUILL FORMATION Ulman")</f>
        <v>QUILL FORMATION Ulman</v>
      </c>
      <c r="D302" s="43" t="str">
        <f aca="false">IF($A302="","",IF($C302="QUILL FORMATION Valmont",10,11))</f>
        <v/>
      </c>
      <c r="E302" s="151" t="str">
        <f aca="false">IF($A302="","",IFERROR(VLOOKUP($A302,Skills!$A:$C,2,FALSE())&amp;" "&amp;VLOOKUP($A302,Skills!$A:$C,3,FALSE()),"Haxil Dellhaven"))</f>
        <v/>
      </c>
      <c r="F302" s="43" t="str">
        <f aca="false">IF($A302="","",IFERROR(IF(VLOOKUP($A302,Skills!$A:$D,4,FALSE())="","",VLOOKUP($A302,Skills!$A:$D,4,FALSE())),"Lisbonne"))</f>
        <v/>
      </c>
      <c r="G302" s="47"/>
      <c r="H302" s="47" t="str">
        <f aca="false">IF(G302="","",WORKDAY(G302-1,D302+IF(J302="",0,J302)))</f>
        <v/>
      </c>
      <c r="I302" s="134"/>
      <c r="J302" s="135"/>
      <c r="K302" s="43" t="str">
        <f aca="true">IF(G302="","",MIN(D302,MAX(0,NETWORKDAYS(G302,TODAY())-IF(J302="",0,J302))))</f>
        <v/>
      </c>
      <c r="L302" s="43" t="str">
        <f aca="true">IF(G302="","",MAX(0,D302-(NETWORKDAYS(G302,TODAY())-IF(J302="",0,J302))))</f>
        <v/>
      </c>
      <c r="M302" s="173"/>
      <c r="N302" s="44" t="str">
        <f aca="true">IFERROR(IF(OR(K302="",K302&lt;=0),"",IF(TODAY()&gt;H302,1,IF(K302-1=0,0,INDEX(OBJECTIVES!$O$2:$Q$12,MATCH(K302-1,OBJECTIVES!$N$2:$N$12,0),IF($C302="QUILL FORMATION Valmont",2,1))))),"")</f>
        <v/>
      </c>
      <c r="O302" s="44" t="str">
        <f aca="false">IF(OR(N302="",M302=""),"",M302-N302)</f>
        <v/>
      </c>
      <c r="P302" s="155" t="str">
        <f aca="false">IF($Q302&lt;&gt;"",$Q302,IF(O302="","",IF(O302&lt;=-0.12,"P1",IF(O302&lt;=-0.06,"P2","P3"))))</f>
        <v/>
      </c>
      <c r="Q302" s="136"/>
      <c r="R302" s="155"/>
      <c r="S302" s="155"/>
      <c r="T302" s="134"/>
      <c r="U302" s="134"/>
      <c r="V302" s="134"/>
      <c r="W302" s="134"/>
      <c r="X302" s="134"/>
      <c r="Y302" s="134"/>
      <c r="Z302" s="134" t="str">
        <f aca="false">IF(R302="Terminé",IF(AND(G302&lt;&gt;"",I302&lt;&gt;""),NETWORKDAYS(G302,I302),D302),"")</f>
        <v/>
      </c>
      <c r="AA302" s="134" t="str">
        <f aca="false">IF($A302="","",IF(COUNTIF(Skills!$A:$A,$A302)=0,"⚠ ID absent du roster",""))</f>
        <v/>
      </c>
      <c r="AB302" s="158"/>
    </row>
    <row r="303" customFormat="false" ht="15" hidden="true" customHeight="false" outlineLevel="0" collapsed="false">
      <c r="A303" s="172"/>
      <c r="B303" s="172"/>
      <c r="C303" s="161" t="str">
        <f aca="false">IF(LEFT(B303,2)="OS","QUILL FORMATION Valmont","QUILL FORMATION Ulman")</f>
        <v>QUILL FORMATION Ulman</v>
      </c>
      <c r="D303" s="43" t="str">
        <f aca="false">IF($A303="","",IF($C303="QUILL FORMATION Valmont",10,11))</f>
        <v/>
      </c>
      <c r="E303" s="151" t="str">
        <f aca="false">IF($A303="","",IFERROR(VLOOKUP($A303,Skills!$A:$C,2,FALSE())&amp;" "&amp;VLOOKUP($A303,Skills!$A:$C,3,FALSE()),"Haxil Dellhaven"))</f>
        <v/>
      </c>
      <c r="F303" s="43" t="str">
        <f aca="false">IF($A303="","",IFERROR(IF(VLOOKUP($A303,Skills!$A:$D,4,FALSE())="","",VLOOKUP($A303,Skills!$A:$D,4,FALSE())),"Lisbonne"))</f>
        <v/>
      </c>
      <c r="G303" s="47"/>
      <c r="H303" s="47" t="str">
        <f aca="false">IF(G303="","",WORKDAY(G303-1,D303+IF(J303="",0,J303)))</f>
        <v/>
      </c>
      <c r="I303" s="134"/>
      <c r="J303" s="135"/>
      <c r="K303" s="43" t="str">
        <f aca="true">IF(G303="","",MIN(D303,MAX(0,NETWORKDAYS(G303,TODAY())-IF(J303="",0,J303))))</f>
        <v/>
      </c>
      <c r="L303" s="43" t="str">
        <f aca="true">IF(G303="","",MAX(0,D303-(NETWORKDAYS(G303,TODAY())-IF(J303="",0,J303))))</f>
        <v/>
      </c>
      <c r="M303" s="173"/>
      <c r="N303" s="44" t="str">
        <f aca="true">IFERROR(IF(OR(K303="",K303&lt;=0),"",IF(TODAY()&gt;H303,1,IF(K303-1=0,0,INDEX(OBJECTIVES!$O$2:$Q$12,MATCH(K303-1,OBJECTIVES!$N$2:$N$12,0),IF($C303="QUILL FORMATION Valmont",2,1))))),"")</f>
        <v/>
      </c>
      <c r="O303" s="44" t="str">
        <f aca="false">IF(OR(N303="",M303=""),"",M303-N303)</f>
        <v/>
      </c>
      <c r="P303" s="155" t="str">
        <f aca="false">IF($Q303&lt;&gt;"",$Q303,IF(O303="","",IF(O303&lt;=-0.12,"P1",IF(O303&lt;=-0.06,"P2","P3"))))</f>
        <v/>
      </c>
      <c r="Q303" s="136"/>
      <c r="R303" s="155"/>
      <c r="S303" s="155"/>
      <c r="T303" s="134"/>
      <c r="U303" s="134"/>
      <c r="V303" s="134"/>
      <c r="W303" s="134"/>
      <c r="X303" s="134"/>
      <c r="Y303" s="134"/>
      <c r="Z303" s="134" t="str">
        <f aca="false">IF(R303="Terminé",IF(AND(G303&lt;&gt;"",I303&lt;&gt;""),NETWORKDAYS(G303,I303),D303),"")</f>
        <v/>
      </c>
      <c r="AA303" s="134" t="str">
        <f aca="false">IF($A303="","",IF(COUNTIF(Skills!$A:$A,$A303)=0,"⚠ ID absent du roster",""))</f>
        <v/>
      </c>
      <c r="AB303" s="158"/>
    </row>
    <row r="304" customFormat="false" ht="15" hidden="true" customHeight="false" outlineLevel="0" collapsed="false">
      <c r="A304" s="172"/>
      <c r="B304" s="172"/>
      <c r="C304" s="161" t="str">
        <f aca="false">IF(LEFT(B304,2)="OS","QUILL FORMATION Valmont","QUILL FORMATION Ulman")</f>
        <v>QUILL FORMATION Ulman</v>
      </c>
      <c r="D304" s="43" t="str">
        <f aca="false">IF($A304="","",IF($C304="QUILL FORMATION Valmont",10,11))</f>
        <v/>
      </c>
      <c r="E304" s="151" t="str">
        <f aca="false">IF($A304="","",IFERROR(VLOOKUP($A304,Skills!$A:$C,2,FALSE())&amp;" "&amp;VLOOKUP($A304,Skills!$A:$C,3,FALSE()),"Haxil Dellhaven"))</f>
        <v/>
      </c>
      <c r="F304" s="43" t="str">
        <f aca="false">IF($A304="","",IFERROR(IF(VLOOKUP($A304,Skills!$A:$D,4,FALSE())="","",VLOOKUP($A304,Skills!$A:$D,4,FALSE())),"Lisbonne"))</f>
        <v/>
      </c>
      <c r="G304" s="47"/>
      <c r="H304" s="47" t="str">
        <f aca="false">IF(G304="","",WORKDAY(G304-1,D304+IF(J304="",0,J304)))</f>
        <v/>
      </c>
      <c r="I304" s="134"/>
      <c r="J304" s="135"/>
      <c r="K304" s="43" t="str">
        <f aca="true">IF(G304="","",MIN(D304,MAX(0,NETWORKDAYS(G304,TODAY())-IF(J304="",0,J304))))</f>
        <v/>
      </c>
      <c r="L304" s="43" t="str">
        <f aca="true">IF(G304="","",MAX(0,D304-(NETWORKDAYS(G304,TODAY())-IF(J304="",0,J304))))</f>
        <v/>
      </c>
      <c r="M304" s="173"/>
      <c r="N304" s="44" t="str">
        <f aca="true">IFERROR(IF(OR(K304="",K304&lt;=0),"",IF(TODAY()&gt;H304,1,IF(K304-1=0,0,INDEX(OBJECTIVES!$O$2:$Q$12,MATCH(K304-1,OBJECTIVES!$N$2:$N$12,0),IF($C304="QUILL FORMATION Valmont",2,1))))),"")</f>
        <v/>
      </c>
      <c r="O304" s="44" t="str">
        <f aca="false">IF(OR(N304="",M304=""),"",M304-N304)</f>
        <v/>
      </c>
      <c r="P304" s="155" t="str">
        <f aca="false">IF($Q304&lt;&gt;"",$Q304,IF(O304="","",IF(O304&lt;=-0.12,"P1",IF(O304&lt;=-0.06,"P2","P3"))))</f>
        <v/>
      </c>
      <c r="Q304" s="136"/>
      <c r="R304" s="155"/>
      <c r="S304" s="155"/>
      <c r="T304" s="134"/>
      <c r="U304" s="134"/>
      <c r="V304" s="134"/>
      <c r="W304" s="134"/>
      <c r="X304" s="134"/>
      <c r="Y304" s="134"/>
      <c r="Z304" s="134" t="str">
        <f aca="false">IF(R304="Terminé",IF(AND(G304&lt;&gt;"",I304&lt;&gt;""),NETWORKDAYS(G304,I304),D304),"")</f>
        <v/>
      </c>
      <c r="AA304" s="134" t="str">
        <f aca="false">IF($A304="","",IF(COUNTIF(Skills!$A:$A,$A304)=0,"⚠ ID absent du roster",""))</f>
        <v/>
      </c>
      <c r="AB304" s="158"/>
    </row>
    <row r="305" customFormat="false" ht="15" hidden="true" customHeight="false" outlineLevel="0" collapsed="false">
      <c r="A305" s="172"/>
      <c r="B305" s="172"/>
      <c r="C305" s="161" t="str">
        <f aca="false">IF(LEFT(B305,2)="OS","QUILL FORMATION Valmont","QUILL FORMATION Ulman")</f>
        <v>QUILL FORMATION Ulman</v>
      </c>
      <c r="D305" s="43" t="str">
        <f aca="false">IF($A305="","",IF($C305="QUILL FORMATION Valmont",10,11))</f>
        <v/>
      </c>
      <c r="E305" s="151" t="str">
        <f aca="false">IF($A305="","",IFERROR(VLOOKUP($A305,Skills!$A:$C,2,FALSE())&amp;" "&amp;VLOOKUP($A305,Skills!$A:$C,3,FALSE()),"Haxil Dellhaven"))</f>
        <v/>
      </c>
      <c r="F305" s="43" t="str">
        <f aca="false">IF($A305="","",IFERROR(IF(VLOOKUP($A305,Skills!$A:$D,4,FALSE())="","",VLOOKUP($A305,Skills!$A:$D,4,FALSE())),"Lisbonne"))</f>
        <v/>
      </c>
      <c r="G305" s="47"/>
      <c r="H305" s="47" t="str">
        <f aca="false">IF(G305="","",WORKDAY(G305-1,D305+IF(J305="",0,J305)))</f>
        <v/>
      </c>
      <c r="I305" s="134"/>
      <c r="J305" s="135"/>
      <c r="K305" s="43" t="str">
        <f aca="true">IF(G305="","",MIN(D305,MAX(0,NETWORKDAYS(G305,TODAY())-IF(J305="",0,J305))))</f>
        <v/>
      </c>
      <c r="L305" s="43" t="str">
        <f aca="true">IF(G305="","",MAX(0,D305-(NETWORKDAYS(G305,TODAY())-IF(J305="",0,J305))))</f>
        <v/>
      </c>
      <c r="M305" s="173"/>
      <c r="N305" s="44" t="str">
        <f aca="true">IFERROR(IF(OR(K305="",K305&lt;=0),"",IF(TODAY()&gt;H305,1,IF(K305-1=0,0,INDEX(OBJECTIVES!$O$2:$Q$12,MATCH(K305-1,OBJECTIVES!$N$2:$N$12,0),IF($C305="QUILL FORMATION Valmont",2,1))))),"")</f>
        <v/>
      </c>
      <c r="O305" s="44" t="str">
        <f aca="false">IF(OR(N305="",M305=""),"",M305-N305)</f>
        <v/>
      </c>
      <c r="P305" s="155" t="str">
        <f aca="false">IF($Q305&lt;&gt;"",$Q305,IF(O305="","",IF(O305&lt;=-0.12,"P1",IF(O305&lt;=-0.06,"P2","P3"))))</f>
        <v/>
      </c>
      <c r="Q305" s="136"/>
      <c r="R305" s="155"/>
      <c r="S305" s="155"/>
      <c r="T305" s="134"/>
      <c r="U305" s="134"/>
      <c r="V305" s="134"/>
      <c r="W305" s="134"/>
      <c r="X305" s="134"/>
      <c r="Y305" s="134"/>
      <c r="Z305" s="134" t="str">
        <f aca="false">IF(R305="Terminé",IF(AND(G305&lt;&gt;"",I305&lt;&gt;""),NETWORKDAYS(G305,I305),D305),"")</f>
        <v/>
      </c>
      <c r="AA305" s="134" t="str">
        <f aca="false">IF($A305="","",IF(COUNTIF(Skills!$A:$A,$A305)=0,"⚠ ID absent du roster",""))</f>
        <v/>
      </c>
      <c r="AB305" s="158"/>
    </row>
    <row r="306" customFormat="false" ht="15" hidden="true" customHeight="false" outlineLevel="0" collapsed="false">
      <c r="A306" s="172"/>
      <c r="B306" s="172"/>
      <c r="C306" s="161" t="str">
        <f aca="false">IF(LEFT(B306,2)="OS","QUILL FORMATION Valmont","QUILL FORMATION Ulman")</f>
        <v>QUILL FORMATION Ulman</v>
      </c>
      <c r="D306" s="43" t="str">
        <f aca="false">IF($A306="","",IF($C306="QUILL FORMATION Valmont",10,11))</f>
        <v/>
      </c>
      <c r="E306" s="151" t="str">
        <f aca="false">IF($A306="","",IFERROR(VLOOKUP($A306,Skills!$A:$C,2,FALSE())&amp;" "&amp;VLOOKUP($A306,Skills!$A:$C,3,FALSE()),"Haxil Dellhaven"))</f>
        <v/>
      </c>
      <c r="F306" s="43" t="str">
        <f aca="false">IF($A306="","",IFERROR(IF(VLOOKUP($A306,Skills!$A:$D,4,FALSE())="","",VLOOKUP($A306,Skills!$A:$D,4,FALSE())),"Lisbonne"))</f>
        <v/>
      </c>
      <c r="G306" s="47"/>
      <c r="H306" s="47" t="str">
        <f aca="false">IF(G306="","",WORKDAY(G306-1,D306+IF(J306="",0,J306)))</f>
        <v/>
      </c>
      <c r="I306" s="134"/>
      <c r="J306" s="135"/>
      <c r="K306" s="43" t="str">
        <f aca="true">IF(G306="","",MIN(D306,MAX(0,NETWORKDAYS(G306,TODAY())-IF(J306="",0,J306))))</f>
        <v/>
      </c>
      <c r="L306" s="43" t="str">
        <f aca="true">IF(G306="","",MAX(0,D306-(NETWORKDAYS(G306,TODAY())-IF(J306="",0,J306))))</f>
        <v/>
      </c>
      <c r="M306" s="173"/>
      <c r="N306" s="44" t="str">
        <f aca="true">IFERROR(IF(OR(K306="",K306&lt;=0),"",IF(TODAY()&gt;H306,1,IF(K306-1=0,0,INDEX(OBJECTIVES!$O$2:$Q$12,MATCH(K306-1,OBJECTIVES!$N$2:$N$12,0),IF($C306="QUILL FORMATION Valmont",2,1))))),"")</f>
        <v/>
      </c>
      <c r="O306" s="44" t="str">
        <f aca="false">IF(OR(N306="",M306=""),"",M306-N306)</f>
        <v/>
      </c>
      <c r="P306" s="155" t="str">
        <f aca="false">IF($Q306&lt;&gt;"",$Q306,IF(O306="","",IF(O306&lt;=-0.12,"P1",IF(O306&lt;=-0.06,"P2","P3"))))</f>
        <v/>
      </c>
      <c r="Q306" s="136"/>
      <c r="R306" s="155"/>
      <c r="S306" s="155"/>
      <c r="T306" s="134"/>
      <c r="U306" s="134"/>
      <c r="V306" s="134"/>
      <c r="W306" s="134"/>
      <c r="X306" s="134"/>
      <c r="Y306" s="134"/>
      <c r="Z306" s="134" t="str">
        <f aca="false">IF(R306="Terminé",IF(AND(G306&lt;&gt;"",I306&lt;&gt;""),NETWORKDAYS(G306,I306),D306),"")</f>
        <v/>
      </c>
      <c r="AA306" s="134" t="str">
        <f aca="false">IF($A306="","",IF(COUNTIF(Skills!$A:$A,$A306)=0,"⚠ ID absent du roster",""))</f>
        <v/>
      </c>
      <c r="AB306" s="158"/>
    </row>
    <row r="307" customFormat="false" ht="15" hidden="true" customHeight="false" outlineLevel="0" collapsed="false">
      <c r="A307" s="172"/>
      <c r="B307" s="172"/>
      <c r="C307" s="161" t="str">
        <f aca="false">IF(LEFT(B307,2)="OS","QUILL FORMATION Valmont","QUILL FORMATION Ulman")</f>
        <v>QUILL FORMATION Ulman</v>
      </c>
      <c r="D307" s="43" t="str">
        <f aca="false">IF($A307="","",IF($C307="QUILL FORMATION Valmont",10,11))</f>
        <v/>
      </c>
      <c r="E307" s="151" t="str">
        <f aca="false">IF($A307="","",IFERROR(VLOOKUP($A307,Skills!$A:$C,2,FALSE())&amp;" "&amp;VLOOKUP($A307,Skills!$A:$C,3,FALSE()),"Haxil Dellhaven"))</f>
        <v/>
      </c>
      <c r="F307" s="43" t="str">
        <f aca="false">IF($A307="","",IFERROR(IF(VLOOKUP($A307,Skills!$A:$D,4,FALSE())="","",VLOOKUP($A307,Skills!$A:$D,4,FALSE())),"Lisbonne"))</f>
        <v/>
      </c>
      <c r="G307" s="47"/>
      <c r="H307" s="47" t="str">
        <f aca="false">IF(G307="","",WORKDAY(G307-1,D307+IF(J307="",0,J307)))</f>
        <v/>
      </c>
      <c r="I307" s="134"/>
      <c r="J307" s="135"/>
      <c r="K307" s="43" t="str">
        <f aca="true">IF(G307="","",MIN(D307,MAX(0,NETWORKDAYS(G307,TODAY())-IF(J307="",0,J307))))</f>
        <v/>
      </c>
      <c r="L307" s="43" t="str">
        <f aca="true">IF(G307="","",MAX(0,D307-(NETWORKDAYS(G307,TODAY())-IF(J307="",0,J307))))</f>
        <v/>
      </c>
      <c r="M307" s="173"/>
      <c r="N307" s="44" t="str">
        <f aca="true">IFERROR(IF(OR(K307="",K307&lt;=0),"",IF(TODAY()&gt;H307,1,IF(K307-1=0,0,INDEX(OBJECTIVES!$O$2:$Q$12,MATCH(K307-1,OBJECTIVES!$N$2:$N$12,0),IF($C307="QUILL FORMATION Valmont",2,1))))),"")</f>
        <v/>
      </c>
      <c r="O307" s="44" t="str">
        <f aca="false">IF(OR(N307="",M307=""),"",M307-N307)</f>
        <v/>
      </c>
      <c r="P307" s="155" t="str">
        <f aca="false">IF($Q307&lt;&gt;"",$Q307,IF(O307="","",IF(O307&lt;=-0.12,"P1",IF(O307&lt;=-0.06,"P2","P3"))))</f>
        <v/>
      </c>
      <c r="Q307" s="136"/>
      <c r="R307" s="155"/>
      <c r="S307" s="155"/>
      <c r="T307" s="134"/>
      <c r="U307" s="134"/>
      <c r="V307" s="134"/>
      <c r="W307" s="134"/>
      <c r="X307" s="134"/>
      <c r="Y307" s="134"/>
      <c r="Z307" s="134" t="str">
        <f aca="false">IF(R307="Terminé",IF(AND(G307&lt;&gt;"",I307&lt;&gt;""),NETWORKDAYS(G307,I307),D307),"")</f>
        <v/>
      </c>
      <c r="AA307" s="134" t="str">
        <f aca="false">IF($A307="","",IF(COUNTIF(Skills!$A:$A,$A307)=0,"⚠ ID absent du roster",""))</f>
        <v/>
      </c>
      <c r="AB307" s="158"/>
    </row>
    <row r="308" customFormat="false" ht="15" hidden="true" customHeight="false" outlineLevel="0" collapsed="false">
      <c r="A308" s="172"/>
      <c r="B308" s="172"/>
      <c r="C308" s="161" t="str">
        <f aca="false">IF(LEFT(B308,2)="OS","QUILL FORMATION Valmont","QUILL FORMATION Ulman")</f>
        <v>QUILL FORMATION Ulman</v>
      </c>
      <c r="D308" s="43" t="str">
        <f aca="false">IF($A308="","",IF($C308="QUILL FORMATION Valmont",10,11))</f>
        <v/>
      </c>
      <c r="E308" s="151" t="str">
        <f aca="false">IF($A308="","",IFERROR(VLOOKUP($A308,Skills!$A:$C,2,FALSE())&amp;" "&amp;VLOOKUP($A308,Skills!$A:$C,3,FALSE()),"Haxil Dellhaven"))</f>
        <v/>
      </c>
      <c r="F308" s="43" t="str">
        <f aca="false">IF($A308="","",IFERROR(IF(VLOOKUP($A308,Skills!$A:$D,4,FALSE())="","",VLOOKUP($A308,Skills!$A:$D,4,FALSE())),"Lisbonne"))</f>
        <v/>
      </c>
      <c r="G308" s="47"/>
      <c r="H308" s="47" t="str">
        <f aca="false">IF(G308="","",WORKDAY(G308-1,D308+IF(J308="",0,J308)))</f>
        <v/>
      </c>
      <c r="I308" s="134"/>
      <c r="J308" s="135"/>
      <c r="K308" s="43" t="str">
        <f aca="true">IF(G308="","",MIN(D308,MAX(0,NETWORKDAYS(G308,TODAY())-IF(J308="",0,J308))))</f>
        <v/>
      </c>
      <c r="L308" s="43" t="str">
        <f aca="true">IF(G308="","",MAX(0,D308-(NETWORKDAYS(G308,TODAY())-IF(J308="",0,J308))))</f>
        <v/>
      </c>
      <c r="M308" s="173"/>
      <c r="N308" s="44" t="str">
        <f aca="true">IFERROR(IF(OR(K308="",K308&lt;=0),"",IF(TODAY()&gt;H308,1,IF(K308-1=0,0,INDEX(OBJECTIVES!$O$2:$Q$12,MATCH(K308-1,OBJECTIVES!$N$2:$N$12,0),IF($C308="QUILL FORMATION Valmont",2,1))))),"")</f>
        <v/>
      </c>
      <c r="O308" s="44" t="str">
        <f aca="false">IF(OR(N308="",M308=""),"",M308-N308)</f>
        <v/>
      </c>
      <c r="P308" s="155" t="str">
        <f aca="false">IF($Q308&lt;&gt;"",$Q308,IF(O308="","",IF(O308&lt;=-0.12,"P1",IF(O308&lt;=-0.06,"P2","P3"))))</f>
        <v/>
      </c>
      <c r="Q308" s="136"/>
      <c r="R308" s="155"/>
      <c r="S308" s="155"/>
      <c r="T308" s="134"/>
      <c r="U308" s="134"/>
      <c r="V308" s="134"/>
      <c r="W308" s="134"/>
      <c r="X308" s="134"/>
      <c r="Y308" s="134"/>
      <c r="Z308" s="134" t="str">
        <f aca="false">IF(R308="Terminé",IF(AND(G308&lt;&gt;"",I308&lt;&gt;""),NETWORKDAYS(G308,I308),D308),"")</f>
        <v/>
      </c>
      <c r="AA308" s="134" t="str">
        <f aca="false">IF($A308="","",IF(COUNTIF(Skills!$A:$A,$A308)=0,"⚠ ID absent du roster",""))</f>
        <v/>
      </c>
      <c r="AB308" s="158"/>
    </row>
    <row r="309" customFormat="false" ht="15" hidden="true" customHeight="false" outlineLevel="0" collapsed="false">
      <c r="A309" s="172"/>
      <c r="B309" s="172"/>
      <c r="C309" s="161" t="str">
        <f aca="false">IF(LEFT(B309,2)="OS","QUILL FORMATION Valmont","QUILL FORMATION Ulman")</f>
        <v>QUILL FORMATION Ulman</v>
      </c>
      <c r="D309" s="43" t="str">
        <f aca="false">IF($A309="","",IF($C309="QUILL FORMATION Valmont",10,11))</f>
        <v/>
      </c>
      <c r="E309" s="151" t="str">
        <f aca="false">IF($A309="","",IFERROR(VLOOKUP($A309,Skills!$A:$C,2,FALSE())&amp;" "&amp;VLOOKUP($A309,Skills!$A:$C,3,FALSE()),"Haxil Dellhaven"))</f>
        <v/>
      </c>
      <c r="F309" s="43" t="str">
        <f aca="false">IF($A309="","",IFERROR(IF(VLOOKUP($A309,Skills!$A:$D,4,FALSE())="","",VLOOKUP($A309,Skills!$A:$D,4,FALSE())),"Lisbonne"))</f>
        <v/>
      </c>
      <c r="G309" s="47"/>
      <c r="H309" s="47" t="str">
        <f aca="false">IF(G309="","",WORKDAY(G309-1,D309+IF(J309="",0,J309)))</f>
        <v/>
      </c>
      <c r="I309" s="134"/>
      <c r="J309" s="135"/>
      <c r="K309" s="43" t="str">
        <f aca="true">IF(G309="","",MIN(D309,MAX(0,NETWORKDAYS(G309,TODAY())-IF(J309="",0,J309))))</f>
        <v/>
      </c>
      <c r="L309" s="43" t="str">
        <f aca="true">IF(G309="","",MAX(0,D309-(NETWORKDAYS(G309,TODAY())-IF(J309="",0,J309))))</f>
        <v/>
      </c>
      <c r="M309" s="173"/>
      <c r="N309" s="44" t="str">
        <f aca="true">IFERROR(IF(OR(K309="",K309&lt;=0),"",IF(TODAY()&gt;H309,1,IF(K309-1=0,0,INDEX(OBJECTIVES!$O$2:$Q$12,MATCH(K309-1,OBJECTIVES!$N$2:$N$12,0),IF($C309="QUILL FORMATION Valmont",2,1))))),"")</f>
        <v/>
      </c>
      <c r="O309" s="44" t="str">
        <f aca="false">IF(OR(N309="",M309=""),"",M309-N309)</f>
        <v/>
      </c>
      <c r="P309" s="155" t="str">
        <f aca="false">IF($Q309&lt;&gt;"",$Q309,IF(O309="","",IF(O309&lt;=-0.12,"P1",IF(O309&lt;=-0.06,"P2","P3"))))</f>
        <v/>
      </c>
      <c r="Q309" s="136"/>
      <c r="R309" s="155"/>
      <c r="S309" s="155"/>
      <c r="T309" s="134"/>
      <c r="U309" s="134"/>
      <c r="V309" s="134"/>
      <c r="W309" s="134"/>
      <c r="X309" s="134"/>
      <c r="Y309" s="134"/>
      <c r="Z309" s="134" t="str">
        <f aca="false">IF(R309="Terminé",IF(AND(G309&lt;&gt;"",I309&lt;&gt;""),NETWORKDAYS(G309,I309),D309),"")</f>
        <v/>
      </c>
      <c r="AA309" s="134" t="str">
        <f aca="false">IF($A309="","",IF(COUNTIF(Skills!$A:$A,$A309)=0,"⚠ ID absent du roster",""))</f>
        <v/>
      </c>
      <c r="AB309" s="158"/>
    </row>
    <row r="310" customFormat="false" ht="15" hidden="true" customHeight="false" outlineLevel="0" collapsed="false">
      <c r="A310" s="172"/>
      <c r="B310" s="172"/>
      <c r="C310" s="161" t="str">
        <f aca="false">IF(LEFT(B310,2)="OS","QUILL FORMATION Valmont","QUILL FORMATION Ulman")</f>
        <v>QUILL FORMATION Ulman</v>
      </c>
      <c r="D310" s="43" t="str">
        <f aca="false">IF($A310="","",IF($C310="QUILL FORMATION Valmont",10,11))</f>
        <v/>
      </c>
      <c r="E310" s="151" t="str">
        <f aca="false">IF($A310="","",IFERROR(VLOOKUP($A310,Skills!$A:$C,2,FALSE())&amp;" "&amp;VLOOKUP($A310,Skills!$A:$C,3,FALSE()),"Haxil Dellhaven"))</f>
        <v/>
      </c>
      <c r="F310" s="43" t="str">
        <f aca="false">IF($A310="","",IFERROR(IF(VLOOKUP($A310,Skills!$A:$D,4,FALSE())="","",VLOOKUP($A310,Skills!$A:$D,4,FALSE())),"Lisbonne"))</f>
        <v/>
      </c>
      <c r="G310" s="47"/>
      <c r="H310" s="47" t="str">
        <f aca="false">IF(G310="","",WORKDAY(G310-1,D310+IF(J310="",0,J310)))</f>
        <v/>
      </c>
      <c r="I310" s="134"/>
      <c r="J310" s="135"/>
      <c r="K310" s="43" t="str">
        <f aca="true">IF(G310="","",MIN(D310,MAX(0,NETWORKDAYS(G310,TODAY())-IF(J310="",0,J310))))</f>
        <v/>
      </c>
      <c r="L310" s="43" t="str">
        <f aca="true">IF(G310="","",MAX(0,D310-(NETWORKDAYS(G310,TODAY())-IF(J310="",0,J310))))</f>
        <v/>
      </c>
      <c r="M310" s="173"/>
      <c r="N310" s="44" t="str">
        <f aca="true">IFERROR(IF(OR(K310="",K310&lt;=0),"",IF(TODAY()&gt;H310,1,IF(K310-1=0,0,INDEX(OBJECTIVES!$O$2:$Q$12,MATCH(K310-1,OBJECTIVES!$N$2:$N$12,0),IF($C310="QUILL FORMATION Valmont",2,1))))),"")</f>
        <v/>
      </c>
      <c r="O310" s="44" t="str">
        <f aca="false">IF(OR(N310="",M310=""),"",M310-N310)</f>
        <v/>
      </c>
      <c r="P310" s="155" t="str">
        <f aca="false">IF($Q310&lt;&gt;"",$Q310,IF(O310="","",IF(O310&lt;=-0.12,"P1",IF(O310&lt;=-0.06,"P2","P3"))))</f>
        <v/>
      </c>
      <c r="Q310" s="136"/>
      <c r="R310" s="155"/>
      <c r="S310" s="155"/>
      <c r="T310" s="134"/>
      <c r="U310" s="134"/>
      <c r="V310" s="134"/>
      <c r="W310" s="134"/>
      <c r="X310" s="134"/>
      <c r="Y310" s="134"/>
      <c r="Z310" s="134" t="str">
        <f aca="false">IF(R310="Terminé",IF(AND(G310&lt;&gt;"",I310&lt;&gt;""),NETWORKDAYS(G310,I310),D310),"")</f>
        <v/>
      </c>
      <c r="AA310" s="134" t="str">
        <f aca="false">IF($A310="","",IF(COUNTIF(Skills!$A:$A,$A310)=0,"⚠ ID absent du roster",""))</f>
        <v/>
      </c>
      <c r="AB310" s="158"/>
    </row>
    <row r="311" customFormat="false" ht="15" hidden="true" customHeight="false" outlineLevel="0" collapsed="false">
      <c r="A311" s="172"/>
      <c r="B311" s="172"/>
      <c r="C311" s="161" t="str">
        <f aca="false">IF(LEFT(B311,2)="OS","QUILL FORMATION Valmont","QUILL FORMATION Ulman")</f>
        <v>QUILL FORMATION Ulman</v>
      </c>
      <c r="D311" s="43" t="str">
        <f aca="false">IF($A311="","",IF($C311="QUILL FORMATION Valmont",10,11))</f>
        <v/>
      </c>
      <c r="E311" s="151" t="str">
        <f aca="false">IF($A311="","",IFERROR(VLOOKUP($A311,Skills!$A:$C,2,FALSE())&amp;" "&amp;VLOOKUP($A311,Skills!$A:$C,3,FALSE()),"Haxil Dellhaven"))</f>
        <v/>
      </c>
      <c r="F311" s="43" t="str">
        <f aca="false">IF($A311="","",IFERROR(IF(VLOOKUP($A311,Skills!$A:$D,4,FALSE())="","",VLOOKUP($A311,Skills!$A:$D,4,FALSE())),"Lisbonne"))</f>
        <v/>
      </c>
      <c r="G311" s="47"/>
      <c r="H311" s="47" t="str">
        <f aca="false">IF(G311="","",WORKDAY(G311-1,D311+IF(J311="",0,J311)))</f>
        <v/>
      </c>
      <c r="I311" s="134"/>
      <c r="J311" s="135"/>
      <c r="K311" s="43" t="str">
        <f aca="true">IF(G311="","",MIN(D311,MAX(0,NETWORKDAYS(G311,TODAY())-IF(J311="",0,J311))))</f>
        <v/>
      </c>
      <c r="L311" s="43" t="str">
        <f aca="true">IF(G311="","",MAX(0,D311-(NETWORKDAYS(G311,TODAY())-IF(J311="",0,J311))))</f>
        <v/>
      </c>
      <c r="M311" s="173"/>
      <c r="N311" s="44" t="str">
        <f aca="true">IFERROR(IF(OR(K311="",K311&lt;=0),"",IF(TODAY()&gt;H311,1,IF(K311-1=0,0,INDEX(OBJECTIVES!$O$2:$Q$12,MATCH(K311-1,OBJECTIVES!$N$2:$N$12,0),IF($C311="QUILL FORMATION Valmont",2,1))))),"")</f>
        <v/>
      </c>
      <c r="O311" s="44" t="str">
        <f aca="false">IF(OR(N311="",M311=""),"",M311-N311)</f>
        <v/>
      </c>
      <c r="P311" s="155" t="str">
        <f aca="false">IF($Q311&lt;&gt;"",$Q311,IF(O311="","",IF(O311&lt;=-0.12,"P1",IF(O311&lt;=-0.06,"P2","P3"))))</f>
        <v/>
      </c>
      <c r="Q311" s="136"/>
      <c r="R311" s="155"/>
      <c r="S311" s="155"/>
      <c r="T311" s="134"/>
      <c r="U311" s="134"/>
      <c r="V311" s="134"/>
      <c r="W311" s="134"/>
      <c r="X311" s="134"/>
      <c r="Y311" s="134"/>
      <c r="Z311" s="134" t="str">
        <f aca="false">IF(R311="Terminé",IF(AND(G311&lt;&gt;"",I311&lt;&gt;""),NETWORKDAYS(G311,I311),D311),"")</f>
        <v/>
      </c>
      <c r="AA311" s="134" t="str">
        <f aca="false">IF($A311="","",IF(COUNTIF(Skills!$A:$A,$A311)=0,"⚠ ID absent du roster",""))</f>
        <v/>
      </c>
      <c r="AB311" s="158"/>
    </row>
    <row r="312" customFormat="false" ht="15" hidden="true" customHeight="false" outlineLevel="0" collapsed="false">
      <c r="A312" s="172"/>
      <c r="B312" s="172"/>
      <c r="C312" s="161" t="str">
        <f aca="false">IF(LEFT(B312,2)="OS","QUILL FORMATION Valmont","QUILL FORMATION Ulman")</f>
        <v>QUILL FORMATION Ulman</v>
      </c>
      <c r="D312" s="43" t="str">
        <f aca="false">IF($A312="","",IF($C312="QUILL FORMATION Valmont",10,11))</f>
        <v/>
      </c>
      <c r="E312" s="151" t="str">
        <f aca="false">IF($A312="","",IFERROR(VLOOKUP($A312,Skills!$A:$C,2,FALSE())&amp;" "&amp;VLOOKUP($A312,Skills!$A:$C,3,FALSE()),"Haxil Dellhaven"))</f>
        <v/>
      </c>
      <c r="F312" s="43" t="str">
        <f aca="false">IF($A312="","",IFERROR(IF(VLOOKUP($A312,Skills!$A:$D,4,FALSE())="","",VLOOKUP($A312,Skills!$A:$D,4,FALSE())),"Lisbonne"))</f>
        <v/>
      </c>
      <c r="G312" s="47"/>
      <c r="H312" s="47" t="str">
        <f aca="false">IF(G312="","",WORKDAY(G312-1,D312+IF(J312="",0,J312)))</f>
        <v/>
      </c>
      <c r="I312" s="134"/>
      <c r="J312" s="135"/>
      <c r="K312" s="43" t="str">
        <f aca="true">IF(G312="","",MIN(D312,MAX(0,NETWORKDAYS(G312,TODAY())-IF(J312="",0,J312))))</f>
        <v/>
      </c>
      <c r="L312" s="43" t="str">
        <f aca="true">IF(G312="","",MAX(0,D312-(NETWORKDAYS(G312,TODAY())-IF(J312="",0,J312))))</f>
        <v/>
      </c>
      <c r="M312" s="173"/>
      <c r="N312" s="44" t="str">
        <f aca="true">IFERROR(IF(OR(K312="",K312&lt;=0),"",IF(TODAY()&gt;H312,1,IF(K312-1=0,0,INDEX(OBJECTIVES!$O$2:$Q$12,MATCH(K312-1,OBJECTIVES!$N$2:$N$12,0),IF($C312="QUILL FORMATION Valmont",2,1))))),"")</f>
        <v/>
      </c>
      <c r="O312" s="44" t="str">
        <f aca="false">IF(OR(N312="",M312=""),"",M312-N312)</f>
        <v/>
      </c>
      <c r="P312" s="155" t="str">
        <f aca="false">IF($Q312&lt;&gt;"",$Q312,IF(O312="","",IF(O312&lt;=-0.12,"P1",IF(O312&lt;=-0.06,"P2","P3"))))</f>
        <v/>
      </c>
      <c r="Q312" s="136"/>
      <c r="R312" s="155"/>
      <c r="S312" s="155"/>
      <c r="T312" s="134"/>
      <c r="U312" s="134"/>
      <c r="V312" s="134"/>
      <c r="W312" s="134"/>
      <c r="X312" s="134"/>
      <c r="Y312" s="134"/>
      <c r="Z312" s="134" t="str">
        <f aca="false">IF(R312="Terminé",IF(AND(G312&lt;&gt;"",I312&lt;&gt;""),NETWORKDAYS(G312,I312),D312),"")</f>
        <v/>
      </c>
      <c r="AA312" s="134" t="str">
        <f aca="false">IF($A312="","",IF(COUNTIF(Skills!$A:$A,$A312)=0,"⚠ ID absent du roster",""))</f>
        <v/>
      </c>
      <c r="AB312" s="158"/>
    </row>
    <row r="313" customFormat="false" ht="15" hidden="true" customHeight="false" outlineLevel="0" collapsed="false">
      <c r="A313" s="172"/>
      <c r="B313" s="172"/>
      <c r="C313" s="161" t="str">
        <f aca="false">IF(LEFT(B313,2)="OS","QUILL FORMATION Valmont","QUILL FORMATION Ulman")</f>
        <v>QUILL FORMATION Ulman</v>
      </c>
      <c r="D313" s="43" t="str">
        <f aca="false">IF($A313="","",IF($C313="QUILL FORMATION Valmont",10,11))</f>
        <v/>
      </c>
      <c r="E313" s="151" t="str">
        <f aca="false">IF($A313="","",IFERROR(VLOOKUP($A313,Skills!$A:$C,2,FALSE())&amp;" "&amp;VLOOKUP($A313,Skills!$A:$C,3,FALSE()),"Haxil Dellhaven"))</f>
        <v/>
      </c>
      <c r="F313" s="43" t="str">
        <f aca="false">IF($A313="","",IFERROR(IF(VLOOKUP($A313,Skills!$A:$D,4,FALSE())="","",VLOOKUP($A313,Skills!$A:$D,4,FALSE())),"Lisbonne"))</f>
        <v/>
      </c>
      <c r="G313" s="47"/>
      <c r="H313" s="47" t="str">
        <f aca="false">IF(G313="","",WORKDAY(G313-1,D313+IF(J313="",0,J313)))</f>
        <v/>
      </c>
      <c r="I313" s="134"/>
      <c r="J313" s="135"/>
      <c r="K313" s="43" t="str">
        <f aca="true">IF(G313="","",MIN(D313,MAX(0,NETWORKDAYS(G313,TODAY())-IF(J313="",0,J313))))</f>
        <v/>
      </c>
      <c r="L313" s="43" t="str">
        <f aca="true">IF(G313="","",MAX(0,D313-(NETWORKDAYS(G313,TODAY())-IF(J313="",0,J313))))</f>
        <v/>
      </c>
      <c r="M313" s="173"/>
      <c r="N313" s="44" t="str">
        <f aca="true">IFERROR(IF(OR(K313="",K313&lt;=0),"",IF(TODAY()&gt;H313,1,IF(K313-1=0,0,INDEX(OBJECTIVES!$O$2:$Q$12,MATCH(K313-1,OBJECTIVES!$N$2:$N$12,0),IF($C313="QUILL FORMATION Valmont",2,1))))),"")</f>
        <v/>
      </c>
      <c r="O313" s="44" t="str">
        <f aca="false">IF(OR(N313="",M313=""),"",M313-N313)</f>
        <v/>
      </c>
      <c r="P313" s="155" t="str">
        <f aca="false">IF($Q313&lt;&gt;"",$Q313,IF(O313="","",IF(O313&lt;=-0.12,"P1",IF(O313&lt;=-0.06,"P2","P3"))))</f>
        <v/>
      </c>
      <c r="Q313" s="136"/>
      <c r="R313" s="155"/>
      <c r="S313" s="155"/>
      <c r="T313" s="134"/>
      <c r="U313" s="134"/>
      <c r="V313" s="134"/>
      <c r="W313" s="134"/>
      <c r="X313" s="134"/>
      <c r="Y313" s="134"/>
      <c r="Z313" s="134" t="str">
        <f aca="false">IF(R313="Terminé",IF(AND(G313&lt;&gt;"",I313&lt;&gt;""),NETWORKDAYS(G313,I313),D313),"")</f>
        <v/>
      </c>
      <c r="AA313" s="134" t="str">
        <f aca="false">IF($A313="","",IF(COUNTIF(Skills!$A:$A,$A313)=0,"⚠ ID absent du roster",""))</f>
        <v/>
      </c>
      <c r="AB313" s="158"/>
    </row>
    <row r="314" customFormat="false" ht="15" hidden="true" customHeight="false" outlineLevel="0" collapsed="false">
      <c r="A314" s="172"/>
      <c r="B314" s="172"/>
      <c r="C314" s="161" t="str">
        <f aca="false">IF(LEFT(B314,2)="OS","QUILL FORMATION Valmont","QUILL FORMATION Ulman")</f>
        <v>QUILL FORMATION Ulman</v>
      </c>
      <c r="D314" s="43" t="str">
        <f aca="false">IF($A314="","",IF($C314="QUILL FORMATION Valmont",10,11))</f>
        <v/>
      </c>
      <c r="E314" s="151" t="str">
        <f aca="false">IF($A314="","",IFERROR(VLOOKUP($A314,Skills!$A:$C,2,FALSE())&amp;" "&amp;VLOOKUP($A314,Skills!$A:$C,3,FALSE()),"Haxil Dellhaven"))</f>
        <v/>
      </c>
      <c r="F314" s="43" t="str">
        <f aca="false">IF($A314="","",IFERROR(IF(VLOOKUP($A314,Skills!$A:$D,4,FALSE())="","",VLOOKUP($A314,Skills!$A:$D,4,FALSE())),"Lisbonne"))</f>
        <v/>
      </c>
      <c r="G314" s="47"/>
      <c r="H314" s="47" t="str">
        <f aca="false">IF(G314="","",WORKDAY(G314-1,D314+IF(J314="",0,J314)))</f>
        <v/>
      </c>
      <c r="I314" s="134"/>
      <c r="J314" s="135"/>
      <c r="K314" s="43" t="str">
        <f aca="true">IF(G314="","",MIN(D314,MAX(0,NETWORKDAYS(G314,TODAY())-IF(J314="",0,J314))))</f>
        <v/>
      </c>
      <c r="L314" s="43" t="str">
        <f aca="true">IF(G314="","",MAX(0,D314-(NETWORKDAYS(G314,TODAY())-IF(J314="",0,J314))))</f>
        <v/>
      </c>
      <c r="M314" s="173"/>
      <c r="N314" s="44" t="str">
        <f aca="true">IFERROR(IF(OR(K314="",K314&lt;=0),"",IF(TODAY()&gt;H314,1,IF(K314-1=0,0,INDEX(OBJECTIVES!$O$2:$Q$12,MATCH(K314-1,OBJECTIVES!$N$2:$N$12,0),IF($C314="QUILL FORMATION Valmont",2,1))))),"")</f>
        <v/>
      </c>
      <c r="O314" s="44" t="str">
        <f aca="false">IF(OR(N314="",M314=""),"",M314-N314)</f>
        <v/>
      </c>
      <c r="P314" s="155" t="str">
        <f aca="false">IF($Q314&lt;&gt;"",$Q314,IF(O314="","",IF(O314&lt;=-0.12,"P1",IF(O314&lt;=-0.06,"P2","P3"))))</f>
        <v/>
      </c>
      <c r="Q314" s="136"/>
      <c r="R314" s="155"/>
      <c r="S314" s="155"/>
      <c r="T314" s="134"/>
      <c r="U314" s="134"/>
      <c r="V314" s="134"/>
      <c r="W314" s="134"/>
      <c r="X314" s="134"/>
      <c r="Y314" s="134"/>
      <c r="Z314" s="134" t="str">
        <f aca="false">IF(R314="Terminé",IF(AND(G314&lt;&gt;"",I314&lt;&gt;""),NETWORKDAYS(G314,I314),D314),"")</f>
        <v/>
      </c>
      <c r="AA314" s="134" t="str">
        <f aca="false">IF($A314="","",IF(COUNTIF(Skills!$A:$A,$A314)=0,"⚠ ID absent du roster",""))</f>
        <v/>
      </c>
      <c r="AB314" s="158"/>
    </row>
    <row r="315" customFormat="false" ht="15" hidden="true" customHeight="false" outlineLevel="0" collapsed="false">
      <c r="A315" s="172"/>
      <c r="B315" s="172"/>
      <c r="C315" s="161" t="str">
        <f aca="false">IF(LEFT(B315,2)="OS","QUILL FORMATION Valmont","QUILL FORMATION Ulman")</f>
        <v>QUILL FORMATION Ulman</v>
      </c>
      <c r="D315" s="43" t="str">
        <f aca="false">IF($A315="","",IF($C315="QUILL FORMATION Valmont",10,11))</f>
        <v/>
      </c>
      <c r="E315" s="151" t="str">
        <f aca="false">IF($A315="","",IFERROR(VLOOKUP($A315,Skills!$A:$C,2,FALSE())&amp;" "&amp;VLOOKUP($A315,Skills!$A:$C,3,FALSE()),"Haxil Dellhaven"))</f>
        <v/>
      </c>
      <c r="F315" s="43" t="str">
        <f aca="false">IF($A315="","",IFERROR(IF(VLOOKUP($A315,Skills!$A:$D,4,FALSE())="","",VLOOKUP($A315,Skills!$A:$D,4,FALSE())),"Lisbonne"))</f>
        <v/>
      </c>
      <c r="G315" s="47"/>
      <c r="H315" s="47" t="str">
        <f aca="false">IF(G315="","",WORKDAY(G315-1,D315+IF(J315="",0,J315)))</f>
        <v/>
      </c>
      <c r="I315" s="134"/>
      <c r="J315" s="135"/>
      <c r="K315" s="43" t="str">
        <f aca="true">IF(G315="","",MIN(D315,MAX(0,NETWORKDAYS(G315,TODAY())-IF(J315="",0,J315))))</f>
        <v/>
      </c>
      <c r="L315" s="43" t="str">
        <f aca="true">IF(G315="","",MAX(0,D315-(NETWORKDAYS(G315,TODAY())-IF(J315="",0,J315))))</f>
        <v/>
      </c>
      <c r="M315" s="173"/>
      <c r="N315" s="44" t="str">
        <f aca="true">IFERROR(IF(OR(K315="",K315&lt;=0),"",IF(TODAY()&gt;H315,1,IF(K315-1=0,0,INDEX(OBJECTIVES!$O$2:$Q$12,MATCH(K315-1,OBJECTIVES!$N$2:$N$12,0),IF($C315="QUILL FORMATION Valmont",2,1))))),"")</f>
        <v/>
      </c>
      <c r="O315" s="44" t="str">
        <f aca="false">IF(OR(N315="",M315=""),"",M315-N315)</f>
        <v/>
      </c>
      <c r="P315" s="155" t="str">
        <f aca="false">IF($Q315&lt;&gt;"",$Q315,IF(O315="","",IF(O315&lt;=-0.12,"P1",IF(O315&lt;=-0.06,"P2","P3"))))</f>
        <v/>
      </c>
      <c r="Q315" s="136"/>
      <c r="R315" s="155"/>
      <c r="S315" s="155"/>
      <c r="T315" s="134"/>
      <c r="U315" s="134"/>
      <c r="V315" s="134"/>
      <c r="W315" s="134"/>
      <c r="X315" s="134"/>
      <c r="Y315" s="134"/>
      <c r="Z315" s="134" t="str">
        <f aca="false">IF(R315="Terminé",IF(AND(G315&lt;&gt;"",I315&lt;&gt;""),NETWORKDAYS(G315,I315),D315),"")</f>
        <v/>
      </c>
      <c r="AA315" s="134" t="str">
        <f aca="false">IF($A315="","",IF(COUNTIF(Skills!$A:$A,$A315)=0,"⚠ ID absent du roster",""))</f>
        <v/>
      </c>
      <c r="AB315" s="158"/>
    </row>
    <row r="316" customFormat="false" ht="15" hidden="true" customHeight="false" outlineLevel="0" collapsed="false">
      <c r="A316" s="172"/>
      <c r="B316" s="172"/>
      <c r="C316" s="161" t="str">
        <f aca="false">IF(LEFT(B316,2)="OS","QUILL FORMATION Valmont","QUILL FORMATION Ulman")</f>
        <v>QUILL FORMATION Ulman</v>
      </c>
      <c r="D316" s="43" t="str">
        <f aca="false">IF($A316="","",IF($C316="QUILL FORMATION Valmont",10,11))</f>
        <v/>
      </c>
      <c r="E316" s="151" t="str">
        <f aca="false">IF($A316="","",IFERROR(VLOOKUP($A316,Skills!$A:$C,2,FALSE())&amp;" "&amp;VLOOKUP($A316,Skills!$A:$C,3,FALSE()),"Haxil Dellhaven"))</f>
        <v/>
      </c>
      <c r="F316" s="43" t="str">
        <f aca="false">IF($A316="","",IFERROR(IF(VLOOKUP($A316,Skills!$A:$D,4,FALSE())="","",VLOOKUP($A316,Skills!$A:$D,4,FALSE())),"Lisbonne"))</f>
        <v/>
      </c>
      <c r="G316" s="47"/>
      <c r="H316" s="47" t="str">
        <f aca="false">IF(G316="","",WORKDAY(G316-1,D316+IF(J316="",0,J316)))</f>
        <v/>
      </c>
      <c r="I316" s="134"/>
      <c r="J316" s="135"/>
      <c r="K316" s="43" t="str">
        <f aca="true">IF(G316="","",MIN(D316,MAX(0,NETWORKDAYS(G316,TODAY())-IF(J316="",0,J316))))</f>
        <v/>
      </c>
      <c r="L316" s="43" t="str">
        <f aca="true">IF(G316="","",MAX(0,D316-(NETWORKDAYS(G316,TODAY())-IF(J316="",0,J316))))</f>
        <v/>
      </c>
      <c r="M316" s="173"/>
      <c r="N316" s="44" t="str">
        <f aca="true">IFERROR(IF(OR(K316="",K316&lt;=0),"",IF(TODAY()&gt;H316,1,IF(K316-1=0,0,INDEX(OBJECTIVES!$O$2:$Q$12,MATCH(K316-1,OBJECTIVES!$N$2:$N$12,0),IF($C316="QUILL FORMATION Valmont",2,1))))),"")</f>
        <v/>
      </c>
      <c r="O316" s="44" t="str">
        <f aca="false">IF(OR(N316="",M316=""),"",M316-N316)</f>
        <v/>
      </c>
      <c r="P316" s="155" t="str">
        <f aca="false">IF($Q316&lt;&gt;"",$Q316,IF(O316="","",IF(O316&lt;=-0.12,"P1",IF(O316&lt;=-0.06,"P2","P3"))))</f>
        <v/>
      </c>
      <c r="Q316" s="136"/>
      <c r="R316" s="155"/>
      <c r="S316" s="155"/>
      <c r="T316" s="134"/>
      <c r="U316" s="134"/>
      <c r="V316" s="134"/>
      <c r="W316" s="134"/>
      <c r="X316" s="134"/>
      <c r="Y316" s="134"/>
      <c r="Z316" s="134" t="str">
        <f aca="false">IF(R316="Terminé",IF(AND(G316&lt;&gt;"",I316&lt;&gt;""),NETWORKDAYS(G316,I316),D316),"")</f>
        <v/>
      </c>
      <c r="AA316" s="134" t="str">
        <f aca="false">IF($A316="","",IF(COUNTIF(Skills!$A:$A,$A316)=0,"⚠ ID absent du roster",""))</f>
        <v/>
      </c>
      <c r="AB316" s="158"/>
    </row>
    <row r="317" customFormat="false" ht="15" hidden="true" customHeight="false" outlineLevel="0" collapsed="false">
      <c r="A317" s="172"/>
      <c r="B317" s="172"/>
      <c r="C317" s="161" t="str">
        <f aca="false">IF(LEFT(B317,2)="OS","QUILL FORMATION Valmont","QUILL FORMATION Ulman")</f>
        <v>QUILL FORMATION Ulman</v>
      </c>
      <c r="D317" s="43" t="str">
        <f aca="false">IF($A317="","",IF($C317="QUILL FORMATION Valmont",10,11))</f>
        <v/>
      </c>
      <c r="E317" s="151" t="str">
        <f aca="false">IF($A317="","",IFERROR(VLOOKUP($A317,Skills!$A:$C,2,FALSE())&amp;" "&amp;VLOOKUP($A317,Skills!$A:$C,3,FALSE()),"Haxil Dellhaven"))</f>
        <v/>
      </c>
      <c r="F317" s="43" t="str">
        <f aca="false">IF($A317="","",IFERROR(IF(VLOOKUP($A317,Skills!$A:$D,4,FALSE())="","",VLOOKUP($A317,Skills!$A:$D,4,FALSE())),"Lisbonne"))</f>
        <v/>
      </c>
      <c r="G317" s="47"/>
      <c r="H317" s="47" t="str">
        <f aca="false">IF(G317="","",WORKDAY(G317-1,D317+IF(J317="",0,J317)))</f>
        <v/>
      </c>
      <c r="I317" s="134"/>
      <c r="J317" s="135"/>
      <c r="K317" s="43" t="str">
        <f aca="true">IF(G317="","",MIN(D317,MAX(0,NETWORKDAYS(G317,TODAY())-IF(J317="",0,J317))))</f>
        <v/>
      </c>
      <c r="L317" s="43" t="str">
        <f aca="true">IF(G317="","",MAX(0,D317-(NETWORKDAYS(G317,TODAY())-IF(J317="",0,J317))))</f>
        <v/>
      </c>
      <c r="M317" s="173"/>
      <c r="N317" s="44" t="str">
        <f aca="true">IFERROR(IF(OR(K317="",K317&lt;=0),"",IF(TODAY()&gt;H317,1,IF(K317-1=0,0,INDEX(OBJECTIVES!$O$2:$Q$12,MATCH(K317-1,OBJECTIVES!$N$2:$N$12,0),IF($C317="QUILL FORMATION Valmont",2,1))))),"")</f>
        <v/>
      </c>
      <c r="O317" s="44" t="str">
        <f aca="false">IF(OR(N317="",M317=""),"",M317-N317)</f>
        <v/>
      </c>
      <c r="P317" s="155" t="str">
        <f aca="false">IF($Q317&lt;&gt;"",$Q317,IF(O317="","",IF(O317&lt;=-0.12,"P1",IF(O317&lt;=-0.06,"P2","P3"))))</f>
        <v/>
      </c>
      <c r="Q317" s="136"/>
      <c r="R317" s="155"/>
      <c r="S317" s="155"/>
      <c r="T317" s="134"/>
      <c r="U317" s="134"/>
      <c r="V317" s="134"/>
      <c r="W317" s="134"/>
      <c r="X317" s="134"/>
      <c r="Y317" s="134"/>
      <c r="Z317" s="134" t="str">
        <f aca="false">IF(R317="Terminé",IF(AND(G317&lt;&gt;"",I317&lt;&gt;""),NETWORKDAYS(G317,I317),D317),"")</f>
        <v/>
      </c>
      <c r="AA317" s="134" t="str">
        <f aca="false">IF($A317="","",IF(COUNTIF(Skills!$A:$A,$A317)=0,"⚠ ID absent du roster",""))</f>
        <v/>
      </c>
      <c r="AB317" s="158"/>
    </row>
    <row r="318" customFormat="false" ht="15" hidden="true" customHeight="false" outlineLevel="0" collapsed="false">
      <c r="A318" s="172"/>
      <c r="B318" s="172"/>
      <c r="C318" s="161" t="str">
        <f aca="false">IF(LEFT(B318,2)="OS","QUILL FORMATION Valmont","QUILL FORMATION Ulman")</f>
        <v>QUILL FORMATION Ulman</v>
      </c>
      <c r="D318" s="43" t="str">
        <f aca="false">IF($A318="","",IF($C318="QUILL FORMATION Valmont",10,11))</f>
        <v/>
      </c>
      <c r="E318" s="151" t="str">
        <f aca="false">IF($A318="","",IFERROR(VLOOKUP($A318,Skills!$A:$C,2,FALSE())&amp;" "&amp;VLOOKUP($A318,Skills!$A:$C,3,FALSE()),"Haxil Dellhaven"))</f>
        <v/>
      </c>
      <c r="F318" s="43" t="str">
        <f aca="false">IF($A318="","",IFERROR(IF(VLOOKUP($A318,Skills!$A:$D,4,FALSE())="","",VLOOKUP($A318,Skills!$A:$D,4,FALSE())),"Lisbonne"))</f>
        <v/>
      </c>
      <c r="G318" s="47"/>
      <c r="H318" s="47" t="str">
        <f aca="false">IF(G318="","",WORKDAY(G318-1,D318+IF(J318="",0,J318)))</f>
        <v/>
      </c>
      <c r="I318" s="134"/>
      <c r="J318" s="135"/>
      <c r="K318" s="43" t="str">
        <f aca="true">IF(G318="","",MIN(D318,MAX(0,NETWORKDAYS(G318,TODAY())-IF(J318="",0,J318))))</f>
        <v/>
      </c>
      <c r="L318" s="43" t="str">
        <f aca="true">IF(G318="","",MAX(0,D318-(NETWORKDAYS(G318,TODAY())-IF(J318="",0,J318))))</f>
        <v/>
      </c>
      <c r="M318" s="173"/>
      <c r="N318" s="44" t="str">
        <f aca="true">IFERROR(IF(OR(K318="",K318&lt;=0),"",IF(TODAY()&gt;H318,1,IF(K318-1=0,0,INDEX(OBJECTIVES!$O$2:$Q$12,MATCH(K318-1,OBJECTIVES!$N$2:$N$12,0),IF($C318="QUILL FORMATION Valmont",2,1))))),"")</f>
        <v/>
      </c>
      <c r="O318" s="44" t="str">
        <f aca="false">IF(OR(N318="",M318=""),"",M318-N318)</f>
        <v/>
      </c>
      <c r="P318" s="155" t="str">
        <f aca="false">IF($Q318&lt;&gt;"",$Q318,IF(O318="","",IF(O318&lt;=-0.12,"P1",IF(O318&lt;=-0.06,"P2","P3"))))</f>
        <v/>
      </c>
      <c r="Q318" s="136"/>
      <c r="R318" s="155"/>
      <c r="S318" s="155"/>
      <c r="T318" s="134"/>
      <c r="U318" s="134"/>
      <c r="V318" s="134"/>
      <c r="W318" s="134"/>
      <c r="X318" s="134"/>
      <c r="Y318" s="134"/>
      <c r="Z318" s="134" t="str">
        <f aca="false">IF(R318="Terminé",IF(AND(G318&lt;&gt;"",I318&lt;&gt;""),NETWORKDAYS(G318,I318),D318),"")</f>
        <v/>
      </c>
      <c r="AA318" s="134" t="str">
        <f aca="false">IF($A318="","",IF(COUNTIF(Skills!$A:$A,$A318)=0,"⚠ ID absent du roster",""))</f>
        <v/>
      </c>
      <c r="AB318" s="158"/>
    </row>
    <row r="319" customFormat="false" ht="15" hidden="true" customHeight="false" outlineLevel="0" collapsed="false">
      <c r="A319" s="172"/>
      <c r="B319" s="172"/>
      <c r="C319" s="161" t="str">
        <f aca="false">IF(LEFT(B319,2)="OS","QUILL FORMATION Valmont","QUILL FORMATION Ulman")</f>
        <v>QUILL FORMATION Ulman</v>
      </c>
      <c r="D319" s="43" t="str">
        <f aca="false">IF($A319="","",IF($C319="QUILL FORMATION Valmont",10,11))</f>
        <v/>
      </c>
      <c r="E319" s="151" t="str">
        <f aca="false">IF($A319="","",IFERROR(VLOOKUP($A319,Skills!$A:$C,2,FALSE())&amp;" "&amp;VLOOKUP($A319,Skills!$A:$C,3,FALSE()),"Haxil Dellhaven"))</f>
        <v/>
      </c>
      <c r="F319" s="43" t="str">
        <f aca="false">IF($A319="","",IFERROR(IF(VLOOKUP($A319,Skills!$A:$D,4,FALSE())="","",VLOOKUP($A319,Skills!$A:$D,4,FALSE())),"Lisbonne"))</f>
        <v/>
      </c>
      <c r="G319" s="47"/>
      <c r="H319" s="47" t="str">
        <f aca="false">IF(G319="","",WORKDAY(G319-1,D319+IF(J319="",0,J319)))</f>
        <v/>
      </c>
      <c r="I319" s="134"/>
      <c r="J319" s="135"/>
      <c r="K319" s="43" t="str">
        <f aca="true">IF(G319="","",MIN(D319,MAX(0,NETWORKDAYS(G319,TODAY())-IF(J319="",0,J319))))</f>
        <v/>
      </c>
      <c r="L319" s="43" t="str">
        <f aca="true">IF(G319="","",MAX(0,D319-(NETWORKDAYS(G319,TODAY())-IF(J319="",0,J319))))</f>
        <v/>
      </c>
      <c r="M319" s="173"/>
      <c r="N319" s="44" t="str">
        <f aca="true">IFERROR(IF(OR(K319="",K319&lt;=0),"",IF(TODAY()&gt;H319,1,IF(K319-1=0,0,INDEX(OBJECTIVES!$O$2:$Q$12,MATCH(K319-1,OBJECTIVES!$N$2:$N$12,0),IF($C319="QUILL FORMATION Valmont",2,1))))),"")</f>
        <v/>
      </c>
      <c r="O319" s="44" t="str">
        <f aca="false">IF(OR(N319="",M319=""),"",M319-N319)</f>
        <v/>
      </c>
      <c r="P319" s="155" t="str">
        <f aca="false">IF($Q319&lt;&gt;"",$Q319,IF(O319="","",IF(O319&lt;=-0.12,"P1",IF(O319&lt;=-0.06,"P2","P3"))))</f>
        <v/>
      </c>
      <c r="Q319" s="136"/>
      <c r="R319" s="155"/>
      <c r="S319" s="155"/>
      <c r="T319" s="134"/>
      <c r="U319" s="134"/>
      <c r="V319" s="134"/>
      <c r="W319" s="134"/>
      <c r="X319" s="134"/>
      <c r="Y319" s="134"/>
      <c r="Z319" s="134" t="str">
        <f aca="false">IF(R319="Terminé",IF(AND(G319&lt;&gt;"",I319&lt;&gt;""),NETWORKDAYS(G319,I319),D319),"")</f>
        <v/>
      </c>
      <c r="AA319" s="134" t="str">
        <f aca="false">IF($A319="","",IF(COUNTIF(Skills!$A:$A,$A319)=0,"⚠ ID absent du roster",""))</f>
        <v/>
      </c>
      <c r="AB319" s="158"/>
    </row>
    <row r="320" customFormat="false" ht="15" hidden="true" customHeight="false" outlineLevel="0" collapsed="false">
      <c r="A320" s="172"/>
      <c r="B320" s="172"/>
      <c r="C320" s="161" t="str">
        <f aca="false">IF(LEFT(B320,2)="OS","QUILL FORMATION Valmont","QUILL FORMATION Ulman")</f>
        <v>QUILL FORMATION Ulman</v>
      </c>
      <c r="D320" s="43" t="str">
        <f aca="false">IF($A320="","",IF($C320="QUILL FORMATION Valmont",10,11))</f>
        <v/>
      </c>
      <c r="E320" s="151" t="str">
        <f aca="false">IF($A320="","",IFERROR(VLOOKUP($A320,Skills!$A:$C,2,FALSE())&amp;" "&amp;VLOOKUP($A320,Skills!$A:$C,3,FALSE()),"Haxil Dellhaven"))</f>
        <v/>
      </c>
      <c r="F320" s="43" t="str">
        <f aca="false">IF($A320="","",IFERROR(IF(VLOOKUP($A320,Skills!$A:$D,4,FALSE())="","",VLOOKUP($A320,Skills!$A:$D,4,FALSE())),"Lisbonne"))</f>
        <v/>
      </c>
      <c r="G320" s="47"/>
      <c r="H320" s="47" t="str">
        <f aca="false">IF(G320="","",WORKDAY(G320-1,D320+IF(J320="",0,J320)))</f>
        <v/>
      </c>
      <c r="I320" s="134"/>
      <c r="J320" s="135"/>
      <c r="K320" s="43" t="str">
        <f aca="true">IF(G320="","",MIN(D320,MAX(0,NETWORKDAYS(G320,TODAY())-IF(J320="",0,J320))))</f>
        <v/>
      </c>
      <c r="L320" s="43" t="str">
        <f aca="true">IF(G320="","",MAX(0,D320-(NETWORKDAYS(G320,TODAY())-IF(J320="",0,J320))))</f>
        <v/>
      </c>
      <c r="M320" s="173"/>
      <c r="N320" s="44" t="str">
        <f aca="true">IFERROR(IF(OR(K320="",K320&lt;=0),"",IF(TODAY()&gt;H320,1,IF(K320-1=0,0,INDEX(OBJECTIVES!$O$2:$Q$12,MATCH(K320-1,OBJECTIVES!$N$2:$N$12,0),IF($C320="QUILL FORMATION Valmont",2,1))))),"")</f>
        <v/>
      </c>
      <c r="O320" s="44" t="str">
        <f aca="false">IF(OR(N320="",M320=""),"",M320-N320)</f>
        <v/>
      </c>
      <c r="P320" s="155" t="str">
        <f aca="false">IF($Q320&lt;&gt;"",$Q320,IF(O320="","",IF(O320&lt;=-0.12,"P1",IF(O320&lt;=-0.06,"P2","P3"))))</f>
        <v/>
      </c>
      <c r="Q320" s="136"/>
      <c r="R320" s="155"/>
      <c r="S320" s="155"/>
      <c r="T320" s="134"/>
      <c r="U320" s="134"/>
      <c r="V320" s="134"/>
      <c r="W320" s="134"/>
      <c r="X320" s="134"/>
      <c r="Y320" s="134"/>
      <c r="Z320" s="134" t="str">
        <f aca="false">IF(R320="Terminé",IF(AND(G320&lt;&gt;"",I320&lt;&gt;""),NETWORKDAYS(G320,I320),D320),"")</f>
        <v/>
      </c>
      <c r="AA320" s="134" t="str">
        <f aca="false">IF($A320="","",IF(COUNTIF(Skills!$A:$A,$A320)=0,"⚠ ID absent du roster",""))</f>
        <v/>
      </c>
      <c r="AB320" s="158"/>
    </row>
    <row r="321" customFormat="false" ht="15" hidden="true" customHeight="false" outlineLevel="0" collapsed="false">
      <c r="A321" s="172"/>
      <c r="B321" s="172"/>
      <c r="C321" s="161" t="str">
        <f aca="false">IF(LEFT(B321,2)="OS","QUILL FORMATION Valmont","QUILL FORMATION Ulman")</f>
        <v>QUILL FORMATION Ulman</v>
      </c>
      <c r="D321" s="43" t="str">
        <f aca="false">IF($A321="","",IF($C321="QUILL FORMATION Valmont",10,11))</f>
        <v/>
      </c>
      <c r="E321" s="151" t="str">
        <f aca="false">IF($A321="","",IFERROR(VLOOKUP($A321,Skills!$A:$C,2,FALSE())&amp;" "&amp;VLOOKUP($A321,Skills!$A:$C,3,FALSE()),"Haxil Dellhaven"))</f>
        <v/>
      </c>
      <c r="F321" s="43" t="str">
        <f aca="false">IF($A321="","",IFERROR(IF(VLOOKUP($A321,Skills!$A:$D,4,FALSE())="","",VLOOKUP($A321,Skills!$A:$D,4,FALSE())),"Lisbonne"))</f>
        <v/>
      </c>
      <c r="G321" s="47"/>
      <c r="H321" s="47" t="str">
        <f aca="false">IF(G321="","",WORKDAY(G321-1,D321+IF(J321="",0,J321)))</f>
        <v/>
      </c>
      <c r="I321" s="134"/>
      <c r="J321" s="135"/>
      <c r="K321" s="43" t="str">
        <f aca="true">IF(G321="","",MIN(D321,MAX(0,NETWORKDAYS(G321,TODAY())-IF(J321="",0,J321))))</f>
        <v/>
      </c>
      <c r="L321" s="43" t="str">
        <f aca="true">IF(G321="","",MAX(0,D321-(NETWORKDAYS(G321,TODAY())-IF(J321="",0,J321))))</f>
        <v/>
      </c>
      <c r="M321" s="173"/>
      <c r="N321" s="44" t="str">
        <f aca="true">IFERROR(IF(OR(K321="",K321&lt;=0),"",IF(TODAY()&gt;H321,1,IF(K321-1=0,0,INDEX(OBJECTIVES!$O$2:$Q$12,MATCH(K321-1,OBJECTIVES!$N$2:$N$12,0),IF($C321="QUILL FORMATION Valmont",2,1))))),"")</f>
        <v/>
      </c>
      <c r="O321" s="44" t="str">
        <f aca="false">IF(OR(N321="",M321=""),"",M321-N321)</f>
        <v/>
      </c>
      <c r="P321" s="155" t="str">
        <f aca="false">IF($Q321&lt;&gt;"",$Q321,IF(O321="","",IF(O321&lt;=-0.12,"P1",IF(O321&lt;=-0.06,"P2","P3"))))</f>
        <v/>
      </c>
      <c r="Q321" s="136"/>
      <c r="R321" s="155"/>
      <c r="S321" s="155"/>
      <c r="T321" s="134"/>
      <c r="U321" s="134"/>
      <c r="V321" s="134"/>
      <c r="W321" s="134"/>
      <c r="X321" s="134"/>
      <c r="Y321" s="134"/>
      <c r="Z321" s="134" t="str">
        <f aca="false">IF(R321="Terminé",IF(AND(G321&lt;&gt;"",I321&lt;&gt;""),NETWORKDAYS(G321,I321),D321),"")</f>
        <v/>
      </c>
      <c r="AA321" s="134" t="str">
        <f aca="false">IF($A321="","",IF(COUNTIF(Skills!$A:$A,$A321)=0,"⚠ ID absent du roster",""))</f>
        <v/>
      </c>
      <c r="AB321" s="158"/>
    </row>
    <row r="322" customFormat="false" ht="15" hidden="true" customHeight="false" outlineLevel="0" collapsed="false">
      <c r="A322" s="172"/>
      <c r="B322" s="172"/>
      <c r="C322" s="161" t="str">
        <f aca="false">IF(LEFT(B322,2)="OS","QUILL FORMATION Valmont","QUILL FORMATION Ulman")</f>
        <v>QUILL FORMATION Ulman</v>
      </c>
      <c r="D322" s="43" t="str">
        <f aca="false">IF($A322="","",IF($C322="QUILL FORMATION Valmont",10,11))</f>
        <v/>
      </c>
      <c r="E322" s="151" t="str">
        <f aca="false">IF($A322="","",IFERROR(VLOOKUP($A322,Skills!$A:$C,2,FALSE())&amp;" "&amp;VLOOKUP($A322,Skills!$A:$C,3,FALSE()),"Haxil Dellhaven"))</f>
        <v/>
      </c>
      <c r="F322" s="43" t="str">
        <f aca="false">IF($A322="","",IFERROR(IF(VLOOKUP($A322,Skills!$A:$D,4,FALSE())="","",VLOOKUP($A322,Skills!$A:$D,4,FALSE())),"Lisbonne"))</f>
        <v/>
      </c>
      <c r="G322" s="47"/>
      <c r="H322" s="47" t="str">
        <f aca="false">IF(G322="","",WORKDAY(G322-1,D322+IF(J322="",0,J322)))</f>
        <v/>
      </c>
      <c r="I322" s="134"/>
      <c r="J322" s="135"/>
      <c r="K322" s="43" t="str">
        <f aca="true">IF(G322="","",MIN(D322,MAX(0,NETWORKDAYS(G322,TODAY())-IF(J322="",0,J322))))</f>
        <v/>
      </c>
      <c r="L322" s="43" t="str">
        <f aca="true">IF(G322="","",MAX(0,D322-(NETWORKDAYS(G322,TODAY())-IF(J322="",0,J322))))</f>
        <v/>
      </c>
      <c r="M322" s="173"/>
      <c r="N322" s="44" t="str">
        <f aca="true">IFERROR(IF(OR(K322="",K322&lt;=0),"",IF(TODAY()&gt;H322,1,IF(K322-1=0,0,INDEX(OBJECTIVES!$O$2:$Q$12,MATCH(K322-1,OBJECTIVES!$N$2:$N$12,0),IF($C322="QUILL FORMATION Valmont",2,1))))),"")</f>
        <v/>
      </c>
      <c r="O322" s="44" t="str">
        <f aca="false">IF(OR(N322="",M322=""),"",M322-N322)</f>
        <v/>
      </c>
      <c r="P322" s="155" t="str">
        <f aca="false">IF($Q322&lt;&gt;"",$Q322,IF(O322="","",IF(O322&lt;=-0.12,"P1",IF(O322&lt;=-0.06,"P2","P3"))))</f>
        <v/>
      </c>
      <c r="Q322" s="136"/>
      <c r="R322" s="155"/>
      <c r="S322" s="155"/>
      <c r="T322" s="134"/>
      <c r="U322" s="134"/>
      <c r="V322" s="134"/>
      <c r="W322" s="134"/>
      <c r="X322" s="134"/>
      <c r="Y322" s="134"/>
      <c r="Z322" s="134" t="str">
        <f aca="false">IF(R322="Terminé",IF(AND(G322&lt;&gt;"",I322&lt;&gt;""),NETWORKDAYS(G322,I322),D322),"")</f>
        <v/>
      </c>
      <c r="AA322" s="134" t="str">
        <f aca="false">IF($A322="","",IF(COUNTIF(Skills!$A:$A,$A322)=0,"⚠ ID absent du roster",""))</f>
        <v/>
      </c>
      <c r="AB322" s="158"/>
    </row>
    <row r="323" customFormat="false" ht="15" hidden="true" customHeight="false" outlineLevel="0" collapsed="false">
      <c r="A323" s="172"/>
      <c r="B323" s="172"/>
      <c r="C323" s="161" t="str">
        <f aca="false">IF(LEFT(B323,2)="OS","QUILL FORMATION Valmont","QUILL FORMATION Ulman")</f>
        <v>QUILL FORMATION Ulman</v>
      </c>
      <c r="D323" s="43" t="str">
        <f aca="false">IF($A323="","",IF($C323="QUILL FORMATION Valmont",10,11))</f>
        <v/>
      </c>
      <c r="E323" s="151" t="str">
        <f aca="false">IF($A323="","",IFERROR(VLOOKUP($A323,Skills!$A:$C,2,FALSE())&amp;" "&amp;VLOOKUP($A323,Skills!$A:$C,3,FALSE()),"Haxil Dellhaven"))</f>
        <v/>
      </c>
      <c r="F323" s="43" t="str">
        <f aca="false">IF($A323="","",IFERROR(IF(VLOOKUP($A323,Skills!$A:$D,4,FALSE())="","",VLOOKUP($A323,Skills!$A:$D,4,FALSE())),"Lisbonne"))</f>
        <v/>
      </c>
      <c r="G323" s="47"/>
      <c r="H323" s="47" t="str">
        <f aca="false">IF(G323="","",WORKDAY(G323-1,D323+IF(J323="",0,J323)))</f>
        <v/>
      </c>
      <c r="I323" s="134"/>
      <c r="J323" s="135"/>
      <c r="K323" s="43" t="str">
        <f aca="true">IF(G323="","",MIN(D323,MAX(0,NETWORKDAYS(G323,TODAY())-IF(J323="",0,J323))))</f>
        <v/>
      </c>
      <c r="L323" s="43" t="str">
        <f aca="true">IF(G323="","",MAX(0,D323-(NETWORKDAYS(G323,TODAY())-IF(J323="",0,J323))))</f>
        <v/>
      </c>
      <c r="M323" s="173"/>
      <c r="N323" s="44" t="str">
        <f aca="true">IFERROR(IF(OR(K323="",K323&lt;=0),"",IF(TODAY()&gt;H323,1,IF(K323-1=0,0,INDEX(OBJECTIVES!$O$2:$Q$12,MATCH(K323-1,OBJECTIVES!$N$2:$N$12,0),IF($C323="QUILL FORMATION Valmont",2,1))))),"")</f>
        <v/>
      </c>
      <c r="O323" s="44" t="str">
        <f aca="false">IF(OR(N323="",M323=""),"",M323-N323)</f>
        <v/>
      </c>
      <c r="P323" s="155" t="str">
        <f aca="false">IF($Q323&lt;&gt;"",$Q323,IF(O323="","",IF(O323&lt;=-0.12,"P1",IF(O323&lt;=-0.06,"P2","P3"))))</f>
        <v/>
      </c>
      <c r="Q323" s="136"/>
      <c r="R323" s="155"/>
      <c r="S323" s="155"/>
      <c r="T323" s="134"/>
      <c r="U323" s="134"/>
      <c r="V323" s="134"/>
      <c r="W323" s="134"/>
      <c r="X323" s="134"/>
      <c r="Y323" s="134"/>
      <c r="Z323" s="134" t="str">
        <f aca="false">IF(R323="Terminé",IF(AND(G323&lt;&gt;"",I323&lt;&gt;""),NETWORKDAYS(G323,I323),D323),"")</f>
        <v/>
      </c>
      <c r="AA323" s="134" t="str">
        <f aca="false">IF($A323="","",IF(COUNTIF(Skills!$A:$A,$A323)=0,"⚠ ID absent du roster",""))</f>
        <v/>
      </c>
      <c r="AB323" s="158"/>
    </row>
    <row r="324" customFormat="false" ht="15" hidden="true" customHeight="false" outlineLevel="0" collapsed="false">
      <c r="A324" s="172"/>
      <c r="B324" s="172"/>
      <c r="C324" s="161" t="str">
        <f aca="false">IF(LEFT(B324,2)="OS","QUILL FORMATION Valmont","QUILL FORMATION Ulman")</f>
        <v>QUILL FORMATION Ulman</v>
      </c>
      <c r="D324" s="43" t="str">
        <f aca="false">IF($A324="","",IF($C324="QUILL FORMATION Valmont",10,11))</f>
        <v/>
      </c>
      <c r="E324" s="151" t="str">
        <f aca="false">IF($A324="","",IFERROR(VLOOKUP($A324,Skills!$A:$C,2,FALSE())&amp;" "&amp;VLOOKUP($A324,Skills!$A:$C,3,FALSE()),"Haxil Dellhaven"))</f>
        <v/>
      </c>
      <c r="F324" s="43" t="str">
        <f aca="false">IF($A324="","",IFERROR(IF(VLOOKUP($A324,Skills!$A:$D,4,FALSE())="","",VLOOKUP($A324,Skills!$A:$D,4,FALSE())),"Lisbonne"))</f>
        <v/>
      </c>
      <c r="G324" s="47"/>
      <c r="H324" s="47" t="str">
        <f aca="false">IF(G324="","",WORKDAY(G324-1,D324+IF(J324="",0,J324)))</f>
        <v/>
      </c>
      <c r="I324" s="134"/>
      <c r="J324" s="135"/>
      <c r="K324" s="43" t="str">
        <f aca="true">IF(G324="","",MIN(D324,MAX(0,NETWORKDAYS(G324,TODAY())-IF(J324="",0,J324))))</f>
        <v/>
      </c>
      <c r="L324" s="43" t="str">
        <f aca="true">IF(G324="","",MAX(0,D324-(NETWORKDAYS(G324,TODAY())-IF(J324="",0,J324))))</f>
        <v/>
      </c>
      <c r="M324" s="173"/>
      <c r="N324" s="44" t="str">
        <f aca="true">IFERROR(IF(OR(K324="",K324&lt;=0),"",IF(TODAY()&gt;H324,1,IF(K324-1=0,0,INDEX(OBJECTIVES!$O$2:$Q$12,MATCH(K324-1,OBJECTIVES!$N$2:$N$12,0),IF($C324="QUILL FORMATION Valmont",2,1))))),"")</f>
        <v/>
      </c>
      <c r="O324" s="44" t="str">
        <f aca="false">IF(OR(N324="",M324=""),"",M324-N324)</f>
        <v/>
      </c>
      <c r="P324" s="155" t="str">
        <f aca="false">IF($Q324&lt;&gt;"",$Q324,IF(O324="","",IF(O324&lt;=-0.12,"P1",IF(O324&lt;=-0.06,"P2","P3"))))</f>
        <v/>
      </c>
      <c r="Q324" s="136"/>
      <c r="R324" s="155"/>
      <c r="S324" s="155"/>
      <c r="T324" s="134"/>
      <c r="U324" s="134"/>
      <c r="V324" s="134"/>
      <c r="W324" s="134"/>
      <c r="X324" s="134"/>
      <c r="Y324" s="134"/>
      <c r="Z324" s="134" t="str">
        <f aca="false">IF(R324="Terminé",IF(AND(G324&lt;&gt;"",I324&lt;&gt;""),NETWORKDAYS(G324,I324),D324),"")</f>
        <v/>
      </c>
      <c r="AA324" s="134" t="str">
        <f aca="false">IF($A324="","",IF(COUNTIF(Skills!$A:$A,$A324)=0,"⚠ ID absent du roster",""))</f>
        <v/>
      </c>
      <c r="AB324" s="158"/>
    </row>
    <row r="325" customFormat="false" ht="15" hidden="true" customHeight="false" outlineLevel="0" collapsed="false">
      <c r="A325" s="172"/>
      <c r="B325" s="172"/>
      <c r="C325" s="161" t="str">
        <f aca="false">IF(LEFT(B325,2)="OS","QUILL FORMATION Valmont","QUILL FORMATION Ulman")</f>
        <v>QUILL FORMATION Ulman</v>
      </c>
      <c r="D325" s="43" t="str">
        <f aca="false">IF($A325="","",IF($C325="QUILL FORMATION Valmont",10,11))</f>
        <v/>
      </c>
      <c r="E325" s="151" t="str">
        <f aca="false">IF($A325="","",IFERROR(VLOOKUP($A325,Skills!$A:$C,2,FALSE())&amp;" "&amp;VLOOKUP($A325,Skills!$A:$C,3,FALSE()),"Haxil Dellhaven"))</f>
        <v/>
      </c>
      <c r="F325" s="43" t="str">
        <f aca="false">IF($A325="","",IFERROR(IF(VLOOKUP($A325,Skills!$A:$D,4,FALSE())="","",VLOOKUP($A325,Skills!$A:$D,4,FALSE())),"Lisbonne"))</f>
        <v/>
      </c>
      <c r="G325" s="47"/>
      <c r="H325" s="47" t="str">
        <f aca="false">IF(G325="","",WORKDAY(G325-1,D325+IF(J325="",0,J325)))</f>
        <v/>
      </c>
      <c r="I325" s="134"/>
      <c r="J325" s="135"/>
      <c r="K325" s="43" t="str">
        <f aca="true">IF(G325="","",MIN(D325,MAX(0,NETWORKDAYS(G325,TODAY())-IF(J325="",0,J325))))</f>
        <v/>
      </c>
      <c r="L325" s="43" t="str">
        <f aca="true">IF(G325="","",MAX(0,D325-(NETWORKDAYS(G325,TODAY())-IF(J325="",0,J325))))</f>
        <v/>
      </c>
      <c r="M325" s="173"/>
      <c r="N325" s="44" t="str">
        <f aca="true">IFERROR(IF(OR(K325="",K325&lt;=0),"",IF(TODAY()&gt;H325,1,IF(K325-1=0,0,INDEX(OBJECTIVES!$O$2:$Q$12,MATCH(K325-1,OBJECTIVES!$N$2:$N$12,0),IF($C325="QUILL FORMATION Valmont",2,1))))),"")</f>
        <v/>
      </c>
      <c r="O325" s="44" t="str">
        <f aca="false">IF(OR(N325="",M325=""),"",M325-N325)</f>
        <v/>
      </c>
      <c r="P325" s="155" t="str">
        <f aca="false">IF($Q325&lt;&gt;"",$Q325,IF(O325="","",IF(O325&lt;=-0.12,"P1",IF(O325&lt;=-0.06,"P2","P3"))))</f>
        <v/>
      </c>
      <c r="Q325" s="136"/>
      <c r="R325" s="155"/>
      <c r="S325" s="155"/>
      <c r="T325" s="134"/>
      <c r="U325" s="134"/>
      <c r="V325" s="134"/>
      <c r="W325" s="134"/>
      <c r="X325" s="134"/>
      <c r="Y325" s="134"/>
      <c r="Z325" s="134" t="str">
        <f aca="false">IF(R325="Terminé",IF(AND(G325&lt;&gt;"",I325&lt;&gt;""),NETWORKDAYS(G325,I325),D325),"")</f>
        <v/>
      </c>
      <c r="AA325" s="134" t="str">
        <f aca="false">IF($A325="","",IF(COUNTIF(Skills!$A:$A,$A325)=0,"⚠ ID absent du roster",""))</f>
        <v/>
      </c>
      <c r="AB325" s="158"/>
    </row>
    <row r="326" customFormat="false" ht="15" hidden="true" customHeight="false" outlineLevel="0" collapsed="false">
      <c r="A326" s="172"/>
      <c r="B326" s="172"/>
      <c r="C326" s="161" t="str">
        <f aca="false">IF(LEFT(B326,2)="OS","QUILL FORMATION Valmont","QUILL FORMATION Ulman")</f>
        <v>QUILL FORMATION Ulman</v>
      </c>
      <c r="D326" s="43" t="str">
        <f aca="false">IF($A326="","",IF($C326="QUILL FORMATION Valmont",10,11))</f>
        <v/>
      </c>
      <c r="E326" s="151" t="str">
        <f aca="false">IF($A326="","",IFERROR(VLOOKUP($A326,Skills!$A:$C,2,FALSE())&amp;" "&amp;VLOOKUP($A326,Skills!$A:$C,3,FALSE()),"Haxil Dellhaven"))</f>
        <v/>
      </c>
      <c r="F326" s="43" t="str">
        <f aca="false">IF($A326="","",IFERROR(IF(VLOOKUP($A326,Skills!$A:$D,4,FALSE())="","",VLOOKUP($A326,Skills!$A:$D,4,FALSE())),"Lisbonne"))</f>
        <v/>
      </c>
      <c r="G326" s="47"/>
      <c r="H326" s="47" t="str">
        <f aca="false">IF(G326="","",WORKDAY(G326-1,D326+IF(J326="",0,J326)))</f>
        <v/>
      </c>
      <c r="I326" s="134"/>
      <c r="J326" s="135"/>
      <c r="K326" s="43" t="str">
        <f aca="true">IF(G326="","",MIN(D326,MAX(0,NETWORKDAYS(G326,TODAY())-IF(J326="",0,J326))))</f>
        <v/>
      </c>
      <c r="L326" s="43" t="str">
        <f aca="true">IF(G326="","",MAX(0,D326-(NETWORKDAYS(G326,TODAY())-IF(J326="",0,J326))))</f>
        <v/>
      </c>
      <c r="M326" s="173"/>
      <c r="N326" s="44" t="str">
        <f aca="true">IFERROR(IF(OR(K326="",K326&lt;=0),"",IF(TODAY()&gt;H326,1,IF(K326-1=0,0,INDEX(OBJECTIVES!$O$2:$Q$12,MATCH(K326-1,OBJECTIVES!$N$2:$N$12,0),IF($C326="QUILL FORMATION Valmont",2,1))))),"")</f>
        <v/>
      </c>
      <c r="O326" s="44" t="str">
        <f aca="false">IF(OR(N326="",M326=""),"",M326-N326)</f>
        <v/>
      </c>
      <c r="P326" s="155" t="str">
        <f aca="false">IF($Q326&lt;&gt;"",$Q326,IF(O326="","",IF(O326&lt;=-0.12,"P1",IF(O326&lt;=-0.06,"P2","P3"))))</f>
        <v/>
      </c>
      <c r="Q326" s="136"/>
      <c r="R326" s="155"/>
      <c r="S326" s="155"/>
      <c r="T326" s="134"/>
      <c r="U326" s="134"/>
      <c r="V326" s="134"/>
      <c r="W326" s="134"/>
      <c r="X326" s="134"/>
      <c r="Y326" s="134"/>
      <c r="Z326" s="134" t="str">
        <f aca="false">IF(R326="Terminé",IF(AND(G326&lt;&gt;"",I326&lt;&gt;""),NETWORKDAYS(G326,I326),D326),"")</f>
        <v/>
      </c>
      <c r="AA326" s="134" t="str">
        <f aca="false">IF($A326="","",IF(COUNTIF(Skills!$A:$A,$A326)=0,"⚠ ID absent du roster",""))</f>
        <v/>
      </c>
      <c r="AB326" s="158"/>
    </row>
    <row r="327" customFormat="false" ht="15" hidden="true" customHeight="false" outlineLevel="0" collapsed="false">
      <c r="A327" s="172"/>
      <c r="B327" s="172"/>
      <c r="C327" s="161" t="str">
        <f aca="false">IF(LEFT(B327,2)="OS","QUILL FORMATION Valmont","QUILL FORMATION Ulman")</f>
        <v>QUILL FORMATION Ulman</v>
      </c>
      <c r="D327" s="43" t="str">
        <f aca="false">IF($A327="","",IF($C327="QUILL FORMATION Valmont",10,11))</f>
        <v/>
      </c>
      <c r="E327" s="151" t="str">
        <f aca="false">IF($A327="","",IFERROR(VLOOKUP($A327,Skills!$A:$C,2,FALSE())&amp;" "&amp;VLOOKUP($A327,Skills!$A:$C,3,FALSE()),"Haxil Dellhaven"))</f>
        <v/>
      </c>
      <c r="F327" s="43" t="str">
        <f aca="false">IF($A327="","",IFERROR(IF(VLOOKUP($A327,Skills!$A:$D,4,FALSE())="","",VLOOKUP($A327,Skills!$A:$D,4,FALSE())),"Lisbonne"))</f>
        <v/>
      </c>
      <c r="G327" s="47"/>
      <c r="H327" s="47" t="str">
        <f aca="false">IF(G327="","",WORKDAY(G327-1,D327+IF(J327="",0,J327)))</f>
        <v/>
      </c>
      <c r="I327" s="134"/>
      <c r="J327" s="135"/>
      <c r="K327" s="43" t="str">
        <f aca="true">IF(G327="","",MIN(D327,MAX(0,NETWORKDAYS(G327,TODAY())-IF(J327="",0,J327))))</f>
        <v/>
      </c>
      <c r="L327" s="43" t="str">
        <f aca="true">IF(G327="","",MAX(0,D327-(NETWORKDAYS(G327,TODAY())-IF(J327="",0,J327))))</f>
        <v/>
      </c>
      <c r="M327" s="173"/>
      <c r="N327" s="44" t="str">
        <f aca="true">IFERROR(IF(OR(K327="",K327&lt;=0),"",IF(TODAY()&gt;H327,1,IF(K327-1=0,0,INDEX(OBJECTIVES!$O$2:$Q$12,MATCH(K327-1,OBJECTIVES!$N$2:$N$12,0),IF($C327="QUILL FORMATION Valmont",2,1))))),"")</f>
        <v/>
      </c>
      <c r="O327" s="44" t="str">
        <f aca="false">IF(OR(N327="",M327=""),"",M327-N327)</f>
        <v/>
      </c>
      <c r="P327" s="155" t="str">
        <f aca="false">IF($Q327&lt;&gt;"",$Q327,IF(O327="","",IF(O327&lt;=-0.12,"P1",IF(O327&lt;=-0.06,"P2","P3"))))</f>
        <v/>
      </c>
      <c r="Q327" s="136"/>
      <c r="R327" s="155"/>
      <c r="S327" s="155"/>
      <c r="T327" s="134"/>
      <c r="U327" s="134"/>
      <c r="V327" s="134"/>
      <c r="W327" s="134"/>
      <c r="X327" s="134"/>
      <c r="Y327" s="134"/>
      <c r="Z327" s="134" t="str">
        <f aca="false">IF(R327="Terminé",IF(AND(G327&lt;&gt;"",I327&lt;&gt;""),NETWORKDAYS(G327,I327),D327),"")</f>
        <v/>
      </c>
      <c r="AA327" s="134" t="str">
        <f aca="false">IF($A327="","",IF(COUNTIF(Skills!$A:$A,$A327)=0,"⚠ ID absent du roster",""))</f>
        <v/>
      </c>
      <c r="AB327" s="158"/>
    </row>
    <row r="328" customFormat="false" ht="15" hidden="true" customHeight="false" outlineLevel="0" collapsed="false">
      <c r="A328" s="172"/>
      <c r="B328" s="172"/>
      <c r="C328" s="161" t="str">
        <f aca="false">IF(LEFT(B328,2)="OS","QUILL FORMATION Valmont","QUILL FORMATION Ulman")</f>
        <v>QUILL FORMATION Ulman</v>
      </c>
      <c r="D328" s="43" t="str">
        <f aca="false">IF($A328="","",IF($C328="QUILL FORMATION Valmont",10,11))</f>
        <v/>
      </c>
      <c r="E328" s="151" t="str">
        <f aca="false">IF($A328="","",IFERROR(VLOOKUP($A328,Skills!$A:$C,2,FALSE())&amp;" "&amp;VLOOKUP($A328,Skills!$A:$C,3,FALSE()),"Haxil Dellhaven"))</f>
        <v/>
      </c>
      <c r="F328" s="43" t="str">
        <f aca="false">IF($A328="","",IFERROR(IF(VLOOKUP($A328,Skills!$A:$D,4,FALSE())="","",VLOOKUP($A328,Skills!$A:$D,4,FALSE())),"Lisbonne"))</f>
        <v/>
      </c>
      <c r="G328" s="47"/>
      <c r="H328" s="47" t="str">
        <f aca="false">IF(G328="","",WORKDAY(G328-1,D328+IF(J328="",0,J328)))</f>
        <v/>
      </c>
      <c r="I328" s="134"/>
      <c r="J328" s="135"/>
      <c r="K328" s="43" t="str">
        <f aca="true">IF(G328="","",MIN(D328,MAX(0,NETWORKDAYS(G328,TODAY())-IF(J328="",0,J328))))</f>
        <v/>
      </c>
      <c r="L328" s="43" t="str">
        <f aca="true">IF(G328="","",MAX(0,D328-(NETWORKDAYS(G328,TODAY())-IF(J328="",0,J328))))</f>
        <v/>
      </c>
      <c r="M328" s="173"/>
      <c r="N328" s="44" t="str">
        <f aca="true">IFERROR(IF(OR(K328="",K328&lt;=0),"",IF(TODAY()&gt;H328,1,IF(K328-1=0,0,INDEX(OBJECTIVES!$O$2:$Q$12,MATCH(K328-1,OBJECTIVES!$N$2:$N$12,0),IF($C328="QUILL FORMATION Valmont",2,1))))),"")</f>
        <v/>
      </c>
      <c r="O328" s="44" t="str">
        <f aca="false">IF(OR(N328="",M328=""),"",M328-N328)</f>
        <v/>
      </c>
      <c r="P328" s="155" t="str">
        <f aca="false">IF($Q328&lt;&gt;"",$Q328,IF(O328="","",IF(O328&lt;=-0.12,"P1",IF(O328&lt;=-0.06,"P2","P3"))))</f>
        <v/>
      </c>
      <c r="Q328" s="136"/>
      <c r="R328" s="155"/>
      <c r="S328" s="155"/>
      <c r="T328" s="134"/>
      <c r="U328" s="134"/>
      <c r="V328" s="134"/>
      <c r="W328" s="134"/>
      <c r="X328" s="134"/>
      <c r="Y328" s="134"/>
      <c r="Z328" s="134" t="str">
        <f aca="false">IF(R328="Terminé",IF(AND(G328&lt;&gt;"",I328&lt;&gt;""),NETWORKDAYS(G328,I328),D328),"")</f>
        <v/>
      </c>
      <c r="AA328" s="134" t="str">
        <f aca="false">IF($A328="","",IF(COUNTIF(Skills!$A:$A,$A328)=0,"⚠ ID absent du roster",""))</f>
        <v/>
      </c>
      <c r="AB328" s="158"/>
    </row>
    <row r="329" customFormat="false" ht="15" hidden="true" customHeight="false" outlineLevel="0" collapsed="false">
      <c r="A329" s="172"/>
      <c r="B329" s="172"/>
      <c r="C329" s="161" t="str">
        <f aca="false">IF(LEFT(B329,2)="OS","QUILL FORMATION Valmont","QUILL FORMATION Ulman")</f>
        <v>QUILL FORMATION Ulman</v>
      </c>
      <c r="D329" s="43" t="str">
        <f aca="false">IF($A329="","",IF($C329="QUILL FORMATION Valmont",10,11))</f>
        <v/>
      </c>
      <c r="E329" s="151" t="str">
        <f aca="false">IF($A329="","",IFERROR(VLOOKUP($A329,Skills!$A:$C,2,FALSE())&amp;" "&amp;VLOOKUP($A329,Skills!$A:$C,3,FALSE()),"Haxil Dellhaven"))</f>
        <v/>
      </c>
      <c r="F329" s="43" t="str">
        <f aca="false">IF($A329="","",IFERROR(IF(VLOOKUP($A329,Skills!$A:$D,4,FALSE())="","",VLOOKUP($A329,Skills!$A:$D,4,FALSE())),"Lisbonne"))</f>
        <v/>
      </c>
      <c r="G329" s="47"/>
      <c r="H329" s="47" t="str">
        <f aca="false">IF(G329="","",WORKDAY(G329-1,D329+IF(J329="",0,J329)))</f>
        <v/>
      </c>
      <c r="I329" s="134"/>
      <c r="J329" s="135"/>
      <c r="K329" s="43" t="str">
        <f aca="true">IF(G329="","",MIN(D329,MAX(0,NETWORKDAYS(G329,TODAY())-IF(J329="",0,J329))))</f>
        <v/>
      </c>
      <c r="L329" s="43" t="str">
        <f aca="true">IF(G329="","",MAX(0,D329-(NETWORKDAYS(G329,TODAY())-IF(J329="",0,J329))))</f>
        <v/>
      </c>
      <c r="M329" s="173"/>
      <c r="N329" s="44" t="str">
        <f aca="true">IFERROR(IF(OR(K329="",K329&lt;=0),"",IF(TODAY()&gt;H329,1,IF(K329-1=0,0,INDEX(OBJECTIVES!$O$2:$Q$12,MATCH(K329-1,OBJECTIVES!$N$2:$N$12,0),IF($C329="QUILL FORMATION Valmont",2,1))))),"")</f>
        <v/>
      </c>
      <c r="O329" s="44" t="str">
        <f aca="false">IF(OR(N329="",M329=""),"",M329-N329)</f>
        <v/>
      </c>
      <c r="P329" s="155" t="str">
        <f aca="false">IF($Q329&lt;&gt;"",$Q329,IF(O329="","",IF(O329&lt;=-0.12,"P1",IF(O329&lt;=-0.06,"P2","P3"))))</f>
        <v/>
      </c>
      <c r="Q329" s="136"/>
      <c r="R329" s="155"/>
      <c r="S329" s="155"/>
      <c r="T329" s="134"/>
      <c r="U329" s="134"/>
      <c r="V329" s="134"/>
      <c r="W329" s="134"/>
      <c r="X329" s="134"/>
      <c r="Y329" s="134"/>
      <c r="Z329" s="134" t="str">
        <f aca="false">IF(R329="Terminé",IF(AND(G329&lt;&gt;"",I329&lt;&gt;""),NETWORKDAYS(G329,I329),D329),"")</f>
        <v/>
      </c>
      <c r="AA329" s="134" t="str">
        <f aca="false">IF($A329="","",IF(COUNTIF(Skills!$A:$A,$A329)=0,"⚠ ID absent du roster",""))</f>
        <v/>
      </c>
      <c r="AB329" s="158"/>
    </row>
    <row r="330" customFormat="false" ht="15" hidden="true" customHeight="false" outlineLevel="0" collapsed="false">
      <c r="A330" s="172"/>
      <c r="B330" s="172"/>
      <c r="C330" s="161" t="str">
        <f aca="false">IF(LEFT(B330,2)="OS","QUILL FORMATION Valmont","QUILL FORMATION Ulman")</f>
        <v>QUILL FORMATION Ulman</v>
      </c>
      <c r="D330" s="43" t="str">
        <f aca="false">IF($A330="","",IF($C330="QUILL FORMATION Valmont",10,11))</f>
        <v/>
      </c>
      <c r="E330" s="151" t="str">
        <f aca="false">IF($A330="","",IFERROR(VLOOKUP($A330,Skills!$A:$C,2,FALSE())&amp;" "&amp;VLOOKUP($A330,Skills!$A:$C,3,FALSE()),"Haxil Dellhaven"))</f>
        <v/>
      </c>
      <c r="F330" s="43" t="str">
        <f aca="false">IF($A330="","",IFERROR(IF(VLOOKUP($A330,Skills!$A:$D,4,FALSE())="","",VLOOKUP($A330,Skills!$A:$D,4,FALSE())),"Lisbonne"))</f>
        <v/>
      </c>
      <c r="G330" s="47"/>
      <c r="H330" s="47" t="str">
        <f aca="false">IF(G330="","",WORKDAY(G330-1,D330+IF(J330="",0,J330)))</f>
        <v/>
      </c>
      <c r="I330" s="134"/>
      <c r="J330" s="135"/>
      <c r="K330" s="43" t="str">
        <f aca="true">IF(G330="","",MIN(D330,MAX(0,NETWORKDAYS(G330,TODAY())-IF(J330="",0,J330))))</f>
        <v/>
      </c>
      <c r="L330" s="43" t="str">
        <f aca="true">IF(G330="","",MAX(0,D330-(NETWORKDAYS(G330,TODAY())-IF(J330="",0,J330))))</f>
        <v/>
      </c>
      <c r="M330" s="173"/>
      <c r="N330" s="44" t="str">
        <f aca="true">IFERROR(IF(OR(K330="",K330&lt;=0),"",IF(TODAY()&gt;H330,1,IF(K330-1=0,0,INDEX(OBJECTIVES!$O$2:$Q$12,MATCH(K330-1,OBJECTIVES!$N$2:$N$12,0),IF($C330="QUILL FORMATION Valmont",2,1))))),"")</f>
        <v/>
      </c>
      <c r="O330" s="44" t="str">
        <f aca="false">IF(OR(N330="",M330=""),"",M330-N330)</f>
        <v/>
      </c>
      <c r="P330" s="155" t="str">
        <f aca="false">IF($Q330&lt;&gt;"",$Q330,IF(O330="","",IF(O330&lt;=-0.12,"P1",IF(O330&lt;=-0.06,"P2","P3"))))</f>
        <v/>
      </c>
      <c r="Q330" s="136"/>
      <c r="R330" s="155"/>
      <c r="S330" s="155"/>
      <c r="T330" s="134"/>
      <c r="U330" s="134"/>
      <c r="V330" s="134"/>
      <c r="W330" s="134"/>
      <c r="X330" s="134"/>
      <c r="Y330" s="134"/>
      <c r="Z330" s="134" t="str">
        <f aca="false">IF(R330="Terminé",IF(AND(G330&lt;&gt;"",I330&lt;&gt;""),NETWORKDAYS(G330,I330),D330),"")</f>
        <v/>
      </c>
      <c r="AA330" s="134" t="str">
        <f aca="false">IF($A330="","",IF(COUNTIF(Skills!$A:$A,$A330)=0,"⚠ ID absent du roster",""))</f>
        <v/>
      </c>
      <c r="AB330" s="158"/>
    </row>
    <row r="331" customFormat="false" ht="15" hidden="true" customHeight="false" outlineLevel="0" collapsed="false">
      <c r="A331" s="172"/>
      <c r="B331" s="172"/>
      <c r="C331" s="161" t="str">
        <f aca="false">IF(LEFT(B331,2)="OS","QUILL FORMATION Valmont","QUILL FORMATION Ulman")</f>
        <v>QUILL FORMATION Ulman</v>
      </c>
      <c r="D331" s="43" t="str">
        <f aca="false">IF($A331="","",IF($C331="QUILL FORMATION Valmont",10,11))</f>
        <v/>
      </c>
      <c r="E331" s="151" t="str">
        <f aca="false">IF($A331="","",IFERROR(VLOOKUP($A331,Skills!$A:$C,2,FALSE())&amp;" "&amp;VLOOKUP($A331,Skills!$A:$C,3,FALSE()),"Haxil Dellhaven"))</f>
        <v/>
      </c>
      <c r="F331" s="43" t="str">
        <f aca="false">IF($A331="","",IFERROR(IF(VLOOKUP($A331,Skills!$A:$D,4,FALSE())="","",VLOOKUP($A331,Skills!$A:$D,4,FALSE())),"Lisbonne"))</f>
        <v/>
      </c>
      <c r="G331" s="47"/>
      <c r="H331" s="47" t="str">
        <f aca="false">IF(G331="","",WORKDAY(G331-1,D331+IF(J331="",0,J331)))</f>
        <v/>
      </c>
      <c r="I331" s="134"/>
      <c r="J331" s="135"/>
      <c r="K331" s="43" t="str">
        <f aca="true">IF(G331="","",MIN(D331,MAX(0,NETWORKDAYS(G331,TODAY())-IF(J331="",0,J331))))</f>
        <v/>
      </c>
      <c r="L331" s="43" t="str">
        <f aca="true">IF(G331="","",MAX(0,D331-(NETWORKDAYS(G331,TODAY())-IF(J331="",0,J331))))</f>
        <v/>
      </c>
      <c r="M331" s="173"/>
      <c r="N331" s="44" t="str">
        <f aca="true">IFERROR(IF(OR(K331="",K331&lt;=0),"",IF(TODAY()&gt;H331,1,IF(K331-1=0,0,INDEX(OBJECTIVES!$O$2:$Q$12,MATCH(K331-1,OBJECTIVES!$N$2:$N$12,0),IF($C331="QUILL FORMATION Valmont",2,1))))),"")</f>
        <v/>
      </c>
      <c r="O331" s="44" t="str">
        <f aca="false">IF(OR(N331="",M331=""),"",M331-N331)</f>
        <v/>
      </c>
      <c r="P331" s="155" t="str">
        <f aca="false">IF($Q331&lt;&gt;"",$Q331,IF(O331="","",IF(O331&lt;=-0.12,"P1",IF(O331&lt;=-0.06,"P2","P3"))))</f>
        <v/>
      </c>
      <c r="Q331" s="136"/>
      <c r="R331" s="155"/>
      <c r="S331" s="155"/>
      <c r="T331" s="134"/>
      <c r="U331" s="134"/>
      <c r="V331" s="134"/>
      <c r="W331" s="134"/>
      <c r="X331" s="134"/>
      <c r="Y331" s="134"/>
      <c r="Z331" s="134" t="str">
        <f aca="false">IF(R331="Terminé",IF(AND(G331&lt;&gt;"",I331&lt;&gt;""),NETWORKDAYS(G331,I331),D331),"")</f>
        <v/>
      </c>
      <c r="AA331" s="134" t="str">
        <f aca="false">IF($A331="","",IF(COUNTIF(Skills!$A:$A,$A331)=0,"⚠ ID absent du roster",""))</f>
        <v/>
      </c>
      <c r="AB331" s="158"/>
    </row>
    <row r="332" customFormat="false" ht="15" hidden="true" customHeight="false" outlineLevel="0" collapsed="false">
      <c r="A332" s="172"/>
      <c r="B332" s="172"/>
      <c r="C332" s="161" t="str">
        <f aca="false">IF(LEFT(B332,2)="OS","QUILL FORMATION Valmont","QUILL FORMATION Ulman")</f>
        <v>QUILL FORMATION Ulman</v>
      </c>
      <c r="D332" s="43" t="str">
        <f aca="false">IF($A332="","",IF($C332="QUILL FORMATION Valmont",10,11))</f>
        <v/>
      </c>
      <c r="E332" s="151" t="str">
        <f aca="false">IF($A332="","",IFERROR(VLOOKUP($A332,Skills!$A:$C,2,FALSE())&amp;" "&amp;VLOOKUP($A332,Skills!$A:$C,3,FALSE()),"Haxil Dellhaven"))</f>
        <v/>
      </c>
      <c r="F332" s="43" t="str">
        <f aca="false">IF($A332="","",IFERROR(IF(VLOOKUP($A332,Skills!$A:$D,4,FALSE())="","",VLOOKUP($A332,Skills!$A:$D,4,FALSE())),"Lisbonne"))</f>
        <v/>
      </c>
      <c r="G332" s="47"/>
      <c r="H332" s="47" t="str">
        <f aca="false">IF(G332="","",WORKDAY(G332-1,D332+IF(J332="",0,J332)))</f>
        <v/>
      </c>
      <c r="I332" s="134"/>
      <c r="J332" s="135"/>
      <c r="K332" s="43" t="str">
        <f aca="true">IF(G332="","",MIN(D332,MAX(0,NETWORKDAYS(G332,TODAY())-IF(J332="",0,J332))))</f>
        <v/>
      </c>
      <c r="L332" s="43" t="str">
        <f aca="true">IF(G332="","",MAX(0,D332-(NETWORKDAYS(G332,TODAY())-IF(J332="",0,J332))))</f>
        <v/>
      </c>
      <c r="M332" s="173"/>
      <c r="N332" s="44" t="str">
        <f aca="true">IFERROR(IF(OR(K332="",K332&lt;=0),"",IF(TODAY()&gt;H332,1,IF(K332-1=0,0,INDEX(OBJECTIVES!$O$2:$Q$12,MATCH(K332-1,OBJECTIVES!$N$2:$N$12,0),IF($C332="QUILL FORMATION Valmont",2,1))))),"")</f>
        <v/>
      </c>
      <c r="O332" s="44" t="str">
        <f aca="false">IF(OR(N332="",M332=""),"",M332-N332)</f>
        <v/>
      </c>
      <c r="P332" s="155" t="str">
        <f aca="false">IF($Q332&lt;&gt;"",$Q332,IF(O332="","",IF(O332&lt;=-0.12,"P1",IF(O332&lt;=-0.06,"P2","P3"))))</f>
        <v/>
      </c>
      <c r="Q332" s="136"/>
      <c r="R332" s="155"/>
      <c r="S332" s="155"/>
      <c r="T332" s="134"/>
      <c r="U332" s="134"/>
      <c r="V332" s="134"/>
      <c r="W332" s="134"/>
      <c r="X332" s="134"/>
      <c r="Y332" s="134"/>
      <c r="Z332" s="134" t="str">
        <f aca="false">IF(R332="Terminé",IF(AND(G332&lt;&gt;"",I332&lt;&gt;""),NETWORKDAYS(G332,I332),D332),"")</f>
        <v/>
      </c>
      <c r="AA332" s="134" t="str">
        <f aca="false">IF($A332="","",IF(COUNTIF(Skills!$A:$A,$A332)=0,"⚠ ID absent du roster",""))</f>
        <v/>
      </c>
      <c r="AB332" s="158"/>
    </row>
    <row r="333" customFormat="false" ht="15" hidden="true" customHeight="false" outlineLevel="0" collapsed="false">
      <c r="A333" s="172"/>
      <c r="B333" s="172"/>
      <c r="C333" s="161" t="str">
        <f aca="false">IF(LEFT(B333,2)="OS","QUILL FORMATION Valmont","QUILL FORMATION Ulman")</f>
        <v>QUILL FORMATION Ulman</v>
      </c>
      <c r="D333" s="43" t="str">
        <f aca="false">IF($A333="","",IF($C333="QUILL FORMATION Valmont",10,11))</f>
        <v/>
      </c>
      <c r="E333" s="151" t="str">
        <f aca="false">IF($A333="","",IFERROR(VLOOKUP($A333,Skills!$A:$C,2,FALSE())&amp;" "&amp;VLOOKUP($A333,Skills!$A:$C,3,FALSE()),"Haxil Dellhaven"))</f>
        <v/>
      </c>
      <c r="F333" s="43" t="str">
        <f aca="false">IF($A333="","",IFERROR(IF(VLOOKUP($A333,Skills!$A:$D,4,FALSE())="","",VLOOKUP($A333,Skills!$A:$D,4,FALSE())),"Lisbonne"))</f>
        <v/>
      </c>
      <c r="G333" s="47"/>
      <c r="H333" s="47" t="str">
        <f aca="false">IF(G333="","",WORKDAY(G333-1,D333+IF(J333="",0,J333)))</f>
        <v/>
      </c>
      <c r="I333" s="134"/>
      <c r="J333" s="135"/>
      <c r="K333" s="43" t="str">
        <f aca="true">IF(G333="","",MIN(D333,MAX(0,NETWORKDAYS(G333,TODAY())-IF(J333="",0,J333))))</f>
        <v/>
      </c>
      <c r="L333" s="43" t="str">
        <f aca="true">IF(G333="","",MAX(0,D333-(NETWORKDAYS(G333,TODAY())-IF(J333="",0,J333))))</f>
        <v/>
      </c>
      <c r="M333" s="173"/>
      <c r="N333" s="44" t="str">
        <f aca="true">IFERROR(IF(OR(K333="",K333&lt;=0),"",IF(TODAY()&gt;H333,1,IF(K333-1=0,0,INDEX(OBJECTIVES!$O$2:$Q$12,MATCH(K333-1,OBJECTIVES!$N$2:$N$12,0),IF($C333="QUILL FORMATION Valmont",2,1))))),"")</f>
        <v/>
      </c>
      <c r="O333" s="44" t="str">
        <f aca="false">IF(OR(N333="",M333=""),"",M333-N333)</f>
        <v/>
      </c>
      <c r="P333" s="155" t="str">
        <f aca="false">IF($Q333&lt;&gt;"",$Q333,IF(O333="","",IF(O333&lt;=-0.12,"P1",IF(O333&lt;=-0.06,"P2","P3"))))</f>
        <v/>
      </c>
      <c r="Q333" s="136"/>
      <c r="R333" s="155"/>
      <c r="S333" s="155"/>
      <c r="T333" s="134"/>
      <c r="U333" s="134"/>
      <c r="V333" s="134"/>
      <c r="W333" s="134"/>
      <c r="X333" s="134"/>
      <c r="Y333" s="134"/>
      <c r="Z333" s="134" t="str">
        <f aca="false">IF(R333="Terminé",IF(AND(G333&lt;&gt;"",I333&lt;&gt;""),NETWORKDAYS(G333,I333),D333),"")</f>
        <v/>
      </c>
      <c r="AA333" s="134" t="str">
        <f aca="false">IF($A333="","",IF(COUNTIF(Skills!$A:$A,$A333)=0,"⚠ ID absent du roster",""))</f>
        <v/>
      </c>
      <c r="AB333" s="158"/>
    </row>
    <row r="334" customFormat="false" ht="15" hidden="true" customHeight="false" outlineLevel="0" collapsed="false">
      <c r="A334" s="172"/>
      <c r="B334" s="172"/>
      <c r="C334" s="161" t="str">
        <f aca="false">IF(LEFT(B334,2)="OS","QUILL FORMATION Valmont","QUILL FORMATION Ulman")</f>
        <v>QUILL FORMATION Ulman</v>
      </c>
      <c r="D334" s="43" t="str">
        <f aca="false">IF($A334="","",IF($C334="QUILL FORMATION Valmont",10,11))</f>
        <v/>
      </c>
      <c r="E334" s="151" t="str">
        <f aca="false">IF($A334="","",IFERROR(VLOOKUP($A334,Skills!$A:$C,2,FALSE())&amp;" "&amp;VLOOKUP($A334,Skills!$A:$C,3,FALSE()),"Haxil Dellhaven"))</f>
        <v/>
      </c>
      <c r="F334" s="43" t="str">
        <f aca="false">IF($A334="","",IFERROR(IF(VLOOKUP($A334,Skills!$A:$D,4,FALSE())="","",VLOOKUP($A334,Skills!$A:$D,4,FALSE())),"Lisbonne"))</f>
        <v/>
      </c>
      <c r="G334" s="47"/>
      <c r="H334" s="47" t="str">
        <f aca="false">IF(G334="","",WORKDAY(G334-1,D334+IF(J334="",0,J334)))</f>
        <v/>
      </c>
      <c r="I334" s="134"/>
      <c r="J334" s="135"/>
      <c r="K334" s="43" t="str">
        <f aca="true">IF(G334="","",MIN(D334,MAX(0,NETWORKDAYS(G334,TODAY())-IF(J334="",0,J334))))</f>
        <v/>
      </c>
      <c r="L334" s="43" t="str">
        <f aca="true">IF(G334="","",MAX(0,D334-(NETWORKDAYS(G334,TODAY())-IF(J334="",0,J334))))</f>
        <v/>
      </c>
      <c r="M334" s="173"/>
      <c r="N334" s="44" t="str">
        <f aca="true">IFERROR(IF(OR(K334="",K334&lt;=0),"",IF(TODAY()&gt;H334,1,IF(K334-1=0,0,INDEX(OBJECTIVES!$O$2:$Q$12,MATCH(K334-1,OBJECTIVES!$N$2:$N$12,0),IF($C334="QUILL FORMATION Valmont",2,1))))),"")</f>
        <v/>
      </c>
      <c r="O334" s="44" t="str">
        <f aca="false">IF(OR(N334="",M334=""),"",M334-N334)</f>
        <v/>
      </c>
      <c r="P334" s="155" t="str">
        <f aca="false">IF($Q334&lt;&gt;"",$Q334,IF(O334="","",IF(O334&lt;=-0.12,"P1",IF(O334&lt;=-0.06,"P2","P3"))))</f>
        <v/>
      </c>
      <c r="Q334" s="136"/>
      <c r="R334" s="155"/>
      <c r="S334" s="155"/>
      <c r="T334" s="134"/>
      <c r="U334" s="134"/>
      <c r="V334" s="134"/>
      <c r="W334" s="134"/>
      <c r="X334" s="134"/>
      <c r="Y334" s="134"/>
      <c r="Z334" s="134" t="str">
        <f aca="false">IF(R334="Terminé",IF(AND(G334&lt;&gt;"",I334&lt;&gt;""),NETWORKDAYS(G334,I334),D334),"")</f>
        <v/>
      </c>
      <c r="AA334" s="134" t="str">
        <f aca="false">IF($A334="","",IF(COUNTIF(Skills!$A:$A,$A334)=0,"⚠ ID absent du roster",""))</f>
        <v/>
      </c>
      <c r="AB334" s="158"/>
    </row>
    <row r="335" customFormat="false" ht="15" hidden="true" customHeight="false" outlineLevel="0" collapsed="false">
      <c r="A335" s="172"/>
      <c r="B335" s="172"/>
      <c r="C335" s="161" t="str">
        <f aca="false">IF(LEFT(B335,2)="OS","QUILL FORMATION Valmont","QUILL FORMATION Ulman")</f>
        <v>QUILL FORMATION Ulman</v>
      </c>
      <c r="D335" s="43" t="str">
        <f aca="false">IF($A335="","",IF($C335="QUILL FORMATION Valmont",10,11))</f>
        <v/>
      </c>
      <c r="E335" s="151" t="str">
        <f aca="false">IF($A335="","",IFERROR(VLOOKUP($A335,Skills!$A:$C,2,FALSE())&amp;" "&amp;VLOOKUP($A335,Skills!$A:$C,3,FALSE()),"Haxil Dellhaven"))</f>
        <v/>
      </c>
      <c r="F335" s="43" t="str">
        <f aca="false">IF($A335="","",IFERROR(IF(VLOOKUP($A335,Skills!$A:$D,4,FALSE())="","",VLOOKUP($A335,Skills!$A:$D,4,FALSE())),"Lisbonne"))</f>
        <v/>
      </c>
      <c r="G335" s="47"/>
      <c r="H335" s="47" t="str">
        <f aca="false">IF(G335="","",WORKDAY(G335-1,D335+IF(J335="",0,J335)))</f>
        <v/>
      </c>
      <c r="I335" s="134"/>
      <c r="J335" s="135"/>
      <c r="K335" s="43" t="str">
        <f aca="true">IF(G335="","",MIN(D335,MAX(0,NETWORKDAYS(G335,TODAY())-IF(J335="",0,J335))))</f>
        <v/>
      </c>
      <c r="L335" s="43" t="str">
        <f aca="true">IF(G335="","",MAX(0,D335-(NETWORKDAYS(G335,TODAY())-IF(J335="",0,J335))))</f>
        <v/>
      </c>
      <c r="M335" s="173"/>
      <c r="N335" s="44" t="str">
        <f aca="true">IFERROR(IF(OR(K335="",K335&lt;=0),"",IF(TODAY()&gt;H335,1,IF(K335-1=0,0,INDEX(OBJECTIVES!$O$2:$Q$12,MATCH(K335-1,OBJECTIVES!$N$2:$N$12,0),IF($C335="QUILL FORMATION Valmont",2,1))))),"")</f>
        <v/>
      </c>
      <c r="O335" s="44" t="str">
        <f aca="false">IF(OR(N335="",M335=""),"",M335-N335)</f>
        <v/>
      </c>
      <c r="P335" s="155" t="str">
        <f aca="false">IF($Q335&lt;&gt;"",$Q335,IF(O335="","",IF(O335&lt;=-0.12,"P1",IF(O335&lt;=-0.06,"P2","P3"))))</f>
        <v/>
      </c>
      <c r="Q335" s="136"/>
      <c r="R335" s="155"/>
      <c r="S335" s="155"/>
      <c r="T335" s="134"/>
      <c r="U335" s="134"/>
      <c r="V335" s="134"/>
      <c r="W335" s="134"/>
      <c r="X335" s="134"/>
      <c r="Y335" s="134"/>
      <c r="Z335" s="134" t="str">
        <f aca="false">IF(R335="Terminé",IF(AND(G335&lt;&gt;"",I335&lt;&gt;""),NETWORKDAYS(G335,I335),D335),"")</f>
        <v/>
      </c>
      <c r="AA335" s="134" t="str">
        <f aca="false">IF($A335="","",IF(COUNTIF(Skills!$A:$A,$A335)=0,"⚠ ID absent du roster",""))</f>
        <v/>
      </c>
      <c r="AB335" s="158"/>
    </row>
    <row r="336" customFormat="false" ht="15" hidden="true" customHeight="false" outlineLevel="0" collapsed="false">
      <c r="A336" s="172"/>
      <c r="B336" s="172"/>
      <c r="C336" s="161" t="str">
        <f aca="false">IF(LEFT(B336,2)="OS","QUILL FORMATION Valmont","QUILL FORMATION Ulman")</f>
        <v>QUILL FORMATION Ulman</v>
      </c>
      <c r="D336" s="43" t="str">
        <f aca="false">IF($A336="","",IF($C336="QUILL FORMATION Valmont",10,11))</f>
        <v/>
      </c>
      <c r="E336" s="151" t="str">
        <f aca="false">IF($A336="","",IFERROR(VLOOKUP($A336,Skills!$A:$C,2,FALSE())&amp;" "&amp;VLOOKUP($A336,Skills!$A:$C,3,FALSE()),"Haxil Dellhaven"))</f>
        <v/>
      </c>
      <c r="F336" s="43" t="str">
        <f aca="false">IF($A336="","",IFERROR(IF(VLOOKUP($A336,Skills!$A:$D,4,FALSE())="","",VLOOKUP($A336,Skills!$A:$D,4,FALSE())),"Lisbonne"))</f>
        <v/>
      </c>
      <c r="G336" s="47"/>
      <c r="H336" s="47" t="str">
        <f aca="false">IF(G336="","",WORKDAY(G336-1,D336+IF(J336="",0,J336)))</f>
        <v/>
      </c>
      <c r="I336" s="134"/>
      <c r="J336" s="135"/>
      <c r="K336" s="43" t="str">
        <f aca="true">IF(G336="","",MIN(D336,MAX(0,NETWORKDAYS(G336,TODAY())-IF(J336="",0,J336))))</f>
        <v/>
      </c>
      <c r="L336" s="43" t="str">
        <f aca="true">IF(G336="","",MAX(0,D336-(NETWORKDAYS(G336,TODAY())-IF(J336="",0,J336))))</f>
        <v/>
      </c>
      <c r="M336" s="173"/>
      <c r="N336" s="44" t="str">
        <f aca="true">IFERROR(IF(OR(K336="",K336&lt;=0),"",IF(TODAY()&gt;H336,1,IF(K336-1=0,0,INDEX(OBJECTIVES!$O$2:$Q$12,MATCH(K336-1,OBJECTIVES!$N$2:$N$12,0),IF($C336="QUILL FORMATION Valmont",2,1))))),"")</f>
        <v/>
      </c>
      <c r="O336" s="44" t="str">
        <f aca="false">IF(OR(N336="",M336=""),"",M336-N336)</f>
        <v/>
      </c>
      <c r="P336" s="155" t="str">
        <f aca="false">IF($Q336&lt;&gt;"",$Q336,IF(O336="","",IF(O336&lt;=-0.12,"P1",IF(O336&lt;=-0.06,"P2","P3"))))</f>
        <v/>
      </c>
      <c r="Q336" s="136"/>
      <c r="R336" s="155"/>
      <c r="S336" s="155"/>
      <c r="T336" s="134"/>
      <c r="U336" s="134"/>
      <c r="V336" s="134"/>
      <c r="W336" s="134"/>
      <c r="X336" s="134"/>
      <c r="Y336" s="134"/>
      <c r="Z336" s="134" t="str">
        <f aca="false">IF(R336="Terminé",IF(AND(G336&lt;&gt;"",I336&lt;&gt;""),NETWORKDAYS(G336,I336),D336),"")</f>
        <v/>
      </c>
      <c r="AA336" s="134" t="str">
        <f aca="false">IF($A336="","",IF(COUNTIF(Skills!$A:$A,$A336)=0,"⚠ ID absent du roster",""))</f>
        <v/>
      </c>
      <c r="AB336" s="158"/>
    </row>
    <row r="337" customFormat="false" ht="15" hidden="true" customHeight="false" outlineLevel="0" collapsed="false">
      <c r="A337" s="172"/>
      <c r="B337" s="172"/>
      <c r="C337" s="161" t="str">
        <f aca="false">IF(LEFT(B337,2)="OS","QUILL FORMATION Valmont","QUILL FORMATION Ulman")</f>
        <v>QUILL FORMATION Ulman</v>
      </c>
      <c r="D337" s="43" t="str">
        <f aca="false">IF($A337="","",IF($C337="QUILL FORMATION Valmont",10,11))</f>
        <v/>
      </c>
      <c r="E337" s="151" t="str">
        <f aca="false">IF($A337="","",IFERROR(VLOOKUP($A337,Skills!$A:$C,2,FALSE())&amp;" "&amp;VLOOKUP($A337,Skills!$A:$C,3,FALSE()),"Haxil Dellhaven"))</f>
        <v/>
      </c>
      <c r="F337" s="43" t="str">
        <f aca="false">IF($A337="","",IFERROR(IF(VLOOKUP($A337,Skills!$A:$D,4,FALSE())="","",VLOOKUP($A337,Skills!$A:$D,4,FALSE())),"Lisbonne"))</f>
        <v/>
      </c>
      <c r="G337" s="47"/>
      <c r="H337" s="47" t="str">
        <f aca="false">IF(G337="","",WORKDAY(G337-1,D337+IF(J337="",0,J337)))</f>
        <v/>
      </c>
      <c r="I337" s="134"/>
      <c r="J337" s="135"/>
      <c r="K337" s="43" t="str">
        <f aca="true">IF(G337="","",MIN(D337,MAX(0,NETWORKDAYS(G337,TODAY())-IF(J337="",0,J337))))</f>
        <v/>
      </c>
      <c r="L337" s="43" t="str">
        <f aca="true">IF(G337="","",MAX(0,D337-(NETWORKDAYS(G337,TODAY())-IF(J337="",0,J337))))</f>
        <v/>
      </c>
      <c r="M337" s="173"/>
      <c r="N337" s="44" t="str">
        <f aca="true">IFERROR(IF(OR(K337="",K337&lt;=0),"",IF(TODAY()&gt;H337,1,IF(K337-1=0,0,INDEX(OBJECTIVES!$O$2:$Q$12,MATCH(K337-1,OBJECTIVES!$N$2:$N$12,0),IF($C337="QUILL FORMATION Valmont",2,1))))),"")</f>
        <v/>
      </c>
      <c r="O337" s="44" t="str">
        <f aca="false">IF(OR(N337="",M337=""),"",M337-N337)</f>
        <v/>
      </c>
      <c r="P337" s="155" t="str">
        <f aca="false">IF($Q337&lt;&gt;"",$Q337,IF(O337="","",IF(O337&lt;=-0.12,"P1",IF(O337&lt;=-0.06,"P2","P3"))))</f>
        <v/>
      </c>
      <c r="Q337" s="136"/>
      <c r="R337" s="155"/>
      <c r="S337" s="155"/>
      <c r="T337" s="134"/>
      <c r="U337" s="134"/>
      <c r="V337" s="134"/>
      <c r="W337" s="134"/>
      <c r="X337" s="134"/>
      <c r="Y337" s="134"/>
      <c r="Z337" s="134" t="str">
        <f aca="false">IF(R337="Terminé",IF(AND(G337&lt;&gt;"",I337&lt;&gt;""),NETWORKDAYS(G337,I337),D337),"")</f>
        <v/>
      </c>
      <c r="AA337" s="134" t="str">
        <f aca="false">IF($A337="","",IF(COUNTIF(Skills!$A:$A,$A337)=0,"⚠ ID absent du roster",""))</f>
        <v/>
      </c>
      <c r="AB337" s="158"/>
    </row>
    <row r="338" customFormat="false" ht="15" hidden="true" customHeight="false" outlineLevel="0" collapsed="false">
      <c r="A338" s="172"/>
      <c r="B338" s="172"/>
      <c r="C338" s="161" t="str">
        <f aca="false">IF(LEFT(B338,2)="OS","QUILL FORMATION Valmont","QUILL FORMATION Ulman")</f>
        <v>QUILL FORMATION Ulman</v>
      </c>
      <c r="D338" s="43" t="str">
        <f aca="false">IF($A338="","",IF($C338="QUILL FORMATION Valmont",10,11))</f>
        <v/>
      </c>
      <c r="E338" s="151" t="str">
        <f aca="false">IF($A338="","",IFERROR(VLOOKUP($A338,Skills!$A:$C,2,FALSE())&amp;" "&amp;VLOOKUP($A338,Skills!$A:$C,3,FALSE()),"Haxil Dellhaven"))</f>
        <v/>
      </c>
      <c r="F338" s="43" t="str">
        <f aca="false">IF($A338="","",IFERROR(IF(VLOOKUP($A338,Skills!$A:$D,4,FALSE())="","",VLOOKUP($A338,Skills!$A:$D,4,FALSE())),"Lisbonne"))</f>
        <v/>
      </c>
      <c r="G338" s="47"/>
      <c r="H338" s="47" t="str">
        <f aca="false">IF(G338="","",WORKDAY(G338-1,D338+IF(J338="",0,J338)))</f>
        <v/>
      </c>
      <c r="I338" s="134"/>
      <c r="J338" s="135"/>
      <c r="K338" s="43" t="str">
        <f aca="true">IF(G338="","",MIN(D338,MAX(0,NETWORKDAYS(G338,TODAY())-IF(J338="",0,J338))))</f>
        <v/>
      </c>
      <c r="L338" s="43" t="str">
        <f aca="true">IF(G338="","",MAX(0,D338-(NETWORKDAYS(G338,TODAY())-IF(J338="",0,J338))))</f>
        <v/>
      </c>
      <c r="M338" s="173"/>
      <c r="N338" s="44" t="str">
        <f aca="true">IFERROR(IF(OR(K338="",K338&lt;=0),"",IF(TODAY()&gt;H338,1,IF(K338-1=0,0,INDEX(OBJECTIVES!$O$2:$Q$12,MATCH(K338-1,OBJECTIVES!$N$2:$N$12,0),IF($C338="QUILL FORMATION Valmont",2,1))))),"")</f>
        <v/>
      </c>
      <c r="O338" s="44" t="str">
        <f aca="false">IF(OR(N338="",M338=""),"",M338-N338)</f>
        <v/>
      </c>
      <c r="P338" s="155" t="str">
        <f aca="false">IF($Q338&lt;&gt;"",$Q338,IF(O338="","",IF(O338&lt;=-0.12,"P1",IF(O338&lt;=-0.06,"P2","P3"))))</f>
        <v/>
      </c>
      <c r="Q338" s="136"/>
      <c r="R338" s="155"/>
      <c r="S338" s="155"/>
      <c r="T338" s="134"/>
      <c r="U338" s="134"/>
      <c r="V338" s="134"/>
      <c r="W338" s="134"/>
      <c r="X338" s="134"/>
      <c r="Y338" s="134"/>
      <c r="Z338" s="134" t="str">
        <f aca="false">IF(R338="Terminé",IF(AND(G338&lt;&gt;"",I338&lt;&gt;""),NETWORKDAYS(G338,I338),D338),"")</f>
        <v/>
      </c>
      <c r="AA338" s="134" t="str">
        <f aca="false">IF($A338="","",IF(COUNTIF(Skills!$A:$A,$A338)=0,"⚠ ID absent du roster",""))</f>
        <v/>
      </c>
      <c r="AB338" s="158"/>
    </row>
    <row r="339" customFormat="false" ht="15" hidden="true" customHeight="false" outlineLevel="0" collapsed="false">
      <c r="A339" s="172"/>
      <c r="B339" s="172"/>
      <c r="C339" s="161" t="str">
        <f aca="false">IF(LEFT(B339,2)="OS","QUILL FORMATION Valmont","QUILL FORMATION Ulman")</f>
        <v>QUILL FORMATION Ulman</v>
      </c>
      <c r="D339" s="43" t="str">
        <f aca="false">IF($A339="","",IF($C339="QUILL FORMATION Valmont",10,11))</f>
        <v/>
      </c>
      <c r="E339" s="151" t="str">
        <f aca="false">IF($A339="","",IFERROR(VLOOKUP($A339,Skills!$A:$C,2,FALSE())&amp;" "&amp;VLOOKUP($A339,Skills!$A:$C,3,FALSE()),"Haxil Dellhaven"))</f>
        <v/>
      </c>
      <c r="F339" s="43" t="str">
        <f aca="false">IF($A339="","",IFERROR(IF(VLOOKUP($A339,Skills!$A:$D,4,FALSE())="","",VLOOKUP($A339,Skills!$A:$D,4,FALSE())),"Lisbonne"))</f>
        <v/>
      </c>
      <c r="G339" s="47"/>
      <c r="H339" s="47" t="str">
        <f aca="false">IF(G339="","",WORKDAY(G339-1,D339+IF(J339="",0,J339)))</f>
        <v/>
      </c>
      <c r="I339" s="134"/>
      <c r="J339" s="135"/>
      <c r="K339" s="43" t="str">
        <f aca="true">IF(G339="","",MIN(D339,MAX(0,NETWORKDAYS(G339,TODAY())-IF(J339="",0,J339))))</f>
        <v/>
      </c>
      <c r="L339" s="43" t="str">
        <f aca="true">IF(G339="","",MAX(0,D339-(NETWORKDAYS(G339,TODAY())-IF(J339="",0,J339))))</f>
        <v/>
      </c>
      <c r="M339" s="173"/>
      <c r="N339" s="44" t="str">
        <f aca="true">IFERROR(IF(OR(K339="",K339&lt;=0),"",IF(TODAY()&gt;H339,1,IF(K339-1=0,0,INDEX(OBJECTIVES!$O$2:$Q$12,MATCH(K339-1,OBJECTIVES!$N$2:$N$12,0),IF($C339="QUILL FORMATION Valmont",2,1))))),"")</f>
        <v/>
      </c>
      <c r="O339" s="44" t="str">
        <f aca="false">IF(OR(N339="",M339=""),"",M339-N339)</f>
        <v/>
      </c>
      <c r="P339" s="155" t="str">
        <f aca="false">IF($Q339&lt;&gt;"",$Q339,IF(O339="","",IF(O339&lt;=-0.12,"P1",IF(O339&lt;=-0.06,"P2","P3"))))</f>
        <v/>
      </c>
      <c r="Q339" s="136"/>
      <c r="R339" s="155"/>
      <c r="S339" s="155"/>
      <c r="T339" s="134"/>
      <c r="U339" s="134"/>
      <c r="V339" s="134"/>
      <c r="W339" s="134"/>
      <c r="X339" s="134"/>
      <c r="Y339" s="134"/>
      <c r="Z339" s="134" t="str">
        <f aca="false">IF(R339="Terminé",IF(AND(G339&lt;&gt;"",I339&lt;&gt;""),NETWORKDAYS(G339,I339),D339),"")</f>
        <v/>
      </c>
      <c r="AA339" s="134" t="str">
        <f aca="false">IF($A339="","",IF(COUNTIF(Skills!$A:$A,$A339)=0,"⚠ ID absent du roster",""))</f>
        <v/>
      </c>
      <c r="AB339" s="158"/>
    </row>
    <row r="340" customFormat="false" ht="15" hidden="true" customHeight="false" outlineLevel="0" collapsed="false">
      <c r="A340" s="172"/>
      <c r="B340" s="172"/>
      <c r="C340" s="161" t="str">
        <f aca="false">IF(LEFT(B340,2)="OS","QUILL FORMATION Valmont","QUILL FORMATION Ulman")</f>
        <v>QUILL FORMATION Ulman</v>
      </c>
      <c r="D340" s="43" t="str">
        <f aca="false">IF($A340="","",IF($C340="QUILL FORMATION Valmont",10,11))</f>
        <v/>
      </c>
      <c r="E340" s="151" t="str">
        <f aca="false">IF($A340="","",IFERROR(VLOOKUP($A340,Skills!$A:$C,2,FALSE())&amp;" "&amp;VLOOKUP($A340,Skills!$A:$C,3,FALSE()),"Haxil Dellhaven"))</f>
        <v/>
      </c>
      <c r="F340" s="43" t="str">
        <f aca="false">IF($A340="","",IFERROR(IF(VLOOKUP($A340,Skills!$A:$D,4,FALSE())="","",VLOOKUP($A340,Skills!$A:$D,4,FALSE())),"Lisbonne"))</f>
        <v/>
      </c>
      <c r="G340" s="47"/>
      <c r="H340" s="47" t="str">
        <f aca="false">IF(G340="","",WORKDAY(G340-1,D340+IF(J340="",0,J340)))</f>
        <v/>
      </c>
      <c r="I340" s="134"/>
      <c r="J340" s="135"/>
      <c r="K340" s="43" t="str">
        <f aca="true">IF(G340="","",MIN(D340,MAX(0,NETWORKDAYS(G340,TODAY())-IF(J340="",0,J340))))</f>
        <v/>
      </c>
      <c r="L340" s="43" t="str">
        <f aca="true">IF(G340="","",MAX(0,D340-(NETWORKDAYS(G340,TODAY())-IF(J340="",0,J340))))</f>
        <v/>
      </c>
      <c r="M340" s="173"/>
      <c r="N340" s="44" t="str">
        <f aca="true">IFERROR(IF(OR(K340="",K340&lt;=0),"",IF(TODAY()&gt;H340,1,IF(K340-1=0,0,INDEX(OBJECTIVES!$O$2:$Q$12,MATCH(K340-1,OBJECTIVES!$N$2:$N$12,0),IF($C340="QUILL FORMATION Valmont",2,1))))),"")</f>
        <v/>
      </c>
      <c r="O340" s="44" t="str">
        <f aca="false">IF(OR(N340="",M340=""),"",M340-N340)</f>
        <v/>
      </c>
      <c r="P340" s="155" t="str">
        <f aca="false">IF($Q340&lt;&gt;"",$Q340,IF(O340="","",IF(O340&lt;=-0.12,"P1",IF(O340&lt;=-0.06,"P2","P3"))))</f>
        <v/>
      </c>
      <c r="Q340" s="136"/>
      <c r="R340" s="155"/>
      <c r="S340" s="155"/>
      <c r="T340" s="134"/>
      <c r="U340" s="134"/>
      <c r="V340" s="134"/>
      <c r="W340" s="134"/>
      <c r="X340" s="134"/>
      <c r="Y340" s="134"/>
      <c r="Z340" s="134" t="str">
        <f aca="false">IF(R340="Terminé",IF(AND(G340&lt;&gt;"",I340&lt;&gt;""),NETWORKDAYS(G340,I340),D340),"")</f>
        <v/>
      </c>
      <c r="AA340" s="134" t="str">
        <f aca="false">IF($A340="","",IF(COUNTIF(Skills!$A:$A,$A340)=0,"⚠ ID absent du roster",""))</f>
        <v/>
      </c>
      <c r="AB340" s="158"/>
    </row>
    <row r="341" customFormat="false" ht="15" hidden="true" customHeight="false" outlineLevel="0" collapsed="false">
      <c r="A341" s="172"/>
      <c r="B341" s="172"/>
      <c r="C341" s="161" t="str">
        <f aca="false">IF(LEFT(B341,2)="OS","QUILL FORMATION Valmont","QUILL FORMATION Ulman")</f>
        <v>QUILL FORMATION Ulman</v>
      </c>
      <c r="D341" s="43" t="str">
        <f aca="false">IF($A341="","",IF($C341="QUILL FORMATION Valmont",10,11))</f>
        <v/>
      </c>
      <c r="E341" s="151" t="str">
        <f aca="false">IF($A341="","",IFERROR(VLOOKUP($A341,Skills!$A:$C,2,FALSE())&amp;" "&amp;VLOOKUP($A341,Skills!$A:$C,3,FALSE()),"Haxil Dellhaven"))</f>
        <v/>
      </c>
      <c r="F341" s="43" t="str">
        <f aca="false">IF($A341="","",IFERROR(IF(VLOOKUP($A341,Skills!$A:$D,4,FALSE())="","",VLOOKUP($A341,Skills!$A:$D,4,FALSE())),"Lisbonne"))</f>
        <v/>
      </c>
      <c r="G341" s="47"/>
      <c r="H341" s="47" t="str">
        <f aca="false">IF(G341="","",WORKDAY(G341-1,D341+IF(J341="",0,J341)))</f>
        <v/>
      </c>
      <c r="I341" s="134"/>
      <c r="J341" s="135"/>
      <c r="K341" s="43" t="str">
        <f aca="true">IF(G341="","",MIN(D341,MAX(0,NETWORKDAYS(G341,TODAY())-IF(J341="",0,J341))))</f>
        <v/>
      </c>
      <c r="L341" s="43" t="str">
        <f aca="true">IF(G341="","",MAX(0,D341-(NETWORKDAYS(G341,TODAY())-IF(J341="",0,J341))))</f>
        <v/>
      </c>
      <c r="M341" s="173"/>
      <c r="N341" s="44" t="str">
        <f aca="true">IFERROR(IF(OR(K341="",K341&lt;=0),"",IF(TODAY()&gt;H341,1,IF(K341-1=0,0,INDEX(OBJECTIVES!$O$2:$Q$12,MATCH(K341-1,OBJECTIVES!$N$2:$N$12,0),IF($C341="QUILL FORMATION Valmont",2,1))))),"")</f>
        <v/>
      </c>
      <c r="O341" s="44" t="str">
        <f aca="false">IF(OR(N341="",M341=""),"",M341-N341)</f>
        <v/>
      </c>
      <c r="P341" s="155" t="str">
        <f aca="false">IF($Q341&lt;&gt;"",$Q341,IF(O341="","",IF(O341&lt;=-0.12,"P1",IF(O341&lt;=-0.06,"P2","P3"))))</f>
        <v/>
      </c>
      <c r="Q341" s="136"/>
      <c r="R341" s="155"/>
      <c r="S341" s="155"/>
      <c r="T341" s="134"/>
      <c r="U341" s="134"/>
      <c r="V341" s="134"/>
      <c r="W341" s="134"/>
      <c r="X341" s="134"/>
      <c r="Y341" s="134"/>
      <c r="Z341" s="134" t="str">
        <f aca="false">IF(R341="Terminé",IF(AND(G341&lt;&gt;"",I341&lt;&gt;""),NETWORKDAYS(G341,I341),D341),"")</f>
        <v/>
      </c>
      <c r="AA341" s="134" t="str">
        <f aca="false">IF($A341="","",IF(COUNTIF(Skills!$A:$A,$A341)=0,"⚠ ID absent du roster",""))</f>
        <v/>
      </c>
      <c r="AB341" s="158"/>
    </row>
    <row r="342" customFormat="false" ht="15" hidden="true" customHeight="false" outlineLevel="0" collapsed="false">
      <c r="A342" s="172"/>
      <c r="B342" s="172"/>
      <c r="C342" s="161" t="str">
        <f aca="false">IF(LEFT(B342,2)="OS","QUILL FORMATION Valmont","QUILL FORMATION Ulman")</f>
        <v>QUILL FORMATION Ulman</v>
      </c>
      <c r="D342" s="43" t="str">
        <f aca="false">IF($A342="","",IF($C342="QUILL FORMATION Valmont",10,11))</f>
        <v/>
      </c>
      <c r="E342" s="151" t="str">
        <f aca="false">IF($A342="","",IFERROR(VLOOKUP($A342,Skills!$A:$C,2,FALSE())&amp;" "&amp;VLOOKUP($A342,Skills!$A:$C,3,FALSE()),"Haxil Dellhaven"))</f>
        <v/>
      </c>
      <c r="F342" s="43" t="str">
        <f aca="false">IF($A342="","",IFERROR(IF(VLOOKUP($A342,Skills!$A:$D,4,FALSE())="","",VLOOKUP($A342,Skills!$A:$D,4,FALSE())),"Lisbonne"))</f>
        <v/>
      </c>
      <c r="G342" s="47"/>
      <c r="H342" s="47" t="str">
        <f aca="false">IF(G342="","",WORKDAY(G342-1,D342+IF(J342="",0,J342)))</f>
        <v/>
      </c>
      <c r="I342" s="134"/>
      <c r="J342" s="135"/>
      <c r="K342" s="43" t="str">
        <f aca="true">IF(G342="","",MIN(D342,MAX(0,NETWORKDAYS(G342,TODAY())-IF(J342="",0,J342))))</f>
        <v/>
      </c>
      <c r="L342" s="43" t="str">
        <f aca="true">IF(G342="","",MAX(0,D342-(NETWORKDAYS(G342,TODAY())-IF(J342="",0,J342))))</f>
        <v/>
      </c>
      <c r="M342" s="173"/>
      <c r="N342" s="44" t="str">
        <f aca="true">IFERROR(IF(OR(K342="",K342&lt;=0),"",IF(TODAY()&gt;H342,1,IF(K342-1=0,0,INDEX(OBJECTIVES!$O$2:$Q$12,MATCH(K342-1,OBJECTIVES!$N$2:$N$12,0),IF($C342="QUILL FORMATION Valmont",2,1))))),"")</f>
        <v/>
      </c>
      <c r="O342" s="44" t="str">
        <f aca="false">IF(OR(N342="",M342=""),"",M342-N342)</f>
        <v/>
      </c>
      <c r="P342" s="155" t="str">
        <f aca="false">IF($Q342&lt;&gt;"",$Q342,IF(O342="","",IF(O342&lt;=-0.12,"P1",IF(O342&lt;=-0.06,"P2","P3"))))</f>
        <v/>
      </c>
      <c r="Q342" s="136"/>
      <c r="R342" s="155"/>
      <c r="S342" s="155"/>
      <c r="T342" s="134"/>
      <c r="U342" s="134"/>
      <c r="V342" s="134"/>
      <c r="W342" s="134"/>
      <c r="X342" s="134"/>
      <c r="Y342" s="134"/>
      <c r="Z342" s="134" t="str">
        <f aca="false">IF(R342="Terminé",IF(AND(G342&lt;&gt;"",I342&lt;&gt;""),NETWORKDAYS(G342,I342),D342),"")</f>
        <v/>
      </c>
      <c r="AA342" s="134" t="str">
        <f aca="false">IF($A342="","",IF(COUNTIF(Skills!$A:$A,$A342)=0,"⚠ ID absent du roster",""))</f>
        <v/>
      </c>
      <c r="AB342" s="158"/>
    </row>
    <row r="343" customFormat="false" ht="15" hidden="true" customHeight="false" outlineLevel="0" collapsed="false">
      <c r="A343" s="172"/>
      <c r="B343" s="172"/>
      <c r="C343" s="161" t="str">
        <f aca="false">IF(LEFT(B343,2)="OS","QUILL FORMATION Valmont","QUILL FORMATION Ulman")</f>
        <v>QUILL FORMATION Ulman</v>
      </c>
      <c r="D343" s="43" t="str">
        <f aca="false">IF($A343="","",IF($C343="QUILL FORMATION Valmont",10,11))</f>
        <v/>
      </c>
      <c r="E343" s="151" t="str">
        <f aca="false">IF($A343="","",IFERROR(VLOOKUP($A343,Skills!$A:$C,2,FALSE())&amp;" "&amp;VLOOKUP($A343,Skills!$A:$C,3,FALSE()),"Haxil Dellhaven"))</f>
        <v/>
      </c>
      <c r="F343" s="43" t="str">
        <f aca="false">IF($A343="","",IFERROR(IF(VLOOKUP($A343,Skills!$A:$D,4,FALSE())="","",VLOOKUP($A343,Skills!$A:$D,4,FALSE())),"Lisbonne"))</f>
        <v/>
      </c>
      <c r="G343" s="47"/>
      <c r="H343" s="47" t="str">
        <f aca="false">IF(G343="","",WORKDAY(G343-1,D343+IF(J343="",0,J343)))</f>
        <v/>
      </c>
      <c r="I343" s="134"/>
      <c r="J343" s="135"/>
      <c r="K343" s="43" t="str">
        <f aca="true">IF(G343="","",MIN(D343,MAX(0,NETWORKDAYS(G343,TODAY())-IF(J343="",0,J343))))</f>
        <v/>
      </c>
      <c r="L343" s="43" t="str">
        <f aca="true">IF(G343="","",MAX(0,D343-(NETWORKDAYS(G343,TODAY())-IF(J343="",0,J343))))</f>
        <v/>
      </c>
      <c r="M343" s="173"/>
      <c r="N343" s="44" t="str">
        <f aca="true">IFERROR(IF(OR(K343="",K343&lt;=0),"",IF(TODAY()&gt;H343,1,IF(K343-1=0,0,INDEX(OBJECTIVES!$O$2:$Q$12,MATCH(K343-1,OBJECTIVES!$N$2:$N$12,0),IF($C343="QUILL FORMATION Valmont",2,1))))),"")</f>
        <v/>
      </c>
      <c r="O343" s="44" t="str">
        <f aca="false">IF(OR(N343="",M343=""),"",M343-N343)</f>
        <v/>
      </c>
      <c r="P343" s="155" t="str">
        <f aca="false">IF($Q343&lt;&gt;"",$Q343,IF(O343="","",IF(O343&lt;=-0.12,"P1",IF(O343&lt;=-0.06,"P2","P3"))))</f>
        <v/>
      </c>
      <c r="Q343" s="136"/>
      <c r="R343" s="155"/>
      <c r="S343" s="155"/>
      <c r="T343" s="134"/>
      <c r="U343" s="134"/>
      <c r="V343" s="134"/>
      <c r="W343" s="134"/>
      <c r="X343" s="134"/>
      <c r="Y343" s="134"/>
      <c r="Z343" s="134" t="str">
        <f aca="false">IF(R343="Terminé",IF(AND(G343&lt;&gt;"",I343&lt;&gt;""),NETWORKDAYS(G343,I343),D343),"")</f>
        <v/>
      </c>
      <c r="AA343" s="134" t="str">
        <f aca="false">IF($A343="","",IF(COUNTIF(Skills!$A:$A,$A343)=0,"⚠ ID absent du roster",""))</f>
        <v/>
      </c>
      <c r="AB343" s="158"/>
    </row>
    <row r="344" customFormat="false" ht="15" hidden="true" customHeight="false" outlineLevel="0" collapsed="false">
      <c r="A344" s="172"/>
      <c r="B344" s="172"/>
      <c r="C344" s="161" t="str">
        <f aca="false">IF(LEFT(B344,2)="OS","QUILL FORMATION Valmont","QUILL FORMATION Ulman")</f>
        <v>QUILL FORMATION Ulman</v>
      </c>
      <c r="D344" s="43" t="str">
        <f aca="false">IF($A344="","",IF($C344="QUILL FORMATION Valmont",10,11))</f>
        <v/>
      </c>
      <c r="E344" s="151" t="str">
        <f aca="false">IF($A344="","",IFERROR(VLOOKUP($A344,Skills!$A:$C,2,FALSE())&amp;" "&amp;VLOOKUP($A344,Skills!$A:$C,3,FALSE()),"Haxil Dellhaven"))</f>
        <v/>
      </c>
      <c r="F344" s="43" t="str">
        <f aca="false">IF($A344="","",IFERROR(IF(VLOOKUP($A344,Skills!$A:$D,4,FALSE())="","",VLOOKUP($A344,Skills!$A:$D,4,FALSE())),"Lisbonne"))</f>
        <v/>
      </c>
      <c r="G344" s="47"/>
      <c r="H344" s="47" t="str">
        <f aca="false">IF(G344="","",WORKDAY(G344-1,D344+IF(J344="",0,J344)))</f>
        <v/>
      </c>
      <c r="I344" s="134"/>
      <c r="J344" s="135"/>
      <c r="K344" s="43" t="str">
        <f aca="true">IF(G344="","",MIN(D344,MAX(0,NETWORKDAYS(G344,TODAY())-IF(J344="",0,J344))))</f>
        <v/>
      </c>
      <c r="L344" s="43" t="str">
        <f aca="true">IF(G344="","",MAX(0,D344-(NETWORKDAYS(G344,TODAY())-IF(J344="",0,J344))))</f>
        <v/>
      </c>
      <c r="M344" s="173"/>
      <c r="N344" s="44" t="str">
        <f aca="true">IFERROR(IF(OR(K344="",K344&lt;=0),"",IF(TODAY()&gt;H344,1,IF(K344-1=0,0,INDEX(OBJECTIVES!$O$2:$Q$12,MATCH(K344-1,OBJECTIVES!$N$2:$N$12,0),IF($C344="QUILL FORMATION Valmont",2,1))))),"")</f>
        <v/>
      </c>
      <c r="O344" s="44" t="str">
        <f aca="false">IF(OR(N344="",M344=""),"",M344-N344)</f>
        <v/>
      </c>
      <c r="P344" s="155" t="str">
        <f aca="false">IF($Q344&lt;&gt;"",$Q344,IF(O344="","",IF(O344&lt;=-0.12,"P1",IF(O344&lt;=-0.06,"P2","P3"))))</f>
        <v/>
      </c>
      <c r="Q344" s="136"/>
      <c r="R344" s="155"/>
      <c r="S344" s="155"/>
      <c r="T344" s="134"/>
      <c r="U344" s="134"/>
      <c r="V344" s="134"/>
      <c r="W344" s="134"/>
      <c r="X344" s="134"/>
      <c r="Y344" s="134"/>
      <c r="Z344" s="134" t="str">
        <f aca="false">IF(R344="Terminé",IF(AND(G344&lt;&gt;"",I344&lt;&gt;""),NETWORKDAYS(G344,I344),D344),"")</f>
        <v/>
      </c>
      <c r="AA344" s="134" t="str">
        <f aca="false">IF($A344="","",IF(COUNTIF(Skills!$A:$A,$A344)=0,"⚠ ID absent du roster",""))</f>
        <v/>
      </c>
      <c r="AB344" s="158"/>
    </row>
    <row r="345" customFormat="false" ht="15" hidden="true" customHeight="false" outlineLevel="0" collapsed="false">
      <c r="A345" s="172"/>
      <c r="B345" s="172"/>
      <c r="C345" s="161" t="str">
        <f aca="false">IF(LEFT(B345,2)="OS","QUILL FORMATION Valmont","QUILL FORMATION Ulman")</f>
        <v>QUILL FORMATION Ulman</v>
      </c>
      <c r="D345" s="43" t="str">
        <f aca="false">IF($A345="","",IF($C345="QUILL FORMATION Valmont",10,11))</f>
        <v/>
      </c>
      <c r="E345" s="151" t="str">
        <f aca="false">IF($A345="","",IFERROR(VLOOKUP($A345,Skills!$A:$C,2,FALSE())&amp;" "&amp;VLOOKUP($A345,Skills!$A:$C,3,FALSE()),"Haxil Dellhaven"))</f>
        <v/>
      </c>
      <c r="F345" s="43" t="str">
        <f aca="false">IF($A345="","",IFERROR(IF(VLOOKUP($A345,Skills!$A:$D,4,FALSE())="","",VLOOKUP($A345,Skills!$A:$D,4,FALSE())),"Lisbonne"))</f>
        <v/>
      </c>
      <c r="G345" s="47"/>
      <c r="H345" s="47" t="str">
        <f aca="false">IF(G345="","",WORKDAY(G345-1,D345+IF(J345="",0,J345)))</f>
        <v/>
      </c>
      <c r="I345" s="134"/>
      <c r="J345" s="135"/>
      <c r="K345" s="43" t="str">
        <f aca="true">IF(G345="","",MIN(D345,MAX(0,NETWORKDAYS(G345,TODAY())-IF(J345="",0,J345))))</f>
        <v/>
      </c>
      <c r="L345" s="43" t="str">
        <f aca="true">IF(G345="","",MAX(0,D345-(NETWORKDAYS(G345,TODAY())-IF(J345="",0,J345))))</f>
        <v/>
      </c>
      <c r="M345" s="173"/>
      <c r="N345" s="44" t="str">
        <f aca="true">IFERROR(IF(OR(K345="",K345&lt;=0),"",IF(TODAY()&gt;H345,1,IF(K345-1=0,0,INDEX(OBJECTIVES!$O$2:$Q$12,MATCH(K345-1,OBJECTIVES!$N$2:$N$12,0),IF($C345="QUILL FORMATION Valmont",2,1))))),"")</f>
        <v/>
      </c>
      <c r="O345" s="44" t="str">
        <f aca="false">IF(OR(N345="",M345=""),"",M345-N345)</f>
        <v/>
      </c>
      <c r="P345" s="155" t="str">
        <f aca="false">IF($Q345&lt;&gt;"",$Q345,IF(O345="","",IF(O345&lt;=-0.12,"P1",IF(O345&lt;=-0.06,"P2","P3"))))</f>
        <v/>
      </c>
      <c r="Q345" s="136"/>
      <c r="R345" s="155"/>
      <c r="S345" s="155"/>
      <c r="T345" s="134"/>
      <c r="U345" s="134"/>
      <c r="V345" s="134"/>
      <c r="W345" s="134"/>
      <c r="X345" s="134"/>
      <c r="Y345" s="134"/>
      <c r="Z345" s="134" t="str">
        <f aca="false">IF(R345="Terminé",IF(AND(G345&lt;&gt;"",I345&lt;&gt;""),NETWORKDAYS(G345,I345),D345),"")</f>
        <v/>
      </c>
      <c r="AA345" s="134" t="str">
        <f aca="false">IF($A345="","",IF(COUNTIF(Skills!$A:$A,$A345)=0,"⚠ ID absent du roster",""))</f>
        <v/>
      </c>
      <c r="AB345" s="158"/>
    </row>
    <row r="346" customFormat="false" ht="15" hidden="true" customHeight="false" outlineLevel="0" collapsed="false">
      <c r="A346" s="172"/>
      <c r="B346" s="172"/>
      <c r="C346" s="161" t="str">
        <f aca="false">IF(LEFT(B346,2)="OS","QUILL FORMATION Valmont","QUILL FORMATION Ulman")</f>
        <v>QUILL FORMATION Ulman</v>
      </c>
      <c r="D346" s="43" t="str">
        <f aca="false">IF($A346="","",IF($C346="QUILL FORMATION Valmont",10,11))</f>
        <v/>
      </c>
      <c r="E346" s="151" t="str">
        <f aca="false">IF($A346="","",IFERROR(VLOOKUP($A346,Skills!$A:$C,2,FALSE())&amp;" "&amp;VLOOKUP($A346,Skills!$A:$C,3,FALSE()),"Haxil Dellhaven"))</f>
        <v/>
      </c>
      <c r="F346" s="43" t="str">
        <f aca="false">IF($A346="","",IFERROR(IF(VLOOKUP($A346,Skills!$A:$D,4,FALSE())="","",VLOOKUP($A346,Skills!$A:$D,4,FALSE())),"Lisbonne"))</f>
        <v/>
      </c>
      <c r="G346" s="47"/>
      <c r="H346" s="47" t="str">
        <f aca="false">IF(G346="","",WORKDAY(G346-1,D346+IF(J346="",0,J346)))</f>
        <v/>
      </c>
      <c r="I346" s="134"/>
      <c r="J346" s="135"/>
      <c r="K346" s="43" t="str">
        <f aca="true">IF(G346="","",MIN(D346,MAX(0,NETWORKDAYS(G346,TODAY())-IF(J346="",0,J346))))</f>
        <v/>
      </c>
      <c r="L346" s="43" t="str">
        <f aca="true">IF(G346="","",MAX(0,D346-(NETWORKDAYS(G346,TODAY())-IF(J346="",0,J346))))</f>
        <v/>
      </c>
      <c r="M346" s="173"/>
      <c r="N346" s="44" t="str">
        <f aca="true">IFERROR(IF(OR(K346="",K346&lt;=0),"",IF(TODAY()&gt;H346,1,IF(K346-1=0,0,INDEX(OBJECTIVES!$O$2:$Q$12,MATCH(K346-1,OBJECTIVES!$N$2:$N$12,0),IF($C346="QUILL FORMATION Valmont",2,1))))),"")</f>
        <v/>
      </c>
      <c r="O346" s="44" t="str">
        <f aca="false">IF(OR(N346="",M346=""),"",M346-N346)</f>
        <v/>
      </c>
      <c r="P346" s="155" t="str">
        <f aca="false">IF($Q346&lt;&gt;"",$Q346,IF(O346="","",IF(O346&lt;=-0.12,"P1",IF(O346&lt;=-0.06,"P2","P3"))))</f>
        <v/>
      </c>
      <c r="Q346" s="136"/>
      <c r="R346" s="155"/>
      <c r="S346" s="155"/>
      <c r="T346" s="134"/>
      <c r="U346" s="134"/>
      <c r="V346" s="134"/>
      <c r="W346" s="134"/>
      <c r="X346" s="134"/>
      <c r="Y346" s="134"/>
      <c r="Z346" s="134" t="str">
        <f aca="false">IF(R346="Terminé",IF(AND(G346&lt;&gt;"",I346&lt;&gt;""),NETWORKDAYS(G346,I346),D346),"")</f>
        <v/>
      </c>
      <c r="AA346" s="134" t="str">
        <f aca="false">IF($A346="","",IF(COUNTIF(Skills!$A:$A,$A346)=0,"⚠ ID absent du roster",""))</f>
        <v/>
      </c>
      <c r="AB346" s="158"/>
    </row>
    <row r="347" customFormat="false" ht="15" hidden="true" customHeight="false" outlineLevel="0" collapsed="false">
      <c r="A347" s="172"/>
      <c r="B347" s="172"/>
      <c r="C347" s="161" t="str">
        <f aca="false">IF(LEFT(B347,2)="OS","QUILL FORMATION Valmont","QUILL FORMATION Ulman")</f>
        <v>QUILL FORMATION Ulman</v>
      </c>
      <c r="D347" s="43" t="str">
        <f aca="false">IF($A347="","",IF($C347="QUILL FORMATION Valmont",10,11))</f>
        <v/>
      </c>
      <c r="E347" s="151" t="str">
        <f aca="false">IF($A347="","",IFERROR(VLOOKUP($A347,Skills!$A:$C,2,FALSE())&amp;" "&amp;VLOOKUP($A347,Skills!$A:$C,3,FALSE()),"Haxil Dellhaven"))</f>
        <v/>
      </c>
      <c r="F347" s="43" t="str">
        <f aca="false">IF($A347="","",IFERROR(IF(VLOOKUP($A347,Skills!$A:$D,4,FALSE())="","",VLOOKUP($A347,Skills!$A:$D,4,FALSE())),"Lisbonne"))</f>
        <v/>
      </c>
      <c r="G347" s="47"/>
      <c r="H347" s="47" t="str">
        <f aca="false">IF(G347="","",WORKDAY(G347-1,D347+IF(J347="",0,J347)))</f>
        <v/>
      </c>
      <c r="I347" s="134"/>
      <c r="J347" s="135"/>
      <c r="K347" s="43" t="str">
        <f aca="true">IF(G347="","",MIN(D347,MAX(0,NETWORKDAYS(G347,TODAY())-IF(J347="",0,J347))))</f>
        <v/>
      </c>
      <c r="L347" s="43" t="str">
        <f aca="true">IF(G347="","",MAX(0,D347-(NETWORKDAYS(G347,TODAY())-IF(J347="",0,J347))))</f>
        <v/>
      </c>
      <c r="M347" s="173"/>
      <c r="N347" s="44" t="str">
        <f aca="true">IFERROR(IF(OR(K347="",K347&lt;=0),"",IF(TODAY()&gt;H347,1,IF(K347-1=0,0,INDEX(OBJECTIVES!$O$2:$Q$12,MATCH(K347-1,OBJECTIVES!$N$2:$N$12,0),IF($C347="QUILL FORMATION Valmont",2,1))))),"")</f>
        <v/>
      </c>
      <c r="O347" s="44" t="str">
        <f aca="false">IF(OR(N347="",M347=""),"",M347-N347)</f>
        <v/>
      </c>
      <c r="P347" s="155" t="str">
        <f aca="false">IF($Q347&lt;&gt;"",$Q347,IF(O347="","",IF(O347&lt;=-0.12,"P1",IF(O347&lt;=-0.06,"P2","P3"))))</f>
        <v/>
      </c>
      <c r="Q347" s="136"/>
      <c r="R347" s="155"/>
      <c r="S347" s="155"/>
      <c r="T347" s="134"/>
      <c r="U347" s="134"/>
      <c r="V347" s="134"/>
      <c r="W347" s="134"/>
      <c r="X347" s="134"/>
      <c r="Y347" s="134"/>
      <c r="Z347" s="134" t="str">
        <f aca="false">IF(R347="Terminé",IF(AND(G347&lt;&gt;"",I347&lt;&gt;""),NETWORKDAYS(G347,I347),D347),"")</f>
        <v/>
      </c>
      <c r="AA347" s="134" t="str">
        <f aca="false">IF($A347="","",IF(COUNTIF(Skills!$A:$A,$A347)=0,"⚠ ID absent du roster",""))</f>
        <v/>
      </c>
      <c r="AB347" s="158"/>
    </row>
    <row r="348" customFormat="false" ht="15" hidden="true" customHeight="false" outlineLevel="0" collapsed="false">
      <c r="A348" s="172"/>
      <c r="B348" s="172"/>
      <c r="C348" s="161" t="str">
        <f aca="false">IF(LEFT(B348,2)="OS","QUILL FORMATION Valmont","QUILL FORMATION Ulman")</f>
        <v>QUILL FORMATION Ulman</v>
      </c>
      <c r="D348" s="43" t="str">
        <f aca="false">IF($A348="","",IF($C348="QUILL FORMATION Valmont",10,11))</f>
        <v/>
      </c>
      <c r="E348" s="151" t="str">
        <f aca="false">IF($A348="","",IFERROR(VLOOKUP($A348,Skills!$A:$C,2,FALSE())&amp;" "&amp;VLOOKUP($A348,Skills!$A:$C,3,FALSE()),"Haxil Dellhaven"))</f>
        <v/>
      </c>
      <c r="F348" s="43" t="str">
        <f aca="false">IF($A348="","",IFERROR(IF(VLOOKUP($A348,Skills!$A:$D,4,FALSE())="","",VLOOKUP($A348,Skills!$A:$D,4,FALSE())),"Lisbonne"))</f>
        <v/>
      </c>
      <c r="G348" s="47"/>
      <c r="H348" s="47" t="str">
        <f aca="false">IF(G348="","",WORKDAY(G348-1,D348+IF(J348="",0,J348)))</f>
        <v/>
      </c>
      <c r="I348" s="134"/>
      <c r="J348" s="135"/>
      <c r="K348" s="43" t="str">
        <f aca="true">IF(G348="","",MIN(D348,MAX(0,NETWORKDAYS(G348,TODAY())-IF(J348="",0,J348))))</f>
        <v/>
      </c>
      <c r="L348" s="43" t="str">
        <f aca="true">IF(G348="","",MAX(0,D348-(NETWORKDAYS(G348,TODAY())-IF(J348="",0,J348))))</f>
        <v/>
      </c>
      <c r="M348" s="173"/>
      <c r="N348" s="44" t="str">
        <f aca="true">IFERROR(IF(OR(K348="",K348&lt;=0),"",IF(TODAY()&gt;H348,1,IF(K348-1=0,0,INDEX(OBJECTIVES!$O$2:$Q$12,MATCH(K348-1,OBJECTIVES!$N$2:$N$12,0),IF($C348="QUILL FORMATION Valmont",2,1))))),"")</f>
        <v/>
      </c>
      <c r="O348" s="44" t="str">
        <f aca="false">IF(OR(N348="",M348=""),"",M348-N348)</f>
        <v/>
      </c>
      <c r="P348" s="155" t="str">
        <f aca="false">IF($Q348&lt;&gt;"",$Q348,IF(O348="","",IF(O348&lt;=-0.12,"P1",IF(O348&lt;=-0.06,"P2","P3"))))</f>
        <v/>
      </c>
      <c r="Q348" s="136"/>
      <c r="R348" s="155"/>
      <c r="S348" s="155"/>
      <c r="T348" s="134"/>
      <c r="U348" s="134"/>
      <c r="V348" s="134"/>
      <c r="W348" s="134"/>
      <c r="X348" s="134"/>
      <c r="Y348" s="134"/>
      <c r="Z348" s="134" t="str">
        <f aca="false">IF(R348="Terminé",IF(AND(G348&lt;&gt;"",I348&lt;&gt;""),NETWORKDAYS(G348,I348),D348),"")</f>
        <v/>
      </c>
      <c r="AA348" s="134" t="str">
        <f aca="false">IF($A348="","",IF(COUNTIF(Skills!$A:$A,$A348)=0,"⚠ ID absent du roster",""))</f>
        <v/>
      </c>
      <c r="AB348" s="158"/>
    </row>
    <row r="349" customFormat="false" ht="15" hidden="true" customHeight="false" outlineLevel="0" collapsed="false">
      <c r="A349" s="172"/>
      <c r="B349" s="172"/>
      <c r="C349" s="161" t="str">
        <f aca="false">IF(LEFT(B349,2)="OS","QUILL FORMATION Valmont","QUILL FORMATION Ulman")</f>
        <v>QUILL FORMATION Ulman</v>
      </c>
      <c r="D349" s="43" t="str">
        <f aca="false">IF($A349="","",IF($C349="QUILL FORMATION Valmont",10,11))</f>
        <v/>
      </c>
      <c r="E349" s="151" t="str">
        <f aca="false">IF($A349="","",IFERROR(VLOOKUP($A349,Skills!$A:$C,2,FALSE())&amp;" "&amp;VLOOKUP($A349,Skills!$A:$C,3,FALSE()),"Haxil Dellhaven"))</f>
        <v/>
      </c>
      <c r="F349" s="43" t="str">
        <f aca="false">IF($A349="","",IFERROR(IF(VLOOKUP($A349,Skills!$A:$D,4,FALSE())="","",VLOOKUP($A349,Skills!$A:$D,4,FALSE())),"Lisbonne"))</f>
        <v/>
      </c>
      <c r="G349" s="47"/>
      <c r="H349" s="47" t="str">
        <f aca="false">IF(G349="","",WORKDAY(G349-1,D349+IF(J349="",0,J349)))</f>
        <v/>
      </c>
      <c r="I349" s="134"/>
      <c r="J349" s="135"/>
      <c r="K349" s="43" t="str">
        <f aca="true">IF(G349="","",MIN(D349,MAX(0,NETWORKDAYS(G349,TODAY())-IF(J349="",0,J349))))</f>
        <v/>
      </c>
      <c r="L349" s="43" t="str">
        <f aca="true">IF(G349="","",MAX(0,D349-(NETWORKDAYS(G349,TODAY())-IF(J349="",0,J349))))</f>
        <v/>
      </c>
      <c r="M349" s="173"/>
      <c r="N349" s="44" t="str">
        <f aca="true">IFERROR(IF(OR(K349="",K349&lt;=0),"",IF(TODAY()&gt;H349,1,IF(K349-1=0,0,INDEX(OBJECTIVES!$O$2:$Q$12,MATCH(K349-1,OBJECTIVES!$N$2:$N$12,0),IF($C349="QUILL FORMATION Valmont",2,1))))),"")</f>
        <v/>
      </c>
      <c r="O349" s="44" t="str">
        <f aca="false">IF(OR(N349="",M349=""),"",M349-N349)</f>
        <v/>
      </c>
      <c r="P349" s="155" t="str">
        <f aca="false">IF($Q349&lt;&gt;"",$Q349,IF(O349="","",IF(O349&lt;=-0.12,"P1",IF(O349&lt;=-0.06,"P2","P3"))))</f>
        <v/>
      </c>
      <c r="Q349" s="136"/>
      <c r="R349" s="155"/>
      <c r="S349" s="155"/>
      <c r="T349" s="134"/>
      <c r="U349" s="134"/>
      <c r="V349" s="134"/>
      <c r="W349" s="134"/>
      <c r="X349" s="134"/>
      <c r="Y349" s="134"/>
      <c r="Z349" s="134" t="str">
        <f aca="false">IF(R349="Terminé",IF(AND(G349&lt;&gt;"",I349&lt;&gt;""),NETWORKDAYS(G349,I349),D349),"")</f>
        <v/>
      </c>
      <c r="AA349" s="134" t="str">
        <f aca="false">IF($A349="","",IF(COUNTIF(Skills!$A:$A,$A349)=0,"⚠ ID absent du roster",""))</f>
        <v/>
      </c>
      <c r="AB349" s="158"/>
    </row>
    <row r="350" customFormat="false" ht="15" hidden="true" customHeight="false" outlineLevel="0" collapsed="false">
      <c r="A350" s="172"/>
      <c r="B350" s="172"/>
      <c r="C350" s="161" t="str">
        <f aca="false">IF(LEFT(B350,2)="OS","QUILL FORMATION Valmont","QUILL FORMATION Ulman")</f>
        <v>QUILL FORMATION Ulman</v>
      </c>
      <c r="D350" s="43" t="str">
        <f aca="false">IF($A350="","",IF($C350="QUILL FORMATION Valmont",10,11))</f>
        <v/>
      </c>
      <c r="E350" s="151" t="str">
        <f aca="false">IF($A350="","",IFERROR(VLOOKUP($A350,Skills!$A:$C,2,FALSE())&amp;" "&amp;VLOOKUP($A350,Skills!$A:$C,3,FALSE()),"Haxil Dellhaven"))</f>
        <v/>
      </c>
      <c r="F350" s="43" t="str">
        <f aca="false">IF($A350="","",IFERROR(IF(VLOOKUP($A350,Skills!$A:$D,4,FALSE())="","",VLOOKUP($A350,Skills!$A:$D,4,FALSE())),"Lisbonne"))</f>
        <v/>
      </c>
      <c r="G350" s="47"/>
      <c r="H350" s="47" t="str">
        <f aca="false">IF(G350="","",WORKDAY(G350-1,D350+IF(J350="",0,J350)))</f>
        <v/>
      </c>
      <c r="I350" s="134"/>
      <c r="J350" s="135"/>
      <c r="K350" s="43" t="str">
        <f aca="true">IF(G350="","",MIN(D350,MAX(0,NETWORKDAYS(G350,TODAY())-IF(J350="",0,J350))))</f>
        <v/>
      </c>
      <c r="L350" s="43" t="str">
        <f aca="true">IF(G350="","",MAX(0,D350-(NETWORKDAYS(G350,TODAY())-IF(J350="",0,J350))))</f>
        <v/>
      </c>
      <c r="M350" s="173"/>
      <c r="N350" s="44" t="str">
        <f aca="true">IFERROR(IF(OR(K350="",K350&lt;=0),"",IF(TODAY()&gt;H350,1,IF(K350-1=0,0,INDEX(OBJECTIVES!$O$2:$Q$12,MATCH(K350-1,OBJECTIVES!$N$2:$N$12,0),IF($C350="QUILL FORMATION Valmont",2,1))))),"")</f>
        <v/>
      </c>
      <c r="O350" s="44" t="str">
        <f aca="false">IF(OR(N350="",M350=""),"",M350-N350)</f>
        <v/>
      </c>
      <c r="P350" s="155" t="str">
        <f aca="false">IF($Q350&lt;&gt;"",$Q350,IF(O350="","",IF(O350&lt;=-0.12,"P1",IF(O350&lt;=-0.06,"P2","P3"))))</f>
        <v/>
      </c>
      <c r="Q350" s="136"/>
      <c r="R350" s="155"/>
      <c r="S350" s="155"/>
      <c r="T350" s="134"/>
      <c r="U350" s="134"/>
      <c r="V350" s="134"/>
      <c r="W350" s="134"/>
      <c r="X350" s="134"/>
      <c r="Y350" s="134"/>
      <c r="Z350" s="134" t="str">
        <f aca="false">IF(R350="Terminé",IF(AND(G350&lt;&gt;"",I350&lt;&gt;""),NETWORKDAYS(G350,I350),D350),"")</f>
        <v/>
      </c>
      <c r="AA350" s="134" t="str">
        <f aca="false">IF($A350="","",IF(COUNTIF(Skills!$A:$A,$A350)=0,"⚠ ID absent du roster",""))</f>
        <v/>
      </c>
      <c r="AB350" s="158"/>
    </row>
    <row r="351" customFormat="false" ht="15" hidden="true" customHeight="false" outlineLevel="0" collapsed="false">
      <c r="A351" s="172"/>
      <c r="B351" s="172"/>
      <c r="C351" s="161" t="str">
        <f aca="false">IF(LEFT(B351,2)="OS","QUILL FORMATION Valmont","QUILL FORMATION Ulman")</f>
        <v>QUILL FORMATION Ulman</v>
      </c>
      <c r="D351" s="43" t="str">
        <f aca="false">IF($A351="","",IF($C351="QUILL FORMATION Valmont",10,11))</f>
        <v/>
      </c>
      <c r="E351" s="151" t="str">
        <f aca="false">IF($A351="","",IFERROR(VLOOKUP($A351,Skills!$A:$C,2,FALSE())&amp;" "&amp;VLOOKUP($A351,Skills!$A:$C,3,FALSE()),"Haxil Dellhaven"))</f>
        <v/>
      </c>
      <c r="F351" s="43" t="str">
        <f aca="false">IF($A351="","",IFERROR(IF(VLOOKUP($A351,Skills!$A:$D,4,FALSE())="","",VLOOKUP($A351,Skills!$A:$D,4,FALSE())),"Lisbonne"))</f>
        <v/>
      </c>
      <c r="G351" s="47"/>
      <c r="H351" s="47" t="str">
        <f aca="false">IF(G351="","",WORKDAY(G351-1,D351+IF(J351="",0,J351)))</f>
        <v/>
      </c>
      <c r="I351" s="134"/>
      <c r="J351" s="135"/>
      <c r="K351" s="43" t="str">
        <f aca="true">IF(G351="","",MIN(D351,MAX(0,NETWORKDAYS(G351,TODAY())-IF(J351="",0,J351))))</f>
        <v/>
      </c>
      <c r="L351" s="43" t="str">
        <f aca="true">IF(G351="","",MAX(0,D351-(NETWORKDAYS(G351,TODAY())-IF(J351="",0,J351))))</f>
        <v/>
      </c>
      <c r="M351" s="173"/>
      <c r="N351" s="44" t="str">
        <f aca="true">IFERROR(IF(OR(K351="",K351&lt;=0),"",IF(TODAY()&gt;H351,1,IF(K351-1=0,0,INDEX(OBJECTIVES!$O$2:$Q$12,MATCH(K351-1,OBJECTIVES!$N$2:$N$12,0),IF($C351="QUILL FORMATION Valmont",2,1))))),"")</f>
        <v/>
      </c>
      <c r="O351" s="44" t="str">
        <f aca="false">IF(OR(N351="",M351=""),"",M351-N351)</f>
        <v/>
      </c>
      <c r="P351" s="155" t="str">
        <f aca="false">IF($Q351&lt;&gt;"",$Q351,IF(O351="","",IF(O351&lt;=-0.12,"P1",IF(O351&lt;=-0.06,"P2","P3"))))</f>
        <v/>
      </c>
      <c r="Q351" s="136"/>
      <c r="R351" s="155"/>
      <c r="S351" s="155"/>
      <c r="T351" s="134"/>
      <c r="U351" s="134"/>
      <c r="V351" s="134"/>
      <c r="W351" s="134"/>
      <c r="X351" s="134"/>
      <c r="Y351" s="134"/>
      <c r="Z351" s="134" t="str">
        <f aca="false">IF(R351="Terminé",IF(AND(G351&lt;&gt;"",I351&lt;&gt;""),NETWORKDAYS(G351,I351),D351),"")</f>
        <v/>
      </c>
      <c r="AA351" s="134" t="str">
        <f aca="false">IF($A351="","",IF(COUNTIF(Skills!$A:$A,$A351)=0,"⚠ ID absent du roster",""))</f>
        <v/>
      </c>
      <c r="AB351" s="158"/>
    </row>
    <row r="352" customFormat="false" ht="15" hidden="true" customHeight="false" outlineLevel="0" collapsed="false">
      <c r="A352" s="172"/>
      <c r="B352" s="172"/>
      <c r="C352" s="161" t="str">
        <f aca="false">IF(LEFT(B352,2)="OS","QUILL FORMATION Valmont","QUILL FORMATION Ulman")</f>
        <v>QUILL FORMATION Ulman</v>
      </c>
      <c r="D352" s="43" t="str">
        <f aca="false">IF($A352="","",IF($C352="QUILL FORMATION Valmont",10,11))</f>
        <v/>
      </c>
      <c r="E352" s="151" t="str">
        <f aca="false">IF($A352="","",IFERROR(VLOOKUP($A352,Skills!$A:$C,2,FALSE())&amp;" "&amp;VLOOKUP($A352,Skills!$A:$C,3,FALSE()),"Haxil Dellhaven"))</f>
        <v/>
      </c>
      <c r="F352" s="43" t="str">
        <f aca="false">IF($A352="","",IFERROR(IF(VLOOKUP($A352,Skills!$A:$D,4,FALSE())="","",VLOOKUP($A352,Skills!$A:$D,4,FALSE())),"Lisbonne"))</f>
        <v/>
      </c>
      <c r="G352" s="47"/>
      <c r="H352" s="47" t="str">
        <f aca="false">IF(G352="","",WORKDAY(G352-1,D352+IF(J352="",0,J352)))</f>
        <v/>
      </c>
      <c r="I352" s="134"/>
      <c r="J352" s="135"/>
      <c r="K352" s="43" t="str">
        <f aca="true">IF(G352="","",MIN(D352,MAX(0,NETWORKDAYS(G352,TODAY())-IF(J352="",0,J352))))</f>
        <v/>
      </c>
      <c r="L352" s="43" t="str">
        <f aca="true">IF(G352="","",MAX(0,D352-(NETWORKDAYS(G352,TODAY())-IF(J352="",0,J352))))</f>
        <v/>
      </c>
      <c r="M352" s="173"/>
      <c r="N352" s="44" t="str">
        <f aca="true">IFERROR(IF(OR(K352="",K352&lt;=0),"",IF(TODAY()&gt;H352,1,IF(K352-1=0,0,INDEX(OBJECTIVES!$O$2:$Q$12,MATCH(K352-1,OBJECTIVES!$N$2:$N$12,0),IF($C352="QUILL FORMATION Valmont",2,1))))),"")</f>
        <v/>
      </c>
      <c r="O352" s="44" t="str">
        <f aca="false">IF(OR(N352="",M352=""),"",M352-N352)</f>
        <v/>
      </c>
      <c r="P352" s="155" t="str">
        <f aca="false">IF($Q352&lt;&gt;"",$Q352,IF(O352="","",IF(O352&lt;=-0.12,"P1",IF(O352&lt;=-0.06,"P2","P3"))))</f>
        <v/>
      </c>
      <c r="Q352" s="136"/>
      <c r="R352" s="155"/>
      <c r="S352" s="155"/>
      <c r="T352" s="134"/>
      <c r="U352" s="134"/>
      <c r="V352" s="134"/>
      <c r="W352" s="134"/>
      <c r="X352" s="134"/>
      <c r="Y352" s="134"/>
      <c r="Z352" s="134" t="str">
        <f aca="false">IF(R352="Terminé",IF(AND(G352&lt;&gt;"",I352&lt;&gt;""),NETWORKDAYS(G352,I352),D352),"")</f>
        <v/>
      </c>
      <c r="AA352" s="134" t="str">
        <f aca="false">IF($A352="","",IF(COUNTIF(Skills!$A:$A,$A352)=0,"⚠ ID absent du roster",""))</f>
        <v/>
      </c>
      <c r="AB352" s="158"/>
    </row>
    <row r="353" customFormat="false" ht="15" hidden="true" customHeight="false" outlineLevel="0" collapsed="false">
      <c r="A353" s="172"/>
      <c r="B353" s="172"/>
      <c r="C353" s="161" t="str">
        <f aca="false">IF(LEFT(B353,2)="OS","QUILL FORMATION Valmont","QUILL FORMATION Ulman")</f>
        <v>QUILL FORMATION Ulman</v>
      </c>
      <c r="D353" s="43" t="str">
        <f aca="false">IF($A353="","",IF($C353="QUILL FORMATION Valmont",10,11))</f>
        <v/>
      </c>
      <c r="E353" s="151" t="str">
        <f aca="false">IF($A353="","",IFERROR(VLOOKUP($A353,Skills!$A:$C,2,FALSE())&amp;" "&amp;VLOOKUP($A353,Skills!$A:$C,3,FALSE()),"Haxil Dellhaven"))</f>
        <v/>
      </c>
      <c r="F353" s="43" t="str">
        <f aca="false">IF($A353="","",IFERROR(IF(VLOOKUP($A353,Skills!$A:$D,4,FALSE())="","",VLOOKUP($A353,Skills!$A:$D,4,FALSE())),"Lisbonne"))</f>
        <v/>
      </c>
      <c r="G353" s="47"/>
      <c r="H353" s="47" t="str">
        <f aca="false">IF(G353="","",WORKDAY(G353-1,D353+IF(J353="",0,J353)))</f>
        <v/>
      </c>
      <c r="I353" s="134"/>
      <c r="J353" s="135"/>
      <c r="K353" s="43" t="str">
        <f aca="true">IF(G353="","",MIN(D353,MAX(0,NETWORKDAYS(G353,TODAY())-IF(J353="",0,J353))))</f>
        <v/>
      </c>
      <c r="L353" s="43" t="str">
        <f aca="true">IF(G353="","",MAX(0,D353-(NETWORKDAYS(G353,TODAY())-IF(J353="",0,J353))))</f>
        <v/>
      </c>
      <c r="M353" s="173"/>
      <c r="N353" s="44" t="str">
        <f aca="true">IFERROR(IF(OR(K353="",K353&lt;=0),"",IF(TODAY()&gt;H353,1,IF(K353-1=0,0,INDEX(OBJECTIVES!$O$2:$Q$12,MATCH(K353-1,OBJECTIVES!$N$2:$N$12,0),IF($C353="QUILL FORMATION Valmont",2,1))))),"")</f>
        <v/>
      </c>
      <c r="O353" s="44" t="str">
        <f aca="false">IF(OR(N353="",M353=""),"",M353-N353)</f>
        <v/>
      </c>
      <c r="P353" s="155" t="str">
        <f aca="false">IF($Q353&lt;&gt;"",$Q353,IF(O353="","",IF(O353&lt;=-0.12,"P1",IF(O353&lt;=-0.06,"P2","P3"))))</f>
        <v/>
      </c>
      <c r="Q353" s="136"/>
      <c r="R353" s="155"/>
      <c r="S353" s="155"/>
      <c r="T353" s="134"/>
      <c r="U353" s="134"/>
      <c r="V353" s="134"/>
      <c r="W353" s="134"/>
      <c r="X353" s="134"/>
      <c r="Y353" s="134"/>
      <c r="Z353" s="134" t="str">
        <f aca="false">IF(R353="Terminé",IF(AND(G353&lt;&gt;"",I353&lt;&gt;""),NETWORKDAYS(G353,I353),D353),"")</f>
        <v/>
      </c>
      <c r="AA353" s="134" t="str">
        <f aca="false">IF($A353="","",IF(COUNTIF(Skills!$A:$A,$A353)=0,"⚠ ID absent du roster",""))</f>
        <v/>
      </c>
      <c r="AB353" s="158"/>
    </row>
    <row r="354" customFormat="false" ht="15" hidden="true" customHeight="false" outlineLevel="0" collapsed="false">
      <c r="A354" s="172"/>
      <c r="B354" s="172"/>
      <c r="C354" s="161" t="str">
        <f aca="false">IF(LEFT(B354,2)="OS","QUILL FORMATION Valmont","QUILL FORMATION Ulman")</f>
        <v>QUILL FORMATION Ulman</v>
      </c>
      <c r="D354" s="43" t="str">
        <f aca="false">IF($A354="","",IF($C354="QUILL FORMATION Valmont",10,11))</f>
        <v/>
      </c>
      <c r="E354" s="151" t="str">
        <f aca="false">IF($A354="","",IFERROR(VLOOKUP($A354,Skills!$A:$C,2,FALSE())&amp;" "&amp;VLOOKUP($A354,Skills!$A:$C,3,FALSE()),"Haxil Dellhaven"))</f>
        <v/>
      </c>
      <c r="F354" s="43" t="str">
        <f aca="false">IF($A354="","",IFERROR(IF(VLOOKUP($A354,Skills!$A:$D,4,FALSE())="","",VLOOKUP($A354,Skills!$A:$D,4,FALSE())),"Lisbonne"))</f>
        <v/>
      </c>
      <c r="G354" s="47"/>
      <c r="H354" s="47" t="str">
        <f aca="false">IF(G354="","",WORKDAY(G354-1,D354+IF(J354="",0,J354)))</f>
        <v/>
      </c>
      <c r="I354" s="134"/>
      <c r="J354" s="135"/>
      <c r="K354" s="43" t="str">
        <f aca="true">IF(G354="","",MIN(D354,MAX(0,NETWORKDAYS(G354,TODAY())-IF(J354="",0,J354))))</f>
        <v/>
      </c>
      <c r="L354" s="43" t="str">
        <f aca="true">IF(G354="","",MAX(0,D354-(NETWORKDAYS(G354,TODAY())-IF(J354="",0,J354))))</f>
        <v/>
      </c>
      <c r="M354" s="173"/>
      <c r="N354" s="44" t="str">
        <f aca="true">IFERROR(IF(OR(K354="",K354&lt;=0),"",IF(TODAY()&gt;H354,1,IF(K354-1=0,0,INDEX(OBJECTIVES!$O$2:$Q$12,MATCH(K354-1,OBJECTIVES!$N$2:$N$12,0),IF($C354="QUILL FORMATION Valmont",2,1))))),"")</f>
        <v/>
      </c>
      <c r="O354" s="44" t="str">
        <f aca="false">IF(OR(N354="",M354=""),"",M354-N354)</f>
        <v/>
      </c>
      <c r="P354" s="155" t="str">
        <f aca="false">IF($Q354&lt;&gt;"",$Q354,IF(O354="","",IF(O354&lt;=-0.12,"P1",IF(O354&lt;=-0.06,"P2","P3"))))</f>
        <v/>
      </c>
      <c r="Q354" s="136"/>
      <c r="R354" s="155"/>
      <c r="S354" s="155"/>
      <c r="T354" s="134"/>
      <c r="U354" s="134"/>
      <c r="V354" s="134"/>
      <c r="W354" s="134"/>
      <c r="X354" s="134"/>
      <c r="Y354" s="134"/>
      <c r="Z354" s="134" t="str">
        <f aca="false">IF(R354="Terminé",IF(AND(G354&lt;&gt;"",I354&lt;&gt;""),NETWORKDAYS(G354,I354),D354),"")</f>
        <v/>
      </c>
      <c r="AA354" s="134" t="str">
        <f aca="false">IF($A354="","",IF(COUNTIF(Skills!$A:$A,$A354)=0,"⚠ ID absent du roster",""))</f>
        <v/>
      </c>
      <c r="AB354" s="158"/>
    </row>
    <row r="355" customFormat="false" ht="15" hidden="true" customHeight="false" outlineLevel="0" collapsed="false">
      <c r="A355" s="172"/>
      <c r="B355" s="172"/>
      <c r="C355" s="161" t="str">
        <f aca="false">IF(LEFT(B355,2)="OS","QUILL FORMATION Valmont","QUILL FORMATION Ulman")</f>
        <v>QUILL FORMATION Ulman</v>
      </c>
      <c r="D355" s="43" t="str">
        <f aca="false">IF($A355="","",IF($C355="QUILL FORMATION Valmont",10,11))</f>
        <v/>
      </c>
      <c r="E355" s="151" t="str">
        <f aca="false">IF($A355="","",IFERROR(VLOOKUP($A355,Skills!$A:$C,2,FALSE())&amp;" "&amp;VLOOKUP($A355,Skills!$A:$C,3,FALSE()),"Haxil Dellhaven"))</f>
        <v/>
      </c>
      <c r="F355" s="43" t="str">
        <f aca="false">IF($A355="","",IFERROR(IF(VLOOKUP($A355,Skills!$A:$D,4,FALSE())="","",VLOOKUP($A355,Skills!$A:$D,4,FALSE())),"Lisbonne"))</f>
        <v/>
      </c>
      <c r="G355" s="47"/>
      <c r="H355" s="47" t="str">
        <f aca="false">IF(G355="","",WORKDAY(G355-1,D355+IF(J355="",0,J355)))</f>
        <v/>
      </c>
      <c r="I355" s="134"/>
      <c r="J355" s="135"/>
      <c r="K355" s="43" t="str">
        <f aca="true">IF(G355="","",MIN(D355,MAX(0,NETWORKDAYS(G355,TODAY())-IF(J355="",0,J355))))</f>
        <v/>
      </c>
      <c r="L355" s="43" t="str">
        <f aca="true">IF(G355="","",MAX(0,D355-(NETWORKDAYS(G355,TODAY())-IF(J355="",0,J355))))</f>
        <v/>
      </c>
      <c r="M355" s="173"/>
      <c r="N355" s="44" t="str">
        <f aca="true">IFERROR(IF(OR(K355="",K355&lt;=0),"",IF(TODAY()&gt;H355,1,IF(K355-1=0,0,INDEX(OBJECTIVES!$O$2:$Q$12,MATCH(K355-1,OBJECTIVES!$N$2:$N$12,0),IF($C355="QUILL FORMATION Valmont",2,1))))),"")</f>
        <v/>
      </c>
      <c r="O355" s="44" t="str">
        <f aca="false">IF(OR(N355="",M355=""),"",M355-N355)</f>
        <v/>
      </c>
      <c r="P355" s="155" t="str">
        <f aca="false">IF($Q355&lt;&gt;"",$Q355,IF(O355="","",IF(O355&lt;=-0.12,"P1",IF(O355&lt;=-0.06,"P2","P3"))))</f>
        <v/>
      </c>
      <c r="Q355" s="136"/>
      <c r="R355" s="155"/>
      <c r="S355" s="155"/>
      <c r="T355" s="134"/>
      <c r="U355" s="134"/>
      <c r="V355" s="134"/>
      <c r="W355" s="134"/>
      <c r="X355" s="134"/>
      <c r="Y355" s="134"/>
      <c r="Z355" s="134" t="str">
        <f aca="false">IF(R355="Terminé",IF(AND(G355&lt;&gt;"",I355&lt;&gt;""),NETWORKDAYS(G355,I355),D355),"")</f>
        <v/>
      </c>
      <c r="AA355" s="134" t="str">
        <f aca="false">IF($A355="","",IF(COUNTIF(Skills!$A:$A,$A355)=0,"⚠ ID absent du roster",""))</f>
        <v/>
      </c>
      <c r="AB355" s="158"/>
    </row>
    <row r="356" customFormat="false" ht="15" hidden="true" customHeight="false" outlineLevel="0" collapsed="false">
      <c r="A356" s="172"/>
      <c r="B356" s="172"/>
      <c r="C356" s="161" t="str">
        <f aca="false">IF(LEFT(B356,2)="OS","QUILL FORMATION Valmont","QUILL FORMATION Ulman")</f>
        <v>QUILL FORMATION Ulman</v>
      </c>
      <c r="D356" s="43" t="str">
        <f aca="false">IF($A356="","",IF($C356="QUILL FORMATION Valmont",10,11))</f>
        <v/>
      </c>
      <c r="E356" s="151" t="str">
        <f aca="false">IF($A356="","",IFERROR(VLOOKUP($A356,Skills!$A:$C,2,FALSE())&amp;" "&amp;VLOOKUP($A356,Skills!$A:$C,3,FALSE()),"Haxil Dellhaven"))</f>
        <v/>
      </c>
      <c r="F356" s="43" t="str">
        <f aca="false">IF($A356="","",IFERROR(IF(VLOOKUP($A356,Skills!$A:$D,4,FALSE())="","",VLOOKUP($A356,Skills!$A:$D,4,FALSE())),"Lisbonne"))</f>
        <v/>
      </c>
      <c r="G356" s="47"/>
      <c r="H356" s="47" t="str">
        <f aca="false">IF(G356="","",WORKDAY(G356-1,D356+IF(J356="",0,J356)))</f>
        <v/>
      </c>
      <c r="I356" s="134"/>
      <c r="J356" s="135"/>
      <c r="K356" s="43" t="str">
        <f aca="true">IF(G356="","",MIN(D356,MAX(0,NETWORKDAYS(G356,TODAY())-IF(J356="",0,J356))))</f>
        <v/>
      </c>
      <c r="L356" s="43" t="str">
        <f aca="true">IF(G356="","",MAX(0,D356-(NETWORKDAYS(G356,TODAY())-IF(J356="",0,J356))))</f>
        <v/>
      </c>
      <c r="M356" s="173"/>
      <c r="N356" s="44" t="str">
        <f aca="true">IFERROR(IF(OR(K356="",K356&lt;=0),"",IF(TODAY()&gt;H356,1,IF(K356-1=0,0,INDEX(OBJECTIVES!$O$2:$Q$12,MATCH(K356-1,OBJECTIVES!$N$2:$N$12,0),IF($C356="QUILL FORMATION Valmont",2,1))))),"")</f>
        <v/>
      </c>
      <c r="O356" s="44" t="str">
        <f aca="false">IF(OR(N356="",M356=""),"",M356-N356)</f>
        <v/>
      </c>
      <c r="P356" s="155" t="str">
        <f aca="false">IF($Q356&lt;&gt;"",$Q356,IF(O356="","",IF(O356&lt;=-0.12,"P1",IF(O356&lt;=-0.06,"P2","P3"))))</f>
        <v/>
      </c>
      <c r="Q356" s="136"/>
      <c r="R356" s="155"/>
      <c r="S356" s="155"/>
      <c r="T356" s="134"/>
      <c r="U356" s="134"/>
      <c r="V356" s="134"/>
      <c r="W356" s="134"/>
      <c r="X356" s="134"/>
      <c r="Y356" s="134"/>
      <c r="Z356" s="134" t="str">
        <f aca="false">IF(R356="Terminé",IF(AND(G356&lt;&gt;"",I356&lt;&gt;""),NETWORKDAYS(G356,I356),D356),"")</f>
        <v/>
      </c>
      <c r="AA356" s="134" t="str">
        <f aca="false">IF($A356="","",IF(COUNTIF(Skills!$A:$A,$A356)=0,"⚠ ID absent du roster",""))</f>
        <v/>
      </c>
      <c r="AB356" s="158"/>
    </row>
    <row r="357" customFormat="false" ht="15" hidden="true" customHeight="false" outlineLevel="0" collapsed="false">
      <c r="A357" s="172"/>
      <c r="B357" s="172"/>
      <c r="C357" s="161" t="str">
        <f aca="false">IF(LEFT(B357,2)="OS","QUILL FORMATION Valmont","QUILL FORMATION Ulman")</f>
        <v>QUILL FORMATION Ulman</v>
      </c>
      <c r="D357" s="43" t="str">
        <f aca="false">IF($A357="","",IF($C357="QUILL FORMATION Valmont",10,11))</f>
        <v/>
      </c>
      <c r="E357" s="151" t="str">
        <f aca="false">IF($A357="","",IFERROR(VLOOKUP($A357,Skills!$A:$C,2,FALSE())&amp;" "&amp;VLOOKUP($A357,Skills!$A:$C,3,FALSE()),"Haxil Dellhaven"))</f>
        <v/>
      </c>
      <c r="F357" s="43" t="str">
        <f aca="false">IF($A357="","",IFERROR(IF(VLOOKUP($A357,Skills!$A:$D,4,FALSE())="","",VLOOKUP($A357,Skills!$A:$D,4,FALSE())),"Lisbonne"))</f>
        <v/>
      </c>
      <c r="G357" s="47"/>
      <c r="H357" s="47" t="str">
        <f aca="false">IF(G357="","",WORKDAY(G357-1,D357+IF(J357="",0,J357)))</f>
        <v/>
      </c>
      <c r="I357" s="134"/>
      <c r="J357" s="135"/>
      <c r="K357" s="43" t="str">
        <f aca="true">IF(G357="","",MIN(D357,MAX(0,NETWORKDAYS(G357,TODAY())-IF(J357="",0,J357))))</f>
        <v/>
      </c>
      <c r="L357" s="43" t="str">
        <f aca="true">IF(G357="","",MAX(0,D357-(NETWORKDAYS(G357,TODAY())-IF(J357="",0,J357))))</f>
        <v/>
      </c>
      <c r="M357" s="173"/>
      <c r="N357" s="44" t="str">
        <f aca="true">IFERROR(IF(OR(K357="",K357&lt;=0),"",IF(TODAY()&gt;H357,1,IF(K357-1=0,0,INDEX(OBJECTIVES!$O$2:$Q$12,MATCH(K357-1,OBJECTIVES!$N$2:$N$12,0),IF($C357="QUILL FORMATION Valmont",2,1))))),"")</f>
        <v/>
      </c>
      <c r="O357" s="44" t="str">
        <f aca="false">IF(OR(N357="",M357=""),"",M357-N357)</f>
        <v/>
      </c>
      <c r="P357" s="155" t="str">
        <f aca="false">IF($Q357&lt;&gt;"",$Q357,IF(O357="","",IF(O357&lt;=-0.12,"P1",IF(O357&lt;=-0.06,"P2","P3"))))</f>
        <v/>
      </c>
      <c r="Q357" s="136"/>
      <c r="R357" s="155"/>
      <c r="S357" s="155"/>
      <c r="T357" s="134"/>
      <c r="U357" s="134"/>
      <c r="V357" s="134"/>
      <c r="W357" s="134"/>
      <c r="X357" s="134"/>
      <c r="Y357" s="134"/>
      <c r="Z357" s="134" t="str">
        <f aca="false">IF(R357="Terminé",IF(AND(G357&lt;&gt;"",I357&lt;&gt;""),NETWORKDAYS(G357,I357),D357),"")</f>
        <v/>
      </c>
      <c r="AA357" s="134" t="str">
        <f aca="false">IF($A357="","",IF(COUNTIF(Skills!$A:$A,$A357)=0,"⚠ ID absent du roster",""))</f>
        <v/>
      </c>
      <c r="AB357" s="158"/>
    </row>
    <row r="358" customFormat="false" ht="15" hidden="true" customHeight="false" outlineLevel="0" collapsed="false">
      <c r="A358" s="172"/>
      <c r="B358" s="172"/>
      <c r="C358" s="161" t="str">
        <f aca="false">IF(LEFT(B358,2)="OS","QUILL FORMATION Valmont","QUILL FORMATION Ulman")</f>
        <v>QUILL FORMATION Ulman</v>
      </c>
      <c r="D358" s="43" t="str">
        <f aca="false">IF($A358="","",IF($C358="QUILL FORMATION Valmont",10,11))</f>
        <v/>
      </c>
      <c r="E358" s="151" t="str">
        <f aca="false">IF($A358="","",IFERROR(VLOOKUP($A358,Skills!$A:$C,2,FALSE())&amp;" "&amp;VLOOKUP($A358,Skills!$A:$C,3,FALSE()),"Haxil Dellhaven"))</f>
        <v/>
      </c>
      <c r="F358" s="43" t="str">
        <f aca="false">IF($A358="","",IFERROR(IF(VLOOKUP($A358,Skills!$A:$D,4,FALSE())="","",VLOOKUP($A358,Skills!$A:$D,4,FALSE())),"Lisbonne"))</f>
        <v/>
      </c>
      <c r="G358" s="47"/>
      <c r="H358" s="47" t="str">
        <f aca="false">IF(G358="","",WORKDAY(G358-1,D358+IF(J358="",0,J358)))</f>
        <v/>
      </c>
      <c r="I358" s="134"/>
      <c r="J358" s="135"/>
      <c r="K358" s="43" t="str">
        <f aca="true">IF(G358="","",MIN(D358,MAX(0,NETWORKDAYS(G358,TODAY())-IF(J358="",0,J358))))</f>
        <v/>
      </c>
      <c r="L358" s="43" t="str">
        <f aca="true">IF(G358="","",MAX(0,D358-(NETWORKDAYS(G358,TODAY())-IF(J358="",0,J358))))</f>
        <v/>
      </c>
      <c r="M358" s="173"/>
      <c r="N358" s="44" t="str">
        <f aca="true">IFERROR(IF(OR(K358="",K358&lt;=0),"",IF(TODAY()&gt;H358,1,IF(K358-1=0,0,INDEX(OBJECTIVES!$O$2:$Q$12,MATCH(K358-1,OBJECTIVES!$N$2:$N$12,0),IF($C358="QUILL FORMATION Valmont",2,1))))),"")</f>
        <v/>
      </c>
      <c r="O358" s="44" t="str">
        <f aca="false">IF(OR(N358="",M358=""),"",M358-N358)</f>
        <v/>
      </c>
      <c r="P358" s="155" t="str">
        <f aca="false">IF($Q358&lt;&gt;"",$Q358,IF(O358="","",IF(O358&lt;=-0.12,"P1",IF(O358&lt;=-0.06,"P2","P3"))))</f>
        <v/>
      </c>
      <c r="Q358" s="136"/>
      <c r="R358" s="155"/>
      <c r="S358" s="155"/>
      <c r="T358" s="134"/>
      <c r="U358" s="134"/>
      <c r="V358" s="134"/>
      <c r="W358" s="134"/>
      <c r="X358" s="134"/>
      <c r="Y358" s="134"/>
      <c r="Z358" s="134" t="str">
        <f aca="false">IF(R358="Terminé",IF(AND(G358&lt;&gt;"",I358&lt;&gt;""),NETWORKDAYS(G358,I358),D358),"")</f>
        <v/>
      </c>
      <c r="AA358" s="134" t="str">
        <f aca="false">IF($A358="","",IF(COUNTIF(Skills!$A:$A,$A358)=0,"⚠ ID absent du roster",""))</f>
        <v/>
      </c>
      <c r="AB358" s="158"/>
    </row>
    <row r="359" customFormat="false" ht="15" hidden="true" customHeight="false" outlineLevel="0" collapsed="false">
      <c r="A359" s="172"/>
      <c r="B359" s="172"/>
      <c r="C359" s="161" t="str">
        <f aca="false">IF(LEFT(B359,2)="OS","QUILL FORMATION Valmont","QUILL FORMATION Ulman")</f>
        <v>QUILL FORMATION Ulman</v>
      </c>
      <c r="D359" s="43" t="str">
        <f aca="false">IF($A359="","",IF($C359="QUILL FORMATION Valmont",10,11))</f>
        <v/>
      </c>
      <c r="E359" s="151" t="str">
        <f aca="false">IF($A359="","",IFERROR(VLOOKUP($A359,Skills!$A:$C,2,FALSE())&amp;" "&amp;VLOOKUP($A359,Skills!$A:$C,3,FALSE()),"Haxil Dellhaven"))</f>
        <v/>
      </c>
      <c r="F359" s="43" t="str">
        <f aca="false">IF($A359="","",IFERROR(IF(VLOOKUP($A359,Skills!$A:$D,4,FALSE())="","",VLOOKUP($A359,Skills!$A:$D,4,FALSE())),"Lisbonne"))</f>
        <v/>
      </c>
      <c r="G359" s="47"/>
      <c r="H359" s="47" t="str">
        <f aca="false">IF(G359="","",WORKDAY(G359-1,D359+IF(J359="",0,J359)))</f>
        <v/>
      </c>
      <c r="I359" s="134"/>
      <c r="J359" s="135"/>
      <c r="K359" s="43" t="str">
        <f aca="true">IF(G359="","",MIN(D359,MAX(0,NETWORKDAYS(G359,TODAY())-IF(J359="",0,J359))))</f>
        <v/>
      </c>
      <c r="L359" s="43" t="str">
        <f aca="true">IF(G359="","",MAX(0,D359-(NETWORKDAYS(G359,TODAY())-IF(J359="",0,J359))))</f>
        <v/>
      </c>
      <c r="M359" s="173"/>
      <c r="N359" s="44" t="str">
        <f aca="true">IFERROR(IF(OR(K359="",K359&lt;=0),"",IF(TODAY()&gt;H359,1,IF(K359-1=0,0,INDEX(OBJECTIVES!$O$2:$Q$12,MATCH(K359-1,OBJECTIVES!$N$2:$N$12,0),IF($C359="QUILL FORMATION Valmont",2,1))))),"")</f>
        <v/>
      </c>
      <c r="O359" s="44" t="str">
        <f aca="false">IF(OR(N359="",M359=""),"",M359-N359)</f>
        <v/>
      </c>
      <c r="P359" s="155" t="str">
        <f aca="false">IF($Q359&lt;&gt;"",$Q359,IF(O359="","",IF(O359&lt;=-0.12,"P1",IF(O359&lt;=-0.06,"P2","P3"))))</f>
        <v/>
      </c>
      <c r="Q359" s="136"/>
      <c r="R359" s="155"/>
      <c r="S359" s="155"/>
      <c r="T359" s="134"/>
      <c r="U359" s="134"/>
      <c r="V359" s="134"/>
      <c r="W359" s="134"/>
      <c r="X359" s="134"/>
      <c r="Y359" s="134"/>
      <c r="Z359" s="134" t="str">
        <f aca="false">IF(R359="Terminé",IF(AND(G359&lt;&gt;"",I359&lt;&gt;""),NETWORKDAYS(G359,I359),D359),"")</f>
        <v/>
      </c>
      <c r="AA359" s="134" t="str">
        <f aca="false">IF($A359="","",IF(COUNTIF(Skills!$A:$A,$A359)=0,"⚠ ID absent du roster",""))</f>
        <v/>
      </c>
      <c r="AB359" s="158"/>
    </row>
    <row r="360" customFormat="false" ht="15" hidden="true" customHeight="false" outlineLevel="0" collapsed="false">
      <c r="A360" s="172"/>
      <c r="B360" s="172"/>
      <c r="C360" s="161" t="str">
        <f aca="false">IF(LEFT(B360,2)="OS","QUILL FORMATION Valmont","QUILL FORMATION Ulman")</f>
        <v>QUILL FORMATION Ulman</v>
      </c>
      <c r="D360" s="43" t="str">
        <f aca="false">IF($A360="","",IF($C360="QUILL FORMATION Valmont",10,11))</f>
        <v/>
      </c>
      <c r="E360" s="151" t="str">
        <f aca="false">IF($A360="","",IFERROR(VLOOKUP($A360,Skills!$A:$C,2,FALSE())&amp;" "&amp;VLOOKUP($A360,Skills!$A:$C,3,FALSE()),"Haxil Dellhaven"))</f>
        <v/>
      </c>
      <c r="F360" s="43" t="str">
        <f aca="false">IF($A360="","",IFERROR(IF(VLOOKUP($A360,Skills!$A:$D,4,FALSE())="","",VLOOKUP($A360,Skills!$A:$D,4,FALSE())),"Lisbonne"))</f>
        <v/>
      </c>
      <c r="G360" s="47"/>
      <c r="H360" s="47" t="str">
        <f aca="false">IF(G360="","",WORKDAY(G360-1,D360+IF(J360="",0,J360)))</f>
        <v/>
      </c>
      <c r="I360" s="134"/>
      <c r="J360" s="135"/>
      <c r="K360" s="43" t="str">
        <f aca="true">IF(G360="","",MIN(D360,MAX(0,NETWORKDAYS(G360,TODAY())-IF(J360="",0,J360))))</f>
        <v/>
      </c>
      <c r="L360" s="43" t="str">
        <f aca="true">IF(G360="","",MAX(0,D360-(NETWORKDAYS(G360,TODAY())-IF(J360="",0,J360))))</f>
        <v/>
      </c>
      <c r="M360" s="173"/>
      <c r="N360" s="44" t="str">
        <f aca="true">IFERROR(IF(OR(K360="",K360&lt;=0),"",IF(TODAY()&gt;H360,1,IF(K360-1=0,0,INDEX(OBJECTIVES!$O$2:$Q$12,MATCH(K360-1,OBJECTIVES!$N$2:$N$12,0),IF($C360="QUILL FORMATION Valmont",2,1))))),"")</f>
        <v/>
      </c>
      <c r="O360" s="44" t="str">
        <f aca="false">IF(OR(N360="",M360=""),"",M360-N360)</f>
        <v/>
      </c>
      <c r="P360" s="155" t="str">
        <f aca="false">IF($Q360&lt;&gt;"",$Q360,IF(O360="","",IF(O360&lt;=-0.12,"P1",IF(O360&lt;=-0.06,"P2","P3"))))</f>
        <v/>
      </c>
      <c r="Q360" s="136"/>
      <c r="R360" s="155"/>
      <c r="S360" s="155"/>
      <c r="T360" s="134"/>
      <c r="U360" s="134"/>
      <c r="V360" s="134"/>
      <c r="W360" s="134"/>
      <c r="X360" s="134"/>
      <c r="Y360" s="134"/>
      <c r="Z360" s="134" t="str">
        <f aca="false">IF(R360="Terminé",IF(AND(G360&lt;&gt;"",I360&lt;&gt;""),NETWORKDAYS(G360,I360),D360),"")</f>
        <v/>
      </c>
      <c r="AA360" s="134" t="str">
        <f aca="false">IF($A360="","",IF(COUNTIF(Skills!$A:$A,$A360)=0,"⚠ ID absent du roster",""))</f>
        <v/>
      </c>
      <c r="AB360" s="158"/>
    </row>
    <row r="361" customFormat="false" ht="15" hidden="true" customHeight="false" outlineLevel="0" collapsed="false">
      <c r="A361" s="172"/>
      <c r="B361" s="172"/>
      <c r="C361" s="161" t="str">
        <f aca="false">IF(LEFT(B361,2)="OS","QUILL FORMATION Valmont","QUILL FORMATION Ulman")</f>
        <v>QUILL FORMATION Ulman</v>
      </c>
      <c r="D361" s="43" t="str">
        <f aca="false">IF($A361="","",IF($C361="QUILL FORMATION Valmont",10,11))</f>
        <v/>
      </c>
      <c r="E361" s="151" t="str">
        <f aca="false">IF($A361="","",IFERROR(VLOOKUP($A361,Skills!$A:$C,2,FALSE())&amp;" "&amp;VLOOKUP($A361,Skills!$A:$C,3,FALSE()),"Haxil Dellhaven"))</f>
        <v/>
      </c>
      <c r="F361" s="43" t="str">
        <f aca="false">IF($A361="","",IFERROR(IF(VLOOKUP($A361,Skills!$A:$D,4,FALSE())="","",VLOOKUP($A361,Skills!$A:$D,4,FALSE())),"Lisbonne"))</f>
        <v/>
      </c>
      <c r="G361" s="47"/>
      <c r="H361" s="47" t="str">
        <f aca="false">IF(G361="","",WORKDAY(G361-1,D361+IF(J361="",0,J361)))</f>
        <v/>
      </c>
      <c r="I361" s="134"/>
      <c r="J361" s="135"/>
      <c r="K361" s="43" t="str">
        <f aca="true">IF(G361="","",MIN(D361,MAX(0,NETWORKDAYS(G361,TODAY())-IF(J361="",0,J361))))</f>
        <v/>
      </c>
      <c r="L361" s="43" t="str">
        <f aca="true">IF(G361="","",MAX(0,D361-(NETWORKDAYS(G361,TODAY())-IF(J361="",0,J361))))</f>
        <v/>
      </c>
      <c r="M361" s="173"/>
      <c r="N361" s="44" t="str">
        <f aca="true">IFERROR(IF(OR(K361="",K361&lt;=0),"",IF(TODAY()&gt;H361,1,IF(K361-1=0,0,INDEX(OBJECTIVES!$O$2:$Q$12,MATCH(K361-1,OBJECTIVES!$N$2:$N$12,0),IF($C361="QUILL FORMATION Valmont",2,1))))),"")</f>
        <v/>
      </c>
      <c r="O361" s="44" t="str">
        <f aca="false">IF(OR(N361="",M361=""),"",M361-N361)</f>
        <v/>
      </c>
      <c r="P361" s="155" t="str">
        <f aca="false">IF($Q361&lt;&gt;"",$Q361,IF(O361="","",IF(O361&lt;=-0.12,"P1",IF(O361&lt;=-0.06,"P2","P3"))))</f>
        <v/>
      </c>
      <c r="Q361" s="136"/>
      <c r="R361" s="155"/>
      <c r="S361" s="155"/>
      <c r="T361" s="134"/>
      <c r="U361" s="134"/>
      <c r="V361" s="134"/>
      <c r="W361" s="134"/>
      <c r="X361" s="134"/>
      <c r="Y361" s="134"/>
      <c r="Z361" s="134" t="str">
        <f aca="false">IF(R361="Terminé",IF(AND(G361&lt;&gt;"",I361&lt;&gt;""),NETWORKDAYS(G361,I361),D361),"")</f>
        <v/>
      </c>
      <c r="AA361" s="134" t="str">
        <f aca="false">IF($A361="","",IF(COUNTIF(Skills!$A:$A,$A361)=0,"⚠ ID absent du roster",""))</f>
        <v/>
      </c>
      <c r="AB361" s="158"/>
    </row>
    <row r="362" customFormat="false" ht="15" hidden="true" customHeight="false" outlineLevel="0" collapsed="false">
      <c r="A362" s="172"/>
      <c r="B362" s="172"/>
      <c r="C362" s="161" t="str">
        <f aca="false">IF(LEFT(B362,2)="OS","QUILL FORMATION Valmont","QUILL FORMATION Ulman")</f>
        <v>QUILL FORMATION Ulman</v>
      </c>
      <c r="D362" s="43" t="str">
        <f aca="false">IF($A362="","",IF($C362="QUILL FORMATION Valmont",10,11))</f>
        <v/>
      </c>
      <c r="E362" s="151" t="str">
        <f aca="false">IF($A362="","",IFERROR(VLOOKUP($A362,Skills!$A:$C,2,FALSE())&amp;" "&amp;VLOOKUP($A362,Skills!$A:$C,3,FALSE()),"Haxil Dellhaven"))</f>
        <v/>
      </c>
      <c r="F362" s="43" t="str">
        <f aca="false">IF($A362="","",IFERROR(IF(VLOOKUP($A362,Skills!$A:$D,4,FALSE())="","",VLOOKUP($A362,Skills!$A:$D,4,FALSE())),"Lisbonne"))</f>
        <v/>
      </c>
      <c r="G362" s="47"/>
      <c r="H362" s="47" t="str">
        <f aca="false">IF(G362="","",WORKDAY(G362-1,D362+IF(J362="",0,J362)))</f>
        <v/>
      </c>
      <c r="I362" s="134"/>
      <c r="J362" s="135"/>
      <c r="K362" s="43" t="str">
        <f aca="true">IF(G362="","",MIN(D362,MAX(0,NETWORKDAYS(G362,TODAY())-IF(J362="",0,J362))))</f>
        <v/>
      </c>
      <c r="L362" s="43" t="str">
        <f aca="true">IF(G362="","",MAX(0,D362-(NETWORKDAYS(G362,TODAY())-IF(J362="",0,J362))))</f>
        <v/>
      </c>
      <c r="M362" s="173"/>
      <c r="N362" s="44" t="str">
        <f aca="true">IFERROR(IF(OR(K362="",K362&lt;=0),"",IF(TODAY()&gt;H362,1,IF(K362-1=0,0,INDEX(OBJECTIVES!$O$2:$Q$12,MATCH(K362-1,OBJECTIVES!$N$2:$N$12,0),IF($C362="QUILL FORMATION Valmont",2,1))))),"")</f>
        <v/>
      </c>
      <c r="O362" s="44" t="str">
        <f aca="false">IF(OR(N362="",M362=""),"",M362-N362)</f>
        <v/>
      </c>
      <c r="P362" s="155" t="str">
        <f aca="false">IF($Q362&lt;&gt;"",$Q362,IF(O362="","",IF(O362&lt;=-0.12,"P1",IF(O362&lt;=-0.06,"P2","P3"))))</f>
        <v/>
      </c>
      <c r="Q362" s="136"/>
      <c r="R362" s="155"/>
      <c r="S362" s="155"/>
      <c r="T362" s="134"/>
      <c r="U362" s="134"/>
      <c r="V362" s="134"/>
      <c r="W362" s="134"/>
      <c r="X362" s="134"/>
      <c r="Y362" s="134"/>
      <c r="Z362" s="134" t="str">
        <f aca="false">IF(R362="Terminé",IF(AND(G362&lt;&gt;"",I362&lt;&gt;""),NETWORKDAYS(G362,I362),D362),"")</f>
        <v/>
      </c>
      <c r="AA362" s="134" t="str">
        <f aca="false">IF($A362="","",IF(COUNTIF(Skills!$A:$A,$A362)=0,"⚠ ID absent du roster",""))</f>
        <v/>
      </c>
      <c r="AB362" s="158"/>
    </row>
    <row r="363" customFormat="false" ht="15" hidden="true" customHeight="false" outlineLevel="0" collapsed="false">
      <c r="A363" s="172"/>
      <c r="B363" s="172"/>
      <c r="C363" s="161" t="str">
        <f aca="false">IF(LEFT(B363,2)="OS","QUILL FORMATION Valmont","QUILL FORMATION Ulman")</f>
        <v>QUILL FORMATION Ulman</v>
      </c>
      <c r="D363" s="43" t="str">
        <f aca="false">IF($A363="","",IF($C363="QUILL FORMATION Valmont",10,11))</f>
        <v/>
      </c>
      <c r="E363" s="151" t="str">
        <f aca="false">IF($A363="","",IFERROR(VLOOKUP($A363,Skills!$A:$C,2,FALSE())&amp;" "&amp;VLOOKUP($A363,Skills!$A:$C,3,FALSE()),"Haxil Dellhaven"))</f>
        <v/>
      </c>
      <c r="F363" s="43" t="str">
        <f aca="false">IF($A363="","",IFERROR(IF(VLOOKUP($A363,Skills!$A:$D,4,FALSE())="","",VLOOKUP($A363,Skills!$A:$D,4,FALSE())),"Lisbonne"))</f>
        <v/>
      </c>
      <c r="G363" s="47"/>
      <c r="H363" s="47" t="str">
        <f aca="false">IF(G363="","",WORKDAY(G363-1,D363+IF(J363="",0,J363)))</f>
        <v/>
      </c>
      <c r="I363" s="134"/>
      <c r="J363" s="135"/>
      <c r="K363" s="43" t="str">
        <f aca="true">IF(G363="","",MIN(D363,MAX(0,NETWORKDAYS(G363,TODAY())-IF(J363="",0,J363))))</f>
        <v/>
      </c>
      <c r="L363" s="43" t="str">
        <f aca="true">IF(G363="","",MAX(0,D363-(NETWORKDAYS(G363,TODAY())-IF(J363="",0,J363))))</f>
        <v/>
      </c>
      <c r="M363" s="173"/>
      <c r="N363" s="44" t="str">
        <f aca="true">IFERROR(IF(OR(K363="",K363&lt;=0),"",IF(TODAY()&gt;H363,1,IF(K363-1=0,0,INDEX(OBJECTIVES!$O$2:$Q$12,MATCH(K363-1,OBJECTIVES!$N$2:$N$12,0),IF($C363="QUILL FORMATION Valmont",2,1))))),"")</f>
        <v/>
      </c>
      <c r="O363" s="44" t="str">
        <f aca="false">IF(OR(N363="",M363=""),"",M363-N363)</f>
        <v/>
      </c>
      <c r="P363" s="155" t="str">
        <f aca="false">IF($Q363&lt;&gt;"",$Q363,IF(O363="","",IF(O363&lt;=-0.12,"P1",IF(O363&lt;=-0.06,"P2","P3"))))</f>
        <v/>
      </c>
      <c r="Q363" s="136"/>
      <c r="R363" s="155"/>
      <c r="S363" s="155"/>
      <c r="T363" s="134"/>
      <c r="U363" s="134"/>
      <c r="V363" s="134"/>
      <c r="W363" s="134"/>
      <c r="X363" s="134"/>
      <c r="Y363" s="134"/>
      <c r="Z363" s="134" t="str">
        <f aca="false">IF(R363="Terminé",IF(AND(G363&lt;&gt;"",I363&lt;&gt;""),NETWORKDAYS(G363,I363),D363),"")</f>
        <v/>
      </c>
      <c r="AA363" s="134" t="str">
        <f aca="false">IF($A363="","",IF(COUNTIF(Skills!$A:$A,$A363)=0,"⚠ ID absent du roster",""))</f>
        <v/>
      </c>
      <c r="AB363" s="158"/>
    </row>
    <row r="364" customFormat="false" ht="15" hidden="true" customHeight="false" outlineLevel="0" collapsed="false">
      <c r="A364" s="172"/>
      <c r="B364" s="172"/>
      <c r="C364" s="161" t="str">
        <f aca="false">IF(LEFT(B364,2)="OS","QUILL FORMATION Valmont","QUILL FORMATION Ulman")</f>
        <v>QUILL FORMATION Ulman</v>
      </c>
      <c r="D364" s="43" t="str">
        <f aca="false">IF($A364="","",IF($C364="QUILL FORMATION Valmont",10,11))</f>
        <v/>
      </c>
      <c r="E364" s="151" t="str">
        <f aca="false">IF($A364="","",IFERROR(VLOOKUP($A364,Skills!$A:$C,2,FALSE())&amp;" "&amp;VLOOKUP($A364,Skills!$A:$C,3,FALSE()),"Haxil Dellhaven"))</f>
        <v/>
      </c>
      <c r="F364" s="43" t="str">
        <f aca="false">IF($A364="","",IFERROR(IF(VLOOKUP($A364,Skills!$A:$D,4,FALSE())="","",VLOOKUP($A364,Skills!$A:$D,4,FALSE())),"Lisbonne"))</f>
        <v/>
      </c>
      <c r="G364" s="47"/>
      <c r="H364" s="47" t="str">
        <f aca="false">IF(G364="","",WORKDAY(G364-1,D364+IF(J364="",0,J364)))</f>
        <v/>
      </c>
      <c r="I364" s="134"/>
      <c r="J364" s="135"/>
      <c r="K364" s="43" t="str">
        <f aca="true">IF(G364="","",MIN(D364,MAX(0,NETWORKDAYS(G364,TODAY())-IF(J364="",0,J364))))</f>
        <v/>
      </c>
      <c r="L364" s="43" t="str">
        <f aca="true">IF(G364="","",MAX(0,D364-(NETWORKDAYS(G364,TODAY())-IF(J364="",0,J364))))</f>
        <v/>
      </c>
      <c r="M364" s="173"/>
      <c r="N364" s="44" t="str">
        <f aca="true">IFERROR(IF(OR(K364="",K364&lt;=0),"",IF(TODAY()&gt;H364,1,IF(K364-1=0,0,INDEX(OBJECTIVES!$O$2:$Q$12,MATCH(K364-1,OBJECTIVES!$N$2:$N$12,0),IF($C364="QUILL FORMATION Valmont",2,1))))),"")</f>
        <v/>
      </c>
      <c r="O364" s="44" t="str">
        <f aca="false">IF(OR(N364="",M364=""),"",M364-N364)</f>
        <v/>
      </c>
      <c r="P364" s="155" t="str">
        <f aca="false">IF($Q364&lt;&gt;"",$Q364,IF(O364="","",IF(O364&lt;=-0.12,"P1",IF(O364&lt;=-0.06,"P2","P3"))))</f>
        <v/>
      </c>
      <c r="Q364" s="136"/>
      <c r="R364" s="155"/>
      <c r="S364" s="155"/>
      <c r="T364" s="134"/>
      <c r="U364" s="134"/>
      <c r="V364" s="134"/>
      <c r="W364" s="134"/>
      <c r="X364" s="134"/>
      <c r="Y364" s="134"/>
      <c r="Z364" s="134" t="str">
        <f aca="false">IF(R364="Terminé",IF(AND(G364&lt;&gt;"",I364&lt;&gt;""),NETWORKDAYS(G364,I364),D364),"")</f>
        <v/>
      </c>
      <c r="AA364" s="134" t="str">
        <f aca="false">IF($A364="","",IF(COUNTIF(Skills!$A:$A,$A364)=0,"⚠ ID absent du roster",""))</f>
        <v/>
      </c>
      <c r="AB364" s="158"/>
    </row>
    <row r="365" customFormat="false" ht="15" hidden="true" customHeight="false" outlineLevel="0" collapsed="false">
      <c r="A365" s="172"/>
      <c r="B365" s="172"/>
      <c r="C365" s="161" t="str">
        <f aca="false">IF(LEFT(B365,2)="OS","QUILL FORMATION Valmont","QUILL FORMATION Ulman")</f>
        <v>QUILL FORMATION Ulman</v>
      </c>
      <c r="D365" s="43" t="str">
        <f aca="false">IF($A365="","",IF($C365="QUILL FORMATION Valmont",10,11))</f>
        <v/>
      </c>
      <c r="E365" s="151" t="str">
        <f aca="false">IF($A365="","",IFERROR(VLOOKUP($A365,Skills!$A:$C,2,FALSE())&amp;" "&amp;VLOOKUP($A365,Skills!$A:$C,3,FALSE()),"Haxil Dellhaven"))</f>
        <v/>
      </c>
      <c r="F365" s="43" t="str">
        <f aca="false">IF($A365="","",IFERROR(IF(VLOOKUP($A365,Skills!$A:$D,4,FALSE())="","",VLOOKUP($A365,Skills!$A:$D,4,FALSE())),"Lisbonne"))</f>
        <v/>
      </c>
      <c r="G365" s="47"/>
      <c r="H365" s="47" t="str">
        <f aca="false">IF(G365="","",WORKDAY(G365-1,D365+IF(J365="",0,J365)))</f>
        <v/>
      </c>
      <c r="I365" s="134"/>
      <c r="J365" s="135"/>
      <c r="K365" s="43" t="str">
        <f aca="true">IF(G365="","",MIN(D365,MAX(0,NETWORKDAYS(G365,TODAY())-IF(J365="",0,J365))))</f>
        <v/>
      </c>
      <c r="L365" s="43" t="str">
        <f aca="true">IF(G365="","",MAX(0,D365-(NETWORKDAYS(G365,TODAY())-IF(J365="",0,J365))))</f>
        <v/>
      </c>
      <c r="M365" s="173"/>
      <c r="N365" s="44" t="str">
        <f aca="true">IFERROR(IF(OR(K365="",K365&lt;=0),"",IF(TODAY()&gt;H365,1,IF(K365-1=0,0,INDEX(OBJECTIVES!$O$2:$Q$12,MATCH(K365-1,OBJECTIVES!$N$2:$N$12,0),IF($C365="QUILL FORMATION Valmont",2,1))))),"")</f>
        <v/>
      </c>
      <c r="O365" s="44" t="str">
        <f aca="false">IF(OR(N365="",M365=""),"",M365-N365)</f>
        <v/>
      </c>
      <c r="P365" s="155" t="str">
        <f aca="false">IF($Q365&lt;&gt;"",$Q365,IF(O365="","",IF(O365&lt;=-0.12,"P1",IF(O365&lt;=-0.06,"P2","P3"))))</f>
        <v/>
      </c>
      <c r="Q365" s="136"/>
      <c r="R365" s="155"/>
      <c r="S365" s="155"/>
      <c r="T365" s="134"/>
      <c r="U365" s="134"/>
      <c r="V365" s="134"/>
      <c r="W365" s="134"/>
      <c r="X365" s="134"/>
      <c r="Y365" s="134"/>
      <c r="Z365" s="134" t="str">
        <f aca="false">IF(R365="Terminé",IF(AND(G365&lt;&gt;"",I365&lt;&gt;""),NETWORKDAYS(G365,I365),D365),"")</f>
        <v/>
      </c>
      <c r="AA365" s="134" t="str">
        <f aca="false">IF($A365="","",IF(COUNTIF(Skills!$A:$A,$A365)=0,"⚠ ID absent du roster",""))</f>
        <v/>
      </c>
      <c r="AB365" s="158"/>
    </row>
    <row r="366" customFormat="false" ht="15" hidden="true" customHeight="false" outlineLevel="0" collapsed="false">
      <c r="A366" s="172"/>
      <c r="B366" s="172"/>
      <c r="C366" s="161" t="str">
        <f aca="false">IF(LEFT(B366,2)="OS","QUILL FORMATION Valmont","QUILL FORMATION Ulman")</f>
        <v>QUILL FORMATION Ulman</v>
      </c>
      <c r="D366" s="43" t="str">
        <f aca="false">IF($A366="","",IF($C366="QUILL FORMATION Valmont",10,11))</f>
        <v/>
      </c>
      <c r="E366" s="151" t="str">
        <f aca="false">IF($A366="","",IFERROR(VLOOKUP($A366,Skills!$A:$C,2,FALSE())&amp;" "&amp;VLOOKUP($A366,Skills!$A:$C,3,FALSE()),"Haxil Dellhaven"))</f>
        <v/>
      </c>
      <c r="F366" s="43" t="str">
        <f aca="false">IF($A366="","",IFERROR(IF(VLOOKUP($A366,Skills!$A:$D,4,FALSE())="","",VLOOKUP($A366,Skills!$A:$D,4,FALSE())),"Lisbonne"))</f>
        <v/>
      </c>
      <c r="G366" s="47"/>
      <c r="H366" s="47" t="str">
        <f aca="false">IF(G366="","",WORKDAY(G366-1,D366+IF(J366="",0,J366)))</f>
        <v/>
      </c>
      <c r="I366" s="134"/>
      <c r="J366" s="135"/>
      <c r="K366" s="43" t="str">
        <f aca="true">IF(G366="","",MIN(D366,MAX(0,NETWORKDAYS(G366,TODAY())-IF(J366="",0,J366))))</f>
        <v/>
      </c>
      <c r="L366" s="43" t="str">
        <f aca="true">IF(G366="","",MAX(0,D366-(NETWORKDAYS(G366,TODAY())-IF(J366="",0,J366))))</f>
        <v/>
      </c>
      <c r="M366" s="173"/>
      <c r="N366" s="44" t="str">
        <f aca="true">IFERROR(IF(OR(K366="",K366&lt;=0),"",IF(TODAY()&gt;H366,1,IF(K366-1=0,0,INDEX(OBJECTIVES!$O$2:$Q$12,MATCH(K366-1,OBJECTIVES!$N$2:$N$12,0),IF($C366="QUILL FORMATION Valmont",2,1))))),"")</f>
        <v/>
      </c>
      <c r="O366" s="44" t="str">
        <f aca="false">IF(OR(N366="",M366=""),"",M366-N366)</f>
        <v/>
      </c>
      <c r="P366" s="155" t="str">
        <f aca="false">IF($Q366&lt;&gt;"",$Q366,IF(O366="","",IF(O366&lt;=-0.12,"P1",IF(O366&lt;=-0.06,"P2","P3"))))</f>
        <v/>
      </c>
      <c r="Q366" s="136"/>
      <c r="R366" s="155"/>
      <c r="S366" s="155"/>
      <c r="T366" s="134"/>
      <c r="U366" s="134"/>
      <c r="V366" s="134"/>
      <c r="W366" s="134"/>
      <c r="X366" s="134"/>
      <c r="Y366" s="134"/>
      <c r="Z366" s="134" t="str">
        <f aca="false">IF(R366="Terminé",IF(AND(G366&lt;&gt;"",I366&lt;&gt;""),NETWORKDAYS(G366,I366),D366),"")</f>
        <v/>
      </c>
      <c r="AA366" s="134" t="str">
        <f aca="false">IF($A366="","",IF(COUNTIF(Skills!$A:$A,$A366)=0,"⚠ ID absent du roster",""))</f>
        <v/>
      </c>
      <c r="AB366" s="158"/>
    </row>
    <row r="367" customFormat="false" ht="15" hidden="true" customHeight="false" outlineLevel="0" collapsed="false">
      <c r="A367" s="172"/>
      <c r="B367" s="172"/>
      <c r="C367" s="161" t="str">
        <f aca="false">IF(LEFT(B367,2)="OS","QUILL FORMATION Valmont","QUILL FORMATION Ulman")</f>
        <v>QUILL FORMATION Ulman</v>
      </c>
      <c r="D367" s="43" t="str">
        <f aca="false">IF($A367="","",IF($C367="QUILL FORMATION Valmont",10,11))</f>
        <v/>
      </c>
      <c r="E367" s="151" t="str">
        <f aca="false">IF($A367="","",IFERROR(VLOOKUP($A367,Skills!$A:$C,2,FALSE())&amp;" "&amp;VLOOKUP($A367,Skills!$A:$C,3,FALSE()),"Haxil Dellhaven"))</f>
        <v/>
      </c>
      <c r="F367" s="43" t="str">
        <f aca="false">IF($A367="","",IFERROR(IF(VLOOKUP($A367,Skills!$A:$D,4,FALSE())="","",VLOOKUP($A367,Skills!$A:$D,4,FALSE())),"Lisbonne"))</f>
        <v/>
      </c>
      <c r="G367" s="47"/>
      <c r="H367" s="47" t="str">
        <f aca="false">IF(G367="","",WORKDAY(G367-1,D367+IF(J367="",0,J367)))</f>
        <v/>
      </c>
      <c r="I367" s="134"/>
      <c r="J367" s="135"/>
      <c r="K367" s="43" t="str">
        <f aca="true">IF(G367="","",MIN(D367,MAX(0,NETWORKDAYS(G367,TODAY())-IF(J367="",0,J367))))</f>
        <v/>
      </c>
      <c r="L367" s="43" t="str">
        <f aca="true">IF(G367="","",MAX(0,D367-(NETWORKDAYS(G367,TODAY())-IF(J367="",0,J367))))</f>
        <v/>
      </c>
      <c r="M367" s="173"/>
      <c r="N367" s="44" t="str">
        <f aca="true">IFERROR(IF(OR(K367="",K367&lt;=0),"",IF(TODAY()&gt;H367,1,IF(K367-1=0,0,INDEX(OBJECTIVES!$O$2:$Q$12,MATCH(K367-1,OBJECTIVES!$N$2:$N$12,0),IF($C367="QUILL FORMATION Valmont",2,1))))),"")</f>
        <v/>
      </c>
      <c r="O367" s="44" t="str">
        <f aca="false">IF(OR(N367="",M367=""),"",M367-N367)</f>
        <v/>
      </c>
      <c r="P367" s="155" t="str">
        <f aca="false">IF($Q367&lt;&gt;"",$Q367,IF(O367="","",IF(O367&lt;=-0.12,"P1",IF(O367&lt;=-0.06,"P2","P3"))))</f>
        <v/>
      </c>
      <c r="Q367" s="136"/>
      <c r="R367" s="155"/>
      <c r="S367" s="155"/>
      <c r="T367" s="134"/>
      <c r="U367" s="134"/>
      <c r="V367" s="134"/>
      <c r="W367" s="134"/>
      <c r="X367" s="134"/>
      <c r="Y367" s="134"/>
      <c r="Z367" s="134" t="str">
        <f aca="false">IF(R367="Terminé",IF(AND(G367&lt;&gt;"",I367&lt;&gt;""),NETWORKDAYS(G367,I367),D367),"")</f>
        <v/>
      </c>
      <c r="AA367" s="134" t="str">
        <f aca="false">IF($A367="","",IF(COUNTIF(Skills!$A:$A,$A367)=0,"⚠ ID absent du roster",""))</f>
        <v/>
      </c>
      <c r="AB367" s="158"/>
    </row>
    <row r="368" customFormat="false" ht="15" hidden="true" customHeight="false" outlineLevel="0" collapsed="false">
      <c r="A368" s="172"/>
      <c r="B368" s="172"/>
      <c r="C368" s="161" t="str">
        <f aca="false">IF(LEFT(B368,2)="OS","QUILL FORMATION Valmont","QUILL FORMATION Ulman")</f>
        <v>QUILL FORMATION Ulman</v>
      </c>
      <c r="D368" s="43" t="str">
        <f aca="false">IF($A368="","",IF($C368="QUILL FORMATION Valmont",10,11))</f>
        <v/>
      </c>
      <c r="E368" s="151" t="str">
        <f aca="false">IF($A368="","",IFERROR(VLOOKUP($A368,Skills!$A:$C,2,FALSE())&amp;" "&amp;VLOOKUP($A368,Skills!$A:$C,3,FALSE()),"Haxil Dellhaven"))</f>
        <v/>
      </c>
      <c r="F368" s="43" t="str">
        <f aca="false">IF($A368="","",IFERROR(IF(VLOOKUP($A368,Skills!$A:$D,4,FALSE())="","",VLOOKUP($A368,Skills!$A:$D,4,FALSE())),"Lisbonne"))</f>
        <v/>
      </c>
      <c r="G368" s="47"/>
      <c r="H368" s="47" t="str">
        <f aca="false">IF(G368="","",WORKDAY(G368-1,D368+IF(J368="",0,J368)))</f>
        <v/>
      </c>
      <c r="I368" s="134"/>
      <c r="J368" s="135"/>
      <c r="K368" s="43" t="str">
        <f aca="true">IF(G368="","",MIN(D368,MAX(0,NETWORKDAYS(G368,TODAY())-IF(J368="",0,J368))))</f>
        <v/>
      </c>
      <c r="L368" s="43" t="str">
        <f aca="true">IF(G368="","",MAX(0,D368-(NETWORKDAYS(G368,TODAY())-IF(J368="",0,J368))))</f>
        <v/>
      </c>
      <c r="M368" s="173"/>
      <c r="N368" s="44" t="str">
        <f aca="true">IFERROR(IF(OR(K368="",K368&lt;=0),"",IF(TODAY()&gt;H368,1,IF(K368-1=0,0,INDEX(OBJECTIVES!$O$2:$Q$12,MATCH(K368-1,OBJECTIVES!$N$2:$N$12,0),IF($C368="QUILL FORMATION Valmont",2,1))))),"")</f>
        <v/>
      </c>
      <c r="O368" s="44" t="str">
        <f aca="false">IF(OR(N368="",M368=""),"",M368-N368)</f>
        <v/>
      </c>
      <c r="P368" s="155" t="str">
        <f aca="false">IF($Q368&lt;&gt;"",$Q368,IF(O368="","",IF(O368&lt;=-0.12,"P1",IF(O368&lt;=-0.06,"P2","P3"))))</f>
        <v/>
      </c>
      <c r="Q368" s="136"/>
      <c r="R368" s="155"/>
      <c r="S368" s="155"/>
      <c r="T368" s="134"/>
      <c r="U368" s="134"/>
      <c r="V368" s="134"/>
      <c r="W368" s="134"/>
      <c r="X368" s="134"/>
      <c r="Y368" s="134"/>
      <c r="Z368" s="134" t="str">
        <f aca="false">IF(R368="Terminé",IF(AND(G368&lt;&gt;"",I368&lt;&gt;""),NETWORKDAYS(G368,I368),D368),"")</f>
        <v/>
      </c>
      <c r="AA368" s="134" t="str">
        <f aca="false">IF($A368="","",IF(COUNTIF(Skills!$A:$A,$A368)=0,"⚠ ID absent du roster",""))</f>
        <v/>
      </c>
      <c r="AB368" s="158"/>
    </row>
    <row r="369" customFormat="false" ht="15" hidden="true" customHeight="false" outlineLevel="0" collapsed="false">
      <c r="A369" s="172"/>
      <c r="B369" s="172"/>
      <c r="C369" s="161" t="str">
        <f aca="false">IF(LEFT(B369,2)="OS","QUILL FORMATION Valmont","QUILL FORMATION Ulman")</f>
        <v>QUILL FORMATION Ulman</v>
      </c>
      <c r="D369" s="43" t="str">
        <f aca="false">IF($A369="","",IF($C369="QUILL FORMATION Valmont",10,11))</f>
        <v/>
      </c>
      <c r="E369" s="151" t="str">
        <f aca="false">IF($A369="","",IFERROR(VLOOKUP($A369,Skills!$A:$C,2,FALSE())&amp;" "&amp;VLOOKUP($A369,Skills!$A:$C,3,FALSE()),"Haxil Dellhaven"))</f>
        <v/>
      </c>
      <c r="F369" s="43" t="str">
        <f aca="false">IF($A369="","",IFERROR(IF(VLOOKUP($A369,Skills!$A:$D,4,FALSE())="","",VLOOKUP($A369,Skills!$A:$D,4,FALSE())),"Lisbonne"))</f>
        <v/>
      </c>
      <c r="G369" s="47"/>
      <c r="H369" s="47" t="str">
        <f aca="false">IF(G369="","",WORKDAY(G369-1,D369+IF(J369="",0,J369)))</f>
        <v/>
      </c>
      <c r="I369" s="134"/>
      <c r="J369" s="135"/>
      <c r="K369" s="43" t="str">
        <f aca="true">IF(G369="","",MIN(D369,MAX(0,NETWORKDAYS(G369,TODAY())-IF(J369="",0,J369))))</f>
        <v/>
      </c>
      <c r="L369" s="43" t="str">
        <f aca="true">IF(G369="","",MAX(0,D369-(NETWORKDAYS(G369,TODAY())-IF(J369="",0,J369))))</f>
        <v/>
      </c>
      <c r="M369" s="173"/>
      <c r="N369" s="44" t="str">
        <f aca="true">IFERROR(IF(OR(K369="",K369&lt;=0),"",IF(TODAY()&gt;H369,1,IF(K369-1=0,0,INDEX(OBJECTIVES!$O$2:$Q$12,MATCH(K369-1,OBJECTIVES!$N$2:$N$12,0),IF($C369="QUILL FORMATION Valmont",2,1))))),"")</f>
        <v/>
      </c>
      <c r="O369" s="44" t="str">
        <f aca="false">IF(OR(N369="",M369=""),"",M369-N369)</f>
        <v/>
      </c>
      <c r="P369" s="155" t="str">
        <f aca="false">IF($Q369&lt;&gt;"",$Q369,IF(O369="","",IF(O369&lt;=-0.12,"P1",IF(O369&lt;=-0.06,"P2","P3"))))</f>
        <v/>
      </c>
      <c r="Q369" s="136"/>
      <c r="R369" s="155"/>
      <c r="S369" s="155"/>
      <c r="T369" s="134"/>
      <c r="U369" s="134"/>
      <c r="V369" s="134"/>
      <c r="W369" s="134"/>
      <c r="X369" s="134"/>
      <c r="Y369" s="134"/>
      <c r="Z369" s="134" t="str">
        <f aca="false">IF(R369="Terminé",IF(AND(G369&lt;&gt;"",I369&lt;&gt;""),NETWORKDAYS(G369,I369),D369),"")</f>
        <v/>
      </c>
      <c r="AA369" s="134" t="str">
        <f aca="false">IF($A369="","",IF(COUNTIF(Skills!$A:$A,$A369)=0,"⚠ ID absent du roster",""))</f>
        <v/>
      </c>
      <c r="AB369" s="158"/>
    </row>
    <row r="370" customFormat="false" ht="15" hidden="true" customHeight="false" outlineLevel="0" collapsed="false">
      <c r="A370" s="172"/>
      <c r="B370" s="172"/>
      <c r="C370" s="161" t="str">
        <f aca="false">IF(LEFT(B370,2)="OS","QUILL FORMATION Valmont","QUILL FORMATION Ulman")</f>
        <v>QUILL FORMATION Ulman</v>
      </c>
      <c r="D370" s="43" t="str">
        <f aca="false">IF($A370="","",IF($C370="QUILL FORMATION Valmont",10,11))</f>
        <v/>
      </c>
      <c r="E370" s="151" t="str">
        <f aca="false">IF($A370="","",IFERROR(VLOOKUP($A370,Skills!$A:$C,2,FALSE())&amp;" "&amp;VLOOKUP($A370,Skills!$A:$C,3,FALSE()),"Haxil Dellhaven"))</f>
        <v/>
      </c>
      <c r="F370" s="43" t="str">
        <f aca="false">IF($A370="","",IFERROR(IF(VLOOKUP($A370,Skills!$A:$D,4,FALSE())="","",VLOOKUP($A370,Skills!$A:$D,4,FALSE())),"Lisbonne"))</f>
        <v/>
      </c>
      <c r="G370" s="47"/>
      <c r="H370" s="47" t="str">
        <f aca="false">IF(G370="","",WORKDAY(G370-1,D370+IF(J370="",0,J370)))</f>
        <v/>
      </c>
      <c r="I370" s="134"/>
      <c r="J370" s="135"/>
      <c r="K370" s="43" t="str">
        <f aca="true">IF(G370="","",MIN(D370,MAX(0,NETWORKDAYS(G370,TODAY())-IF(J370="",0,J370))))</f>
        <v/>
      </c>
      <c r="L370" s="43" t="str">
        <f aca="true">IF(G370="","",MAX(0,D370-(NETWORKDAYS(G370,TODAY())-IF(J370="",0,J370))))</f>
        <v/>
      </c>
      <c r="M370" s="173"/>
      <c r="N370" s="44" t="str">
        <f aca="true">IFERROR(IF(OR(K370="",K370&lt;=0),"",IF(TODAY()&gt;H370,1,IF(K370-1=0,0,INDEX(OBJECTIVES!$O$2:$Q$12,MATCH(K370-1,OBJECTIVES!$N$2:$N$12,0),IF($C370="QUILL FORMATION Valmont",2,1))))),"")</f>
        <v/>
      </c>
      <c r="O370" s="44" t="str">
        <f aca="false">IF(OR(N370="",M370=""),"",M370-N370)</f>
        <v/>
      </c>
      <c r="P370" s="155" t="str">
        <f aca="false">IF($Q370&lt;&gt;"",$Q370,IF(O370="","",IF(O370&lt;=-0.12,"P1",IF(O370&lt;=-0.06,"P2","P3"))))</f>
        <v/>
      </c>
      <c r="Q370" s="136"/>
      <c r="R370" s="155"/>
      <c r="S370" s="155"/>
      <c r="T370" s="134"/>
      <c r="U370" s="134"/>
      <c r="V370" s="134"/>
      <c r="W370" s="134"/>
      <c r="X370" s="134"/>
      <c r="Y370" s="134"/>
      <c r="Z370" s="134" t="str">
        <f aca="false">IF(R370="Terminé",IF(AND(G370&lt;&gt;"",I370&lt;&gt;""),NETWORKDAYS(G370,I370),D370),"")</f>
        <v/>
      </c>
      <c r="AA370" s="134" t="str">
        <f aca="false">IF($A370="","",IF(COUNTIF(Skills!$A:$A,$A370)=0,"⚠ ID absent du roster",""))</f>
        <v/>
      </c>
      <c r="AB370" s="158"/>
    </row>
    <row r="371" customFormat="false" ht="15" hidden="true" customHeight="false" outlineLevel="0" collapsed="false">
      <c r="A371" s="172"/>
      <c r="B371" s="172"/>
      <c r="C371" s="161" t="str">
        <f aca="false">IF(LEFT(B371,2)="OS","QUILL FORMATION Valmont","QUILL FORMATION Ulman")</f>
        <v>QUILL FORMATION Ulman</v>
      </c>
      <c r="D371" s="43" t="str">
        <f aca="false">IF($A371="","",IF($C371="QUILL FORMATION Valmont",10,11))</f>
        <v/>
      </c>
      <c r="E371" s="151" t="str">
        <f aca="false">IF($A371="","",IFERROR(VLOOKUP($A371,Skills!$A:$C,2,FALSE())&amp;" "&amp;VLOOKUP($A371,Skills!$A:$C,3,FALSE()),"Haxil Dellhaven"))</f>
        <v/>
      </c>
      <c r="F371" s="43" t="str">
        <f aca="false">IF($A371="","",IFERROR(IF(VLOOKUP($A371,Skills!$A:$D,4,FALSE())="","",VLOOKUP($A371,Skills!$A:$D,4,FALSE())),"Lisbonne"))</f>
        <v/>
      </c>
      <c r="G371" s="47"/>
      <c r="H371" s="47" t="str">
        <f aca="false">IF(G371="","",WORKDAY(G371-1,D371+IF(J371="",0,J371)))</f>
        <v/>
      </c>
      <c r="I371" s="134"/>
      <c r="J371" s="135"/>
      <c r="K371" s="43" t="str">
        <f aca="true">IF(G371="","",MIN(D371,MAX(0,NETWORKDAYS(G371,TODAY())-IF(J371="",0,J371))))</f>
        <v/>
      </c>
      <c r="L371" s="43" t="str">
        <f aca="true">IF(G371="","",MAX(0,D371-(NETWORKDAYS(G371,TODAY())-IF(J371="",0,J371))))</f>
        <v/>
      </c>
      <c r="M371" s="173"/>
      <c r="N371" s="44" t="str">
        <f aca="true">IFERROR(IF(OR(K371="",K371&lt;=0),"",IF(TODAY()&gt;H371,1,IF(K371-1=0,0,INDEX(OBJECTIVES!$O$2:$Q$12,MATCH(K371-1,OBJECTIVES!$N$2:$N$12,0),IF($C371="QUILL FORMATION Valmont",2,1))))),"")</f>
        <v/>
      </c>
      <c r="O371" s="44" t="str">
        <f aca="false">IF(OR(N371="",M371=""),"",M371-N371)</f>
        <v/>
      </c>
      <c r="P371" s="155" t="str">
        <f aca="false">IF($Q371&lt;&gt;"",$Q371,IF(O371="","",IF(O371&lt;=-0.12,"P1",IF(O371&lt;=-0.06,"P2","P3"))))</f>
        <v/>
      </c>
      <c r="Q371" s="136"/>
      <c r="R371" s="155"/>
      <c r="S371" s="155"/>
      <c r="T371" s="134"/>
      <c r="U371" s="134"/>
      <c r="V371" s="134"/>
      <c r="W371" s="134"/>
      <c r="X371" s="134"/>
      <c r="Y371" s="134"/>
      <c r="Z371" s="134" t="str">
        <f aca="false">IF(R371="Terminé",IF(AND(G371&lt;&gt;"",I371&lt;&gt;""),NETWORKDAYS(G371,I371),D371),"")</f>
        <v/>
      </c>
      <c r="AA371" s="134" t="str">
        <f aca="false">IF($A371="","",IF(COUNTIF(Skills!$A:$A,$A371)=0,"⚠ ID absent du roster",""))</f>
        <v/>
      </c>
      <c r="AB371" s="158"/>
    </row>
    <row r="372" customFormat="false" ht="15" hidden="true" customHeight="false" outlineLevel="0" collapsed="false">
      <c r="A372" s="172"/>
      <c r="B372" s="172"/>
      <c r="C372" s="161" t="str">
        <f aca="false">IF(LEFT(B372,2)="OS","QUILL FORMATION Valmont","QUILL FORMATION Ulman")</f>
        <v>QUILL FORMATION Ulman</v>
      </c>
      <c r="D372" s="43" t="str">
        <f aca="false">IF($A372="","",IF($C372="QUILL FORMATION Valmont",10,11))</f>
        <v/>
      </c>
      <c r="E372" s="151" t="str">
        <f aca="false">IF($A372="","",IFERROR(VLOOKUP($A372,Skills!$A:$C,2,FALSE())&amp;" "&amp;VLOOKUP($A372,Skills!$A:$C,3,FALSE()),"Haxil Dellhaven"))</f>
        <v/>
      </c>
      <c r="F372" s="43" t="str">
        <f aca="false">IF($A372="","",IFERROR(IF(VLOOKUP($A372,Skills!$A:$D,4,FALSE())="","",VLOOKUP($A372,Skills!$A:$D,4,FALSE())),"Lisbonne"))</f>
        <v/>
      </c>
      <c r="G372" s="47"/>
      <c r="H372" s="47" t="str">
        <f aca="false">IF(G372="","",WORKDAY(G372-1,D372+IF(J372="",0,J372)))</f>
        <v/>
      </c>
      <c r="I372" s="134"/>
      <c r="J372" s="135"/>
      <c r="K372" s="43" t="str">
        <f aca="true">IF(G372="","",MIN(D372,MAX(0,NETWORKDAYS(G372,TODAY())-IF(J372="",0,J372))))</f>
        <v/>
      </c>
      <c r="L372" s="43" t="str">
        <f aca="true">IF(G372="","",MAX(0,D372-(NETWORKDAYS(G372,TODAY())-IF(J372="",0,J372))))</f>
        <v/>
      </c>
      <c r="M372" s="173"/>
      <c r="N372" s="44" t="str">
        <f aca="true">IFERROR(IF(OR(K372="",K372&lt;=0),"",IF(TODAY()&gt;H372,1,IF(K372-1=0,0,INDEX(OBJECTIVES!$O$2:$Q$12,MATCH(K372-1,OBJECTIVES!$N$2:$N$12,0),IF($C372="QUILL FORMATION Valmont",2,1))))),"")</f>
        <v/>
      </c>
      <c r="O372" s="44" t="str">
        <f aca="false">IF(OR(N372="",M372=""),"",M372-N372)</f>
        <v/>
      </c>
      <c r="P372" s="155" t="str">
        <f aca="false">IF($Q372&lt;&gt;"",$Q372,IF(O372="","",IF(O372&lt;=-0.12,"P1",IF(O372&lt;=-0.06,"P2","P3"))))</f>
        <v/>
      </c>
      <c r="Q372" s="136"/>
      <c r="R372" s="155"/>
      <c r="S372" s="155"/>
      <c r="T372" s="134"/>
      <c r="U372" s="134"/>
      <c r="V372" s="134"/>
      <c r="W372" s="134"/>
      <c r="X372" s="134"/>
      <c r="Y372" s="134"/>
      <c r="Z372" s="134" t="str">
        <f aca="false">IF(R372="Terminé",IF(AND(G372&lt;&gt;"",I372&lt;&gt;""),NETWORKDAYS(G372,I372),D372),"")</f>
        <v/>
      </c>
      <c r="AA372" s="134" t="str">
        <f aca="false">IF($A372="","",IF(COUNTIF(Skills!$A:$A,$A372)=0,"⚠ ID absent du roster",""))</f>
        <v/>
      </c>
      <c r="AB372" s="158"/>
    </row>
    <row r="373" customFormat="false" ht="15" hidden="true" customHeight="false" outlineLevel="0" collapsed="false">
      <c r="A373" s="172"/>
      <c r="B373" s="172"/>
      <c r="C373" s="161" t="str">
        <f aca="false">IF(LEFT(B373,2)="OS","QUILL FORMATION Valmont","QUILL FORMATION Ulman")</f>
        <v>QUILL FORMATION Ulman</v>
      </c>
      <c r="D373" s="43" t="str">
        <f aca="false">IF($A373="","",IF($C373="QUILL FORMATION Valmont",10,11))</f>
        <v/>
      </c>
      <c r="E373" s="151" t="str">
        <f aca="false">IF($A373="","",IFERROR(VLOOKUP($A373,Skills!$A:$C,2,FALSE())&amp;" "&amp;VLOOKUP($A373,Skills!$A:$C,3,FALSE()),"Haxil Dellhaven"))</f>
        <v/>
      </c>
      <c r="F373" s="43" t="str">
        <f aca="false">IF($A373="","",IFERROR(IF(VLOOKUP($A373,Skills!$A:$D,4,FALSE())="","",VLOOKUP($A373,Skills!$A:$D,4,FALSE())),"Lisbonne"))</f>
        <v/>
      </c>
      <c r="G373" s="47"/>
      <c r="H373" s="47" t="str">
        <f aca="false">IF(G373="","",WORKDAY(G373-1,D373+IF(J373="",0,J373)))</f>
        <v/>
      </c>
      <c r="I373" s="134"/>
      <c r="J373" s="135"/>
      <c r="K373" s="43" t="str">
        <f aca="true">IF(G373="","",MIN(D373,MAX(0,NETWORKDAYS(G373,TODAY())-IF(J373="",0,J373))))</f>
        <v/>
      </c>
      <c r="L373" s="43" t="str">
        <f aca="true">IF(G373="","",MAX(0,D373-(NETWORKDAYS(G373,TODAY())-IF(J373="",0,J373))))</f>
        <v/>
      </c>
      <c r="M373" s="173"/>
      <c r="N373" s="44" t="str">
        <f aca="true">IFERROR(IF(OR(K373="",K373&lt;=0),"",IF(TODAY()&gt;H373,1,IF(K373-1=0,0,INDEX(OBJECTIVES!$O$2:$Q$12,MATCH(K373-1,OBJECTIVES!$N$2:$N$12,0),IF($C373="QUILL FORMATION Valmont",2,1))))),"")</f>
        <v/>
      </c>
      <c r="O373" s="44" t="str">
        <f aca="false">IF(OR(N373="",M373=""),"",M373-N373)</f>
        <v/>
      </c>
      <c r="P373" s="155" t="str">
        <f aca="false">IF($Q373&lt;&gt;"",$Q373,IF(O373="","",IF(O373&lt;=-0.12,"P1",IF(O373&lt;=-0.06,"P2","P3"))))</f>
        <v/>
      </c>
      <c r="Q373" s="136"/>
      <c r="R373" s="155"/>
      <c r="S373" s="155"/>
      <c r="T373" s="134"/>
      <c r="U373" s="134"/>
      <c r="V373" s="134"/>
      <c r="W373" s="134"/>
      <c r="X373" s="134"/>
      <c r="Y373" s="134"/>
      <c r="Z373" s="134" t="str">
        <f aca="false">IF(R373="Terminé",IF(AND(G373&lt;&gt;"",I373&lt;&gt;""),NETWORKDAYS(G373,I373),D373),"")</f>
        <v/>
      </c>
      <c r="AA373" s="134" t="str">
        <f aca="false">IF($A373="","",IF(COUNTIF(Skills!$A:$A,$A373)=0,"⚠ ID absent du roster",""))</f>
        <v/>
      </c>
      <c r="AB373" s="158"/>
    </row>
    <row r="374" customFormat="false" ht="15" hidden="true" customHeight="false" outlineLevel="0" collapsed="false">
      <c r="A374" s="172"/>
      <c r="B374" s="172"/>
      <c r="C374" s="161" t="str">
        <f aca="false">IF(LEFT(B374,2)="OS","QUILL FORMATION Valmont","QUILL FORMATION Ulman")</f>
        <v>QUILL FORMATION Ulman</v>
      </c>
      <c r="D374" s="43" t="str">
        <f aca="false">IF($A374="","",IF($C374="QUILL FORMATION Valmont",10,11))</f>
        <v/>
      </c>
      <c r="E374" s="151" t="str">
        <f aca="false">IF($A374="","",IFERROR(VLOOKUP($A374,Skills!$A:$C,2,FALSE())&amp;" "&amp;VLOOKUP($A374,Skills!$A:$C,3,FALSE()),"Haxil Dellhaven"))</f>
        <v/>
      </c>
      <c r="F374" s="43" t="str">
        <f aca="false">IF($A374="","",IFERROR(IF(VLOOKUP($A374,Skills!$A:$D,4,FALSE())="","",VLOOKUP($A374,Skills!$A:$D,4,FALSE())),"Lisbonne"))</f>
        <v/>
      </c>
      <c r="G374" s="47"/>
      <c r="H374" s="47" t="str">
        <f aca="false">IF(G374="","",WORKDAY(G374-1,D374+IF(J374="",0,J374)))</f>
        <v/>
      </c>
      <c r="I374" s="134"/>
      <c r="J374" s="135"/>
      <c r="K374" s="43" t="str">
        <f aca="true">IF(G374="","",MIN(D374,MAX(0,NETWORKDAYS(G374,TODAY())-IF(J374="",0,J374))))</f>
        <v/>
      </c>
      <c r="L374" s="43" t="str">
        <f aca="true">IF(G374="","",MAX(0,D374-(NETWORKDAYS(G374,TODAY())-IF(J374="",0,J374))))</f>
        <v/>
      </c>
      <c r="M374" s="173"/>
      <c r="N374" s="44" t="str">
        <f aca="true">IFERROR(IF(OR(K374="",K374&lt;=0),"",IF(TODAY()&gt;H374,1,IF(K374-1=0,0,INDEX(OBJECTIVES!$O$2:$Q$12,MATCH(K374-1,OBJECTIVES!$N$2:$N$12,0),IF($C374="QUILL FORMATION Valmont",2,1))))),"")</f>
        <v/>
      </c>
      <c r="O374" s="44" t="str">
        <f aca="false">IF(OR(N374="",M374=""),"",M374-N374)</f>
        <v/>
      </c>
      <c r="P374" s="155" t="str">
        <f aca="false">IF($Q374&lt;&gt;"",$Q374,IF(O374="","",IF(O374&lt;=-0.12,"P1",IF(O374&lt;=-0.06,"P2","P3"))))</f>
        <v/>
      </c>
      <c r="Q374" s="136"/>
      <c r="R374" s="155"/>
      <c r="S374" s="155"/>
      <c r="T374" s="134"/>
      <c r="U374" s="134"/>
      <c r="V374" s="134"/>
      <c r="W374" s="134"/>
      <c r="X374" s="134"/>
      <c r="Y374" s="134"/>
      <c r="Z374" s="134" t="str">
        <f aca="false">IF(R374="Terminé",IF(AND(G374&lt;&gt;"",I374&lt;&gt;""),NETWORKDAYS(G374,I374),D374),"")</f>
        <v/>
      </c>
      <c r="AA374" s="134" t="str">
        <f aca="false">IF($A374="","",IF(COUNTIF(Skills!$A:$A,$A374)=0,"⚠ ID absent du roster",""))</f>
        <v/>
      </c>
      <c r="AB374" s="158"/>
    </row>
    <row r="375" customFormat="false" ht="15" hidden="true" customHeight="false" outlineLevel="0" collapsed="false">
      <c r="A375" s="172"/>
      <c r="B375" s="172"/>
      <c r="C375" s="161" t="str">
        <f aca="false">IF(LEFT(B375,2)="OS","QUILL FORMATION Valmont","QUILL FORMATION Ulman")</f>
        <v>QUILL FORMATION Ulman</v>
      </c>
      <c r="D375" s="43" t="str">
        <f aca="false">IF($A375="","",IF($C375="QUILL FORMATION Valmont",10,11))</f>
        <v/>
      </c>
      <c r="E375" s="151" t="str">
        <f aca="false">IF($A375="","",IFERROR(VLOOKUP($A375,Skills!$A:$C,2,FALSE())&amp;" "&amp;VLOOKUP($A375,Skills!$A:$C,3,FALSE()),"Haxil Dellhaven"))</f>
        <v/>
      </c>
      <c r="F375" s="43" t="str">
        <f aca="false">IF($A375="","",IFERROR(IF(VLOOKUP($A375,Skills!$A:$D,4,FALSE())="","",VLOOKUP($A375,Skills!$A:$D,4,FALSE())),"Lisbonne"))</f>
        <v/>
      </c>
      <c r="G375" s="47"/>
      <c r="H375" s="47" t="str">
        <f aca="false">IF(G375="","",WORKDAY(G375-1,D375+IF(J375="",0,J375)))</f>
        <v/>
      </c>
      <c r="I375" s="134"/>
      <c r="J375" s="135"/>
      <c r="K375" s="43" t="str">
        <f aca="true">IF(G375="","",MIN(D375,MAX(0,NETWORKDAYS(G375,TODAY())-IF(J375="",0,J375))))</f>
        <v/>
      </c>
      <c r="L375" s="43" t="str">
        <f aca="true">IF(G375="","",MAX(0,D375-(NETWORKDAYS(G375,TODAY())-IF(J375="",0,J375))))</f>
        <v/>
      </c>
      <c r="M375" s="173"/>
      <c r="N375" s="44" t="str">
        <f aca="true">IFERROR(IF(OR(K375="",K375&lt;=0),"",IF(TODAY()&gt;H375,1,IF(K375-1=0,0,INDEX(OBJECTIVES!$O$2:$Q$12,MATCH(K375-1,OBJECTIVES!$N$2:$N$12,0),IF($C375="QUILL FORMATION Valmont",2,1))))),"")</f>
        <v/>
      </c>
      <c r="O375" s="44" t="str">
        <f aca="false">IF(OR(N375="",M375=""),"",M375-N375)</f>
        <v/>
      </c>
      <c r="P375" s="155" t="str">
        <f aca="false">IF($Q375&lt;&gt;"",$Q375,IF(O375="","",IF(O375&lt;=-0.12,"P1",IF(O375&lt;=-0.06,"P2","P3"))))</f>
        <v/>
      </c>
      <c r="Q375" s="136"/>
      <c r="R375" s="155"/>
      <c r="S375" s="155"/>
      <c r="T375" s="134"/>
      <c r="U375" s="134"/>
      <c r="V375" s="134"/>
      <c r="W375" s="134"/>
      <c r="X375" s="134"/>
      <c r="Y375" s="134"/>
      <c r="Z375" s="134" t="str">
        <f aca="false">IF(R375="Terminé",IF(AND(G375&lt;&gt;"",I375&lt;&gt;""),NETWORKDAYS(G375,I375),D375),"")</f>
        <v/>
      </c>
      <c r="AA375" s="134" t="str">
        <f aca="false">IF($A375="","",IF(COUNTIF(Skills!$A:$A,$A375)=0,"⚠ ID absent du roster",""))</f>
        <v/>
      </c>
      <c r="AB375" s="158"/>
    </row>
    <row r="376" customFormat="false" ht="15" hidden="true" customHeight="false" outlineLevel="0" collapsed="false">
      <c r="A376" s="172"/>
      <c r="B376" s="172"/>
      <c r="C376" s="161" t="str">
        <f aca="false">IF(LEFT(B376,2)="OS","QUILL FORMATION Valmont","QUILL FORMATION Ulman")</f>
        <v>QUILL FORMATION Ulman</v>
      </c>
      <c r="D376" s="43" t="str">
        <f aca="false">IF($A376="","",IF($C376="QUILL FORMATION Valmont",10,11))</f>
        <v/>
      </c>
      <c r="E376" s="151" t="str">
        <f aca="false">IF($A376="","",IFERROR(VLOOKUP($A376,Skills!$A:$C,2,FALSE())&amp;" "&amp;VLOOKUP($A376,Skills!$A:$C,3,FALSE()),"Haxil Dellhaven"))</f>
        <v/>
      </c>
      <c r="F376" s="43" t="str">
        <f aca="false">IF($A376="","",IFERROR(IF(VLOOKUP($A376,Skills!$A:$D,4,FALSE())="","",VLOOKUP($A376,Skills!$A:$D,4,FALSE())),"Lisbonne"))</f>
        <v/>
      </c>
      <c r="G376" s="47"/>
      <c r="H376" s="47" t="str">
        <f aca="false">IF(G376="","",WORKDAY(G376-1,D376+IF(J376="",0,J376)))</f>
        <v/>
      </c>
      <c r="I376" s="134"/>
      <c r="J376" s="135"/>
      <c r="K376" s="43" t="str">
        <f aca="true">IF(G376="","",MIN(D376,MAX(0,NETWORKDAYS(G376,TODAY())-IF(J376="",0,J376))))</f>
        <v/>
      </c>
      <c r="L376" s="43" t="str">
        <f aca="true">IF(G376="","",MAX(0,D376-(NETWORKDAYS(G376,TODAY())-IF(J376="",0,J376))))</f>
        <v/>
      </c>
      <c r="M376" s="173"/>
      <c r="N376" s="44" t="str">
        <f aca="true">IFERROR(IF(OR(K376="",K376&lt;=0),"",IF(TODAY()&gt;H376,1,IF(K376-1=0,0,INDEX(OBJECTIVES!$O$2:$Q$12,MATCH(K376-1,OBJECTIVES!$N$2:$N$12,0),IF($C376="QUILL FORMATION Valmont",2,1))))),"")</f>
        <v/>
      </c>
      <c r="O376" s="44" t="str">
        <f aca="false">IF(OR(N376="",M376=""),"",M376-N376)</f>
        <v/>
      </c>
      <c r="P376" s="155" t="str">
        <f aca="false">IF($Q376&lt;&gt;"",$Q376,IF(O376="","",IF(O376&lt;=-0.12,"P1",IF(O376&lt;=-0.06,"P2","P3"))))</f>
        <v/>
      </c>
      <c r="Q376" s="136"/>
      <c r="R376" s="155"/>
      <c r="S376" s="155"/>
      <c r="T376" s="134"/>
      <c r="U376" s="134"/>
      <c r="V376" s="134"/>
      <c r="W376" s="134"/>
      <c r="X376" s="134"/>
      <c r="Y376" s="134"/>
      <c r="Z376" s="134" t="str">
        <f aca="false">IF(R376="Terminé",IF(AND(G376&lt;&gt;"",I376&lt;&gt;""),NETWORKDAYS(G376,I376),D376),"")</f>
        <v/>
      </c>
      <c r="AA376" s="134" t="str">
        <f aca="false">IF($A376="","",IF(COUNTIF(Skills!$A:$A,$A376)=0,"⚠ ID absent du roster",""))</f>
        <v/>
      </c>
      <c r="AB376" s="158"/>
    </row>
    <row r="377" customFormat="false" ht="15" hidden="true" customHeight="false" outlineLevel="0" collapsed="false">
      <c r="A377" s="172"/>
      <c r="B377" s="172"/>
      <c r="C377" s="161" t="str">
        <f aca="false">IF(LEFT(B377,2)="OS","QUILL FORMATION Valmont","QUILL FORMATION Ulman")</f>
        <v>QUILL FORMATION Ulman</v>
      </c>
      <c r="D377" s="43" t="str">
        <f aca="false">IF($A377="","",IF($C377="QUILL FORMATION Valmont",10,11))</f>
        <v/>
      </c>
      <c r="E377" s="151" t="str">
        <f aca="false">IF($A377="","",IFERROR(VLOOKUP($A377,Skills!$A:$C,2,FALSE())&amp;" "&amp;VLOOKUP($A377,Skills!$A:$C,3,FALSE()),"Haxil Dellhaven"))</f>
        <v/>
      </c>
      <c r="F377" s="43" t="str">
        <f aca="false">IF($A377="","",IFERROR(IF(VLOOKUP($A377,Skills!$A:$D,4,FALSE())="","",VLOOKUP($A377,Skills!$A:$D,4,FALSE())),"Lisbonne"))</f>
        <v/>
      </c>
      <c r="G377" s="47"/>
      <c r="H377" s="47" t="str">
        <f aca="false">IF(G377="","",WORKDAY(G377-1,D377+IF(J377="",0,J377)))</f>
        <v/>
      </c>
      <c r="I377" s="134"/>
      <c r="J377" s="135"/>
      <c r="K377" s="43" t="str">
        <f aca="true">IF(G377="","",MIN(D377,MAX(0,NETWORKDAYS(G377,TODAY())-IF(J377="",0,J377))))</f>
        <v/>
      </c>
      <c r="L377" s="43" t="str">
        <f aca="true">IF(G377="","",MAX(0,D377-(NETWORKDAYS(G377,TODAY())-IF(J377="",0,J377))))</f>
        <v/>
      </c>
      <c r="M377" s="173"/>
      <c r="N377" s="44" t="str">
        <f aca="true">IFERROR(IF(OR(K377="",K377&lt;=0),"",IF(TODAY()&gt;H377,1,IF(K377-1=0,0,INDEX(OBJECTIVES!$O$2:$Q$12,MATCH(K377-1,OBJECTIVES!$N$2:$N$12,0),IF($C377="QUILL FORMATION Valmont",2,1))))),"")</f>
        <v/>
      </c>
      <c r="O377" s="44" t="str">
        <f aca="false">IF(OR(N377="",M377=""),"",M377-N377)</f>
        <v/>
      </c>
      <c r="P377" s="155" t="str">
        <f aca="false">IF($Q377&lt;&gt;"",$Q377,IF(O377="","",IF(O377&lt;=-0.12,"P1",IF(O377&lt;=-0.06,"P2","P3"))))</f>
        <v/>
      </c>
      <c r="Q377" s="136"/>
      <c r="R377" s="155"/>
      <c r="S377" s="155"/>
      <c r="T377" s="134"/>
      <c r="U377" s="134"/>
      <c r="V377" s="134"/>
      <c r="W377" s="134"/>
      <c r="X377" s="134"/>
      <c r="Y377" s="134"/>
      <c r="Z377" s="134" t="str">
        <f aca="false">IF(R377="Terminé",IF(AND(G377&lt;&gt;"",I377&lt;&gt;""),NETWORKDAYS(G377,I377),D377),"")</f>
        <v/>
      </c>
      <c r="AA377" s="134" t="str">
        <f aca="false">IF($A377="","",IF(COUNTIF(Skills!$A:$A,$A377)=0,"⚠ ID absent du roster",""))</f>
        <v/>
      </c>
      <c r="AB377" s="158"/>
    </row>
    <row r="378" customFormat="false" ht="15" hidden="true" customHeight="false" outlineLevel="0" collapsed="false">
      <c r="A378" s="172"/>
      <c r="B378" s="172"/>
      <c r="C378" s="161" t="str">
        <f aca="false">IF(LEFT(B378,2)="OS","QUILL FORMATION Valmont","QUILL FORMATION Ulman")</f>
        <v>QUILL FORMATION Ulman</v>
      </c>
      <c r="D378" s="43" t="str">
        <f aca="false">IF($A378="","",IF($C378="QUILL FORMATION Valmont",10,11))</f>
        <v/>
      </c>
      <c r="E378" s="151" t="str">
        <f aca="false">IF($A378="","",IFERROR(VLOOKUP($A378,Skills!$A:$C,2,FALSE())&amp;" "&amp;VLOOKUP($A378,Skills!$A:$C,3,FALSE()),"Haxil Dellhaven"))</f>
        <v/>
      </c>
      <c r="F378" s="43" t="str">
        <f aca="false">IF($A378="","",IFERROR(IF(VLOOKUP($A378,Skills!$A:$D,4,FALSE())="","",VLOOKUP($A378,Skills!$A:$D,4,FALSE())),"Lisbonne"))</f>
        <v/>
      </c>
      <c r="G378" s="47"/>
      <c r="H378" s="47" t="str">
        <f aca="false">IF(G378="","",WORKDAY(G378-1,D378+IF(J378="",0,J378)))</f>
        <v/>
      </c>
      <c r="I378" s="134"/>
      <c r="J378" s="135"/>
      <c r="K378" s="43" t="str">
        <f aca="true">IF(G378="","",MIN(D378,MAX(0,NETWORKDAYS(G378,TODAY())-IF(J378="",0,J378))))</f>
        <v/>
      </c>
      <c r="L378" s="43" t="str">
        <f aca="true">IF(G378="","",MAX(0,D378-(NETWORKDAYS(G378,TODAY())-IF(J378="",0,J378))))</f>
        <v/>
      </c>
      <c r="M378" s="173"/>
      <c r="N378" s="44" t="str">
        <f aca="true">IFERROR(IF(OR(K378="",K378&lt;=0),"",IF(TODAY()&gt;H378,1,IF(K378-1=0,0,INDEX(OBJECTIVES!$O$2:$Q$12,MATCH(K378-1,OBJECTIVES!$N$2:$N$12,0),IF($C378="QUILL FORMATION Valmont",2,1))))),"")</f>
        <v/>
      </c>
      <c r="O378" s="44" t="str">
        <f aca="false">IF(OR(N378="",M378=""),"",M378-N378)</f>
        <v/>
      </c>
      <c r="P378" s="155" t="str">
        <f aca="false">IF($Q378&lt;&gt;"",$Q378,IF(O378="","",IF(O378&lt;=-0.12,"P1",IF(O378&lt;=-0.06,"P2","P3"))))</f>
        <v/>
      </c>
      <c r="Q378" s="136"/>
      <c r="R378" s="155"/>
      <c r="S378" s="155"/>
      <c r="T378" s="134"/>
      <c r="U378" s="134"/>
      <c r="V378" s="134"/>
      <c r="W378" s="134"/>
      <c r="X378" s="134"/>
      <c r="Y378" s="134"/>
      <c r="Z378" s="134" t="str">
        <f aca="false">IF(R378="Terminé",IF(AND(G378&lt;&gt;"",I378&lt;&gt;""),NETWORKDAYS(G378,I378),D378),"")</f>
        <v/>
      </c>
      <c r="AA378" s="134" t="str">
        <f aca="false">IF($A378="","",IF(COUNTIF(Skills!$A:$A,$A378)=0,"⚠ ID absent du roster",""))</f>
        <v/>
      </c>
      <c r="AB378" s="158"/>
    </row>
    <row r="379" customFormat="false" ht="15" hidden="true" customHeight="false" outlineLevel="0" collapsed="false">
      <c r="A379" s="172"/>
      <c r="B379" s="172"/>
      <c r="C379" s="161" t="str">
        <f aca="false">IF(LEFT(B379,2)="OS","QUILL FORMATION Valmont","QUILL FORMATION Ulman")</f>
        <v>QUILL FORMATION Ulman</v>
      </c>
      <c r="D379" s="43" t="str">
        <f aca="false">IF($A379="","",IF($C379="QUILL FORMATION Valmont",10,11))</f>
        <v/>
      </c>
      <c r="E379" s="151" t="str">
        <f aca="false">IF($A379="","",IFERROR(VLOOKUP($A379,Skills!$A:$C,2,FALSE())&amp;" "&amp;VLOOKUP($A379,Skills!$A:$C,3,FALSE()),"Haxil Dellhaven"))</f>
        <v/>
      </c>
      <c r="F379" s="43" t="str">
        <f aca="false">IF($A379="","",IFERROR(IF(VLOOKUP($A379,Skills!$A:$D,4,FALSE())="","",VLOOKUP($A379,Skills!$A:$D,4,FALSE())),"Lisbonne"))</f>
        <v/>
      </c>
      <c r="G379" s="47"/>
      <c r="H379" s="47" t="str">
        <f aca="false">IF(G379="","",WORKDAY(G379-1,D379+IF(J379="",0,J379)))</f>
        <v/>
      </c>
      <c r="I379" s="134"/>
      <c r="J379" s="135"/>
      <c r="K379" s="43" t="str">
        <f aca="true">IF(G379="","",MIN(D379,MAX(0,NETWORKDAYS(G379,TODAY())-IF(J379="",0,J379))))</f>
        <v/>
      </c>
      <c r="L379" s="43" t="str">
        <f aca="true">IF(G379="","",MAX(0,D379-(NETWORKDAYS(G379,TODAY())-IF(J379="",0,J379))))</f>
        <v/>
      </c>
      <c r="M379" s="173"/>
      <c r="N379" s="44" t="str">
        <f aca="true">IFERROR(IF(OR(K379="",K379&lt;=0),"",IF(TODAY()&gt;H379,1,IF(K379-1=0,0,INDEX(OBJECTIVES!$O$2:$Q$12,MATCH(K379-1,OBJECTIVES!$N$2:$N$12,0),IF($C379="QUILL FORMATION Valmont",2,1))))),"")</f>
        <v/>
      </c>
      <c r="O379" s="44" t="str">
        <f aca="false">IF(OR(N379="",M379=""),"",M379-N379)</f>
        <v/>
      </c>
      <c r="P379" s="155" t="str">
        <f aca="false">IF($Q379&lt;&gt;"",$Q379,IF(O379="","",IF(O379&lt;=-0.12,"P1",IF(O379&lt;=-0.06,"P2","P3"))))</f>
        <v/>
      </c>
      <c r="Q379" s="136"/>
      <c r="R379" s="155"/>
      <c r="S379" s="155"/>
      <c r="T379" s="134"/>
      <c r="U379" s="134"/>
      <c r="V379" s="134"/>
      <c r="W379" s="134"/>
      <c r="X379" s="134"/>
      <c r="Y379" s="134"/>
      <c r="Z379" s="134" t="str">
        <f aca="false">IF(R379="Terminé",IF(AND(G379&lt;&gt;"",I379&lt;&gt;""),NETWORKDAYS(G379,I379),D379),"")</f>
        <v/>
      </c>
      <c r="AA379" s="134" t="str">
        <f aca="false">IF($A379="","",IF(COUNTIF(Skills!$A:$A,$A379)=0,"⚠ ID absent du roster",""))</f>
        <v/>
      </c>
      <c r="AB379" s="158"/>
    </row>
    <row r="380" customFormat="false" ht="15" hidden="true" customHeight="false" outlineLevel="0" collapsed="false">
      <c r="A380" s="172"/>
      <c r="B380" s="172"/>
      <c r="C380" s="161" t="str">
        <f aca="false">IF(LEFT(B380,2)="OS","QUILL FORMATION Valmont","QUILL FORMATION Ulman")</f>
        <v>QUILL FORMATION Ulman</v>
      </c>
      <c r="D380" s="43" t="str">
        <f aca="false">IF($A380="","",IF($C380="QUILL FORMATION Valmont",10,11))</f>
        <v/>
      </c>
      <c r="E380" s="151" t="str">
        <f aca="false">IF($A380="","",IFERROR(VLOOKUP($A380,Skills!$A:$C,2,FALSE())&amp;" "&amp;VLOOKUP($A380,Skills!$A:$C,3,FALSE()),"Haxil Dellhaven"))</f>
        <v/>
      </c>
      <c r="F380" s="43" t="str">
        <f aca="false">IF($A380="","",IFERROR(IF(VLOOKUP($A380,Skills!$A:$D,4,FALSE())="","",VLOOKUP($A380,Skills!$A:$D,4,FALSE())),"Lisbonne"))</f>
        <v/>
      </c>
      <c r="G380" s="47"/>
      <c r="H380" s="47" t="str">
        <f aca="false">IF(G380="","",WORKDAY(G380-1,D380+IF(J380="",0,J380)))</f>
        <v/>
      </c>
      <c r="I380" s="134"/>
      <c r="J380" s="135"/>
      <c r="K380" s="43" t="str">
        <f aca="true">IF(G380="","",MIN(D380,MAX(0,NETWORKDAYS(G380,TODAY())-IF(J380="",0,J380))))</f>
        <v/>
      </c>
      <c r="L380" s="43" t="str">
        <f aca="true">IF(G380="","",MAX(0,D380-(NETWORKDAYS(G380,TODAY())-IF(J380="",0,J380))))</f>
        <v/>
      </c>
      <c r="M380" s="173"/>
      <c r="N380" s="44" t="str">
        <f aca="true">IFERROR(IF(OR(K380="",K380&lt;=0),"",IF(TODAY()&gt;H380,1,IF(K380-1=0,0,INDEX(OBJECTIVES!$O$2:$Q$12,MATCH(K380-1,OBJECTIVES!$N$2:$N$12,0),IF($C380="QUILL FORMATION Valmont",2,1))))),"")</f>
        <v/>
      </c>
      <c r="O380" s="44" t="str">
        <f aca="false">IF(OR(N380="",M380=""),"",M380-N380)</f>
        <v/>
      </c>
      <c r="P380" s="155" t="str">
        <f aca="false">IF($Q380&lt;&gt;"",$Q380,IF(O380="","",IF(O380&lt;=-0.12,"P1",IF(O380&lt;=-0.06,"P2","P3"))))</f>
        <v/>
      </c>
      <c r="Q380" s="136"/>
      <c r="R380" s="155"/>
      <c r="S380" s="155"/>
      <c r="T380" s="134"/>
      <c r="U380" s="134"/>
      <c r="V380" s="134"/>
      <c r="W380" s="134"/>
      <c r="X380" s="134"/>
      <c r="Y380" s="134"/>
      <c r="Z380" s="134" t="str">
        <f aca="false">IF(R380="Terminé",IF(AND(G380&lt;&gt;"",I380&lt;&gt;""),NETWORKDAYS(G380,I380),D380),"")</f>
        <v/>
      </c>
      <c r="AA380" s="134" t="str">
        <f aca="false">IF($A380="","",IF(COUNTIF(Skills!$A:$A,$A380)=0,"⚠ ID absent du roster",""))</f>
        <v/>
      </c>
      <c r="AB380" s="158"/>
    </row>
    <row r="381" customFormat="false" ht="15" hidden="true" customHeight="false" outlineLevel="0" collapsed="false">
      <c r="A381" s="172"/>
      <c r="B381" s="172"/>
      <c r="C381" s="161" t="str">
        <f aca="false">IF(LEFT(B381,2)="OS","QUILL FORMATION Valmont","QUILL FORMATION Ulman")</f>
        <v>QUILL FORMATION Ulman</v>
      </c>
      <c r="D381" s="43" t="str">
        <f aca="false">IF($A381="","",IF($C381="QUILL FORMATION Valmont",10,11))</f>
        <v/>
      </c>
      <c r="E381" s="151" t="str">
        <f aca="false">IF($A381="","",IFERROR(VLOOKUP($A381,Skills!$A:$C,2,FALSE())&amp;" "&amp;VLOOKUP($A381,Skills!$A:$C,3,FALSE()),"Haxil Dellhaven"))</f>
        <v/>
      </c>
      <c r="F381" s="43" t="str">
        <f aca="false">IF($A381="","",IFERROR(IF(VLOOKUP($A381,Skills!$A:$D,4,FALSE())="","",VLOOKUP($A381,Skills!$A:$D,4,FALSE())),"Lisbonne"))</f>
        <v/>
      </c>
      <c r="G381" s="47"/>
      <c r="H381" s="47" t="str">
        <f aca="false">IF(G381="","",WORKDAY(G381-1,D381+IF(J381="",0,J381)))</f>
        <v/>
      </c>
      <c r="I381" s="134"/>
      <c r="J381" s="135"/>
      <c r="K381" s="43" t="str">
        <f aca="true">IF(G381="","",MIN(D381,MAX(0,NETWORKDAYS(G381,TODAY())-IF(J381="",0,J381))))</f>
        <v/>
      </c>
      <c r="L381" s="43" t="str">
        <f aca="true">IF(G381="","",MAX(0,D381-(NETWORKDAYS(G381,TODAY())-IF(J381="",0,J381))))</f>
        <v/>
      </c>
      <c r="M381" s="173"/>
      <c r="N381" s="44" t="str">
        <f aca="true">IFERROR(IF(OR(K381="",K381&lt;=0),"",IF(TODAY()&gt;H381,1,IF(K381-1=0,0,INDEX(OBJECTIVES!$O$2:$Q$12,MATCH(K381-1,OBJECTIVES!$N$2:$N$12,0),IF($C381="QUILL FORMATION Valmont",2,1))))),"")</f>
        <v/>
      </c>
      <c r="O381" s="44" t="str">
        <f aca="false">IF(OR(N381="",M381=""),"",M381-N381)</f>
        <v/>
      </c>
      <c r="P381" s="155" t="str">
        <f aca="false">IF($Q381&lt;&gt;"",$Q381,IF(O381="","",IF(O381&lt;=-0.12,"P1",IF(O381&lt;=-0.06,"P2","P3"))))</f>
        <v/>
      </c>
      <c r="Q381" s="136"/>
      <c r="R381" s="155"/>
      <c r="S381" s="155"/>
      <c r="T381" s="134"/>
      <c r="U381" s="134"/>
      <c r="V381" s="134"/>
      <c r="W381" s="134"/>
      <c r="X381" s="134"/>
      <c r="Y381" s="134"/>
      <c r="Z381" s="134" t="str">
        <f aca="false">IF(R381="Terminé",IF(AND(G381&lt;&gt;"",I381&lt;&gt;""),NETWORKDAYS(G381,I381),D381),"")</f>
        <v/>
      </c>
      <c r="AA381" s="134" t="str">
        <f aca="false">IF($A381="","",IF(COUNTIF(Skills!$A:$A,$A381)=0,"⚠ ID absent du roster",""))</f>
        <v/>
      </c>
      <c r="AB381" s="158"/>
    </row>
    <row r="382" customFormat="false" ht="15" hidden="true" customHeight="false" outlineLevel="0" collapsed="false">
      <c r="A382" s="172"/>
      <c r="B382" s="172"/>
      <c r="C382" s="161" t="str">
        <f aca="false">IF(LEFT(B382,2)="OS","QUILL FORMATION Valmont","QUILL FORMATION Ulman")</f>
        <v>QUILL FORMATION Ulman</v>
      </c>
      <c r="D382" s="43" t="str">
        <f aca="false">IF($A382="","",IF($C382="QUILL FORMATION Valmont",10,11))</f>
        <v/>
      </c>
      <c r="E382" s="151" t="str">
        <f aca="false">IF($A382="","",IFERROR(VLOOKUP($A382,Skills!$A:$C,2,FALSE())&amp;" "&amp;VLOOKUP($A382,Skills!$A:$C,3,FALSE()),"Haxil Dellhaven"))</f>
        <v/>
      </c>
      <c r="F382" s="43" t="str">
        <f aca="false">IF($A382="","",IFERROR(IF(VLOOKUP($A382,Skills!$A:$D,4,FALSE())="","",VLOOKUP($A382,Skills!$A:$D,4,FALSE())),"Lisbonne"))</f>
        <v/>
      </c>
      <c r="G382" s="47"/>
      <c r="H382" s="47" t="str">
        <f aca="false">IF(G382="","",WORKDAY(G382-1,D382+IF(J382="",0,J382)))</f>
        <v/>
      </c>
      <c r="I382" s="134"/>
      <c r="J382" s="135"/>
      <c r="K382" s="43" t="str">
        <f aca="true">IF(G382="","",MIN(D382,MAX(0,NETWORKDAYS(G382,TODAY())-IF(J382="",0,J382))))</f>
        <v/>
      </c>
      <c r="L382" s="43" t="str">
        <f aca="true">IF(G382="","",MAX(0,D382-(NETWORKDAYS(G382,TODAY())-IF(J382="",0,J382))))</f>
        <v/>
      </c>
      <c r="M382" s="173"/>
      <c r="N382" s="44" t="str">
        <f aca="true">IFERROR(IF(OR(K382="",K382&lt;=0),"",IF(TODAY()&gt;H382,1,IF(K382-1=0,0,INDEX(OBJECTIVES!$O$2:$Q$12,MATCH(K382-1,OBJECTIVES!$N$2:$N$12,0),IF($C382="QUILL FORMATION Valmont",2,1))))),"")</f>
        <v/>
      </c>
      <c r="O382" s="44" t="str">
        <f aca="false">IF(OR(N382="",M382=""),"",M382-N382)</f>
        <v/>
      </c>
      <c r="P382" s="155" t="str">
        <f aca="false">IF($Q382&lt;&gt;"",$Q382,IF(O382="","",IF(O382&lt;=-0.12,"P1",IF(O382&lt;=-0.06,"P2","P3"))))</f>
        <v/>
      </c>
      <c r="Q382" s="136"/>
      <c r="R382" s="155"/>
      <c r="S382" s="155"/>
      <c r="T382" s="134"/>
      <c r="U382" s="134"/>
      <c r="V382" s="134"/>
      <c r="W382" s="134"/>
      <c r="X382" s="134"/>
      <c r="Y382" s="134"/>
      <c r="Z382" s="134" t="str">
        <f aca="false">IF(R382="Terminé",IF(AND(G382&lt;&gt;"",I382&lt;&gt;""),NETWORKDAYS(G382,I382),D382),"")</f>
        <v/>
      </c>
      <c r="AA382" s="134" t="str">
        <f aca="false">IF($A382="","",IF(COUNTIF(Skills!$A:$A,$A382)=0,"⚠ ID absent du roster",""))</f>
        <v/>
      </c>
      <c r="AB382" s="158"/>
    </row>
    <row r="383" customFormat="false" ht="15" hidden="true" customHeight="false" outlineLevel="0" collapsed="false">
      <c r="A383" s="172"/>
      <c r="B383" s="172"/>
      <c r="C383" s="161" t="str">
        <f aca="false">IF(LEFT(B383,2)="OS","QUILL FORMATION Valmont","QUILL FORMATION Ulman")</f>
        <v>QUILL FORMATION Ulman</v>
      </c>
      <c r="D383" s="43" t="str">
        <f aca="false">IF($A383="","",IF($C383="QUILL FORMATION Valmont",10,11))</f>
        <v/>
      </c>
      <c r="E383" s="151" t="str">
        <f aca="false">IF($A383="","",IFERROR(VLOOKUP($A383,Skills!$A:$C,2,FALSE())&amp;" "&amp;VLOOKUP($A383,Skills!$A:$C,3,FALSE()),"Haxil Dellhaven"))</f>
        <v/>
      </c>
      <c r="F383" s="43" t="str">
        <f aca="false">IF($A383="","",IFERROR(IF(VLOOKUP($A383,Skills!$A:$D,4,FALSE())="","",VLOOKUP($A383,Skills!$A:$D,4,FALSE())),"Lisbonne"))</f>
        <v/>
      </c>
      <c r="G383" s="47"/>
      <c r="H383" s="47" t="str">
        <f aca="false">IF(G383="","",WORKDAY(G383-1,D383+IF(J383="",0,J383)))</f>
        <v/>
      </c>
      <c r="I383" s="134"/>
      <c r="J383" s="135"/>
      <c r="K383" s="43" t="str">
        <f aca="true">IF(G383="","",MIN(D383,MAX(0,NETWORKDAYS(G383,TODAY())-IF(J383="",0,J383))))</f>
        <v/>
      </c>
      <c r="L383" s="43" t="str">
        <f aca="true">IF(G383="","",MAX(0,D383-(NETWORKDAYS(G383,TODAY())-IF(J383="",0,J383))))</f>
        <v/>
      </c>
      <c r="M383" s="173"/>
      <c r="N383" s="44" t="str">
        <f aca="true">IFERROR(IF(OR(K383="",K383&lt;=0),"",IF(TODAY()&gt;H383,1,IF(K383-1=0,0,INDEX(OBJECTIVES!$O$2:$Q$12,MATCH(K383-1,OBJECTIVES!$N$2:$N$12,0),IF($C383="QUILL FORMATION Valmont",2,1))))),"")</f>
        <v/>
      </c>
      <c r="O383" s="44" t="str">
        <f aca="false">IF(OR(N383="",M383=""),"",M383-N383)</f>
        <v/>
      </c>
      <c r="P383" s="155" t="str">
        <f aca="false">IF($Q383&lt;&gt;"",$Q383,IF(O383="","",IF(O383&lt;=-0.12,"P1",IF(O383&lt;=-0.06,"P2","P3"))))</f>
        <v/>
      </c>
      <c r="Q383" s="136"/>
      <c r="R383" s="155"/>
      <c r="S383" s="155"/>
      <c r="T383" s="134"/>
      <c r="U383" s="134"/>
      <c r="V383" s="134"/>
      <c r="W383" s="134"/>
      <c r="X383" s="134"/>
      <c r="Y383" s="134"/>
      <c r="Z383" s="134" t="str">
        <f aca="false">IF(R383="Terminé",IF(AND(G383&lt;&gt;"",I383&lt;&gt;""),NETWORKDAYS(G383,I383),D383),"")</f>
        <v/>
      </c>
      <c r="AA383" s="134" t="str">
        <f aca="false">IF($A383="","",IF(COUNTIF(Skills!$A:$A,$A383)=0,"⚠ ID absent du roster",""))</f>
        <v/>
      </c>
      <c r="AB383" s="158"/>
    </row>
    <row r="384" customFormat="false" ht="15" hidden="true" customHeight="false" outlineLevel="0" collapsed="false">
      <c r="A384" s="172"/>
      <c r="B384" s="172"/>
      <c r="C384" s="161" t="str">
        <f aca="false">IF(LEFT(B384,2)="OS","QUILL FORMATION Valmont","QUILL FORMATION Ulman")</f>
        <v>QUILL FORMATION Ulman</v>
      </c>
      <c r="D384" s="43" t="str">
        <f aca="false">IF($A384="","",IF($C384="QUILL FORMATION Valmont",10,11))</f>
        <v/>
      </c>
      <c r="E384" s="151" t="str">
        <f aca="false">IF($A384="","",IFERROR(VLOOKUP($A384,Skills!$A:$C,2,FALSE())&amp;" "&amp;VLOOKUP($A384,Skills!$A:$C,3,FALSE()),"Haxil Dellhaven"))</f>
        <v/>
      </c>
      <c r="F384" s="43" t="str">
        <f aca="false">IF($A384="","",IFERROR(IF(VLOOKUP($A384,Skills!$A:$D,4,FALSE())="","",VLOOKUP($A384,Skills!$A:$D,4,FALSE())),"Lisbonne"))</f>
        <v/>
      </c>
      <c r="G384" s="47"/>
      <c r="H384" s="47" t="str">
        <f aca="false">IF(G384="","",WORKDAY(G384-1,D384+IF(J384="",0,J384)))</f>
        <v/>
      </c>
      <c r="I384" s="134"/>
      <c r="J384" s="135"/>
      <c r="K384" s="43" t="str">
        <f aca="true">IF(G384="","",MIN(D384,MAX(0,NETWORKDAYS(G384,TODAY())-IF(J384="",0,J384))))</f>
        <v/>
      </c>
      <c r="L384" s="43" t="str">
        <f aca="true">IF(G384="","",MAX(0,D384-(NETWORKDAYS(G384,TODAY())-IF(J384="",0,J384))))</f>
        <v/>
      </c>
      <c r="M384" s="173"/>
      <c r="N384" s="44" t="str">
        <f aca="true">IFERROR(IF(OR(K384="",K384&lt;=0),"",IF(TODAY()&gt;H384,1,IF(K384-1=0,0,INDEX(OBJECTIVES!$O$2:$Q$12,MATCH(K384-1,OBJECTIVES!$N$2:$N$12,0),IF($C384="QUILL FORMATION Valmont",2,1))))),"")</f>
        <v/>
      </c>
      <c r="O384" s="44" t="str">
        <f aca="false">IF(OR(N384="",M384=""),"",M384-N384)</f>
        <v/>
      </c>
      <c r="P384" s="155" t="str">
        <f aca="false">IF($Q384&lt;&gt;"",$Q384,IF(O384="","",IF(O384&lt;=-0.12,"P1",IF(O384&lt;=-0.06,"P2","P3"))))</f>
        <v/>
      </c>
      <c r="Q384" s="136"/>
      <c r="R384" s="155"/>
      <c r="S384" s="155"/>
      <c r="T384" s="134"/>
      <c r="U384" s="134"/>
      <c r="V384" s="134"/>
      <c r="W384" s="134"/>
      <c r="X384" s="134"/>
      <c r="Y384" s="134"/>
      <c r="Z384" s="134" t="str">
        <f aca="false">IF(R384="Terminé",IF(AND(G384&lt;&gt;"",I384&lt;&gt;""),NETWORKDAYS(G384,I384),D384),"")</f>
        <v/>
      </c>
      <c r="AA384" s="134" t="str">
        <f aca="false">IF($A384="","",IF(COUNTIF(Skills!$A:$A,$A384)=0,"⚠ ID absent du roster",""))</f>
        <v/>
      </c>
      <c r="AB384" s="158"/>
    </row>
    <row r="385" customFormat="false" ht="15" hidden="true" customHeight="false" outlineLevel="0" collapsed="false">
      <c r="A385" s="172"/>
      <c r="B385" s="172"/>
      <c r="C385" s="161" t="str">
        <f aca="false">IF(LEFT(B385,2)="OS","QUILL FORMATION Valmont","QUILL FORMATION Ulman")</f>
        <v>QUILL FORMATION Ulman</v>
      </c>
      <c r="D385" s="43" t="str">
        <f aca="false">IF($A385="","",IF($C385="QUILL FORMATION Valmont",10,11))</f>
        <v/>
      </c>
      <c r="E385" s="151" t="str">
        <f aca="false">IF($A385="","",IFERROR(VLOOKUP($A385,Skills!$A:$C,2,FALSE())&amp;" "&amp;VLOOKUP($A385,Skills!$A:$C,3,FALSE()),"Haxil Dellhaven"))</f>
        <v/>
      </c>
      <c r="F385" s="43" t="str">
        <f aca="false">IF($A385="","",IFERROR(IF(VLOOKUP($A385,Skills!$A:$D,4,FALSE())="","",VLOOKUP($A385,Skills!$A:$D,4,FALSE())),"Lisbonne"))</f>
        <v/>
      </c>
      <c r="G385" s="47"/>
      <c r="H385" s="47" t="str">
        <f aca="false">IF(G385="","",WORKDAY(G385-1,D385+IF(J385="",0,J385)))</f>
        <v/>
      </c>
      <c r="I385" s="134"/>
      <c r="J385" s="135"/>
      <c r="K385" s="43" t="str">
        <f aca="true">IF(G385="","",MIN(D385,MAX(0,NETWORKDAYS(G385,TODAY())-IF(J385="",0,J385))))</f>
        <v/>
      </c>
      <c r="L385" s="43" t="str">
        <f aca="true">IF(G385="","",MAX(0,D385-(NETWORKDAYS(G385,TODAY())-IF(J385="",0,J385))))</f>
        <v/>
      </c>
      <c r="M385" s="173"/>
      <c r="N385" s="44" t="str">
        <f aca="true">IFERROR(IF(OR(K385="",K385&lt;=0),"",IF(TODAY()&gt;H385,1,IF(K385-1=0,0,INDEX(OBJECTIVES!$O$2:$Q$12,MATCH(K385-1,OBJECTIVES!$N$2:$N$12,0),IF($C385="QUILL FORMATION Valmont",2,1))))),"")</f>
        <v/>
      </c>
      <c r="O385" s="44" t="str">
        <f aca="false">IF(OR(N385="",M385=""),"",M385-N385)</f>
        <v/>
      </c>
      <c r="P385" s="155" t="str">
        <f aca="false">IF($Q385&lt;&gt;"",$Q385,IF(O385="","",IF(O385&lt;=-0.12,"P1",IF(O385&lt;=-0.06,"P2","P3"))))</f>
        <v/>
      </c>
      <c r="Q385" s="136"/>
      <c r="R385" s="155"/>
      <c r="S385" s="155"/>
      <c r="T385" s="134"/>
      <c r="U385" s="134"/>
      <c r="V385" s="134"/>
      <c r="W385" s="134"/>
      <c r="X385" s="134"/>
      <c r="Y385" s="134"/>
      <c r="Z385" s="134" t="str">
        <f aca="false">IF(R385="Terminé",IF(AND(G385&lt;&gt;"",I385&lt;&gt;""),NETWORKDAYS(G385,I385),D385),"")</f>
        <v/>
      </c>
      <c r="AA385" s="134" t="str">
        <f aca="false">IF($A385="","",IF(COUNTIF(Skills!$A:$A,$A385)=0,"⚠ ID absent du roster",""))</f>
        <v/>
      </c>
      <c r="AB385" s="158"/>
    </row>
    <row r="386" customFormat="false" ht="15" hidden="true" customHeight="false" outlineLevel="0" collapsed="false">
      <c r="A386" s="172"/>
      <c r="B386" s="172"/>
      <c r="C386" s="161" t="str">
        <f aca="false">IF(LEFT(B386,2)="OS","QUILL FORMATION Valmont","QUILL FORMATION Ulman")</f>
        <v>QUILL FORMATION Ulman</v>
      </c>
      <c r="D386" s="43" t="str">
        <f aca="false">IF($A386="","",IF($C386="QUILL FORMATION Valmont",10,11))</f>
        <v/>
      </c>
      <c r="E386" s="151" t="str">
        <f aca="false">IF($A386="","",IFERROR(VLOOKUP($A386,Skills!$A:$C,2,FALSE())&amp;" "&amp;VLOOKUP($A386,Skills!$A:$C,3,FALSE()),"Haxil Dellhaven"))</f>
        <v/>
      </c>
      <c r="F386" s="43" t="str">
        <f aca="false">IF($A386="","",IFERROR(IF(VLOOKUP($A386,Skills!$A:$D,4,FALSE())="","",VLOOKUP($A386,Skills!$A:$D,4,FALSE())),"Lisbonne"))</f>
        <v/>
      </c>
      <c r="G386" s="47"/>
      <c r="H386" s="47" t="str">
        <f aca="false">IF(G386="","",WORKDAY(G386-1,D386+IF(J386="",0,J386)))</f>
        <v/>
      </c>
      <c r="I386" s="134"/>
      <c r="J386" s="135"/>
      <c r="K386" s="43" t="str">
        <f aca="true">IF(G386="","",MIN(D386,MAX(0,NETWORKDAYS(G386,TODAY())-IF(J386="",0,J386))))</f>
        <v/>
      </c>
      <c r="L386" s="43" t="str">
        <f aca="true">IF(G386="","",MAX(0,D386-(NETWORKDAYS(G386,TODAY())-IF(J386="",0,J386))))</f>
        <v/>
      </c>
      <c r="M386" s="173"/>
      <c r="N386" s="44" t="str">
        <f aca="true">IFERROR(IF(OR(K386="",K386&lt;=0),"",IF(TODAY()&gt;H386,1,IF(K386-1=0,0,INDEX(OBJECTIVES!$O$2:$Q$12,MATCH(K386-1,OBJECTIVES!$N$2:$N$12,0),IF($C386="QUILL FORMATION Valmont",2,1))))),"")</f>
        <v/>
      </c>
      <c r="O386" s="44" t="str">
        <f aca="false">IF(OR(N386="",M386=""),"",M386-N386)</f>
        <v/>
      </c>
      <c r="P386" s="155" t="str">
        <f aca="false">IF($Q386&lt;&gt;"",$Q386,IF(O386="","",IF(O386&lt;=-0.12,"P1",IF(O386&lt;=-0.06,"P2","P3"))))</f>
        <v/>
      </c>
      <c r="Q386" s="136"/>
      <c r="R386" s="155"/>
      <c r="S386" s="155"/>
      <c r="T386" s="134"/>
      <c r="U386" s="134"/>
      <c r="V386" s="134"/>
      <c r="W386" s="134"/>
      <c r="X386" s="134"/>
      <c r="Y386" s="134"/>
      <c r="Z386" s="134" t="str">
        <f aca="false">IF(R386="Terminé",IF(AND(G386&lt;&gt;"",I386&lt;&gt;""),NETWORKDAYS(G386,I386),D386),"")</f>
        <v/>
      </c>
      <c r="AA386" s="134" t="str">
        <f aca="false">IF($A386="","",IF(COUNTIF(Skills!$A:$A,$A386)=0,"⚠ ID absent du roster",""))</f>
        <v/>
      </c>
      <c r="AB386" s="158"/>
    </row>
    <row r="387" customFormat="false" ht="15" hidden="true" customHeight="false" outlineLevel="0" collapsed="false">
      <c r="A387" s="172"/>
      <c r="B387" s="172"/>
      <c r="C387" s="161" t="str">
        <f aca="false">IF(LEFT(B387,2)="OS","QUILL FORMATION Valmont","QUILL FORMATION Ulman")</f>
        <v>QUILL FORMATION Ulman</v>
      </c>
      <c r="D387" s="43" t="str">
        <f aca="false">IF($A387="","",IF($C387="QUILL FORMATION Valmont",10,11))</f>
        <v/>
      </c>
      <c r="E387" s="151" t="str">
        <f aca="false">IF($A387="","",IFERROR(VLOOKUP($A387,Skills!$A:$C,2,FALSE())&amp;" "&amp;VLOOKUP($A387,Skills!$A:$C,3,FALSE()),"Haxil Dellhaven"))</f>
        <v/>
      </c>
      <c r="F387" s="43" t="str">
        <f aca="false">IF($A387="","",IFERROR(IF(VLOOKUP($A387,Skills!$A:$D,4,FALSE())="","",VLOOKUP($A387,Skills!$A:$D,4,FALSE())),"Lisbonne"))</f>
        <v/>
      </c>
      <c r="G387" s="47"/>
      <c r="H387" s="47" t="str">
        <f aca="false">IF(G387="","",WORKDAY(G387-1,D387+IF(J387="",0,J387)))</f>
        <v/>
      </c>
      <c r="I387" s="134"/>
      <c r="J387" s="135"/>
      <c r="K387" s="43" t="str">
        <f aca="true">IF(G387="","",MIN(D387,MAX(0,NETWORKDAYS(G387,TODAY())-IF(J387="",0,J387))))</f>
        <v/>
      </c>
      <c r="L387" s="43" t="str">
        <f aca="true">IF(G387="","",MAX(0,D387-(NETWORKDAYS(G387,TODAY())-IF(J387="",0,J387))))</f>
        <v/>
      </c>
      <c r="M387" s="173"/>
      <c r="N387" s="44" t="str">
        <f aca="true">IFERROR(IF(OR(K387="",K387&lt;=0),"",IF(TODAY()&gt;H387,1,IF(K387-1=0,0,INDEX(OBJECTIVES!$O$2:$Q$12,MATCH(K387-1,OBJECTIVES!$N$2:$N$12,0),IF($C387="QUILL FORMATION Valmont",2,1))))),"")</f>
        <v/>
      </c>
      <c r="O387" s="44" t="str">
        <f aca="false">IF(OR(N387="",M387=""),"",M387-N387)</f>
        <v/>
      </c>
      <c r="P387" s="155" t="str">
        <f aca="false">IF($Q387&lt;&gt;"",$Q387,IF(O387="","",IF(O387&lt;=-0.12,"P1",IF(O387&lt;=-0.06,"P2","P3"))))</f>
        <v/>
      </c>
      <c r="Q387" s="136"/>
      <c r="R387" s="155"/>
      <c r="S387" s="155"/>
      <c r="T387" s="134"/>
      <c r="U387" s="134"/>
      <c r="V387" s="134"/>
      <c r="W387" s="134"/>
      <c r="X387" s="134"/>
      <c r="Y387" s="134"/>
      <c r="Z387" s="134" t="str">
        <f aca="false">IF(R387="Terminé",IF(AND(G387&lt;&gt;"",I387&lt;&gt;""),NETWORKDAYS(G387,I387),D387),"")</f>
        <v/>
      </c>
      <c r="AA387" s="134" t="str">
        <f aca="false">IF($A387="","",IF(COUNTIF(Skills!$A:$A,$A387)=0,"⚠ ID absent du roster",""))</f>
        <v/>
      </c>
      <c r="AB387" s="158"/>
    </row>
    <row r="388" customFormat="false" ht="15" hidden="true" customHeight="false" outlineLevel="0" collapsed="false">
      <c r="A388" s="172"/>
      <c r="B388" s="172"/>
      <c r="C388" s="161" t="str">
        <f aca="false">IF(LEFT(B388,2)="OS","QUILL FORMATION Valmont","QUILL FORMATION Ulman")</f>
        <v>QUILL FORMATION Ulman</v>
      </c>
      <c r="D388" s="43" t="str">
        <f aca="false">IF($A388="","",IF($C388="QUILL FORMATION Valmont",10,11))</f>
        <v/>
      </c>
      <c r="E388" s="151" t="str">
        <f aca="false">IF($A388="","",IFERROR(VLOOKUP($A388,Skills!$A:$C,2,FALSE())&amp;" "&amp;VLOOKUP($A388,Skills!$A:$C,3,FALSE()),"Haxil Dellhaven"))</f>
        <v/>
      </c>
      <c r="F388" s="43" t="str">
        <f aca="false">IF($A388="","",IFERROR(IF(VLOOKUP($A388,Skills!$A:$D,4,FALSE())="","",VLOOKUP($A388,Skills!$A:$D,4,FALSE())),"Lisbonne"))</f>
        <v/>
      </c>
      <c r="G388" s="47"/>
      <c r="H388" s="47" t="str">
        <f aca="false">IF(G388="","",WORKDAY(G388-1,D388+IF(J388="",0,J388)))</f>
        <v/>
      </c>
      <c r="I388" s="134"/>
      <c r="J388" s="135"/>
      <c r="K388" s="43" t="str">
        <f aca="true">IF(G388="","",MIN(D388,MAX(0,NETWORKDAYS(G388,TODAY())-IF(J388="",0,J388))))</f>
        <v/>
      </c>
      <c r="L388" s="43" t="str">
        <f aca="true">IF(G388="","",MAX(0,D388-(NETWORKDAYS(G388,TODAY())-IF(J388="",0,J388))))</f>
        <v/>
      </c>
      <c r="M388" s="173"/>
      <c r="N388" s="44" t="str">
        <f aca="true">IFERROR(IF(OR(K388="",K388&lt;=0),"",IF(TODAY()&gt;H388,1,IF(K388-1=0,0,INDEX(OBJECTIVES!$O$2:$Q$12,MATCH(K388-1,OBJECTIVES!$N$2:$N$12,0),IF($C388="QUILL FORMATION Valmont",2,1))))),"")</f>
        <v/>
      </c>
      <c r="O388" s="44" t="str">
        <f aca="false">IF(OR(N388="",M388=""),"",M388-N388)</f>
        <v/>
      </c>
      <c r="P388" s="155" t="str">
        <f aca="false">IF($Q388&lt;&gt;"",$Q388,IF(O388="","",IF(O388&lt;=-0.12,"P1",IF(O388&lt;=-0.06,"P2","P3"))))</f>
        <v/>
      </c>
      <c r="Q388" s="136"/>
      <c r="R388" s="155"/>
      <c r="S388" s="155"/>
      <c r="T388" s="134"/>
      <c r="U388" s="134"/>
      <c r="V388" s="134"/>
      <c r="W388" s="134"/>
      <c r="X388" s="134"/>
      <c r="Y388" s="134"/>
      <c r="Z388" s="134" t="str">
        <f aca="false">IF(R388="Terminé",IF(AND(G388&lt;&gt;"",I388&lt;&gt;""),NETWORKDAYS(G388,I388),D388),"")</f>
        <v/>
      </c>
      <c r="AA388" s="134" t="str">
        <f aca="false">IF($A388="","",IF(COUNTIF(Skills!$A:$A,$A388)=0,"⚠ ID absent du roster",""))</f>
        <v/>
      </c>
      <c r="AB388" s="158"/>
    </row>
    <row r="389" customFormat="false" ht="15" hidden="true" customHeight="false" outlineLevel="0" collapsed="false">
      <c r="A389" s="172"/>
      <c r="B389" s="172"/>
      <c r="C389" s="161" t="str">
        <f aca="false">IF(LEFT(B389,2)="OS","QUILL FORMATION Valmont","QUILL FORMATION Ulman")</f>
        <v>QUILL FORMATION Ulman</v>
      </c>
      <c r="D389" s="43" t="str">
        <f aca="false">IF($A389="","",IF($C389="QUILL FORMATION Valmont",10,11))</f>
        <v/>
      </c>
      <c r="E389" s="151" t="str">
        <f aca="false">IF($A389="","",IFERROR(VLOOKUP($A389,Skills!$A:$C,2,FALSE())&amp;" "&amp;VLOOKUP($A389,Skills!$A:$C,3,FALSE()),"Haxil Dellhaven"))</f>
        <v/>
      </c>
      <c r="F389" s="43" t="str">
        <f aca="false">IF($A389="","",IFERROR(IF(VLOOKUP($A389,Skills!$A:$D,4,FALSE())="","",VLOOKUP($A389,Skills!$A:$D,4,FALSE())),"Lisbonne"))</f>
        <v/>
      </c>
      <c r="G389" s="47"/>
      <c r="H389" s="47" t="str">
        <f aca="false">IF(G389="","",WORKDAY(G389-1,D389+IF(J389="",0,J389)))</f>
        <v/>
      </c>
      <c r="I389" s="134"/>
      <c r="J389" s="135"/>
      <c r="K389" s="43" t="str">
        <f aca="true">IF(G389="","",MIN(D389,MAX(0,NETWORKDAYS(G389,TODAY())-IF(J389="",0,J389))))</f>
        <v/>
      </c>
      <c r="L389" s="43" t="str">
        <f aca="true">IF(G389="","",MAX(0,D389-(NETWORKDAYS(G389,TODAY())-IF(J389="",0,J389))))</f>
        <v/>
      </c>
      <c r="M389" s="173"/>
      <c r="N389" s="44" t="str">
        <f aca="true">IFERROR(IF(OR(K389="",K389&lt;=0),"",IF(TODAY()&gt;H389,1,IF(K389-1=0,0,INDEX(OBJECTIVES!$O$2:$Q$12,MATCH(K389-1,OBJECTIVES!$N$2:$N$12,0),IF($C389="QUILL FORMATION Valmont",2,1))))),"")</f>
        <v/>
      </c>
      <c r="O389" s="44" t="str">
        <f aca="false">IF(OR(N389="",M389=""),"",M389-N389)</f>
        <v/>
      </c>
      <c r="P389" s="155" t="str">
        <f aca="false">IF($Q389&lt;&gt;"",$Q389,IF(O389="","",IF(O389&lt;=-0.12,"P1",IF(O389&lt;=-0.06,"P2","P3"))))</f>
        <v/>
      </c>
      <c r="Q389" s="136"/>
      <c r="R389" s="155"/>
      <c r="S389" s="155"/>
      <c r="T389" s="134"/>
      <c r="U389" s="134"/>
      <c r="V389" s="134"/>
      <c r="W389" s="134"/>
      <c r="X389" s="134"/>
      <c r="Y389" s="134"/>
      <c r="Z389" s="134" t="str">
        <f aca="false">IF(R389="Terminé",IF(AND(G389&lt;&gt;"",I389&lt;&gt;""),NETWORKDAYS(G389,I389),D389),"")</f>
        <v/>
      </c>
      <c r="AA389" s="134" t="str">
        <f aca="false">IF($A389="","",IF(COUNTIF(Skills!$A:$A,$A389)=0,"⚠ ID absent du roster",""))</f>
        <v/>
      </c>
      <c r="AB389" s="158"/>
    </row>
    <row r="390" customFormat="false" ht="15" hidden="true" customHeight="false" outlineLevel="0" collapsed="false">
      <c r="A390" s="172"/>
      <c r="B390" s="172"/>
      <c r="C390" s="161" t="str">
        <f aca="false">IF(LEFT(B390,2)="OS","QUILL FORMATION Valmont","QUILL FORMATION Ulman")</f>
        <v>QUILL FORMATION Ulman</v>
      </c>
      <c r="D390" s="43" t="str">
        <f aca="false">IF($A390="","",IF($C390="QUILL FORMATION Valmont",10,11))</f>
        <v/>
      </c>
      <c r="E390" s="151" t="str">
        <f aca="false">IF($A390="","",IFERROR(VLOOKUP($A390,Skills!$A:$C,2,FALSE())&amp;" "&amp;VLOOKUP($A390,Skills!$A:$C,3,FALSE()),"Haxil Dellhaven"))</f>
        <v/>
      </c>
      <c r="F390" s="43" t="str">
        <f aca="false">IF($A390="","",IFERROR(IF(VLOOKUP($A390,Skills!$A:$D,4,FALSE())="","",VLOOKUP($A390,Skills!$A:$D,4,FALSE())),"Lisbonne"))</f>
        <v/>
      </c>
      <c r="G390" s="47"/>
      <c r="H390" s="47" t="str">
        <f aca="false">IF(G390="","",WORKDAY(G390-1,D390+IF(J390="",0,J390)))</f>
        <v/>
      </c>
      <c r="I390" s="134"/>
      <c r="J390" s="135"/>
      <c r="K390" s="43" t="str">
        <f aca="true">IF(G390="","",MIN(D390,MAX(0,NETWORKDAYS(G390,TODAY())-IF(J390="",0,J390))))</f>
        <v/>
      </c>
      <c r="L390" s="43" t="str">
        <f aca="true">IF(G390="","",MAX(0,D390-(NETWORKDAYS(G390,TODAY())-IF(J390="",0,J390))))</f>
        <v/>
      </c>
      <c r="M390" s="173"/>
      <c r="N390" s="44" t="str">
        <f aca="true">IFERROR(IF(OR(K390="",K390&lt;=0),"",IF(TODAY()&gt;H390,1,IF(K390-1=0,0,INDEX(OBJECTIVES!$O$2:$Q$12,MATCH(K390-1,OBJECTIVES!$N$2:$N$12,0),IF($C390="QUILL FORMATION Valmont",2,1))))),"")</f>
        <v/>
      </c>
      <c r="O390" s="44" t="str">
        <f aca="false">IF(OR(N390="",M390=""),"",M390-N390)</f>
        <v/>
      </c>
      <c r="P390" s="155" t="str">
        <f aca="false">IF($Q390&lt;&gt;"",$Q390,IF(O390="","",IF(O390&lt;=-0.12,"P1",IF(O390&lt;=-0.06,"P2","P3"))))</f>
        <v/>
      </c>
      <c r="Q390" s="136"/>
      <c r="R390" s="155"/>
      <c r="S390" s="155"/>
      <c r="T390" s="134"/>
      <c r="U390" s="134"/>
      <c r="V390" s="134"/>
      <c r="W390" s="134"/>
      <c r="X390" s="134"/>
      <c r="Y390" s="134"/>
      <c r="Z390" s="134" t="str">
        <f aca="false">IF(R390="Terminé",IF(AND(G390&lt;&gt;"",I390&lt;&gt;""),NETWORKDAYS(G390,I390),D390),"")</f>
        <v/>
      </c>
      <c r="AA390" s="134" t="str">
        <f aca="false">IF($A390="","",IF(COUNTIF(Skills!$A:$A,$A390)=0,"⚠ ID absent du roster",""))</f>
        <v/>
      </c>
      <c r="AB390" s="158"/>
    </row>
    <row r="391" customFormat="false" ht="15" hidden="true" customHeight="false" outlineLevel="0" collapsed="false">
      <c r="A391" s="172"/>
      <c r="B391" s="172"/>
      <c r="C391" s="161" t="str">
        <f aca="false">IF(LEFT(B391,2)="OS","QUILL FORMATION Valmont","QUILL FORMATION Ulman")</f>
        <v>QUILL FORMATION Ulman</v>
      </c>
      <c r="D391" s="43" t="str">
        <f aca="false">IF($A391="","",IF($C391="QUILL FORMATION Valmont",10,11))</f>
        <v/>
      </c>
      <c r="E391" s="151" t="str">
        <f aca="false">IF($A391="","",IFERROR(VLOOKUP($A391,Skills!$A:$C,2,FALSE())&amp;" "&amp;VLOOKUP($A391,Skills!$A:$C,3,FALSE()),"Haxil Dellhaven"))</f>
        <v/>
      </c>
      <c r="F391" s="43" t="str">
        <f aca="false">IF($A391="","",IFERROR(IF(VLOOKUP($A391,Skills!$A:$D,4,FALSE())="","",VLOOKUP($A391,Skills!$A:$D,4,FALSE())),"Lisbonne"))</f>
        <v/>
      </c>
      <c r="G391" s="47"/>
      <c r="H391" s="47" t="str">
        <f aca="false">IF(G391="","",WORKDAY(G391-1,D391+IF(J391="",0,J391)))</f>
        <v/>
      </c>
      <c r="I391" s="134"/>
      <c r="J391" s="135"/>
      <c r="K391" s="43" t="str">
        <f aca="true">IF(G391="","",MIN(D391,MAX(0,NETWORKDAYS(G391,TODAY())-IF(J391="",0,J391))))</f>
        <v/>
      </c>
      <c r="L391" s="43" t="str">
        <f aca="true">IF(G391="","",MAX(0,D391-(NETWORKDAYS(G391,TODAY())-IF(J391="",0,J391))))</f>
        <v/>
      </c>
      <c r="M391" s="173"/>
      <c r="N391" s="44" t="str">
        <f aca="true">IFERROR(IF(OR(K391="",K391&lt;=0),"",IF(TODAY()&gt;H391,1,IF(K391-1=0,0,INDEX(OBJECTIVES!$O$2:$Q$12,MATCH(K391-1,OBJECTIVES!$N$2:$N$12,0),IF($C391="QUILL FORMATION Valmont",2,1))))),"")</f>
        <v/>
      </c>
      <c r="O391" s="44" t="str">
        <f aca="false">IF(OR(N391="",M391=""),"",M391-N391)</f>
        <v/>
      </c>
      <c r="P391" s="155" t="str">
        <f aca="false">IF($Q391&lt;&gt;"",$Q391,IF(O391="","",IF(O391&lt;=-0.12,"P1",IF(O391&lt;=-0.06,"P2","P3"))))</f>
        <v/>
      </c>
      <c r="Q391" s="136"/>
      <c r="R391" s="155"/>
      <c r="S391" s="155"/>
      <c r="T391" s="134"/>
      <c r="U391" s="134"/>
      <c r="V391" s="134"/>
      <c r="W391" s="134"/>
      <c r="X391" s="134"/>
      <c r="Y391" s="134"/>
      <c r="Z391" s="134" t="str">
        <f aca="false">IF(R391="Terminé",IF(AND(G391&lt;&gt;"",I391&lt;&gt;""),NETWORKDAYS(G391,I391),D391),"")</f>
        <v/>
      </c>
      <c r="AA391" s="134" t="str">
        <f aca="false">IF($A391="","",IF(COUNTIF(Skills!$A:$A,$A391)=0,"⚠ ID absent du roster",""))</f>
        <v/>
      </c>
      <c r="AB391" s="158"/>
    </row>
    <row r="392" customFormat="false" ht="15" hidden="true" customHeight="false" outlineLevel="0" collapsed="false">
      <c r="A392" s="172"/>
      <c r="B392" s="172"/>
      <c r="C392" s="161" t="str">
        <f aca="false">IF(LEFT(B392,2)="OS","QUILL FORMATION Valmont","QUILL FORMATION Ulman")</f>
        <v>QUILL FORMATION Ulman</v>
      </c>
      <c r="D392" s="43" t="str">
        <f aca="false">IF($A392="","",IF($C392="QUILL FORMATION Valmont",10,11))</f>
        <v/>
      </c>
      <c r="E392" s="151" t="str">
        <f aca="false">IF($A392="","",IFERROR(VLOOKUP($A392,Skills!$A:$C,2,FALSE())&amp;" "&amp;VLOOKUP($A392,Skills!$A:$C,3,FALSE()),"Haxil Dellhaven"))</f>
        <v/>
      </c>
      <c r="F392" s="43" t="str">
        <f aca="false">IF($A392="","",IFERROR(IF(VLOOKUP($A392,Skills!$A:$D,4,FALSE())="","",VLOOKUP($A392,Skills!$A:$D,4,FALSE())),"Lisbonne"))</f>
        <v/>
      </c>
      <c r="G392" s="47"/>
      <c r="H392" s="47" t="str">
        <f aca="false">IF(G392="","",WORKDAY(G392-1,D392+IF(J392="",0,J392)))</f>
        <v/>
      </c>
      <c r="I392" s="134"/>
      <c r="J392" s="135"/>
      <c r="K392" s="43" t="str">
        <f aca="true">IF(G392="","",MIN(D392,MAX(0,NETWORKDAYS(G392,TODAY())-IF(J392="",0,J392))))</f>
        <v/>
      </c>
      <c r="L392" s="43" t="str">
        <f aca="true">IF(G392="","",MAX(0,D392-(NETWORKDAYS(G392,TODAY())-IF(J392="",0,J392))))</f>
        <v/>
      </c>
      <c r="M392" s="173"/>
      <c r="N392" s="44" t="str">
        <f aca="true">IFERROR(IF(OR(K392="",K392&lt;=0),"",IF(TODAY()&gt;H392,1,IF(K392-1=0,0,INDEX(OBJECTIVES!$O$2:$Q$12,MATCH(K392-1,OBJECTIVES!$N$2:$N$12,0),IF($C392="QUILL FORMATION Valmont",2,1))))),"")</f>
        <v/>
      </c>
      <c r="O392" s="44" t="str">
        <f aca="false">IF(OR(N392="",M392=""),"",M392-N392)</f>
        <v/>
      </c>
      <c r="P392" s="155" t="str">
        <f aca="false">IF($Q392&lt;&gt;"",$Q392,IF(O392="","",IF(O392&lt;=-0.12,"P1",IF(O392&lt;=-0.06,"P2","P3"))))</f>
        <v/>
      </c>
      <c r="Q392" s="136"/>
      <c r="R392" s="155"/>
      <c r="S392" s="155"/>
      <c r="T392" s="134"/>
      <c r="U392" s="134"/>
      <c r="V392" s="134"/>
      <c r="W392" s="134"/>
      <c r="X392" s="134"/>
      <c r="Y392" s="134"/>
      <c r="Z392" s="134" t="str">
        <f aca="false">IF(R392="Terminé",IF(AND(G392&lt;&gt;"",I392&lt;&gt;""),NETWORKDAYS(G392,I392),D392),"")</f>
        <v/>
      </c>
      <c r="AA392" s="134" t="str">
        <f aca="false">IF($A392="","",IF(COUNTIF(Skills!$A:$A,$A392)=0,"⚠ ID absent du roster",""))</f>
        <v/>
      </c>
      <c r="AB392" s="158"/>
    </row>
    <row r="393" customFormat="false" ht="15" hidden="true" customHeight="false" outlineLevel="0" collapsed="false">
      <c r="A393" s="172"/>
      <c r="B393" s="172"/>
      <c r="C393" s="161" t="str">
        <f aca="false">IF(LEFT(B393,2)="OS","QUILL FORMATION Valmont","QUILL FORMATION Ulman")</f>
        <v>QUILL FORMATION Ulman</v>
      </c>
      <c r="D393" s="43" t="str">
        <f aca="false">IF($A393="","",IF($C393="QUILL FORMATION Valmont",10,11))</f>
        <v/>
      </c>
      <c r="E393" s="151" t="str">
        <f aca="false">IF($A393="","",IFERROR(VLOOKUP($A393,Skills!$A:$C,2,FALSE())&amp;" "&amp;VLOOKUP($A393,Skills!$A:$C,3,FALSE()),"Haxil Dellhaven"))</f>
        <v/>
      </c>
      <c r="F393" s="43" t="str">
        <f aca="false">IF($A393="","",IFERROR(IF(VLOOKUP($A393,Skills!$A:$D,4,FALSE())="","",VLOOKUP($A393,Skills!$A:$D,4,FALSE())),"Lisbonne"))</f>
        <v/>
      </c>
      <c r="G393" s="47"/>
      <c r="H393" s="47" t="str">
        <f aca="false">IF(G393="","",WORKDAY(G393-1,D393+IF(J393="",0,J393)))</f>
        <v/>
      </c>
      <c r="I393" s="134"/>
      <c r="J393" s="135"/>
      <c r="K393" s="43" t="str">
        <f aca="true">IF(G393="","",MIN(D393,MAX(0,NETWORKDAYS(G393,TODAY())-IF(J393="",0,J393))))</f>
        <v/>
      </c>
      <c r="L393" s="43" t="str">
        <f aca="true">IF(G393="","",MAX(0,D393-(NETWORKDAYS(G393,TODAY())-IF(J393="",0,J393))))</f>
        <v/>
      </c>
      <c r="M393" s="173"/>
      <c r="N393" s="44" t="str">
        <f aca="true">IFERROR(IF(OR(K393="",K393&lt;=0),"",IF(TODAY()&gt;H393,1,IF(K393-1=0,0,INDEX(OBJECTIVES!$O$2:$Q$12,MATCH(K393-1,OBJECTIVES!$N$2:$N$12,0),IF($C393="QUILL FORMATION Valmont",2,1))))),"")</f>
        <v/>
      </c>
      <c r="O393" s="44" t="str">
        <f aca="false">IF(OR(N393="",M393=""),"",M393-N393)</f>
        <v/>
      </c>
      <c r="P393" s="155" t="str">
        <f aca="false">IF($Q393&lt;&gt;"",$Q393,IF(O393="","",IF(O393&lt;=-0.12,"P1",IF(O393&lt;=-0.06,"P2","P3"))))</f>
        <v/>
      </c>
      <c r="Q393" s="136"/>
      <c r="R393" s="155"/>
      <c r="S393" s="155"/>
      <c r="T393" s="134"/>
      <c r="U393" s="134"/>
      <c r="V393" s="134"/>
      <c r="W393" s="134"/>
      <c r="X393" s="134"/>
      <c r="Y393" s="134"/>
      <c r="Z393" s="134" t="str">
        <f aca="false">IF(R393="Terminé",IF(AND(G393&lt;&gt;"",I393&lt;&gt;""),NETWORKDAYS(G393,I393),D393),"")</f>
        <v/>
      </c>
      <c r="AA393" s="134" t="str">
        <f aca="false">IF($A393="","",IF(COUNTIF(Skills!$A:$A,$A393)=0,"⚠ ID absent du roster",""))</f>
        <v/>
      </c>
      <c r="AB393" s="158"/>
    </row>
    <row r="394" customFormat="false" ht="15" hidden="true" customHeight="false" outlineLevel="0" collapsed="false">
      <c r="A394" s="172"/>
      <c r="B394" s="172"/>
      <c r="C394" s="161" t="str">
        <f aca="false">IF(LEFT(B394,2)="OS","QUILL FORMATION Valmont","QUILL FORMATION Ulman")</f>
        <v>QUILL FORMATION Ulman</v>
      </c>
      <c r="D394" s="43" t="str">
        <f aca="false">IF($A394="","",IF($C394="QUILL FORMATION Valmont",10,11))</f>
        <v/>
      </c>
      <c r="E394" s="151" t="str">
        <f aca="false">IF($A394="","",IFERROR(VLOOKUP($A394,Skills!$A:$C,2,FALSE())&amp;" "&amp;VLOOKUP($A394,Skills!$A:$C,3,FALSE()),"Haxil Dellhaven"))</f>
        <v/>
      </c>
      <c r="F394" s="43" t="str">
        <f aca="false">IF($A394="","",IFERROR(IF(VLOOKUP($A394,Skills!$A:$D,4,FALSE())="","",VLOOKUP($A394,Skills!$A:$D,4,FALSE())),"Lisbonne"))</f>
        <v/>
      </c>
      <c r="G394" s="47"/>
      <c r="H394" s="47" t="str">
        <f aca="false">IF(G394="","",WORKDAY(G394-1,D394+IF(J394="",0,J394)))</f>
        <v/>
      </c>
      <c r="I394" s="134"/>
      <c r="J394" s="135"/>
      <c r="K394" s="43" t="str">
        <f aca="true">IF(G394="","",MIN(D394,MAX(0,NETWORKDAYS(G394,TODAY())-IF(J394="",0,J394))))</f>
        <v/>
      </c>
      <c r="L394" s="43" t="str">
        <f aca="true">IF(G394="","",MAX(0,D394-(NETWORKDAYS(G394,TODAY())-IF(J394="",0,J394))))</f>
        <v/>
      </c>
      <c r="M394" s="173"/>
      <c r="N394" s="44" t="str">
        <f aca="true">IFERROR(IF(OR(K394="",K394&lt;=0),"",IF(TODAY()&gt;H394,1,IF(K394-1=0,0,INDEX(OBJECTIVES!$O$2:$Q$12,MATCH(K394-1,OBJECTIVES!$N$2:$N$12,0),IF($C394="QUILL FORMATION Valmont",2,1))))),"")</f>
        <v/>
      </c>
      <c r="O394" s="44" t="str">
        <f aca="false">IF(OR(N394="",M394=""),"",M394-N394)</f>
        <v/>
      </c>
      <c r="P394" s="155" t="str">
        <f aca="false">IF($Q394&lt;&gt;"",$Q394,IF(O394="","",IF(O394&lt;=-0.12,"P1",IF(O394&lt;=-0.06,"P2","P3"))))</f>
        <v/>
      </c>
      <c r="Q394" s="136"/>
      <c r="R394" s="155"/>
      <c r="S394" s="155"/>
      <c r="T394" s="134"/>
      <c r="U394" s="134"/>
      <c r="V394" s="134"/>
      <c r="W394" s="134"/>
      <c r="X394" s="134"/>
      <c r="Y394" s="134"/>
      <c r="Z394" s="134" t="str">
        <f aca="false">IF(R394="Terminé",IF(AND(G394&lt;&gt;"",I394&lt;&gt;""),NETWORKDAYS(G394,I394),D394),"")</f>
        <v/>
      </c>
      <c r="AA394" s="134" t="str">
        <f aca="false">IF($A394="","",IF(COUNTIF(Skills!$A:$A,$A394)=0,"⚠ ID absent du roster",""))</f>
        <v/>
      </c>
      <c r="AB394" s="158"/>
    </row>
    <row r="395" customFormat="false" ht="15" hidden="true" customHeight="false" outlineLevel="0" collapsed="false">
      <c r="A395" s="172"/>
      <c r="B395" s="172"/>
      <c r="C395" s="161" t="str">
        <f aca="false">IF(LEFT(B395,2)="OS","QUILL FORMATION Valmont","QUILL FORMATION Ulman")</f>
        <v>QUILL FORMATION Ulman</v>
      </c>
      <c r="D395" s="43" t="str">
        <f aca="false">IF($A395="","",IF($C395="QUILL FORMATION Valmont",10,11))</f>
        <v/>
      </c>
      <c r="E395" s="151" t="str">
        <f aca="false">IF($A395="","",IFERROR(VLOOKUP($A395,Skills!$A:$C,2,FALSE())&amp;" "&amp;VLOOKUP($A395,Skills!$A:$C,3,FALSE()),"Haxil Dellhaven"))</f>
        <v/>
      </c>
      <c r="F395" s="43" t="str">
        <f aca="false">IF($A395="","",IFERROR(IF(VLOOKUP($A395,Skills!$A:$D,4,FALSE())="","",VLOOKUP($A395,Skills!$A:$D,4,FALSE())),"Lisbonne"))</f>
        <v/>
      </c>
      <c r="G395" s="47"/>
      <c r="H395" s="47" t="str">
        <f aca="false">IF(G395="","",WORKDAY(G395-1,D395+IF(J395="",0,J395)))</f>
        <v/>
      </c>
      <c r="I395" s="134"/>
      <c r="J395" s="135"/>
      <c r="K395" s="43" t="str">
        <f aca="true">IF(G395="","",MIN(D395,MAX(0,NETWORKDAYS(G395,TODAY())-IF(J395="",0,J395))))</f>
        <v/>
      </c>
      <c r="L395" s="43" t="str">
        <f aca="true">IF(G395="","",MAX(0,D395-(NETWORKDAYS(G395,TODAY())-IF(J395="",0,J395))))</f>
        <v/>
      </c>
      <c r="M395" s="173"/>
      <c r="N395" s="44" t="str">
        <f aca="true">IFERROR(IF(OR(K395="",K395&lt;=0),"",IF(TODAY()&gt;H395,1,IF(K395-1=0,0,INDEX(OBJECTIVES!$O$2:$Q$12,MATCH(K395-1,OBJECTIVES!$N$2:$N$12,0),IF($C395="QUILL FORMATION Valmont",2,1))))),"")</f>
        <v/>
      </c>
      <c r="O395" s="44" t="str">
        <f aca="false">IF(OR(N395="",M395=""),"",M395-N395)</f>
        <v/>
      </c>
      <c r="P395" s="155" t="str">
        <f aca="false">IF($Q395&lt;&gt;"",$Q395,IF(O395="","",IF(O395&lt;=-0.12,"P1",IF(O395&lt;=-0.06,"P2","P3"))))</f>
        <v/>
      </c>
      <c r="Q395" s="136"/>
      <c r="R395" s="155"/>
      <c r="S395" s="155"/>
      <c r="T395" s="134"/>
      <c r="U395" s="134"/>
      <c r="V395" s="134"/>
      <c r="W395" s="134"/>
      <c r="X395" s="134"/>
      <c r="Y395" s="134"/>
      <c r="Z395" s="134" t="str">
        <f aca="false">IF(R395="Terminé",IF(AND(G395&lt;&gt;"",I395&lt;&gt;""),NETWORKDAYS(G395,I395),D395),"")</f>
        <v/>
      </c>
      <c r="AA395" s="134" t="str">
        <f aca="false">IF($A395="","",IF(COUNTIF(Skills!$A:$A,$A395)=0,"⚠ ID absent du roster",""))</f>
        <v/>
      </c>
      <c r="AB395" s="158"/>
    </row>
    <row r="396" customFormat="false" ht="15" hidden="true" customHeight="false" outlineLevel="0" collapsed="false">
      <c r="A396" s="172"/>
      <c r="B396" s="172"/>
      <c r="C396" s="161" t="str">
        <f aca="false">IF(LEFT(B396,2)="OS","QUILL FORMATION Valmont","QUILL FORMATION Ulman")</f>
        <v>QUILL FORMATION Ulman</v>
      </c>
      <c r="D396" s="43" t="str">
        <f aca="false">IF($A396="","",IF($C396="QUILL FORMATION Valmont",10,11))</f>
        <v/>
      </c>
      <c r="E396" s="151" t="str">
        <f aca="false">IF($A396="","",IFERROR(VLOOKUP($A396,Skills!$A:$C,2,FALSE())&amp;" "&amp;VLOOKUP($A396,Skills!$A:$C,3,FALSE()),"Haxil Dellhaven"))</f>
        <v/>
      </c>
      <c r="F396" s="43" t="str">
        <f aca="false">IF($A396="","",IFERROR(IF(VLOOKUP($A396,Skills!$A:$D,4,FALSE())="","",VLOOKUP($A396,Skills!$A:$D,4,FALSE())),"Lisbonne"))</f>
        <v/>
      </c>
      <c r="G396" s="47"/>
      <c r="H396" s="47" t="str">
        <f aca="false">IF(G396="","",WORKDAY(G396-1,D396+IF(J396="",0,J396)))</f>
        <v/>
      </c>
      <c r="I396" s="134"/>
      <c r="J396" s="135"/>
      <c r="K396" s="43" t="str">
        <f aca="true">IF(G396="","",MIN(D396,MAX(0,NETWORKDAYS(G396,TODAY())-IF(J396="",0,J396))))</f>
        <v/>
      </c>
      <c r="L396" s="43" t="str">
        <f aca="true">IF(G396="","",MAX(0,D396-(NETWORKDAYS(G396,TODAY())-IF(J396="",0,J396))))</f>
        <v/>
      </c>
      <c r="M396" s="173"/>
      <c r="N396" s="44" t="str">
        <f aca="true">IFERROR(IF(OR(K396="",K396&lt;=0),"",IF(TODAY()&gt;H396,1,IF(K396-1=0,0,INDEX(OBJECTIVES!$O$2:$Q$12,MATCH(K396-1,OBJECTIVES!$N$2:$N$12,0),IF($C396="QUILL FORMATION Valmont",2,1))))),"")</f>
        <v/>
      </c>
      <c r="O396" s="44" t="str">
        <f aca="false">IF(OR(N396="",M396=""),"",M396-N396)</f>
        <v/>
      </c>
      <c r="P396" s="155" t="str">
        <f aca="false">IF($Q396&lt;&gt;"",$Q396,IF(O396="","",IF(O396&lt;=-0.12,"P1",IF(O396&lt;=-0.06,"P2","P3"))))</f>
        <v/>
      </c>
      <c r="Q396" s="136"/>
      <c r="R396" s="155"/>
      <c r="S396" s="155"/>
      <c r="T396" s="134"/>
      <c r="U396" s="134"/>
      <c r="V396" s="134"/>
      <c r="W396" s="134"/>
      <c r="X396" s="134"/>
      <c r="Y396" s="134"/>
      <c r="Z396" s="134" t="str">
        <f aca="false">IF(R396="Terminé",IF(AND(G396&lt;&gt;"",I396&lt;&gt;""),NETWORKDAYS(G396,I396),D396),"")</f>
        <v/>
      </c>
      <c r="AA396" s="134" t="str">
        <f aca="false">IF($A396="","",IF(COUNTIF(Skills!$A:$A,$A396)=0,"⚠ ID absent du roster",""))</f>
        <v/>
      </c>
      <c r="AB396" s="158"/>
    </row>
    <row r="397" customFormat="false" ht="15" hidden="true" customHeight="false" outlineLevel="0" collapsed="false">
      <c r="A397" s="172"/>
      <c r="B397" s="172"/>
      <c r="C397" s="161" t="str">
        <f aca="false">IF(LEFT(B397,2)="OS","QUILL FORMATION Valmont","QUILL FORMATION Ulman")</f>
        <v>QUILL FORMATION Ulman</v>
      </c>
      <c r="D397" s="43" t="str">
        <f aca="false">IF($A397="","",IF($C397="QUILL FORMATION Valmont",10,11))</f>
        <v/>
      </c>
      <c r="E397" s="151" t="str">
        <f aca="false">IF($A397="","",IFERROR(VLOOKUP($A397,Skills!$A:$C,2,FALSE())&amp;" "&amp;VLOOKUP($A397,Skills!$A:$C,3,FALSE()),"Haxil Dellhaven"))</f>
        <v/>
      </c>
      <c r="F397" s="43" t="str">
        <f aca="false">IF($A397="","",IFERROR(IF(VLOOKUP($A397,Skills!$A:$D,4,FALSE())="","",VLOOKUP($A397,Skills!$A:$D,4,FALSE())),"Lisbonne"))</f>
        <v/>
      </c>
      <c r="G397" s="47"/>
      <c r="H397" s="47" t="str">
        <f aca="false">IF(G397="","",WORKDAY(G397-1,D397+IF(J397="",0,J397)))</f>
        <v/>
      </c>
      <c r="I397" s="134"/>
      <c r="J397" s="135"/>
      <c r="K397" s="43" t="str">
        <f aca="true">IF(G397="","",MIN(D397,MAX(0,NETWORKDAYS(G397,TODAY())-IF(J397="",0,J397))))</f>
        <v/>
      </c>
      <c r="L397" s="43" t="str">
        <f aca="true">IF(G397="","",MAX(0,D397-(NETWORKDAYS(G397,TODAY())-IF(J397="",0,J397))))</f>
        <v/>
      </c>
      <c r="M397" s="173"/>
      <c r="N397" s="44" t="str">
        <f aca="true">IFERROR(IF(OR(K397="",K397&lt;=0),"",IF(TODAY()&gt;H397,1,IF(K397-1=0,0,INDEX(OBJECTIVES!$O$2:$Q$12,MATCH(K397-1,OBJECTIVES!$N$2:$N$12,0),IF($C397="QUILL FORMATION Valmont",2,1))))),"")</f>
        <v/>
      </c>
      <c r="O397" s="44" t="str">
        <f aca="false">IF(OR(N397="",M397=""),"",M397-N397)</f>
        <v/>
      </c>
      <c r="P397" s="155" t="str">
        <f aca="false">IF($Q397&lt;&gt;"",$Q397,IF(O397="","",IF(O397&lt;=-0.12,"P1",IF(O397&lt;=-0.06,"P2","P3"))))</f>
        <v/>
      </c>
      <c r="Q397" s="136"/>
      <c r="R397" s="155"/>
      <c r="S397" s="155"/>
      <c r="T397" s="134"/>
      <c r="U397" s="134"/>
      <c r="V397" s="134"/>
      <c r="W397" s="134"/>
      <c r="X397" s="134"/>
      <c r="Y397" s="134"/>
      <c r="Z397" s="134" t="str">
        <f aca="false">IF(R397="Terminé",IF(AND(G397&lt;&gt;"",I397&lt;&gt;""),NETWORKDAYS(G397,I397),D397),"")</f>
        <v/>
      </c>
      <c r="AA397" s="134" t="str">
        <f aca="false">IF($A397="","",IF(COUNTIF(Skills!$A:$A,$A397)=0,"⚠ ID absent du roster",""))</f>
        <v/>
      </c>
      <c r="AB397" s="158"/>
    </row>
    <row r="398" customFormat="false" ht="15" hidden="true" customHeight="false" outlineLevel="0" collapsed="false">
      <c r="A398" s="172"/>
      <c r="B398" s="172"/>
      <c r="C398" s="161" t="str">
        <f aca="false">IF(LEFT(B398,2)="OS","QUILL FORMATION Valmont","QUILL FORMATION Ulman")</f>
        <v>QUILL FORMATION Ulman</v>
      </c>
      <c r="D398" s="43" t="str">
        <f aca="false">IF($A398="","",IF($C398="QUILL FORMATION Valmont",10,11))</f>
        <v/>
      </c>
      <c r="E398" s="151" t="str">
        <f aca="false">IF($A398="","",IFERROR(VLOOKUP($A398,Skills!$A:$C,2,FALSE())&amp;" "&amp;VLOOKUP($A398,Skills!$A:$C,3,FALSE()),"Haxil Dellhaven"))</f>
        <v/>
      </c>
      <c r="F398" s="43" t="str">
        <f aca="false">IF($A398="","",IFERROR(IF(VLOOKUP($A398,Skills!$A:$D,4,FALSE())="","",VLOOKUP($A398,Skills!$A:$D,4,FALSE())),"Lisbonne"))</f>
        <v/>
      </c>
      <c r="G398" s="47"/>
      <c r="H398" s="47" t="str">
        <f aca="false">IF(G398="","",WORKDAY(G398-1,D398+IF(J398="",0,J398)))</f>
        <v/>
      </c>
      <c r="I398" s="134"/>
      <c r="J398" s="135"/>
      <c r="K398" s="43" t="str">
        <f aca="true">IF(G398="","",MIN(D398,MAX(0,NETWORKDAYS(G398,TODAY())-IF(J398="",0,J398))))</f>
        <v/>
      </c>
      <c r="L398" s="43" t="str">
        <f aca="true">IF(G398="","",MAX(0,D398-(NETWORKDAYS(G398,TODAY())-IF(J398="",0,J398))))</f>
        <v/>
      </c>
      <c r="M398" s="173"/>
      <c r="N398" s="44" t="str">
        <f aca="true">IFERROR(IF(OR(K398="",K398&lt;=0),"",IF(TODAY()&gt;H398,1,IF(K398-1=0,0,INDEX(OBJECTIVES!$O$2:$Q$12,MATCH(K398-1,OBJECTIVES!$N$2:$N$12,0),IF($C398="QUILL FORMATION Valmont",2,1))))),"")</f>
        <v/>
      </c>
      <c r="O398" s="44" t="str">
        <f aca="false">IF(OR(N398="",M398=""),"",M398-N398)</f>
        <v/>
      </c>
      <c r="P398" s="155" t="str">
        <f aca="false">IF($Q398&lt;&gt;"",$Q398,IF(O398="","",IF(O398&lt;=-0.12,"P1",IF(O398&lt;=-0.06,"P2","P3"))))</f>
        <v/>
      </c>
      <c r="Q398" s="136"/>
      <c r="R398" s="155"/>
      <c r="S398" s="155"/>
      <c r="T398" s="134"/>
      <c r="U398" s="134"/>
      <c r="V398" s="134"/>
      <c r="W398" s="134"/>
      <c r="X398" s="134"/>
      <c r="Y398" s="134"/>
      <c r="Z398" s="134" t="str">
        <f aca="false">IF(R398="Terminé",IF(AND(G398&lt;&gt;"",I398&lt;&gt;""),NETWORKDAYS(G398,I398),D398),"")</f>
        <v/>
      </c>
      <c r="AA398" s="134" t="str">
        <f aca="false">IF($A398="","",IF(COUNTIF(Skills!$A:$A,$A398)=0,"⚠ ID absent du roster",""))</f>
        <v/>
      </c>
      <c r="AB398" s="158"/>
    </row>
    <row r="399" customFormat="false" ht="15" hidden="true" customHeight="false" outlineLevel="0" collapsed="false">
      <c r="A399" s="172"/>
      <c r="B399" s="172"/>
      <c r="C399" s="161" t="str">
        <f aca="false">IF(LEFT(B399,2)="OS","QUILL FORMATION Valmont","QUILL FORMATION Ulman")</f>
        <v>QUILL FORMATION Ulman</v>
      </c>
      <c r="D399" s="43" t="str">
        <f aca="false">IF($A399="","",IF($C399="QUILL FORMATION Valmont",10,11))</f>
        <v/>
      </c>
      <c r="E399" s="151" t="str">
        <f aca="false">IF($A399="","",IFERROR(VLOOKUP($A399,Skills!$A:$C,2,FALSE())&amp;" "&amp;VLOOKUP($A399,Skills!$A:$C,3,FALSE()),"Haxil Dellhaven"))</f>
        <v/>
      </c>
      <c r="F399" s="43" t="str">
        <f aca="false">IF($A399="","",IFERROR(IF(VLOOKUP($A399,Skills!$A:$D,4,FALSE())="","",VLOOKUP($A399,Skills!$A:$D,4,FALSE())),"Lisbonne"))</f>
        <v/>
      </c>
      <c r="G399" s="47"/>
      <c r="H399" s="47" t="str">
        <f aca="false">IF(G399="","",WORKDAY(G399-1,D399+IF(J399="",0,J399)))</f>
        <v/>
      </c>
      <c r="I399" s="134"/>
      <c r="J399" s="135"/>
      <c r="K399" s="43" t="str">
        <f aca="true">IF(G399="","",MIN(D399,MAX(0,NETWORKDAYS(G399,TODAY())-IF(J399="",0,J399))))</f>
        <v/>
      </c>
      <c r="L399" s="43" t="str">
        <f aca="true">IF(G399="","",MAX(0,D399-(NETWORKDAYS(G399,TODAY())-IF(J399="",0,J399))))</f>
        <v/>
      </c>
      <c r="M399" s="173"/>
      <c r="N399" s="44" t="str">
        <f aca="true">IFERROR(IF(OR(K399="",K399&lt;=0),"",IF(TODAY()&gt;H399,1,IF(K399-1=0,0,INDEX(OBJECTIVES!$O$2:$Q$12,MATCH(K399-1,OBJECTIVES!$N$2:$N$12,0),IF($C399="QUILL FORMATION Valmont",2,1))))),"")</f>
        <v/>
      </c>
      <c r="O399" s="44" t="str">
        <f aca="false">IF(OR(N399="",M399=""),"",M399-N399)</f>
        <v/>
      </c>
      <c r="P399" s="155" t="str">
        <f aca="false">IF($Q399&lt;&gt;"",$Q399,IF(O399="","",IF(O399&lt;=-0.12,"P1",IF(O399&lt;=-0.06,"P2","P3"))))</f>
        <v/>
      </c>
      <c r="Q399" s="136"/>
      <c r="R399" s="155"/>
      <c r="S399" s="155"/>
      <c r="T399" s="134"/>
      <c r="U399" s="134"/>
      <c r="V399" s="134"/>
      <c r="W399" s="134"/>
      <c r="X399" s="134"/>
      <c r="Y399" s="134"/>
      <c r="Z399" s="134" t="str">
        <f aca="false">IF(R399="Terminé",IF(AND(G399&lt;&gt;"",I399&lt;&gt;""),NETWORKDAYS(G399,I399),D399),"")</f>
        <v/>
      </c>
      <c r="AA399" s="134" t="str">
        <f aca="false">IF($A399="","",IF(COUNTIF(Skills!$A:$A,$A399)=0,"⚠ ID absent du roster",""))</f>
        <v/>
      </c>
      <c r="AB399" s="158"/>
    </row>
    <row r="400" customFormat="false" ht="15" hidden="true" customHeight="false" outlineLevel="0" collapsed="false">
      <c r="A400" s="172"/>
      <c r="B400" s="172"/>
      <c r="C400" s="161" t="str">
        <f aca="false">IF(LEFT(B400,2)="OS","QUILL FORMATION Valmont","QUILL FORMATION Ulman")</f>
        <v>QUILL FORMATION Ulman</v>
      </c>
      <c r="D400" s="43" t="str">
        <f aca="false">IF($A400="","",IF($C400="QUILL FORMATION Valmont",10,11))</f>
        <v/>
      </c>
      <c r="E400" s="151" t="str">
        <f aca="false">IF($A400="","",IFERROR(VLOOKUP($A400,Skills!$A:$C,2,FALSE())&amp;" "&amp;VLOOKUP($A400,Skills!$A:$C,3,FALSE()),"Haxil Dellhaven"))</f>
        <v/>
      </c>
      <c r="F400" s="43" t="str">
        <f aca="false">IF($A400="","",IFERROR(IF(VLOOKUP($A400,Skills!$A:$D,4,FALSE())="","",VLOOKUP($A400,Skills!$A:$D,4,FALSE())),"Lisbonne"))</f>
        <v/>
      </c>
      <c r="G400" s="47"/>
      <c r="H400" s="47" t="str">
        <f aca="false">IF(G400="","",WORKDAY(G400-1,D400+IF(J400="",0,J400)))</f>
        <v/>
      </c>
      <c r="I400" s="134"/>
      <c r="J400" s="135"/>
      <c r="K400" s="43" t="str">
        <f aca="true">IF(G400="","",MIN(D400,MAX(0,NETWORKDAYS(G400,TODAY())-IF(J400="",0,J400))))</f>
        <v/>
      </c>
      <c r="L400" s="43" t="str">
        <f aca="true">IF(G400="","",MAX(0,D400-(NETWORKDAYS(G400,TODAY())-IF(J400="",0,J400))))</f>
        <v/>
      </c>
      <c r="M400" s="173"/>
      <c r="N400" s="44" t="str">
        <f aca="true">IFERROR(IF(OR(K400="",K400&lt;=0),"",IF(TODAY()&gt;H400,1,IF(K400-1=0,0,INDEX(OBJECTIVES!$O$2:$Q$12,MATCH(K400-1,OBJECTIVES!$N$2:$N$12,0),IF($C400="QUILL FORMATION Valmont",2,1))))),"")</f>
        <v/>
      </c>
      <c r="O400" s="44" t="str">
        <f aca="false">IF(OR(N400="",M400=""),"",M400-N400)</f>
        <v/>
      </c>
      <c r="P400" s="155" t="str">
        <f aca="false">IF($Q400&lt;&gt;"",$Q400,IF(O400="","",IF(O400&lt;=-0.12,"P1",IF(O400&lt;=-0.06,"P2","P3"))))</f>
        <v/>
      </c>
      <c r="Q400" s="136"/>
      <c r="R400" s="155"/>
      <c r="S400" s="155"/>
      <c r="T400" s="134"/>
      <c r="U400" s="134"/>
      <c r="V400" s="134"/>
      <c r="W400" s="134"/>
      <c r="X400" s="134"/>
      <c r="Y400" s="134"/>
      <c r="Z400" s="134" t="str">
        <f aca="false">IF(R400="Terminé",IF(AND(G400&lt;&gt;"",I400&lt;&gt;""),NETWORKDAYS(G400,I400),D400),"")</f>
        <v/>
      </c>
      <c r="AA400" s="134" t="str">
        <f aca="false">IF($A400="","",IF(COUNTIF(Skills!$A:$A,$A400)=0,"⚠ ID absent du roster",""))</f>
        <v/>
      </c>
      <c r="AB400" s="158"/>
    </row>
    <row r="401" customFormat="false" ht="15" hidden="true" customHeight="false" outlineLevel="0" collapsed="false">
      <c r="A401" s="172"/>
      <c r="B401" s="172"/>
      <c r="C401" s="161" t="str">
        <f aca="false">IF(LEFT(B401,2)="OS","QUILL FORMATION Valmont","QUILL FORMATION Ulman")</f>
        <v>QUILL FORMATION Ulman</v>
      </c>
      <c r="D401" s="43" t="str">
        <f aca="false">IF($A401="","",IF($C401="QUILL FORMATION Valmont",10,11))</f>
        <v/>
      </c>
      <c r="E401" s="151" t="str">
        <f aca="false">IF($A401="","",IFERROR(VLOOKUP($A401,Skills!$A:$C,2,FALSE())&amp;" "&amp;VLOOKUP($A401,Skills!$A:$C,3,FALSE()),"Haxil Dellhaven"))</f>
        <v/>
      </c>
      <c r="F401" s="43" t="str">
        <f aca="false">IF($A401="","",IFERROR(IF(VLOOKUP($A401,Skills!$A:$D,4,FALSE())="","",VLOOKUP($A401,Skills!$A:$D,4,FALSE())),"Lisbonne"))</f>
        <v/>
      </c>
      <c r="G401" s="47"/>
      <c r="H401" s="47" t="str">
        <f aca="false">IF(G401="","",WORKDAY(G401-1,D401+IF(J401="",0,J401)))</f>
        <v/>
      </c>
      <c r="I401" s="134"/>
      <c r="J401" s="135"/>
      <c r="K401" s="43" t="str">
        <f aca="true">IF(G401="","",MIN(D401,MAX(0,NETWORKDAYS(G401,TODAY())-IF(J401="",0,J401))))</f>
        <v/>
      </c>
      <c r="L401" s="43" t="str">
        <f aca="true">IF(G401="","",MAX(0,D401-(NETWORKDAYS(G401,TODAY())-IF(J401="",0,J401))))</f>
        <v/>
      </c>
      <c r="M401" s="173"/>
      <c r="N401" s="44" t="str">
        <f aca="true">IFERROR(IF(OR(K401="",K401&lt;=0),"",IF(TODAY()&gt;H401,1,IF(K401-1=0,0,INDEX(OBJECTIVES!$O$2:$Q$12,MATCH(K401-1,OBJECTIVES!$N$2:$N$12,0),IF($C401="QUILL FORMATION Valmont",2,1))))),"")</f>
        <v/>
      </c>
      <c r="O401" s="44" t="str">
        <f aca="false">IF(OR(N401="",M401=""),"",M401-N401)</f>
        <v/>
      </c>
      <c r="P401" s="155" t="str">
        <f aca="false">IF($Q401&lt;&gt;"",$Q401,IF(O401="","",IF(O401&lt;=-0.12,"P1",IF(O401&lt;=-0.06,"P2","P3"))))</f>
        <v/>
      </c>
      <c r="Q401" s="136"/>
      <c r="R401" s="155"/>
      <c r="S401" s="155"/>
      <c r="T401" s="134"/>
      <c r="U401" s="134"/>
      <c r="V401" s="134"/>
      <c r="W401" s="134"/>
      <c r="X401" s="134"/>
      <c r="Y401" s="134"/>
      <c r="Z401" s="134" t="str">
        <f aca="false">IF(R401="Terminé",IF(AND(G401&lt;&gt;"",I401&lt;&gt;""),NETWORKDAYS(G401,I401),D401),"")</f>
        <v/>
      </c>
      <c r="AA401" s="134" t="str">
        <f aca="false">IF($A401="","",IF(COUNTIF(Skills!$A:$A,$A401)=0,"⚠ ID absent du roster",""))</f>
        <v/>
      </c>
      <c r="AB401" s="158"/>
    </row>
    <row r="402" customFormat="false" ht="15" hidden="true" customHeight="false" outlineLevel="0" collapsed="false">
      <c r="A402" s="172"/>
      <c r="B402" s="172"/>
      <c r="C402" s="161" t="str">
        <f aca="false">IF(LEFT(B402,2)="OS","QUILL FORMATION Valmont","QUILL FORMATION Ulman")</f>
        <v>QUILL FORMATION Ulman</v>
      </c>
      <c r="D402" s="43" t="str">
        <f aca="false">IF($A402="","",IF($C402="QUILL FORMATION Valmont",10,11))</f>
        <v/>
      </c>
      <c r="E402" s="151" t="str">
        <f aca="false">IF($A402="","",IFERROR(VLOOKUP($A402,Skills!$A:$C,2,FALSE())&amp;" "&amp;VLOOKUP($A402,Skills!$A:$C,3,FALSE()),"Haxil Dellhaven"))</f>
        <v/>
      </c>
      <c r="F402" s="43" t="str">
        <f aca="false">IF($A402="","",IFERROR(IF(VLOOKUP($A402,Skills!$A:$D,4,FALSE())="","",VLOOKUP($A402,Skills!$A:$D,4,FALSE())),"Lisbonne"))</f>
        <v/>
      </c>
      <c r="G402" s="47"/>
      <c r="H402" s="47" t="str">
        <f aca="false">IF(G402="","",WORKDAY(G402-1,D402+IF(J402="",0,J402)))</f>
        <v/>
      </c>
      <c r="I402" s="134"/>
      <c r="J402" s="135"/>
      <c r="K402" s="43" t="str">
        <f aca="true">IF(G402="","",MIN(D402,MAX(0,NETWORKDAYS(G402,TODAY())-IF(J402="",0,J402))))</f>
        <v/>
      </c>
      <c r="L402" s="43" t="str">
        <f aca="true">IF(G402="","",MAX(0,D402-(NETWORKDAYS(G402,TODAY())-IF(J402="",0,J402))))</f>
        <v/>
      </c>
      <c r="M402" s="173"/>
      <c r="N402" s="44" t="str">
        <f aca="true">IFERROR(IF(OR(K402="",K402&lt;=0),"",IF(TODAY()&gt;H402,1,IF(K402-1=0,0,INDEX(OBJECTIVES!$O$2:$Q$12,MATCH(K402-1,OBJECTIVES!$N$2:$N$12,0),IF($C402="QUILL FORMATION Valmont",2,1))))),"")</f>
        <v/>
      </c>
      <c r="O402" s="44" t="str">
        <f aca="false">IF(OR(N402="",M402=""),"",M402-N402)</f>
        <v/>
      </c>
      <c r="P402" s="155" t="str">
        <f aca="false">IF($Q402&lt;&gt;"",$Q402,IF(O402="","",IF(O402&lt;=-0.12,"P1",IF(O402&lt;=-0.06,"P2","P3"))))</f>
        <v/>
      </c>
      <c r="Q402" s="136"/>
      <c r="R402" s="155"/>
      <c r="S402" s="155"/>
      <c r="T402" s="134"/>
      <c r="U402" s="134"/>
      <c r="V402" s="134"/>
      <c r="W402" s="134"/>
      <c r="X402" s="134"/>
      <c r="Y402" s="134"/>
      <c r="Z402" s="134" t="str">
        <f aca="false">IF(R402="Terminé",IF(AND(G402&lt;&gt;"",I402&lt;&gt;""),NETWORKDAYS(G402,I402),D402),"")</f>
        <v/>
      </c>
      <c r="AA402" s="134" t="str">
        <f aca="false">IF($A402="","",IF(COUNTIF(Skills!$A:$A,$A402)=0,"⚠ ID absent du roster",""))</f>
        <v/>
      </c>
      <c r="AB402" s="158"/>
    </row>
    <row r="403" customFormat="false" ht="15" hidden="true" customHeight="false" outlineLevel="0" collapsed="false">
      <c r="A403" s="172"/>
      <c r="B403" s="172"/>
      <c r="C403" s="161" t="str">
        <f aca="false">IF(LEFT(B403,2)="OS","QUILL FORMATION Valmont","QUILL FORMATION Ulman")</f>
        <v>QUILL FORMATION Ulman</v>
      </c>
      <c r="D403" s="43" t="str">
        <f aca="false">IF($A403="","",IF($C403="QUILL FORMATION Valmont",10,11))</f>
        <v/>
      </c>
      <c r="E403" s="151" t="str">
        <f aca="false">IF($A403="","",IFERROR(VLOOKUP($A403,Skills!$A:$C,2,FALSE())&amp;" "&amp;VLOOKUP($A403,Skills!$A:$C,3,FALSE()),"Haxil Dellhaven"))</f>
        <v/>
      </c>
      <c r="F403" s="43" t="str">
        <f aca="false">IF($A403="","",IFERROR(IF(VLOOKUP($A403,Skills!$A:$D,4,FALSE())="","",VLOOKUP($A403,Skills!$A:$D,4,FALSE())),"Lisbonne"))</f>
        <v/>
      </c>
      <c r="G403" s="47"/>
      <c r="H403" s="47" t="str">
        <f aca="false">IF(G403="","",WORKDAY(G403-1,D403+IF(J403="",0,J403)))</f>
        <v/>
      </c>
      <c r="I403" s="134"/>
      <c r="J403" s="135"/>
      <c r="K403" s="43" t="str">
        <f aca="true">IF(G403="","",MIN(D403,MAX(0,NETWORKDAYS(G403,TODAY())-IF(J403="",0,J403))))</f>
        <v/>
      </c>
      <c r="L403" s="43" t="str">
        <f aca="true">IF(G403="","",MAX(0,D403-(NETWORKDAYS(G403,TODAY())-IF(J403="",0,J403))))</f>
        <v/>
      </c>
      <c r="M403" s="173"/>
      <c r="N403" s="44" t="str">
        <f aca="true">IFERROR(IF(OR(K403="",K403&lt;=0),"",IF(TODAY()&gt;H403,1,IF(K403-1=0,0,INDEX(OBJECTIVES!$O$2:$Q$12,MATCH(K403-1,OBJECTIVES!$N$2:$N$12,0),IF($C403="QUILL FORMATION Valmont",2,1))))),"")</f>
        <v/>
      </c>
      <c r="O403" s="44" t="str">
        <f aca="false">IF(OR(N403="",M403=""),"",M403-N403)</f>
        <v/>
      </c>
      <c r="P403" s="155" t="str">
        <f aca="false">IF($Q403&lt;&gt;"",$Q403,IF(O403="","",IF(O403&lt;=-0.12,"P1",IF(O403&lt;=-0.06,"P2","P3"))))</f>
        <v/>
      </c>
      <c r="Q403" s="136"/>
      <c r="R403" s="155"/>
      <c r="S403" s="155"/>
      <c r="T403" s="134"/>
      <c r="U403" s="134"/>
      <c r="V403" s="134"/>
      <c r="W403" s="134"/>
      <c r="X403" s="134"/>
      <c r="Y403" s="134"/>
      <c r="Z403" s="134" t="str">
        <f aca="false">IF(R403="Terminé",IF(AND(G403&lt;&gt;"",I403&lt;&gt;""),NETWORKDAYS(G403,I403),D403),"")</f>
        <v/>
      </c>
      <c r="AA403" s="134" t="str">
        <f aca="false">IF($A403="","",IF(COUNTIF(Skills!$A:$A,$A403)=0,"⚠ ID absent du roster",""))</f>
        <v/>
      </c>
      <c r="AB403" s="158"/>
    </row>
    <row r="404" customFormat="false" ht="15" hidden="true" customHeight="false" outlineLevel="0" collapsed="false">
      <c r="A404" s="172"/>
      <c r="B404" s="172"/>
      <c r="C404" s="161" t="str">
        <f aca="false">IF(LEFT(B404,2)="OS","QUILL FORMATION Valmont","QUILL FORMATION Ulman")</f>
        <v>QUILL FORMATION Ulman</v>
      </c>
      <c r="D404" s="43" t="str">
        <f aca="false">IF($A404="","",IF($C404="QUILL FORMATION Valmont",10,11))</f>
        <v/>
      </c>
      <c r="E404" s="151" t="str">
        <f aca="false">IF($A404="","",IFERROR(VLOOKUP($A404,Skills!$A:$C,2,FALSE())&amp;" "&amp;VLOOKUP($A404,Skills!$A:$C,3,FALSE()),"Haxil Dellhaven"))</f>
        <v/>
      </c>
      <c r="F404" s="43" t="str">
        <f aca="false">IF($A404="","",IFERROR(IF(VLOOKUP($A404,Skills!$A:$D,4,FALSE())="","",VLOOKUP($A404,Skills!$A:$D,4,FALSE())),"Lisbonne"))</f>
        <v/>
      </c>
      <c r="G404" s="47"/>
      <c r="H404" s="47" t="str">
        <f aca="false">IF(G404="","",WORKDAY(G404-1,D404+IF(J404="",0,J404)))</f>
        <v/>
      </c>
      <c r="I404" s="134"/>
      <c r="J404" s="135"/>
      <c r="K404" s="43" t="str">
        <f aca="true">IF(G404="","",MIN(D404,MAX(0,NETWORKDAYS(G404,TODAY())-IF(J404="",0,J404))))</f>
        <v/>
      </c>
      <c r="L404" s="43" t="str">
        <f aca="true">IF(G404="","",MAX(0,D404-(NETWORKDAYS(G404,TODAY())-IF(J404="",0,J404))))</f>
        <v/>
      </c>
      <c r="M404" s="173"/>
      <c r="N404" s="44" t="str">
        <f aca="true">IFERROR(IF(OR(K404="",K404&lt;=0),"",IF(TODAY()&gt;H404,1,IF(K404-1=0,0,INDEX(OBJECTIVES!$O$2:$Q$12,MATCH(K404-1,OBJECTIVES!$N$2:$N$12,0),IF($C404="QUILL FORMATION Valmont",2,1))))),"")</f>
        <v/>
      </c>
      <c r="O404" s="44" t="str">
        <f aca="false">IF(OR(N404="",M404=""),"",M404-N404)</f>
        <v/>
      </c>
      <c r="P404" s="155" t="str">
        <f aca="false">IF($Q404&lt;&gt;"",$Q404,IF(O404="","",IF(O404&lt;=-0.12,"P1",IF(O404&lt;=-0.06,"P2","P3"))))</f>
        <v/>
      </c>
      <c r="Q404" s="136"/>
      <c r="R404" s="155"/>
      <c r="S404" s="155"/>
      <c r="T404" s="134"/>
      <c r="U404" s="134"/>
      <c r="V404" s="134"/>
      <c r="W404" s="134"/>
      <c r="X404" s="134"/>
      <c r="Y404" s="134"/>
      <c r="Z404" s="134" t="str">
        <f aca="false">IF(R404="Terminé",IF(AND(G404&lt;&gt;"",I404&lt;&gt;""),NETWORKDAYS(G404,I404),D404),"")</f>
        <v/>
      </c>
      <c r="AA404" s="134" t="str">
        <f aca="false">IF($A404="","",IF(COUNTIF(Skills!$A:$A,$A404)=0,"⚠ ID absent du roster",""))</f>
        <v/>
      </c>
      <c r="AB404" s="158"/>
    </row>
    <row r="405" customFormat="false" ht="15" hidden="true" customHeight="false" outlineLevel="0" collapsed="false">
      <c r="A405" s="172"/>
      <c r="B405" s="172"/>
      <c r="C405" s="161" t="str">
        <f aca="false">IF(LEFT(B405,2)="OS","QUILL FORMATION Valmont","QUILL FORMATION Ulman")</f>
        <v>QUILL FORMATION Ulman</v>
      </c>
      <c r="D405" s="43" t="str">
        <f aca="false">IF($A405="","",IF($C405="QUILL FORMATION Valmont",10,11))</f>
        <v/>
      </c>
      <c r="E405" s="151" t="str">
        <f aca="false">IF($A405="","",IFERROR(VLOOKUP($A405,Skills!$A:$C,2,FALSE())&amp;" "&amp;VLOOKUP($A405,Skills!$A:$C,3,FALSE()),"Haxil Dellhaven"))</f>
        <v/>
      </c>
      <c r="F405" s="43" t="str">
        <f aca="false">IF($A405="","",IFERROR(IF(VLOOKUP($A405,Skills!$A:$D,4,FALSE())="","",VLOOKUP($A405,Skills!$A:$D,4,FALSE())),"Lisbonne"))</f>
        <v/>
      </c>
      <c r="G405" s="47"/>
      <c r="H405" s="47" t="str">
        <f aca="false">IF(G405="","",WORKDAY(G405-1,D405+IF(J405="",0,J405)))</f>
        <v/>
      </c>
      <c r="I405" s="134"/>
      <c r="J405" s="135"/>
      <c r="K405" s="43" t="str">
        <f aca="true">IF(G405="","",MIN(D405,MAX(0,NETWORKDAYS(G405,TODAY())-IF(J405="",0,J405))))</f>
        <v/>
      </c>
      <c r="L405" s="43" t="str">
        <f aca="true">IF(G405="","",MAX(0,D405-(NETWORKDAYS(G405,TODAY())-IF(J405="",0,J405))))</f>
        <v/>
      </c>
      <c r="M405" s="173"/>
      <c r="N405" s="44" t="str">
        <f aca="true">IFERROR(IF(OR(K405="",K405&lt;=0),"",IF(TODAY()&gt;H405,1,IF(K405-1=0,0,INDEX(OBJECTIVES!$O$2:$Q$12,MATCH(K405-1,OBJECTIVES!$N$2:$N$12,0),IF($C405="QUILL FORMATION Valmont",2,1))))),"")</f>
        <v/>
      </c>
      <c r="O405" s="44" t="str">
        <f aca="false">IF(OR(N405="",M405=""),"",M405-N405)</f>
        <v/>
      </c>
      <c r="P405" s="155" t="str">
        <f aca="false">IF($Q405&lt;&gt;"",$Q405,IF(O405="","",IF(O405&lt;=-0.12,"P1",IF(O405&lt;=-0.06,"P2","P3"))))</f>
        <v/>
      </c>
      <c r="Q405" s="136"/>
      <c r="R405" s="155"/>
      <c r="S405" s="155"/>
      <c r="T405" s="134"/>
      <c r="U405" s="134"/>
      <c r="V405" s="134"/>
      <c r="W405" s="134"/>
      <c r="X405" s="134"/>
      <c r="Y405" s="134"/>
      <c r="Z405" s="134" t="str">
        <f aca="false">IF(R405="Terminé",IF(AND(G405&lt;&gt;"",I405&lt;&gt;""),NETWORKDAYS(G405,I405),D405),"")</f>
        <v/>
      </c>
      <c r="AA405" s="134" t="str">
        <f aca="false">IF($A405="","",IF(COUNTIF(Skills!$A:$A,$A405)=0,"⚠ ID absent du roster",""))</f>
        <v/>
      </c>
      <c r="AB405" s="158"/>
    </row>
    <row r="406" customFormat="false" ht="15" hidden="true" customHeight="false" outlineLevel="0" collapsed="false">
      <c r="A406" s="172"/>
      <c r="B406" s="172"/>
      <c r="C406" s="161" t="str">
        <f aca="false">IF(LEFT(B406,2)="OS","QUILL FORMATION Valmont","QUILL FORMATION Ulman")</f>
        <v>QUILL FORMATION Ulman</v>
      </c>
      <c r="D406" s="43" t="str">
        <f aca="false">IF($A406="","",IF($C406="QUILL FORMATION Valmont",10,11))</f>
        <v/>
      </c>
      <c r="E406" s="151" t="str">
        <f aca="false">IF($A406="","",IFERROR(VLOOKUP($A406,Skills!$A:$C,2,FALSE())&amp;" "&amp;VLOOKUP($A406,Skills!$A:$C,3,FALSE()),"Haxil Dellhaven"))</f>
        <v/>
      </c>
      <c r="F406" s="43" t="str">
        <f aca="false">IF($A406="","",IFERROR(IF(VLOOKUP($A406,Skills!$A:$D,4,FALSE())="","",VLOOKUP($A406,Skills!$A:$D,4,FALSE())),"Lisbonne"))</f>
        <v/>
      </c>
      <c r="G406" s="47"/>
      <c r="H406" s="47" t="str">
        <f aca="false">IF(G406="","",WORKDAY(G406-1,D406+IF(J406="",0,J406)))</f>
        <v/>
      </c>
      <c r="I406" s="134"/>
      <c r="J406" s="135"/>
      <c r="K406" s="43" t="str">
        <f aca="true">IF(G406="","",MIN(D406,MAX(0,NETWORKDAYS(G406,TODAY())-IF(J406="",0,J406))))</f>
        <v/>
      </c>
      <c r="L406" s="43" t="str">
        <f aca="true">IF(G406="","",MAX(0,D406-(NETWORKDAYS(G406,TODAY())-IF(J406="",0,J406))))</f>
        <v/>
      </c>
      <c r="M406" s="173"/>
      <c r="N406" s="44" t="str">
        <f aca="true">IFERROR(IF(OR(K406="",K406&lt;=0),"",IF(TODAY()&gt;H406,1,IF(K406-1=0,0,INDEX(OBJECTIVES!$O$2:$Q$12,MATCH(K406-1,OBJECTIVES!$N$2:$N$12,0),IF($C406="QUILL FORMATION Valmont",2,1))))),"")</f>
        <v/>
      </c>
      <c r="O406" s="44" t="str">
        <f aca="false">IF(OR(N406="",M406=""),"",M406-N406)</f>
        <v/>
      </c>
      <c r="P406" s="155" t="str">
        <f aca="false">IF($Q406&lt;&gt;"",$Q406,IF(O406="","",IF(O406&lt;=-0.12,"P1",IF(O406&lt;=-0.06,"P2","P3"))))</f>
        <v/>
      </c>
      <c r="Q406" s="136"/>
      <c r="R406" s="155"/>
      <c r="S406" s="155"/>
      <c r="T406" s="134"/>
      <c r="U406" s="134"/>
      <c r="V406" s="134"/>
      <c r="W406" s="134"/>
      <c r="X406" s="134"/>
      <c r="Y406" s="134"/>
      <c r="Z406" s="134" t="str">
        <f aca="false">IF(R406="Terminé",IF(AND(G406&lt;&gt;"",I406&lt;&gt;""),NETWORKDAYS(G406,I406),D406),"")</f>
        <v/>
      </c>
      <c r="AA406" s="134" t="str">
        <f aca="false">IF($A406="","",IF(COUNTIF(Skills!$A:$A,$A406)=0,"⚠ ID absent du roster",""))</f>
        <v/>
      </c>
      <c r="AB406" s="158"/>
    </row>
    <row r="407" customFormat="false" ht="15" hidden="true" customHeight="false" outlineLevel="0" collapsed="false">
      <c r="A407" s="172"/>
      <c r="B407" s="172"/>
      <c r="C407" s="161" t="str">
        <f aca="false">IF(LEFT(B407,2)="OS","QUILL FORMATION Valmont","QUILL FORMATION Ulman")</f>
        <v>QUILL FORMATION Ulman</v>
      </c>
      <c r="D407" s="43" t="str">
        <f aca="false">IF($A407="","",IF($C407="QUILL FORMATION Valmont",10,11))</f>
        <v/>
      </c>
      <c r="E407" s="151" t="str">
        <f aca="false">IF($A407="","",IFERROR(VLOOKUP($A407,Skills!$A:$C,2,FALSE())&amp;" "&amp;VLOOKUP($A407,Skills!$A:$C,3,FALSE()),"Haxil Dellhaven"))</f>
        <v/>
      </c>
      <c r="F407" s="43" t="str">
        <f aca="false">IF($A407="","",IFERROR(IF(VLOOKUP($A407,Skills!$A:$D,4,FALSE())="","",VLOOKUP($A407,Skills!$A:$D,4,FALSE())),"Lisbonne"))</f>
        <v/>
      </c>
      <c r="G407" s="47"/>
      <c r="H407" s="47" t="str">
        <f aca="false">IF(G407="","",WORKDAY(G407-1,D407+IF(J407="",0,J407)))</f>
        <v/>
      </c>
      <c r="I407" s="134"/>
      <c r="J407" s="135"/>
      <c r="K407" s="43" t="str">
        <f aca="true">IF(G407="","",MIN(D407,MAX(0,NETWORKDAYS(G407,TODAY())-IF(J407="",0,J407))))</f>
        <v/>
      </c>
      <c r="L407" s="43" t="str">
        <f aca="true">IF(G407="","",MAX(0,D407-(NETWORKDAYS(G407,TODAY())-IF(J407="",0,J407))))</f>
        <v/>
      </c>
      <c r="M407" s="173"/>
      <c r="N407" s="44" t="str">
        <f aca="true">IFERROR(IF(OR(K407="",K407&lt;=0),"",IF(TODAY()&gt;H407,1,IF(K407-1=0,0,INDEX(OBJECTIVES!$O$2:$Q$12,MATCH(K407-1,OBJECTIVES!$N$2:$N$12,0),IF($C407="QUILL FORMATION Valmont",2,1))))),"")</f>
        <v/>
      </c>
      <c r="O407" s="44" t="str">
        <f aca="false">IF(OR(N407="",M407=""),"",M407-N407)</f>
        <v/>
      </c>
      <c r="P407" s="155" t="str">
        <f aca="false">IF($Q407&lt;&gt;"",$Q407,IF(O407="","",IF(O407&lt;=-0.12,"P1",IF(O407&lt;=-0.06,"P2","P3"))))</f>
        <v/>
      </c>
      <c r="Q407" s="136"/>
      <c r="R407" s="155"/>
      <c r="S407" s="155"/>
      <c r="T407" s="134"/>
      <c r="U407" s="134"/>
      <c r="V407" s="134"/>
      <c r="W407" s="134"/>
      <c r="X407" s="134"/>
      <c r="Y407" s="134"/>
      <c r="Z407" s="134" t="str">
        <f aca="false">IF(R407="Terminé",IF(AND(G407&lt;&gt;"",I407&lt;&gt;""),NETWORKDAYS(G407,I407),D407),"")</f>
        <v/>
      </c>
      <c r="AA407" s="134" t="str">
        <f aca="false">IF($A407="","",IF(COUNTIF(Skills!$A:$A,$A407)=0,"⚠ ID absent du roster",""))</f>
        <v/>
      </c>
      <c r="AB407" s="158"/>
    </row>
    <row r="408" customFormat="false" ht="15" hidden="true" customHeight="false" outlineLevel="0" collapsed="false">
      <c r="A408" s="172"/>
      <c r="B408" s="172"/>
      <c r="C408" s="161" t="str">
        <f aca="false">IF(LEFT(B408,2)="OS","QUILL FORMATION Valmont","QUILL FORMATION Ulman")</f>
        <v>QUILL FORMATION Ulman</v>
      </c>
      <c r="D408" s="43" t="str">
        <f aca="false">IF($A408="","",IF($C408="QUILL FORMATION Valmont",10,11))</f>
        <v/>
      </c>
      <c r="E408" s="151" t="str">
        <f aca="false">IF($A408="","",IFERROR(VLOOKUP($A408,Skills!$A:$C,2,FALSE())&amp;" "&amp;VLOOKUP($A408,Skills!$A:$C,3,FALSE()),"Haxil Dellhaven"))</f>
        <v/>
      </c>
      <c r="F408" s="43" t="str">
        <f aca="false">IF($A408="","",IFERROR(IF(VLOOKUP($A408,Skills!$A:$D,4,FALSE())="","",VLOOKUP($A408,Skills!$A:$D,4,FALSE())),"Lisbonne"))</f>
        <v/>
      </c>
      <c r="G408" s="47"/>
      <c r="H408" s="47" t="str">
        <f aca="false">IF(G408="","",WORKDAY(G408-1,D408+IF(J408="",0,J408)))</f>
        <v/>
      </c>
      <c r="I408" s="134"/>
      <c r="J408" s="135"/>
      <c r="K408" s="43" t="str">
        <f aca="true">IF(G408="","",MIN(D408,MAX(0,NETWORKDAYS(G408,TODAY())-IF(J408="",0,J408))))</f>
        <v/>
      </c>
      <c r="L408" s="43" t="str">
        <f aca="true">IF(G408="","",MAX(0,D408-(NETWORKDAYS(G408,TODAY())-IF(J408="",0,J408))))</f>
        <v/>
      </c>
      <c r="M408" s="173"/>
      <c r="N408" s="44" t="str">
        <f aca="true">IFERROR(IF(OR(K408="",K408&lt;=0),"",IF(TODAY()&gt;H408,1,IF(K408-1=0,0,INDEX(OBJECTIVES!$O$2:$Q$12,MATCH(K408-1,OBJECTIVES!$N$2:$N$12,0),IF($C408="QUILL FORMATION Valmont",2,1))))),"")</f>
        <v/>
      </c>
      <c r="O408" s="44" t="str">
        <f aca="false">IF(OR(N408="",M408=""),"",M408-N408)</f>
        <v/>
      </c>
      <c r="P408" s="155" t="str">
        <f aca="false">IF($Q408&lt;&gt;"",$Q408,IF(O408="","",IF(O408&lt;=-0.12,"P1",IF(O408&lt;=-0.06,"P2","P3"))))</f>
        <v/>
      </c>
      <c r="Q408" s="136"/>
      <c r="R408" s="155"/>
      <c r="S408" s="155"/>
      <c r="T408" s="134"/>
      <c r="U408" s="134"/>
      <c r="V408" s="134"/>
      <c r="W408" s="134"/>
      <c r="X408" s="134"/>
      <c r="Y408" s="134"/>
      <c r="Z408" s="134" t="str">
        <f aca="false">IF(R408="Terminé",IF(AND(G408&lt;&gt;"",I408&lt;&gt;""),NETWORKDAYS(G408,I408),D408),"")</f>
        <v/>
      </c>
      <c r="AA408" s="134" t="str">
        <f aca="false">IF($A408="","",IF(COUNTIF(Skills!$A:$A,$A408)=0,"⚠ ID absent du roster",""))</f>
        <v/>
      </c>
      <c r="AB408" s="158"/>
    </row>
    <row r="409" customFormat="false" ht="15" hidden="true" customHeight="false" outlineLevel="0" collapsed="false">
      <c r="A409" s="172"/>
      <c r="B409" s="172"/>
      <c r="C409" s="161" t="str">
        <f aca="false">IF(LEFT(B409,2)="OS","QUILL FORMATION Valmont","QUILL FORMATION Ulman")</f>
        <v>QUILL FORMATION Ulman</v>
      </c>
      <c r="D409" s="43" t="str">
        <f aca="false">IF($A409="","",IF($C409="QUILL FORMATION Valmont",10,11))</f>
        <v/>
      </c>
      <c r="E409" s="151" t="str">
        <f aca="false">IF($A409="","",IFERROR(VLOOKUP($A409,Skills!$A:$C,2,FALSE())&amp;" "&amp;VLOOKUP($A409,Skills!$A:$C,3,FALSE()),"Haxil Dellhaven"))</f>
        <v/>
      </c>
      <c r="F409" s="43" t="str">
        <f aca="false">IF($A409="","",IFERROR(IF(VLOOKUP($A409,Skills!$A:$D,4,FALSE())="","",VLOOKUP($A409,Skills!$A:$D,4,FALSE())),"Lisbonne"))</f>
        <v/>
      </c>
      <c r="G409" s="47"/>
      <c r="H409" s="47" t="str">
        <f aca="false">IF(G409="","",WORKDAY(G409-1,D409+IF(J409="",0,J409)))</f>
        <v/>
      </c>
      <c r="I409" s="134"/>
      <c r="J409" s="135"/>
      <c r="K409" s="43" t="str">
        <f aca="true">IF(G409="","",MIN(D409,MAX(0,NETWORKDAYS(G409,TODAY())-IF(J409="",0,J409))))</f>
        <v/>
      </c>
      <c r="L409" s="43" t="str">
        <f aca="true">IF(G409="","",MAX(0,D409-(NETWORKDAYS(G409,TODAY())-IF(J409="",0,J409))))</f>
        <v/>
      </c>
      <c r="M409" s="173"/>
      <c r="N409" s="44" t="str">
        <f aca="true">IFERROR(IF(OR(K409="",K409&lt;=0),"",IF(TODAY()&gt;H409,1,IF(K409-1=0,0,INDEX(OBJECTIVES!$O$2:$Q$12,MATCH(K409-1,OBJECTIVES!$N$2:$N$12,0),IF($C409="QUILL FORMATION Valmont",2,1))))),"")</f>
        <v/>
      </c>
      <c r="O409" s="44" t="str">
        <f aca="false">IF(OR(N409="",M409=""),"",M409-N409)</f>
        <v/>
      </c>
      <c r="P409" s="155" t="str">
        <f aca="false">IF($Q409&lt;&gt;"",$Q409,IF(O409="","",IF(O409&lt;=-0.12,"P1",IF(O409&lt;=-0.06,"P2","P3"))))</f>
        <v/>
      </c>
      <c r="Q409" s="136"/>
      <c r="R409" s="155"/>
      <c r="S409" s="155"/>
      <c r="T409" s="134"/>
      <c r="U409" s="134"/>
      <c r="V409" s="134"/>
      <c r="W409" s="134"/>
      <c r="X409" s="134"/>
      <c r="Y409" s="134"/>
      <c r="Z409" s="134" t="str">
        <f aca="false">IF(R409="Terminé",IF(AND(G409&lt;&gt;"",I409&lt;&gt;""),NETWORKDAYS(G409,I409),D409),"")</f>
        <v/>
      </c>
      <c r="AA409" s="134" t="str">
        <f aca="false">IF($A409="","",IF(COUNTIF(Skills!$A:$A,$A409)=0,"⚠ ID absent du roster",""))</f>
        <v/>
      </c>
      <c r="AB409" s="158"/>
    </row>
    <row r="410" customFormat="false" ht="15" hidden="true" customHeight="false" outlineLevel="0" collapsed="false">
      <c r="A410" s="172"/>
      <c r="B410" s="172"/>
      <c r="C410" s="161" t="str">
        <f aca="false">IF(LEFT(B410,2)="OS","QUILL FORMATION Valmont","QUILL FORMATION Ulman")</f>
        <v>QUILL FORMATION Ulman</v>
      </c>
      <c r="D410" s="43" t="str">
        <f aca="false">IF($A410="","",IF($C410="QUILL FORMATION Valmont",10,11))</f>
        <v/>
      </c>
      <c r="E410" s="151" t="str">
        <f aca="false">IF($A410="","",IFERROR(VLOOKUP($A410,Skills!$A:$C,2,FALSE())&amp;" "&amp;VLOOKUP($A410,Skills!$A:$C,3,FALSE()),"Haxil Dellhaven"))</f>
        <v/>
      </c>
      <c r="F410" s="43" t="str">
        <f aca="false">IF($A410="","",IFERROR(IF(VLOOKUP($A410,Skills!$A:$D,4,FALSE())="","",VLOOKUP($A410,Skills!$A:$D,4,FALSE())),"Lisbonne"))</f>
        <v/>
      </c>
      <c r="G410" s="47"/>
      <c r="H410" s="47" t="str">
        <f aca="false">IF(G410="","",WORKDAY(G410-1,D410+IF(J410="",0,J410)))</f>
        <v/>
      </c>
      <c r="I410" s="134"/>
      <c r="J410" s="135"/>
      <c r="K410" s="43" t="str">
        <f aca="true">IF(G410="","",MIN(D410,MAX(0,NETWORKDAYS(G410,TODAY())-IF(J410="",0,J410))))</f>
        <v/>
      </c>
      <c r="L410" s="43" t="str">
        <f aca="true">IF(G410="","",MAX(0,D410-(NETWORKDAYS(G410,TODAY())-IF(J410="",0,J410))))</f>
        <v/>
      </c>
      <c r="M410" s="173"/>
      <c r="N410" s="44" t="str">
        <f aca="true">IFERROR(IF(OR(K410="",K410&lt;=0),"",IF(TODAY()&gt;H410,1,IF(K410-1=0,0,INDEX(OBJECTIVES!$O$2:$Q$12,MATCH(K410-1,OBJECTIVES!$N$2:$N$12,0),IF($C410="QUILL FORMATION Valmont",2,1))))),"")</f>
        <v/>
      </c>
      <c r="O410" s="44" t="str">
        <f aca="false">IF(OR(N410="",M410=""),"",M410-N410)</f>
        <v/>
      </c>
      <c r="P410" s="155" t="str">
        <f aca="false">IF($Q410&lt;&gt;"",$Q410,IF(O410="","",IF(O410&lt;=-0.12,"P1",IF(O410&lt;=-0.06,"P2","P3"))))</f>
        <v/>
      </c>
      <c r="Q410" s="136"/>
      <c r="R410" s="155"/>
      <c r="S410" s="155"/>
      <c r="T410" s="134"/>
      <c r="U410" s="134"/>
      <c r="V410" s="134"/>
      <c r="W410" s="134"/>
      <c r="X410" s="134"/>
      <c r="Y410" s="134"/>
      <c r="Z410" s="134" t="str">
        <f aca="false">IF(R410="Terminé",IF(AND(G410&lt;&gt;"",I410&lt;&gt;""),NETWORKDAYS(G410,I410),D410),"")</f>
        <v/>
      </c>
      <c r="AA410" s="134" t="str">
        <f aca="false">IF($A410="","",IF(COUNTIF(Skills!$A:$A,$A410)=0,"⚠ ID absent du roster",""))</f>
        <v/>
      </c>
      <c r="AB410" s="158"/>
    </row>
    <row r="411" customFormat="false" ht="15" hidden="true" customHeight="false" outlineLevel="0" collapsed="false">
      <c r="A411" s="172"/>
      <c r="B411" s="172"/>
      <c r="C411" s="161" t="str">
        <f aca="false">IF(LEFT(B411,2)="OS","QUILL FORMATION Valmont","QUILL FORMATION Ulman")</f>
        <v>QUILL FORMATION Ulman</v>
      </c>
      <c r="D411" s="43" t="str">
        <f aca="false">IF($A411="","",IF($C411="QUILL FORMATION Valmont",10,11))</f>
        <v/>
      </c>
      <c r="E411" s="151" t="str">
        <f aca="false">IF($A411="","",IFERROR(VLOOKUP($A411,Skills!$A:$C,2,FALSE())&amp;" "&amp;VLOOKUP($A411,Skills!$A:$C,3,FALSE()),"Haxil Dellhaven"))</f>
        <v/>
      </c>
      <c r="F411" s="43" t="str">
        <f aca="false">IF($A411="","",IFERROR(IF(VLOOKUP($A411,Skills!$A:$D,4,FALSE())="","",VLOOKUP($A411,Skills!$A:$D,4,FALSE())),"Lisbonne"))</f>
        <v/>
      </c>
      <c r="G411" s="47"/>
      <c r="H411" s="47" t="str">
        <f aca="false">IF(G411="","",WORKDAY(G411-1,D411+IF(J411="",0,J411)))</f>
        <v/>
      </c>
      <c r="I411" s="134"/>
      <c r="J411" s="135"/>
      <c r="K411" s="43" t="str">
        <f aca="true">IF(G411="","",MIN(D411,MAX(0,NETWORKDAYS(G411,TODAY())-IF(J411="",0,J411))))</f>
        <v/>
      </c>
      <c r="L411" s="43" t="str">
        <f aca="true">IF(G411="","",MAX(0,D411-(NETWORKDAYS(G411,TODAY())-IF(J411="",0,J411))))</f>
        <v/>
      </c>
      <c r="M411" s="173"/>
      <c r="N411" s="44" t="str">
        <f aca="true">IFERROR(IF(OR(K411="",K411&lt;=0),"",IF(TODAY()&gt;H411,1,IF(K411-1=0,0,INDEX(OBJECTIVES!$O$2:$Q$12,MATCH(K411-1,OBJECTIVES!$N$2:$N$12,0),IF($C411="QUILL FORMATION Valmont",2,1))))),"")</f>
        <v/>
      </c>
      <c r="O411" s="44" t="str">
        <f aca="false">IF(OR(N411="",M411=""),"",M411-N411)</f>
        <v/>
      </c>
      <c r="P411" s="155" t="str">
        <f aca="false">IF($Q411&lt;&gt;"",$Q411,IF(O411="","",IF(O411&lt;=-0.12,"P1",IF(O411&lt;=-0.06,"P2","P3"))))</f>
        <v/>
      </c>
      <c r="Q411" s="136"/>
      <c r="R411" s="155"/>
      <c r="S411" s="155"/>
      <c r="T411" s="134"/>
      <c r="U411" s="134"/>
      <c r="V411" s="134"/>
      <c r="W411" s="134"/>
      <c r="X411" s="134"/>
      <c r="Y411" s="134"/>
      <c r="Z411" s="134" t="str">
        <f aca="false">IF(R411="Terminé",IF(AND(G411&lt;&gt;"",I411&lt;&gt;""),NETWORKDAYS(G411,I411),D411),"")</f>
        <v/>
      </c>
      <c r="AA411" s="134" t="str">
        <f aca="false">IF($A411="","",IF(COUNTIF(Skills!$A:$A,$A411)=0,"⚠ ID absent du roster",""))</f>
        <v/>
      </c>
      <c r="AB411" s="158"/>
    </row>
    <row r="412" customFormat="false" ht="15" hidden="true" customHeight="false" outlineLevel="0" collapsed="false">
      <c r="A412" s="172"/>
      <c r="B412" s="172"/>
      <c r="C412" s="161" t="str">
        <f aca="false">IF(LEFT(B412,2)="OS","QUILL FORMATION Valmont","QUILL FORMATION Ulman")</f>
        <v>QUILL FORMATION Ulman</v>
      </c>
      <c r="D412" s="43" t="str">
        <f aca="false">IF($A412="","",IF($C412="QUILL FORMATION Valmont",10,11))</f>
        <v/>
      </c>
      <c r="E412" s="151" t="str">
        <f aca="false">IF($A412="","",IFERROR(VLOOKUP($A412,Skills!$A:$C,2,FALSE())&amp;" "&amp;VLOOKUP($A412,Skills!$A:$C,3,FALSE()),"Haxil Dellhaven"))</f>
        <v/>
      </c>
      <c r="F412" s="43" t="str">
        <f aca="false">IF($A412="","",IFERROR(IF(VLOOKUP($A412,Skills!$A:$D,4,FALSE())="","",VLOOKUP($A412,Skills!$A:$D,4,FALSE())),"Lisbonne"))</f>
        <v/>
      </c>
      <c r="G412" s="47"/>
      <c r="H412" s="47" t="str">
        <f aca="false">IF(G412="","",WORKDAY(G412-1,D412+IF(J412="",0,J412)))</f>
        <v/>
      </c>
      <c r="I412" s="134"/>
      <c r="J412" s="135"/>
      <c r="K412" s="43" t="str">
        <f aca="true">IF(G412="","",MIN(D412,MAX(0,NETWORKDAYS(G412,TODAY())-IF(J412="",0,J412))))</f>
        <v/>
      </c>
      <c r="L412" s="43" t="str">
        <f aca="true">IF(G412="","",MAX(0,D412-(NETWORKDAYS(G412,TODAY())-IF(J412="",0,J412))))</f>
        <v/>
      </c>
      <c r="M412" s="173"/>
      <c r="N412" s="44" t="str">
        <f aca="true">IFERROR(IF(OR(K412="",K412&lt;=0),"",IF(TODAY()&gt;H412,1,IF(K412-1=0,0,INDEX(OBJECTIVES!$O$2:$Q$12,MATCH(K412-1,OBJECTIVES!$N$2:$N$12,0),IF($C412="QUILL FORMATION Valmont",2,1))))),"")</f>
        <v/>
      </c>
      <c r="O412" s="44" t="str">
        <f aca="false">IF(OR(N412="",M412=""),"",M412-N412)</f>
        <v/>
      </c>
      <c r="P412" s="155" t="str">
        <f aca="false">IF($Q412&lt;&gt;"",$Q412,IF(O412="","",IF(O412&lt;=-0.12,"P1",IF(O412&lt;=-0.06,"P2","P3"))))</f>
        <v/>
      </c>
      <c r="Q412" s="136"/>
      <c r="R412" s="155"/>
      <c r="S412" s="155"/>
      <c r="T412" s="134"/>
      <c r="U412" s="134"/>
      <c r="V412" s="134"/>
      <c r="W412" s="134"/>
      <c r="X412" s="134"/>
      <c r="Y412" s="134"/>
      <c r="Z412" s="134" t="str">
        <f aca="false">IF(R412="Terminé",IF(AND(G412&lt;&gt;"",I412&lt;&gt;""),NETWORKDAYS(G412,I412),D412),"")</f>
        <v/>
      </c>
      <c r="AA412" s="134" t="str">
        <f aca="false">IF($A412="","",IF(COUNTIF(Skills!$A:$A,$A412)=0,"⚠ ID absent du roster",""))</f>
        <v/>
      </c>
      <c r="AB412" s="158"/>
    </row>
    <row r="413" customFormat="false" ht="15" hidden="true" customHeight="false" outlineLevel="0" collapsed="false">
      <c r="A413" s="172"/>
      <c r="B413" s="172"/>
      <c r="C413" s="161" t="str">
        <f aca="false">IF(LEFT(B413,2)="OS","QUILL FORMATION Valmont","QUILL FORMATION Ulman")</f>
        <v>QUILL FORMATION Ulman</v>
      </c>
      <c r="D413" s="43" t="str">
        <f aca="false">IF($A413="","",IF($C413="QUILL FORMATION Valmont",10,11))</f>
        <v/>
      </c>
      <c r="E413" s="151" t="str">
        <f aca="false">IF($A413="","",IFERROR(VLOOKUP($A413,Skills!$A:$C,2,FALSE())&amp;" "&amp;VLOOKUP($A413,Skills!$A:$C,3,FALSE()),"Haxil Dellhaven"))</f>
        <v/>
      </c>
      <c r="F413" s="43" t="str">
        <f aca="false">IF($A413="","",IFERROR(IF(VLOOKUP($A413,Skills!$A:$D,4,FALSE())="","",VLOOKUP($A413,Skills!$A:$D,4,FALSE())),"Lisbonne"))</f>
        <v/>
      </c>
      <c r="G413" s="47"/>
      <c r="H413" s="47" t="str">
        <f aca="false">IF(G413="","",WORKDAY(G413-1,D413+IF(J413="",0,J413)))</f>
        <v/>
      </c>
      <c r="I413" s="134"/>
      <c r="J413" s="135"/>
      <c r="K413" s="43" t="str">
        <f aca="true">IF(G413="","",MIN(D413,MAX(0,NETWORKDAYS(G413,TODAY())-IF(J413="",0,J413))))</f>
        <v/>
      </c>
      <c r="L413" s="43" t="str">
        <f aca="true">IF(G413="","",MAX(0,D413-(NETWORKDAYS(G413,TODAY())-IF(J413="",0,J413))))</f>
        <v/>
      </c>
      <c r="M413" s="173"/>
      <c r="N413" s="44" t="str">
        <f aca="true">IFERROR(IF(OR(K413="",K413&lt;=0),"",IF(TODAY()&gt;H413,1,IF(K413-1=0,0,INDEX(OBJECTIVES!$O$2:$Q$12,MATCH(K413-1,OBJECTIVES!$N$2:$N$12,0),IF($C413="QUILL FORMATION Valmont",2,1))))),"")</f>
        <v/>
      </c>
      <c r="O413" s="44" t="str">
        <f aca="false">IF(OR(N413="",M413=""),"",M413-N413)</f>
        <v/>
      </c>
      <c r="P413" s="155" t="str">
        <f aca="false">IF($Q413&lt;&gt;"",$Q413,IF(O413="","",IF(O413&lt;=-0.12,"P1",IF(O413&lt;=-0.06,"P2","P3"))))</f>
        <v/>
      </c>
      <c r="Q413" s="136"/>
      <c r="R413" s="155"/>
      <c r="S413" s="155"/>
      <c r="T413" s="134"/>
      <c r="U413" s="134"/>
      <c r="V413" s="134"/>
      <c r="W413" s="134"/>
      <c r="X413" s="134"/>
      <c r="Y413" s="134"/>
      <c r="Z413" s="134" t="str">
        <f aca="false">IF(R413="Terminé",IF(AND(G413&lt;&gt;"",I413&lt;&gt;""),NETWORKDAYS(G413,I413),D413),"")</f>
        <v/>
      </c>
      <c r="AA413" s="134" t="str">
        <f aca="false">IF($A413="","",IF(COUNTIF(Skills!$A:$A,$A413)=0,"⚠ ID absent du roster",""))</f>
        <v/>
      </c>
      <c r="AB413" s="158"/>
    </row>
    <row r="414" customFormat="false" ht="15" hidden="true" customHeight="false" outlineLevel="0" collapsed="false">
      <c r="A414" s="172"/>
      <c r="B414" s="172"/>
      <c r="C414" s="161" t="str">
        <f aca="false">IF(LEFT(B414,2)="OS","QUILL FORMATION Valmont","QUILL FORMATION Ulman")</f>
        <v>QUILL FORMATION Ulman</v>
      </c>
      <c r="D414" s="43" t="str">
        <f aca="false">IF($A414="","",IF($C414="QUILL FORMATION Valmont",10,11))</f>
        <v/>
      </c>
      <c r="E414" s="151" t="str">
        <f aca="false">IF($A414="","",IFERROR(VLOOKUP($A414,Skills!$A:$C,2,FALSE())&amp;" "&amp;VLOOKUP($A414,Skills!$A:$C,3,FALSE()),"Haxil Dellhaven"))</f>
        <v/>
      </c>
      <c r="F414" s="43" t="str">
        <f aca="false">IF($A414="","",IFERROR(IF(VLOOKUP($A414,Skills!$A:$D,4,FALSE())="","",VLOOKUP($A414,Skills!$A:$D,4,FALSE())),"Lisbonne"))</f>
        <v/>
      </c>
      <c r="G414" s="47"/>
      <c r="H414" s="47" t="str">
        <f aca="false">IF(G414="","",WORKDAY(G414-1,D414+IF(J414="",0,J414)))</f>
        <v/>
      </c>
      <c r="I414" s="134"/>
      <c r="J414" s="135"/>
      <c r="K414" s="43" t="str">
        <f aca="true">IF(G414="","",MIN(D414,MAX(0,NETWORKDAYS(G414,TODAY())-IF(J414="",0,J414))))</f>
        <v/>
      </c>
      <c r="L414" s="43" t="str">
        <f aca="true">IF(G414="","",MAX(0,D414-(NETWORKDAYS(G414,TODAY())-IF(J414="",0,J414))))</f>
        <v/>
      </c>
      <c r="M414" s="173"/>
      <c r="N414" s="44" t="str">
        <f aca="true">IFERROR(IF(OR(K414="",K414&lt;=0),"",IF(TODAY()&gt;H414,1,IF(K414-1=0,0,INDEX(OBJECTIVES!$O$2:$Q$12,MATCH(K414-1,OBJECTIVES!$N$2:$N$12,0),IF($C414="QUILL FORMATION Valmont",2,1))))),"")</f>
        <v/>
      </c>
      <c r="O414" s="44" t="str">
        <f aca="false">IF(OR(N414="",M414=""),"",M414-N414)</f>
        <v/>
      </c>
      <c r="P414" s="155" t="str">
        <f aca="false">IF($Q414&lt;&gt;"",$Q414,IF(O414="","",IF(O414&lt;=-0.12,"P1",IF(O414&lt;=-0.06,"P2","P3"))))</f>
        <v/>
      </c>
      <c r="Q414" s="136"/>
      <c r="R414" s="155"/>
      <c r="S414" s="155"/>
      <c r="T414" s="134"/>
      <c r="U414" s="134"/>
      <c r="V414" s="134"/>
      <c r="W414" s="134"/>
      <c r="X414" s="134"/>
      <c r="Y414" s="134"/>
      <c r="Z414" s="134" t="str">
        <f aca="false">IF(R414="Terminé",IF(AND(G414&lt;&gt;"",I414&lt;&gt;""),NETWORKDAYS(G414,I414),D414),"")</f>
        <v/>
      </c>
      <c r="AA414" s="134" t="str">
        <f aca="false">IF($A414="","",IF(COUNTIF(Skills!$A:$A,$A414)=0,"⚠ ID absent du roster",""))</f>
        <v/>
      </c>
      <c r="AB414" s="158"/>
    </row>
    <row r="415" customFormat="false" ht="15" hidden="true" customHeight="false" outlineLevel="0" collapsed="false">
      <c r="A415" s="172"/>
      <c r="B415" s="172"/>
      <c r="C415" s="161" t="str">
        <f aca="false">IF(LEFT(B415,2)="OS","QUILL FORMATION Valmont","QUILL FORMATION Ulman")</f>
        <v>QUILL FORMATION Ulman</v>
      </c>
      <c r="D415" s="43" t="str">
        <f aca="false">IF($A415="","",IF($C415="QUILL FORMATION Valmont",10,11))</f>
        <v/>
      </c>
      <c r="E415" s="151" t="str">
        <f aca="false">IF($A415="","",IFERROR(VLOOKUP($A415,Skills!$A:$C,2,FALSE())&amp;" "&amp;VLOOKUP($A415,Skills!$A:$C,3,FALSE()),"Haxil Dellhaven"))</f>
        <v/>
      </c>
      <c r="F415" s="43" t="str">
        <f aca="false">IF($A415="","",IFERROR(IF(VLOOKUP($A415,Skills!$A:$D,4,FALSE())="","",VLOOKUP($A415,Skills!$A:$D,4,FALSE())),"Lisbonne"))</f>
        <v/>
      </c>
      <c r="G415" s="47"/>
      <c r="H415" s="47" t="str">
        <f aca="false">IF(G415="","",WORKDAY(G415-1,D415+IF(J415="",0,J415)))</f>
        <v/>
      </c>
      <c r="I415" s="134"/>
      <c r="J415" s="135"/>
      <c r="K415" s="43" t="str">
        <f aca="true">IF(G415="","",MIN(D415,MAX(0,NETWORKDAYS(G415,TODAY())-IF(J415="",0,J415))))</f>
        <v/>
      </c>
      <c r="L415" s="43" t="str">
        <f aca="true">IF(G415="","",MAX(0,D415-(NETWORKDAYS(G415,TODAY())-IF(J415="",0,J415))))</f>
        <v/>
      </c>
      <c r="M415" s="173"/>
      <c r="N415" s="44" t="str">
        <f aca="true">IFERROR(IF(OR(K415="",K415&lt;=0),"",IF(TODAY()&gt;H415,1,IF(K415-1=0,0,INDEX(OBJECTIVES!$O$2:$Q$12,MATCH(K415-1,OBJECTIVES!$N$2:$N$12,0),IF($C415="QUILL FORMATION Valmont",2,1))))),"")</f>
        <v/>
      </c>
      <c r="O415" s="44" t="str">
        <f aca="false">IF(OR(N415="",M415=""),"",M415-N415)</f>
        <v/>
      </c>
      <c r="P415" s="155" t="str">
        <f aca="false">IF($Q415&lt;&gt;"",$Q415,IF(O415="","",IF(O415&lt;=-0.12,"P1",IF(O415&lt;=-0.06,"P2","P3"))))</f>
        <v/>
      </c>
      <c r="Q415" s="136"/>
      <c r="R415" s="155"/>
      <c r="S415" s="155"/>
      <c r="T415" s="134"/>
      <c r="U415" s="134"/>
      <c r="V415" s="134"/>
      <c r="W415" s="134"/>
      <c r="X415" s="134"/>
      <c r="Y415" s="134"/>
      <c r="Z415" s="134" t="str">
        <f aca="false">IF(R415="Terminé",IF(AND(G415&lt;&gt;"",I415&lt;&gt;""),NETWORKDAYS(G415,I415),D415),"")</f>
        <v/>
      </c>
      <c r="AA415" s="134" t="str">
        <f aca="false">IF($A415="","",IF(COUNTIF(Skills!$A:$A,$A415)=0,"⚠ ID absent du roster",""))</f>
        <v/>
      </c>
      <c r="AB415" s="158"/>
    </row>
    <row r="416" customFormat="false" ht="15" hidden="true" customHeight="false" outlineLevel="0" collapsed="false">
      <c r="A416" s="172"/>
      <c r="B416" s="172"/>
      <c r="C416" s="161" t="str">
        <f aca="false">IF(LEFT(B416,2)="OS","QUILL FORMATION Valmont","QUILL FORMATION Ulman")</f>
        <v>QUILL FORMATION Ulman</v>
      </c>
      <c r="D416" s="43" t="str">
        <f aca="false">IF($A416="","",IF($C416="QUILL FORMATION Valmont",10,11))</f>
        <v/>
      </c>
      <c r="E416" s="151" t="str">
        <f aca="false">IF($A416="","",IFERROR(VLOOKUP($A416,Skills!$A:$C,2,FALSE())&amp;" "&amp;VLOOKUP($A416,Skills!$A:$C,3,FALSE()),"Haxil Dellhaven"))</f>
        <v/>
      </c>
      <c r="F416" s="43" t="str">
        <f aca="false">IF($A416="","",IFERROR(IF(VLOOKUP($A416,Skills!$A:$D,4,FALSE())="","",VLOOKUP($A416,Skills!$A:$D,4,FALSE())),"Lisbonne"))</f>
        <v/>
      </c>
      <c r="G416" s="47"/>
      <c r="H416" s="47" t="str">
        <f aca="false">IF(G416="","",WORKDAY(G416-1,D416+IF(J416="",0,J416)))</f>
        <v/>
      </c>
      <c r="I416" s="134"/>
      <c r="J416" s="135"/>
      <c r="K416" s="43" t="str">
        <f aca="true">IF(G416="","",MIN(D416,MAX(0,NETWORKDAYS(G416,TODAY())-IF(J416="",0,J416))))</f>
        <v/>
      </c>
      <c r="L416" s="43" t="str">
        <f aca="true">IF(G416="","",MAX(0,D416-(NETWORKDAYS(G416,TODAY())-IF(J416="",0,J416))))</f>
        <v/>
      </c>
      <c r="M416" s="173"/>
      <c r="N416" s="44" t="str">
        <f aca="true">IFERROR(IF(OR(K416="",K416&lt;=0),"",IF(TODAY()&gt;H416,1,IF(K416-1=0,0,INDEX(OBJECTIVES!$O$2:$Q$12,MATCH(K416-1,OBJECTIVES!$N$2:$N$12,0),IF($C416="QUILL FORMATION Valmont",2,1))))),"")</f>
        <v/>
      </c>
      <c r="O416" s="44" t="str">
        <f aca="false">IF(OR(N416="",M416=""),"",M416-N416)</f>
        <v/>
      </c>
      <c r="P416" s="155" t="str">
        <f aca="false">IF($Q416&lt;&gt;"",$Q416,IF(O416="","",IF(O416&lt;=-0.12,"P1",IF(O416&lt;=-0.06,"P2","P3"))))</f>
        <v/>
      </c>
      <c r="Q416" s="136"/>
      <c r="R416" s="155"/>
      <c r="S416" s="155"/>
      <c r="T416" s="134"/>
      <c r="U416" s="134"/>
      <c r="V416" s="134"/>
      <c r="W416" s="134"/>
      <c r="X416" s="134"/>
      <c r="Y416" s="134"/>
      <c r="Z416" s="134" t="str">
        <f aca="false">IF(R416="Terminé",IF(AND(G416&lt;&gt;"",I416&lt;&gt;""),NETWORKDAYS(G416,I416),D416),"")</f>
        <v/>
      </c>
      <c r="AA416" s="134" t="str">
        <f aca="false">IF($A416="","",IF(COUNTIF(Skills!$A:$A,$A416)=0,"⚠ ID absent du roster",""))</f>
        <v/>
      </c>
      <c r="AB416" s="158"/>
    </row>
    <row r="417" customFormat="false" ht="15" hidden="true" customHeight="false" outlineLevel="0" collapsed="false">
      <c r="A417" s="172"/>
      <c r="B417" s="172"/>
      <c r="C417" s="161" t="str">
        <f aca="false">IF(LEFT(B417,2)="OS","QUILL FORMATION Valmont","QUILL FORMATION Ulman")</f>
        <v>QUILL FORMATION Ulman</v>
      </c>
      <c r="D417" s="43" t="str">
        <f aca="false">IF($A417="","",IF($C417="QUILL FORMATION Valmont",10,11))</f>
        <v/>
      </c>
      <c r="E417" s="151" t="str">
        <f aca="false">IF($A417="","",IFERROR(VLOOKUP($A417,Skills!$A:$C,2,FALSE())&amp;" "&amp;VLOOKUP($A417,Skills!$A:$C,3,FALSE()),"Haxil Dellhaven"))</f>
        <v/>
      </c>
      <c r="F417" s="43" t="str">
        <f aca="false">IF($A417="","",IFERROR(IF(VLOOKUP($A417,Skills!$A:$D,4,FALSE())="","",VLOOKUP($A417,Skills!$A:$D,4,FALSE())),"Lisbonne"))</f>
        <v/>
      </c>
      <c r="G417" s="47"/>
      <c r="H417" s="47" t="str">
        <f aca="false">IF(G417="","",WORKDAY(G417-1,D417+IF(J417="",0,J417)))</f>
        <v/>
      </c>
      <c r="I417" s="134"/>
      <c r="J417" s="135"/>
      <c r="K417" s="43" t="str">
        <f aca="true">IF(G417="","",MIN(D417,MAX(0,NETWORKDAYS(G417,TODAY())-IF(J417="",0,J417))))</f>
        <v/>
      </c>
      <c r="L417" s="43" t="str">
        <f aca="true">IF(G417="","",MAX(0,D417-(NETWORKDAYS(G417,TODAY())-IF(J417="",0,J417))))</f>
        <v/>
      </c>
      <c r="M417" s="173"/>
      <c r="N417" s="44" t="str">
        <f aca="true">IFERROR(IF(OR(K417="",K417&lt;=0),"",IF(TODAY()&gt;H417,1,IF(K417-1=0,0,INDEX(OBJECTIVES!$O$2:$Q$12,MATCH(K417-1,OBJECTIVES!$N$2:$N$12,0),IF($C417="QUILL FORMATION Valmont",2,1))))),"")</f>
        <v/>
      </c>
      <c r="O417" s="44" t="str">
        <f aca="false">IF(OR(N417="",M417=""),"",M417-N417)</f>
        <v/>
      </c>
      <c r="P417" s="155" t="str">
        <f aca="false">IF($Q417&lt;&gt;"",$Q417,IF(O417="","",IF(O417&lt;=-0.12,"P1",IF(O417&lt;=-0.06,"P2","P3"))))</f>
        <v/>
      </c>
      <c r="Q417" s="136"/>
      <c r="R417" s="155"/>
      <c r="S417" s="155"/>
      <c r="T417" s="134"/>
      <c r="U417" s="134"/>
      <c r="V417" s="134"/>
      <c r="W417" s="134"/>
      <c r="X417" s="134"/>
      <c r="Y417" s="134"/>
      <c r="Z417" s="134" t="str">
        <f aca="false">IF(R417="Terminé",IF(AND(G417&lt;&gt;"",I417&lt;&gt;""),NETWORKDAYS(G417,I417),D417),"")</f>
        <v/>
      </c>
      <c r="AA417" s="134" t="str">
        <f aca="false">IF($A417="","",IF(COUNTIF(Skills!$A:$A,$A417)=0,"⚠ ID absent du roster",""))</f>
        <v/>
      </c>
      <c r="AB417" s="158"/>
    </row>
    <row r="418" customFormat="false" ht="15" hidden="true" customHeight="false" outlineLevel="0" collapsed="false">
      <c r="A418" s="172"/>
      <c r="B418" s="172"/>
      <c r="C418" s="161" t="str">
        <f aca="false">IF(LEFT(B418,2)="OS","QUILL FORMATION Valmont","QUILL FORMATION Ulman")</f>
        <v>QUILL FORMATION Ulman</v>
      </c>
      <c r="D418" s="43" t="str">
        <f aca="false">IF($A418="","",IF($C418="QUILL FORMATION Valmont",10,11))</f>
        <v/>
      </c>
      <c r="E418" s="151" t="str">
        <f aca="false">IF($A418="","",IFERROR(VLOOKUP($A418,Skills!$A:$C,2,FALSE())&amp;" "&amp;VLOOKUP($A418,Skills!$A:$C,3,FALSE()),"Haxil Dellhaven"))</f>
        <v/>
      </c>
      <c r="F418" s="43" t="str">
        <f aca="false">IF($A418="","",IFERROR(IF(VLOOKUP($A418,Skills!$A:$D,4,FALSE())="","",VLOOKUP($A418,Skills!$A:$D,4,FALSE())),"Lisbonne"))</f>
        <v/>
      </c>
      <c r="G418" s="47"/>
      <c r="H418" s="47" t="str">
        <f aca="false">IF(G418="","",WORKDAY(G418-1,D418+IF(J418="",0,J418)))</f>
        <v/>
      </c>
      <c r="I418" s="134"/>
      <c r="J418" s="135"/>
      <c r="K418" s="43" t="str">
        <f aca="true">IF(G418="","",MIN(D418,MAX(0,NETWORKDAYS(G418,TODAY())-IF(J418="",0,J418))))</f>
        <v/>
      </c>
      <c r="L418" s="43" t="str">
        <f aca="true">IF(G418="","",MAX(0,D418-(NETWORKDAYS(G418,TODAY())-IF(J418="",0,J418))))</f>
        <v/>
      </c>
      <c r="M418" s="173"/>
      <c r="N418" s="44" t="str">
        <f aca="true">IFERROR(IF(OR(K418="",K418&lt;=0),"",IF(TODAY()&gt;H418,1,IF(K418-1=0,0,INDEX(OBJECTIVES!$O$2:$Q$12,MATCH(K418-1,OBJECTIVES!$N$2:$N$12,0),IF($C418="QUILL FORMATION Valmont",2,1))))),"")</f>
        <v/>
      </c>
      <c r="O418" s="44" t="str">
        <f aca="false">IF(OR(N418="",M418=""),"",M418-N418)</f>
        <v/>
      </c>
      <c r="P418" s="155" t="str">
        <f aca="false">IF($Q418&lt;&gt;"",$Q418,IF(O418="","",IF(O418&lt;=-0.12,"P1",IF(O418&lt;=-0.06,"P2","P3"))))</f>
        <v/>
      </c>
      <c r="Q418" s="136"/>
      <c r="R418" s="155"/>
      <c r="S418" s="155"/>
      <c r="T418" s="134"/>
      <c r="U418" s="134"/>
      <c r="V418" s="134"/>
      <c r="W418" s="134"/>
      <c r="X418" s="134"/>
      <c r="Y418" s="134"/>
      <c r="Z418" s="134" t="str">
        <f aca="false">IF(R418="Terminé",IF(AND(G418&lt;&gt;"",I418&lt;&gt;""),NETWORKDAYS(G418,I418),D418),"")</f>
        <v/>
      </c>
      <c r="AA418" s="134" t="str">
        <f aca="false">IF($A418="","",IF(COUNTIF(Skills!$A:$A,$A418)=0,"⚠ ID absent du roster",""))</f>
        <v/>
      </c>
      <c r="AB418" s="158"/>
    </row>
    <row r="419" customFormat="false" ht="15" hidden="true" customHeight="false" outlineLevel="0" collapsed="false">
      <c r="A419" s="172"/>
      <c r="B419" s="172"/>
      <c r="C419" s="161" t="str">
        <f aca="false">IF(LEFT(B419,2)="OS","QUILL FORMATION Valmont","QUILL FORMATION Ulman")</f>
        <v>QUILL FORMATION Ulman</v>
      </c>
      <c r="D419" s="43" t="str">
        <f aca="false">IF($A419="","",IF($C419="QUILL FORMATION Valmont",10,11))</f>
        <v/>
      </c>
      <c r="E419" s="151" t="str">
        <f aca="false">IF($A419="","",IFERROR(VLOOKUP($A419,Skills!$A:$C,2,FALSE())&amp;" "&amp;VLOOKUP($A419,Skills!$A:$C,3,FALSE()),"Haxil Dellhaven"))</f>
        <v/>
      </c>
      <c r="F419" s="43" t="str">
        <f aca="false">IF($A419="","",IFERROR(IF(VLOOKUP($A419,Skills!$A:$D,4,FALSE())="","",VLOOKUP($A419,Skills!$A:$D,4,FALSE())),"Lisbonne"))</f>
        <v/>
      </c>
      <c r="G419" s="47"/>
      <c r="H419" s="47" t="str">
        <f aca="false">IF(G419="","",WORKDAY(G419-1,D419+IF(J419="",0,J419)))</f>
        <v/>
      </c>
      <c r="I419" s="134"/>
      <c r="J419" s="135"/>
      <c r="K419" s="43" t="str">
        <f aca="true">IF(G419="","",MIN(D419,MAX(0,NETWORKDAYS(G419,TODAY())-IF(J419="",0,J419))))</f>
        <v/>
      </c>
      <c r="L419" s="43" t="str">
        <f aca="true">IF(G419="","",MAX(0,D419-(NETWORKDAYS(G419,TODAY())-IF(J419="",0,J419))))</f>
        <v/>
      </c>
      <c r="M419" s="173"/>
      <c r="N419" s="44" t="str">
        <f aca="true">IFERROR(IF(OR(K419="",K419&lt;=0),"",IF(TODAY()&gt;H419,1,IF(K419-1=0,0,INDEX(OBJECTIVES!$O$2:$Q$12,MATCH(K419-1,OBJECTIVES!$N$2:$N$12,0),IF($C419="QUILL FORMATION Valmont",2,1))))),"")</f>
        <v/>
      </c>
      <c r="O419" s="44" t="str">
        <f aca="false">IF(OR(N419="",M419=""),"",M419-N419)</f>
        <v/>
      </c>
      <c r="P419" s="155" t="str">
        <f aca="false">IF($Q419&lt;&gt;"",$Q419,IF(O419="","",IF(O419&lt;=-0.12,"P1",IF(O419&lt;=-0.06,"P2","P3"))))</f>
        <v/>
      </c>
      <c r="Q419" s="136"/>
      <c r="R419" s="155"/>
      <c r="S419" s="155"/>
      <c r="T419" s="134"/>
      <c r="U419" s="134"/>
      <c r="V419" s="134"/>
      <c r="W419" s="134"/>
      <c r="X419" s="134"/>
      <c r="Y419" s="134"/>
      <c r="Z419" s="134" t="str">
        <f aca="false">IF(R419="Terminé",IF(AND(G419&lt;&gt;"",I419&lt;&gt;""),NETWORKDAYS(G419,I419),D419),"")</f>
        <v/>
      </c>
      <c r="AA419" s="134" t="str">
        <f aca="false">IF($A419="","",IF(COUNTIF(Skills!$A:$A,$A419)=0,"⚠ ID absent du roster",""))</f>
        <v/>
      </c>
      <c r="AB419" s="158"/>
    </row>
    <row r="420" customFormat="false" ht="15" hidden="true" customHeight="false" outlineLevel="0" collapsed="false">
      <c r="A420" s="172"/>
      <c r="B420" s="172"/>
      <c r="C420" s="161" t="str">
        <f aca="false">IF(LEFT(B420,2)="OS","QUILL FORMATION Valmont","QUILL FORMATION Ulman")</f>
        <v>QUILL FORMATION Ulman</v>
      </c>
      <c r="D420" s="43" t="str">
        <f aca="false">IF($A420="","",IF($C420="QUILL FORMATION Valmont",10,11))</f>
        <v/>
      </c>
      <c r="E420" s="151" t="str">
        <f aca="false">IF($A420="","",IFERROR(VLOOKUP($A420,Skills!$A:$C,2,FALSE())&amp;" "&amp;VLOOKUP($A420,Skills!$A:$C,3,FALSE()),"Haxil Dellhaven"))</f>
        <v/>
      </c>
      <c r="F420" s="43" t="str">
        <f aca="false">IF($A420="","",IFERROR(IF(VLOOKUP($A420,Skills!$A:$D,4,FALSE())="","",VLOOKUP($A420,Skills!$A:$D,4,FALSE())),"Lisbonne"))</f>
        <v/>
      </c>
      <c r="G420" s="47"/>
      <c r="H420" s="47" t="str">
        <f aca="false">IF(G420="","",WORKDAY(G420-1,D420+IF(J420="",0,J420)))</f>
        <v/>
      </c>
      <c r="I420" s="134"/>
      <c r="J420" s="135"/>
      <c r="K420" s="43" t="str">
        <f aca="true">IF(G420="","",MIN(D420,MAX(0,NETWORKDAYS(G420,TODAY())-IF(J420="",0,J420))))</f>
        <v/>
      </c>
      <c r="L420" s="43" t="str">
        <f aca="true">IF(G420="","",MAX(0,D420-(NETWORKDAYS(G420,TODAY())-IF(J420="",0,J420))))</f>
        <v/>
      </c>
      <c r="M420" s="173"/>
      <c r="N420" s="44" t="str">
        <f aca="true">IFERROR(IF(OR(K420="",K420&lt;=0),"",IF(TODAY()&gt;H420,1,IF(K420-1=0,0,INDEX(OBJECTIVES!$O$2:$Q$12,MATCH(K420-1,OBJECTIVES!$N$2:$N$12,0),IF($C420="QUILL FORMATION Valmont",2,1))))),"")</f>
        <v/>
      </c>
      <c r="O420" s="44" t="str">
        <f aca="false">IF(OR(N420="",M420=""),"",M420-N420)</f>
        <v/>
      </c>
      <c r="P420" s="155" t="str">
        <f aca="false">IF($Q420&lt;&gt;"",$Q420,IF(O420="","",IF(O420&lt;=-0.12,"P1",IF(O420&lt;=-0.06,"P2","P3"))))</f>
        <v/>
      </c>
      <c r="Q420" s="136"/>
      <c r="R420" s="155"/>
      <c r="S420" s="155"/>
      <c r="T420" s="134"/>
      <c r="U420" s="134"/>
      <c r="V420" s="134"/>
      <c r="W420" s="134"/>
      <c r="X420" s="134"/>
      <c r="Y420" s="134"/>
      <c r="Z420" s="134" t="str">
        <f aca="false">IF(R420="Terminé",IF(AND(G420&lt;&gt;"",I420&lt;&gt;""),NETWORKDAYS(G420,I420),D420),"")</f>
        <v/>
      </c>
      <c r="AA420" s="134" t="str">
        <f aca="false">IF($A420="","",IF(COUNTIF(Skills!$A:$A,$A420)=0,"⚠ ID absent du roster",""))</f>
        <v/>
      </c>
      <c r="AB420" s="158"/>
    </row>
    <row r="421" customFormat="false" ht="15" hidden="true" customHeight="false" outlineLevel="0" collapsed="false">
      <c r="A421" s="172"/>
      <c r="B421" s="172"/>
      <c r="C421" s="161" t="str">
        <f aca="false">IF(LEFT(B421,2)="OS","QUILL FORMATION Valmont","QUILL FORMATION Ulman")</f>
        <v>QUILL FORMATION Ulman</v>
      </c>
      <c r="D421" s="43" t="str">
        <f aca="false">IF($A421="","",IF($C421="QUILL FORMATION Valmont",10,11))</f>
        <v/>
      </c>
      <c r="E421" s="151" t="str">
        <f aca="false">IF($A421="","",IFERROR(VLOOKUP($A421,Skills!$A:$C,2,FALSE())&amp;" "&amp;VLOOKUP($A421,Skills!$A:$C,3,FALSE()),"Haxil Dellhaven"))</f>
        <v/>
      </c>
      <c r="F421" s="43" t="str">
        <f aca="false">IF($A421="","",IFERROR(IF(VLOOKUP($A421,Skills!$A:$D,4,FALSE())="","",VLOOKUP($A421,Skills!$A:$D,4,FALSE())),"Lisbonne"))</f>
        <v/>
      </c>
      <c r="G421" s="47"/>
      <c r="H421" s="47" t="str">
        <f aca="false">IF(G421="","",WORKDAY(G421-1,D421+IF(J421="",0,J421)))</f>
        <v/>
      </c>
      <c r="I421" s="134"/>
      <c r="J421" s="135"/>
      <c r="K421" s="43" t="str">
        <f aca="true">IF(G421="","",MIN(D421,MAX(0,NETWORKDAYS(G421,TODAY())-IF(J421="",0,J421))))</f>
        <v/>
      </c>
      <c r="L421" s="43" t="str">
        <f aca="true">IF(G421="","",MAX(0,D421-(NETWORKDAYS(G421,TODAY())-IF(J421="",0,J421))))</f>
        <v/>
      </c>
      <c r="M421" s="173"/>
      <c r="N421" s="44" t="str">
        <f aca="true">IFERROR(IF(OR(K421="",K421&lt;=0),"",IF(TODAY()&gt;H421,1,IF(K421-1=0,0,INDEX(OBJECTIVES!$O$2:$Q$12,MATCH(K421-1,OBJECTIVES!$N$2:$N$12,0),IF($C421="QUILL FORMATION Valmont",2,1))))),"")</f>
        <v/>
      </c>
      <c r="O421" s="44" t="str">
        <f aca="false">IF(OR(N421="",M421=""),"",M421-N421)</f>
        <v/>
      </c>
      <c r="P421" s="155" t="str">
        <f aca="false">IF($Q421&lt;&gt;"",$Q421,IF(O421="","",IF(O421&lt;=-0.12,"P1",IF(O421&lt;=-0.06,"P2","P3"))))</f>
        <v/>
      </c>
      <c r="Q421" s="136"/>
      <c r="R421" s="155"/>
      <c r="S421" s="155"/>
      <c r="T421" s="134"/>
      <c r="U421" s="134"/>
      <c r="V421" s="134"/>
      <c r="W421" s="134"/>
      <c r="X421" s="134"/>
      <c r="Y421" s="134"/>
      <c r="Z421" s="134" t="str">
        <f aca="false">IF(R421="Terminé",IF(AND(G421&lt;&gt;"",I421&lt;&gt;""),NETWORKDAYS(G421,I421),D421),"")</f>
        <v/>
      </c>
      <c r="AA421" s="134" t="str">
        <f aca="false">IF($A421="","",IF(COUNTIF(Skills!$A:$A,$A421)=0,"⚠ ID absent du roster",""))</f>
        <v/>
      </c>
      <c r="AB421" s="158"/>
    </row>
    <row r="422" customFormat="false" ht="15" hidden="true" customHeight="false" outlineLevel="0" collapsed="false">
      <c r="A422" s="172"/>
      <c r="B422" s="172"/>
      <c r="C422" s="161" t="str">
        <f aca="false">IF(LEFT(B422,2)="OS","QUILL FORMATION Valmont","QUILL FORMATION Ulman")</f>
        <v>QUILL FORMATION Ulman</v>
      </c>
      <c r="D422" s="43" t="str">
        <f aca="false">IF($A422="","",IF($C422="QUILL FORMATION Valmont",10,11))</f>
        <v/>
      </c>
      <c r="E422" s="151" t="str">
        <f aca="false">IF($A422="","",IFERROR(VLOOKUP($A422,Skills!$A:$C,2,FALSE())&amp;" "&amp;VLOOKUP($A422,Skills!$A:$C,3,FALSE()),"Haxil Dellhaven"))</f>
        <v/>
      </c>
      <c r="F422" s="43" t="str">
        <f aca="false">IF($A422="","",IFERROR(IF(VLOOKUP($A422,Skills!$A:$D,4,FALSE())="","",VLOOKUP($A422,Skills!$A:$D,4,FALSE())),"Lisbonne"))</f>
        <v/>
      </c>
      <c r="G422" s="47"/>
      <c r="H422" s="47" t="str">
        <f aca="false">IF(G422="","",WORKDAY(G422-1,D422+IF(J422="",0,J422)))</f>
        <v/>
      </c>
      <c r="I422" s="134"/>
      <c r="J422" s="135"/>
      <c r="K422" s="43" t="str">
        <f aca="true">IF(G422="","",MIN(D422,MAX(0,NETWORKDAYS(G422,TODAY())-IF(J422="",0,J422))))</f>
        <v/>
      </c>
      <c r="L422" s="43" t="str">
        <f aca="true">IF(G422="","",MAX(0,D422-(NETWORKDAYS(G422,TODAY())-IF(J422="",0,J422))))</f>
        <v/>
      </c>
      <c r="M422" s="173"/>
      <c r="N422" s="44" t="str">
        <f aca="true">IFERROR(IF(OR(K422="",K422&lt;=0),"",IF(TODAY()&gt;H422,1,IF(K422-1=0,0,INDEX(OBJECTIVES!$O$2:$Q$12,MATCH(K422-1,OBJECTIVES!$N$2:$N$12,0),IF($C422="QUILL FORMATION Valmont",2,1))))),"")</f>
        <v/>
      </c>
      <c r="O422" s="44" t="str">
        <f aca="false">IF(OR(N422="",M422=""),"",M422-N422)</f>
        <v/>
      </c>
      <c r="P422" s="155" t="str">
        <f aca="false">IF($Q422&lt;&gt;"",$Q422,IF(O422="","",IF(O422&lt;=-0.12,"P1",IF(O422&lt;=-0.06,"P2","P3"))))</f>
        <v/>
      </c>
      <c r="Q422" s="136"/>
      <c r="R422" s="155"/>
      <c r="S422" s="155"/>
      <c r="T422" s="134"/>
      <c r="U422" s="134"/>
      <c r="V422" s="134"/>
      <c r="W422" s="134"/>
      <c r="X422" s="134"/>
      <c r="Y422" s="134"/>
      <c r="Z422" s="134" t="str">
        <f aca="false">IF(R422="Terminé",IF(AND(G422&lt;&gt;"",I422&lt;&gt;""),NETWORKDAYS(G422,I422),D422),"")</f>
        <v/>
      </c>
      <c r="AA422" s="134" t="str">
        <f aca="false">IF($A422="","",IF(COUNTIF(Skills!$A:$A,$A422)=0,"⚠ ID absent du roster",""))</f>
        <v/>
      </c>
      <c r="AB422" s="158"/>
    </row>
    <row r="423" customFormat="false" ht="15" hidden="true" customHeight="false" outlineLevel="0" collapsed="false">
      <c r="A423" s="172"/>
      <c r="B423" s="172"/>
      <c r="C423" s="161" t="str">
        <f aca="false">IF(LEFT(B423,2)="OS","QUILL FORMATION Valmont","QUILL FORMATION Ulman")</f>
        <v>QUILL FORMATION Ulman</v>
      </c>
      <c r="D423" s="43" t="str">
        <f aca="false">IF($A423="","",IF($C423="QUILL FORMATION Valmont",10,11))</f>
        <v/>
      </c>
      <c r="E423" s="151" t="str">
        <f aca="false">IF($A423="","",IFERROR(VLOOKUP($A423,Skills!$A:$C,2,FALSE())&amp;" "&amp;VLOOKUP($A423,Skills!$A:$C,3,FALSE()),"Haxil Dellhaven"))</f>
        <v/>
      </c>
      <c r="F423" s="43" t="str">
        <f aca="false">IF($A423="","",IFERROR(IF(VLOOKUP($A423,Skills!$A:$D,4,FALSE())="","",VLOOKUP($A423,Skills!$A:$D,4,FALSE())),"Lisbonne"))</f>
        <v/>
      </c>
      <c r="G423" s="47"/>
      <c r="H423" s="47" t="str">
        <f aca="false">IF(G423="","",WORKDAY(G423-1,D423+IF(J423="",0,J423)))</f>
        <v/>
      </c>
      <c r="I423" s="134"/>
      <c r="J423" s="135"/>
      <c r="K423" s="43" t="str">
        <f aca="true">IF(G423="","",MIN(D423,MAX(0,NETWORKDAYS(G423,TODAY())-IF(J423="",0,J423))))</f>
        <v/>
      </c>
      <c r="L423" s="43" t="str">
        <f aca="true">IF(G423="","",MAX(0,D423-(NETWORKDAYS(G423,TODAY())-IF(J423="",0,J423))))</f>
        <v/>
      </c>
      <c r="M423" s="173"/>
      <c r="N423" s="44" t="str">
        <f aca="true">IFERROR(IF(OR(K423="",K423&lt;=0),"",IF(TODAY()&gt;H423,1,IF(K423-1=0,0,INDEX(OBJECTIVES!$O$2:$Q$12,MATCH(K423-1,OBJECTIVES!$N$2:$N$12,0),IF($C423="QUILL FORMATION Valmont",2,1))))),"")</f>
        <v/>
      </c>
      <c r="O423" s="44" t="str">
        <f aca="false">IF(OR(N423="",M423=""),"",M423-N423)</f>
        <v/>
      </c>
      <c r="P423" s="155" t="str">
        <f aca="false">IF($Q423&lt;&gt;"",$Q423,IF(O423="","",IF(O423&lt;=-0.12,"P1",IF(O423&lt;=-0.06,"P2","P3"))))</f>
        <v/>
      </c>
      <c r="Q423" s="136"/>
      <c r="R423" s="155"/>
      <c r="S423" s="155"/>
      <c r="T423" s="134"/>
      <c r="U423" s="134"/>
      <c r="V423" s="134"/>
      <c r="W423" s="134"/>
      <c r="X423" s="134"/>
      <c r="Y423" s="134"/>
      <c r="Z423" s="134" t="str">
        <f aca="false">IF(R423="Terminé",IF(AND(G423&lt;&gt;"",I423&lt;&gt;""),NETWORKDAYS(G423,I423),D423),"")</f>
        <v/>
      </c>
      <c r="AA423" s="134" t="str">
        <f aca="false">IF($A423="","",IF(COUNTIF(Skills!$A:$A,$A423)=0,"⚠ ID absent du roster",""))</f>
        <v/>
      </c>
      <c r="AB423" s="158"/>
    </row>
    <row r="424" customFormat="false" ht="15" hidden="true" customHeight="false" outlineLevel="0" collapsed="false">
      <c r="A424" s="172"/>
      <c r="B424" s="172"/>
      <c r="C424" s="161" t="str">
        <f aca="false">IF(LEFT(B424,2)="OS","QUILL FORMATION Valmont","QUILL FORMATION Ulman")</f>
        <v>QUILL FORMATION Ulman</v>
      </c>
      <c r="D424" s="43" t="str">
        <f aca="false">IF($A424="","",IF($C424="QUILL FORMATION Valmont",10,11))</f>
        <v/>
      </c>
      <c r="E424" s="151" t="str">
        <f aca="false">IF($A424="","",IFERROR(VLOOKUP($A424,Skills!$A:$C,2,FALSE())&amp;" "&amp;VLOOKUP($A424,Skills!$A:$C,3,FALSE()),"Haxil Dellhaven"))</f>
        <v/>
      </c>
      <c r="F424" s="43" t="str">
        <f aca="false">IF($A424="","",IFERROR(IF(VLOOKUP($A424,Skills!$A:$D,4,FALSE())="","",VLOOKUP($A424,Skills!$A:$D,4,FALSE())),"Lisbonne"))</f>
        <v/>
      </c>
      <c r="G424" s="47"/>
      <c r="H424" s="47" t="str">
        <f aca="false">IF(G424="","",WORKDAY(G424-1,D424+IF(J424="",0,J424)))</f>
        <v/>
      </c>
      <c r="I424" s="134"/>
      <c r="J424" s="135"/>
      <c r="K424" s="43" t="str">
        <f aca="true">IF(G424="","",MIN(D424,MAX(0,NETWORKDAYS(G424,TODAY())-IF(J424="",0,J424))))</f>
        <v/>
      </c>
      <c r="L424" s="43" t="str">
        <f aca="true">IF(G424="","",MAX(0,D424-(NETWORKDAYS(G424,TODAY())-IF(J424="",0,J424))))</f>
        <v/>
      </c>
      <c r="M424" s="173"/>
      <c r="N424" s="44" t="str">
        <f aca="true">IFERROR(IF(OR(K424="",K424&lt;=0),"",IF(TODAY()&gt;H424,1,IF(K424-1=0,0,INDEX(OBJECTIVES!$O$2:$Q$12,MATCH(K424-1,OBJECTIVES!$N$2:$N$12,0),IF($C424="QUILL FORMATION Valmont",2,1))))),"")</f>
        <v/>
      </c>
      <c r="O424" s="44" t="str">
        <f aca="false">IF(OR(N424="",M424=""),"",M424-N424)</f>
        <v/>
      </c>
      <c r="P424" s="155" t="str">
        <f aca="false">IF($Q424&lt;&gt;"",$Q424,IF(O424="","",IF(O424&lt;=-0.12,"P1",IF(O424&lt;=-0.06,"P2","P3"))))</f>
        <v/>
      </c>
      <c r="Q424" s="136"/>
      <c r="R424" s="155"/>
      <c r="S424" s="155"/>
      <c r="T424" s="134"/>
      <c r="U424" s="134"/>
      <c r="V424" s="134"/>
      <c r="W424" s="134"/>
      <c r="X424" s="134"/>
      <c r="Y424" s="134"/>
      <c r="Z424" s="134" t="str">
        <f aca="false">IF(R424="Terminé",IF(AND(G424&lt;&gt;"",I424&lt;&gt;""),NETWORKDAYS(G424,I424),D424),"")</f>
        <v/>
      </c>
      <c r="AA424" s="134" t="str">
        <f aca="false">IF($A424="","",IF(COUNTIF(Skills!$A:$A,$A424)=0,"⚠ ID absent du roster",""))</f>
        <v/>
      </c>
      <c r="AB424" s="158"/>
    </row>
    <row r="425" customFormat="false" ht="15" hidden="true" customHeight="false" outlineLevel="0" collapsed="false">
      <c r="A425" s="172"/>
      <c r="B425" s="172"/>
      <c r="C425" s="161" t="str">
        <f aca="false">IF(LEFT(B425,2)="OS","QUILL FORMATION Valmont","QUILL FORMATION Ulman")</f>
        <v>QUILL FORMATION Ulman</v>
      </c>
      <c r="D425" s="43" t="str">
        <f aca="false">IF($A425="","",IF($C425="QUILL FORMATION Valmont",10,11))</f>
        <v/>
      </c>
      <c r="E425" s="151" t="str">
        <f aca="false">IF($A425="","",IFERROR(VLOOKUP($A425,Skills!$A:$C,2,FALSE())&amp;" "&amp;VLOOKUP($A425,Skills!$A:$C,3,FALSE()),"Haxil Dellhaven"))</f>
        <v/>
      </c>
      <c r="F425" s="43" t="str">
        <f aca="false">IF($A425="","",IFERROR(IF(VLOOKUP($A425,Skills!$A:$D,4,FALSE())="","",VLOOKUP($A425,Skills!$A:$D,4,FALSE())),"Lisbonne"))</f>
        <v/>
      </c>
      <c r="G425" s="47"/>
      <c r="H425" s="47" t="str">
        <f aca="false">IF(G425="","",WORKDAY(G425-1,D425+IF(J425="",0,J425)))</f>
        <v/>
      </c>
      <c r="I425" s="134"/>
      <c r="J425" s="135"/>
      <c r="K425" s="43" t="str">
        <f aca="true">IF(G425="","",MIN(D425,MAX(0,NETWORKDAYS(G425,TODAY())-IF(J425="",0,J425))))</f>
        <v/>
      </c>
      <c r="L425" s="43" t="str">
        <f aca="true">IF(G425="","",MAX(0,D425-(NETWORKDAYS(G425,TODAY())-IF(J425="",0,J425))))</f>
        <v/>
      </c>
      <c r="M425" s="173"/>
      <c r="N425" s="44" t="str">
        <f aca="true">IFERROR(IF(OR(K425="",K425&lt;=0),"",IF(TODAY()&gt;H425,1,IF(K425-1=0,0,INDEX(OBJECTIVES!$O$2:$Q$12,MATCH(K425-1,OBJECTIVES!$N$2:$N$12,0),IF($C425="QUILL FORMATION Valmont",2,1))))),"")</f>
        <v/>
      </c>
      <c r="O425" s="44" t="str">
        <f aca="false">IF(OR(N425="",M425=""),"",M425-N425)</f>
        <v/>
      </c>
      <c r="P425" s="155" t="str">
        <f aca="false">IF($Q425&lt;&gt;"",$Q425,IF(O425="","",IF(O425&lt;=-0.12,"P1",IF(O425&lt;=-0.06,"P2","P3"))))</f>
        <v/>
      </c>
      <c r="Q425" s="136"/>
      <c r="R425" s="155"/>
      <c r="S425" s="155"/>
      <c r="T425" s="134"/>
      <c r="U425" s="134"/>
      <c r="V425" s="134"/>
      <c r="W425" s="134"/>
      <c r="X425" s="134"/>
      <c r="Y425" s="134"/>
      <c r="Z425" s="134" t="str">
        <f aca="false">IF(R425="Terminé",IF(AND(G425&lt;&gt;"",I425&lt;&gt;""),NETWORKDAYS(G425,I425),D425),"")</f>
        <v/>
      </c>
      <c r="AA425" s="134" t="str">
        <f aca="false">IF($A425="","",IF(COUNTIF(Skills!$A:$A,$A425)=0,"⚠ ID absent du roster",""))</f>
        <v/>
      </c>
      <c r="AB425" s="158"/>
    </row>
    <row r="426" customFormat="false" ht="15" hidden="true" customHeight="false" outlineLevel="0" collapsed="false">
      <c r="A426" s="172"/>
      <c r="B426" s="172"/>
      <c r="C426" s="161" t="str">
        <f aca="false">IF(LEFT(B426,2)="OS","QUILL FORMATION Valmont","QUILL FORMATION Ulman")</f>
        <v>QUILL FORMATION Ulman</v>
      </c>
      <c r="D426" s="43" t="str">
        <f aca="false">IF($A426="","",IF($C426="QUILL FORMATION Valmont",10,11))</f>
        <v/>
      </c>
      <c r="E426" s="151" t="str">
        <f aca="false">IF($A426="","",IFERROR(VLOOKUP($A426,Skills!$A:$C,2,FALSE())&amp;" "&amp;VLOOKUP($A426,Skills!$A:$C,3,FALSE()),"Haxil Dellhaven"))</f>
        <v/>
      </c>
      <c r="F426" s="43" t="str">
        <f aca="false">IF($A426="","",IFERROR(IF(VLOOKUP($A426,Skills!$A:$D,4,FALSE())="","",VLOOKUP($A426,Skills!$A:$D,4,FALSE())),"Lisbonne"))</f>
        <v/>
      </c>
      <c r="G426" s="47"/>
      <c r="H426" s="47" t="str">
        <f aca="false">IF(G426="","",WORKDAY(G426-1,D426+IF(J426="",0,J426)))</f>
        <v/>
      </c>
      <c r="I426" s="134"/>
      <c r="J426" s="135"/>
      <c r="K426" s="43" t="str">
        <f aca="true">IF(G426="","",MIN(D426,MAX(0,NETWORKDAYS(G426,TODAY())-IF(J426="",0,J426))))</f>
        <v/>
      </c>
      <c r="L426" s="43" t="str">
        <f aca="true">IF(G426="","",MAX(0,D426-(NETWORKDAYS(G426,TODAY())-IF(J426="",0,J426))))</f>
        <v/>
      </c>
      <c r="M426" s="173"/>
      <c r="N426" s="44" t="str">
        <f aca="true">IFERROR(IF(OR(K426="",K426&lt;=0),"",IF(TODAY()&gt;H426,1,IF(K426-1=0,0,INDEX(OBJECTIVES!$O$2:$Q$12,MATCH(K426-1,OBJECTIVES!$N$2:$N$12,0),IF($C426="QUILL FORMATION Valmont",2,1))))),"")</f>
        <v/>
      </c>
      <c r="O426" s="44" t="str">
        <f aca="false">IF(OR(N426="",M426=""),"",M426-N426)</f>
        <v/>
      </c>
      <c r="P426" s="155" t="str">
        <f aca="false">IF($Q426&lt;&gt;"",$Q426,IF(O426="","",IF(O426&lt;=-0.12,"P1",IF(O426&lt;=-0.06,"P2","P3"))))</f>
        <v/>
      </c>
      <c r="Q426" s="136"/>
      <c r="R426" s="155"/>
      <c r="S426" s="155"/>
      <c r="T426" s="134"/>
      <c r="U426" s="134"/>
      <c r="V426" s="134"/>
      <c r="W426" s="134"/>
      <c r="X426" s="134"/>
      <c r="Y426" s="134"/>
      <c r="Z426" s="134" t="str">
        <f aca="false">IF(R426="Terminé",IF(AND(G426&lt;&gt;"",I426&lt;&gt;""),NETWORKDAYS(G426,I426),D426),"")</f>
        <v/>
      </c>
      <c r="AA426" s="134" t="str">
        <f aca="false">IF($A426="","",IF(COUNTIF(Skills!$A:$A,$A426)=0,"⚠ ID absent du roster",""))</f>
        <v/>
      </c>
      <c r="AB426" s="158"/>
    </row>
    <row r="427" customFormat="false" ht="15" hidden="true" customHeight="false" outlineLevel="0" collapsed="false">
      <c r="A427" s="172"/>
      <c r="B427" s="172"/>
      <c r="C427" s="161" t="str">
        <f aca="false">IF(LEFT(B427,2)="OS","QUILL FORMATION Valmont","QUILL FORMATION Ulman")</f>
        <v>QUILL FORMATION Ulman</v>
      </c>
      <c r="D427" s="43" t="str">
        <f aca="false">IF($A427="","",IF($C427="QUILL FORMATION Valmont",10,11))</f>
        <v/>
      </c>
      <c r="E427" s="151" t="str">
        <f aca="false">IF($A427="","",IFERROR(VLOOKUP($A427,Skills!$A:$C,2,FALSE())&amp;" "&amp;VLOOKUP($A427,Skills!$A:$C,3,FALSE()),"Haxil Dellhaven"))</f>
        <v/>
      </c>
      <c r="F427" s="43" t="str">
        <f aca="false">IF($A427="","",IFERROR(IF(VLOOKUP($A427,Skills!$A:$D,4,FALSE())="","",VLOOKUP($A427,Skills!$A:$D,4,FALSE())),"Lisbonne"))</f>
        <v/>
      </c>
      <c r="G427" s="47"/>
      <c r="H427" s="47" t="str">
        <f aca="false">IF(G427="","",WORKDAY(G427-1,D427+IF(J427="",0,J427)))</f>
        <v/>
      </c>
      <c r="I427" s="134"/>
      <c r="J427" s="135"/>
      <c r="K427" s="43" t="str">
        <f aca="true">IF(G427="","",MIN(D427,MAX(0,NETWORKDAYS(G427,TODAY())-IF(J427="",0,J427))))</f>
        <v/>
      </c>
      <c r="L427" s="43" t="str">
        <f aca="true">IF(G427="","",MAX(0,D427-(NETWORKDAYS(G427,TODAY())-IF(J427="",0,J427))))</f>
        <v/>
      </c>
      <c r="M427" s="173"/>
      <c r="N427" s="44" t="str">
        <f aca="true">IFERROR(IF(OR(K427="",K427&lt;=0),"",IF(TODAY()&gt;H427,1,IF(K427-1=0,0,INDEX(OBJECTIVES!$O$2:$Q$12,MATCH(K427-1,OBJECTIVES!$N$2:$N$12,0),IF($C427="QUILL FORMATION Valmont",2,1))))),"")</f>
        <v/>
      </c>
      <c r="O427" s="44" t="str">
        <f aca="false">IF(OR(N427="",M427=""),"",M427-N427)</f>
        <v/>
      </c>
      <c r="P427" s="155" t="str">
        <f aca="false">IF($Q427&lt;&gt;"",$Q427,IF(O427="","",IF(O427&lt;=-0.12,"P1",IF(O427&lt;=-0.06,"P2","P3"))))</f>
        <v/>
      </c>
      <c r="Q427" s="136"/>
      <c r="R427" s="155"/>
      <c r="S427" s="155"/>
      <c r="T427" s="134"/>
      <c r="U427" s="134"/>
      <c r="V427" s="134"/>
      <c r="W427" s="134"/>
      <c r="X427" s="134"/>
      <c r="Y427" s="134"/>
      <c r="Z427" s="134" t="str">
        <f aca="false">IF(R427="Terminé",IF(AND(G427&lt;&gt;"",I427&lt;&gt;""),NETWORKDAYS(G427,I427),D427),"")</f>
        <v/>
      </c>
      <c r="AA427" s="134" t="str">
        <f aca="false">IF($A427="","",IF(COUNTIF(Skills!$A:$A,$A427)=0,"⚠ ID absent du roster",""))</f>
        <v/>
      </c>
      <c r="AB427" s="158"/>
    </row>
    <row r="428" customFormat="false" ht="15" hidden="true" customHeight="false" outlineLevel="0" collapsed="false">
      <c r="A428" s="172"/>
      <c r="B428" s="172"/>
      <c r="C428" s="161" t="str">
        <f aca="false">IF(LEFT(B428,2)="OS","QUILL FORMATION Valmont","QUILL FORMATION Ulman")</f>
        <v>QUILL FORMATION Ulman</v>
      </c>
      <c r="D428" s="43" t="str">
        <f aca="false">IF($A428="","",IF($C428="QUILL FORMATION Valmont",10,11))</f>
        <v/>
      </c>
      <c r="E428" s="151" t="str">
        <f aca="false">IF($A428="","",IFERROR(VLOOKUP($A428,Skills!$A:$C,2,FALSE())&amp;" "&amp;VLOOKUP($A428,Skills!$A:$C,3,FALSE()),"Haxil Dellhaven"))</f>
        <v/>
      </c>
      <c r="F428" s="43" t="str">
        <f aca="false">IF($A428="","",IFERROR(IF(VLOOKUP($A428,Skills!$A:$D,4,FALSE())="","",VLOOKUP($A428,Skills!$A:$D,4,FALSE())),"Lisbonne"))</f>
        <v/>
      </c>
      <c r="G428" s="47"/>
      <c r="H428" s="47" t="str">
        <f aca="false">IF(G428="","",WORKDAY(G428-1,D428+IF(J428="",0,J428)))</f>
        <v/>
      </c>
      <c r="I428" s="134"/>
      <c r="J428" s="135"/>
      <c r="K428" s="43" t="str">
        <f aca="true">IF(G428="","",MIN(D428,MAX(0,NETWORKDAYS(G428,TODAY())-IF(J428="",0,J428))))</f>
        <v/>
      </c>
      <c r="L428" s="43" t="str">
        <f aca="true">IF(G428="","",MAX(0,D428-(NETWORKDAYS(G428,TODAY())-IF(J428="",0,J428))))</f>
        <v/>
      </c>
      <c r="M428" s="173"/>
      <c r="N428" s="44" t="str">
        <f aca="true">IFERROR(IF(OR(K428="",K428&lt;=0),"",IF(TODAY()&gt;H428,1,IF(K428-1=0,0,INDEX(OBJECTIVES!$O$2:$Q$12,MATCH(K428-1,OBJECTIVES!$N$2:$N$12,0),IF($C428="QUILL FORMATION Valmont",2,1))))),"")</f>
        <v/>
      </c>
      <c r="O428" s="44" t="str">
        <f aca="false">IF(OR(N428="",M428=""),"",M428-N428)</f>
        <v/>
      </c>
      <c r="P428" s="155" t="str">
        <f aca="false">IF($Q428&lt;&gt;"",$Q428,IF(O428="","",IF(O428&lt;=-0.12,"P1",IF(O428&lt;=-0.06,"P2","P3"))))</f>
        <v/>
      </c>
      <c r="Q428" s="136"/>
      <c r="R428" s="155"/>
      <c r="S428" s="155"/>
      <c r="T428" s="134"/>
      <c r="U428" s="134"/>
      <c r="V428" s="134"/>
      <c r="W428" s="134"/>
      <c r="X428" s="134"/>
      <c r="Y428" s="134"/>
      <c r="Z428" s="134" t="str">
        <f aca="false">IF(R428="Terminé",IF(AND(G428&lt;&gt;"",I428&lt;&gt;""),NETWORKDAYS(G428,I428),D428),"")</f>
        <v/>
      </c>
      <c r="AA428" s="134" t="str">
        <f aca="false">IF($A428="","",IF(COUNTIF(Skills!$A:$A,$A428)=0,"⚠ ID absent du roster",""))</f>
        <v/>
      </c>
      <c r="AB428" s="158"/>
    </row>
    <row r="429" customFormat="false" ht="15" hidden="true" customHeight="false" outlineLevel="0" collapsed="false">
      <c r="A429" s="172"/>
      <c r="B429" s="172"/>
      <c r="C429" s="161" t="str">
        <f aca="false">IF(LEFT(B429,2)="OS","QUILL FORMATION Valmont","QUILL FORMATION Ulman")</f>
        <v>QUILL FORMATION Ulman</v>
      </c>
      <c r="D429" s="43" t="str">
        <f aca="false">IF($A429="","",IF($C429="QUILL FORMATION Valmont",10,11))</f>
        <v/>
      </c>
      <c r="E429" s="151" t="str">
        <f aca="false">IF($A429="","",IFERROR(VLOOKUP($A429,Skills!$A:$C,2,FALSE())&amp;" "&amp;VLOOKUP($A429,Skills!$A:$C,3,FALSE()),"Haxil Dellhaven"))</f>
        <v/>
      </c>
      <c r="F429" s="43" t="str">
        <f aca="false">IF($A429="","",IFERROR(IF(VLOOKUP($A429,Skills!$A:$D,4,FALSE())="","",VLOOKUP($A429,Skills!$A:$D,4,FALSE())),"Lisbonne"))</f>
        <v/>
      </c>
      <c r="G429" s="47"/>
      <c r="H429" s="47" t="str">
        <f aca="false">IF(G429="","",WORKDAY(G429-1,D429+IF(J429="",0,J429)))</f>
        <v/>
      </c>
      <c r="I429" s="134"/>
      <c r="J429" s="135"/>
      <c r="K429" s="43" t="str">
        <f aca="true">IF(G429="","",MIN(D429,MAX(0,NETWORKDAYS(G429,TODAY())-IF(J429="",0,J429))))</f>
        <v/>
      </c>
      <c r="L429" s="43" t="str">
        <f aca="true">IF(G429="","",MAX(0,D429-(NETWORKDAYS(G429,TODAY())-IF(J429="",0,J429))))</f>
        <v/>
      </c>
      <c r="M429" s="173"/>
      <c r="N429" s="44" t="str">
        <f aca="true">IFERROR(IF(OR(K429="",K429&lt;=0),"",IF(TODAY()&gt;H429,1,IF(K429-1=0,0,INDEX(OBJECTIVES!$O$2:$Q$12,MATCH(K429-1,OBJECTIVES!$N$2:$N$12,0),IF($C429="QUILL FORMATION Valmont",2,1))))),"")</f>
        <v/>
      </c>
      <c r="O429" s="44" t="str">
        <f aca="false">IF(OR(N429="",M429=""),"",M429-N429)</f>
        <v/>
      </c>
      <c r="P429" s="155" t="str">
        <f aca="false">IF($Q429&lt;&gt;"",$Q429,IF(O429="","",IF(O429&lt;=-0.12,"P1",IF(O429&lt;=-0.06,"P2","P3"))))</f>
        <v/>
      </c>
      <c r="Q429" s="136"/>
      <c r="R429" s="155"/>
      <c r="S429" s="155"/>
      <c r="T429" s="134"/>
      <c r="U429" s="134"/>
      <c r="V429" s="134"/>
      <c r="W429" s="134"/>
      <c r="X429" s="134"/>
      <c r="Y429" s="134"/>
      <c r="Z429" s="134" t="str">
        <f aca="false">IF(R429="Terminé",IF(AND(G429&lt;&gt;"",I429&lt;&gt;""),NETWORKDAYS(G429,I429),D429),"")</f>
        <v/>
      </c>
      <c r="AA429" s="134" t="str">
        <f aca="false">IF($A429="","",IF(COUNTIF(Skills!$A:$A,$A429)=0,"⚠ ID absent du roster",""))</f>
        <v/>
      </c>
      <c r="AB429" s="158"/>
    </row>
    <row r="430" customFormat="false" ht="15" hidden="true" customHeight="false" outlineLevel="0" collapsed="false">
      <c r="A430" s="172"/>
      <c r="B430" s="172"/>
      <c r="C430" s="161" t="str">
        <f aca="false">IF(LEFT(B430,2)="OS","QUILL FORMATION Valmont","QUILL FORMATION Ulman")</f>
        <v>QUILL FORMATION Ulman</v>
      </c>
      <c r="D430" s="43" t="str">
        <f aca="false">IF($A430="","",IF($C430="QUILL FORMATION Valmont",10,11))</f>
        <v/>
      </c>
      <c r="E430" s="151" t="str">
        <f aca="false">IF($A430="","",IFERROR(VLOOKUP($A430,Skills!$A:$C,2,FALSE())&amp;" "&amp;VLOOKUP($A430,Skills!$A:$C,3,FALSE()),"Haxil Dellhaven"))</f>
        <v/>
      </c>
      <c r="F430" s="43" t="str">
        <f aca="false">IF($A430="","",IFERROR(IF(VLOOKUP($A430,Skills!$A:$D,4,FALSE())="","",VLOOKUP($A430,Skills!$A:$D,4,FALSE())),"Lisbonne"))</f>
        <v/>
      </c>
      <c r="G430" s="47"/>
      <c r="H430" s="47" t="str">
        <f aca="false">IF(G430="","",WORKDAY(G430-1,D430+IF(J430="",0,J430)))</f>
        <v/>
      </c>
      <c r="I430" s="134"/>
      <c r="J430" s="135"/>
      <c r="K430" s="43" t="str">
        <f aca="true">IF(G430="","",MIN(D430,MAX(0,NETWORKDAYS(G430,TODAY())-IF(J430="",0,J430))))</f>
        <v/>
      </c>
      <c r="L430" s="43" t="str">
        <f aca="true">IF(G430="","",MAX(0,D430-(NETWORKDAYS(G430,TODAY())-IF(J430="",0,J430))))</f>
        <v/>
      </c>
      <c r="M430" s="173"/>
      <c r="N430" s="44" t="str">
        <f aca="true">IFERROR(IF(OR(K430="",K430&lt;=0),"",IF(TODAY()&gt;H430,1,IF(K430-1=0,0,INDEX(OBJECTIVES!$O$2:$Q$12,MATCH(K430-1,OBJECTIVES!$N$2:$N$12,0),IF($C430="QUILL FORMATION Valmont",2,1))))),"")</f>
        <v/>
      </c>
      <c r="O430" s="44" t="str">
        <f aca="false">IF(OR(N430="",M430=""),"",M430-N430)</f>
        <v/>
      </c>
      <c r="P430" s="155" t="str">
        <f aca="false">IF($Q430&lt;&gt;"",$Q430,IF(O430="","",IF(O430&lt;=-0.12,"P1",IF(O430&lt;=-0.06,"P2","P3"))))</f>
        <v/>
      </c>
      <c r="Q430" s="136"/>
      <c r="R430" s="155"/>
      <c r="S430" s="155"/>
      <c r="T430" s="134"/>
      <c r="U430" s="134"/>
      <c r="V430" s="134"/>
      <c r="W430" s="134"/>
      <c r="X430" s="134"/>
      <c r="Y430" s="134"/>
      <c r="Z430" s="134" t="str">
        <f aca="false">IF(R430="Terminé",IF(AND(G430&lt;&gt;"",I430&lt;&gt;""),NETWORKDAYS(G430,I430),D430),"")</f>
        <v/>
      </c>
      <c r="AA430" s="134" t="str">
        <f aca="false">IF($A430="","",IF(COUNTIF(Skills!$A:$A,$A430)=0,"⚠ ID absent du roster",""))</f>
        <v/>
      </c>
      <c r="AB430" s="158"/>
    </row>
    <row r="431" customFormat="false" ht="15" hidden="true" customHeight="false" outlineLevel="0" collapsed="false">
      <c r="A431" s="172"/>
      <c r="B431" s="172"/>
      <c r="C431" s="161" t="str">
        <f aca="false">IF(LEFT(B431,2)="OS","QUILL FORMATION Valmont","QUILL FORMATION Ulman")</f>
        <v>QUILL FORMATION Ulman</v>
      </c>
      <c r="D431" s="43" t="str">
        <f aca="false">IF($A431="","",IF($C431="QUILL FORMATION Valmont",10,11))</f>
        <v/>
      </c>
      <c r="E431" s="151" t="str">
        <f aca="false">IF($A431="","",IFERROR(VLOOKUP($A431,Skills!$A:$C,2,FALSE())&amp;" "&amp;VLOOKUP($A431,Skills!$A:$C,3,FALSE()),"Haxil Dellhaven"))</f>
        <v/>
      </c>
      <c r="F431" s="43" t="str">
        <f aca="false">IF($A431="","",IFERROR(IF(VLOOKUP($A431,Skills!$A:$D,4,FALSE())="","",VLOOKUP($A431,Skills!$A:$D,4,FALSE())),"Lisbonne"))</f>
        <v/>
      </c>
      <c r="G431" s="47"/>
      <c r="H431" s="47" t="str">
        <f aca="false">IF(G431="","",WORKDAY(G431-1,D431+IF(J431="",0,J431)))</f>
        <v/>
      </c>
      <c r="I431" s="134"/>
      <c r="J431" s="135"/>
      <c r="K431" s="43" t="str">
        <f aca="true">IF(G431="","",MIN(D431,MAX(0,NETWORKDAYS(G431,TODAY())-IF(J431="",0,J431))))</f>
        <v/>
      </c>
      <c r="L431" s="43" t="str">
        <f aca="true">IF(G431="","",MAX(0,D431-(NETWORKDAYS(G431,TODAY())-IF(J431="",0,J431))))</f>
        <v/>
      </c>
      <c r="M431" s="173"/>
      <c r="N431" s="44" t="str">
        <f aca="true">IFERROR(IF(OR(K431="",K431&lt;=0),"",IF(TODAY()&gt;H431,1,IF(K431-1=0,0,INDEX(OBJECTIVES!$O$2:$Q$12,MATCH(K431-1,OBJECTIVES!$N$2:$N$12,0),IF($C431="QUILL FORMATION Valmont",2,1))))),"")</f>
        <v/>
      </c>
      <c r="O431" s="44" t="str">
        <f aca="false">IF(OR(N431="",M431=""),"",M431-N431)</f>
        <v/>
      </c>
      <c r="P431" s="155" t="str">
        <f aca="false">IF($Q431&lt;&gt;"",$Q431,IF(O431="","",IF(O431&lt;=-0.12,"P1",IF(O431&lt;=-0.06,"P2","P3"))))</f>
        <v/>
      </c>
      <c r="Q431" s="136"/>
      <c r="R431" s="155"/>
      <c r="S431" s="155"/>
      <c r="T431" s="134"/>
      <c r="U431" s="134"/>
      <c r="V431" s="134"/>
      <c r="W431" s="134"/>
      <c r="X431" s="134"/>
      <c r="Y431" s="134"/>
      <c r="Z431" s="134" t="str">
        <f aca="false">IF(R431="Terminé",IF(AND(G431&lt;&gt;"",I431&lt;&gt;""),NETWORKDAYS(G431,I431),D431),"")</f>
        <v/>
      </c>
      <c r="AA431" s="134" t="str">
        <f aca="false">IF($A431="","",IF(COUNTIF(Skills!$A:$A,$A431)=0,"⚠ ID absent du roster",""))</f>
        <v/>
      </c>
      <c r="AB431" s="158"/>
    </row>
    <row r="432" customFormat="false" ht="15" hidden="true" customHeight="false" outlineLevel="0" collapsed="false">
      <c r="A432" s="172"/>
      <c r="B432" s="172"/>
      <c r="C432" s="161" t="str">
        <f aca="false">IF(LEFT(B432,2)="OS","QUILL FORMATION Valmont","QUILL FORMATION Ulman")</f>
        <v>QUILL FORMATION Ulman</v>
      </c>
      <c r="D432" s="43" t="str">
        <f aca="false">IF($A432="","",IF($C432="QUILL FORMATION Valmont",10,11))</f>
        <v/>
      </c>
      <c r="E432" s="151" t="str">
        <f aca="false">IF($A432="","",IFERROR(VLOOKUP($A432,Skills!$A:$C,2,FALSE())&amp;" "&amp;VLOOKUP($A432,Skills!$A:$C,3,FALSE()),"Haxil Dellhaven"))</f>
        <v/>
      </c>
      <c r="F432" s="43" t="str">
        <f aca="false">IF($A432="","",IFERROR(IF(VLOOKUP($A432,Skills!$A:$D,4,FALSE())="","",VLOOKUP($A432,Skills!$A:$D,4,FALSE())),"Lisbonne"))</f>
        <v/>
      </c>
      <c r="G432" s="47"/>
      <c r="H432" s="47" t="str">
        <f aca="false">IF(G432="","",WORKDAY(G432-1,D432+IF(J432="",0,J432)))</f>
        <v/>
      </c>
      <c r="I432" s="134"/>
      <c r="J432" s="135"/>
      <c r="K432" s="43" t="str">
        <f aca="true">IF(G432="","",MIN(D432,MAX(0,NETWORKDAYS(G432,TODAY())-IF(J432="",0,J432))))</f>
        <v/>
      </c>
      <c r="L432" s="43" t="str">
        <f aca="true">IF(G432="","",MAX(0,D432-(NETWORKDAYS(G432,TODAY())-IF(J432="",0,J432))))</f>
        <v/>
      </c>
      <c r="M432" s="173"/>
      <c r="N432" s="44" t="str">
        <f aca="true">IFERROR(IF(OR(K432="",K432&lt;=0),"",IF(TODAY()&gt;H432,1,IF(K432-1=0,0,INDEX(OBJECTIVES!$O$2:$Q$12,MATCH(K432-1,OBJECTIVES!$N$2:$N$12,0),IF($C432="QUILL FORMATION Valmont",2,1))))),"")</f>
        <v/>
      </c>
      <c r="O432" s="44" t="str">
        <f aca="false">IF(OR(N432="",M432=""),"",M432-N432)</f>
        <v/>
      </c>
      <c r="P432" s="155" t="str">
        <f aca="false">IF($Q432&lt;&gt;"",$Q432,IF(O432="","",IF(O432&lt;=-0.12,"P1",IF(O432&lt;=-0.06,"P2","P3"))))</f>
        <v/>
      </c>
      <c r="Q432" s="136"/>
      <c r="R432" s="155"/>
      <c r="S432" s="155"/>
      <c r="T432" s="134"/>
      <c r="U432" s="134"/>
      <c r="V432" s="134"/>
      <c r="W432" s="134"/>
      <c r="X432" s="134"/>
      <c r="Y432" s="134"/>
      <c r="Z432" s="134" t="str">
        <f aca="false">IF(R432="Terminé",IF(AND(G432&lt;&gt;"",I432&lt;&gt;""),NETWORKDAYS(G432,I432),D432),"")</f>
        <v/>
      </c>
      <c r="AA432" s="134" t="str">
        <f aca="false">IF($A432="","",IF(COUNTIF(Skills!$A:$A,$A432)=0,"⚠ ID absent du roster",""))</f>
        <v/>
      </c>
      <c r="AB432" s="158"/>
    </row>
    <row r="433" customFormat="false" ht="15" hidden="true" customHeight="false" outlineLevel="0" collapsed="false">
      <c r="A433" s="172"/>
      <c r="B433" s="172"/>
      <c r="C433" s="161" t="str">
        <f aca="false">IF(LEFT(B433,2)="OS","QUILL FORMATION Valmont","QUILL FORMATION Ulman")</f>
        <v>QUILL FORMATION Ulman</v>
      </c>
      <c r="D433" s="43" t="str">
        <f aca="false">IF($A433="","",IF($C433="QUILL FORMATION Valmont",10,11))</f>
        <v/>
      </c>
      <c r="E433" s="151" t="str">
        <f aca="false">IF($A433="","",IFERROR(VLOOKUP($A433,Skills!$A:$C,2,FALSE())&amp;" "&amp;VLOOKUP($A433,Skills!$A:$C,3,FALSE()),"Haxil Dellhaven"))</f>
        <v/>
      </c>
      <c r="F433" s="43" t="str">
        <f aca="false">IF($A433="","",IFERROR(IF(VLOOKUP($A433,Skills!$A:$D,4,FALSE())="","",VLOOKUP($A433,Skills!$A:$D,4,FALSE())),"Lisbonne"))</f>
        <v/>
      </c>
      <c r="G433" s="47"/>
      <c r="H433" s="47" t="str">
        <f aca="false">IF(G433="","",WORKDAY(G433-1,D433+IF(J433="",0,J433)))</f>
        <v/>
      </c>
      <c r="I433" s="134"/>
      <c r="J433" s="135"/>
      <c r="K433" s="43" t="str">
        <f aca="true">IF(G433="","",MIN(D433,MAX(0,NETWORKDAYS(G433,TODAY())-IF(J433="",0,J433))))</f>
        <v/>
      </c>
      <c r="L433" s="43" t="str">
        <f aca="true">IF(G433="","",MAX(0,D433-(NETWORKDAYS(G433,TODAY())-IF(J433="",0,J433))))</f>
        <v/>
      </c>
      <c r="M433" s="173"/>
      <c r="N433" s="44" t="str">
        <f aca="true">IFERROR(IF(OR(K433="",K433&lt;=0),"",IF(TODAY()&gt;H433,1,IF(K433-1=0,0,INDEX(OBJECTIVES!$O$2:$Q$12,MATCH(K433-1,OBJECTIVES!$N$2:$N$12,0),IF($C433="QUILL FORMATION Valmont",2,1))))),"")</f>
        <v/>
      </c>
      <c r="O433" s="44" t="str">
        <f aca="false">IF(OR(N433="",M433=""),"",M433-N433)</f>
        <v/>
      </c>
      <c r="P433" s="155" t="str">
        <f aca="false">IF($Q433&lt;&gt;"",$Q433,IF(O433="","",IF(O433&lt;=-0.12,"P1",IF(O433&lt;=-0.06,"P2","P3"))))</f>
        <v/>
      </c>
      <c r="Q433" s="136"/>
      <c r="R433" s="155"/>
      <c r="S433" s="155"/>
      <c r="T433" s="134"/>
      <c r="U433" s="134"/>
      <c r="V433" s="134"/>
      <c r="W433" s="134"/>
      <c r="X433" s="134"/>
      <c r="Y433" s="134"/>
      <c r="Z433" s="134" t="str">
        <f aca="false">IF(R433="Terminé",IF(AND(G433&lt;&gt;"",I433&lt;&gt;""),NETWORKDAYS(G433,I433),D433),"")</f>
        <v/>
      </c>
      <c r="AA433" s="134" t="str">
        <f aca="false">IF($A433="","",IF(COUNTIF(Skills!$A:$A,$A433)=0,"⚠ ID absent du roster",""))</f>
        <v/>
      </c>
      <c r="AB433" s="158"/>
    </row>
    <row r="434" customFormat="false" ht="15" hidden="true" customHeight="false" outlineLevel="0" collapsed="false">
      <c r="A434" s="172"/>
      <c r="B434" s="172"/>
      <c r="C434" s="161" t="str">
        <f aca="false">IF(LEFT(B434,2)="OS","QUILL FORMATION Valmont","QUILL FORMATION Ulman")</f>
        <v>QUILL FORMATION Ulman</v>
      </c>
      <c r="D434" s="43" t="str">
        <f aca="false">IF($A434="","",IF($C434="QUILL FORMATION Valmont",10,11))</f>
        <v/>
      </c>
      <c r="E434" s="151" t="str">
        <f aca="false">IF($A434="","",IFERROR(VLOOKUP($A434,Skills!$A:$C,2,FALSE())&amp;" "&amp;VLOOKUP($A434,Skills!$A:$C,3,FALSE()),"Haxil Dellhaven"))</f>
        <v/>
      </c>
      <c r="F434" s="43" t="str">
        <f aca="false">IF($A434="","",IFERROR(IF(VLOOKUP($A434,Skills!$A:$D,4,FALSE())="","",VLOOKUP($A434,Skills!$A:$D,4,FALSE())),"Lisbonne"))</f>
        <v/>
      </c>
      <c r="G434" s="47"/>
      <c r="H434" s="47" t="str">
        <f aca="false">IF(G434="","",WORKDAY(G434-1,D434+IF(J434="",0,J434)))</f>
        <v/>
      </c>
      <c r="I434" s="134"/>
      <c r="J434" s="135"/>
      <c r="K434" s="43" t="str">
        <f aca="true">IF(G434="","",MIN(D434,MAX(0,NETWORKDAYS(G434,TODAY())-IF(J434="",0,J434))))</f>
        <v/>
      </c>
      <c r="L434" s="43" t="str">
        <f aca="true">IF(G434="","",MAX(0,D434-(NETWORKDAYS(G434,TODAY())-IF(J434="",0,J434))))</f>
        <v/>
      </c>
      <c r="M434" s="173"/>
      <c r="N434" s="44" t="str">
        <f aca="true">IFERROR(IF(OR(K434="",K434&lt;=0),"",IF(TODAY()&gt;H434,1,IF(K434-1=0,0,INDEX(OBJECTIVES!$O$2:$Q$12,MATCH(K434-1,OBJECTIVES!$N$2:$N$12,0),IF($C434="QUILL FORMATION Valmont",2,1))))),"")</f>
        <v/>
      </c>
      <c r="O434" s="44" t="str">
        <f aca="false">IF(OR(N434="",M434=""),"",M434-N434)</f>
        <v/>
      </c>
      <c r="P434" s="155" t="str">
        <f aca="false">IF($Q434&lt;&gt;"",$Q434,IF(O434="","",IF(O434&lt;=-0.12,"P1",IF(O434&lt;=-0.06,"P2","P3"))))</f>
        <v/>
      </c>
      <c r="Q434" s="136"/>
      <c r="R434" s="155"/>
      <c r="S434" s="155"/>
      <c r="T434" s="134"/>
      <c r="U434" s="134"/>
      <c r="V434" s="134"/>
      <c r="W434" s="134"/>
      <c r="X434" s="134"/>
      <c r="Y434" s="134"/>
      <c r="Z434" s="134" t="str">
        <f aca="false">IF(R434="Terminé",IF(AND(G434&lt;&gt;"",I434&lt;&gt;""),NETWORKDAYS(G434,I434),D434),"")</f>
        <v/>
      </c>
      <c r="AA434" s="134" t="str">
        <f aca="false">IF($A434="","",IF(COUNTIF(Skills!$A:$A,$A434)=0,"⚠ ID absent du roster",""))</f>
        <v/>
      </c>
      <c r="AB434" s="158"/>
    </row>
    <row r="435" customFormat="false" ht="15" hidden="true" customHeight="false" outlineLevel="0" collapsed="false">
      <c r="A435" s="172"/>
      <c r="B435" s="172"/>
      <c r="C435" s="161" t="str">
        <f aca="false">IF(LEFT(B435,2)="OS","QUILL FORMATION Valmont","QUILL FORMATION Ulman")</f>
        <v>QUILL FORMATION Ulman</v>
      </c>
      <c r="D435" s="43" t="str">
        <f aca="false">IF($A435="","",IF($C435="QUILL FORMATION Valmont",10,11))</f>
        <v/>
      </c>
      <c r="E435" s="151" t="str">
        <f aca="false">IF($A435="","",IFERROR(VLOOKUP($A435,Skills!$A:$C,2,FALSE())&amp;" "&amp;VLOOKUP($A435,Skills!$A:$C,3,FALSE()),"Haxil Dellhaven"))</f>
        <v/>
      </c>
      <c r="F435" s="43" t="str">
        <f aca="false">IF($A435="","",IFERROR(IF(VLOOKUP($A435,Skills!$A:$D,4,FALSE())="","",VLOOKUP($A435,Skills!$A:$D,4,FALSE())),"Lisbonne"))</f>
        <v/>
      </c>
      <c r="G435" s="47"/>
      <c r="H435" s="47" t="str">
        <f aca="false">IF(G435="","",WORKDAY(G435-1,D435+IF(J435="",0,J435)))</f>
        <v/>
      </c>
      <c r="I435" s="134"/>
      <c r="J435" s="135"/>
      <c r="K435" s="43" t="str">
        <f aca="true">IF(G435="","",MIN(D435,MAX(0,NETWORKDAYS(G435,TODAY())-IF(J435="",0,J435))))</f>
        <v/>
      </c>
      <c r="L435" s="43" t="str">
        <f aca="true">IF(G435="","",MAX(0,D435-(NETWORKDAYS(G435,TODAY())-IF(J435="",0,J435))))</f>
        <v/>
      </c>
      <c r="M435" s="173"/>
      <c r="N435" s="44" t="str">
        <f aca="true">IFERROR(IF(OR(K435="",K435&lt;=0),"",IF(TODAY()&gt;H435,1,IF(K435-1=0,0,INDEX(OBJECTIVES!$O$2:$Q$12,MATCH(K435-1,OBJECTIVES!$N$2:$N$12,0),IF($C435="QUILL FORMATION Valmont",2,1))))),"")</f>
        <v/>
      </c>
      <c r="O435" s="44" t="str">
        <f aca="false">IF(OR(N435="",M435=""),"",M435-N435)</f>
        <v/>
      </c>
      <c r="P435" s="155" t="str">
        <f aca="false">IF($Q435&lt;&gt;"",$Q435,IF(O435="","",IF(O435&lt;=-0.12,"P1",IF(O435&lt;=-0.06,"P2","P3"))))</f>
        <v/>
      </c>
      <c r="Q435" s="136"/>
      <c r="R435" s="155"/>
      <c r="S435" s="155"/>
      <c r="T435" s="134"/>
      <c r="U435" s="134"/>
      <c r="V435" s="134"/>
      <c r="W435" s="134"/>
      <c r="X435" s="134"/>
      <c r="Y435" s="134"/>
      <c r="Z435" s="134" t="str">
        <f aca="false">IF(R435="Terminé",IF(AND(G435&lt;&gt;"",I435&lt;&gt;""),NETWORKDAYS(G435,I435),D435),"")</f>
        <v/>
      </c>
      <c r="AA435" s="134" t="str">
        <f aca="false">IF($A435="","",IF(COUNTIF(Skills!$A:$A,$A435)=0,"⚠ ID absent du roster",""))</f>
        <v/>
      </c>
      <c r="AB435" s="158"/>
    </row>
    <row r="436" customFormat="false" ht="15" hidden="true" customHeight="false" outlineLevel="0" collapsed="false">
      <c r="A436" s="172"/>
      <c r="B436" s="172"/>
      <c r="C436" s="161" t="str">
        <f aca="false">IF(LEFT(B436,2)="OS","QUILL FORMATION Valmont","QUILL FORMATION Ulman")</f>
        <v>QUILL FORMATION Ulman</v>
      </c>
      <c r="D436" s="43" t="str">
        <f aca="false">IF($A436="","",IF($C436="QUILL FORMATION Valmont",10,11))</f>
        <v/>
      </c>
      <c r="E436" s="151" t="str">
        <f aca="false">IF($A436="","",IFERROR(VLOOKUP($A436,Skills!$A:$C,2,FALSE())&amp;" "&amp;VLOOKUP($A436,Skills!$A:$C,3,FALSE()),"Haxil Dellhaven"))</f>
        <v/>
      </c>
      <c r="F436" s="43" t="str">
        <f aca="false">IF($A436="","",IFERROR(IF(VLOOKUP($A436,Skills!$A:$D,4,FALSE())="","",VLOOKUP($A436,Skills!$A:$D,4,FALSE())),"Lisbonne"))</f>
        <v/>
      </c>
      <c r="G436" s="47"/>
      <c r="H436" s="47" t="str">
        <f aca="false">IF(G436="","",WORKDAY(G436-1,D436+IF(J436="",0,J436)))</f>
        <v/>
      </c>
      <c r="I436" s="134"/>
      <c r="J436" s="135"/>
      <c r="K436" s="43" t="str">
        <f aca="true">IF(G436="","",MIN(D436,MAX(0,NETWORKDAYS(G436,TODAY())-IF(J436="",0,J436))))</f>
        <v/>
      </c>
      <c r="L436" s="43" t="str">
        <f aca="true">IF(G436="","",MAX(0,D436-(NETWORKDAYS(G436,TODAY())-IF(J436="",0,J436))))</f>
        <v/>
      </c>
      <c r="M436" s="173"/>
      <c r="N436" s="44" t="str">
        <f aca="true">IFERROR(IF(OR(K436="",K436&lt;=0),"",IF(TODAY()&gt;H436,1,IF(K436-1=0,0,INDEX(OBJECTIVES!$O$2:$Q$12,MATCH(K436-1,OBJECTIVES!$N$2:$N$12,0),IF($C436="QUILL FORMATION Valmont",2,1))))),"")</f>
        <v/>
      </c>
      <c r="O436" s="44" t="str">
        <f aca="false">IF(OR(N436="",M436=""),"",M436-N436)</f>
        <v/>
      </c>
      <c r="P436" s="155" t="str">
        <f aca="false">IF($Q436&lt;&gt;"",$Q436,IF(O436="","",IF(O436&lt;=-0.12,"P1",IF(O436&lt;=-0.06,"P2","P3"))))</f>
        <v/>
      </c>
      <c r="Q436" s="136"/>
      <c r="R436" s="155"/>
      <c r="S436" s="155"/>
      <c r="T436" s="134"/>
      <c r="U436" s="134"/>
      <c r="V436" s="134"/>
      <c r="W436" s="134"/>
      <c r="X436" s="134"/>
      <c r="Y436" s="134"/>
      <c r="Z436" s="134" t="str">
        <f aca="false">IF(R436="Terminé",IF(AND(G436&lt;&gt;"",I436&lt;&gt;""),NETWORKDAYS(G436,I436),D436),"")</f>
        <v/>
      </c>
      <c r="AA436" s="134" t="str">
        <f aca="false">IF($A436="","",IF(COUNTIF(Skills!$A:$A,$A436)=0,"⚠ ID absent du roster",""))</f>
        <v/>
      </c>
      <c r="AB436" s="158"/>
    </row>
    <row r="437" customFormat="false" ht="15" hidden="true" customHeight="false" outlineLevel="0" collapsed="false">
      <c r="A437" s="172"/>
      <c r="B437" s="172"/>
      <c r="C437" s="161" t="str">
        <f aca="false">IF(LEFT(B437,2)="OS","QUILL FORMATION Valmont","QUILL FORMATION Ulman")</f>
        <v>QUILL FORMATION Ulman</v>
      </c>
      <c r="D437" s="43" t="str">
        <f aca="false">IF($A437="","",IF($C437="QUILL FORMATION Valmont",10,11))</f>
        <v/>
      </c>
      <c r="E437" s="151" t="str">
        <f aca="false">IF($A437="","",IFERROR(VLOOKUP($A437,Skills!$A:$C,2,FALSE())&amp;" "&amp;VLOOKUP($A437,Skills!$A:$C,3,FALSE()),"Haxil Dellhaven"))</f>
        <v/>
      </c>
      <c r="F437" s="43" t="str">
        <f aca="false">IF($A437="","",IFERROR(IF(VLOOKUP($A437,Skills!$A:$D,4,FALSE())="","",VLOOKUP($A437,Skills!$A:$D,4,FALSE())),"Lisbonne"))</f>
        <v/>
      </c>
      <c r="G437" s="47"/>
      <c r="H437" s="47" t="str">
        <f aca="false">IF(G437="","",WORKDAY(G437-1,D437+IF(J437="",0,J437)))</f>
        <v/>
      </c>
      <c r="I437" s="134"/>
      <c r="J437" s="135"/>
      <c r="K437" s="43" t="str">
        <f aca="true">IF(G437="","",MIN(D437,MAX(0,NETWORKDAYS(G437,TODAY())-IF(J437="",0,J437))))</f>
        <v/>
      </c>
      <c r="L437" s="43" t="str">
        <f aca="true">IF(G437="","",MAX(0,D437-(NETWORKDAYS(G437,TODAY())-IF(J437="",0,J437))))</f>
        <v/>
      </c>
      <c r="M437" s="173"/>
      <c r="N437" s="44" t="str">
        <f aca="true">IFERROR(IF(OR(K437="",K437&lt;=0),"",IF(TODAY()&gt;H437,1,IF(K437-1=0,0,INDEX(OBJECTIVES!$O$2:$Q$12,MATCH(K437-1,OBJECTIVES!$N$2:$N$12,0),IF($C437="QUILL FORMATION Valmont",2,1))))),"")</f>
        <v/>
      </c>
      <c r="O437" s="44" t="str">
        <f aca="false">IF(OR(N437="",M437=""),"",M437-N437)</f>
        <v/>
      </c>
      <c r="P437" s="155" t="str">
        <f aca="false">IF($Q437&lt;&gt;"",$Q437,IF(O437="","",IF(O437&lt;=-0.12,"P1",IF(O437&lt;=-0.06,"P2","P3"))))</f>
        <v/>
      </c>
      <c r="Q437" s="136"/>
      <c r="R437" s="155"/>
      <c r="S437" s="155"/>
      <c r="T437" s="134"/>
      <c r="U437" s="134"/>
      <c r="V437" s="134"/>
      <c r="W437" s="134"/>
      <c r="X437" s="134"/>
      <c r="Y437" s="134"/>
      <c r="Z437" s="134" t="str">
        <f aca="false">IF(R437="Terminé",IF(AND(G437&lt;&gt;"",I437&lt;&gt;""),NETWORKDAYS(G437,I437),D437),"")</f>
        <v/>
      </c>
      <c r="AA437" s="134" t="str">
        <f aca="false">IF($A437="","",IF(COUNTIF(Skills!$A:$A,$A437)=0,"⚠ ID absent du roster",""))</f>
        <v/>
      </c>
      <c r="AB437" s="158"/>
    </row>
    <row r="438" customFormat="false" ht="15" hidden="true" customHeight="false" outlineLevel="0" collapsed="false">
      <c r="A438" s="172"/>
      <c r="B438" s="172"/>
      <c r="C438" s="161" t="str">
        <f aca="false">IF(LEFT(B438,2)="OS","QUILL FORMATION Valmont","QUILL FORMATION Ulman")</f>
        <v>QUILL FORMATION Ulman</v>
      </c>
      <c r="D438" s="43" t="str">
        <f aca="false">IF($A438="","",IF($C438="QUILL FORMATION Valmont",10,11))</f>
        <v/>
      </c>
      <c r="E438" s="151" t="str">
        <f aca="false">IF($A438="","",IFERROR(VLOOKUP($A438,Skills!$A:$C,2,FALSE())&amp;" "&amp;VLOOKUP($A438,Skills!$A:$C,3,FALSE()),"Haxil Dellhaven"))</f>
        <v/>
      </c>
      <c r="F438" s="43" t="str">
        <f aca="false">IF($A438="","",IFERROR(IF(VLOOKUP($A438,Skills!$A:$D,4,FALSE())="","",VLOOKUP($A438,Skills!$A:$D,4,FALSE())),"Lisbonne"))</f>
        <v/>
      </c>
      <c r="G438" s="47"/>
      <c r="H438" s="47" t="str">
        <f aca="false">IF(G438="","",WORKDAY(G438-1,D438+IF(J438="",0,J438)))</f>
        <v/>
      </c>
      <c r="I438" s="134"/>
      <c r="J438" s="135"/>
      <c r="K438" s="43" t="str">
        <f aca="true">IF(G438="","",MIN(D438,MAX(0,NETWORKDAYS(G438,TODAY())-IF(J438="",0,J438))))</f>
        <v/>
      </c>
      <c r="L438" s="43" t="str">
        <f aca="true">IF(G438="","",MAX(0,D438-(NETWORKDAYS(G438,TODAY())-IF(J438="",0,J438))))</f>
        <v/>
      </c>
      <c r="M438" s="173"/>
      <c r="N438" s="44" t="str">
        <f aca="true">IFERROR(IF(OR(K438="",K438&lt;=0),"",IF(TODAY()&gt;H438,1,IF(K438-1=0,0,INDEX(OBJECTIVES!$O$2:$Q$12,MATCH(K438-1,OBJECTIVES!$N$2:$N$12,0),IF($C438="QUILL FORMATION Valmont",2,1))))),"")</f>
        <v/>
      </c>
      <c r="O438" s="44" t="str">
        <f aca="false">IF(OR(N438="",M438=""),"",M438-N438)</f>
        <v/>
      </c>
      <c r="P438" s="155" t="str">
        <f aca="false">IF($Q438&lt;&gt;"",$Q438,IF(O438="","",IF(O438&lt;=-0.12,"P1",IF(O438&lt;=-0.06,"P2","P3"))))</f>
        <v/>
      </c>
      <c r="Q438" s="136"/>
      <c r="R438" s="155"/>
      <c r="S438" s="155"/>
      <c r="T438" s="134"/>
      <c r="U438" s="134"/>
      <c r="V438" s="134"/>
      <c r="W438" s="134"/>
      <c r="X438" s="134"/>
      <c r="Y438" s="134"/>
      <c r="Z438" s="134" t="str">
        <f aca="false">IF(R438="Terminé",IF(AND(G438&lt;&gt;"",I438&lt;&gt;""),NETWORKDAYS(G438,I438),D438),"")</f>
        <v/>
      </c>
      <c r="AA438" s="134" t="str">
        <f aca="false">IF($A438="","",IF(COUNTIF(Skills!$A:$A,$A438)=0,"⚠ ID absent du roster",""))</f>
        <v/>
      </c>
      <c r="AB438" s="158"/>
    </row>
    <row r="439" customFormat="false" ht="15" hidden="true" customHeight="false" outlineLevel="0" collapsed="false">
      <c r="A439" s="172"/>
      <c r="B439" s="172"/>
      <c r="C439" s="161" t="str">
        <f aca="false">IF(LEFT(B439,2)="OS","QUILL FORMATION Valmont","QUILL FORMATION Ulman")</f>
        <v>QUILL FORMATION Ulman</v>
      </c>
      <c r="D439" s="43" t="str">
        <f aca="false">IF($A439="","",IF($C439="QUILL FORMATION Valmont",10,11))</f>
        <v/>
      </c>
      <c r="E439" s="151" t="str">
        <f aca="false">IF($A439="","",IFERROR(VLOOKUP($A439,Skills!$A:$C,2,FALSE())&amp;" "&amp;VLOOKUP($A439,Skills!$A:$C,3,FALSE()),"Haxil Dellhaven"))</f>
        <v/>
      </c>
      <c r="F439" s="43" t="str">
        <f aca="false">IF($A439="","",IFERROR(IF(VLOOKUP($A439,Skills!$A:$D,4,FALSE())="","",VLOOKUP($A439,Skills!$A:$D,4,FALSE())),"Lisbonne"))</f>
        <v/>
      </c>
      <c r="G439" s="47"/>
      <c r="H439" s="47" t="str">
        <f aca="false">IF(G439="","",WORKDAY(G439-1,D439+IF(J439="",0,J439)))</f>
        <v/>
      </c>
      <c r="I439" s="134"/>
      <c r="J439" s="135"/>
      <c r="K439" s="43" t="str">
        <f aca="true">IF(G439="","",MIN(D439,MAX(0,NETWORKDAYS(G439,TODAY())-IF(J439="",0,J439))))</f>
        <v/>
      </c>
      <c r="L439" s="43" t="str">
        <f aca="true">IF(G439="","",MAX(0,D439-(NETWORKDAYS(G439,TODAY())-IF(J439="",0,J439))))</f>
        <v/>
      </c>
      <c r="M439" s="173"/>
      <c r="N439" s="44" t="str">
        <f aca="true">IFERROR(IF(OR(K439="",K439&lt;=0),"",IF(TODAY()&gt;H439,1,IF(K439-1=0,0,INDEX(OBJECTIVES!$O$2:$Q$12,MATCH(K439-1,OBJECTIVES!$N$2:$N$12,0),IF($C439="QUILL FORMATION Valmont",2,1))))),"")</f>
        <v/>
      </c>
      <c r="O439" s="44" t="str">
        <f aca="false">IF(OR(N439="",M439=""),"",M439-N439)</f>
        <v/>
      </c>
      <c r="P439" s="155" t="str">
        <f aca="false">IF($Q439&lt;&gt;"",$Q439,IF(O439="","",IF(O439&lt;=-0.12,"P1",IF(O439&lt;=-0.06,"P2","P3"))))</f>
        <v/>
      </c>
      <c r="Q439" s="136"/>
      <c r="R439" s="155"/>
      <c r="S439" s="155"/>
      <c r="T439" s="134"/>
      <c r="U439" s="134"/>
      <c r="V439" s="134"/>
      <c r="W439" s="134"/>
      <c r="X439" s="134"/>
      <c r="Y439" s="134"/>
      <c r="Z439" s="134" t="str">
        <f aca="false">IF(R439="Terminé",IF(AND(G439&lt;&gt;"",I439&lt;&gt;""),NETWORKDAYS(G439,I439),D439),"")</f>
        <v/>
      </c>
      <c r="AA439" s="134" t="str">
        <f aca="false">IF($A439="","",IF(COUNTIF(Skills!$A:$A,$A439)=0,"⚠ ID absent du roster",""))</f>
        <v/>
      </c>
      <c r="AB439" s="158"/>
    </row>
    <row r="440" customFormat="false" ht="15" hidden="true" customHeight="false" outlineLevel="0" collapsed="false">
      <c r="A440" s="172"/>
      <c r="B440" s="172"/>
      <c r="C440" s="161" t="str">
        <f aca="false">IF(LEFT(B440,2)="OS","QUILL FORMATION Valmont","QUILL FORMATION Ulman")</f>
        <v>QUILL FORMATION Ulman</v>
      </c>
      <c r="D440" s="43" t="str">
        <f aca="false">IF($A440="","",IF($C440="QUILL FORMATION Valmont",10,11))</f>
        <v/>
      </c>
      <c r="E440" s="151" t="str">
        <f aca="false">IF($A440="","",IFERROR(VLOOKUP($A440,Skills!$A:$C,2,FALSE())&amp;" "&amp;VLOOKUP($A440,Skills!$A:$C,3,FALSE()),"Haxil Dellhaven"))</f>
        <v/>
      </c>
      <c r="F440" s="43" t="str">
        <f aca="false">IF($A440="","",IFERROR(IF(VLOOKUP($A440,Skills!$A:$D,4,FALSE())="","",VLOOKUP($A440,Skills!$A:$D,4,FALSE())),"Lisbonne"))</f>
        <v/>
      </c>
      <c r="G440" s="47"/>
      <c r="H440" s="47" t="str">
        <f aca="false">IF(G440="","",WORKDAY(G440-1,D440+IF(J440="",0,J440)))</f>
        <v/>
      </c>
      <c r="I440" s="134"/>
      <c r="J440" s="135"/>
      <c r="K440" s="43" t="str">
        <f aca="true">IF(G440="","",MIN(D440,MAX(0,NETWORKDAYS(G440,TODAY())-IF(J440="",0,J440))))</f>
        <v/>
      </c>
      <c r="L440" s="43" t="str">
        <f aca="true">IF(G440="","",MAX(0,D440-(NETWORKDAYS(G440,TODAY())-IF(J440="",0,J440))))</f>
        <v/>
      </c>
      <c r="M440" s="173"/>
      <c r="N440" s="44" t="str">
        <f aca="true">IFERROR(IF(OR(K440="",K440&lt;=0),"",IF(TODAY()&gt;H440,1,IF(K440-1=0,0,INDEX(OBJECTIVES!$O$2:$Q$12,MATCH(K440-1,OBJECTIVES!$N$2:$N$12,0),IF($C440="QUILL FORMATION Valmont",2,1))))),"")</f>
        <v/>
      </c>
      <c r="O440" s="44" t="str">
        <f aca="false">IF(OR(N440="",M440=""),"",M440-N440)</f>
        <v/>
      </c>
      <c r="P440" s="155" t="str">
        <f aca="false">IF($Q440&lt;&gt;"",$Q440,IF(O440="","",IF(O440&lt;=-0.12,"P1",IF(O440&lt;=-0.06,"P2","P3"))))</f>
        <v/>
      </c>
      <c r="Q440" s="136"/>
      <c r="R440" s="155"/>
      <c r="S440" s="155"/>
      <c r="T440" s="134"/>
      <c r="U440" s="134"/>
      <c r="V440" s="134"/>
      <c r="W440" s="134"/>
      <c r="X440" s="134"/>
      <c r="Y440" s="134"/>
      <c r="Z440" s="134" t="str">
        <f aca="false">IF(R440="Terminé",IF(AND(G440&lt;&gt;"",I440&lt;&gt;""),NETWORKDAYS(G440,I440),D440),"")</f>
        <v/>
      </c>
      <c r="AA440" s="134" t="str">
        <f aca="false">IF($A440="","",IF(COUNTIF(Skills!$A:$A,$A440)=0,"⚠ ID absent du roster",""))</f>
        <v/>
      </c>
      <c r="AB440" s="158"/>
    </row>
    <row r="441" customFormat="false" ht="15" hidden="true" customHeight="false" outlineLevel="0" collapsed="false">
      <c r="A441" s="172"/>
      <c r="B441" s="172"/>
      <c r="C441" s="161" t="str">
        <f aca="false">IF(LEFT(B441,2)="OS","QUILL FORMATION Valmont","QUILL FORMATION Ulman")</f>
        <v>QUILL FORMATION Ulman</v>
      </c>
      <c r="D441" s="43" t="str">
        <f aca="false">IF($A441="","",IF($C441="QUILL FORMATION Valmont",10,11))</f>
        <v/>
      </c>
      <c r="E441" s="151" t="str">
        <f aca="false">IF($A441="","",IFERROR(VLOOKUP($A441,Skills!$A:$C,2,FALSE())&amp;" "&amp;VLOOKUP($A441,Skills!$A:$C,3,FALSE()),"Haxil Dellhaven"))</f>
        <v/>
      </c>
      <c r="F441" s="43" t="str">
        <f aca="false">IF($A441="","",IFERROR(IF(VLOOKUP($A441,Skills!$A:$D,4,FALSE())="","",VLOOKUP($A441,Skills!$A:$D,4,FALSE())),"Lisbonne"))</f>
        <v/>
      </c>
      <c r="G441" s="47"/>
      <c r="H441" s="47" t="str">
        <f aca="false">IF(G441="","",WORKDAY(G441-1,D441+IF(J441="",0,J441)))</f>
        <v/>
      </c>
      <c r="I441" s="134"/>
      <c r="J441" s="135"/>
      <c r="K441" s="43" t="str">
        <f aca="true">IF(G441="","",MIN(D441,MAX(0,NETWORKDAYS(G441,TODAY())-IF(J441="",0,J441))))</f>
        <v/>
      </c>
      <c r="L441" s="43" t="str">
        <f aca="true">IF(G441="","",MAX(0,D441-(NETWORKDAYS(G441,TODAY())-IF(J441="",0,J441))))</f>
        <v/>
      </c>
      <c r="M441" s="173"/>
      <c r="N441" s="44" t="str">
        <f aca="true">IFERROR(IF(OR(K441="",K441&lt;=0),"",IF(TODAY()&gt;H441,1,IF(K441-1=0,0,INDEX(OBJECTIVES!$O$2:$Q$12,MATCH(K441-1,OBJECTIVES!$N$2:$N$12,0),IF($C441="QUILL FORMATION Valmont",2,1))))),"")</f>
        <v/>
      </c>
      <c r="O441" s="44" t="str">
        <f aca="false">IF(OR(N441="",M441=""),"",M441-N441)</f>
        <v/>
      </c>
      <c r="P441" s="155" t="str">
        <f aca="false">IF($Q441&lt;&gt;"",$Q441,IF(O441="","",IF(O441&lt;=-0.12,"P1",IF(O441&lt;=-0.06,"P2","P3"))))</f>
        <v/>
      </c>
      <c r="Q441" s="136"/>
      <c r="R441" s="155"/>
      <c r="S441" s="155"/>
      <c r="T441" s="134"/>
      <c r="U441" s="134"/>
      <c r="V441" s="134"/>
      <c r="W441" s="134"/>
      <c r="X441" s="134"/>
      <c r="Y441" s="134"/>
      <c r="Z441" s="134" t="str">
        <f aca="false">IF(R441="Terminé",IF(AND(G441&lt;&gt;"",I441&lt;&gt;""),NETWORKDAYS(G441,I441),D441),"")</f>
        <v/>
      </c>
      <c r="AA441" s="134" t="str">
        <f aca="false">IF($A441="","",IF(COUNTIF(Skills!$A:$A,$A441)=0,"⚠ ID absent du roster",""))</f>
        <v/>
      </c>
      <c r="AB441" s="158"/>
    </row>
    <row r="442" customFormat="false" ht="15" hidden="true" customHeight="false" outlineLevel="0" collapsed="false">
      <c r="A442" s="172"/>
      <c r="B442" s="172"/>
      <c r="C442" s="161" t="str">
        <f aca="false">IF(LEFT(B442,2)="OS","QUILL FORMATION Valmont","QUILL FORMATION Ulman")</f>
        <v>QUILL FORMATION Ulman</v>
      </c>
      <c r="D442" s="43" t="str">
        <f aca="false">IF($A442="","",IF($C442="QUILL FORMATION Valmont",10,11))</f>
        <v/>
      </c>
      <c r="E442" s="151" t="str">
        <f aca="false">IF($A442="","",IFERROR(VLOOKUP($A442,Skills!$A:$C,2,FALSE())&amp;" "&amp;VLOOKUP($A442,Skills!$A:$C,3,FALSE()),"Haxil Dellhaven"))</f>
        <v/>
      </c>
      <c r="F442" s="43" t="str">
        <f aca="false">IF($A442="","",IFERROR(IF(VLOOKUP($A442,Skills!$A:$D,4,FALSE())="","",VLOOKUP($A442,Skills!$A:$D,4,FALSE())),"Lisbonne"))</f>
        <v/>
      </c>
      <c r="G442" s="47"/>
      <c r="H442" s="47" t="str">
        <f aca="false">IF(G442="","",WORKDAY(G442-1,D442+IF(J442="",0,J442)))</f>
        <v/>
      </c>
      <c r="I442" s="134"/>
      <c r="J442" s="135"/>
      <c r="K442" s="43" t="str">
        <f aca="true">IF(G442="","",MIN(D442,MAX(0,NETWORKDAYS(G442,TODAY())-IF(J442="",0,J442))))</f>
        <v/>
      </c>
      <c r="L442" s="43" t="str">
        <f aca="true">IF(G442="","",MAX(0,D442-(NETWORKDAYS(G442,TODAY())-IF(J442="",0,J442))))</f>
        <v/>
      </c>
      <c r="M442" s="173"/>
      <c r="N442" s="44" t="str">
        <f aca="true">IFERROR(IF(OR(K442="",K442&lt;=0),"",IF(TODAY()&gt;H442,1,IF(K442-1=0,0,INDEX(OBJECTIVES!$O$2:$Q$12,MATCH(K442-1,OBJECTIVES!$N$2:$N$12,0),IF($C442="QUILL FORMATION Valmont",2,1))))),"")</f>
        <v/>
      </c>
      <c r="O442" s="44" t="str">
        <f aca="false">IF(OR(N442="",M442=""),"",M442-N442)</f>
        <v/>
      </c>
      <c r="P442" s="155" t="str">
        <f aca="false">IF($Q442&lt;&gt;"",$Q442,IF(O442="","",IF(O442&lt;=-0.12,"P1",IF(O442&lt;=-0.06,"P2","P3"))))</f>
        <v/>
      </c>
      <c r="Q442" s="136"/>
      <c r="R442" s="155"/>
      <c r="S442" s="155"/>
      <c r="T442" s="134"/>
      <c r="U442" s="134"/>
      <c r="V442" s="134"/>
      <c r="W442" s="134"/>
      <c r="X442" s="134"/>
      <c r="Y442" s="134"/>
      <c r="Z442" s="134" t="str">
        <f aca="false">IF(R442="Terminé",IF(AND(G442&lt;&gt;"",I442&lt;&gt;""),NETWORKDAYS(G442,I442),D442),"")</f>
        <v/>
      </c>
      <c r="AA442" s="134" t="str">
        <f aca="false">IF($A442="","",IF(COUNTIF(Skills!$A:$A,$A442)=0,"⚠ ID absent du roster",""))</f>
        <v/>
      </c>
      <c r="AB442" s="158"/>
    </row>
    <row r="443" customFormat="false" ht="15" hidden="true" customHeight="false" outlineLevel="0" collapsed="false">
      <c r="A443" s="172"/>
      <c r="B443" s="172"/>
      <c r="C443" s="161" t="str">
        <f aca="false">IF(LEFT(B443,2)="OS","QUILL FORMATION Valmont","QUILL FORMATION Ulman")</f>
        <v>QUILL FORMATION Ulman</v>
      </c>
      <c r="D443" s="43" t="str">
        <f aca="false">IF($A443="","",IF($C443="QUILL FORMATION Valmont",10,11))</f>
        <v/>
      </c>
      <c r="E443" s="151" t="str">
        <f aca="false">IF($A443="","",IFERROR(VLOOKUP($A443,Skills!$A:$C,2,FALSE())&amp;" "&amp;VLOOKUP($A443,Skills!$A:$C,3,FALSE()),"Haxil Dellhaven"))</f>
        <v/>
      </c>
      <c r="F443" s="43" t="str">
        <f aca="false">IF($A443="","",IFERROR(IF(VLOOKUP($A443,Skills!$A:$D,4,FALSE())="","",VLOOKUP($A443,Skills!$A:$D,4,FALSE())),"Lisbonne"))</f>
        <v/>
      </c>
      <c r="G443" s="47"/>
      <c r="H443" s="47" t="str">
        <f aca="false">IF(G443="","",WORKDAY(G443-1,D443+IF(J443="",0,J443)))</f>
        <v/>
      </c>
      <c r="I443" s="134"/>
      <c r="J443" s="135"/>
      <c r="K443" s="43" t="str">
        <f aca="true">IF(G443="","",MIN(D443,MAX(0,NETWORKDAYS(G443,TODAY())-IF(J443="",0,J443))))</f>
        <v/>
      </c>
      <c r="L443" s="43" t="str">
        <f aca="true">IF(G443="","",MAX(0,D443-(NETWORKDAYS(G443,TODAY())-IF(J443="",0,J443))))</f>
        <v/>
      </c>
      <c r="M443" s="173"/>
      <c r="N443" s="44" t="str">
        <f aca="true">IFERROR(IF(OR(K443="",K443&lt;=0),"",IF(TODAY()&gt;H443,1,IF(K443-1=0,0,INDEX(OBJECTIVES!$O$2:$Q$12,MATCH(K443-1,OBJECTIVES!$N$2:$N$12,0),IF($C443="QUILL FORMATION Valmont",2,1))))),"")</f>
        <v/>
      </c>
      <c r="O443" s="44" t="str">
        <f aca="false">IF(OR(N443="",M443=""),"",M443-N443)</f>
        <v/>
      </c>
      <c r="P443" s="155" t="str">
        <f aca="false">IF($Q443&lt;&gt;"",$Q443,IF(O443="","",IF(O443&lt;=-0.12,"P1",IF(O443&lt;=-0.06,"P2","P3"))))</f>
        <v/>
      </c>
      <c r="Q443" s="136"/>
      <c r="R443" s="155"/>
      <c r="S443" s="155"/>
      <c r="T443" s="134"/>
      <c r="U443" s="134"/>
      <c r="V443" s="134"/>
      <c r="W443" s="134"/>
      <c r="X443" s="134"/>
      <c r="Y443" s="134"/>
      <c r="Z443" s="134" t="str">
        <f aca="false">IF(R443="Terminé",IF(AND(G443&lt;&gt;"",I443&lt;&gt;""),NETWORKDAYS(G443,I443),D443),"")</f>
        <v/>
      </c>
      <c r="AA443" s="134" t="str">
        <f aca="false">IF($A443="","",IF(COUNTIF(Skills!$A:$A,$A443)=0,"⚠ ID absent du roster",""))</f>
        <v/>
      </c>
      <c r="AB443" s="158"/>
    </row>
    <row r="444" customFormat="false" ht="15" hidden="true" customHeight="false" outlineLevel="0" collapsed="false">
      <c r="A444" s="172"/>
      <c r="B444" s="172"/>
      <c r="C444" s="161" t="str">
        <f aca="false">IF(LEFT(B444,2)="OS","QUILL FORMATION Valmont","QUILL FORMATION Ulman")</f>
        <v>QUILL FORMATION Ulman</v>
      </c>
      <c r="D444" s="43" t="str">
        <f aca="false">IF($A444="","",IF($C444="QUILL FORMATION Valmont",10,11))</f>
        <v/>
      </c>
      <c r="E444" s="151" t="str">
        <f aca="false">IF($A444="","",IFERROR(VLOOKUP($A444,Skills!$A:$C,2,FALSE())&amp;" "&amp;VLOOKUP($A444,Skills!$A:$C,3,FALSE()),"Haxil Dellhaven"))</f>
        <v/>
      </c>
      <c r="F444" s="43" t="str">
        <f aca="false">IF($A444="","",IFERROR(IF(VLOOKUP($A444,Skills!$A:$D,4,FALSE())="","",VLOOKUP($A444,Skills!$A:$D,4,FALSE())),"Lisbonne"))</f>
        <v/>
      </c>
      <c r="G444" s="47"/>
      <c r="H444" s="47" t="str">
        <f aca="false">IF(G444="","",WORKDAY(G444-1,D444+IF(J444="",0,J444)))</f>
        <v/>
      </c>
      <c r="I444" s="134"/>
      <c r="J444" s="135"/>
      <c r="K444" s="43" t="str">
        <f aca="true">IF(G444="","",MIN(D444,MAX(0,NETWORKDAYS(G444,TODAY())-IF(J444="",0,J444))))</f>
        <v/>
      </c>
      <c r="L444" s="43" t="str">
        <f aca="true">IF(G444="","",MAX(0,D444-(NETWORKDAYS(G444,TODAY())-IF(J444="",0,J444))))</f>
        <v/>
      </c>
      <c r="M444" s="173"/>
      <c r="N444" s="44" t="str">
        <f aca="true">IFERROR(IF(OR(K444="",K444&lt;=0),"",IF(TODAY()&gt;H444,1,IF(K444-1=0,0,INDEX(OBJECTIVES!$O$2:$Q$12,MATCH(K444-1,OBJECTIVES!$N$2:$N$12,0),IF($C444="QUILL FORMATION Valmont",2,1))))),"")</f>
        <v/>
      </c>
      <c r="O444" s="44" t="str">
        <f aca="false">IF(OR(N444="",M444=""),"",M444-N444)</f>
        <v/>
      </c>
      <c r="P444" s="155" t="str">
        <f aca="false">IF($Q444&lt;&gt;"",$Q444,IF(O444="","",IF(O444&lt;=-0.12,"P1",IF(O444&lt;=-0.06,"P2","P3"))))</f>
        <v/>
      </c>
      <c r="Q444" s="136"/>
      <c r="R444" s="155"/>
      <c r="S444" s="155"/>
      <c r="T444" s="134"/>
      <c r="U444" s="134"/>
      <c r="V444" s="134"/>
      <c r="W444" s="134"/>
      <c r="X444" s="134"/>
      <c r="Y444" s="134"/>
      <c r="Z444" s="134" t="str">
        <f aca="false">IF(R444="Terminé",IF(AND(G444&lt;&gt;"",I444&lt;&gt;""),NETWORKDAYS(G444,I444),D444),"")</f>
        <v/>
      </c>
      <c r="AA444" s="134" t="str">
        <f aca="false">IF($A444="","",IF(COUNTIF(Skills!$A:$A,$A444)=0,"⚠ ID absent du roster",""))</f>
        <v/>
      </c>
      <c r="AB444" s="158"/>
    </row>
    <row r="445" customFormat="false" ht="15" hidden="true" customHeight="false" outlineLevel="0" collapsed="false">
      <c r="A445" s="172"/>
      <c r="B445" s="172"/>
      <c r="C445" s="161" t="str">
        <f aca="false">IF(LEFT(B445,2)="OS","QUILL FORMATION Valmont","QUILL FORMATION Ulman")</f>
        <v>QUILL FORMATION Ulman</v>
      </c>
      <c r="D445" s="43" t="str">
        <f aca="false">IF($A445="","",IF($C445="QUILL FORMATION Valmont",10,11))</f>
        <v/>
      </c>
      <c r="E445" s="151" t="str">
        <f aca="false">IF($A445="","",IFERROR(VLOOKUP($A445,Skills!$A:$C,2,FALSE())&amp;" "&amp;VLOOKUP($A445,Skills!$A:$C,3,FALSE()),"Haxil Dellhaven"))</f>
        <v/>
      </c>
      <c r="F445" s="43" t="str">
        <f aca="false">IF($A445="","",IFERROR(IF(VLOOKUP($A445,Skills!$A:$D,4,FALSE())="","",VLOOKUP($A445,Skills!$A:$D,4,FALSE())),"Lisbonne"))</f>
        <v/>
      </c>
      <c r="G445" s="47"/>
      <c r="H445" s="47" t="str">
        <f aca="false">IF(G445="","",WORKDAY(G445-1,D445+IF(J445="",0,J445)))</f>
        <v/>
      </c>
      <c r="I445" s="134"/>
      <c r="J445" s="135"/>
      <c r="K445" s="43" t="str">
        <f aca="true">IF(G445="","",MIN(D445,MAX(0,NETWORKDAYS(G445,TODAY())-IF(J445="",0,J445))))</f>
        <v/>
      </c>
      <c r="L445" s="43" t="str">
        <f aca="true">IF(G445="","",MAX(0,D445-(NETWORKDAYS(G445,TODAY())-IF(J445="",0,J445))))</f>
        <v/>
      </c>
      <c r="M445" s="173"/>
      <c r="N445" s="44" t="str">
        <f aca="true">IFERROR(IF(OR(K445="",K445&lt;=0),"",IF(TODAY()&gt;H445,1,IF(K445-1=0,0,INDEX(OBJECTIVES!$O$2:$Q$12,MATCH(K445-1,OBJECTIVES!$N$2:$N$12,0),IF($C445="QUILL FORMATION Valmont",2,1))))),"")</f>
        <v/>
      </c>
      <c r="O445" s="44" t="str">
        <f aca="false">IF(OR(N445="",M445=""),"",M445-N445)</f>
        <v/>
      </c>
      <c r="P445" s="155" t="str">
        <f aca="false">IF($Q445&lt;&gt;"",$Q445,IF(O445="","",IF(O445&lt;=-0.12,"P1",IF(O445&lt;=-0.06,"P2","P3"))))</f>
        <v/>
      </c>
      <c r="Q445" s="136"/>
      <c r="R445" s="155"/>
      <c r="S445" s="155"/>
      <c r="T445" s="134"/>
      <c r="U445" s="134"/>
      <c r="V445" s="134"/>
      <c r="W445" s="134"/>
      <c r="X445" s="134"/>
      <c r="Y445" s="134"/>
      <c r="Z445" s="134" t="str">
        <f aca="false">IF(R445="Terminé",IF(AND(G445&lt;&gt;"",I445&lt;&gt;""),NETWORKDAYS(G445,I445),D445),"")</f>
        <v/>
      </c>
      <c r="AA445" s="134" t="str">
        <f aca="false">IF($A445="","",IF(COUNTIF(Skills!$A:$A,$A445)=0,"⚠ ID absent du roster",""))</f>
        <v/>
      </c>
      <c r="AB445" s="158"/>
    </row>
    <row r="446" customFormat="false" ht="15" hidden="true" customHeight="false" outlineLevel="0" collapsed="false">
      <c r="A446" s="172"/>
      <c r="B446" s="172"/>
      <c r="C446" s="161" t="str">
        <f aca="false">IF(LEFT(B446,2)="OS","QUILL FORMATION Valmont","QUILL FORMATION Ulman")</f>
        <v>QUILL FORMATION Ulman</v>
      </c>
      <c r="D446" s="43" t="str">
        <f aca="false">IF($A446="","",IF($C446="QUILL FORMATION Valmont",10,11))</f>
        <v/>
      </c>
      <c r="E446" s="151" t="str">
        <f aca="false">IF($A446="","",IFERROR(VLOOKUP($A446,Skills!$A:$C,2,FALSE())&amp;" "&amp;VLOOKUP($A446,Skills!$A:$C,3,FALSE()),"Haxil Dellhaven"))</f>
        <v/>
      </c>
      <c r="F446" s="43" t="str">
        <f aca="false">IF($A446="","",IFERROR(IF(VLOOKUP($A446,Skills!$A:$D,4,FALSE())="","",VLOOKUP($A446,Skills!$A:$D,4,FALSE())),"Lisbonne"))</f>
        <v/>
      </c>
      <c r="G446" s="47"/>
      <c r="H446" s="47" t="str">
        <f aca="false">IF(G446="","",WORKDAY(G446-1,D446+IF(J446="",0,J446)))</f>
        <v/>
      </c>
      <c r="I446" s="134"/>
      <c r="J446" s="135"/>
      <c r="K446" s="43" t="str">
        <f aca="true">IF(G446="","",MIN(D446,MAX(0,NETWORKDAYS(G446,TODAY())-IF(J446="",0,J446))))</f>
        <v/>
      </c>
      <c r="L446" s="43" t="str">
        <f aca="true">IF(G446="","",MAX(0,D446-(NETWORKDAYS(G446,TODAY())-IF(J446="",0,J446))))</f>
        <v/>
      </c>
      <c r="M446" s="173"/>
      <c r="N446" s="44" t="str">
        <f aca="true">IFERROR(IF(OR(K446="",K446&lt;=0),"",IF(TODAY()&gt;H446,1,IF(K446-1=0,0,INDEX(OBJECTIVES!$O$2:$Q$12,MATCH(K446-1,OBJECTIVES!$N$2:$N$12,0),IF($C446="QUILL FORMATION Valmont",2,1))))),"")</f>
        <v/>
      </c>
      <c r="O446" s="44" t="str">
        <f aca="false">IF(OR(N446="",M446=""),"",M446-N446)</f>
        <v/>
      </c>
      <c r="P446" s="155" t="str">
        <f aca="false">IF($Q446&lt;&gt;"",$Q446,IF(O446="","",IF(O446&lt;=-0.12,"P1",IF(O446&lt;=-0.06,"P2","P3"))))</f>
        <v/>
      </c>
      <c r="Q446" s="136"/>
      <c r="R446" s="155"/>
      <c r="S446" s="155"/>
      <c r="T446" s="134"/>
      <c r="U446" s="134"/>
      <c r="V446" s="134"/>
      <c r="W446" s="134"/>
      <c r="X446" s="134"/>
      <c r="Y446" s="134"/>
      <c r="Z446" s="134" t="str">
        <f aca="false">IF(R446="Terminé",IF(AND(G446&lt;&gt;"",I446&lt;&gt;""),NETWORKDAYS(G446,I446),D446),"")</f>
        <v/>
      </c>
      <c r="AA446" s="134" t="str">
        <f aca="false">IF($A446="","",IF(COUNTIF(Skills!$A:$A,$A446)=0,"⚠ ID absent du roster",""))</f>
        <v/>
      </c>
      <c r="AB446" s="158"/>
    </row>
    <row r="447" customFormat="false" ht="15" hidden="true" customHeight="false" outlineLevel="0" collapsed="false">
      <c r="A447" s="172"/>
      <c r="B447" s="172"/>
      <c r="C447" s="161" t="str">
        <f aca="false">IF(LEFT(B447,2)="OS","QUILL FORMATION Valmont","QUILL FORMATION Ulman")</f>
        <v>QUILL FORMATION Ulman</v>
      </c>
      <c r="D447" s="43" t="str">
        <f aca="false">IF($A447="","",IF($C447="QUILL FORMATION Valmont",10,11))</f>
        <v/>
      </c>
      <c r="E447" s="151" t="str">
        <f aca="false">IF($A447="","",IFERROR(VLOOKUP($A447,Skills!$A:$C,2,FALSE())&amp;" "&amp;VLOOKUP($A447,Skills!$A:$C,3,FALSE()),"Haxil Dellhaven"))</f>
        <v/>
      </c>
      <c r="F447" s="43" t="str">
        <f aca="false">IF($A447="","",IFERROR(IF(VLOOKUP($A447,Skills!$A:$D,4,FALSE())="","",VLOOKUP($A447,Skills!$A:$D,4,FALSE())),"Lisbonne"))</f>
        <v/>
      </c>
      <c r="G447" s="47"/>
      <c r="H447" s="47" t="str">
        <f aca="false">IF(G447="","",WORKDAY(G447-1,D447+IF(J447="",0,J447)))</f>
        <v/>
      </c>
      <c r="I447" s="134"/>
      <c r="J447" s="135"/>
      <c r="K447" s="43" t="str">
        <f aca="true">IF(G447="","",MIN(D447,MAX(0,NETWORKDAYS(G447,TODAY())-IF(J447="",0,J447))))</f>
        <v/>
      </c>
      <c r="L447" s="43" t="str">
        <f aca="true">IF(G447="","",MAX(0,D447-(NETWORKDAYS(G447,TODAY())-IF(J447="",0,J447))))</f>
        <v/>
      </c>
      <c r="M447" s="173"/>
      <c r="N447" s="44" t="str">
        <f aca="true">IFERROR(IF(OR(K447="",K447&lt;=0),"",IF(TODAY()&gt;H447,1,IF(K447-1=0,0,INDEX(OBJECTIVES!$O$2:$Q$12,MATCH(K447-1,OBJECTIVES!$N$2:$N$12,0),IF($C447="QUILL FORMATION Valmont",2,1))))),"")</f>
        <v/>
      </c>
      <c r="O447" s="44" t="str">
        <f aca="false">IF(OR(N447="",M447=""),"",M447-N447)</f>
        <v/>
      </c>
      <c r="P447" s="155" t="str">
        <f aca="false">IF($Q447&lt;&gt;"",$Q447,IF(O447="","",IF(O447&lt;=-0.12,"P1",IF(O447&lt;=-0.06,"P2","P3"))))</f>
        <v/>
      </c>
      <c r="Q447" s="136"/>
      <c r="R447" s="155"/>
      <c r="S447" s="155"/>
      <c r="T447" s="134"/>
      <c r="U447" s="134"/>
      <c r="V447" s="134"/>
      <c r="W447" s="134"/>
      <c r="X447" s="134"/>
      <c r="Y447" s="134"/>
      <c r="Z447" s="134" t="str">
        <f aca="false">IF(R447="Terminé",IF(AND(G447&lt;&gt;"",I447&lt;&gt;""),NETWORKDAYS(G447,I447),D447),"")</f>
        <v/>
      </c>
      <c r="AA447" s="134" t="str">
        <f aca="false">IF($A447="","",IF(COUNTIF(Skills!$A:$A,$A447)=0,"⚠ ID absent du roster",""))</f>
        <v/>
      </c>
      <c r="AB447" s="158"/>
    </row>
    <row r="448" customFormat="false" ht="15" hidden="true" customHeight="false" outlineLevel="0" collapsed="false">
      <c r="A448" s="172"/>
      <c r="B448" s="172"/>
      <c r="C448" s="161" t="str">
        <f aca="false">IF(LEFT(B448,2)="OS","QUILL FORMATION Valmont","QUILL FORMATION Ulman")</f>
        <v>QUILL FORMATION Ulman</v>
      </c>
      <c r="D448" s="43" t="str">
        <f aca="false">IF($A448="","",IF($C448="QUILL FORMATION Valmont",10,11))</f>
        <v/>
      </c>
      <c r="E448" s="151" t="str">
        <f aca="false">IF($A448="","",IFERROR(VLOOKUP($A448,Skills!$A:$C,2,FALSE())&amp;" "&amp;VLOOKUP($A448,Skills!$A:$C,3,FALSE()),"Haxil Dellhaven"))</f>
        <v/>
      </c>
      <c r="F448" s="43" t="str">
        <f aca="false">IF($A448="","",IFERROR(IF(VLOOKUP($A448,Skills!$A:$D,4,FALSE())="","",VLOOKUP($A448,Skills!$A:$D,4,FALSE())),"Lisbonne"))</f>
        <v/>
      </c>
      <c r="G448" s="47"/>
      <c r="H448" s="47" t="str">
        <f aca="false">IF(G448="","",WORKDAY(G448-1,D448+IF(J448="",0,J448)))</f>
        <v/>
      </c>
      <c r="I448" s="134"/>
      <c r="J448" s="135"/>
      <c r="K448" s="43" t="str">
        <f aca="true">IF(G448="","",MIN(D448,MAX(0,NETWORKDAYS(G448,TODAY())-IF(J448="",0,J448))))</f>
        <v/>
      </c>
      <c r="L448" s="43" t="str">
        <f aca="true">IF(G448="","",MAX(0,D448-(NETWORKDAYS(G448,TODAY())-IF(J448="",0,J448))))</f>
        <v/>
      </c>
      <c r="M448" s="173"/>
      <c r="N448" s="44" t="str">
        <f aca="true">IFERROR(IF(OR(K448="",K448&lt;=0),"",IF(TODAY()&gt;H448,1,IF(K448-1=0,0,INDEX(OBJECTIVES!$O$2:$Q$12,MATCH(K448-1,OBJECTIVES!$N$2:$N$12,0),IF($C448="QUILL FORMATION Valmont",2,1))))),"")</f>
        <v/>
      </c>
      <c r="O448" s="44" t="str">
        <f aca="false">IF(OR(N448="",M448=""),"",M448-N448)</f>
        <v/>
      </c>
      <c r="P448" s="155" t="str">
        <f aca="false">IF($Q448&lt;&gt;"",$Q448,IF(O448="","",IF(O448&lt;=-0.12,"P1",IF(O448&lt;=-0.06,"P2","P3"))))</f>
        <v/>
      </c>
      <c r="Q448" s="136"/>
      <c r="R448" s="155"/>
      <c r="S448" s="155"/>
      <c r="T448" s="134"/>
      <c r="U448" s="134"/>
      <c r="V448" s="134"/>
      <c r="W448" s="134"/>
      <c r="X448" s="134"/>
      <c r="Y448" s="134"/>
      <c r="Z448" s="134" t="str">
        <f aca="false">IF(R448="Terminé",IF(AND(G448&lt;&gt;"",I448&lt;&gt;""),NETWORKDAYS(G448,I448),D448),"")</f>
        <v/>
      </c>
      <c r="AA448" s="134" t="str">
        <f aca="false">IF($A448="","",IF(COUNTIF(Skills!$A:$A,$A448)=0,"⚠ ID absent du roster",""))</f>
        <v/>
      </c>
      <c r="AB448" s="158"/>
    </row>
    <row r="449" customFormat="false" ht="15" hidden="true" customHeight="false" outlineLevel="0" collapsed="false">
      <c r="A449" s="172"/>
      <c r="B449" s="172"/>
      <c r="C449" s="161" t="str">
        <f aca="false">IF(LEFT(B449,2)="OS","QUILL FORMATION Valmont","QUILL FORMATION Ulman")</f>
        <v>QUILL FORMATION Ulman</v>
      </c>
      <c r="D449" s="43" t="str">
        <f aca="false">IF($A449="","",IF($C449="QUILL FORMATION Valmont",10,11))</f>
        <v/>
      </c>
      <c r="E449" s="151" t="str">
        <f aca="false">IF($A449="","",IFERROR(VLOOKUP($A449,Skills!$A:$C,2,FALSE())&amp;" "&amp;VLOOKUP($A449,Skills!$A:$C,3,FALSE()),"Haxil Dellhaven"))</f>
        <v/>
      </c>
      <c r="F449" s="43" t="str">
        <f aca="false">IF($A449="","",IFERROR(IF(VLOOKUP($A449,Skills!$A:$D,4,FALSE())="","",VLOOKUP($A449,Skills!$A:$D,4,FALSE())),"Lisbonne"))</f>
        <v/>
      </c>
      <c r="G449" s="47"/>
      <c r="H449" s="47" t="str">
        <f aca="false">IF(G449="","",WORKDAY(G449-1,D449+IF(J449="",0,J449)))</f>
        <v/>
      </c>
      <c r="I449" s="134"/>
      <c r="J449" s="135"/>
      <c r="K449" s="43" t="str">
        <f aca="true">IF(G449="","",MIN(D449,MAX(0,NETWORKDAYS(G449,TODAY())-IF(J449="",0,J449))))</f>
        <v/>
      </c>
      <c r="L449" s="43" t="str">
        <f aca="true">IF(G449="","",MAX(0,D449-(NETWORKDAYS(G449,TODAY())-IF(J449="",0,J449))))</f>
        <v/>
      </c>
      <c r="M449" s="173"/>
      <c r="N449" s="44" t="str">
        <f aca="true">IFERROR(IF(OR(K449="",K449&lt;=0),"",IF(TODAY()&gt;H449,1,IF(K449-1=0,0,INDEX(OBJECTIVES!$O$2:$Q$12,MATCH(K449-1,OBJECTIVES!$N$2:$N$12,0),IF($C449="QUILL FORMATION Valmont",2,1))))),"")</f>
        <v/>
      </c>
      <c r="O449" s="44" t="str">
        <f aca="false">IF(OR(N449="",M449=""),"",M449-N449)</f>
        <v/>
      </c>
      <c r="P449" s="155" t="str">
        <f aca="false">IF($Q449&lt;&gt;"",$Q449,IF(O449="","",IF(O449&lt;=-0.12,"P1",IF(O449&lt;=-0.06,"P2","P3"))))</f>
        <v/>
      </c>
      <c r="Q449" s="136"/>
      <c r="R449" s="155"/>
      <c r="S449" s="155"/>
      <c r="T449" s="134"/>
      <c r="U449" s="134"/>
      <c r="V449" s="134"/>
      <c r="W449" s="134"/>
      <c r="X449" s="134"/>
      <c r="Y449" s="134"/>
      <c r="Z449" s="134" t="str">
        <f aca="false">IF(R449="Terminé",IF(AND(G449&lt;&gt;"",I449&lt;&gt;""),NETWORKDAYS(G449,I449),D449),"")</f>
        <v/>
      </c>
      <c r="AA449" s="134" t="str">
        <f aca="false">IF($A449="","",IF(COUNTIF(Skills!$A:$A,$A449)=0,"⚠ ID absent du roster",""))</f>
        <v/>
      </c>
      <c r="AB449" s="158"/>
    </row>
    <row r="450" customFormat="false" ht="15" hidden="true" customHeight="false" outlineLevel="0" collapsed="false">
      <c r="A450" s="172"/>
      <c r="B450" s="172"/>
      <c r="C450" s="161" t="str">
        <f aca="false">IF(LEFT(B450,2)="OS","QUILL FORMATION Valmont","QUILL FORMATION Ulman")</f>
        <v>QUILL FORMATION Ulman</v>
      </c>
      <c r="D450" s="43" t="str">
        <f aca="false">IF($A450="","",IF($C450="QUILL FORMATION Valmont",10,11))</f>
        <v/>
      </c>
      <c r="E450" s="151" t="str">
        <f aca="false">IF($A450="","",IFERROR(VLOOKUP($A450,Skills!$A:$C,2,FALSE())&amp;" "&amp;VLOOKUP($A450,Skills!$A:$C,3,FALSE()),"Haxil Dellhaven"))</f>
        <v/>
      </c>
      <c r="F450" s="43" t="str">
        <f aca="false">IF($A450="","",IFERROR(IF(VLOOKUP($A450,Skills!$A:$D,4,FALSE())="","",VLOOKUP($A450,Skills!$A:$D,4,FALSE())),"Lisbonne"))</f>
        <v/>
      </c>
      <c r="G450" s="47"/>
      <c r="H450" s="47" t="str">
        <f aca="false">IF(G450="","",WORKDAY(G450-1,D450+IF(J450="",0,J450)))</f>
        <v/>
      </c>
      <c r="I450" s="134"/>
      <c r="J450" s="135"/>
      <c r="K450" s="43" t="str">
        <f aca="true">IF(G450="","",MIN(D450,MAX(0,NETWORKDAYS(G450,TODAY())-IF(J450="",0,J450))))</f>
        <v/>
      </c>
      <c r="L450" s="43" t="str">
        <f aca="true">IF(G450="","",MAX(0,D450-(NETWORKDAYS(G450,TODAY())-IF(J450="",0,J450))))</f>
        <v/>
      </c>
      <c r="M450" s="173"/>
      <c r="N450" s="44" t="str">
        <f aca="true">IFERROR(IF(OR(K450="",K450&lt;=0),"",IF(TODAY()&gt;H450,1,IF(K450-1=0,0,INDEX(OBJECTIVES!$O$2:$Q$12,MATCH(K450-1,OBJECTIVES!$N$2:$N$12,0),IF($C450="QUILL FORMATION Valmont",2,1))))),"")</f>
        <v/>
      </c>
      <c r="O450" s="44" t="str">
        <f aca="false">IF(OR(N450="",M450=""),"",M450-N450)</f>
        <v/>
      </c>
      <c r="P450" s="155" t="str">
        <f aca="false">IF($Q450&lt;&gt;"",$Q450,IF(O450="","",IF(O450&lt;=-0.12,"P1",IF(O450&lt;=-0.06,"P2","P3"))))</f>
        <v/>
      </c>
      <c r="Q450" s="136"/>
      <c r="R450" s="155"/>
      <c r="S450" s="155"/>
      <c r="T450" s="134"/>
      <c r="U450" s="134"/>
      <c r="V450" s="134"/>
      <c r="W450" s="134"/>
      <c r="X450" s="134"/>
      <c r="Y450" s="134"/>
      <c r="Z450" s="134" t="str">
        <f aca="false">IF(R450="Terminé",IF(AND(G450&lt;&gt;"",I450&lt;&gt;""),NETWORKDAYS(G450,I450),D450),"")</f>
        <v/>
      </c>
      <c r="AA450" s="134" t="str">
        <f aca="false">IF($A450="","",IF(COUNTIF(Skills!$A:$A,$A450)=0,"⚠ ID absent du roster",""))</f>
        <v/>
      </c>
      <c r="AB450" s="158"/>
    </row>
    <row r="451" customFormat="false" ht="15" hidden="true" customHeight="false" outlineLevel="0" collapsed="false">
      <c r="A451" s="172"/>
      <c r="B451" s="172"/>
      <c r="C451" s="161" t="str">
        <f aca="false">IF(LEFT(B451,2)="OS","QUILL FORMATION Valmont","QUILL FORMATION Ulman")</f>
        <v>QUILL FORMATION Ulman</v>
      </c>
      <c r="D451" s="43" t="str">
        <f aca="false">IF($A451="","",IF($C451="QUILL FORMATION Valmont",10,11))</f>
        <v/>
      </c>
      <c r="E451" s="151" t="str">
        <f aca="false">IF($A451="","",IFERROR(VLOOKUP($A451,Skills!$A:$C,2,FALSE())&amp;" "&amp;VLOOKUP($A451,Skills!$A:$C,3,FALSE()),"Haxil Dellhaven"))</f>
        <v/>
      </c>
      <c r="F451" s="43" t="str">
        <f aca="false">IF($A451="","",IFERROR(IF(VLOOKUP($A451,Skills!$A:$D,4,FALSE())="","",VLOOKUP($A451,Skills!$A:$D,4,FALSE())),"Lisbonne"))</f>
        <v/>
      </c>
      <c r="G451" s="47"/>
      <c r="H451" s="47" t="str">
        <f aca="false">IF(G451="","",WORKDAY(G451-1,D451+IF(J451="",0,J451)))</f>
        <v/>
      </c>
      <c r="I451" s="134"/>
      <c r="J451" s="135"/>
      <c r="K451" s="43" t="str">
        <f aca="true">IF(G451="","",MIN(D451,MAX(0,NETWORKDAYS(G451,TODAY())-IF(J451="",0,J451))))</f>
        <v/>
      </c>
      <c r="L451" s="43" t="str">
        <f aca="true">IF(G451="","",MAX(0,D451-(NETWORKDAYS(G451,TODAY())-IF(J451="",0,J451))))</f>
        <v/>
      </c>
      <c r="M451" s="173"/>
      <c r="N451" s="44" t="str">
        <f aca="true">IFERROR(IF(OR(K451="",K451&lt;=0),"",IF(TODAY()&gt;H451,1,IF(K451-1=0,0,INDEX(OBJECTIVES!$O$2:$Q$12,MATCH(K451-1,OBJECTIVES!$N$2:$N$12,0),IF($C451="QUILL FORMATION Valmont",2,1))))),"")</f>
        <v/>
      </c>
      <c r="O451" s="44" t="str">
        <f aca="false">IF(OR(N451="",M451=""),"",M451-N451)</f>
        <v/>
      </c>
      <c r="P451" s="155" t="str">
        <f aca="false">IF($Q451&lt;&gt;"",$Q451,IF(O451="","",IF(O451&lt;=-0.12,"P1",IF(O451&lt;=-0.06,"P2","P3"))))</f>
        <v/>
      </c>
      <c r="Q451" s="136"/>
      <c r="R451" s="155"/>
      <c r="S451" s="155"/>
      <c r="T451" s="134"/>
      <c r="U451" s="134"/>
      <c r="V451" s="134"/>
      <c r="W451" s="134"/>
      <c r="X451" s="134"/>
      <c r="Y451" s="134"/>
      <c r="Z451" s="134" t="str">
        <f aca="false">IF(R451="Terminé",IF(AND(G451&lt;&gt;"",I451&lt;&gt;""),NETWORKDAYS(G451,I451),D451),"")</f>
        <v/>
      </c>
      <c r="AA451" s="134" t="str">
        <f aca="false">IF($A451="","",IF(COUNTIF(Skills!$A:$A,$A451)=0,"⚠ ID absent du roster",""))</f>
        <v/>
      </c>
      <c r="AB451" s="158"/>
    </row>
    <row r="452" customFormat="false" ht="15" hidden="true" customHeight="false" outlineLevel="0" collapsed="false">
      <c r="A452" s="172"/>
      <c r="B452" s="172"/>
      <c r="C452" s="161" t="str">
        <f aca="false">IF(LEFT(B452,2)="OS","QUILL FORMATION Valmont","QUILL FORMATION Ulman")</f>
        <v>QUILL FORMATION Ulman</v>
      </c>
      <c r="D452" s="43" t="str">
        <f aca="false">IF($A452="","",IF($C452="QUILL FORMATION Valmont",10,11))</f>
        <v/>
      </c>
      <c r="E452" s="151" t="str">
        <f aca="false">IF($A452="","",IFERROR(VLOOKUP($A452,Skills!$A:$C,2,FALSE())&amp;" "&amp;VLOOKUP($A452,Skills!$A:$C,3,FALSE()),"Haxil Dellhaven"))</f>
        <v/>
      </c>
      <c r="F452" s="43" t="str">
        <f aca="false">IF($A452="","",IFERROR(IF(VLOOKUP($A452,Skills!$A:$D,4,FALSE())="","",VLOOKUP($A452,Skills!$A:$D,4,FALSE())),"Lisbonne"))</f>
        <v/>
      </c>
      <c r="G452" s="47"/>
      <c r="H452" s="47" t="str">
        <f aca="false">IF(G452="","",WORKDAY(G452-1,D452+IF(J452="",0,J452)))</f>
        <v/>
      </c>
      <c r="I452" s="134"/>
      <c r="J452" s="135"/>
      <c r="K452" s="43" t="str">
        <f aca="true">IF(G452="","",MIN(D452,MAX(0,NETWORKDAYS(G452,TODAY())-IF(J452="",0,J452))))</f>
        <v/>
      </c>
      <c r="L452" s="43" t="str">
        <f aca="true">IF(G452="","",MAX(0,D452-(NETWORKDAYS(G452,TODAY())-IF(J452="",0,J452))))</f>
        <v/>
      </c>
      <c r="M452" s="173"/>
      <c r="N452" s="44" t="str">
        <f aca="true">IFERROR(IF(OR(K452="",K452&lt;=0),"",IF(TODAY()&gt;H452,1,IF(K452-1=0,0,INDEX(OBJECTIVES!$O$2:$Q$12,MATCH(K452-1,OBJECTIVES!$N$2:$N$12,0),IF($C452="QUILL FORMATION Valmont",2,1))))),"")</f>
        <v/>
      </c>
      <c r="O452" s="44" t="str">
        <f aca="false">IF(OR(N452="",M452=""),"",M452-N452)</f>
        <v/>
      </c>
      <c r="P452" s="155" t="str">
        <f aca="false">IF($Q452&lt;&gt;"",$Q452,IF(O452="","",IF(O452&lt;=-0.12,"P1",IF(O452&lt;=-0.06,"P2","P3"))))</f>
        <v/>
      </c>
      <c r="Q452" s="136"/>
      <c r="R452" s="155"/>
      <c r="S452" s="155"/>
      <c r="T452" s="134"/>
      <c r="U452" s="134"/>
      <c r="V452" s="134"/>
      <c r="W452" s="134"/>
      <c r="X452" s="134"/>
      <c r="Y452" s="134"/>
      <c r="Z452" s="134" t="str">
        <f aca="false">IF(R452="Terminé",IF(AND(G452&lt;&gt;"",I452&lt;&gt;""),NETWORKDAYS(G452,I452),D452),"")</f>
        <v/>
      </c>
      <c r="AA452" s="134" t="str">
        <f aca="false">IF($A452="","",IF(COUNTIF(Skills!$A:$A,$A452)=0,"⚠ ID absent du roster",""))</f>
        <v/>
      </c>
      <c r="AB452" s="158"/>
    </row>
    <row r="453" customFormat="false" ht="15" hidden="true" customHeight="false" outlineLevel="0" collapsed="false">
      <c r="A453" s="172"/>
      <c r="B453" s="172"/>
      <c r="C453" s="161" t="str">
        <f aca="false">IF(LEFT(B453,2)="OS","QUILL FORMATION Valmont","QUILL FORMATION Ulman")</f>
        <v>QUILL FORMATION Ulman</v>
      </c>
      <c r="D453" s="43" t="str">
        <f aca="false">IF($A453="","",IF($C453="QUILL FORMATION Valmont",10,11))</f>
        <v/>
      </c>
      <c r="E453" s="151" t="str">
        <f aca="false">IF($A453="","",IFERROR(VLOOKUP($A453,Skills!$A:$C,2,FALSE())&amp;" "&amp;VLOOKUP($A453,Skills!$A:$C,3,FALSE()),"Haxil Dellhaven"))</f>
        <v/>
      </c>
      <c r="F453" s="43" t="str">
        <f aca="false">IF($A453="","",IFERROR(IF(VLOOKUP($A453,Skills!$A:$D,4,FALSE())="","",VLOOKUP($A453,Skills!$A:$D,4,FALSE())),"Lisbonne"))</f>
        <v/>
      </c>
      <c r="G453" s="47"/>
      <c r="H453" s="47" t="str">
        <f aca="false">IF(G453="","",WORKDAY(G453-1,D453+IF(J453="",0,J453)))</f>
        <v/>
      </c>
      <c r="I453" s="134"/>
      <c r="J453" s="135"/>
      <c r="K453" s="43" t="str">
        <f aca="true">IF(G453="","",MIN(D453,MAX(0,NETWORKDAYS(G453,TODAY())-IF(J453="",0,J453))))</f>
        <v/>
      </c>
      <c r="L453" s="43" t="str">
        <f aca="true">IF(G453="","",MAX(0,D453-(NETWORKDAYS(G453,TODAY())-IF(J453="",0,J453))))</f>
        <v/>
      </c>
      <c r="M453" s="173"/>
      <c r="N453" s="44" t="str">
        <f aca="true">IFERROR(IF(OR(K453="",K453&lt;=0),"",IF(TODAY()&gt;H453,1,IF(K453-1=0,0,INDEX(OBJECTIVES!$O$2:$Q$12,MATCH(K453-1,OBJECTIVES!$N$2:$N$12,0),IF($C453="QUILL FORMATION Valmont",2,1))))),"")</f>
        <v/>
      </c>
      <c r="O453" s="44" t="str">
        <f aca="false">IF(OR(N453="",M453=""),"",M453-N453)</f>
        <v/>
      </c>
      <c r="P453" s="155" t="str">
        <f aca="false">IF($Q453&lt;&gt;"",$Q453,IF(O453="","",IF(O453&lt;=-0.12,"P1",IF(O453&lt;=-0.06,"P2","P3"))))</f>
        <v/>
      </c>
      <c r="Q453" s="136"/>
      <c r="R453" s="155"/>
      <c r="S453" s="155"/>
      <c r="T453" s="134"/>
      <c r="U453" s="134"/>
      <c r="V453" s="134"/>
      <c r="W453" s="134"/>
      <c r="X453" s="134"/>
      <c r="Y453" s="134"/>
      <c r="Z453" s="134" t="str">
        <f aca="false">IF(R453="Terminé",IF(AND(G453&lt;&gt;"",I453&lt;&gt;""),NETWORKDAYS(G453,I453),D453),"")</f>
        <v/>
      </c>
      <c r="AA453" s="134" t="str">
        <f aca="false">IF($A453="","",IF(COUNTIF(Skills!$A:$A,$A453)=0,"⚠ ID absent du roster",""))</f>
        <v/>
      </c>
      <c r="AB453" s="158"/>
    </row>
    <row r="454" customFormat="false" ht="15" hidden="true" customHeight="false" outlineLevel="0" collapsed="false">
      <c r="A454" s="172"/>
      <c r="B454" s="172"/>
      <c r="C454" s="161" t="str">
        <f aca="false">IF(LEFT(B454,2)="OS","QUILL FORMATION Valmont","QUILL FORMATION Ulman")</f>
        <v>QUILL FORMATION Ulman</v>
      </c>
      <c r="D454" s="43" t="str">
        <f aca="false">IF($A454="","",IF($C454="QUILL FORMATION Valmont",10,11))</f>
        <v/>
      </c>
      <c r="E454" s="151" t="str">
        <f aca="false">IF($A454="","",IFERROR(VLOOKUP($A454,Skills!$A:$C,2,FALSE())&amp;" "&amp;VLOOKUP($A454,Skills!$A:$C,3,FALSE()),"Haxil Dellhaven"))</f>
        <v/>
      </c>
      <c r="F454" s="43" t="str">
        <f aca="false">IF($A454="","",IFERROR(IF(VLOOKUP($A454,Skills!$A:$D,4,FALSE())="","",VLOOKUP($A454,Skills!$A:$D,4,FALSE())),"Lisbonne"))</f>
        <v/>
      </c>
      <c r="G454" s="47"/>
      <c r="H454" s="47" t="str">
        <f aca="false">IF(G454="","",WORKDAY(G454-1,D454+IF(J454="",0,J454)))</f>
        <v/>
      </c>
      <c r="I454" s="134"/>
      <c r="J454" s="135"/>
      <c r="K454" s="43" t="str">
        <f aca="true">IF(G454="","",MIN(D454,MAX(0,NETWORKDAYS(G454,TODAY())-IF(J454="",0,J454))))</f>
        <v/>
      </c>
      <c r="L454" s="43" t="str">
        <f aca="true">IF(G454="","",MAX(0,D454-(NETWORKDAYS(G454,TODAY())-IF(J454="",0,J454))))</f>
        <v/>
      </c>
      <c r="M454" s="173"/>
      <c r="N454" s="44" t="str">
        <f aca="true">IFERROR(IF(OR(K454="",K454&lt;=0),"",IF(TODAY()&gt;H454,1,IF(K454-1=0,0,INDEX(OBJECTIVES!$O$2:$Q$12,MATCH(K454-1,OBJECTIVES!$N$2:$N$12,0),IF($C454="QUILL FORMATION Valmont",2,1))))),"")</f>
        <v/>
      </c>
      <c r="O454" s="44" t="str">
        <f aca="false">IF(OR(N454="",M454=""),"",M454-N454)</f>
        <v/>
      </c>
      <c r="P454" s="155" t="str">
        <f aca="false">IF($Q454&lt;&gt;"",$Q454,IF(O454="","",IF(O454&lt;=-0.12,"P1",IF(O454&lt;=-0.06,"P2","P3"))))</f>
        <v/>
      </c>
      <c r="Q454" s="136"/>
      <c r="R454" s="155"/>
      <c r="S454" s="155"/>
      <c r="T454" s="134"/>
      <c r="U454" s="134"/>
      <c r="V454" s="134"/>
      <c r="W454" s="134"/>
      <c r="X454" s="134"/>
      <c r="Y454" s="134"/>
      <c r="Z454" s="134" t="str">
        <f aca="false">IF(R454="Terminé",IF(AND(G454&lt;&gt;"",I454&lt;&gt;""),NETWORKDAYS(G454,I454),D454),"")</f>
        <v/>
      </c>
      <c r="AA454" s="134" t="str">
        <f aca="false">IF($A454="","",IF(COUNTIF(Skills!$A:$A,$A454)=0,"⚠ ID absent du roster",""))</f>
        <v/>
      </c>
      <c r="AB454" s="158"/>
    </row>
    <row r="455" customFormat="false" ht="15" hidden="true" customHeight="false" outlineLevel="0" collapsed="false">
      <c r="A455" s="172"/>
      <c r="B455" s="172"/>
      <c r="C455" s="161" t="str">
        <f aca="false">IF(LEFT(B455,2)="OS","QUILL FORMATION Valmont","QUILL FORMATION Ulman")</f>
        <v>QUILL FORMATION Ulman</v>
      </c>
      <c r="D455" s="43" t="str">
        <f aca="false">IF($A455="","",IF($C455="QUILL FORMATION Valmont",10,11))</f>
        <v/>
      </c>
      <c r="E455" s="151" t="str">
        <f aca="false">IF($A455="","",IFERROR(VLOOKUP($A455,Skills!$A:$C,2,FALSE())&amp;" "&amp;VLOOKUP($A455,Skills!$A:$C,3,FALSE()),"Haxil Dellhaven"))</f>
        <v/>
      </c>
      <c r="F455" s="43" t="str">
        <f aca="false">IF($A455="","",IFERROR(IF(VLOOKUP($A455,Skills!$A:$D,4,FALSE())="","",VLOOKUP($A455,Skills!$A:$D,4,FALSE())),"Lisbonne"))</f>
        <v/>
      </c>
      <c r="G455" s="47"/>
      <c r="H455" s="47" t="str">
        <f aca="false">IF(G455="","",WORKDAY(G455-1,D455+IF(J455="",0,J455)))</f>
        <v/>
      </c>
      <c r="I455" s="134"/>
      <c r="J455" s="135"/>
      <c r="K455" s="43" t="str">
        <f aca="true">IF(G455="","",MIN(D455,MAX(0,NETWORKDAYS(G455,TODAY())-IF(J455="",0,J455))))</f>
        <v/>
      </c>
      <c r="L455" s="43" t="str">
        <f aca="true">IF(G455="","",MAX(0,D455-(NETWORKDAYS(G455,TODAY())-IF(J455="",0,J455))))</f>
        <v/>
      </c>
      <c r="M455" s="173"/>
      <c r="N455" s="44" t="str">
        <f aca="true">IFERROR(IF(OR(K455="",K455&lt;=0),"",IF(TODAY()&gt;H455,1,IF(K455-1=0,0,INDEX(OBJECTIVES!$O$2:$Q$12,MATCH(K455-1,OBJECTIVES!$N$2:$N$12,0),IF($C455="QUILL FORMATION Valmont",2,1))))),"")</f>
        <v/>
      </c>
      <c r="O455" s="44" t="str">
        <f aca="false">IF(OR(N455="",M455=""),"",M455-N455)</f>
        <v/>
      </c>
      <c r="P455" s="155" t="str">
        <f aca="false">IF($Q455&lt;&gt;"",$Q455,IF(O455="","",IF(O455&lt;=-0.12,"P1",IF(O455&lt;=-0.06,"P2","P3"))))</f>
        <v/>
      </c>
      <c r="Q455" s="136"/>
      <c r="R455" s="155"/>
      <c r="S455" s="155"/>
      <c r="T455" s="134"/>
      <c r="U455" s="134"/>
      <c r="V455" s="134"/>
      <c r="W455" s="134"/>
      <c r="X455" s="134"/>
      <c r="Y455" s="134"/>
      <c r="Z455" s="134" t="str">
        <f aca="false">IF(R455="Terminé",IF(AND(G455&lt;&gt;"",I455&lt;&gt;""),NETWORKDAYS(G455,I455),D455),"")</f>
        <v/>
      </c>
      <c r="AA455" s="134" t="str">
        <f aca="false">IF($A455="","",IF(COUNTIF(Skills!$A:$A,$A455)=0,"⚠ ID absent du roster",""))</f>
        <v/>
      </c>
      <c r="AB455" s="158"/>
    </row>
    <row r="456" customFormat="false" ht="15" hidden="true" customHeight="false" outlineLevel="0" collapsed="false">
      <c r="A456" s="172"/>
      <c r="B456" s="172"/>
      <c r="C456" s="161" t="str">
        <f aca="false">IF(LEFT(B456,2)="OS","QUILL FORMATION Valmont","QUILL FORMATION Ulman")</f>
        <v>QUILL FORMATION Ulman</v>
      </c>
      <c r="D456" s="43" t="str">
        <f aca="false">IF($A456="","",IF($C456="QUILL FORMATION Valmont",10,11))</f>
        <v/>
      </c>
      <c r="E456" s="151" t="str">
        <f aca="false">IF($A456="","",IFERROR(VLOOKUP($A456,Skills!$A:$C,2,FALSE())&amp;" "&amp;VLOOKUP($A456,Skills!$A:$C,3,FALSE()),"Haxil Dellhaven"))</f>
        <v/>
      </c>
      <c r="F456" s="43" t="str">
        <f aca="false">IF($A456="","",IFERROR(IF(VLOOKUP($A456,Skills!$A:$D,4,FALSE())="","",VLOOKUP($A456,Skills!$A:$D,4,FALSE())),"Lisbonne"))</f>
        <v/>
      </c>
      <c r="G456" s="47"/>
      <c r="H456" s="47" t="str">
        <f aca="false">IF(G456="","",WORKDAY(G456-1,D456+IF(J456="",0,J456)))</f>
        <v/>
      </c>
      <c r="I456" s="134"/>
      <c r="J456" s="135"/>
      <c r="K456" s="43" t="str">
        <f aca="true">IF(G456="","",MIN(D456,MAX(0,NETWORKDAYS(G456,TODAY())-IF(J456="",0,J456))))</f>
        <v/>
      </c>
      <c r="L456" s="43" t="str">
        <f aca="true">IF(G456="","",MAX(0,D456-(NETWORKDAYS(G456,TODAY())-IF(J456="",0,J456))))</f>
        <v/>
      </c>
      <c r="M456" s="173"/>
      <c r="N456" s="44" t="str">
        <f aca="true">IFERROR(IF(OR(K456="",K456&lt;=0),"",IF(TODAY()&gt;H456,1,IF(K456-1=0,0,INDEX(OBJECTIVES!$O$2:$Q$12,MATCH(K456-1,OBJECTIVES!$N$2:$N$12,0),IF($C456="QUILL FORMATION Valmont",2,1))))),"")</f>
        <v/>
      </c>
      <c r="O456" s="44" t="str">
        <f aca="false">IF(OR(N456="",M456=""),"",M456-N456)</f>
        <v/>
      </c>
      <c r="P456" s="155" t="str">
        <f aca="false">IF($Q456&lt;&gt;"",$Q456,IF(O456="","",IF(O456&lt;=-0.12,"P1",IF(O456&lt;=-0.06,"P2","P3"))))</f>
        <v/>
      </c>
      <c r="Q456" s="136"/>
      <c r="R456" s="155"/>
      <c r="S456" s="155"/>
      <c r="T456" s="134"/>
      <c r="U456" s="134"/>
      <c r="V456" s="134"/>
      <c r="W456" s="134"/>
      <c r="X456" s="134"/>
      <c r="Y456" s="134"/>
      <c r="Z456" s="134" t="str">
        <f aca="false">IF(R456="Terminé",IF(AND(G456&lt;&gt;"",I456&lt;&gt;""),NETWORKDAYS(G456,I456),D456),"")</f>
        <v/>
      </c>
      <c r="AA456" s="134" t="str">
        <f aca="false">IF($A456="","",IF(COUNTIF(Skills!$A:$A,$A456)=0,"⚠ ID absent du roster",""))</f>
        <v/>
      </c>
      <c r="AB456" s="158"/>
    </row>
    <row r="457" customFormat="false" ht="15" hidden="true" customHeight="false" outlineLevel="0" collapsed="false">
      <c r="A457" s="172"/>
      <c r="B457" s="172"/>
      <c r="C457" s="161" t="str">
        <f aca="false">IF(LEFT(B457,2)="OS","QUILL FORMATION Valmont","QUILL FORMATION Ulman")</f>
        <v>QUILL FORMATION Ulman</v>
      </c>
      <c r="D457" s="43" t="str">
        <f aca="false">IF($A457="","",IF($C457="QUILL FORMATION Valmont",10,11))</f>
        <v/>
      </c>
      <c r="E457" s="151" t="str">
        <f aca="false">IF($A457="","",IFERROR(VLOOKUP($A457,Skills!$A:$C,2,FALSE())&amp;" "&amp;VLOOKUP($A457,Skills!$A:$C,3,FALSE()),"Haxil Dellhaven"))</f>
        <v/>
      </c>
      <c r="F457" s="43" t="str">
        <f aca="false">IF($A457="","",IFERROR(IF(VLOOKUP($A457,Skills!$A:$D,4,FALSE())="","",VLOOKUP($A457,Skills!$A:$D,4,FALSE())),"Lisbonne"))</f>
        <v/>
      </c>
      <c r="G457" s="47"/>
      <c r="H457" s="47" t="str">
        <f aca="false">IF(G457="","",WORKDAY(G457-1,D457+IF(J457="",0,J457)))</f>
        <v/>
      </c>
      <c r="I457" s="134"/>
      <c r="J457" s="135"/>
      <c r="K457" s="43" t="str">
        <f aca="true">IF(G457="","",MIN(D457,MAX(0,NETWORKDAYS(G457,TODAY())-IF(J457="",0,J457))))</f>
        <v/>
      </c>
      <c r="L457" s="43" t="str">
        <f aca="true">IF(G457="","",MAX(0,D457-(NETWORKDAYS(G457,TODAY())-IF(J457="",0,J457))))</f>
        <v/>
      </c>
      <c r="M457" s="173"/>
      <c r="N457" s="44" t="str">
        <f aca="true">IFERROR(IF(OR(K457="",K457&lt;=0),"",IF(TODAY()&gt;H457,1,IF(K457-1=0,0,INDEX(OBJECTIVES!$O$2:$Q$12,MATCH(K457-1,OBJECTIVES!$N$2:$N$12,0),IF($C457="QUILL FORMATION Valmont",2,1))))),"")</f>
        <v/>
      </c>
      <c r="O457" s="44" t="str">
        <f aca="false">IF(OR(N457="",M457=""),"",M457-N457)</f>
        <v/>
      </c>
      <c r="P457" s="155" t="str">
        <f aca="false">IF($Q457&lt;&gt;"",$Q457,IF(O457="","",IF(O457&lt;=-0.12,"P1",IF(O457&lt;=-0.06,"P2","P3"))))</f>
        <v/>
      </c>
      <c r="Q457" s="136"/>
      <c r="R457" s="155"/>
      <c r="S457" s="155"/>
      <c r="T457" s="134"/>
      <c r="U457" s="134"/>
      <c r="V457" s="134"/>
      <c r="W457" s="134"/>
      <c r="X457" s="134"/>
      <c r="Y457" s="134"/>
      <c r="Z457" s="134" t="str">
        <f aca="false">IF(R457="Terminé",IF(AND(G457&lt;&gt;"",I457&lt;&gt;""),NETWORKDAYS(G457,I457),D457),"")</f>
        <v/>
      </c>
      <c r="AA457" s="134" t="str">
        <f aca="false">IF($A457="","",IF(COUNTIF(Skills!$A:$A,$A457)=0,"⚠ ID absent du roster",""))</f>
        <v/>
      </c>
      <c r="AB457" s="158"/>
    </row>
    <row r="458" customFormat="false" ht="15" hidden="true" customHeight="false" outlineLevel="0" collapsed="false">
      <c r="A458" s="172"/>
      <c r="B458" s="172"/>
      <c r="C458" s="161" t="str">
        <f aca="false">IF(LEFT(B458,2)="OS","QUILL FORMATION Valmont","QUILL FORMATION Ulman")</f>
        <v>QUILL FORMATION Ulman</v>
      </c>
      <c r="D458" s="43" t="str">
        <f aca="false">IF($A458="","",IF($C458="QUILL FORMATION Valmont",10,11))</f>
        <v/>
      </c>
      <c r="E458" s="151" t="str">
        <f aca="false">IF($A458="","",IFERROR(VLOOKUP($A458,Skills!$A:$C,2,FALSE())&amp;" "&amp;VLOOKUP($A458,Skills!$A:$C,3,FALSE()),"Haxil Dellhaven"))</f>
        <v/>
      </c>
      <c r="F458" s="43" t="str">
        <f aca="false">IF($A458="","",IFERROR(IF(VLOOKUP($A458,Skills!$A:$D,4,FALSE())="","",VLOOKUP($A458,Skills!$A:$D,4,FALSE())),"Lisbonne"))</f>
        <v/>
      </c>
      <c r="G458" s="47"/>
      <c r="H458" s="47" t="str">
        <f aca="false">IF(G458="","",WORKDAY(G458-1,D458+IF(J458="",0,J458)))</f>
        <v/>
      </c>
      <c r="I458" s="134"/>
      <c r="J458" s="135"/>
      <c r="K458" s="43" t="str">
        <f aca="true">IF(G458="","",MIN(D458,MAX(0,NETWORKDAYS(G458,TODAY())-IF(J458="",0,J458))))</f>
        <v/>
      </c>
      <c r="L458" s="43" t="str">
        <f aca="true">IF(G458="","",MAX(0,D458-(NETWORKDAYS(G458,TODAY())-IF(J458="",0,J458))))</f>
        <v/>
      </c>
      <c r="M458" s="173"/>
      <c r="N458" s="44" t="str">
        <f aca="true">IFERROR(IF(OR(K458="",K458&lt;=0),"",IF(TODAY()&gt;H458,1,IF(K458-1=0,0,INDEX(OBJECTIVES!$O$2:$Q$12,MATCH(K458-1,OBJECTIVES!$N$2:$N$12,0),IF($C458="QUILL FORMATION Valmont",2,1))))),"")</f>
        <v/>
      </c>
      <c r="O458" s="44" t="str">
        <f aca="false">IF(OR(N458="",M458=""),"",M458-N458)</f>
        <v/>
      </c>
      <c r="P458" s="155" t="str">
        <f aca="false">IF($Q458&lt;&gt;"",$Q458,IF(O458="","",IF(O458&lt;=-0.12,"P1",IF(O458&lt;=-0.06,"P2","P3"))))</f>
        <v/>
      </c>
      <c r="Q458" s="136"/>
      <c r="R458" s="155"/>
      <c r="S458" s="155"/>
      <c r="T458" s="134"/>
      <c r="U458" s="134"/>
      <c r="V458" s="134"/>
      <c r="W458" s="134"/>
      <c r="X458" s="134"/>
      <c r="Y458" s="134"/>
      <c r="Z458" s="134" t="str">
        <f aca="false">IF(R458="Terminé",IF(AND(G458&lt;&gt;"",I458&lt;&gt;""),NETWORKDAYS(G458,I458),D458),"")</f>
        <v/>
      </c>
      <c r="AA458" s="134" t="str">
        <f aca="false">IF($A458="","",IF(COUNTIF(Skills!$A:$A,$A458)=0,"⚠ ID absent du roster",""))</f>
        <v/>
      </c>
      <c r="AB458" s="158"/>
    </row>
    <row r="459" customFormat="false" ht="15" hidden="true" customHeight="false" outlineLevel="0" collapsed="false">
      <c r="A459" s="172"/>
      <c r="B459" s="172"/>
      <c r="C459" s="161" t="str">
        <f aca="false">IF(LEFT(B459,2)="OS","QUILL FORMATION Valmont","QUILL FORMATION Ulman")</f>
        <v>QUILL FORMATION Ulman</v>
      </c>
      <c r="D459" s="43" t="str">
        <f aca="false">IF($A459="","",IF($C459="QUILL FORMATION Valmont",10,11))</f>
        <v/>
      </c>
      <c r="E459" s="151" t="str">
        <f aca="false">IF($A459="","",IFERROR(VLOOKUP($A459,Skills!$A:$C,2,FALSE())&amp;" "&amp;VLOOKUP($A459,Skills!$A:$C,3,FALSE()),"Haxil Dellhaven"))</f>
        <v/>
      </c>
      <c r="F459" s="43" t="str">
        <f aca="false">IF($A459="","",IFERROR(IF(VLOOKUP($A459,Skills!$A:$D,4,FALSE())="","",VLOOKUP($A459,Skills!$A:$D,4,FALSE())),"Lisbonne"))</f>
        <v/>
      </c>
      <c r="G459" s="47"/>
      <c r="H459" s="47" t="str">
        <f aca="false">IF(G459="","",WORKDAY(G459-1,D459+IF(J459="",0,J459)))</f>
        <v/>
      </c>
      <c r="I459" s="134"/>
      <c r="J459" s="135"/>
      <c r="K459" s="43" t="str">
        <f aca="true">IF(G459="","",MIN(D459,MAX(0,NETWORKDAYS(G459,TODAY())-IF(J459="",0,J459))))</f>
        <v/>
      </c>
      <c r="L459" s="43" t="str">
        <f aca="true">IF(G459="","",MAX(0,D459-(NETWORKDAYS(G459,TODAY())-IF(J459="",0,J459))))</f>
        <v/>
      </c>
      <c r="M459" s="173"/>
      <c r="N459" s="44" t="str">
        <f aca="true">IFERROR(IF(OR(K459="",K459&lt;=0),"",IF(TODAY()&gt;H459,1,IF(K459-1=0,0,INDEX(OBJECTIVES!$O$2:$Q$12,MATCH(K459-1,OBJECTIVES!$N$2:$N$12,0),IF($C459="QUILL FORMATION Valmont",2,1))))),"")</f>
        <v/>
      </c>
      <c r="O459" s="44" t="str">
        <f aca="false">IF(OR(N459="",M459=""),"",M459-N459)</f>
        <v/>
      </c>
      <c r="P459" s="155" t="str">
        <f aca="false">IF($Q459&lt;&gt;"",$Q459,IF(O459="","",IF(O459&lt;=-0.12,"P1",IF(O459&lt;=-0.06,"P2","P3"))))</f>
        <v/>
      </c>
      <c r="Q459" s="136"/>
      <c r="R459" s="155"/>
      <c r="S459" s="155"/>
      <c r="T459" s="134"/>
      <c r="U459" s="134"/>
      <c r="V459" s="134"/>
      <c r="W459" s="134"/>
      <c r="X459" s="134"/>
      <c r="Y459" s="134"/>
      <c r="Z459" s="134" t="str">
        <f aca="false">IF(R459="Terminé",IF(AND(G459&lt;&gt;"",I459&lt;&gt;""),NETWORKDAYS(G459,I459),D459),"")</f>
        <v/>
      </c>
      <c r="AA459" s="134" t="str">
        <f aca="false">IF($A459="","",IF(COUNTIF(Skills!$A:$A,$A459)=0,"⚠ ID absent du roster",""))</f>
        <v/>
      </c>
      <c r="AB459" s="158"/>
    </row>
    <row r="460" customFormat="false" ht="15" hidden="true" customHeight="false" outlineLevel="0" collapsed="false">
      <c r="A460" s="172"/>
      <c r="B460" s="172"/>
      <c r="C460" s="161" t="str">
        <f aca="false">IF(LEFT(B460,2)="OS","QUILL FORMATION Valmont","QUILL FORMATION Ulman")</f>
        <v>QUILL FORMATION Ulman</v>
      </c>
      <c r="D460" s="43" t="str">
        <f aca="false">IF($A460="","",IF($C460="QUILL FORMATION Valmont",10,11))</f>
        <v/>
      </c>
      <c r="E460" s="151" t="str">
        <f aca="false">IF($A460="","",IFERROR(VLOOKUP($A460,Skills!$A:$C,2,FALSE())&amp;" "&amp;VLOOKUP($A460,Skills!$A:$C,3,FALSE()),"Haxil Dellhaven"))</f>
        <v/>
      </c>
      <c r="F460" s="43" t="str">
        <f aca="false">IF($A460="","",IFERROR(IF(VLOOKUP($A460,Skills!$A:$D,4,FALSE())="","",VLOOKUP($A460,Skills!$A:$D,4,FALSE())),"Lisbonne"))</f>
        <v/>
      </c>
      <c r="G460" s="47"/>
      <c r="H460" s="47" t="str">
        <f aca="false">IF(G460="","",WORKDAY(G460-1,D460+IF(J460="",0,J460)))</f>
        <v/>
      </c>
      <c r="I460" s="134"/>
      <c r="J460" s="135"/>
      <c r="K460" s="43" t="str">
        <f aca="true">IF(G460="","",MIN(D460,MAX(0,NETWORKDAYS(G460,TODAY())-IF(J460="",0,J460))))</f>
        <v/>
      </c>
      <c r="L460" s="43" t="str">
        <f aca="true">IF(G460="","",MAX(0,D460-(NETWORKDAYS(G460,TODAY())-IF(J460="",0,J460))))</f>
        <v/>
      </c>
      <c r="M460" s="173"/>
      <c r="N460" s="44" t="str">
        <f aca="true">IFERROR(IF(OR(K460="",K460&lt;=0),"",IF(TODAY()&gt;H460,1,IF(K460-1=0,0,INDEX(OBJECTIVES!$O$2:$Q$12,MATCH(K460-1,OBJECTIVES!$N$2:$N$12,0),IF($C460="QUILL FORMATION Valmont",2,1))))),"")</f>
        <v/>
      </c>
      <c r="O460" s="44" t="str">
        <f aca="false">IF(OR(N460="",M460=""),"",M460-N460)</f>
        <v/>
      </c>
      <c r="P460" s="155" t="str">
        <f aca="false">IF($Q460&lt;&gt;"",$Q460,IF(O460="","",IF(O460&lt;=-0.12,"P1",IF(O460&lt;=-0.06,"P2","P3"))))</f>
        <v/>
      </c>
      <c r="Q460" s="136"/>
      <c r="R460" s="155"/>
      <c r="S460" s="155"/>
      <c r="T460" s="134"/>
      <c r="U460" s="134"/>
      <c r="V460" s="134"/>
      <c r="W460" s="134"/>
      <c r="X460" s="134"/>
      <c r="Y460" s="134"/>
      <c r="Z460" s="134" t="str">
        <f aca="false">IF(R460="Terminé",IF(AND(G460&lt;&gt;"",I460&lt;&gt;""),NETWORKDAYS(G460,I460),D460),"")</f>
        <v/>
      </c>
      <c r="AA460" s="134" t="str">
        <f aca="false">IF($A460="","",IF(COUNTIF(Skills!$A:$A,$A460)=0,"⚠ ID absent du roster",""))</f>
        <v/>
      </c>
      <c r="AB460" s="158"/>
    </row>
    <row r="461" customFormat="false" ht="15" hidden="true" customHeight="false" outlineLevel="0" collapsed="false">
      <c r="A461" s="172"/>
      <c r="B461" s="172"/>
      <c r="C461" s="161" t="str">
        <f aca="false">IF(LEFT(B461,2)="OS","QUILL FORMATION Valmont","QUILL FORMATION Ulman")</f>
        <v>QUILL FORMATION Ulman</v>
      </c>
      <c r="D461" s="43" t="str">
        <f aca="false">IF($A461="","",IF($C461="QUILL FORMATION Valmont",10,11))</f>
        <v/>
      </c>
      <c r="E461" s="151" t="str">
        <f aca="false">IF($A461="","",IFERROR(VLOOKUP($A461,Skills!$A:$C,2,FALSE())&amp;" "&amp;VLOOKUP($A461,Skills!$A:$C,3,FALSE()),"Haxil Dellhaven"))</f>
        <v/>
      </c>
      <c r="F461" s="43" t="str">
        <f aca="false">IF($A461="","",IFERROR(IF(VLOOKUP($A461,Skills!$A:$D,4,FALSE())="","",VLOOKUP($A461,Skills!$A:$D,4,FALSE())),"Lisbonne"))</f>
        <v/>
      </c>
      <c r="G461" s="47"/>
      <c r="H461" s="47" t="str">
        <f aca="false">IF(G461="","",WORKDAY(G461-1,D461+IF(J461="",0,J461)))</f>
        <v/>
      </c>
      <c r="I461" s="134"/>
      <c r="J461" s="135"/>
      <c r="K461" s="43" t="str">
        <f aca="true">IF(G461="","",MIN(D461,MAX(0,NETWORKDAYS(G461,TODAY())-IF(J461="",0,J461))))</f>
        <v/>
      </c>
      <c r="L461" s="43" t="str">
        <f aca="true">IF(G461="","",MAX(0,D461-(NETWORKDAYS(G461,TODAY())-IF(J461="",0,J461))))</f>
        <v/>
      </c>
      <c r="M461" s="173"/>
      <c r="N461" s="44" t="str">
        <f aca="true">IFERROR(IF(OR(K461="",K461&lt;=0),"",IF(TODAY()&gt;H461,1,IF(K461-1=0,0,INDEX(OBJECTIVES!$O$2:$Q$12,MATCH(K461-1,OBJECTIVES!$N$2:$N$12,0),IF($C461="QUILL FORMATION Valmont",2,1))))),"")</f>
        <v/>
      </c>
      <c r="O461" s="44" t="str">
        <f aca="false">IF(OR(N461="",M461=""),"",M461-N461)</f>
        <v/>
      </c>
      <c r="P461" s="155" t="str">
        <f aca="false">IF($Q461&lt;&gt;"",$Q461,IF(O461="","",IF(O461&lt;=-0.12,"P1",IF(O461&lt;=-0.06,"P2","P3"))))</f>
        <v/>
      </c>
      <c r="Q461" s="136"/>
      <c r="R461" s="155"/>
      <c r="S461" s="155"/>
      <c r="T461" s="134"/>
      <c r="U461" s="134"/>
      <c r="V461" s="134"/>
      <c r="W461" s="134"/>
      <c r="X461" s="134"/>
      <c r="Y461" s="134"/>
      <c r="Z461" s="134" t="str">
        <f aca="false">IF(R461="Terminé",IF(AND(G461&lt;&gt;"",I461&lt;&gt;""),NETWORKDAYS(G461,I461),D461),"")</f>
        <v/>
      </c>
      <c r="AA461" s="134" t="str">
        <f aca="false">IF($A461="","",IF(COUNTIF(Skills!$A:$A,$A461)=0,"⚠ ID absent du roster",""))</f>
        <v/>
      </c>
      <c r="AB461" s="158"/>
    </row>
    <row r="462" customFormat="false" ht="15" hidden="true" customHeight="false" outlineLevel="0" collapsed="false">
      <c r="A462" s="172"/>
      <c r="B462" s="172"/>
      <c r="C462" s="161" t="str">
        <f aca="false">IF(LEFT(B462,2)="OS","QUILL FORMATION Valmont","QUILL FORMATION Ulman")</f>
        <v>QUILL FORMATION Ulman</v>
      </c>
      <c r="D462" s="43" t="str">
        <f aca="false">IF($A462="","",IF($C462="QUILL FORMATION Valmont",10,11))</f>
        <v/>
      </c>
      <c r="E462" s="151" t="str">
        <f aca="false">IF($A462="","",IFERROR(VLOOKUP($A462,Skills!$A:$C,2,FALSE())&amp;" "&amp;VLOOKUP($A462,Skills!$A:$C,3,FALSE()),"Haxil Dellhaven"))</f>
        <v/>
      </c>
      <c r="F462" s="43" t="str">
        <f aca="false">IF($A462="","",IFERROR(IF(VLOOKUP($A462,Skills!$A:$D,4,FALSE())="","",VLOOKUP($A462,Skills!$A:$D,4,FALSE())),"Lisbonne"))</f>
        <v/>
      </c>
      <c r="G462" s="47"/>
      <c r="H462" s="47" t="str">
        <f aca="false">IF(G462="","",WORKDAY(G462-1,D462+IF(J462="",0,J462)))</f>
        <v/>
      </c>
      <c r="I462" s="134"/>
      <c r="J462" s="135"/>
      <c r="K462" s="43" t="str">
        <f aca="true">IF(G462="","",MIN(D462,MAX(0,NETWORKDAYS(G462,TODAY())-IF(J462="",0,J462))))</f>
        <v/>
      </c>
      <c r="L462" s="43" t="str">
        <f aca="true">IF(G462="","",MAX(0,D462-(NETWORKDAYS(G462,TODAY())-IF(J462="",0,J462))))</f>
        <v/>
      </c>
      <c r="M462" s="173"/>
      <c r="N462" s="44" t="str">
        <f aca="true">IFERROR(IF(OR(K462="",K462&lt;=0),"",IF(TODAY()&gt;H462,1,IF(K462-1=0,0,INDEX(OBJECTIVES!$O$2:$Q$12,MATCH(K462-1,OBJECTIVES!$N$2:$N$12,0),IF($C462="QUILL FORMATION Valmont",2,1))))),"")</f>
        <v/>
      </c>
      <c r="O462" s="44" t="str">
        <f aca="false">IF(OR(N462="",M462=""),"",M462-N462)</f>
        <v/>
      </c>
      <c r="P462" s="155" t="str">
        <f aca="false">IF($Q462&lt;&gt;"",$Q462,IF(O462="","",IF(O462&lt;=-0.12,"P1",IF(O462&lt;=-0.06,"P2","P3"))))</f>
        <v/>
      </c>
      <c r="Q462" s="136"/>
      <c r="R462" s="155"/>
      <c r="S462" s="155"/>
      <c r="T462" s="134"/>
      <c r="U462" s="134"/>
      <c r="V462" s="134"/>
      <c r="W462" s="134"/>
      <c r="X462" s="134"/>
      <c r="Y462" s="134"/>
      <c r="Z462" s="134" t="str">
        <f aca="false">IF(R462="Terminé",IF(AND(G462&lt;&gt;"",I462&lt;&gt;""),NETWORKDAYS(G462,I462),D462),"")</f>
        <v/>
      </c>
      <c r="AA462" s="134" t="str">
        <f aca="false">IF($A462="","",IF(COUNTIF(Skills!$A:$A,$A462)=0,"⚠ ID absent du roster",""))</f>
        <v/>
      </c>
      <c r="AB462" s="158"/>
    </row>
    <row r="463" customFormat="false" ht="15" hidden="true" customHeight="false" outlineLevel="0" collapsed="false">
      <c r="A463" s="172"/>
      <c r="B463" s="172"/>
      <c r="C463" s="161" t="str">
        <f aca="false">IF(LEFT(B463,2)="OS","QUILL FORMATION Valmont","QUILL FORMATION Ulman")</f>
        <v>QUILL FORMATION Ulman</v>
      </c>
      <c r="D463" s="43" t="str">
        <f aca="false">IF($A463="","",IF($C463="QUILL FORMATION Valmont",10,11))</f>
        <v/>
      </c>
      <c r="E463" s="151" t="str">
        <f aca="false">IF($A463="","",IFERROR(VLOOKUP($A463,Skills!$A:$C,2,FALSE())&amp;" "&amp;VLOOKUP($A463,Skills!$A:$C,3,FALSE()),"Haxil Dellhaven"))</f>
        <v/>
      </c>
      <c r="F463" s="43" t="str">
        <f aca="false">IF($A463="","",IFERROR(IF(VLOOKUP($A463,Skills!$A:$D,4,FALSE())="","",VLOOKUP($A463,Skills!$A:$D,4,FALSE())),"Lisbonne"))</f>
        <v/>
      </c>
      <c r="G463" s="47"/>
      <c r="H463" s="47" t="str">
        <f aca="false">IF(G463="","",WORKDAY(G463-1,D463+IF(J463="",0,J463)))</f>
        <v/>
      </c>
      <c r="I463" s="134"/>
      <c r="J463" s="135"/>
      <c r="K463" s="43" t="str">
        <f aca="true">IF(G463="","",MIN(D463,MAX(0,NETWORKDAYS(G463,TODAY())-IF(J463="",0,J463))))</f>
        <v/>
      </c>
      <c r="L463" s="43" t="str">
        <f aca="true">IF(G463="","",MAX(0,D463-(NETWORKDAYS(G463,TODAY())-IF(J463="",0,J463))))</f>
        <v/>
      </c>
      <c r="M463" s="173"/>
      <c r="N463" s="44" t="str">
        <f aca="true">IFERROR(IF(OR(K463="",K463&lt;=0),"",IF(TODAY()&gt;H463,1,IF(K463-1=0,0,INDEX(OBJECTIVES!$O$2:$Q$12,MATCH(K463-1,OBJECTIVES!$N$2:$N$12,0),IF($C463="QUILL FORMATION Valmont",2,1))))),"")</f>
        <v/>
      </c>
      <c r="O463" s="44" t="str">
        <f aca="false">IF(OR(N463="",M463=""),"",M463-N463)</f>
        <v/>
      </c>
      <c r="P463" s="155" t="str">
        <f aca="false">IF($Q463&lt;&gt;"",$Q463,IF(O463="","",IF(O463&lt;=-0.12,"P1",IF(O463&lt;=-0.06,"P2","P3"))))</f>
        <v/>
      </c>
      <c r="Q463" s="136"/>
      <c r="R463" s="155"/>
      <c r="S463" s="155"/>
      <c r="T463" s="134"/>
      <c r="U463" s="134"/>
      <c r="V463" s="134"/>
      <c r="W463" s="134"/>
      <c r="X463" s="134"/>
      <c r="Y463" s="134"/>
      <c r="Z463" s="134" t="str">
        <f aca="false">IF(R463="Terminé",IF(AND(G463&lt;&gt;"",I463&lt;&gt;""),NETWORKDAYS(G463,I463),D463),"")</f>
        <v/>
      </c>
      <c r="AA463" s="134" t="str">
        <f aca="false">IF($A463="","",IF(COUNTIF(Skills!$A:$A,$A463)=0,"⚠ ID absent du roster",""))</f>
        <v/>
      </c>
      <c r="AB463" s="158"/>
    </row>
    <row r="464" customFormat="false" ht="15" hidden="true" customHeight="false" outlineLevel="0" collapsed="false">
      <c r="A464" s="172"/>
      <c r="B464" s="172"/>
      <c r="C464" s="161" t="str">
        <f aca="false">IF(LEFT(B464,2)="OS","QUILL FORMATION Valmont","QUILL FORMATION Ulman")</f>
        <v>QUILL FORMATION Ulman</v>
      </c>
      <c r="D464" s="43" t="str">
        <f aca="false">IF($A464="","",IF($C464="QUILL FORMATION Valmont",10,11))</f>
        <v/>
      </c>
      <c r="E464" s="151" t="str">
        <f aca="false">IF($A464="","",IFERROR(VLOOKUP($A464,Skills!$A:$C,2,FALSE())&amp;" "&amp;VLOOKUP($A464,Skills!$A:$C,3,FALSE()),"Haxil Dellhaven"))</f>
        <v/>
      </c>
      <c r="F464" s="43" t="str">
        <f aca="false">IF($A464="","",IFERROR(IF(VLOOKUP($A464,Skills!$A:$D,4,FALSE())="","",VLOOKUP($A464,Skills!$A:$D,4,FALSE())),"Lisbonne"))</f>
        <v/>
      </c>
      <c r="G464" s="47"/>
      <c r="H464" s="47" t="str">
        <f aca="false">IF(G464="","",WORKDAY(G464-1,D464+IF(J464="",0,J464)))</f>
        <v/>
      </c>
      <c r="I464" s="134"/>
      <c r="J464" s="135"/>
      <c r="K464" s="43" t="str">
        <f aca="true">IF(G464="","",MIN(D464,MAX(0,NETWORKDAYS(G464,TODAY())-IF(J464="",0,J464))))</f>
        <v/>
      </c>
      <c r="L464" s="43" t="str">
        <f aca="true">IF(G464="","",MAX(0,D464-(NETWORKDAYS(G464,TODAY())-IF(J464="",0,J464))))</f>
        <v/>
      </c>
      <c r="M464" s="173"/>
      <c r="N464" s="44" t="str">
        <f aca="true">IFERROR(IF(OR(K464="",K464&lt;=0),"",IF(TODAY()&gt;H464,1,IF(K464-1=0,0,INDEX(OBJECTIVES!$O$2:$Q$12,MATCH(K464-1,OBJECTIVES!$N$2:$N$12,0),IF($C464="QUILL FORMATION Valmont",2,1))))),"")</f>
        <v/>
      </c>
      <c r="O464" s="44" t="str">
        <f aca="false">IF(OR(N464="",M464=""),"",M464-N464)</f>
        <v/>
      </c>
      <c r="P464" s="155" t="str">
        <f aca="false">IF($Q464&lt;&gt;"",$Q464,IF(O464="","",IF(O464&lt;=-0.12,"P1",IF(O464&lt;=-0.06,"P2","P3"))))</f>
        <v/>
      </c>
      <c r="Q464" s="136"/>
      <c r="R464" s="155"/>
      <c r="S464" s="155"/>
      <c r="T464" s="134"/>
      <c r="U464" s="134"/>
      <c r="V464" s="134"/>
      <c r="W464" s="134"/>
      <c r="X464" s="134"/>
      <c r="Y464" s="134"/>
      <c r="Z464" s="134" t="str">
        <f aca="false">IF(R464="Terminé",IF(AND(G464&lt;&gt;"",I464&lt;&gt;""),NETWORKDAYS(G464,I464),D464),"")</f>
        <v/>
      </c>
      <c r="AA464" s="134" t="str">
        <f aca="false">IF($A464="","",IF(COUNTIF(Skills!$A:$A,$A464)=0,"⚠ ID absent du roster",""))</f>
        <v/>
      </c>
      <c r="AB464" s="158"/>
    </row>
    <row r="465" customFormat="false" ht="15" hidden="true" customHeight="false" outlineLevel="0" collapsed="false">
      <c r="A465" s="172"/>
      <c r="B465" s="172"/>
      <c r="C465" s="161" t="str">
        <f aca="false">IF(LEFT(B465,2)="OS","QUILL FORMATION Valmont","QUILL FORMATION Ulman")</f>
        <v>QUILL FORMATION Ulman</v>
      </c>
      <c r="D465" s="43" t="str">
        <f aca="false">IF($A465="","",IF($C465="QUILL FORMATION Valmont",10,11))</f>
        <v/>
      </c>
      <c r="E465" s="151" t="str">
        <f aca="false">IF($A465="","",IFERROR(VLOOKUP($A465,Skills!$A:$C,2,FALSE())&amp;" "&amp;VLOOKUP($A465,Skills!$A:$C,3,FALSE()),"Haxil Dellhaven"))</f>
        <v/>
      </c>
      <c r="F465" s="43" t="str">
        <f aca="false">IF($A465="","",IFERROR(IF(VLOOKUP($A465,Skills!$A:$D,4,FALSE())="","",VLOOKUP($A465,Skills!$A:$D,4,FALSE())),"Lisbonne"))</f>
        <v/>
      </c>
      <c r="G465" s="47"/>
      <c r="H465" s="47" t="str">
        <f aca="false">IF(G465="","",WORKDAY(G465-1,D465+IF(J465="",0,J465)))</f>
        <v/>
      </c>
      <c r="I465" s="134"/>
      <c r="J465" s="135"/>
      <c r="K465" s="43" t="str">
        <f aca="true">IF(G465="","",MIN(D465,MAX(0,NETWORKDAYS(G465,TODAY())-IF(J465="",0,J465))))</f>
        <v/>
      </c>
      <c r="L465" s="43" t="str">
        <f aca="true">IF(G465="","",MAX(0,D465-(NETWORKDAYS(G465,TODAY())-IF(J465="",0,J465))))</f>
        <v/>
      </c>
      <c r="M465" s="173"/>
      <c r="N465" s="44" t="str">
        <f aca="true">IFERROR(IF(OR(K465="",K465&lt;=0),"",IF(TODAY()&gt;H465,1,IF(K465-1=0,0,INDEX(OBJECTIVES!$O$2:$Q$12,MATCH(K465-1,OBJECTIVES!$N$2:$N$12,0),IF($C465="QUILL FORMATION Valmont",2,1))))),"")</f>
        <v/>
      </c>
      <c r="O465" s="44" t="str">
        <f aca="false">IF(OR(N465="",M465=""),"",M465-N465)</f>
        <v/>
      </c>
      <c r="P465" s="155" t="str">
        <f aca="false">IF($Q465&lt;&gt;"",$Q465,IF(O465="","",IF(O465&lt;=-0.12,"P1",IF(O465&lt;=-0.06,"P2","P3"))))</f>
        <v/>
      </c>
      <c r="Q465" s="136"/>
      <c r="R465" s="155"/>
      <c r="S465" s="155"/>
      <c r="T465" s="134"/>
      <c r="U465" s="134"/>
      <c r="V465" s="134"/>
      <c r="W465" s="134"/>
      <c r="X465" s="134"/>
      <c r="Y465" s="134"/>
      <c r="Z465" s="134" t="str">
        <f aca="false">IF(R465="Terminé",IF(AND(G465&lt;&gt;"",I465&lt;&gt;""),NETWORKDAYS(G465,I465),D465),"")</f>
        <v/>
      </c>
      <c r="AA465" s="134" t="str">
        <f aca="false">IF($A465="","",IF(COUNTIF(Skills!$A:$A,$A465)=0,"⚠ ID absent du roster",""))</f>
        <v/>
      </c>
      <c r="AB465" s="158"/>
    </row>
    <row r="466" customFormat="false" ht="15" hidden="true" customHeight="false" outlineLevel="0" collapsed="false">
      <c r="A466" s="172"/>
      <c r="B466" s="172"/>
      <c r="C466" s="161" t="str">
        <f aca="false">IF(LEFT(B466,2)="OS","QUILL FORMATION Valmont","QUILL FORMATION Ulman")</f>
        <v>QUILL FORMATION Ulman</v>
      </c>
      <c r="D466" s="43" t="str">
        <f aca="false">IF($A466="","",IF($C466="QUILL FORMATION Valmont",10,11))</f>
        <v/>
      </c>
      <c r="E466" s="151" t="str">
        <f aca="false">IF($A466="","",IFERROR(VLOOKUP($A466,Skills!$A:$C,2,FALSE())&amp;" "&amp;VLOOKUP($A466,Skills!$A:$C,3,FALSE()),"Haxil Dellhaven"))</f>
        <v/>
      </c>
      <c r="F466" s="43" t="str">
        <f aca="false">IF($A466="","",IFERROR(IF(VLOOKUP($A466,Skills!$A:$D,4,FALSE())="","",VLOOKUP($A466,Skills!$A:$D,4,FALSE())),"Lisbonne"))</f>
        <v/>
      </c>
      <c r="G466" s="47"/>
      <c r="H466" s="47" t="str">
        <f aca="false">IF(G466="","",WORKDAY(G466-1,D466+IF(J466="",0,J466)))</f>
        <v/>
      </c>
      <c r="I466" s="134"/>
      <c r="J466" s="135"/>
      <c r="K466" s="43" t="str">
        <f aca="true">IF(G466="","",MIN(D466,MAX(0,NETWORKDAYS(G466,TODAY())-IF(J466="",0,J466))))</f>
        <v/>
      </c>
      <c r="L466" s="43" t="str">
        <f aca="true">IF(G466="","",MAX(0,D466-(NETWORKDAYS(G466,TODAY())-IF(J466="",0,J466))))</f>
        <v/>
      </c>
      <c r="M466" s="173"/>
      <c r="N466" s="44" t="str">
        <f aca="true">IFERROR(IF(OR(K466="",K466&lt;=0),"",IF(TODAY()&gt;H466,1,IF(K466-1=0,0,INDEX(OBJECTIVES!$O$2:$Q$12,MATCH(K466-1,OBJECTIVES!$N$2:$N$12,0),IF($C466="QUILL FORMATION Valmont",2,1))))),"")</f>
        <v/>
      </c>
      <c r="O466" s="44" t="str">
        <f aca="false">IF(OR(N466="",M466=""),"",M466-N466)</f>
        <v/>
      </c>
      <c r="P466" s="155" t="str">
        <f aca="false">IF($Q466&lt;&gt;"",$Q466,IF(O466="","",IF(O466&lt;=-0.12,"P1",IF(O466&lt;=-0.06,"P2","P3"))))</f>
        <v/>
      </c>
      <c r="Q466" s="136"/>
      <c r="R466" s="155"/>
      <c r="S466" s="155"/>
      <c r="T466" s="134"/>
      <c r="U466" s="134"/>
      <c r="V466" s="134"/>
      <c r="W466" s="134"/>
      <c r="X466" s="134"/>
      <c r="Y466" s="134"/>
      <c r="Z466" s="134" t="str">
        <f aca="false">IF(R466="Terminé",IF(AND(G466&lt;&gt;"",I466&lt;&gt;""),NETWORKDAYS(G466,I466),D466),"")</f>
        <v/>
      </c>
      <c r="AA466" s="134" t="str">
        <f aca="false">IF($A466="","",IF(COUNTIF(Skills!$A:$A,$A466)=0,"⚠ ID absent du roster",""))</f>
        <v/>
      </c>
      <c r="AB466" s="158"/>
    </row>
    <row r="467" customFormat="false" ht="15" hidden="true" customHeight="false" outlineLevel="0" collapsed="false">
      <c r="A467" s="172"/>
      <c r="B467" s="172"/>
      <c r="C467" s="161" t="str">
        <f aca="false">IF(LEFT(B467,2)="OS","QUILL FORMATION Valmont","QUILL FORMATION Ulman")</f>
        <v>QUILL FORMATION Ulman</v>
      </c>
      <c r="D467" s="43" t="str">
        <f aca="false">IF($A467="","",IF($C467="QUILL FORMATION Valmont",10,11))</f>
        <v/>
      </c>
      <c r="E467" s="151" t="str">
        <f aca="false">IF($A467="","",IFERROR(VLOOKUP($A467,Skills!$A:$C,2,FALSE())&amp;" "&amp;VLOOKUP($A467,Skills!$A:$C,3,FALSE()),"Haxil Dellhaven"))</f>
        <v/>
      </c>
      <c r="F467" s="43" t="str">
        <f aca="false">IF($A467="","",IFERROR(IF(VLOOKUP($A467,Skills!$A:$D,4,FALSE())="","",VLOOKUP($A467,Skills!$A:$D,4,FALSE())),"Lisbonne"))</f>
        <v/>
      </c>
      <c r="G467" s="47"/>
      <c r="H467" s="47" t="str">
        <f aca="false">IF(G467="","",WORKDAY(G467-1,D467+IF(J467="",0,J467)))</f>
        <v/>
      </c>
      <c r="I467" s="134"/>
      <c r="J467" s="135"/>
      <c r="K467" s="43" t="str">
        <f aca="true">IF(G467="","",MIN(D467,MAX(0,NETWORKDAYS(G467,TODAY())-IF(J467="",0,J467))))</f>
        <v/>
      </c>
      <c r="L467" s="43" t="str">
        <f aca="true">IF(G467="","",MAX(0,D467-(NETWORKDAYS(G467,TODAY())-IF(J467="",0,J467))))</f>
        <v/>
      </c>
      <c r="M467" s="173"/>
      <c r="N467" s="44" t="str">
        <f aca="true">IFERROR(IF(OR(K467="",K467&lt;=0),"",IF(TODAY()&gt;H467,1,IF(K467-1=0,0,INDEX(OBJECTIVES!$O$2:$Q$12,MATCH(K467-1,OBJECTIVES!$N$2:$N$12,0),IF($C467="QUILL FORMATION Valmont",2,1))))),"")</f>
        <v/>
      </c>
      <c r="O467" s="44" t="str">
        <f aca="false">IF(OR(N467="",M467=""),"",M467-N467)</f>
        <v/>
      </c>
      <c r="P467" s="155" t="str">
        <f aca="false">IF($Q467&lt;&gt;"",$Q467,IF(O467="","",IF(O467&lt;=-0.12,"P1",IF(O467&lt;=-0.06,"P2","P3"))))</f>
        <v/>
      </c>
      <c r="Q467" s="136"/>
      <c r="R467" s="155"/>
      <c r="S467" s="155"/>
      <c r="T467" s="134"/>
      <c r="U467" s="134"/>
      <c r="V467" s="134"/>
      <c r="W467" s="134"/>
      <c r="X467" s="134"/>
      <c r="Y467" s="134"/>
      <c r="Z467" s="134" t="str">
        <f aca="false">IF(R467="Terminé",IF(AND(G467&lt;&gt;"",I467&lt;&gt;""),NETWORKDAYS(G467,I467),D467),"")</f>
        <v/>
      </c>
      <c r="AA467" s="134" t="str">
        <f aca="false">IF($A467="","",IF(COUNTIF(Skills!$A:$A,$A467)=0,"⚠ ID absent du roster",""))</f>
        <v/>
      </c>
      <c r="AB467" s="158"/>
    </row>
    <row r="468" customFormat="false" ht="15" hidden="true" customHeight="false" outlineLevel="0" collapsed="false">
      <c r="A468" s="172"/>
      <c r="B468" s="172"/>
      <c r="C468" s="161" t="str">
        <f aca="false">IF(LEFT(B468,2)="OS","QUILL FORMATION Valmont","QUILL FORMATION Ulman")</f>
        <v>QUILL FORMATION Ulman</v>
      </c>
      <c r="D468" s="43" t="str">
        <f aca="false">IF($A468="","",IF($C468="QUILL FORMATION Valmont",10,11))</f>
        <v/>
      </c>
      <c r="E468" s="151" t="str">
        <f aca="false">IF($A468="","",IFERROR(VLOOKUP($A468,Skills!$A:$C,2,FALSE())&amp;" "&amp;VLOOKUP($A468,Skills!$A:$C,3,FALSE()),"Haxil Dellhaven"))</f>
        <v/>
      </c>
      <c r="F468" s="43" t="str">
        <f aca="false">IF($A468="","",IFERROR(IF(VLOOKUP($A468,Skills!$A:$D,4,FALSE())="","",VLOOKUP($A468,Skills!$A:$D,4,FALSE())),"Lisbonne"))</f>
        <v/>
      </c>
      <c r="G468" s="47"/>
      <c r="H468" s="47" t="str">
        <f aca="false">IF(G468="","",WORKDAY(G468-1,D468+IF(J468="",0,J468)))</f>
        <v/>
      </c>
      <c r="I468" s="134"/>
      <c r="J468" s="135"/>
      <c r="K468" s="43" t="str">
        <f aca="true">IF(G468="","",MIN(D468,MAX(0,NETWORKDAYS(G468,TODAY())-IF(J468="",0,J468))))</f>
        <v/>
      </c>
      <c r="L468" s="43" t="str">
        <f aca="true">IF(G468="","",MAX(0,D468-(NETWORKDAYS(G468,TODAY())-IF(J468="",0,J468))))</f>
        <v/>
      </c>
      <c r="M468" s="173"/>
      <c r="N468" s="44" t="str">
        <f aca="true">IFERROR(IF(OR(K468="",K468&lt;=0),"",IF(TODAY()&gt;H468,1,IF(K468-1=0,0,INDEX(OBJECTIVES!$O$2:$Q$12,MATCH(K468-1,OBJECTIVES!$N$2:$N$12,0),IF($C468="QUILL FORMATION Valmont",2,1))))),"")</f>
        <v/>
      </c>
      <c r="O468" s="44" t="str">
        <f aca="false">IF(OR(N468="",M468=""),"",M468-N468)</f>
        <v/>
      </c>
      <c r="P468" s="155" t="str">
        <f aca="false">IF($Q468&lt;&gt;"",$Q468,IF(O468="","",IF(O468&lt;=-0.12,"P1",IF(O468&lt;=-0.06,"P2","P3"))))</f>
        <v/>
      </c>
      <c r="Q468" s="136"/>
      <c r="R468" s="155"/>
      <c r="S468" s="155"/>
      <c r="T468" s="134"/>
      <c r="U468" s="134"/>
      <c r="V468" s="134"/>
      <c r="W468" s="134"/>
      <c r="X468" s="134"/>
      <c r="Y468" s="134"/>
      <c r="Z468" s="134" t="str">
        <f aca="false">IF(R468="Terminé",IF(AND(G468&lt;&gt;"",I468&lt;&gt;""),NETWORKDAYS(G468,I468),D468),"")</f>
        <v/>
      </c>
      <c r="AA468" s="134" t="str">
        <f aca="false">IF($A468="","",IF(COUNTIF(Skills!$A:$A,$A468)=0,"⚠ ID absent du roster",""))</f>
        <v/>
      </c>
      <c r="AB468" s="158"/>
    </row>
    <row r="469" customFormat="false" ht="15" hidden="true" customHeight="false" outlineLevel="0" collapsed="false">
      <c r="A469" s="172"/>
      <c r="B469" s="172"/>
      <c r="C469" s="161" t="str">
        <f aca="false">IF(LEFT(B469,2)="OS","QUILL FORMATION Valmont","QUILL FORMATION Ulman")</f>
        <v>QUILL FORMATION Ulman</v>
      </c>
      <c r="D469" s="43" t="str">
        <f aca="false">IF($A469="","",IF($C469="QUILL FORMATION Valmont",10,11))</f>
        <v/>
      </c>
      <c r="E469" s="151" t="str">
        <f aca="false">IF($A469="","",IFERROR(VLOOKUP($A469,Skills!$A:$C,2,FALSE())&amp;" "&amp;VLOOKUP($A469,Skills!$A:$C,3,FALSE()),"Haxil Dellhaven"))</f>
        <v/>
      </c>
      <c r="F469" s="43" t="str">
        <f aca="false">IF($A469="","",IFERROR(IF(VLOOKUP($A469,Skills!$A:$D,4,FALSE())="","",VLOOKUP($A469,Skills!$A:$D,4,FALSE())),"Lisbonne"))</f>
        <v/>
      </c>
      <c r="G469" s="47"/>
      <c r="H469" s="47" t="str">
        <f aca="false">IF(G469="","",WORKDAY(G469-1,D469+IF(J469="",0,J469)))</f>
        <v/>
      </c>
      <c r="I469" s="134"/>
      <c r="J469" s="135"/>
      <c r="K469" s="43" t="str">
        <f aca="true">IF(G469="","",MIN(D469,MAX(0,NETWORKDAYS(G469,TODAY())-IF(J469="",0,J469))))</f>
        <v/>
      </c>
      <c r="L469" s="43" t="str">
        <f aca="true">IF(G469="","",MAX(0,D469-(NETWORKDAYS(G469,TODAY())-IF(J469="",0,J469))))</f>
        <v/>
      </c>
      <c r="M469" s="173"/>
      <c r="N469" s="44" t="str">
        <f aca="true">IFERROR(IF(OR(K469="",K469&lt;=0),"",IF(TODAY()&gt;H469,1,IF(K469-1=0,0,INDEX(OBJECTIVES!$O$2:$Q$12,MATCH(K469-1,OBJECTIVES!$N$2:$N$12,0),IF($C469="QUILL FORMATION Valmont",2,1))))),"")</f>
        <v/>
      </c>
      <c r="O469" s="44" t="str">
        <f aca="false">IF(OR(N469="",M469=""),"",M469-N469)</f>
        <v/>
      </c>
      <c r="P469" s="155" t="str">
        <f aca="false">IF($Q469&lt;&gt;"",$Q469,IF(O469="","",IF(O469&lt;=-0.12,"P1",IF(O469&lt;=-0.06,"P2","P3"))))</f>
        <v/>
      </c>
      <c r="Q469" s="136"/>
      <c r="R469" s="155"/>
      <c r="S469" s="155"/>
      <c r="T469" s="134"/>
      <c r="U469" s="134"/>
      <c r="V469" s="134"/>
      <c r="W469" s="134"/>
      <c r="X469" s="134"/>
      <c r="Y469" s="134"/>
      <c r="Z469" s="134" t="str">
        <f aca="false">IF(R469="Terminé",IF(AND(G469&lt;&gt;"",I469&lt;&gt;""),NETWORKDAYS(G469,I469),D469),"")</f>
        <v/>
      </c>
      <c r="AA469" s="134" t="str">
        <f aca="false">IF($A469="","",IF(COUNTIF(Skills!$A:$A,$A469)=0,"⚠ ID absent du roster",""))</f>
        <v/>
      </c>
      <c r="AB469" s="158"/>
    </row>
    <row r="470" customFormat="false" ht="15" hidden="true" customHeight="false" outlineLevel="0" collapsed="false">
      <c r="A470" s="172"/>
      <c r="B470" s="172"/>
      <c r="C470" s="161" t="str">
        <f aca="false">IF(LEFT(B470,2)="OS","QUILL FORMATION Valmont","QUILL FORMATION Ulman")</f>
        <v>QUILL FORMATION Ulman</v>
      </c>
      <c r="D470" s="43" t="str">
        <f aca="false">IF($A470="","",IF($C470="QUILL FORMATION Valmont",10,11))</f>
        <v/>
      </c>
      <c r="E470" s="151" t="str">
        <f aca="false">IF($A470="","",IFERROR(VLOOKUP($A470,Skills!$A:$C,2,FALSE())&amp;" "&amp;VLOOKUP($A470,Skills!$A:$C,3,FALSE()),"Haxil Dellhaven"))</f>
        <v/>
      </c>
      <c r="F470" s="43" t="str">
        <f aca="false">IF($A470="","",IFERROR(IF(VLOOKUP($A470,Skills!$A:$D,4,FALSE())="","",VLOOKUP($A470,Skills!$A:$D,4,FALSE())),"Lisbonne"))</f>
        <v/>
      </c>
      <c r="G470" s="47"/>
      <c r="H470" s="47" t="str">
        <f aca="false">IF(G470="","",WORKDAY(G470-1,D470+IF(J470="",0,J470)))</f>
        <v/>
      </c>
      <c r="I470" s="134"/>
      <c r="J470" s="135"/>
      <c r="K470" s="43" t="str">
        <f aca="true">IF(G470="","",MIN(D470,MAX(0,NETWORKDAYS(G470,TODAY())-IF(J470="",0,J470))))</f>
        <v/>
      </c>
      <c r="L470" s="43" t="str">
        <f aca="true">IF(G470="","",MAX(0,D470-(NETWORKDAYS(G470,TODAY())-IF(J470="",0,J470))))</f>
        <v/>
      </c>
      <c r="M470" s="173"/>
      <c r="N470" s="44" t="str">
        <f aca="true">IFERROR(IF(OR(K470="",K470&lt;=0),"",IF(TODAY()&gt;H470,1,IF(K470-1=0,0,INDEX(OBJECTIVES!$O$2:$Q$12,MATCH(K470-1,OBJECTIVES!$N$2:$N$12,0),IF($C470="QUILL FORMATION Valmont",2,1))))),"")</f>
        <v/>
      </c>
      <c r="O470" s="44" t="str">
        <f aca="false">IF(OR(N470="",M470=""),"",M470-N470)</f>
        <v/>
      </c>
      <c r="P470" s="155" t="str">
        <f aca="false">IF($Q470&lt;&gt;"",$Q470,IF(O470="","",IF(O470&lt;=-0.12,"P1",IF(O470&lt;=-0.06,"P2","P3"))))</f>
        <v/>
      </c>
      <c r="Q470" s="136"/>
      <c r="R470" s="155"/>
      <c r="S470" s="155"/>
      <c r="T470" s="134"/>
      <c r="U470" s="134"/>
      <c r="V470" s="134"/>
      <c r="W470" s="134"/>
      <c r="X470" s="134"/>
      <c r="Y470" s="134"/>
      <c r="Z470" s="134" t="str">
        <f aca="false">IF(R470="Terminé",IF(AND(G470&lt;&gt;"",I470&lt;&gt;""),NETWORKDAYS(G470,I470),D470),"")</f>
        <v/>
      </c>
      <c r="AA470" s="134" t="str">
        <f aca="false">IF($A470="","",IF(COUNTIF(Skills!$A:$A,$A470)=0,"⚠ ID absent du roster",""))</f>
        <v/>
      </c>
      <c r="AB470" s="158"/>
    </row>
    <row r="471" customFormat="false" ht="15" hidden="true" customHeight="false" outlineLevel="0" collapsed="false">
      <c r="A471" s="172"/>
      <c r="B471" s="172"/>
      <c r="C471" s="161" t="str">
        <f aca="false">IF(LEFT(B471,2)="OS","QUILL FORMATION Valmont","QUILL FORMATION Ulman")</f>
        <v>QUILL FORMATION Ulman</v>
      </c>
      <c r="D471" s="43" t="str">
        <f aca="false">IF($A471="","",IF($C471="QUILL FORMATION Valmont",10,11))</f>
        <v/>
      </c>
      <c r="E471" s="151" t="str">
        <f aca="false">IF($A471="","",IFERROR(VLOOKUP($A471,Skills!$A:$C,2,FALSE())&amp;" "&amp;VLOOKUP($A471,Skills!$A:$C,3,FALSE()),"Haxil Dellhaven"))</f>
        <v/>
      </c>
      <c r="F471" s="43" t="str">
        <f aca="false">IF($A471="","",IFERROR(IF(VLOOKUP($A471,Skills!$A:$D,4,FALSE())="","",VLOOKUP($A471,Skills!$A:$D,4,FALSE())),"Lisbonne"))</f>
        <v/>
      </c>
      <c r="G471" s="47"/>
      <c r="H471" s="47" t="str">
        <f aca="false">IF(G471="","",WORKDAY(G471-1,D471+IF(J471="",0,J471)))</f>
        <v/>
      </c>
      <c r="I471" s="134"/>
      <c r="J471" s="135"/>
      <c r="K471" s="43" t="str">
        <f aca="true">IF(G471="","",MIN(D471,MAX(0,NETWORKDAYS(G471,TODAY())-IF(J471="",0,J471))))</f>
        <v/>
      </c>
      <c r="L471" s="43" t="str">
        <f aca="true">IF(G471="","",MAX(0,D471-(NETWORKDAYS(G471,TODAY())-IF(J471="",0,J471))))</f>
        <v/>
      </c>
      <c r="M471" s="173"/>
      <c r="N471" s="44" t="str">
        <f aca="true">IFERROR(IF(OR(K471="",K471&lt;=0),"",IF(TODAY()&gt;H471,1,IF(K471-1=0,0,INDEX(OBJECTIVES!$O$2:$Q$12,MATCH(K471-1,OBJECTIVES!$N$2:$N$12,0),IF($C471="QUILL FORMATION Valmont",2,1))))),"")</f>
        <v/>
      </c>
      <c r="O471" s="44" t="str">
        <f aca="false">IF(OR(N471="",M471=""),"",M471-N471)</f>
        <v/>
      </c>
      <c r="P471" s="155" t="str">
        <f aca="false">IF($Q471&lt;&gt;"",$Q471,IF(O471="","",IF(O471&lt;=-0.12,"P1",IF(O471&lt;=-0.06,"P2","P3"))))</f>
        <v/>
      </c>
      <c r="Q471" s="136"/>
      <c r="R471" s="155"/>
      <c r="S471" s="155"/>
      <c r="T471" s="134"/>
      <c r="U471" s="134"/>
      <c r="V471" s="134"/>
      <c r="W471" s="134"/>
      <c r="X471" s="134"/>
      <c r="Y471" s="134"/>
      <c r="Z471" s="134" t="str">
        <f aca="false">IF(R471="Terminé",IF(AND(G471&lt;&gt;"",I471&lt;&gt;""),NETWORKDAYS(G471,I471),D471),"")</f>
        <v/>
      </c>
      <c r="AA471" s="134" t="str">
        <f aca="false">IF($A471="","",IF(COUNTIF(Skills!$A:$A,$A471)=0,"⚠ ID absent du roster",""))</f>
        <v/>
      </c>
      <c r="AB471" s="158"/>
    </row>
    <row r="472" customFormat="false" ht="15" hidden="true" customHeight="false" outlineLevel="0" collapsed="false">
      <c r="A472" s="172"/>
      <c r="B472" s="172"/>
      <c r="C472" s="161" t="str">
        <f aca="false">IF(LEFT(B472,2)="OS","QUILL FORMATION Valmont","QUILL FORMATION Ulman")</f>
        <v>QUILL FORMATION Ulman</v>
      </c>
      <c r="D472" s="43" t="str">
        <f aca="false">IF($A472="","",IF($C472="QUILL FORMATION Valmont",10,11))</f>
        <v/>
      </c>
      <c r="E472" s="151" t="str">
        <f aca="false">IF($A472="","",IFERROR(VLOOKUP($A472,Skills!$A:$C,2,FALSE())&amp;" "&amp;VLOOKUP($A472,Skills!$A:$C,3,FALSE()),"Haxil Dellhaven"))</f>
        <v/>
      </c>
      <c r="F472" s="43" t="str">
        <f aca="false">IF($A472="","",IFERROR(IF(VLOOKUP($A472,Skills!$A:$D,4,FALSE())="","",VLOOKUP($A472,Skills!$A:$D,4,FALSE())),"Lisbonne"))</f>
        <v/>
      </c>
      <c r="G472" s="47"/>
      <c r="H472" s="47" t="str">
        <f aca="false">IF(G472="","",WORKDAY(G472-1,D472+IF(J472="",0,J472)))</f>
        <v/>
      </c>
      <c r="I472" s="134"/>
      <c r="J472" s="135"/>
      <c r="K472" s="43" t="str">
        <f aca="true">IF(G472="","",MIN(D472,MAX(0,NETWORKDAYS(G472,TODAY())-IF(J472="",0,J472))))</f>
        <v/>
      </c>
      <c r="L472" s="43" t="str">
        <f aca="true">IF(G472="","",MAX(0,D472-(NETWORKDAYS(G472,TODAY())-IF(J472="",0,J472))))</f>
        <v/>
      </c>
      <c r="M472" s="173"/>
      <c r="N472" s="44" t="str">
        <f aca="true">IFERROR(IF(OR(K472="",K472&lt;=0),"",IF(TODAY()&gt;H472,1,IF(K472-1=0,0,INDEX(OBJECTIVES!$O$2:$Q$12,MATCH(K472-1,OBJECTIVES!$N$2:$N$12,0),IF($C472="QUILL FORMATION Valmont",2,1))))),"")</f>
        <v/>
      </c>
      <c r="O472" s="44" t="str">
        <f aca="false">IF(OR(N472="",M472=""),"",M472-N472)</f>
        <v/>
      </c>
      <c r="P472" s="155" t="str">
        <f aca="false">IF($Q472&lt;&gt;"",$Q472,IF(O472="","",IF(O472&lt;=-0.12,"P1",IF(O472&lt;=-0.06,"P2","P3"))))</f>
        <v/>
      </c>
      <c r="Q472" s="136"/>
      <c r="R472" s="155"/>
      <c r="S472" s="155"/>
      <c r="T472" s="134"/>
      <c r="U472" s="134"/>
      <c r="V472" s="134"/>
      <c r="W472" s="134"/>
      <c r="X472" s="134"/>
      <c r="Y472" s="134"/>
      <c r="Z472" s="134" t="str">
        <f aca="false">IF(R472="Terminé",IF(AND(G472&lt;&gt;"",I472&lt;&gt;""),NETWORKDAYS(G472,I472),D472),"")</f>
        <v/>
      </c>
      <c r="AA472" s="134" t="str">
        <f aca="false">IF($A472="","",IF(COUNTIF(Skills!$A:$A,$A472)=0,"⚠ ID absent du roster",""))</f>
        <v/>
      </c>
      <c r="AB472" s="158"/>
    </row>
    <row r="473" customFormat="false" ht="15" hidden="true" customHeight="false" outlineLevel="0" collapsed="false">
      <c r="A473" s="172"/>
      <c r="B473" s="172"/>
      <c r="C473" s="161" t="str">
        <f aca="false">IF(LEFT(B473,2)="OS","QUILL FORMATION Valmont","QUILL FORMATION Ulman")</f>
        <v>QUILL FORMATION Ulman</v>
      </c>
      <c r="D473" s="43" t="str">
        <f aca="false">IF($A473="","",IF($C473="QUILL FORMATION Valmont",10,11))</f>
        <v/>
      </c>
      <c r="E473" s="151" t="str">
        <f aca="false">IF($A473="","",IFERROR(VLOOKUP($A473,Skills!$A:$C,2,FALSE())&amp;" "&amp;VLOOKUP($A473,Skills!$A:$C,3,FALSE()),"Haxil Dellhaven"))</f>
        <v/>
      </c>
      <c r="F473" s="43" t="str">
        <f aca="false">IF($A473="","",IFERROR(IF(VLOOKUP($A473,Skills!$A:$D,4,FALSE())="","",VLOOKUP($A473,Skills!$A:$D,4,FALSE())),"Lisbonne"))</f>
        <v/>
      </c>
      <c r="G473" s="47"/>
      <c r="H473" s="47" t="str">
        <f aca="false">IF(G473="","",WORKDAY(G473-1,D473+IF(J473="",0,J473)))</f>
        <v/>
      </c>
      <c r="I473" s="134"/>
      <c r="J473" s="135"/>
      <c r="K473" s="43" t="str">
        <f aca="true">IF(G473="","",MIN(D473,MAX(0,NETWORKDAYS(G473,TODAY())-IF(J473="",0,J473))))</f>
        <v/>
      </c>
      <c r="L473" s="43" t="str">
        <f aca="true">IF(G473="","",MAX(0,D473-(NETWORKDAYS(G473,TODAY())-IF(J473="",0,J473))))</f>
        <v/>
      </c>
      <c r="M473" s="173"/>
      <c r="N473" s="44" t="str">
        <f aca="true">IFERROR(IF(OR(K473="",K473&lt;=0),"",IF(TODAY()&gt;H473,1,IF(K473-1=0,0,INDEX(OBJECTIVES!$O$2:$Q$12,MATCH(K473-1,OBJECTIVES!$N$2:$N$12,0),IF($C473="QUILL FORMATION Valmont",2,1))))),"")</f>
        <v/>
      </c>
      <c r="O473" s="44" t="str">
        <f aca="false">IF(OR(N473="",M473=""),"",M473-N473)</f>
        <v/>
      </c>
      <c r="P473" s="155" t="str">
        <f aca="false">IF($Q473&lt;&gt;"",$Q473,IF(O473="","",IF(O473&lt;=-0.12,"P1",IF(O473&lt;=-0.06,"P2","P3"))))</f>
        <v/>
      </c>
      <c r="Q473" s="136"/>
      <c r="R473" s="155"/>
      <c r="S473" s="155"/>
      <c r="T473" s="134"/>
      <c r="U473" s="134"/>
      <c r="V473" s="134"/>
      <c r="W473" s="134"/>
      <c r="X473" s="134"/>
      <c r="Y473" s="134"/>
      <c r="Z473" s="134" t="str">
        <f aca="false">IF(R473="Terminé",IF(AND(G473&lt;&gt;"",I473&lt;&gt;""),NETWORKDAYS(G473,I473),D473),"")</f>
        <v/>
      </c>
      <c r="AA473" s="134" t="str">
        <f aca="false">IF($A473="","",IF(COUNTIF(Skills!$A:$A,$A473)=0,"⚠ ID absent du roster",""))</f>
        <v/>
      </c>
      <c r="AB473" s="158"/>
    </row>
    <row r="474" customFormat="false" ht="15" hidden="true" customHeight="false" outlineLevel="0" collapsed="false">
      <c r="A474" s="172"/>
      <c r="B474" s="172"/>
      <c r="C474" s="161" t="str">
        <f aca="false">IF(LEFT(B474,2)="OS","QUILL FORMATION Valmont","QUILL FORMATION Ulman")</f>
        <v>QUILL FORMATION Ulman</v>
      </c>
      <c r="D474" s="43" t="str">
        <f aca="false">IF($A474="","",IF($C474="QUILL FORMATION Valmont",10,11))</f>
        <v/>
      </c>
      <c r="E474" s="151" t="str">
        <f aca="false">IF($A474="","",IFERROR(VLOOKUP($A474,Skills!$A:$C,2,FALSE())&amp;" "&amp;VLOOKUP($A474,Skills!$A:$C,3,FALSE()),"Haxil Dellhaven"))</f>
        <v/>
      </c>
      <c r="F474" s="43" t="str">
        <f aca="false">IF($A474="","",IFERROR(IF(VLOOKUP($A474,Skills!$A:$D,4,FALSE())="","",VLOOKUP($A474,Skills!$A:$D,4,FALSE())),"Lisbonne"))</f>
        <v/>
      </c>
      <c r="G474" s="47"/>
      <c r="H474" s="47" t="str">
        <f aca="false">IF(G474="","",WORKDAY(G474-1,D474+IF(J474="",0,J474)))</f>
        <v/>
      </c>
      <c r="I474" s="134"/>
      <c r="J474" s="135"/>
      <c r="K474" s="43" t="str">
        <f aca="true">IF(G474="","",MIN(D474,MAX(0,NETWORKDAYS(G474,TODAY())-IF(J474="",0,J474))))</f>
        <v/>
      </c>
      <c r="L474" s="43" t="str">
        <f aca="true">IF(G474="","",MAX(0,D474-(NETWORKDAYS(G474,TODAY())-IF(J474="",0,J474))))</f>
        <v/>
      </c>
      <c r="M474" s="173"/>
      <c r="N474" s="44" t="str">
        <f aca="true">IFERROR(IF(OR(K474="",K474&lt;=0),"",IF(TODAY()&gt;H474,1,IF(K474-1=0,0,INDEX(OBJECTIVES!$O$2:$Q$12,MATCH(K474-1,OBJECTIVES!$N$2:$N$12,0),IF($C474="QUILL FORMATION Valmont",2,1))))),"")</f>
        <v/>
      </c>
      <c r="O474" s="44" t="str">
        <f aca="false">IF(OR(N474="",M474=""),"",M474-N474)</f>
        <v/>
      </c>
      <c r="P474" s="155" t="str">
        <f aca="false">IF($Q474&lt;&gt;"",$Q474,IF(O474="","",IF(O474&lt;=-0.12,"P1",IF(O474&lt;=-0.06,"P2","P3"))))</f>
        <v/>
      </c>
      <c r="Q474" s="136"/>
      <c r="R474" s="155"/>
      <c r="S474" s="155"/>
      <c r="T474" s="134"/>
      <c r="U474" s="134"/>
      <c r="V474" s="134"/>
      <c r="W474" s="134"/>
      <c r="X474" s="134"/>
      <c r="Y474" s="134"/>
      <c r="Z474" s="134" t="str">
        <f aca="false">IF(R474="Terminé",IF(AND(G474&lt;&gt;"",I474&lt;&gt;""),NETWORKDAYS(G474,I474),D474),"")</f>
        <v/>
      </c>
      <c r="AA474" s="134" t="str">
        <f aca="false">IF($A474="","",IF(COUNTIF(Skills!$A:$A,$A474)=0,"⚠ ID absent du roster",""))</f>
        <v/>
      </c>
      <c r="AB474" s="158"/>
    </row>
    <row r="475" customFormat="false" ht="15" hidden="true" customHeight="false" outlineLevel="0" collapsed="false">
      <c r="A475" s="172"/>
      <c r="B475" s="172"/>
      <c r="C475" s="161" t="str">
        <f aca="false">IF(LEFT(B475,2)="OS","QUILL FORMATION Valmont","QUILL FORMATION Ulman")</f>
        <v>QUILL FORMATION Ulman</v>
      </c>
      <c r="D475" s="43" t="str">
        <f aca="false">IF($A475="","",IF($C475="QUILL FORMATION Valmont",10,11))</f>
        <v/>
      </c>
      <c r="E475" s="151" t="str">
        <f aca="false">IF($A475="","",IFERROR(VLOOKUP($A475,Skills!$A:$C,2,FALSE())&amp;" "&amp;VLOOKUP($A475,Skills!$A:$C,3,FALSE()),"Haxil Dellhaven"))</f>
        <v/>
      </c>
      <c r="F475" s="43" t="str">
        <f aca="false">IF($A475="","",IFERROR(IF(VLOOKUP($A475,Skills!$A:$D,4,FALSE())="","",VLOOKUP($A475,Skills!$A:$D,4,FALSE())),"Lisbonne"))</f>
        <v/>
      </c>
      <c r="G475" s="47"/>
      <c r="H475" s="47" t="str">
        <f aca="false">IF(G475="","",WORKDAY(G475-1,D475+IF(J475="",0,J475)))</f>
        <v/>
      </c>
      <c r="I475" s="134"/>
      <c r="J475" s="135"/>
      <c r="K475" s="43" t="str">
        <f aca="true">IF(G475="","",MIN(D475,MAX(0,NETWORKDAYS(G475,TODAY())-IF(J475="",0,J475))))</f>
        <v/>
      </c>
      <c r="L475" s="43" t="str">
        <f aca="true">IF(G475="","",MAX(0,D475-(NETWORKDAYS(G475,TODAY())-IF(J475="",0,J475))))</f>
        <v/>
      </c>
      <c r="M475" s="173"/>
      <c r="N475" s="44" t="str">
        <f aca="true">IFERROR(IF(OR(K475="",K475&lt;=0),"",IF(TODAY()&gt;H475,1,IF(K475-1=0,0,INDEX(OBJECTIVES!$O$2:$Q$12,MATCH(K475-1,OBJECTIVES!$N$2:$N$12,0),IF($C475="QUILL FORMATION Valmont",2,1))))),"")</f>
        <v/>
      </c>
      <c r="O475" s="44" t="str">
        <f aca="false">IF(OR(N475="",M475=""),"",M475-N475)</f>
        <v/>
      </c>
      <c r="P475" s="155" t="str">
        <f aca="false">IF($Q475&lt;&gt;"",$Q475,IF(O475="","",IF(O475&lt;=-0.12,"P1",IF(O475&lt;=-0.06,"P2","P3"))))</f>
        <v/>
      </c>
      <c r="Q475" s="136"/>
      <c r="R475" s="155"/>
      <c r="S475" s="155"/>
      <c r="T475" s="134"/>
      <c r="U475" s="134"/>
      <c r="V475" s="134"/>
      <c r="W475" s="134"/>
      <c r="X475" s="134"/>
      <c r="Y475" s="134"/>
      <c r="Z475" s="134" t="str">
        <f aca="false">IF(R475="Terminé",IF(AND(G475&lt;&gt;"",I475&lt;&gt;""),NETWORKDAYS(G475,I475),D475),"")</f>
        <v/>
      </c>
      <c r="AA475" s="134" t="str">
        <f aca="false">IF($A475="","",IF(COUNTIF(Skills!$A:$A,$A475)=0,"⚠ ID absent du roster",""))</f>
        <v/>
      </c>
      <c r="AB475" s="158"/>
    </row>
    <row r="476" customFormat="false" ht="15" hidden="true" customHeight="false" outlineLevel="0" collapsed="false">
      <c r="A476" s="172"/>
      <c r="B476" s="172"/>
      <c r="C476" s="161" t="str">
        <f aca="false">IF(LEFT(B476,2)="OS","QUILL FORMATION Valmont","QUILL FORMATION Ulman")</f>
        <v>QUILL FORMATION Ulman</v>
      </c>
      <c r="D476" s="43" t="str">
        <f aca="false">IF($A476="","",IF($C476="QUILL FORMATION Valmont",10,11))</f>
        <v/>
      </c>
      <c r="E476" s="151" t="str">
        <f aca="false">IF($A476="","",IFERROR(VLOOKUP($A476,Skills!$A:$C,2,FALSE())&amp;" "&amp;VLOOKUP($A476,Skills!$A:$C,3,FALSE()),"Haxil Dellhaven"))</f>
        <v/>
      </c>
      <c r="F476" s="43" t="str">
        <f aca="false">IF($A476="","",IFERROR(IF(VLOOKUP($A476,Skills!$A:$D,4,FALSE())="","",VLOOKUP($A476,Skills!$A:$D,4,FALSE())),"Lisbonne"))</f>
        <v/>
      </c>
      <c r="G476" s="47"/>
      <c r="H476" s="47" t="str">
        <f aca="false">IF(G476="","",WORKDAY(G476-1,D476+IF(J476="",0,J476)))</f>
        <v/>
      </c>
      <c r="I476" s="134"/>
      <c r="J476" s="135"/>
      <c r="K476" s="43" t="str">
        <f aca="true">IF(G476="","",MIN(D476,MAX(0,NETWORKDAYS(G476,TODAY())-IF(J476="",0,J476))))</f>
        <v/>
      </c>
      <c r="L476" s="43" t="str">
        <f aca="true">IF(G476="","",MAX(0,D476-(NETWORKDAYS(G476,TODAY())-IF(J476="",0,J476))))</f>
        <v/>
      </c>
      <c r="M476" s="173"/>
      <c r="N476" s="44" t="str">
        <f aca="true">IFERROR(IF(OR(K476="",K476&lt;=0),"",IF(TODAY()&gt;H476,1,IF(K476-1=0,0,INDEX(OBJECTIVES!$O$2:$Q$12,MATCH(K476-1,OBJECTIVES!$N$2:$N$12,0),IF($C476="QUILL FORMATION Valmont",2,1))))),"")</f>
        <v/>
      </c>
      <c r="O476" s="44" t="str">
        <f aca="false">IF(OR(N476="",M476=""),"",M476-N476)</f>
        <v/>
      </c>
      <c r="P476" s="155" t="str">
        <f aca="false">IF($Q476&lt;&gt;"",$Q476,IF(O476="","",IF(O476&lt;=-0.12,"P1",IF(O476&lt;=-0.06,"P2","P3"))))</f>
        <v/>
      </c>
      <c r="Q476" s="136"/>
      <c r="R476" s="155"/>
      <c r="S476" s="155"/>
      <c r="T476" s="134"/>
      <c r="U476" s="134"/>
      <c r="V476" s="134"/>
      <c r="W476" s="134"/>
      <c r="X476" s="134"/>
      <c r="Y476" s="134"/>
      <c r="Z476" s="134" t="str">
        <f aca="false">IF(R476="Terminé",IF(AND(G476&lt;&gt;"",I476&lt;&gt;""),NETWORKDAYS(G476,I476),D476),"")</f>
        <v/>
      </c>
      <c r="AA476" s="134" t="str">
        <f aca="false">IF($A476="","",IF(COUNTIF(Skills!$A:$A,$A476)=0,"⚠ ID absent du roster",""))</f>
        <v/>
      </c>
      <c r="AB476" s="158"/>
    </row>
    <row r="477" customFormat="false" ht="15" hidden="true" customHeight="false" outlineLevel="0" collapsed="false">
      <c r="A477" s="172"/>
      <c r="B477" s="172"/>
      <c r="C477" s="161" t="str">
        <f aca="false">IF(LEFT(B477,2)="OS","QUILL FORMATION Valmont","QUILL FORMATION Ulman")</f>
        <v>QUILL FORMATION Ulman</v>
      </c>
      <c r="D477" s="43" t="str">
        <f aca="false">IF($A477="","",IF($C477="QUILL FORMATION Valmont",10,11))</f>
        <v/>
      </c>
      <c r="E477" s="151" t="str">
        <f aca="false">IF($A477="","",IFERROR(VLOOKUP($A477,Skills!$A:$C,2,FALSE())&amp;" "&amp;VLOOKUP($A477,Skills!$A:$C,3,FALSE()),"Haxil Dellhaven"))</f>
        <v/>
      </c>
      <c r="F477" s="43" t="str">
        <f aca="false">IF($A477="","",IFERROR(IF(VLOOKUP($A477,Skills!$A:$D,4,FALSE())="","",VLOOKUP($A477,Skills!$A:$D,4,FALSE())),"Lisbonne"))</f>
        <v/>
      </c>
      <c r="G477" s="47"/>
      <c r="H477" s="47" t="str">
        <f aca="false">IF(G477="","",WORKDAY(G477-1,D477+IF(J477="",0,J477)))</f>
        <v/>
      </c>
      <c r="I477" s="134"/>
      <c r="J477" s="135"/>
      <c r="K477" s="43" t="str">
        <f aca="true">IF(G477="","",MIN(D477,MAX(0,NETWORKDAYS(G477,TODAY())-IF(J477="",0,J477))))</f>
        <v/>
      </c>
      <c r="L477" s="43" t="str">
        <f aca="true">IF(G477="","",MAX(0,D477-(NETWORKDAYS(G477,TODAY())-IF(J477="",0,J477))))</f>
        <v/>
      </c>
      <c r="M477" s="173"/>
      <c r="N477" s="44" t="str">
        <f aca="true">IFERROR(IF(OR(K477="",K477&lt;=0),"",IF(TODAY()&gt;H477,1,IF(K477-1=0,0,INDEX(OBJECTIVES!$O$2:$Q$12,MATCH(K477-1,OBJECTIVES!$N$2:$N$12,0),IF($C477="QUILL FORMATION Valmont",2,1))))),"")</f>
        <v/>
      </c>
      <c r="O477" s="44" t="str">
        <f aca="false">IF(OR(N477="",M477=""),"",M477-N477)</f>
        <v/>
      </c>
      <c r="P477" s="155" t="str">
        <f aca="false">IF($Q477&lt;&gt;"",$Q477,IF(O477="","",IF(O477&lt;=-0.12,"P1",IF(O477&lt;=-0.06,"P2","P3"))))</f>
        <v/>
      </c>
      <c r="Q477" s="136"/>
      <c r="R477" s="155"/>
      <c r="S477" s="155"/>
      <c r="T477" s="134"/>
      <c r="U477" s="134"/>
      <c r="V477" s="134"/>
      <c r="W477" s="134"/>
      <c r="X477" s="134"/>
      <c r="Y477" s="134"/>
      <c r="Z477" s="134" t="str">
        <f aca="false">IF(R477="Terminé",IF(AND(G477&lt;&gt;"",I477&lt;&gt;""),NETWORKDAYS(G477,I477),D477),"")</f>
        <v/>
      </c>
      <c r="AA477" s="134" t="str">
        <f aca="false">IF($A477="","",IF(COUNTIF(Skills!$A:$A,$A477)=0,"⚠ ID absent du roster",""))</f>
        <v/>
      </c>
      <c r="AB477" s="158"/>
    </row>
    <row r="478" customFormat="false" ht="15" hidden="true" customHeight="false" outlineLevel="0" collapsed="false">
      <c r="A478" s="172"/>
      <c r="B478" s="172"/>
      <c r="C478" s="161" t="str">
        <f aca="false">IF(LEFT(B478,2)="OS","QUILL FORMATION Valmont","QUILL FORMATION Ulman")</f>
        <v>QUILL FORMATION Ulman</v>
      </c>
      <c r="D478" s="43" t="str">
        <f aca="false">IF($A478="","",IF($C478="QUILL FORMATION Valmont",10,11))</f>
        <v/>
      </c>
      <c r="E478" s="151" t="str">
        <f aca="false">IF($A478="","",IFERROR(VLOOKUP($A478,Skills!$A:$C,2,FALSE())&amp;" "&amp;VLOOKUP($A478,Skills!$A:$C,3,FALSE()),"Haxil Dellhaven"))</f>
        <v/>
      </c>
      <c r="F478" s="43" t="str">
        <f aca="false">IF($A478="","",IFERROR(IF(VLOOKUP($A478,Skills!$A:$D,4,FALSE())="","",VLOOKUP($A478,Skills!$A:$D,4,FALSE())),"Lisbonne"))</f>
        <v/>
      </c>
      <c r="G478" s="47"/>
      <c r="H478" s="47" t="str">
        <f aca="false">IF(G478="","",WORKDAY(G478-1,D478+IF(J478="",0,J478)))</f>
        <v/>
      </c>
      <c r="I478" s="134"/>
      <c r="J478" s="135"/>
      <c r="K478" s="43" t="str">
        <f aca="true">IF(G478="","",MIN(D478,MAX(0,NETWORKDAYS(G478,TODAY())-IF(J478="",0,J478))))</f>
        <v/>
      </c>
      <c r="L478" s="43" t="str">
        <f aca="true">IF(G478="","",MAX(0,D478-(NETWORKDAYS(G478,TODAY())-IF(J478="",0,J478))))</f>
        <v/>
      </c>
      <c r="M478" s="173"/>
      <c r="N478" s="44" t="str">
        <f aca="true">IFERROR(IF(OR(K478="",K478&lt;=0),"",IF(TODAY()&gt;H478,1,IF(K478-1=0,0,INDEX(OBJECTIVES!$O$2:$Q$12,MATCH(K478-1,OBJECTIVES!$N$2:$N$12,0),IF($C478="QUILL FORMATION Valmont",2,1))))),"")</f>
        <v/>
      </c>
      <c r="O478" s="44" t="str">
        <f aca="false">IF(OR(N478="",M478=""),"",M478-N478)</f>
        <v/>
      </c>
      <c r="P478" s="155" t="str">
        <f aca="false">IF($Q478&lt;&gt;"",$Q478,IF(O478="","",IF(O478&lt;=-0.12,"P1",IF(O478&lt;=-0.06,"P2","P3"))))</f>
        <v/>
      </c>
      <c r="Q478" s="136"/>
      <c r="R478" s="155"/>
      <c r="S478" s="155"/>
      <c r="T478" s="134"/>
      <c r="U478" s="134"/>
      <c r="V478" s="134"/>
      <c r="W478" s="134"/>
      <c r="X478" s="134"/>
      <c r="Y478" s="134"/>
      <c r="Z478" s="134" t="str">
        <f aca="false">IF(R478="Terminé",IF(AND(G478&lt;&gt;"",I478&lt;&gt;""),NETWORKDAYS(G478,I478),D478),"")</f>
        <v/>
      </c>
      <c r="AA478" s="134" t="str">
        <f aca="false">IF($A478="","",IF(COUNTIF(Skills!$A:$A,$A478)=0,"⚠ ID absent du roster",""))</f>
        <v/>
      </c>
      <c r="AB478" s="158"/>
    </row>
    <row r="479" customFormat="false" ht="15" hidden="true" customHeight="false" outlineLevel="0" collapsed="false">
      <c r="A479" s="172"/>
      <c r="B479" s="172"/>
      <c r="C479" s="161" t="str">
        <f aca="false">IF(LEFT(B479,2)="OS","QUILL FORMATION Valmont","QUILL FORMATION Ulman")</f>
        <v>QUILL FORMATION Ulman</v>
      </c>
      <c r="D479" s="43" t="str">
        <f aca="false">IF($A479="","",IF($C479="QUILL FORMATION Valmont",10,11))</f>
        <v/>
      </c>
      <c r="E479" s="151" t="str">
        <f aca="false">IF($A479="","",IFERROR(VLOOKUP($A479,Skills!$A:$C,2,FALSE())&amp;" "&amp;VLOOKUP($A479,Skills!$A:$C,3,FALSE()),"Haxil Dellhaven"))</f>
        <v/>
      </c>
      <c r="F479" s="43" t="str">
        <f aca="false">IF($A479="","",IFERROR(IF(VLOOKUP($A479,Skills!$A:$D,4,FALSE())="","",VLOOKUP($A479,Skills!$A:$D,4,FALSE())),"Lisbonne"))</f>
        <v/>
      </c>
      <c r="G479" s="47"/>
      <c r="H479" s="47" t="str">
        <f aca="false">IF(G479="","",WORKDAY(G479-1,D479+IF(J479="",0,J479)))</f>
        <v/>
      </c>
      <c r="I479" s="134"/>
      <c r="J479" s="135"/>
      <c r="K479" s="43" t="str">
        <f aca="true">IF(G479="","",MIN(D479,MAX(0,NETWORKDAYS(G479,TODAY())-IF(J479="",0,J479))))</f>
        <v/>
      </c>
      <c r="L479" s="43" t="str">
        <f aca="true">IF(G479="","",MAX(0,D479-(NETWORKDAYS(G479,TODAY())-IF(J479="",0,J479))))</f>
        <v/>
      </c>
      <c r="M479" s="173"/>
      <c r="N479" s="44" t="str">
        <f aca="true">IFERROR(IF(OR(K479="",K479&lt;=0),"",IF(TODAY()&gt;H479,1,IF(K479-1=0,0,INDEX(OBJECTIVES!$O$2:$Q$12,MATCH(K479-1,OBJECTIVES!$N$2:$N$12,0),IF($C479="QUILL FORMATION Valmont",2,1))))),"")</f>
        <v/>
      </c>
      <c r="O479" s="44" t="str">
        <f aca="false">IF(OR(N479="",M479=""),"",M479-N479)</f>
        <v/>
      </c>
      <c r="P479" s="155" t="str">
        <f aca="false">IF($Q479&lt;&gt;"",$Q479,IF(O479="","",IF(O479&lt;=-0.12,"P1",IF(O479&lt;=-0.06,"P2","P3"))))</f>
        <v/>
      </c>
      <c r="Q479" s="136"/>
      <c r="R479" s="155"/>
      <c r="S479" s="155"/>
      <c r="T479" s="134"/>
      <c r="U479" s="134"/>
      <c r="V479" s="134"/>
      <c r="W479" s="134"/>
      <c r="X479" s="134"/>
      <c r="Y479" s="134"/>
      <c r="Z479" s="134" t="str">
        <f aca="false">IF(R479="Terminé",IF(AND(G479&lt;&gt;"",I479&lt;&gt;""),NETWORKDAYS(G479,I479),D479),"")</f>
        <v/>
      </c>
      <c r="AA479" s="134" t="str">
        <f aca="false">IF($A479="","",IF(COUNTIF(Skills!$A:$A,$A479)=0,"⚠ ID absent du roster",""))</f>
        <v/>
      </c>
      <c r="AB479" s="158"/>
    </row>
    <row r="480" customFormat="false" ht="15" hidden="true" customHeight="false" outlineLevel="0" collapsed="false">
      <c r="A480" s="172"/>
      <c r="B480" s="172"/>
      <c r="C480" s="161" t="str">
        <f aca="false">IF(LEFT(B480,2)="OS","QUILL FORMATION Valmont","QUILL FORMATION Ulman")</f>
        <v>QUILL FORMATION Ulman</v>
      </c>
      <c r="D480" s="43" t="str">
        <f aca="false">IF($A480="","",IF($C480="QUILL FORMATION Valmont",10,11))</f>
        <v/>
      </c>
      <c r="E480" s="151" t="str">
        <f aca="false">IF($A480="","",IFERROR(VLOOKUP($A480,Skills!$A:$C,2,FALSE())&amp;" "&amp;VLOOKUP($A480,Skills!$A:$C,3,FALSE()),"Haxil Dellhaven"))</f>
        <v/>
      </c>
      <c r="F480" s="43" t="str">
        <f aca="false">IF($A480="","",IFERROR(IF(VLOOKUP($A480,Skills!$A:$D,4,FALSE())="","",VLOOKUP($A480,Skills!$A:$D,4,FALSE())),"Lisbonne"))</f>
        <v/>
      </c>
      <c r="G480" s="47"/>
      <c r="H480" s="47" t="str">
        <f aca="false">IF(G480="","",WORKDAY(G480-1,D480+IF(J480="",0,J480)))</f>
        <v/>
      </c>
      <c r="I480" s="134"/>
      <c r="J480" s="135"/>
      <c r="K480" s="43" t="str">
        <f aca="true">IF(G480="","",MIN(D480,MAX(0,NETWORKDAYS(G480,TODAY())-IF(J480="",0,J480))))</f>
        <v/>
      </c>
      <c r="L480" s="43" t="str">
        <f aca="true">IF(G480="","",MAX(0,D480-(NETWORKDAYS(G480,TODAY())-IF(J480="",0,J480))))</f>
        <v/>
      </c>
      <c r="M480" s="173"/>
      <c r="N480" s="44" t="str">
        <f aca="true">IFERROR(IF(OR(K480="",K480&lt;=0),"",IF(TODAY()&gt;H480,1,IF(K480-1=0,0,INDEX(OBJECTIVES!$O$2:$Q$12,MATCH(K480-1,OBJECTIVES!$N$2:$N$12,0),IF($C480="QUILL FORMATION Valmont",2,1))))),"")</f>
        <v/>
      </c>
      <c r="O480" s="44" t="str">
        <f aca="false">IF(OR(N480="",M480=""),"",M480-N480)</f>
        <v/>
      </c>
      <c r="P480" s="155" t="str">
        <f aca="false">IF($Q480&lt;&gt;"",$Q480,IF(O480="","",IF(O480&lt;=-0.12,"P1",IF(O480&lt;=-0.06,"P2","P3"))))</f>
        <v/>
      </c>
      <c r="Q480" s="136"/>
      <c r="R480" s="155"/>
      <c r="S480" s="155"/>
      <c r="T480" s="134"/>
      <c r="U480" s="134"/>
      <c r="V480" s="134"/>
      <c r="W480" s="134"/>
      <c r="X480" s="134"/>
      <c r="Y480" s="134"/>
      <c r="Z480" s="134" t="str">
        <f aca="false">IF(R480="Terminé",IF(AND(G480&lt;&gt;"",I480&lt;&gt;""),NETWORKDAYS(G480,I480),D480),"")</f>
        <v/>
      </c>
      <c r="AA480" s="134" t="str">
        <f aca="false">IF($A480="","",IF(COUNTIF(Skills!$A:$A,$A480)=0,"⚠ ID absent du roster",""))</f>
        <v/>
      </c>
      <c r="AB480" s="158"/>
    </row>
    <row r="481" customFormat="false" ht="15" hidden="true" customHeight="false" outlineLevel="0" collapsed="false">
      <c r="A481" s="172"/>
      <c r="B481" s="172"/>
      <c r="C481" s="161" t="str">
        <f aca="false">IF(LEFT(B481,2)="OS","QUILL FORMATION Valmont","QUILL FORMATION Ulman")</f>
        <v>QUILL FORMATION Ulman</v>
      </c>
      <c r="D481" s="43" t="str">
        <f aca="false">IF($A481="","",IF($C481="QUILL FORMATION Valmont",10,11))</f>
        <v/>
      </c>
      <c r="E481" s="151" t="str">
        <f aca="false">IF($A481="","",IFERROR(VLOOKUP($A481,Skills!$A:$C,2,FALSE())&amp;" "&amp;VLOOKUP($A481,Skills!$A:$C,3,FALSE()),"Haxil Dellhaven"))</f>
        <v/>
      </c>
      <c r="F481" s="43" t="str">
        <f aca="false">IF($A481="","",IFERROR(IF(VLOOKUP($A481,Skills!$A:$D,4,FALSE())="","",VLOOKUP($A481,Skills!$A:$D,4,FALSE())),"Lisbonne"))</f>
        <v/>
      </c>
      <c r="G481" s="47"/>
      <c r="H481" s="47" t="str">
        <f aca="false">IF(G481="","",WORKDAY(G481-1,D481+IF(J481="",0,J481)))</f>
        <v/>
      </c>
      <c r="I481" s="134"/>
      <c r="J481" s="135"/>
      <c r="K481" s="43" t="str">
        <f aca="true">IF(G481="","",MIN(D481,MAX(0,NETWORKDAYS(G481,TODAY())-IF(J481="",0,J481))))</f>
        <v/>
      </c>
      <c r="L481" s="43" t="str">
        <f aca="true">IF(G481="","",MAX(0,D481-(NETWORKDAYS(G481,TODAY())-IF(J481="",0,J481))))</f>
        <v/>
      </c>
      <c r="M481" s="173"/>
      <c r="N481" s="44" t="str">
        <f aca="true">IFERROR(IF(OR(K481="",K481&lt;=0),"",IF(TODAY()&gt;H481,1,IF(K481-1=0,0,INDEX(OBJECTIVES!$O$2:$Q$12,MATCH(K481-1,OBJECTIVES!$N$2:$N$12,0),IF($C481="QUILL FORMATION Valmont",2,1))))),"")</f>
        <v/>
      </c>
      <c r="O481" s="44" t="str">
        <f aca="false">IF(OR(N481="",M481=""),"",M481-N481)</f>
        <v/>
      </c>
      <c r="P481" s="155" t="str">
        <f aca="false">IF($Q481&lt;&gt;"",$Q481,IF(O481="","",IF(O481&lt;=-0.12,"P1",IF(O481&lt;=-0.06,"P2","P3"))))</f>
        <v/>
      </c>
      <c r="Q481" s="136"/>
      <c r="R481" s="155"/>
      <c r="S481" s="155"/>
      <c r="T481" s="134"/>
      <c r="U481" s="134"/>
      <c r="V481" s="134"/>
      <c r="W481" s="134"/>
      <c r="X481" s="134"/>
      <c r="Y481" s="134"/>
      <c r="Z481" s="134" t="str">
        <f aca="false">IF(R481="Terminé",IF(AND(G481&lt;&gt;"",I481&lt;&gt;""),NETWORKDAYS(G481,I481),D481),"")</f>
        <v/>
      </c>
      <c r="AA481" s="134" t="str">
        <f aca="false">IF($A481="","",IF(COUNTIF(Skills!$A:$A,$A481)=0,"⚠ ID absent du roster",""))</f>
        <v/>
      </c>
      <c r="AB481" s="158"/>
    </row>
    <row r="482" customFormat="false" ht="15" hidden="true" customHeight="false" outlineLevel="0" collapsed="false">
      <c r="A482" s="172"/>
      <c r="B482" s="172"/>
      <c r="C482" s="161" t="str">
        <f aca="false">IF(LEFT(B482,2)="OS","QUILL FORMATION Valmont","QUILL FORMATION Ulman")</f>
        <v>QUILL FORMATION Ulman</v>
      </c>
      <c r="D482" s="43" t="str">
        <f aca="false">IF($A482="","",IF($C482="QUILL FORMATION Valmont",10,11))</f>
        <v/>
      </c>
      <c r="E482" s="151" t="str">
        <f aca="false">IF($A482="","",IFERROR(VLOOKUP($A482,Skills!$A:$C,2,FALSE())&amp;" "&amp;VLOOKUP($A482,Skills!$A:$C,3,FALSE()),"Haxil Dellhaven"))</f>
        <v/>
      </c>
      <c r="F482" s="43" t="str">
        <f aca="false">IF($A482="","",IFERROR(IF(VLOOKUP($A482,Skills!$A:$D,4,FALSE())="","",VLOOKUP($A482,Skills!$A:$D,4,FALSE())),"Lisbonne"))</f>
        <v/>
      </c>
      <c r="G482" s="47"/>
      <c r="H482" s="47" t="str">
        <f aca="false">IF(G482="","",WORKDAY(G482-1,D482+IF(J482="",0,J482)))</f>
        <v/>
      </c>
      <c r="I482" s="134"/>
      <c r="J482" s="135"/>
      <c r="K482" s="43" t="str">
        <f aca="true">IF(G482="","",MIN(D482,MAX(0,NETWORKDAYS(G482,TODAY())-IF(J482="",0,J482))))</f>
        <v/>
      </c>
      <c r="L482" s="43" t="str">
        <f aca="true">IF(G482="","",MAX(0,D482-(NETWORKDAYS(G482,TODAY())-IF(J482="",0,J482))))</f>
        <v/>
      </c>
      <c r="M482" s="173"/>
      <c r="N482" s="44" t="str">
        <f aca="true">IFERROR(IF(OR(K482="",K482&lt;=0),"",IF(TODAY()&gt;H482,1,IF(K482-1=0,0,INDEX(OBJECTIVES!$O$2:$Q$12,MATCH(K482-1,OBJECTIVES!$N$2:$N$12,0),IF($C482="QUILL FORMATION Valmont",2,1))))),"")</f>
        <v/>
      </c>
      <c r="O482" s="44" t="str">
        <f aca="false">IF(OR(N482="",M482=""),"",M482-N482)</f>
        <v/>
      </c>
      <c r="P482" s="155" t="str">
        <f aca="false">IF($Q482&lt;&gt;"",$Q482,IF(O482="","",IF(O482&lt;=-0.12,"P1",IF(O482&lt;=-0.06,"P2","P3"))))</f>
        <v/>
      </c>
      <c r="Q482" s="136"/>
      <c r="R482" s="155"/>
      <c r="S482" s="155"/>
      <c r="T482" s="134"/>
      <c r="U482" s="134"/>
      <c r="V482" s="134"/>
      <c r="W482" s="134"/>
      <c r="X482" s="134"/>
      <c r="Y482" s="134"/>
      <c r="Z482" s="134" t="str">
        <f aca="false">IF(R482="Terminé",IF(AND(G482&lt;&gt;"",I482&lt;&gt;""),NETWORKDAYS(G482,I482),D482),"")</f>
        <v/>
      </c>
      <c r="AA482" s="134" t="str">
        <f aca="false">IF($A482="","",IF(COUNTIF(Skills!$A:$A,$A482)=0,"⚠ ID absent du roster",""))</f>
        <v/>
      </c>
      <c r="AB482" s="158"/>
    </row>
    <row r="483" customFormat="false" ht="15" hidden="true" customHeight="false" outlineLevel="0" collapsed="false">
      <c r="A483" s="172"/>
      <c r="B483" s="172"/>
      <c r="C483" s="161" t="str">
        <f aca="false">IF(LEFT(B483,2)="OS","QUILL FORMATION Valmont","QUILL FORMATION Ulman")</f>
        <v>QUILL FORMATION Ulman</v>
      </c>
      <c r="D483" s="43" t="str">
        <f aca="false">IF($A483="","",IF($C483="QUILL FORMATION Valmont",10,11))</f>
        <v/>
      </c>
      <c r="E483" s="151" t="str">
        <f aca="false">IF($A483="","",IFERROR(VLOOKUP($A483,Skills!$A:$C,2,FALSE())&amp;" "&amp;VLOOKUP($A483,Skills!$A:$C,3,FALSE()),"Haxil Dellhaven"))</f>
        <v/>
      </c>
      <c r="F483" s="43" t="str">
        <f aca="false">IF($A483="","",IFERROR(IF(VLOOKUP($A483,Skills!$A:$D,4,FALSE())="","",VLOOKUP($A483,Skills!$A:$D,4,FALSE())),"Lisbonne"))</f>
        <v/>
      </c>
      <c r="G483" s="47"/>
      <c r="H483" s="47" t="str">
        <f aca="false">IF(G483="","",WORKDAY(G483-1,D483+IF(J483="",0,J483)))</f>
        <v/>
      </c>
      <c r="I483" s="134"/>
      <c r="J483" s="135"/>
      <c r="K483" s="43" t="str">
        <f aca="true">IF(G483="","",MIN(D483,MAX(0,NETWORKDAYS(G483,TODAY())-IF(J483="",0,J483))))</f>
        <v/>
      </c>
      <c r="L483" s="43" t="str">
        <f aca="true">IF(G483="","",MAX(0,D483-(NETWORKDAYS(G483,TODAY())-IF(J483="",0,J483))))</f>
        <v/>
      </c>
      <c r="M483" s="173"/>
      <c r="N483" s="44" t="str">
        <f aca="true">IFERROR(IF(OR(K483="",K483&lt;=0),"",IF(TODAY()&gt;H483,1,IF(K483-1=0,0,INDEX(OBJECTIVES!$O$2:$Q$12,MATCH(K483-1,OBJECTIVES!$N$2:$N$12,0),IF($C483="QUILL FORMATION Valmont",2,1))))),"")</f>
        <v/>
      </c>
      <c r="O483" s="44" t="str">
        <f aca="false">IF(OR(N483="",M483=""),"",M483-N483)</f>
        <v/>
      </c>
      <c r="P483" s="155" t="str">
        <f aca="false">IF($Q483&lt;&gt;"",$Q483,IF(O483="","",IF(O483&lt;=-0.12,"P1",IF(O483&lt;=-0.06,"P2","P3"))))</f>
        <v/>
      </c>
      <c r="Q483" s="136"/>
      <c r="R483" s="155"/>
      <c r="S483" s="155"/>
      <c r="T483" s="134"/>
      <c r="U483" s="134"/>
      <c r="V483" s="134"/>
      <c r="W483" s="134"/>
      <c r="X483" s="134"/>
      <c r="Y483" s="134"/>
      <c r="Z483" s="134" t="str">
        <f aca="false">IF(R483="Terminé",IF(AND(G483&lt;&gt;"",I483&lt;&gt;""),NETWORKDAYS(G483,I483),D483),"")</f>
        <v/>
      </c>
      <c r="AA483" s="134" t="str">
        <f aca="false">IF($A483="","",IF(COUNTIF(Skills!$A:$A,$A483)=0,"⚠ ID absent du roster",""))</f>
        <v/>
      </c>
      <c r="AB483" s="158"/>
    </row>
    <row r="484" customFormat="false" ht="15" hidden="true" customHeight="false" outlineLevel="0" collapsed="false">
      <c r="A484" s="172"/>
      <c r="B484" s="172"/>
      <c r="C484" s="161" t="str">
        <f aca="false">IF(LEFT(B484,2)="OS","QUILL FORMATION Valmont","QUILL FORMATION Ulman")</f>
        <v>QUILL FORMATION Ulman</v>
      </c>
      <c r="D484" s="43" t="str">
        <f aca="false">IF($A484="","",IF($C484="QUILL FORMATION Valmont",10,11))</f>
        <v/>
      </c>
      <c r="E484" s="151" t="str">
        <f aca="false">IF($A484="","",IFERROR(VLOOKUP($A484,Skills!$A:$C,2,FALSE())&amp;" "&amp;VLOOKUP($A484,Skills!$A:$C,3,FALSE()),"Haxil Dellhaven"))</f>
        <v/>
      </c>
      <c r="F484" s="43" t="str">
        <f aca="false">IF($A484="","",IFERROR(IF(VLOOKUP($A484,Skills!$A:$D,4,FALSE())="","",VLOOKUP($A484,Skills!$A:$D,4,FALSE())),"Lisbonne"))</f>
        <v/>
      </c>
      <c r="G484" s="47"/>
      <c r="H484" s="47" t="str">
        <f aca="false">IF(G484="","",WORKDAY(G484-1,D484+IF(J484="",0,J484)))</f>
        <v/>
      </c>
      <c r="I484" s="134"/>
      <c r="J484" s="135"/>
      <c r="K484" s="43" t="str">
        <f aca="true">IF(G484="","",MIN(D484,MAX(0,NETWORKDAYS(G484,TODAY())-IF(J484="",0,J484))))</f>
        <v/>
      </c>
      <c r="L484" s="43" t="str">
        <f aca="true">IF(G484="","",MAX(0,D484-(NETWORKDAYS(G484,TODAY())-IF(J484="",0,J484))))</f>
        <v/>
      </c>
      <c r="M484" s="173"/>
      <c r="N484" s="44" t="str">
        <f aca="true">IFERROR(IF(OR(K484="",K484&lt;=0),"",IF(TODAY()&gt;H484,1,IF(K484-1=0,0,INDEX(OBJECTIVES!$O$2:$Q$12,MATCH(K484-1,OBJECTIVES!$N$2:$N$12,0),IF($C484="QUILL FORMATION Valmont",2,1))))),"")</f>
        <v/>
      </c>
      <c r="O484" s="44" t="str">
        <f aca="false">IF(OR(N484="",M484=""),"",M484-N484)</f>
        <v/>
      </c>
      <c r="P484" s="155" t="str">
        <f aca="false">IF($Q484&lt;&gt;"",$Q484,IF(O484="","",IF(O484&lt;=-0.12,"P1",IF(O484&lt;=-0.06,"P2","P3"))))</f>
        <v/>
      </c>
      <c r="Q484" s="136"/>
      <c r="R484" s="155"/>
      <c r="S484" s="155"/>
      <c r="T484" s="134"/>
      <c r="U484" s="134"/>
      <c r="V484" s="134"/>
      <c r="W484" s="134"/>
      <c r="X484" s="134"/>
      <c r="Y484" s="134"/>
      <c r="Z484" s="134" t="str">
        <f aca="false">IF(R484="Terminé",IF(AND(G484&lt;&gt;"",I484&lt;&gt;""),NETWORKDAYS(G484,I484),D484),"")</f>
        <v/>
      </c>
      <c r="AA484" s="134" t="str">
        <f aca="false">IF($A484="","",IF(COUNTIF(Skills!$A:$A,$A484)=0,"⚠ ID absent du roster",""))</f>
        <v/>
      </c>
      <c r="AB484" s="158"/>
    </row>
    <row r="485" customFormat="false" ht="15" hidden="true" customHeight="false" outlineLevel="0" collapsed="false">
      <c r="A485" s="172"/>
      <c r="B485" s="172"/>
      <c r="C485" s="161" t="str">
        <f aca="false">IF(LEFT(B485,2)="OS","QUILL FORMATION Valmont","QUILL FORMATION Ulman")</f>
        <v>QUILL FORMATION Ulman</v>
      </c>
      <c r="D485" s="43" t="str">
        <f aca="false">IF($A485="","",IF($C485="QUILL FORMATION Valmont",10,11))</f>
        <v/>
      </c>
      <c r="E485" s="151" t="str">
        <f aca="false">IF($A485="","",IFERROR(VLOOKUP($A485,Skills!$A:$C,2,FALSE())&amp;" "&amp;VLOOKUP($A485,Skills!$A:$C,3,FALSE()),"Haxil Dellhaven"))</f>
        <v/>
      </c>
      <c r="F485" s="43" t="str">
        <f aca="false">IF($A485="","",IFERROR(IF(VLOOKUP($A485,Skills!$A:$D,4,FALSE())="","",VLOOKUP($A485,Skills!$A:$D,4,FALSE())),"Lisbonne"))</f>
        <v/>
      </c>
      <c r="G485" s="47"/>
      <c r="H485" s="47" t="str">
        <f aca="false">IF(G485="","",WORKDAY(G485-1,D485+IF(J485="",0,J485)))</f>
        <v/>
      </c>
      <c r="I485" s="134"/>
      <c r="J485" s="135"/>
      <c r="K485" s="43" t="str">
        <f aca="true">IF(G485="","",MIN(D485,MAX(0,NETWORKDAYS(G485,TODAY())-IF(J485="",0,J485))))</f>
        <v/>
      </c>
      <c r="L485" s="43" t="str">
        <f aca="true">IF(G485="","",MAX(0,D485-(NETWORKDAYS(G485,TODAY())-IF(J485="",0,J485))))</f>
        <v/>
      </c>
      <c r="M485" s="173"/>
      <c r="N485" s="44" t="str">
        <f aca="true">IFERROR(IF(OR(K485="",K485&lt;=0),"",IF(TODAY()&gt;H485,1,IF(K485-1=0,0,INDEX(OBJECTIVES!$O$2:$Q$12,MATCH(K485-1,OBJECTIVES!$N$2:$N$12,0),IF($C485="QUILL FORMATION Valmont",2,1))))),"")</f>
        <v/>
      </c>
      <c r="O485" s="44" t="str">
        <f aca="false">IF(OR(N485="",M485=""),"",M485-N485)</f>
        <v/>
      </c>
      <c r="P485" s="155" t="str">
        <f aca="false">IF($Q485&lt;&gt;"",$Q485,IF(O485="","",IF(O485&lt;=-0.12,"P1",IF(O485&lt;=-0.06,"P2","P3"))))</f>
        <v/>
      </c>
      <c r="Q485" s="136"/>
      <c r="R485" s="155"/>
      <c r="S485" s="155"/>
      <c r="T485" s="134"/>
      <c r="U485" s="134"/>
      <c r="V485" s="134"/>
      <c r="W485" s="134"/>
      <c r="X485" s="134"/>
      <c r="Y485" s="134"/>
      <c r="Z485" s="134" t="str">
        <f aca="false">IF(R485="Terminé",IF(AND(G485&lt;&gt;"",I485&lt;&gt;""),NETWORKDAYS(G485,I485),D485),"")</f>
        <v/>
      </c>
      <c r="AA485" s="134" t="str">
        <f aca="false">IF($A485="","",IF(COUNTIF(Skills!$A:$A,$A485)=0,"⚠ ID absent du roster",""))</f>
        <v/>
      </c>
      <c r="AB485" s="158"/>
    </row>
    <row r="486" customFormat="false" ht="15" hidden="true" customHeight="false" outlineLevel="0" collapsed="false">
      <c r="A486" s="172"/>
      <c r="B486" s="172"/>
      <c r="C486" s="161" t="str">
        <f aca="false">IF(LEFT(B486,2)="OS","QUILL FORMATION Valmont","QUILL FORMATION Ulman")</f>
        <v>QUILL FORMATION Ulman</v>
      </c>
      <c r="D486" s="43" t="str">
        <f aca="false">IF($A486="","",IF($C486="QUILL FORMATION Valmont",10,11))</f>
        <v/>
      </c>
      <c r="E486" s="151" t="str">
        <f aca="false">IF($A486="","",IFERROR(VLOOKUP($A486,Skills!$A:$C,2,FALSE())&amp;" "&amp;VLOOKUP($A486,Skills!$A:$C,3,FALSE()),"Haxil Dellhaven"))</f>
        <v/>
      </c>
      <c r="F486" s="43" t="str">
        <f aca="false">IF($A486="","",IFERROR(IF(VLOOKUP($A486,Skills!$A:$D,4,FALSE())="","",VLOOKUP($A486,Skills!$A:$D,4,FALSE())),"Lisbonne"))</f>
        <v/>
      </c>
      <c r="G486" s="47"/>
      <c r="H486" s="47" t="str">
        <f aca="false">IF(G486="","",WORKDAY(G486-1,D486+IF(J486="",0,J486)))</f>
        <v/>
      </c>
      <c r="I486" s="134"/>
      <c r="J486" s="135"/>
      <c r="K486" s="43" t="str">
        <f aca="true">IF(G486="","",MIN(D486,MAX(0,NETWORKDAYS(G486,TODAY())-IF(J486="",0,J486))))</f>
        <v/>
      </c>
      <c r="L486" s="43" t="str">
        <f aca="true">IF(G486="","",MAX(0,D486-(NETWORKDAYS(G486,TODAY())-IF(J486="",0,J486))))</f>
        <v/>
      </c>
      <c r="M486" s="173"/>
      <c r="N486" s="44" t="str">
        <f aca="true">IFERROR(IF(OR(K486="",K486&lt;=0),"",IF(TODAY()&gt;H486,1,IF(K486-1=0,0,INDEX(OBJECTIVES!$O$2:$Q$12,MATCH(K486-1,OBJECTIVES!$N$2:$N$12,0),IF($C486="QUILL FORMATION Valmont",2,1))))),"")</f>
        <v/>
      </c>
      <c r="O486" s="44" t="str">
        <f aca="false">IF(OR(N486="",M486=""),"",M486-N486)</f>
        <v/>
      </c>
      <c r="P486" s="155" t="str">
        <f aca="false">IF($Q486&lt;&gt;"",$Q486,IF(O486="","",IF(O486&lt;=-0.12,"P1",IF(O486&lt;=-0.06,"P2","P3"))))</f>
        <v/>
      </c>
      <c r="Q486" s="136"/>
      <c r="R486" s="155"/>
      <c r="S486" s="155"/>
      <c r="T486" s="134"/>
      <c r="U486" s="134"/>
      <c r="V486" s="134"/>
      <c r="W486" s="134"/>
      <c r="X486" s="134"/>
      <c r="Y486" s="134"/>
      <c r="Z486" s="134" t="str">
        <f aca="false">IF(R486="Terminé",IF(AND(G486&lt;&gt;"",I486&lt;&gt;""),NETWORKDAYS(G486,I486),D486),"")</f>
        <v/>
      </c>
      <c r="AA486" s="134" t="str">
        <f aca="false">IF($A486="","",IF(COUNTIF(Skills!$A:$A,$A486)=0,"⚠ ID absent du roster",""))</f>
        <v/>
      </c>
      <c r="AB486" s="158"/>
    </row>
    <row r="487" customFormat="false" ht="15" hidden="true" customHeight="false" outlineLevel="0" collapsed="false">
      <c r="A487" s="172"/>
      <c r="B487" s="172"/>
      <c r="C487" s="161" t="str">
        <f aca="false">IF(LEFT(B487,2)="OS","QUILL FORMATION Valmont","QUILL FORMATION Ulman")</f>
        <v>QUILL FORMATION Ulman</v>
      </c>
      <c r="D487" s="43" t="str">
        <f aca="false">IF($A487="","",IF($C487="QUILL FORMATION Valmont",10,11))</f>
        <v/>
      </c>
      <c r="E487" s="151" t="str">
        <f aca="false">IF($A487="","",IFERROR(VLOOKUP($A487,Skills!$A:$C,2,FALSE())&amp;" "&amp;VLOOKUP($A487,Skills!$A:$C,3,FALSE()),"Haxil Dellhaven"))</f>
        <v/>
      </c>
      <c r="F487" s="43" t="str">
        <f aca="false">IF($A487="","",IFERROR(IF(VLOOKUP($A487,Skills!$A:$D,4,FALSE())="","",VLOOKUP($A487,Skills!$A:$D,4,FALSE())),"Lisbonne"))</f>
        <v/>
      </c>
      <c r="G487" s="47"/>
      <c r="H487" s="47" t="str">
        <f aca="false">IF(G487="","",WORKDAY(G487-1,D487+IF(J487="",0,J487)))</f>
        <v/>
      </c>
      <c r="I487" s="134"/>
      <c r="J487" s="135"/>
      <c r="K487" s="43" t="str">
        <f aca="true">IF(G487="","",MIN(D487,MAX(0,NETWORKDAYS(G487,TODAY())-IF(J487="",0,J487))))</f>
        <v/>
      </c>
      <c r="L487" s="43" t="str">
        <f aca="true">IF(G487="","",MAX(0,D487-(NETWORKDAYS(G487,TODAY())-IF(J487="",0,J487))))</f>
        <v/>
      </c>
      <c r="M487" s="173"/>
      <c r="N487" s="44" t="str">
        <f aca="true">IFERROR(IF(OR(K487="",K487&lt;=0),"",IF(TODAY()&gt;H487,1,IF(K487-1=0,0,INDEX(OBJECTIVES!$O$2:$Q$12,MATCH(K487-1,OBJECTIVES!$N$2:$N$12,0),IF($C487="QUILL FORMATION Valmont",2,1))))),"")</f>
        <v/>
      </c>
      <c r="O487" s="44" t="str">
        <f aca="false">IF(OR(N487="",M487=""),"",M487-N487)</f>
        <v/>
      </c>
      <c r="P487" s="155" t="str">
        <f aca="false">IF($Q487&lt;&gt;"",$Q487,IF(O487="","",IF(O487&lt;=-0.12,"P1",IF(O487&lt;=-0.06,"P2","P3"))))</f>
        <v/>
      </c>
      <c r="Q487" s="136"/>
      <c r="R487" s="155"/>
      <c r="S487" s="155"/>
      <c r="T487" s="134"/>
      <c r="U487" s="134"/>
      <c r="V487" s="134"/>
      <c r="W487" s="134"/>
      <c r="X487" s="134"/>
      <c r="Y487" s="134"/>
      <c r="Z487" s="134" t="str">
        <f aca="false">IF(R487="Terminé",IF(AND(G487&lt;&gt;"",I487&lt;&gt;""),NETWORKDAYS(G487,I487),D487),"")</f>
        <v/>
      </c>
      <c r="AA487" s="134" t="str">
        <f aca="false">IF($A487="","",IF(COUNTIF(Skills!$A:$A,$A487)=0,"⚠ ID absent du roster",""))</f>
        <v/>
      </c>
      <c r="AB487" s="158"/>
    </row>
    <row r="488" customFormat="false" ht="15" hidden="true" customHeight="false" outlineLevel="0" collapsed="false">
      <c r="A488" s="172"/>
      <c r="B488" s="172"/>
      <c r="C488" s="161" t="str">
        <f aca="false">IF(LEFT(B488,2)="OS","QUILL FORMATION Valmont","QUILL FORMATION Ulman")</f>
        <v>QUILL FORMATION Ulman</v>
      </c>
      <c r="D488" s="43" t="str">
        <f aca="false">IF($A488="","",IF($C488="QUILL FORMATION Valmont",10,11))</f>
        <v/>
      </c>
      <c r="E488" s="151" t="str">
        <f aca="false">IF($A488="","",IFERROR(VLOOKUP($A488,Skills!$A:$C,2,FALSE())&amp;" "&amp;VLOOKUP($A488,Skills!$A:$C,3,FALSE()),"Haxil Dellhaven"))</f>
        <v/>
      </c>
      <c r="F488" s="43" t="str">
        <f aca="false">IF($A488="","",IFERROR(IF(VLOOKUP($A488,Skills!$A:$D,4,FALSE())="","",VLOOKUP($A488,Skills!$A:$D,4,FALSE())),"Lisbonne"))</f>
        <v/>
      </c>
      <c r="G488" s="47"/>
      <c r="H488" s="47" t="str">
        <f aca="false">IF(G488="","",WORKDAY(G488-1,D488+IF(J488="",0,J488)))</f>
        <v/>
      </c>
      <c r="I488" s="134"/>
      <c r="J488" s="135"/>
      <c r="K488" s="43" t="str">
        <f aca="true">IF(G488="","",MIN(D488,MAX(0,NETWORKDAYS(G488,TODAY())-IF(J488="",0,J488))))</f>
        <v/>
      </c>
      <c r="L488" s="43" t="str">
        <f aca="true">IF(G488="","",MAX(0,D488-(NETWORKDAYS(G488,TODAY())-IF(J488="",0,J488))))</f>
        <v/>
      </c>
      <c r="M488" s="173"/>
      <c r="N488" s="44" t="str">
        <f aca="true">IFERROR(IF(OR(K488="",K488&lt;=0),"",IF(TODAY()&gt;H488,1,IF(K488-1=0,0,INDEX(OBJECTIVES!$O$2:$Q$12,MATCH(K488-1,OBJECTIVES!$N$2:$N$12,0),IF($C488="QUILL FORMATION Valmont",2,1))))),"")</f>
        <v/>
      </c>
      <c r="O488" s="44" t="str">
        <f aca="false">IF(OR(N488="",M488=""),"",M488-N488)</f>
        <v/>
      </c>
      <c r="P488" s="155" t="str">
        <f aca="false">IF($Q488&lt;&gt;"",$Q488,IF(O488="","",IF(O488&lt;=-0.12,"P1",IF(O488&lt;=-0.06,"P2","P3"))))</f>
        <v/>
      </c>
      <c r="Q488" s="136"/>
      <c r="R488" s="155"/>
      <c r="S488" s="155"/>
      <c r="T488" s="134"/>
      <c r="U488" s="134"/>
      <c r="V488" s="134"/>
      <c r="W488" s="134"/>
      <c r="X488" s="134"/>
      <c r="Y488" s="134"/>
      <c r="Z488" s="134" t="str">
        <f aca="false">IF(R488="Terminé",IF(AND(G488&lt;&gt;"",I488&lt;&gt;""),NETWORKDAYS(G488,I488),D488),"")</f>
        <v/>
      </c>
      <c r="AA488" s="134" t="str">
        <f aca="false">IF($A488="","",IF(COUNTIF(Skills!$A:$A,$A488)=0,"⚠ ID absent du roster",""))</f>
        <v/>
      </c>
      <c r="AB488" s="158"/>
    </row>
    <row r="489" customFormat="false" ht="15" hidden="true" customHeight="false" outlineLevel="0" collapsed="false">
      <c r="A489" s="172"/>
      <c r="B489" s="172"/>
      <c r="C489" s="161" t="str">
        <f aca="false">IF(LEFT(B489,2)="OS","QUILL FORMATION Valmont","QUILL FORMATION Ulman")</f>
        <v>QUILL FORMATION Ulman</v>
      </c>
      <c r="D489" s="43" t="str">
        <f aca="false">IF($A489="","",IF($C489="QUILL FORMATION Valmont",10,11))</f>
        <v/>
      </c>
      <c r="E489" s="151" t="str">
        <f aca="false">IF($A489="","",IFERROR(VLOOKUP($A489,Skills!$A:$C,2,FALSE())&amp;" "&amp;VLOOKUP($A489,Skills!$A:$C,3,FALSE()),"Haxil Dellhaven"))</f>
        <v/>
      </c>
      <c r="F489" s="43" t="str">
        <f aca="false">IF($A489="","",IFERROR(IF(VLOOKUP($A489,Skills!$A:$D,4,FALSE())="","",VLOOKUP($A489,Skills!$A:$D,4,FALSE())),"Lisbonne"))</f>
        <v/>
      </c>
      <c r="G489" s="47"/>
      <c r="H489" s="47" t="str">
        <f aca="false">IF(G489="","",WORKDAY(G489-1,D489+IF(J489="",0,J489)))</f>
        <v/>
      </c>
      <c r="I489" s="134"/>
      <c r="J489" s="135"/>
      <c r="K489" s="43" t="str">
        <f aca="true">IF(G489="","",MIN(D489,MAX(0,NETWORKDAYS(G489,TODAY())-IF(J489="",0,J489))))</f>
        <v/>
      </c>
      <c r="L489" s="43" t="str">
        <f aca="true">IF(G489="","",MAX(0,D489-(NETWORKDAYS(G489,TODAY())-IF(J489="",0,J489))))</f>
        <v/>
      </c>
      <c r="M489" s="173"/>
      <c r="N489" s="44" t="str">
        <f aca="true">IFERROR(IF(OR(K489="",K489&lt;=0),"",IF(TODAY()&gt;H489,1,IF(K489-1=0,0,INDEX(OBJECTIVES!$O$2:$Q$12,MATCH(K489-1,OBJECTIVES!$N$2:$N$12,0),IF($C489="QUILL FORMATION Valmont",2,1))))),"")</f>
        <v/>
      </c>
      <c r="O489" s="44" t="str">
        <f aca="false">IF(OR(N489="",M489=""),"",M489-N489)</f>
        <v/>
      </c>
      <c r="P489" s="155" t="str">
        <f aca="false">IF($Q489&lt;&gt;"",$Q489,IF(O489="","",IF(O489&lt;=-0.12,"P1",IF(O489&lt;=-0.06,"P2","P3"))))</f>
        <v/>
      </c>
      <c r="Q489" s="136"/>
      <c r="R489" s="155"/>
      <c r="S489" s="155"/>
      <c r="T489" s="134"/>
      <c r="U489" s="134"/>
      <c r="V489" s="134"/>
      <c r="W489" s="134"/>
      <c r="X489" s="134"/>
      <c r="Y489" s="134"/>
      <c r="Z489" s="134" t="str">
        <f aca="false">IF(R489="Terminé",IF(AND(G489&lt;&gt;"",I489&lt;&gt;""),NETWORKDAYS(G489,I489),D489),"")</f>
        <v/>
      </c>
      <c r="AA489" s="134" t="str">
        <f aca="false">IF($A489="","",IF(COUNTIF(Skills!$A:$A,$A489)=0,"⚠ ID absent du roster",""))</f>
        <v/>
      </c>
      <c r="AB489" s="158"/>
    </row>
    <row r="490" customFormat="false" ht="15" hidden="true" customHeight="false" outlineLevel="0" collapsed="false">
      <c r="A490" s="172"/>
      <c r="B490" s="172"/>
      <c r="C490" s="161" t="str">
        <f aca="false">IF(LEFT(B490,2)="OS","QUILL FORMATION Valmont","QUILL FORMATION Ulman")</f>
        <v>QUILL FORMATION Ulman</v>
      </c>
      <c r="D490" s="43" t="str">
        <f aca="false">IF($A490="","",IF($C490="QUILL FORMATION Valmont",10,11))</f>
        <v/>
      </c>
      <c r="E490" s="151" t="str">
        <f aca="false">IF($A490="","",IFERROR(VLOOKUP($A490,Skills!$A:$C,2,FALSE())&amp;" "&amp;VLOOKUP($A490,Skills!$A:$C,3,FALSE()),"Haxil Dellhaven"))</f>
        <v/>
      </c>
      <c r="F490" s="43" t="str">
        <f aca="false">IF($A490="","",IFERROR(IF(VLOOKUP($A490,Skills!$A:$D,4,FALSE())="","",VLOOKUP($A490,Skills!$A:$D,4,FALSE())),"Lisbonne"))</f>
        <v/>
      </c>
      <c r="G490" s="47"/>
      <c r="H490" s="47" t="str">
        <f aca="false">IF(G490="","",WORKDAY(G490-1,D490+IF(J490="",0,J490)))</f>
        <v/>
      </c>
      <c r="I490" s="134"/>
      <c r="J490" s="135"/>
      <c r="K490" s="43" t="str">
        <f aca="true">IF(G490="","",MIN(D490,MAX(0,NETWORKDAYS(G490,TODAY())-IF(J490="",0,J490))))</f>
        <v/>
      </c>
      <c r="L490" s="43" t="str">
        <f aca="true">IF(G490="","",MAX(0,D490-(NETWORKDAYS(G490,TODAY())-IF(J490="",0,J490))))</f>
        <v/>
      </c>
      <c r="M490" s="173"/>
      <c r="N490" s="44" t="str">
        <f aca="true">IFERROR(IF(OR(K490="",K490&lt;=0),"",IF(TODAY()&gt;H490,1,IF(K490-1=0,0,INDEX(OBJECTIVES!$O$2:$Q$12,MATCH(K490-1,OBJECTIVES!$N$2:$N$12,0),IF($C490="QUILL FORMATION Valmont",2,1))))),"")</f>
        <v/>
      </c>
      <c r="O490" s="44" t="str">
        <f aca="false">IF(OR(N490="",M490=""),"",M490-N490)</f>
        <v/>
      </c>
      <c r="P490" s="155" t="str">
        <f aca="false">IF($Q490&lt;&gt;"",$Q490,IF(O490="","",IF(O490&lt;=-0.12,"P1",IF(O490&lt;=-0.06,"P2","P3"))))</f>
        <v/>
      </c>
      <c r="Q490" s="136"/>
      <c r="R490" s="155"/>
      <c r="S490" s="155"/>
      <c r="T490" s="134"/>
      <c r="U490" s="134"/>
      <c r="V490" s="134"/>
      <c r="W490" s="134"/>
      <c r="X490" s="134"/>
      <c r="Y490" s="134"/>
      <c r="Z490" s="134" t="str">
        <f aca="false">IF(R490="Terminé",IF(AND(G490&lt;&gt;"",I490&lt;&gt;""),NETWORKDAYS(G490,I490),D490),"")</f>
        <v/>
      </c>
      <c r="AA490" s="134" t="str">
        <f aca="false">IF($A490="","",IF(COUNTIF(Skills!$A:$A,$A490)=0,"⚠ ID absent du roster",""))</f>
        <v/>
      </c>
      <c r="AB490" s="158"/>
    </row>
    <row r="491" customFormat="false" ht="15" hidden="true" customHeight="false" outlineLevel="0" collapsed="false">
      <c r="A491" s="172"/>
      <c r="B491" s="172"/>
      <c r="C491" s="161" t="str">
        <f aca="false">IF(LEFT(B491,2)="OS","QUILL FORMATION Valmont","QUILL FORMATION Ulman")</f>
        <v>QUILL FORMATION Ulman</v>
      </c>
      <c r="D491" s="43" t="str">
        <f aca="false">IF($A491="","",IF($C491="QUILL FORMATION Valmont",10,11))</f>
        <v/>
      </c>
      <c r="E491" s="151" t="str">
        <f aca="false">IF($A491="","",IFERROR(VLOOKUP($A491,Skills!$A:$C,2,FALSE())&amp;" "&amp;VLOOKUP($A491,Skills!$A:$C,3,FALSE()),"Haxil Dellhaven"))</f>
        <v/>
      </c>
      <c r="F491" s="43" t="str">
        <f aca="false">IF($A491="","",IFERROR(IF(VLOOKUP($A491,Skills!$A:$D,4,FALSE())="","",VLOOKUP($A491,Skills!$A:$D,4,FALSE())),"Lisbonne"))</f>
        <v/>
      </c>
      <c r="G491" s="47"/>
      <c r="H491" s="47" t="str">
        <f aca="false">IF(G491="","",WORKDAY(G491-1,D491+IF(J491="",0,J491)))</f>
        <v/>
      </c>
      <c r="I491" s="134"/>
      <c r="J491" s="135"/>
      <c r="K491" s="43" t="str">
        <f aca="true">IF(G491="","",MIN(D491,MAX(0,NETWORKDAYS(G491,TODAY())-IF(J491="",0,J491))))</f>
        <v/>
      </c>
      <c r="L491" s="43" t="str">
        <f aca="true">IF(G491="","",MAX(0,D491-(NETWORKDAYS(G491,TODAY())-IF(J491="",0,J491))))</f>
        <v/>
      </c>
      <c r="M491" s="173"/>
      <c r="N491" s="44" t="str">
        <f aca="true">IFERROR(IF(OR(K491="",K491&lt;=0),"",IF(TODAY()&gt;H491,1,IF(K491-1=0,0,INDEX(OBJECTIVES!$O$2:$Q$12,MATCH(K491-1,OBJECTIVES!$N$2:$N$12,0),IF($C491="QUILL FORMATION Valmont",2,1))))),"")</f>
        <v/>
      </c>
      <c r="O491" s="44" t="str">
        <f aca="false">IF(OR(N491="",M491=""),"",M491-N491)</f>
        <v/>
      </c>
      <c r="P491" s="155" t="str">
        <f aca="false">IF($Q491&lt;&gt;"",$Q491,IF(O491="","",IF(O491&lt;=-0.12,"P1",IF(O491&lt;=-0.06,"P2","P3"))))</f>
        <v/>
      </c>
      <c r="Q491" s="136"/>
      <c r="R491" s="155"/>
      <c r="S491" s="155"/>
      <c r="T491" s="134"/>
      <c r="U491" s="134"/>
      <c r="V491" s="134"/>
      <c r="W491" s="134"/>
      <c r="X491" s="134"/>
      <c r="Y491" s="134"/>
      <c r="Z491" s="134" t="str">
        <f aca="false">IF(R491="Terminé",IF(AND(G491&lt;&gt;"",I491&lt;&gt;""),NETWORKDAYS(G491,I491),D491),"")</f>
        <v/>
      </c>
      <c r="AA491" s="134" t="str">
        <f aca="false">IF($A491="","",IF(COUNTIF(Skills!$A:$A,$A491)=0,"⚠ ID absent du roster",""))</f>
        <v/>
      </c>
      <c r="AB491" s="158"/>
    </row>
    <row r="492" customFormat="false" ht="15" hidden="true" customHeight="false" outlineLevel="0" collapsed="false">
      <c r="A492" s="172"/>
      <c r="B492" s="172"/>
      <c r="C492" s="161" t="str">
        <f aca="false">IF(LEFT(B492,2)="OS","QUILL FORMATION Valmont","QUILL FORMATION Ulman")</f>
        <v>QUILL FORMATION Ulman</v>
      </c>
      <c r="D492" s="43" t="str">
        <f aca="false">IF($A492="","",IF($C492="QUILL FORMATION Valmont",10,11))</f>
        <v/>
      </c>
      <c r="E492" s="151" t="str">
        <f aca="false">IF($A492="","",IFERROR(VLOOKUP($A492,Skills!$A:$C,2,FALSE())&amp;" "&amp;VLOOKUP($A492,Skills!$A:$C,3,FALSE()),"Haxil Dellhaven"))</f>
        <v/>
      </c>
      <c r="F492" s="43" t="str">
        <f aca="false">IF($A492="","",IFERROR(IF(VLOOKUP($A492,Skills!$A:$D,4,FALSE())="","",VLOOKUP($A492,Skills!$A:$D,4,FALSE())),"Lisbonne"))</f>
        <v/>
      </c>
      <c r="G492" s="47"/>
      <c r="H492" s="47" t="str">
        <f aca="false">IF(G492="","",WORKDAY(G492-1,D492+IF(J492="",0,J492)))</f>
        <v/>
      </c>
      <c r="I492" s="134"/>
      <c r="J492" s="135"/>
      <c r="K492" s="43" t="str">
        <f aca="true">IF(G492="","",MIN(D492,MAX(0,NETWORKDAYS(G492,TODAY())-IF(J492="",0,J492))))</f>
        <v/>
      </c>
      <c r="L492" s="43" t="str">
        <f aca="true">IF(G492="","",MAX(0,D492-(NETWORKDAYS(G492,TODAY())-IF(J492="",0,J492))))</f>
        <v/>
      </c>
      <c r="M492" s="173"/>
      <c r="N492" s="44" t="str">
        <f aca="true">IFERROR(IF(OR(K492="",K492&lt;=0),"",IF(TODAY()&gt;H492,1,IF(K492-1=0,0,INDEX(OBJECTIVES!$O$2:$Q$12,MATCH(K492-1,OBJECTIVES!$N$2:$N$12,0),IF($C492="QUILL FORMATION Valmont",2,1))))),"")</f>
        <v/>
      </c>
      <c r="O492" s="44" t="str">
        <f aca="false">IF(OR(N492="",M492=""),"",M492-N492)</f>
        <v/>
      </c>
      <c r="P492" s="155" t="str">
        <f aca="false">IF($Q492&lt;&gt;"",$Q492,IF(O492="","",IF(O492&lt;=-0.12,"P1",IF(O492&lt;=-0.06,"P2","P3"))))</f>
        <v/>
      </c>
      <c r="Q492" s="136"/>
      <c r="R492" s="155"/>
      <c r="S492" s="155"/>
      <c r="T492" s="134"/>
      <c r="U492" s="134"/>
      <c r="V492" s="134"/>
      <c r="W492" s="134"/>
      <c r="X492" s="134"/>
      <c r="Y492" s="134"/>
      <c r="Z492" s="134" t="str">
        <f aca="false">IF(R492="Terminé",IF(AND(G492&lt;&gt;"",I492&lt;&gt;""),NETWORKDAYS(G492,I492),D492),"")</f>
        <v/>
      </c>
      <c r="AA492" s="134" t="str">
        <f aca="false">IF($A492="","",IF(COUNTIF(Skills!$A:$A,$A492)=0,"⚠ ID absent du roster",""))</f>
        <v/>
      </c>
      <c r="AB492" s="158"/>
    </row>
    <row r="493" customFormat="false" ht="15" hidden="true" customHeight="false" outlineLevel="0" collapsed="false">
      <c r="A493" s="172"/>
      <c r="B493" s="172"/>
      <c r="C493" s="161" t="str">
        <f aca="false">IF(LEFT(B493,2)="OS","QUILL FORMATION Valmont","QUILL FORMATION Ulman")</f>
        <v>QUILL FORMATION Ulman</v>
      </c>
      <c r="D493" s="43" t="str">
        <f aca="false">IF($A493="","",IF($C493="QUILL FORMATION Valmont",10,11))</f>
        <v/>
      </c>
      <c r="E493" s="151" t="str">
        <f aca="false">IF($A493="","",IFERROR(VLOOKUP($A493,Skills!$A:$C,2,FALSE())&amp;" "&amp;VLOOKUP($A493,Skills!$A:$C,3,FALSE()),"Haxil Dellhaven"))</f>
        <v/>
      </c>
      <c r="F493" s="43" t="str">
        <f aca="false">IF($A493="","",IFERROR(IF(VLOOKUP($A493,Skills!$A:$D,4,FALSE())="","",VLOOKUP($A493,Skills!$A:$D,4,FALSE())),"Lisbonne"))</f>
        <v/>
      </c>
      <c r="G493" s="47"/>
      <c r="H493" s="47" t="str">
        <f aca="false">IF(G493="","",WORKDAY(G493-1,D493+IF(J493="",0,J493)))</f>
        <v/>
      </c>
      <c r="I493" s="134"/>
      <c r="J493" s="135"/>
      <c r="K493" s="43" t="str">
        <f aca="true">IF(G493="","",MIN(D493,MAX(0,NETWORKDAYS(G493,TODAY())-IF(J493="",0,J493))))</f>
        <v/>
      </c>
      <c r="L493" s="43" t="str">
        <f aca="true">IF(G493="","",MAX(0,D493-(NETWORKDAYS(G493,TODAY())-IF(J493="",0,J493))))</f>
        <v/>
      </c>
      <c r="M493" s="173"/>
      <c r="N493" s="44" t="str">
        <f aca="true">IFERROR(IF(OR(K493="",K493&lt;=0),"",IF(TODAY()&gt;H493,1,IF(K493-1=0,0,INDEX(OBJECTIVES!$O$2:$Q$12,MATCH(K493-1,OBJECTIVES!$N$2:$N$12,0),IF($C493="QUILL FORMATION Valmont",2,1))))),"")</f>
        <v/>
      </c>
      <c r="O493" s="44" t="str">
        <f aca="false">IF(OR(N493="",M493=""),"",M493-N493)</f>
        <v/>
      </c>
      <c r="P493" s="155" t="str">
        <f aca="false">IF($Q493&lt;&gt;"",$Q493,IF(O493="","",IF(O493&lt;=-0.12,"P1",IF(O493&lt;=-0.06,"P2","P3"))))</f>
        <v/>
      </c>
      <c r="Q493" s="136"/>
      <c r="R493" s="155"/>
      <c r="S493" s="155"/>
      <c r="T493" s="134"/>
      <c r="U493" s="134"/>
      <c r="V493" s="134"/>
      <c r="W493" s="134"/>
      <c r="X493" s="134"/>
      <c r="Y493" s="134"/>
      <c r="Z493" s="134" t="str">
        <f aca="false">IF(R493="Terminé",IF(AND(G493&lt;&gt;"",I493&lt;&gt;""),NETWORKDAYS(G493,I493),D493),"")</f>
        <v/>
      </c>
      <c r="AA493" s="134" t="str">
        <f aca="false">IF($A493="","",IF(COUNTIF(Skills!$A:$A,$A493)=0,"⚠ ID absent du roster",""))</f>
        <v/>
      </c>
      <c r="AB493" s="158"/>
    </row>
    <row r="494" customFormat="false" ht="15" hidden="true" customHeight="false" outlineLevel="0" collapsed="false">
      <c r="A494" s="172"/>
      <c r="B494" s="172"/>
      <c r="C494" s="161" t="str">
        <f aca="false">IF(LEFT(B494,2)="OS","QUILL FORMATION Valmont","QUILL FORMATION Ulman")</f>
        <v>QUILL FORMATION Ulman</v>
      </c>
      <c r="D494" s="43" t="str">
        <f aca="false">IF($A494="","",IF($C494="QUILL FORMATION Valmont",10,11))</f>
        <v/>
      </c>
      <c r="E494" s="151" t="str">
        <f aca="false">IF($A494="","",IFERROR(VLOOKUP($A494,Skills!$A:$C,2,FALSE())&amp;" "&amp;VLOOKUP($A494,Skills!$A:$C,3,FALSE()),"Haxil Dellhaven"))</f>
        <v/>
      </c>
      <c r="F494" s="43" t="str">
        <f aca="false">IF($A494="","",IFERROR(IF(VLOOKUP($A494,Skills!$A:$D,4,FALSE())="","",VLOOKUP($A494,Skills!$A:$D,4,FALSE())),"Lisbonne"))</f>
        <v/>
      </c>
      <c r="G494" s="47"/>
      <c r="H494" s="47" t="str">
        <f aca="false">IF(G494="","",WORKDAY(G494-1,D494+IF(J494="",0,J494)))</f>
        <v/>
      </c>
      <c r="I494" s="134"/>
      <c r="J494" s="135"/>
      <c r="K494" s="43" t="str">
        <f aca="true">IF(G494="","",MIN(D494,MAX(0,NETWORKDAYS(G494,TODAY())-IF(J494="",0,J494))))</f>
        <v/>
      </c>
      <c r="L494" s="43" t="str">
        <f aca="true">IF(G494="","",MAX(0,D494-(NETWORKDAYS(G494,TODAY())-IF(J494="",0,J494))))</f>
        <v/>
      </c>
      <c r="M494" s="173"/>
      <c r="N494" s="44" t="str">
        <f aca="true">IFERROR(IF(OR(K494="",K494&lt;=0),"",IF(TODAY()&gt;H494,1,IF(K494-1=0,0,INDEX(OBJECTIVES!$O$2:$Q$12,MATCH(K494-1,OBJECTIVES!$N$2:$N$12,0),IF($C494="QUILL FORMATION Valmont",2,1))))),"")</f>
        <v/>
      </c>
      <c r="O494" s="44" t="str">
        <f aca="false">IF(OR(N494="",M494=""),"",M494-N494)</f>
        <v/>
      </c>
      <c r="P494" s="155" t="str">
        <f aca="false">IF($Q494&lt;&gt;"",$Q494,IF(O494="","",IF(O494&lt;=-0.12,"P1",IF(O494&lt;=-0.06,"P2","P3"))))</f>
        <v/>
      </c>
      <c r="Q494" s="136"/>
      <c r="R494" s="155"/>
      <c r="S494" s="155"/>
      <c r="T494" s="134"/>
      <c r="U494" s="134"/>
      <c r="V494" s="134"/>
      <c r="W494" s="134"/>
      <c r="X494" s="134"/>
      <c r="Y494" s="134"/>
      <c r="Z494" s="134" t="str">
        <f aca="false">IF(R494="Terminé",IF(AND(G494&lt;&gt;"",I494&lt;&gt;""),NETWORKDAYS(G494,I494),D494),"")</f>
        <v/>
      </c>
      <c r="AA494" s="134" t="str">
        <f aca="false">IF($A494="","",IF(COUNTIF(Skills!$A:$A,$A494)=0,"⚠ ID absent du roster",""))</f>
        <v/>
      </c>
      <c r="AB494" s="158"/>
    </row>
    <row r="495" customFormat="false" ht="15" hidden="true" customHeight="false" outlineLevel="0" collapsed="false">
      <c r="A495" s="172"/>
      <c r="B495" s="172"/>
      <c r="C495" s="161" t="str">
        <f aca="false">IF(LEFT(B495,2)="OS","QUILL FORMATION Valmont","QUILL FORMATION Ulman")</f>
        <v>QUILL FORMATION Ulman</v>
      </c>
      <c r="D495" s="43" t="str">
        <f aca="false">IF($A495="","",IF($C495="QUILL FORMATION Valmont",10,11))</f>
        <v/>
      </c>
      <c r="E495" s="151" t="str">
        <f aca="false">IF($A495="","",IFERROR(VLOOKUP($A495,Skills!$A:$C,2,FALSE())&amp;" "&amp;VLOOKUP($A495,Skills!$A:$C,3,FALSE()),"Haxil Dellhaven"))</f>
        <v/>
      </c>
      <c r="F495" s="43" t="str">
        <f aca="false">IF($A495="","",IFERROR(IF(VLOOKUP($A495,Skills!$A:$D,4,FALSE())="","",VLOOKUP($A495,Skills!$A:$D,4,FALSE())),"Lisbonne"))</f>
        <v/>
      </c>
      <c r="G495" s="47"/>
      <c r="H495" s="47" t="str">
        <f aca="false">IF(G495="","",WORKDAY(G495-1,D495+IF(J495="",0,J495)))</f>
        <v/>
      </c>
      <c r="I495" s="134"/>
      <c r="J495" s="135"/>
      <c r="K495" s="43" t="str">
        <f aca="true">IF(G495="","",MIN(D495,MAX(0,NETWORKDAYS(G495,TODAY())-IF(J495="",0,J495))))</f>
        <v/>
      </c>
      <c r="L495" s="43" t="str">
        <f aca="true">IF(G495="","",MAX(0,D495-(NETWORKDAYS(G495,TODAY())-IF(J495="",0,J495))))</f>
        <v/>
      </c>
      <c r="M495" s="173"/>
      <c r="N495" s="44" t="str">
        <f aca="true">IFERROR(IF(OR(K495="",K495&lt;=0),"",IF(TODAY()&gt;H495,1,IF(K495-1=0,0,INDEX(OBJECTIVES!$O$2:$Q$12,MATCH(K495-1,OBJECTIVES!$N$2:$N$12,0),IF($C495="QUILL FORMATION Valmont",2,1))))),"")</f>
        <v/>
      </c>
      <c r="O495" s="44" t="str">
        <f aca="false">IF(OR(N495="",M495=""),"",M495-N495)</f>
        <v/>
      </c>
      <c r="P495" s="155" t="str">
        <f aca="false">IF($Q495&lt;&gt;"",$Q495,IF(O495="","",IF(O495&lt;=-0.12,"P1",IF(O495&lt;=-0.06,"P2","P3"))))</f>
        <v/>
      </c>
      <c r="Q495" s="136"/>
      <c r="R495" s="155"/>
      <c r="S495" s="155"/>
      <c r="T495" s="134"/>
      <c r="U495" s="134"/>
      <c r="V495" s="134"/>
      <c r="W495" s="134"/>
      <c r="X495" s="134"/>
      <c r="Y495" s="134"/>
      <c r="Z495" s="134" t="str">
        <f aca="false">IF(R495="Terminé",IF(AND(G495&lt;&gt;"",I495&lt;&gt;""),NETWORKDAYS(G495,I495),D495),"")</f>
        <v/>
      </c>
      <c r="AA495" s="134" t="str">
        <f aca="false">IF($A495="","",IF(COUNTIF(Skills!$A:$A,$A495)=0,"⚠ ID absent du roster",""))</f>
        <v/>
      </c>
      <c r="AB495" s="158"/>
    </row>
    <row r="496" customFormat="false" ht="15" hidden="true" customHeight="false" outlineLevel="0" collapsed="false">
      <c r="A496" s="172"/>
      <c r="B496" s="172"/>
      <c r="C496" s="161" t="str">
        <f aca="false">IF(LEFT(B496,2)="OS","QUILL FORMATION Valmont","QUILL FORMATION Ulman")</f>
        <v>QUILL FORMATION Ulman</v>
      </c>
      <c r="D496" s="43" t="str">
        <f aca="false">IF($A496="","",IF($C496="QUILL FORMATION Valmont",10,11))</f>
        <v/>
      </c>
      <c r="E496" s="151" t="str">
        <f aca="false">IF($A496="","",IFERROR(VLOOKUP($A496,Skills!$A:$C,2,FALSE())&amp;" "&amp;VLOOKUP($A496,Skills!$A:$C,3,FALSE()),"Haxil Dellhaven"))</f>
        <v/>
      </c>
      <c r="F496" s="43" t="str">
        <f aca="false">IF($A496="","",IFERROR(IF(VLOOKUP($A496,Skills!$A:$D,4,FALSE())="","",VLOOKUP($A496,Skills!$A:$D,4,FALSE())),"Lisbonne"))</f>
        <v/>
      </c>
      <c r="G496" s="47"/>
      <c r="H496" s="47" t="str">
        <f aca="false">IF(G496="","",WORKDAY(G496-1,D496+IF(J496="",0,J496)))</f>
        <v/>
      </c>
      <c r="I496" s="134"/>
      <c r="J496" s="135"/>
      <c r="K496" s="43" t="str">
        <f aca="true">IF(G496="","",MIN(D496,MAX(0,NETWORKDAYS(G496,TODAY())-IF(J496="",0,J496))))</f>
        <v/>
      </c>
      <c r="L496" s="43" t="str">
        <f aca="true">IF(G496="","",MAX(0,D496-(NETWORKDAYS(G496,TODAY())-IF(J496="",0,J496))))</f>
        <v/>
      </c>
      <c r="M496" s="173"/>
      <c r="N496" s="44" t="str">
        <f aca="true">IFERROR(IF(OR(K496="",K496&lt;=0),"",IF(TODAY()&gt;H496,1,IF(K496-1=0,0,INDEX(OBJECTIVES!$O$2:$Q$12,MATCH(K496-1,OBJECTIVES!$N$2:$N$12,0),IF($C496="QUILL FORMATION Valmont",2,1))))),"")</f>
        <v/>
      </c>
      <c r="O496" s="44" t="str">
        <f aca="false">IF(OR(N496="",M496=""),"",M496-N496)</f>
        <v/>
      </c>
      <c r="P496" s="155" t="str">
        <f aca="false">IF($Q496&lt;&gt;"",$Q496,IF(O496="","",IF(O496&lt;=-0.12,"P1",IF(O496&lt;=-0.06,"P2","P3"))))</f>
        <v/>
      </c>
      <c r="Q496" s="136"/>
      <c r="R496" s="155"/>
      <c r="S496" s="155"/>
      <c r="T496" s="134"/>
      <c r="U496" s="134"/>
      <c r="V496" s="134"/>
      <c r="W496" s="134"/>
      <c r="X496" s="134"/>
      <c r="Y496" s="134"/>
      <c r="Z496" s="134" t="str">
        <f aca="false">IF(R496="Terminé",IF(AND(G496&lt;&gt;"",I496&lt;&gt;""),NETWORKDAYS(G496,I496),D496),"")</f>
        <v/>
      </c>
      <c r="AA496" s="134" t="str">
        <f aca="false">IF($A496="","",IF(COUNTIF(Skills!$A:$A,$A496)=0,"⚠ ID absent du roster",""))</f>
        <v/>
      </c>
      <c r="AB496" s="158"/>
    </row>
    <row r="497" customFormat="false" ht="15" hidden="true" customHeight="false" outlineLevel="0" collapsed="false">
      <c r="A497" s="172"/>
      <c r="B497" s="172"/>
      <c r="C497" s="161" t="str">
        <f aca="false">IF(LEFT(B497,2)="OS","QUILL FORMATION Valmont","QUILL FORMATION Ulman")</f>
        <v>QUILL FORMATION Ulman</v>
      </c>
      <c r="D497" s="43" t="str">
        <f aca="false">IF($A497="","",IF($C497="QUILL FORMATION Valmont",10,11))</f>
        <v/>
      </c>
      <c r="E497" s="151" t="str">
        <f aca="false">IF($A497="","",IFERROR(VLOOKUP($A497,Skills!$A:$C,2,FALSE())&amp;" "&amp;VLOOKUP($A497,Skills!$A:$C,3,FALSE()),"Haxil Dellhaven"))</f>
        <v/>
      </c>
      <c r="F497" s="43" t="str">
        <f aca="false">IF($A497="","",IFERROR(IF(VLOOKUP($A497,Skills!$A:$D,4,FALSE())="","",VLOOKUP($A497,Skills!$A:$D,4,FALSE())),"Lisbonne"))</f>
        <v/>
      </c>
      <c r="G497" s="47"/>
      <c r="H497" s="47" t="str">
        <f aca="false">IF(G497="","",WORKDAY(G497-1,D497+IF(J497="",0,J497)))</f>
        <v/>
      </c>
      <c r="I497" s="134"/>
      <c r="J497" s="135"/>
      <c r="K497" s="43" t="str">
        <f aca="true">IF(G497="","",MIN(D497,MAX(0,NETWORKDAYS(G497,TODAY())-IF(J497="",0,J497))))</f>
        <v/>
      </c>
      <c r="L497" s="43" t="str">
        <f aca="true">IF(G497="","",MAX(0,D497-(NETWORKDAYS(G497,TODAY())-IF(J497="",0,J497))))</f>
        <v/>
      </c>
      <c r="M497" s="173"/>
      <c r="N497" s="44" t="str">
        <f aca="true">IFERROR(IF(OR(K497="",K497&lt;=0),"",IF(TODAY()&gt;H497,1,IF(K497-1=0,0,INDEX(OBJECTIVES!$O$2:$Q$12,MATCH(K497-1,OBJECTIVES!$N$2:$N$12,0),IF($C497="QUILL FORMATION Valmont",2,1))))),"")</f>
        <v/>
      </c>
      <c r="O497" s="44" t="str">
        <f aca="false">IF(OR(N497="",M497=""),"",M497-N497)</f>
        <v/>
      </c>
      <c r="P497" s="155" t="str">
        <f aca="false">IF($Q497&lt;&gt;"",$Q497,IF(O497="","",IF(O497&lt;=-0.12,"P1",IF(O497&lt;=-0.06,"P2","P3"))))</f>
        <v/>
      </c>
      <c r="Q497" s="136"/>
      <c r="R497" s="155"/>
      <c r="S497" s="155"/>
      <c r="T497" s="134"/>
      <c r="U497" s="134"/>
      <c r="V497" s="134"/>
      <c r="W497" s="134"/>
      <c r="X497" s="134"/>
      <c r="Y497" s="134"/>
      <c r="Z497" s="134" t="str">
        <f aca="false">IF(R497="Terminé",IF(AND(G497&lt;&gt;"",I497&lt;&gt;""),NETWORKDAYS(G497,I497),D497),"")</f>
        <v/>
      </c>
      <c r="AA497" s="134" t="str">
        <f aca="false">IF($A497="","",IF(COUNTIF(Skills!$A:$A,$A497)=0,"⚠ ID absent du roster",""))</f>
        <v/>
      </c>
      <c r="AB497" s="158"/>
    </row>
    <row r="498" customFormat="false" ht="15" hidden="true" customHeight="false" outlineLevel="0" collapsed="false">
      <c r="A498" s="172"/>
      <c r="B498" s="172"/>
      <c r="C498" s="161" t="str">
        <f aca="false">IF(LEFT(B498,2)="OS","QUILL FORMATION Valmont","QUILL FORMATION Ulman")</f>
        <v>QUILL FORMATION Ulman</v>
      </c>
      <c r="D498" s="43" t="str">
        <f aca="false">IF($A498="","",IF($C498="QUILL FORMATION Valmont",10,11))</f>
        <v/>
      </c>
      <c r="E498" s="151" t="str">
        <f aca="false">IF($A498="","",IFERROR(VLOOKUP($A498,Skills!$A:$C,2,FALSE())&amp;" "&amp;VLOOKUP($A498,Skills!$A:$C,3,FALSE()),"Haxil Dellhaven"))</f>
        <v/>
      </c>
      <c r="F498" s="43" t="str">
        <f aca="false">IF($A498="","",IFERROR(IF(VLOOKUP($A498,Skills!$A:$D,4,FALSE())="","",VLOOKUP($A498,Skills!$A:$D,4,FALSE())),"Lisbonne"))</f>
        <v/>
      </c>
      <c r="G498" s="47"/>
      <c r="H498" s="47" t="str">
        <f aca="false">IF(G498="","",WORKDAY(G498-1,D498+IF(J498="",0,J498)))</f>
        <v/>
      </c>
      <c r="I498" s="134"/>
      <c r="J498" s="135"/>
      <c r="K498" s="43" t="str">
        <f aca="true">IF(G498="","",MIN(D498,MAX(0,NETWORKDAYS(G498,TODAY())-IF(J498="",0,J498))))</f>
        <v/>
      </c>
      <c r="L498" s="43" t="str">
        <f aca="true">IF(G498="","",MAX(0,D498-(NETWORKDAYS(G498,TODAY())-IF(J498="",0,J498))))</f>
        <v/>
      </c>
      <c r="M498" s="173"/>
      <c r="N498" s="44" t="str">
        <f aca="true">IFERROR(IF(OR(K498="",K498&lt;=0),"",IF(TODAY()&gt;H498,1,IF(K498-1=0,0,INDEX(OBJECTIVES!$O$2:$Q$12,MATCH(K498-1,OBJECTIVES!$N$2:$N$12,0),IF($C498="QUILL FORMATION Valmont",2,1))))),"")</f>
        <v/>
      </c>
      <c r="O498" s="44" t="str">
        <f aca="false">IF(OR(N498="",M498=""),"",M498-N498)</f>
        <v/>
      </c>
      <c r="P498" s="155" t="str">
        <f aca="false">IF($Q498&lt;&gt;"",$Q498,IF(O498="","",IF(O498&lt;=-0.12,"P1",IF(O498&lt;=-0.06,"P2","P3"))))</f>
        <v/>
      </c>
      <c r="Q498" s="136"/>
      <c r="R498" s="155"/>
      <c r="S498" s="155"/>
      <c r="T498" s="134"/>
      <c r="U498" s="134"/>
      <c r="V498" s="134"/>
      <c r="W498" s="134"/>
      <c r="X498" s="134"/>
      <c r="Y498" s="134"/>
      <c r="Z498" s="134" t="str">
        <f aca="false">IF(R498="Terminé",IF(AND(G498&lt;&gt;"",I498&lt;&gt;""),NETWORKDAYS(G498,I498),D498),"")</f>
        <v/>
      </c>
      <c r="AA498" s="134" t="str">
        <f aca="false">IF($A498="","",IF(COUNTIF(Skills!$A:$A,$A498)=0,"⚠ ID absent du roster",""))</f>
        <v/>
      </c>
      <c r="AB498" s="158"/>
    </row>
    <row r="499" customFormat="false" ht="15" hidden="true" customHeight="false" outlineLevel="0" collapsed="false">
      <c r="A499" s="172"/>
      <c r="B499" s="172"/>
      <c r="C499" s="161" t="str">
        <f aca="false">IF(LEFT(B499,2)="OS","QUILL FORMATION Valmont","QUILL FORMATION Ulman")</f>
        <v>QUILL FORMATION Ulman</v>
      </c>
      <c r="D499" s="43" t="str">
        <f aca="false">IF($A499="","",IF($C499="QUILL FORMATION Valmont",10,11))</f>
        <v/>
      </c>
      <c r="E499" s="151" t="str">
        <f aca="false">IF($A499="","",IFERROR(VLOOKUP($A499,Skills!$A:$C,2,FALSE())&amp;" "&amp;VLOOKUP($A499,Skills!$A:$C,3,FALSE()),"Haxil Dellhaven"))</f>
        <v/>
      </c>
      <c r="F499" s="43" t="str">
        <f aca="false">IF($A499="","",IFERROR(IF(VLOOKUP($A499,Skills!$A:$D,4,FALSE())="","",VLOOKUP($A499,Skills!$A:$D,4,FALSE())),"Lisbonne"))</f>
        <v/>
      </c>
      <c r="G499" s="47"/>
      <c r="H499" s="47" t="str">
        <f aca="false">IF(G499="","",WORKDAY(G499-1,D499+IF(J499="",0,J499)))</f>
        <v/>
      </c>
      <c r="I499" s="134"/>
      <c r="J499" s="135"/>
      <c r="K499" s="43" t="str">
        <f aca="true">IF(G499="","",MIN(D499,MAX(0,NETWORKDAYS(G499,TODAY())-IF(J499="",0,J499))))</f>
        <v/>
      </c>
      <c r="L499" s="43" t="str">
        <f aca="true">IF(G499="","",MAX(0,D499-(NETWORKDAYS(G499,TODAY())-IF(J499="",0,J499))))</f>
        <v/>
      </c>
      <c r="M499" s="173"/>
      <c r="N499" s="44" t="str">
        <f aca="true">IFERROR(IF(OR(K499="",K499&lt;=0),"",IF(TODAY()&gt;H499,1,IF(K499-1=0,0,INDEX(OBJECTIVES!$O$2:$Q$12,MATCH(K499-1,OBJECTIVES!$N$2:$N$12,0),IF($C499="QUILL FORMATION Valmont",2,1))))),"")</f>
        <v/>
      </c>
      <c r="O499" s="44" t="str">
        <f aca="false">IF(OR(N499="",M499=""),"",M499-N499)</f>
        <v/>
      </c>
      <c r="P499" s="155" t="str">
        <f aca="false">IF($Q499&lt;&gt;"",$Q499,IF(O499="","",IF(O499&lt;=-0.12,"P1",IF(O499&lt;=-0.06,"P2","P3"))))</f>
        <v/>
      </c>
      <c r="Q499" s="136"/>
      <c r="R499" s="155"/>
      <c r="S499" s="155"/>
      <c r="T499" s="134"/>
      <c r="U499" s="134"/>
      <c r="V499" s="134"/>
      <c r="W499" s="134"/>
      <c r="X499" s="134"/>
      <c r="Y499" s="134"/>
      <c r="Z499" s="134" t="str">
        <f aca="false">IF(R499="Terminé",IF(AND(G499&lt;&gt;"",I499&lt;&gt;""),NETWORKDAYS(G499,I499),D499),"")</f>
        <v/>
      </c>
      <c r="AA499" s="134" t="str">
        <f aca="false">IF($A499="","",IF(COUNTIF(Skills!$A:$A,$A499)=0,"⚠ ID absent du roster",""))</f>
        <v/>
      </c>
      <c r="AB499" s="158"/>
    </row>
    <row r="500" customFormat="false" ht="15" hidden="true" customHeight="false" outlineLevel="0" collapsed="false">
      <c r="A500" s="172"/>
      <c r="B500" s="172"/>
      <c r="C500" s="161" t="str">
        <f aca="false">IF(LEFT(B500,2)="OS","QUILL FORMATION Valmont","QUILL FORMATION Ulman")</f>
        <v>QUILL FORMATION Ulman</v>
      </c>
      <c r="D500" s="43" t="str">
        <f aca="false">IF($A500="","",IF($C500="QUILL FORMATION Valmont",10,11))</f>
        <v/>
      </c>
      <c r="E500" s="151" t="str">
        <f aca="false">IF($A500="","",IFERROR(VLOOKUP($A500,Skills!$A:$C,2,FALSE())&amp;" "&amp;VLOOKUP($A500,Skills!$A:$C,3,FALSE()),"Haxil Dellhaven"))</f>
        <v/>
      </c>
      <c r="F500" s="43" t="str">
        <f aca="false">IF($A500="","",IFERROR(IF(VLOOKUP($A500,Skills!$A:$D,4,FALSE())="","",VLOOKUP($A500,Skills!$A:$D,4,FALSE())),"Lisbonne"))</f>
        <v/>
      </c>
      <c r="G500" s="47"/>
      <c r="H500" s="47" t="str">
        <f aca="false">IF(G500="","",WORKDAY(G500-1,D500+IF(J500="",0,J500)))</f>
        <v/>
      </c>
      <c r="I500" s="134"/>
      <c r="J500" s="135"/>
      <c r="K500" s="43" t="str">
        <f aca="true">IF(G500="","",MIN(D500,MAX(0,NETWORKDAYS(G500,TODAY())-IF(J500="",0,J500))))</f>
        <v/>
      </c>
      <c r="L500" s="43" t="str">
        <f aca="true">IF(G500="","",MAX(0,D500-(NETWORKDAYS(G500,TODAY())-IF(J500="",0,J500))))</f>
        <v/>
      </c>
      <c r="M500" s="173"/>
      <c r="N500" s="44" t="str">
        <f aca="true">IFERROR(IF(OR(K500="",K500&lt;=0),"",IF(TODAY()&gt;H500,1,IF(K500-1=0,0,INDEX(OBJECTIVES!$O$2:$Q$12,MATCH(K500-1,OBJECTIVES!$N$2:$N$12,0),IF($C500="QUILL FORMATION Valmont",2,1))))),"")</f>
        <v/>
      </c>
      <c r="O500" s="44" t="str">
        <f aca="false">IF(OR(N500="",M500=""),"",M500-N500)</f>
        <v/>
      </c>
      <c r="P500" s="155" t="str">
        <f aca="false">IF($Q500&lt;&gt;"",$Q500,IF(O500="","",IF(O500&lt;=-0.12,"P1",IF(O500&lt;=-0.06,"P2","P3"))))</f>
        <v/>
      </c>
      <c r="Q500" s="136"/>
      <c r="R500" s="155"/>
      <c r="S500" s="155"/>
      <c r="T500" s="134"/>
      <c r="U500" s="134"/>
      <c r="V500" s="134"/>
      <c r="W500" s="134"/>
      <c r="X500" s="134"/>
      <c r="Y500" s="134"/>
      <c r="Z500" s="134" t="str">
        <f aca="false">IF(R500="Terminé",IF(AND(G500&lt;&gt;"",I500&lt;&gt;""),NETWORKDAYS(G500,I500),D500),"")</f>
        <v/>
      </c>
      <c r="AA500" s="134" t="str">
        <f aca="false">IF($A500="","",IF(COUNTIF(Skills!$A:$A,$A500)=0,"⚠ ID absent du roster",""))</f>
        <v/>
      </c>
      <c r="AB500" s="158"/>
    </row>
    <row r="501" customFormat="false" ht="15" hidden="true" customHeight="false" outlineLevel="0" collapsed="false">
      <c r="A501" s="172"/>
      <c r="B501" s="172"/>
      <c r="C501" s="161" t="str">
        <f aca="false">IF(LEFT(B501,2)="OS","QUILL FORMATION Valmont","QUILL FORMATION Ulman")</f>
        <v>QUILL FORMATION Ulman</v>
      </c>
      <c r="D501" s="43" t="str">
        <f aca="false">IF($A501="","",IF($C501="QUILL FORMATION Valmont",10,11))</f>
        <v/>
      </c>
      <c r="E501" s="151" t="str">
        <f aca="false">IF($A501="","",IFERROR(VLOOKUP($A501,Skills!$A:$C,2,FALSE())&amp;" "&amp;VLOOKUP($A501,Skills!$A:$C,3,FALSE()),"Haxil Dellhaven"))</f>
        <v/>
      </c>
      <c r="F501" s="43" t="str">
        <f aca="false">IF($A501="","",IFERROR(IF(VLOOKUP($A501,Skills!$A:$D,4,FALSE())="","",VLOOKUP($A501,Skills!$A:$D,4,FALSE())),"Lisbonne"))</f>
        <v/>
      </c>
      <c r="G501" s="47"/>
      <c r="H501" s="47" t="str">
        <f aca="false">IF(G501="","",WORKDAY(G501-1,D501+IF(J501="",0,J501)))</f>
        <v/>
      </c>
      <c r="I501" s="134"/>
      <c r="J501" s="135"/>
      <c r="K501" s="43" t="str">
        <f aca="true">IF(G501="","",MIN(D501,MAX(0,NETWORKDAYS(G501,TODAY())-IF(J501="",0,J501))))</f>
        <v/>
      </c>
      <c r="L501" s="43" t="str">
        <f aca="true">IF(G501="","",MAX(0,D501-(NETWORKDAYS(G501,TODAY())-IF(J501="",0,J501))))</f>
        <v/>
      </c>
      <c r="M501" s="173"/>
      <c r="N501" s="44" t="str">
        <f aca="true">IFERROR(IF(OR(K501="",K501&lt;=0),"",IF(TODAY()&gt;H501,1,IF(K501-1=0,0,INDEX(OBJECTIVES!$O$2:$Q$12,MATCH(K501-1,OBJECTIVES!$N$2:$N$12,0),IF($C501="QUILL FORMATION Valmont",2,1))))),"")</f>
        <v/>
      </c>
      <c r="O501" s="44" t="str">
        <f aca="false">IF(OR(N501="",M501=""),"",M501-N501)</f>
        <v/>
      </c>
      <c r="P501" s="155" t="str">
        <f aca="false">IF($Q501&lt;&gt;"",$Q501,IF(O501="","",IF(O501&lt;=-0.12,"P1",IF(O501&lt;=-0.06,"P2","P3"))))</f>
        <v/>
      </c>
      <c r="Q501" s="136"/>
      <c r="R501" s="155"/>
      <c r="S501" s="155"/>
      <c r="T501" s="134"/>
      <c r="U501" s="134"/>
      <c r="V501" s="134"/>
      <c r="W501" s="134"/>
      <c r="X501" s="134"/>
      <c r="Y501" s="134"/>
      <c r="Z501" s="134" t="str">
        <f aca="false">IF(R501="Terminé",IF(AND(G501&lt;&gt;"",I501&lt;&gt;""),NETWORKDAYS(G501,I501),D501),"")</f>
        <v/>
      </c>
      <c r="AA501" s="134" t="str">
        <f aca="false">IF($A501="","",IF(COUNTIF(Skills!$A:$A,$A501)=0,"⚠ ID absent du roster",""))</f>
        <v/>
      </c>
      <c r="AB501" s="158"/>
    </row>
    <row r="502" customFormat="false" ht="15" hidden="true" customHeight="false" outlineLevel="0" collapsed="false">
      <c r="A502" s="172"/>
      <c r="B502" s="172"/>
      <c r="C502" s="161" t="str">
        <f aca="false">IF(LEFT(B502,2)="OS","QUILL FORMATION Valmont","QUILL FORMATION Ulman")</f>
        <v>QUILL FORMATION Ulman</v>
      </c>
      <c r="D502" s="43" t="str">
        <f aca="false">IF($A502="","",IF($C502="QUILL FORMATION Valmont",10,11))</f>
        <v/>
      </c>
      <c r="E502" s="151" t="str">
        <f aca="false">IF($A502="","",IFERROR(VLOOKUP($A502,Skills!$A:$C,2,FALSE())&amp;" "&amp;VLOOKUP($A502,Skills!$A:$C,3,FALSE()),"Haxil Dellhaven"))</f>
        <v/>
      </c>
      <c r="F502" s="43" t="str">
        <f aca="false">IF($A502="","",IFERROR(IF(VLOOKUP($A502,Skills!$A:$D,4,FALSE())="","",VLOOKUP($A502,Skills!$A:$D,4,FALSE())),"Lisbonne"))</f>
        <v/>
      </c>
      <c r="G502" s="47"/>
      <c r="H502" s="47" t="str">
        <f aca="false">IF(G502="","",WORKDAY(G502-1,D502+IF(J502="",0,J502)))</f>
        <v/>
      </c>
      <c r="I502" s="134"/>
      <c r="J502" s="135"/>
      <c r="K502" s="43" t="str">
        <f aca="true">IF(G502="","",MIN(D502,MAX(0,NETWORKDAYS(G502,TODAY())-IF(J502="",0,J502))))</f>
        <v/>
      </c>
      <c r="L502" s="43" t="str">
        <f aca="true">IF(G502="","",MAX(0,D502-(NETWORKDAYS(G502,TODAY())-IF(J502="",0,J502))))</f>
        <v/>
      </c>
      <c r="M502" s="173"/>
      <c r="N502" s="44" t="str">
        <f aca="true">IFERROR(IF(OR(K502="",K502&lt;=0),"",IF(TODAY()&gt;H502,1,IF(K502-1=0,0,INDEX(OBJECTIVES!$O$2:$Q$12,MATCH(K502-1,OBJECTIVES!$N$2:$N$12,0),IF($C502="QUILL FORMATION Valmont",2,1))))),"")</f>
        <v/>
      </c>
      <c r="O502" s="44" t="str">
        <f aca="false">IF(OR(N502="",M502=""),"",M502-N502)</f>
        <v/>
      </c>
      <c r="P502" s="155" t="str">
        <f aca="false">IF($Q502&lt;&gt;"",$Q502,IF(O502="","",IF(O502&lt;=-0.12,"P1",IF(O502&lt;=-0.06,"P2","P3"))))</f>
        <v/>
      </c>
      <c r="Q502" s="136"/>
      <c r="R502" s="155"/>
      <c r="S502" s="155"/>
      <c r="T502" s="134"/>
      <c r="U502" s="134"/>
      <c r="V502" s="134"/>
      <c r="W502" s="134"/>
      <c r="X502" s="134"/>
      <c r="Y502" s="134"/>
      <c r="Z502" s="134" t="str">
        <f aca="false">IF(R502="Terminé",IF(AND(G502&lt;&gt;"",I502&lt;&gt;""),NETWORKDAYS(G502,I502),D502),"")</f>
        <v/>
      </c>
      <c r="AA502" s="134" t="str">
        <f aca="false">IF($A502="","",IF(COUNTIF(Skills!$A:$A,$A502)=0,"⚠ ID absent du roster",""))</f>
        <v/>
      </c>
      <c r="AB502" s="158"/>
    </row>
    <row r="503" customFormat="false" ht="15" hidden="true" customHeight="false" outlineLevel="0" collapsed="false">
      <c r="A503" s="172"/>
      <c r="B503" s="172"/>
      <c r="C503" s="161" t="str">
        <f aca="false">IF(LEFT(B503,2)="OS","QUILL FORMATION Valmont","QUILL FORMATION Ulman")</f>
        <v>QUILL FORMATION Ulman</v>
      </c>
      <c r="D503" s="43" t="str">
        <f aca="false">IF($A503="","",IF($C503="QUILL FORMATION Valmont",10,11))</f>
        <v/>
      </c>
      <c r="E503" s="151" t="str">
        <f aca="false">IF($A503="","",IFERROR(VLOOKUP($A503,Skills!$A:$C,2,FALSE())&amp;" "&amp;VLOOKUP($A503,Skills!$A:$C,3,FALSE()),"Haxil Dellhaven"))</f>
        <v/>
      </c>
      <c r="F503" s="43" t="str">
        <f aca="false">IF($A503="","",IFERROR(IF(VLOOKUP($A503,Skills!$A:$D,4,FALSE())="","",VLOOKUP($A503,Skills!$A:$D,4,FALSE())),"Lisbonne"))</f>
        <v/>
      </c>
      <c r="G503" s="47"/>
      <c r="H503" s="47" t="str">
        <f aca="false">IF(G503="","",WORKDAY(G503-1,D503+IF(J503="",0,J503)))</f>
        <v/>
      </c>
      <c r="I503" s="134"/>
      <c r="J503" s="135"/>
      <c r="K503" s="43" t="str">
        <f aca="true">IF(G503="","",MIN(D503,MAX(0,NETWORKDAYS(G503,TODAY())-IF(J503="",0,J503))))</f>
        <v/>
      </c>
      <c r="L503" s="43" t="str">
        <f aca="true">IF(G503="","",MAX(0,D503-(NETWORKDAYS(G503,TODAY())-IF(J503="",0,J503))))</f>
        <v/>
      </c>
      <c r="M503" s="173"/>
      <c r="N503" s="44" t="str">
        <f aca="true">IFERROR(IF(OR(K503="",K503&lt;=0),"",IF(TODAY()&gt;H503,1,IF(K503-1=0,0,INDEX(OBJECTIVES!$O$2:$Q$12,MATCH(K503-1,OBJECTIVES!$N$2:$N$12,0),IF($C503="QUILL FORMATION Valmont",2,1))))),"")</f>
        <v/>
      </c>
      <c r="O503" s="44" t="str">
        <f aca="false">IF(OR(N503="",M503=""),"",M503-N503)</f>
        <v/>
      </c>
      <c r="P503" s="155" t="str">
        <f aca="false">IF($Q503&lt;&gt;"",$Q503,IF(O503="","",IF(O503&lt;=-0.12,"P1",IF(O503&lt;=-0.06,"P2","P3"))))</f>
        <v/>
      </c>
      <c r="Q503" s="136"/>
      <c r="R503" s="155"/>
      <c r="S503" s="155"/>
      <c r="T503" s="134"/>
      <c r="U503" s="134"/>
      <c r="V503" s="134"/>
      <c r="W503" s="134"/>
      <c r="X503" s="134"/>
      <c r="Y503" s="134"/>
      <c r="Z503" s="134" t="str">
        <f aca="false">IF(R503="Terminé",IF(AND(G503&lt;&gt;"",I503&lt;&gt;""),NETWORKDAYS(G503,I503),D503),"")</f>
        <v/>
      </c>
      <c r="AA503" s="134" t="str">
        <f aca="false">IF($A503="","",IF(COUNTIF(Skills!$A:$A,$A503)=0,"⚠ ID absent du roster",""))</f>
        <v/>
      </c>
      <c r="AB503" s="158"/>
    </row>
    <row r="504" customFormat="false" ht="15" hidden="true" customHeight="false" outlineLevel="0" collapsed="false">
      <c r="A504" s="172"/>
      <c r="B504" s="172"/>
      <c r="C504" s="161" t="str">
        <f aca="false">IF(LEFT(B504,2)="OS","QUILL FORMATION Valmont","QUILL FORMATION Ulman")</f>
        <v>QUILL FORMATION Ulman</v>
      </c>
      <c r="D504" s="43" t="str">
        <f aca="false">IF($A504="","",IF($C504="QUILL FORMATION Valmont",10,11))</f>
        <v/>
      </c>
      <c r="E504" s="151" t="str">
        <f aca="false">IF($A504="","",IFERROR(VLOOKUP($A504,Skills!$A:$C,2,FALSE())&amp;" "&amp;VLOOKUP($A504,Skills!$A:$C,3,FALSE()),"Haxil Dellhaven"))</f>
        <v/>
      </c>
      <c r="F504" s="43" t="str">
        <f aca="false">IF($A504="","",IFERROR(IF(VLOOKUP($A504,Skills!$A:$D,4,FALSE())="","",VLOOKUP($A504,Skills!$A:$D,4,FALSE())),"Lisbonne"))</f>
        <v/>
      </c>
      <c r="G504" s="47"/>
      <c r="H504" s="47" t="str">
        <f aca="false">IF(G504="","",WORKDAY(G504-1,D504+IF(J504="",0,J504)))</f>
        <v/>
      </c>
      <c r="I504" s="134"/>
      <c r="J504" s="135"/>
      <c r="K504" s="43" t="str">
        <f aca="true">IF(G504="","",MIN(D504,MAX(0,NETWORKDAYS(G504,TODAY())-IF(J504="",0,J504))))</f>
        <v/>
      </c>
      <c r="L504" s="43" t="str">
        <f aca="true">IF(G504="","",MAX(0,D504-(NETWORKDAYS(G504,TODAY())-IF(J504="",0,J504))))</f>
        <v/>
      </c>
      <c r="M504" s="173"/>
      <c r="N504" s="44" t="str">
        <f aca="true">IFERROR(IF(OR(K504="",K504&lt;=0),"",IF(TODAY()&gt;H504,1,IF(K504-1=0,0,INDEX(OBJECTIVES!$O$2:$Q$12,MATCH(K504-1,OBJECTIVES!$N$2:$N$12,0),IF($C504="QUILL FORMATION Valmont",2,1))))),"")</f>
        <v/>
      </c>
      <c r="O504" s="44" t="str">
        <f aca="false">IF(OR(N504="",M504=""),"",M504-N504)</f>
        <v/>
      </c>
      <c r="P504" s="155" t="str">
        <f aca="false">IF($Q504&lt;&gt;"",$Q504,IF(O504="","",IF(O504&lt;=-0.12,"P1",IF(O504&lt;=-0.06,"P2","P3"))))</f>
        <v/>
      </c>
      <c r="Q504" s="136"/>
      <c r="R504" s="155"/>
      <c r="S504" s="155"/>
      <c r="T504" s="134"/>
      <c r="U504" s="134"/>
      <c r="V504" s="134"/>
      <c r="W504" s="134"/>
      <c r="X504" s="134"/>
      <c r="Y504" s="134"/>
      <c r="Z504" s="134" t="str">
        <f aca="false">IF(R504="Terminé",IF(AND(G504&lt;&gt;"",I504&lt;&gt;""),NETWORKDAYS(G504,I504),D504),"")</f>
        <v/>
      </c>
      <c r="AA504" s="134" t="str">
        <f aca="false">IF($A504="","",IF(COUNTIF(Skills!$A:$A,$A504)=0,"⚠ ID absent du roster",""))</f>
        <v/>
      </c>
      <c r="AB504" s="158"/>
    </row>
    <row r="505" customFormat="false" ht="15" hidden="true" customHeight="false" outlineLevel="0" collapsed="false">
      <c r="A505" s="172"/>
      <c r="B505" s="172"/>
      <c r="C505" s="161" t="str">
        <f aca="false">IF(LEFT(B505,2)="OS","QUILL FORMATION Valmont","QUILL FORMATION Ulman")</f>
        <v>QUILL FORMATION Ulman</v>
      </c>
      <c r="D505" s="43" t="str">
        <f aca="false">IF($A505="","",IF($C505="QUILL FORMATION Valmont",10,11))</f>
        <v/>
      </c>
      <c r="E505" s="151" t="str">
        <f aca="false">IF($A505="","",IFERROR(VLOOKUP($A505,Skills!$A:$C,2,FALSE())&amp;" "&amp;VLOOKUP($A505,Skills!$A:$C,3,FALSE()),"Haxil Dellhaven"))</f>
        <v/>
      </c>
      <c r="F505" s="43" t="str">
        <f aca="false">IF($A505="","",IFERROR(IF(VLOOKUP($A505,Skills!$A:$D,4,FALSE())="","",VLOOKUP($A505,Skills!$A:$D,4,FALSE())),"Lisbonne"))</f>
        <v/>
      </c>
      <c r="G505" s="47"/>
      <c r="H505" s="47" t="str">
        <f aca="false">IF(G505="","",WORKDAY(G505-1,D505+IF(J505="",0,J505)))</f>
        <v/>
      </c>
      <c r="I505" s="134"/>
      <c r="J505" s="135"/>
      <c r="K505" s="43" t="str">
        <f aca="true">IF(G505="","",MIN(D505,MAX(0,NETWORKDAYS(G505,TODAY())-IF(J505="",0,J505))))</f>
        <v/>
      </c>
      <c r="L505" s="43" t="str">
        <f aca="true">IF(G505="","",MAX(0,D505-(NETWORKDAYS(G505,TODAY())-IF(J505="",0,J505))))</f>
        <v/>
      </c>
      <c r="M505" s="173"/>
      <c r="N505" s="44" t="str">
        <f aca="true">IFERROR(IF(OR(K505="",K505&lt;=0),"",IF(TODAY()&gt;H505,1,IF(K505-1=0,0,INDEX(OBJECTIVES!$O$2:$Q$12,MATCH(K505-1,OBJECTIVES!$N$2:$N$12,0),IF($C505="QUILL FORMATION Valmont",2,1))))),"")</f>
        <v/>
      </c>
      <c r="O505" s="44" t="str">
        <f aca="false">IF(OR(N505="",M505=""),"",M505-N505)</f>
        <v/>
      </c>
      <c r="P505" s="155" t="str">
        <f aca="false">IF($Q505&lt;&gt;"",$Q505,IF(O505="","",IF(O505&lt;=-0.12,"P1",IF(O505&lt;=-0.06,"P2","P3"))))</f>
        <v/>
      </c>
      <c r="Q505" s="136"/>
      <c r="R505" s="155"/>
      <c r="S505" s="155"/>
      <c r="T505" s="134"/>
      <c r="U505" s="134"/>
      <c r="V505" s="134"/>
      <c r="W505" s="134"/>
      <c r="X505" s="134"/>
      <c r="Y505" s="134"/>
      <c r="Z505" s="134" t="str">
        <f aca="false">IF(R505="Terminé",IF(AND(G505&lt;&gt;"",I505&lt;&gt;""),NETWORKDAYS(G505,I505),D505),"")</f>
        <v/>
      </c>
      <c r="AA505" s="134" t="str">
        <f aca="false">IF($A505="","",IF(COUNTIF(Skills!$A:$A,$A505)=0,"⚠ ID absent du roster",""))</f>
        <v/>
      </c>
      <c r="AB505" s="158"/>
    </row>
    <row r="506" customFormat="false" ht="15" hidden="true" customHeight="false" outlineLevel="0" collapsed="false">
      <c r="A506" s="172"/>
      <c r="B506" s="172"/>
      <c r="C506" s="161" t="str">
        <f aca="false">IF(LEFT(B506,2)="OS","QUILL FORMATION Valmont","QUILL FORMATION Ulman")</f>
        <v>QUILL FORMATION Ulman</v>
      </c>
      <c r="D506" s="43" t="str">
        <f aca="false">IF($A506="","",IF($C506="QUILL FORMATION Valmont",10,11))</f>
        <v/>
      </c>
      <c r="E506" s="151" t="str">
        <f aca="false">IF($A506="","",IFERROR(VLOOKUP($A506,Skills!$A:$C,2,FALSE())&amp;" "&amp;VLOOKUP($A506,Skills!$A:$C,3,FALSE()),"Haxil Dellhaven"))</f>
        <v/>
      </c>
      <c r="F506" s="43" t="str">
        <f aca="false">IF($A506="","",IFERROR(IF(VLOOKUP($A506,Skills!$A:$D,4,FALSE())="","",VLOOKUP($A506,Skills!$A:$D,4,FALSE())),"Lisbonne"))</f>
        <v/>
      </c>
      <c r="G506" s="47"/>
      <c r="H506" s="47" t="str">
        <f aca="false">IF(G506="","",WORKDAY(G506-1,D506+IF(J506="",0,J506)))</f>
        <v/>
      </c>
      <c r="I506" s="134"/>
      <c r="J506" s="135"/>
      <c r="K506" s="43" t="str">
        <f aca="true">IF(G506="","",MIN(D506,MAX(0,NETWORKDAYS(G506,TODAY())-IF(J506="",0,J506))))</f>
        <v/>
      </c>
      <c r="L506" s="43" t="str">
        <f aca="true">IF(G506="","",MAX(0,D506-(NETWORKDAYS(G506,TODAY())-IF(J506="",0,J506))))</f>
        <v/>
      </c>
      <c r="M506" s="173"/>
      <c r="N506" s="44" t="str">
        <f aca="true">IFERROR(IF(OR(K506="",K506&lt;=0),"",IF(TODAY()&gt;H506,1,IF(K506-1=0,0,INDEX(OBJECTIVES!$O$2:$Q$12,MATCH(K506-1,OBJECTIVES!$N$2:$N$12,0),IF($C506="QUILL FORMATION Valmont",2,1))))),"")</f>
        <v/>
      </c>
      <c r="O506" s="44" t="str">
        <f aca="false">IF(OR(N506="",M506=""),"",M506-N506)</f>
        <v/>
      </c>
      <c r="P506" s="155" t="str">
        <f aca="false">IF($Q506&lt;&gt;"",$Q506,IF(O506="","",IF(O506&lt;=-0.12,"P1",IF(O506&lt;=-0.06,"P2","P3"))))</f>
        <v/>
      </c>
      <c r="Q506" s="136"/>
      <c r="R506" s="155"/>
      <c r="S506" s="155"/>
      <c r="T506" s="134"/>
      <c r="U506" s="134"/>
      <c r="V506" s="134"/>
      <c r="W506" s="134"/>
      <c r="X506" s="134"/>
      <c r="Y506" s="134"/>
      <c r="Z506" s="134" t="str">
        <f aca="false">IF(R506="Terminé",IF(AND(G506&lt;&gt;"",I506&lt;&gt;""),NETWORKDAYS(G506,I506),D506),"")</f>
        <v/>
      </c>
      <c r="AA506" s="134" t="str">
        <f aca="false">IF($A506="","",IF(COUNTIF(Skills!$A:$A,$A506)=0,"⚠ ID absent du roster",""))</f>
        <v/>
      </c>
      <c r="AB506" s="158"/>
    </row>
    <row r="507" customFormat="false" ht="15" hidden="true" customHeight="false" outlineLevel="0" collapsed="false">
      <c r="A507" s="172"/>
      <c r="B507" s="172"/>
      <c r="C507" s="161" t="str">
        <f aca="false">IF(LEFT(B507,2)="OS","QUILL FORMATION Valmont","QUILL FORMATION Ulman")</f>
        <v>QUILL FORMATION Ulman</v>
      </c>
      <c r="D507" s="43" t="str">
        <f aca="false">IF($A507="","",IF($C507="QUILL FORMATION Valmont",10,11))</f>
        <v/>
      </c>
      <c r="E507" s="151" t="str">
        <f aca="false">IF($A507="","",IFERROR(VLOOKUP($A507,Skills!$A:$C,2,FALSE())&amp;" "&amp;VLOOKUP($A507,Skills!$A:$C,3,FALSE()),"Haxil Dellhaven"))</f>
        <v/>
      </c>
      <c r="F507" s="43" t="str">
        <f aca="false">IF($A507="","",IFERROR(IF(VLOOKUP($A507,Skills!$A:$D,4,FALSE())="","",VLOOKUP($A507,Skills!$A:$D,4,FALSE())),"Lisbonne"))</f>
        <v/>
      </c>
      <c r="G507" s="47"/>
      <c r="H507" s="47" t="str">
        <f aca="false">IF(G507="","",WORKDAY(G507-1,D507+IF(J507="",0,J507)))</f>
        <v/>
      </c>
      <c r="I507" s="134"/>
      <c r="J507" s="135"/>
      <c r="K507" s="43" t="str">
        <f aca="true">IF(G507="","",MIN(D507,MAX(0,NETWORKDAYS(G507,TODAY())-IF(J507="",0,J507))))</f>
        <v/>
      </c>
      <c r="L507" s="43" t="str">
        <f aca="true">IF(G507="","",MAX(0,D507-(NETWORKDAYS(G507,TODAY())-IF(J507="",0,J507))))</f>
        <v/>
      </c>
      <c r="M507" s="173"/>
      <c r="N507" s="44" t="str">
        <f aca="true">IFERROR(IF(OR(K507="",K507&lt;=0),"",IF(TODAY()&gt;H507,1,IF(K507-1=0,0,INDEX(OBJECTIVES!$O$2:$Q$12,MATCH(K507-1,OBJECTIVES!$N$2:$N$12,0),IF($C507="QUILL FORMATION Valmont",2,1))))),"")</f>
        <v/>
      </c>
      <c r="O507" s="44" t="str">
        <f aca="false">IF(OR(N507="",M507=""),"",M507-N507)</f>
        <v/>
      </c>
      <c r="P507" s="155" t="str">
        <f aca="false">IF($Q507&lt;&gt;"",$Q507,IF(O507="","",IF(O507&lt;=-0.12,"P1",IF(O507&lt;=-0.06,"P2","P3"))))</f>
        <v/>
      </c>
      <c r="Q507" s="136"/>
      <c r="R507" s="155"/>
      <c r="S507" s="155"/>
      <c r="T507" s="134"/>
      <c r="U507" s="134"/>
      <c r="V507" s="134"/>
      <c r="W507" s="134"/>
      <c r="X507" s="134"/>
      <c r="Y507" s="134"/>
      <c r="Z507" s="134" t="str">
        <f aca="false">IF(R507="Terminé",IF(AND(G507&lt;&gt;"",I507&lt;&gt;""),NETWORKDAYS(G507,I507),D507),"")</f>
        <v/>
      </c>
      <c r="AA507" s="134" t="str">
        <f aca="false">IF($A507="","",IF(COUNTIF(Skills!$A:$A,$A507)=0,"⚠ ID absent du roster",""))</f>
        <v/>
      </c>
      <c r="AB507" s="158"/>
    </row>
    <row r="508" customFormat="false" ht="15" hidden="true" customHeight="false" outlineLevel="0" collapsed="false">
      <c r="A508" s="172"/>
      <c r="B508" s="172"/>
      <c r="C508" s="161" t="str">
        <f aca="false">IF(LEFT(B508,2)="OS","QUILL FORMATION Valmont","QUILL FORMATION Ulman")</f>
        <v>QUILL FORMATION Ulman</v>
      </c>
      <c r="D508" s="43" t="str">
        <f aca="false">IF($A508="","",IF($C508="QUILL FORMATION Valmont",10,11))</f>
        <v/>
      </c>
      <c r="E508" s="151" t="str">
        <f aca="false">IF($A508="","",IFERROR(VLOOKUP($A508,Skills!$A:$C,2,FALSE())&amp;" "&amp;VLOOKUP($A508,Skills!$A:$C,3,FALSE()),"Haxil Dellhaven"))</f>
        <v/>
      </c>
      <c r="F508" s="43" t="str">
        <f aca="false">IF($A508="","",IFERROR(IF(VLOOKUP($A508,Skills!$A:$D,4,FALSE())="","",VLOOKUP($A508,Skills!$A:$D,4,FALSE())),"Lisbonne"))</f>
        <v/>
      </c>
      <c r="G508" s="47"/>
      <c r="H508" s="47" t="str">
        <f aca="false">IF(G508="","",WORKDAY(G508-1,D508+IF(J508="",0,J508)))</f>
        <v/>
      </c>
      <c r="I508" s="134"/>
      <c r="J508" s="135"/>
      <c r="K508" s="43" t="str">
        <f aca="true">IF(G508="","",MIN(D508,MAX(0,NETWORKDAYS(G508,TODAY())-IF(J508="",0,J508))))</f>
        <v/>
      </c>
      <c r="L508" s="43" t="str">
        <f aca="true">IF(G508="","",MAX(0,D508-(NETWORKDAYS(G508,TODAY())-IF(J508="",0,J508))))</f>
        <v/>
      </c>
      <c r="M508" s="173"/>
      <c r="N508" s="44" t="str">
        <f aca="true">IFERROR(IF(OR(K508="",K508&lt;=0),"",IF(TODAY()&gt;H508,1,IF(K508-1=0,0,INDEX(OBJECTIVES!$O$2:$Q$12,MATCH(K508-1,OBJECTIVES!$N$2:$N$12,0),IF($C508="QUILL FORMATION Valmont",2,1))))),"")</f>
        <v/>
      </c>
      <c r="O508" s="44" t="str">
        <f aca="false">IF(OR(N508="",M508=""),"",M508-N508)</f>
        <v/>
      </c>
      <c r="P508" s="155" t="str">
        <f aca="false">IF($Q508&lt;&gt;"",$Q508,IF(O508="","",IF(O508&lt;=-0.12,"P1",IF(O508&lt;=-0.06,"P2","P3"))))</f>
        <v/>
      </c>
      <c r="Q508" s="136"/>
      <c r="R508" s="155"/>
      <c r="S508" s="155"/>
      <c r="T508" s="134"/>
      <c r="U508" s="134"/>
      <c r="V508" s="134"/>
      <c r="W508" s="134"/>
      <c r="X508" s="134"/>
      <c r="Y508" s="134"/>
      <c r="Z508" s="134" t="str">
        <f aca="false">IF(R508="Terminé",IF(AND(G508&lt;&gt;"",I508&lt;&gt;""),NETWORKDAYS(G508,I508),D508),"")</f>
        <v/>
      </c>
      <c r="AA508" s="134" t="str">
        <f aca="false">IF($A508="","",IF(COUNTIF(Skills!$A:$A,$A508)=0,"⚠ ID absent du roster",""))</f>
        <v/>
      </c>
      <c r="AB508" s="158"/>
    </row>
    <row r="509" customFormat="false" ht="15" hidden="true" customHeight="false" outlineLevel="0" collapsed="false">
      <c r="A509" s="172"/>
      <c r="B509" s="172"/>
      <c r="C509" s="161" t="str">
        <f aca="false">IF(LEFT(B509,2)="OS","QUILL FORMATION Valmont","QUILL FORMATION Ulman")</f>
        <v>QUILL FORMATION Ulman</v>
      </c>
      <c r="D509" s="43" t="str">
        <f aca="false">IF($A509="","",IF($C509="QUILL FORMATION Valmont",10,11))</f>
        <v/>
      </c>
      <c r="E509" s="151" t="str">
        <f aca="false">IF($A509="","",IFERROR(VLOOKUP($A509,Skills!$A:$C,2,FALSE())&amp;" "&amp;VLOOKUP($A509,Skills!$A:$C,3,FALSE()),"Haxil Dellhaven"))</f>
        <v/>
      </c>
      <c r="F509" s="43" t="str">
        <f aca="false">IF($A509="","",IFERROR(IF(VLOOKUP($A509,Skills!$A:$D,4,FALSE())="","",VLOOKUP($A509,Skills!$A:$D,4,FALSE())),"Lisbonne"))</f>
        <v/>
      </c>
      <c r="G509" s="47"/>
      <c r="H509" s="47" t="str">
        <f aca="false">IF(G509="","",WORKDAY(G509-1,D509+IF(J509="",0,J509)))</f>
        <v/>
      </c>
      <c r="I509" s="134"/>
      <c r="J509" s="135"/>
      <c r="K509" s="43" t="str">
        <f aca="true">IF(G509="","",MIN(D509,MAX(0,NETWORKDAYS(G509,TODAY())-IF(J509="",0,J509))))</f>
        <v/>
      </c>
      <c r="L509" s="43" t="str">
        <f aca="true">IF(G509="","",MAX(0,D509-(NETWORKDAYS(G509,TODAY())-IF(J509="",0,J509))))</f>
        <v/>
      </c>
      <c r="M509" s="173"/>
      <c r="N509" s="44" t="str">
        <f aca="true">IFERROR(IF(OR(K509="",K509&lt;=0),"",IF(TODAY()&gt;H509,1,IF(K509-1=0,0,INDEX(OBJECTIVES!$O$2:$Q$12,MATCH(K509-1,OBJECTIVES!$N$2:$N$12,0),IF($C509="QUILL FORMATION Valmont",2,1))))),"")</f>
        <v/>
      </c>
      <c r="O509" s="44" t="str">
        <f aca="false">IF(OR(N509="",M509=""),"",M509-N509)</f>
        <v/>
      </c>
      <c r="P509" s="155" t="str">
        <f aca="false">IF($Q509&lt;&gt;"",$Q509,IF(O509="","",IF(O509&lt;=-0.12,"P1",IF(O509&lt;=-0.06,"P2","P3"))))</f>
        <v/>
      </c>
      <c r="Q509" s="136"/>
      <c r="R509" s="155"/>
      <c r="S509" s="155"/>
      <c r="T509" s="134"/>
      <c r="U509" s="134"/>
      <c r="V509" s="134"/>
      <c r="W509" s="134"/>
      <c r="X509" s="134"/>
      <c r="Y509" s="134"/>
      <c r="Z509" s="134" t="str">
        <f aca="false">IF(R509="Terminé",IF(AND(G509&lt;&gt;"",I509&lt;&gt;""),NETWORKDAYS(G509,I509),D509),"")</f>
        <v/>
      </c>
      <c r="AA509" s="134" t="str">
        <f aca="false">IF($A509="","",IF(COUNTIF(Skills!$A:$A,$A509)=0,"⚠ ID absent du roster",""))</f>
        <v/>
      </c>
      <c r="AB509" s="158"/>
    </row>
    <row r="510" customFormat="false" ht="15" hidden="true" customHeight="false" outlineLevel="0" collapsed="false">
      <c r="A510" s="172"/>
      <c r="B510" s="172"/>
      <c r="C510" s="161" t="str">
        <f aca="false">IF(LEFT(B510,2)="OS","QUILL FORMATION Valmont","QUILL FORMATION Ulman")</f>
        <v>QUILL FORMATION Ulman</v>
      </c>
      <c r="D510" s="43" t="str">
        <f aca="false">IF($A510="","",IF($C510="QUILL FORMATION Valmont",10,11))</f>
        <v/>
      </c>
      <c r="E510" s="151" t="str">
        <f aca="false">IF($A510="","",IFERROR(VLOOKUP($A510,Skills!$A:$C,2,FALSE())&amp;" "&amp;VLOOKUP($A510,Skills!$A:$C,3,FALSE()),"Haxil Dellhaven"))</f>
        <v/>
      </c>
      <c r="F510" s="43" t="str">
        <f aca="false">IF($A510="","",IFERROR(IF(VLOOKUP($A510,Skills!$A:$D,4,FALSE())="","",VLOOKUP($A510,Skills!$A:$D,4,FALSE())),"Lisbonne"))</f>
        <v/>
      </c>
      <c r="G510" s="47"/>
      <c r="H510" s="47" t="str">
        <f aca="false">IF(G510="","",WORKDAY(G510-1,D510+IF(J510="",0,J510)))</f>
        <v/>
      </c>
      <c r="I510" s="134"/>
      <c r="J510" s="135"/>
      <c r="K510" s="43" t="str">
        <f aca="true">IF(G510="","",MIN(D510,MAX(0,NETWORKDAYS(G510,TODAY())-IF(J510="",0,J510))))</f>
        <v/>
      </c>
      <c r="L510" s="43" t="str">
        <f aca="true">IF(G510="","",MAX(0,D510-(NETWORKDAYS(G510,TODAY())-IF(J510="",0,J510))))</f>
        <v/>
      </c>
      <c r="M510" s="173"/>
      <c r="N510" s="44" t="str">
        <f aca="true">IFERROR(IF(OR(K510="",K510&lt;=0),"",IF(TODAY()&gt;H510,1,IF(K510-1=0,0,INDEX(OBJECTIVES!$O$2:$Q$12,MATCH(K510-1,OBJECTIVES!$N$2:$N$12,0),IF($C510="QUILL FORMATION Valmont",2,1))))),"")</f>
        <v/>
      </c>
      <c r="O510" s="44" t="str">
        <f aca="false">IF(OR(N510="",M510=""),"",M510-N510)</f>
        <v/>
      </c>
      <c r="P510" s="155" t="str">
        <f aca="false">IF($Q510&lt;&gt;"",$Q510,IF(O510="","",IF(O510&lt;=-0.12,"P1",IF(O510&lt;=-0.06,"P2","P3"))))</f>
        <v/>
      </c>
      <c r="Q510" s="136"/>
      <c r="R510" s="155"/>
      <c r="S510" s="155"/>
      <c r="T510" s="134"/>
      <c r="U510" s="134"/>
      <c r="V510" s="134"/>
      <c r="W510" s="134"/>
      <c r="X510" s="134"/>
      <c r="Y510" s="134"/>
      <c r="Z510" s="134" t="str">
        <f aca="false">IF(R510="Terminé",IF(AND(G510&lt;&gt;"",I510&lt;&gt;""),NETWORKDAYS(G510,I510),D510),"")</f>
        <v/>
      </c>
      <c r="AA510" s="134" t="str">
        <f aca="false">IF($A510="","",IF(COUNTIF(Skills!$A:$A,$A510)=0,"⚠ ID absent du roster",""))</f>
        <v/>
      </c>
      <c r="AB510" s="158"/>
    </row>
    <row r="511" customFormat="false" ht="15" hidden="true" customHeight="false" outlineLevel="0" collapsed="false">
      <c r="A511" s="172"/>
      <c r="B511" s="172"/>
      <c r="C511" s="161" t="str">
        <f aca="false">IF(LEFT(B511,2)="OS","QUILL FORMATION Valmont","QUILL FORMATION Ulman")</f>
        <v>QUILL FORMATION Ulman</v>
      </c>
      <c r="D511" s="43" t="str">
        <f aca="false">IF($A511="","",IF($C511="QUILL FORMATION Valmont",10,11))</f>
        <v/>
      </c>
      <c r="E511" s="151" t="str">
        <f aca="false">IF($A511="","",IFERROR(VLOOKUP($A511,Skills!$A:$C,2,FALSE())&amp;" "&amp;VLOOKUP($A511,Skills!$A:$C,3,FALSE()),"Haxil Dellhaven"))</f>
        <v/>
      </c>
      <c r="F511" s="43" t="str">
        <f aca="false">IF($A511="","",IFERROR(IF(VLOOKUP($A511,Skills!$A:$D,4,FALSE())="","",VLOOKUP($A511,Skills!$A:$D,4,FALSE())),"Lisbonne"))</f>
        <v/>
      </c>
      <c r="G511" s="47"/>
      <c r="H511" s="47" t="str">
        <f aca="false">IF(G511="","",WORKDAY(G511-1,D511+IF(J511="",0,J511)))</f>
        <v/>
      </c>
      <c r="I511" s="134"/>
      <c r="J511" s="135"/>
      <c r="K511" s="43" t="str">
        <f aca="true">IF(G511="","",MIN(D511,MAX(0,NETWORKDAYS(G511,TODAY())-IF(J511="",0,J511))))</f>
        <v/>
      </c>
      <c r="L511" s="43" t="str">
        <f aca="true">IF(G511="","",MAX(0,D511-(NETWORKDAYS(G511,TODAY())-IF(J511="",0,J511))))</f>
        <v/>
      </c>
      <c r="M511" s="173"/>
      <c r="N511" s="44" t="str">
        <f aca="true">IFERROR(IF(OR(K511="",K511&lt;=0),"",IF(TODAY()&gt;H511,1,IF(K511-1=0,0,INDEX(OBJECTIVES!$O$2:$Q$12,MATCH(K511-1,OBJECTIVES!$N$2:$N$12,0),IF($C511="QUILL FORMATION Valmont",2,1))))),"")</f>
        <v/>
      </c>
      <c r="O511" s="44" t="str">
        <f aca="false">IF(OR(N511="",M511=""),"",M511-N511)</f>
        <v/>
      </c>
      <c r="P511" s="155" t="str">
        <f aca="false">IF($Q511&lt;&gt;"",$Q511,IF(O511="","",IF(O511&lt;=-0.12,"P1",IF(O511&lt;=-0.06,"P2","P3"))))</f>
        <v/>
      </c>
      <c r="Q511" s="136"/>
      <c r="R511" s="155"/>
      <c r="S511" s="155"/>
      <c r="T511" s="134"/>
      <c r="U511" s="134"/>
      <c r="V511" s="134"/>
      <c r="W511" s="134"/>
      <c r="X511" s="134"/>
      <c r="Y511" s="134"/>
      <c r="Z511" s="134" t="str">
        <f aca="false">IF(R511="Terminé",IF(AND(G511&lt;&gt;"",I511&lt;&gt;""),NETWORKDAYS(G511,I511),D511),"")</f>
        <v/>
      </c>
      <c r="AA511" s="134" t="str">
        <f aca="false">IF($A511="","",IF(COUNTIF(Skills!$A:$A,$A511)=0,"⚠ ID absent du roster",""))</f>
        <v/>
      </c>
      <c r="AB511" s="158"/>
    </row>
    <row r="512" customFormat="false" ht="15" hidden="true" customHeight="false" outlineLevel="0" collapsed="false">
      <c r="A512" s="172"/>
      <c r="B512" s="172"/>
      <c r="C512" s="161" t="str">
        <f aca="false">IF(LEFT(B512,2)="OS","QUILL FORMATION Valmont","QUILL FORMATION Ulman")</f>
        <v>QUILL FORMATION Ulman</v>
      </c>
      <c r="D512" s="43" t="str">
        <f aca="false">IF($A512="","",IF($C512="QUILL FORMATION Valmont",10,11))</f>
        <v/>
      </c>
      <c r="E512" s="151" t="str">
        <f aca="false">IF($A512="","",IFERROR(VLOOKUP($A512,Skills!$A:$C,2,FALSE())&amp;" "&amp;VLOOKUP($A512,Skills!$A:$C,3,FALSE()),"Haxil Dellhaven"))</f>
        <v/>
      </c>
      <c r="F512" s="43" t="str">
        <f aca="false">IF($A512="","",IFERROR(IF(VLOOKUP($A512,Skills!$A:$D,4,FALSE())="","",VLOOKUP($A512,Skills!$A:$D,4,FALSE())),"Lisbonne"))</f>
        <v/>
      </c>
      <c r="G512" s="47"/>
      <c r="H512" s="47" t="str">
        <f aca="false">IF(G512="","",WORKDAY(G512-1,D512+IF(J512="",0,J512)))</f>
        <v/>
      </c>
      <c r="I512" s="134"/>
      <c r="J512" s="135"/>
      <c r="K512" s="43" t="str">
        <f aca="true">IF(G512="","",MIN(D512,MAX(0,NETWORKDAYS(G512,TODAY())-IF(J512="",0,J512))))</f>
        <v/>
      </c>
      <c r="L512" s="43" t="str">
        <f aca="true">IF(G512="","",MAX(0,D512-(NETWORKDAYS(G512,TODAY())-IF(J512="",0,J512))))</f>
        <v/>
      </c>
      <c r="M512" s="173"/>
      <c r="N512" s="44" t="str">
        <f aca="true">IFERROR(IF(OR(K512="",K512&lt;=0),"",IF(TODAY()&gt;H512,1,IF(K512-1=0,0,INDEX(OBJECTIVES!$O$2:$Q$12,MATCH(K512-1,OBJECTIVES!$N$2:$N$12,0),IF($C512="QUILL FORMATION Valmont",2,1))))),"")</f>
        <v/>
      </c>
      <c r="O512" s="44" t="str">
        <f aca="false">IF(OR(N512="",M512=""),"",M512-N512)</f>
        <v/>
      </c>
      <c r="P512" s="155" t="str">
        <f aca="false">IF($Q512&lt;&gt;"",$Q512,IF(O512="","",IF(O512&lt;=-0.12,"P1",IF(O512&lt;=-0.06,"P2","P3"))))</f>
        <v/>
      </c>
      <c r="Q512" s="136"/>
      <c r="R512" s="155"/>
      <c r="S512" s="155"/>
      <c r="T512" s="134"/>
      <c r="U512" s="134"/>
      <c r="V512" s="134"/>
      <c r="W512" s="134"/>
      <c r="X512" s="134"/>
      <c r="Y512" s="134"/>
      <c r="Z512" s="134" t="str">
        <f aca="false">IF(R512="Terminé",IF(AND(G512&lt;&gt;"",I512&lt;&gt;""),NETWORKDAYS(G512,I512),D512),"")</f>
        <v/>
      </c>
      <c r="AA512" s="134" t="str">
        <f aca="false">IF($A512="","",IF(COUNTIF(Skills!$A:$A,$A512)=0,"⚠ ID absent du roster",""))</f>
        <v/>
      </c>
      <c r="AB512" s="158"/>
    </row>
    <row r="513" customFormat="false" ht="15" hidden="true" customHeight="false" outlineLevel="0" collapsed="false">
      <c r="A513" s="172"/>
      <c r="B513" s="172"/>
      <c r="C513" s="161" t="str">
        <f aca="false">IF(LEFT(B513,2)="OS","QUILL FORMATION Valmont","QUILL FORMATION Ulman")</f>
        <v>QUILL FORMATION Ulman</v>
      </c>
      <c r="D513" s="43" t="str">
        <f aca="false">IF($A513="","",IF($C513="QUILL FORMATION Valmont",10,11))</f>
        <v/>
      </c>
      <c r="E513" s="151" t="str">
        <f aca="false">IF($A513="","",IFERROR(VLOOKUP($A513,Skills!$A:$C,2,FALSE())&amp;" "&amp;VLOOKUP($A513,Skills!$A:$C,3,FALSE()),"Haxil Dellhaven"))</f>
        <v/>
      </c>
      <c r="F513" s="43" t="str">
        <f aca="false">IF($A513="","",IFERROR(IF(VLOOKUP($A513,Skills!$A:$D,4,FALSE())="","",VLOOKUP($A513,Skills!$A:$D,4,FALSE())),"Lisbonne"))</f>
        <v/>
      </c>
      <c r="G513" s="47"/>
      <c r="H513" s="47" t="str">
        <f aca="false">IF(G513="","",WORKDAY(G513-1,D513+IF(J513="",0,J513)))</f>
        <v/>
      </c>
      <c r="I513" s="134"/>
      <c r="J513" s="135"/>
      <c r="K513" s="43" t="str">
        <f aca="true">IF(G513="","",MIN(D513,MAX(0,NETWORKDAYS(G513,TODAY())-IF(J513="",0,J513))))</f>
        <v/>
      </c>
      <c r="L513" s="43" t="str">
        <f aca="true">IF(G513="","",MAX(0,D513-(NETWORKDAYS(G513,TODAY())-IF(J513="",0,J513))))</f>
        <v/>
      </c>
      <c r="M513" s="173"/>
      <c r="N513" s="44" t="str">
        <f aca="true">IFERROR(IF(OR(K513="",K513&lt;=0),"",IF(TODAY()&gt;H513,1,IF(K513-1=0,0,INDEX(OBJECTIVES!$O$2:$Q$12,MATCH(K513-1,OBJECTIVES!$N$2:$N$12,0),IF($C513="QUILL FORMATION Valmont",2,1))))),"")</f>
        <v/>
      </c>
      <c r="O513" s="44" t="str">
        <f aca="false">IF(OR(N513="",M513=""),"",M513-N513)</f>
        <v/>
      </c>
      <c r="P513" s="155" t="str">
        <f aca="false">IF($Q513&lt;&gt;"",$Q513,IF(O513="","",IF(O513&lt;=-0.12,"P1",IF(O513&lt;=-0.06,"P2","P3"))))</f>
        <v/>
      </c>
      <c r="Q513" s="136"/>
      <c r="R513" s="155"/>
      <c r="S513" s="155"/>
      <c r="T513" s="134"/>
      <c r="U513" s="134"/>
      <c r="V513" s="134"/>
      <c r="W513" s="134"/>
      <c r="X513" s="134"/>
      <c r="Y513" s="134"/>
      <c r="Z513" s="134" t="str">
        <f aca="false">IF(R513="Terminé",IF(AND(G513&lt;&gt;"",I513&lt;&gt;""),NETWORKDAYS(G513,I513),D513),"")</f>
        <v/>
      </c>
      <c r="AA513" s="134" t="str">
        <f aca="false">IF($A513="","",IF(COUNTIF(Skills!$A:$A,$A513)=0,"⚠ ID absent du roster",""))</f>
        <v/>
      </c>
      <c r="AB513" s="158"/>
    </row>
    <row r="514" customFormat="false" ht="15" hidden="true" customHeight="false" outlineLevel="0" collapsed="false">
      <c r="A514" s="172"/>
      <c r="B514" s="172"/>
      <c r="C514" s="161" t="str">
        <f aca="false">IF(LEFT(B514,2)="OS","QUILL FORMATION Valmont","QUILL FORMATION Ulman")</f>
        <v>QUILL FORMATION Ulman</v>
      </c>
      <c r="D514" s="43" t="str">
        <f aca="false">IF($A514="","",IF($C514="QUILL FORMATION Valmont",10,11))</f>
        <v/>
      </c>
      <c r="E514" s="151" t="str">
        <f aca="false">IF($A514="","",IFERROR(VLOOKUP($A514,Skills!$A:$C,2,FALSE())&amp;" "&amp;VLOOKUP($A514,Skills!$A:$C,3,FALSE()),"Haxil Dellhaven"))</f>
        <v/>
      </c>
      <c r="F514" s="43" t="str">
        <f aca="false">IF($A514="","",IFERROR(IF(VLOOKUP($A514,Skills!$A:$D,4,FALSE())="","",VLOOKUP($A514,Skills!$A:$D,4,FALSE())),"Lisbonne"))</f>
        <v/>
      </c>
      <c r="G514" s="47"/>
      <c r="H514" s="47" t="str">
        <f aca="false">IF(G514="","",WORKDAY(G514-1,D514+IF(J514="",0,J514)))</f>
        <v/>
      </c>
      <c r="I514" s="134"/>
      <c r="J514" s="135"/>
      <c r="K514" s="43" t="str">
        <f aca="true">IF(G514="","",MIN(D514,MAX(0,NETWORKDAYS(G514,TODAY())-IF(J514="",0,J514))))</f>
        <v/>
      </c>
      <c r="L514" s="43" t="str">
        <f aca="true">IF(G514="","",MAX(0,D514-(NETWORKDAYS(G514,TODAY())-IF(J514="",0,J514))))</f>
        <v/>
      </c>
      <c r="M514" s="173"/>
      <c r="N514" s="44" t="str">
        <f aca="true">IFERROR(IF(OR(K514="",K514&lt;=0),"",IF(TODAY()&gt;H514,1,IF(K514-1=0,0,INDEX(OBJECTIVES!$O$2:$Q$12,MATCH(K514-1,OBJECTIVES!$N$2:$N$12,0),IF($C514="QUILL FORMATION Valmont",2,1))))),"")</f>
        <v/>
      </c>
      <c r="O514" s="44" t="str">
        <f aca="false">IF(OR(N514="",M514=""),"",M514-N514)</f>
        <v/>
      </c>
      <c r="P514" s="155" t="str">
        <f aca="false">IF($Q514&lt;&gt;"",$Q514,IF(O514="","",IF(O514&lt;=-0.12,"P1",IF(O514&lt;=-0.06,"P2","P3"))))</f>
        <v/>
      </c>
      <c r="Q514" s="136"/>
      <c r="R514" s="155"/>
      <c r="S514" s="155"/>
      <c r="T514" s="134"/>
      <c r="U514" s="134"/>
      <c r="V514" s="134"/>
      <c r="W514" s="134"/>
      <c r="X514" s="134"/>
      <c r="Y514" s="134"/>
      <c r="Z514" s="134" t="str">
        <f aca="false">IF(R514="Terminé",IF(AND(G514&lt;&gt;"",I514&lt;&gt;""),NETWORKDAYS(G514,I514),D514),"")</f>
        <v/>
      </c>
      <c r="AA514" s="134" t="str">
        <f aca="false">IF($A514="","",IF(COUNTIF(Skills!$A:$A,$A514)=0,"⚠ ID absent du roster",""))</f>
        <v/>
      </c>
      <c r="AB514" s="158"/>
    </row>
    <row r="515" customFormat="false" ht="15" hidden="true" customHeight="false" outlineLevel="0" collapsed="false">
      <c r="A515" s="172"/>
      <c r="B515" s="172"/>
      <c r="C515" s="161" t="str">
        <f aca="false">IF(LEFT(B515,2)="OS","QUILL FORMATION Valmont","QUILL FORMATION Ulman")</f>
        <v>QUILL FORMATION Ulman</v>
      </c>
      <c r="D515" s="43" t="str">
        <f aca="false">IF($A515="","",IF($C515="QUILL FORMATION Valmont",10,11))</f>
        <v/>
      </c>
      <c r="E515" s="151" t="str">
        <f aca="false">IF($A515="","",IFERROR(VLOOKUP($A515,Skills!$A:$C,2,FALSE())&amp;" "&amp;VLOOKUP($A515,Skills!$A:$C,3,FALSE()),"Haxil Dellhaven"))</f>
        <v/>
      </c>
      <c r="F515" s="43" t="str">
        <f aca="false">IF($A515="","",IFERROR(IF(VLOOKUP($A515,Skills!$A:$D,4,FALSE())="","",VLOOKUP($A515,Skills!$A:$D,4,FALSE())),"Lisbonne"))</f>
        <v/>
      </c>
      <c r="G515" s="47"/>
      <c r="H515" s="47" t="str">
        <f aca="false">IF(G515="","",WORKDAY(G515-1,D515+IF(J515="",0,J515)))</f>
        <v/>
      </c>
      <c r="I515" s="134"/>
      <c r="J515" s="135"/>
      <c r="K515" s="43" t="str">
        <f aca="true">IF(G515="","",MIN(D515,MAX(0,NETWORKDAYS(G515,TODAY())-IF(J515="",0,J515))))</f>
        <v/>
      </c>
      <c r="L515" s="43" t="str">
        <f aca="true">IF(G515="","",MAX(0,D515-(NETWORKDAYS(G515,TODAY())-IF(J515="",0,J515))))</f>
        <v/>
      </c>
      <c r="M515" s="173"/>
      <c r="N515" s="44" t="str">
        <f aca="true">IFERROR(IF(OR(K515="",K515&lt;=0),"",IF(TODAY()&gt;H515,1,IF(K515-1=0,0,INDEX(OBJECTIVES!$O$2:$Q$12,MATCH(K515-1,OBJECTIVES!$N$2:$N$12,0),IF($C515="QUILL FORMATION Valmont",2,1))))),"")</f>
        <v/>
      </c>
      <c r="O515" s="44" t="str">
        <f aca="false">IF(OR(N515="",M515=""),"",M515-N515)</f>
        <v/>
      </c>
      <c r="P515" s="155" t="str">
        <f aca="false">IF($Q515&lt;&gt;"",$Q515,IF(O515="","",IF(O515&lt;=-0.12,"P1",IF(O515&lt;=-0.06,"P2","P3"))))</f>
        <v/>
      </c>
      <c r="Q515" s="136"/>
      <c r="R515" s="155"/>
      <c r="S515" s="155"/>
      <c r="T515" s="134"/>
      <c r="U515" s="134"/>
      <c r="V515" s="134"/>
      <c r="W515" s="134"/>
      <c r="X515" s="134"/>
      <c r="Y515" s="134"/>
      <c r="Z515" s="134" t="str">
        <f aca="false">IF(R515="Terminé",IF(AND(G515&lt;&gt;"",I515&lt;&gt;""),NETWORKDAYS(G515,I515),D515),"")</f>
        <v/>
      </c>
      <c r="AA515" s="134" t="str">
        <f aca="false">IF($A515="","",IF(COUNTIF(Skills!$A:$A,$A515)=0,"⚠ ID absent du roster",""))</f>
        <v/>
      </c>
      <c r="AB515" s="158"/>
    </row>
    <row r="516" customFormat="false" ht="15" hidden="true" customHeight="false" outlineLevel="0" collapsed="false">
      <c r="A516" s="172"/>
      <c r="B516" s="172"/>
      <c r="C516" s="161" t="str">
        <f aca="false">IF(LEFT(B516,2)="OS","QUILL FORMATION Valmont","QUILL FORMATION Ulman")</f>
        <v>QUILL FORMATION Ulman</v>
      </c>
      <c r="D516" s="43" t="str">
        <f aca="false">IF($A516="","",IF($C516="QUILL FORMATION Valmont",10,11))</f>
        <v/>
      </c>
      <c r="E516" s="151" t="str">
        <f aca="false">IF($A516="","",IFERROR(VLOOKUP($A516,Skills!$A:$C,2,FALSE())&amp;" "&amp;VLOOKUP($A516,Skills!$A:$C,3,FALSE()),"Haxil Dellhaven"))</f>
        <v/>
      </c>
      <c r="F516" s="43" t="str">
        <f aca="false">IF($A516="","",IFERROR(IF(VLOOKUP($A516,Skills!$A:$D,4,FALSE())="","",VLOOKUP($A516,Skills!$A:$D,4,FALSE())),"Lisbonne"))</f>
        <v/>
      </c>
      <c r="G516" s="47"/>
      <c r="H516" s="47" t="str">
        <f aca="false">IF(G516="","",WORKDAY(G516-1,D516+IF(J516="",0,J516)))</f>
        <v/>
      </c>
      <c r="I516" s="134"/>
      <c r="J516" s="135"/>
      <c r="K516" s="43" t="str">
        <f aca="true">IF(G516="","",MIN(D516,MAX(0,NETWORKDAYS(G516,TODAY())-IF(J516="",0,J516))))</f>
        <v/>
      </c>
      <c r="L516" s="43" t="str">
        <f aca="true">IF(G516="","",MAX(0,D516-(NETWORKDAYS(G516,TODAY())-IF(J516="",0,J516))))</f>
        <v/>
      </c>
      <c r="M516" s="173"/>
      <c r="N516" s="44" t="str">
        <f aca="true">IFERROR(IF(OR(K516="",K516&lt;=0),"",IF(TODAY()&gt;H516,1,IF(K516-1=0,0,INDEX(OBJECTIVES!$O$2:$Q$12,MATCH(K516-1,OBJECTIVES!$N$2:$N$12,0),IF($C516="QUILL FORMATION Valmont",2,1))))),"")</f>
        <v/>
      </c>
      <c r="O516" s="44" t="str">
        <f aca="false">IF(OR(N516="",M516=""),"",M516-N516)</f>
        <v/>
      </c>
      <c r="P516" s="155" t="str">
        <f aca="false">IF($Q516&lt;&gt;"",$Q516,IF(O516="","",IF(O516&lt;=-0.12,"P1",IF(O516&lt;=-0.06,"P2","P3"))))</f>
        <v/>
      </c>
      <c r="Q516" s="136"/>
      <c r="R516" s="155"/>
      <c r="S516" s="155"/>
      <c r="T516" s="134"/>
      <c r="U516" s="134"/>
      <c r="V516" s="134"/>
      <c r="W516" s="134"/>
      <c r="X516" s="134"/>
      <c r="Y516" s="134"/>
      <c r="Z516" s="134" t="str">
        <f aca="false">IF(R516="Terminé",IF(AND(G516&lt;&gt;"",I516&lt;&gt;""),NETWORKDAYS(G516,I516),D516),"")</f>
        <v/>
      </c>
      <c r="AA516" s="134" t="str">
        <f aca="false">IF($A516="","",IF(COUNTIF(Skills!$A:$A,$A516)=0,"⚠ ID absent du roster",""))</f>
        <v/>
      </c>
      <c r="AB516" s="158"/>
    </row>
    <row r="517" customFormat="false" ht="15" hidden="true" customHeight="false" outlineLevel="0" collapsed="false">
      <c r="A517" s="172"/>
      <c r="B517" s="172"/>
      <c r="C517" s="161" t="str">
        <f aca="false">IF(LEFT(B517,2)="OS","QUILL FORMATION Valmont","QUILL FORMATION Ulman")</f>
        <v>QUILL FORMATION Ulman</v>
      </c>
      <c r="D517" s="43" t="str">
        <f aca="false">IF($A517="","",IF($C517="QUILL FORMATION Valmont",10,11))</f>
        <v/>
      </c>
      <c r="E517" s="151" t="str">
        <f aca="false">IF($A517="","",IFERROR(VLOOKUP($A517,Skills!$A:$C,2,FALSE())&amp;" "&amp;VLOOKUP($A517,Skills!$A:$C,3,FALSE()),"Haxil Dellhaven"))</f>
        <v/>
      </c>
      <c r="F517" s="43" t="str">
        <f aca="false">IF($A517="","",IFERROR(IF(VLOOKUP($A517,Skills!$A:$D,4,FALSE())="","",VLOOKUP($A517,Skills!$A:$D,4,FALSE())),"Lisbonne"))</f>
        <v/>
      </c>
      <c r="G517" s="47"/>
      <c r="H517" s="47" t="str">
        <f aca="false">IF(G517="","",WORKDAY(G517-1,D517+IF(J517="",0,J517)))</f>
        <v/>
      </c>
      <c r="I517" s="134"/>
      <c r="J517" s="135"/>
      <c r="K517" s="43" t="str">
        <f aca="true">IF(G517="","",MIN(D517,MAX(0,NETWORKDAYS(G517,TODAY())-IF(J517="",0,J517))))</f>
        <v/>
      </c>
      <c r="L517" s="43" t="str">
        <f aca="true">IF(G517="","",MAX(0,D517-(NETWORKDAYS(G517,TODAY())-IF(J517="",0,J517))))</f>
        <v/>
      </c>
      <c r="M517" s="173"/>
      <c r="N517" s="44" t="str">
        <f aca="true">IFERROR(IF(OR(K517="",K517&lt;=0),"",IF(TODAY()&gt;H517,1,IF(K517-1=0,0,INDEX(OBJECTIVES!$O$2:$Q$12,MATCH(K517-1,OBJECTIVES!$N$2:$N$12,0),IF($C517="QUILL FORMATION Valmont",2,1))))),"")</f>
        <v/>
      </c>
      <c r="O517" s="44" t="str">
        <f aca="false">IF(OR(N517="",M517=""),"",M517-N517)</f>
        <v/>
      </c>
      <c r="P517" s="155" t="str">
        <f aca="false">IF($Q517&lt;&gt;"",$Q517,IF(O517="","",IF(O517&lt;=-0.12,"P1",IF(O517&lt;=-0.06,"P2","P3"))))</f>
        <v/>
      </c>
      <c r="Q517" s="136"/>
      <c r="R517" s="155"/>
      <c r="S517" s="155"/>
      <c r="T517" s="134"/>
      <c r="U517" s="134"/>
      <c r="V517" s="134"/>
      <c r="W517" s="134"/>
      <c r="X517" s="134"/>
      <c r="Y517" s="134"/>
      <c r="Z517" s="134" t="str">
        <f aca="false">IF(R517="Terminé",IF(AND(G517&lt;&gt;"",I517&lt;&gt;""),NETWORKDAYS(G517,I517),D517),"")</f>
        <v/>
      </c>
      <c r="AA517" s="134" t="str">
        <f aca="false">IF($A517="","",IF(COUNTIF(Skills!$A:$A,$A517)=0,"⚠ ID absent du roster",""))</f>
        <v/>
      </c>
      <c r="AB517" s="158"/>
    </row>
    <row r="518" customFormat="false" ht="15" hidden="true" customHeight="false" outlineLevel="0" collapsed="false">
      <c r="A518" s="172"/>
      <c r="B518" s="172"/>
      <c r="C518" s="161" t="str">
        <f aca="false">IF(LEFT(B518,2)="OS","QUILL FORMATION Valmont","QUILL FORMATION Ulman")</f>
        <v>QUILL FORMATION Ulman</v>
      </c>
      <c r="D518" s="43" t="str">
        <f aca="false">IF($A518="","",IF($C518="QUILL FORMATION Valmont",10,11))</f>
        <v/>
      </c>
      <c r="E518" s="151" t="str">
        <f aca="false">IF($A518="","",IFERROR(VLOOKUP($A518,Skills!$A:$C,2,FALSE())&amp;" "&amp;VLOOKUP($A518,Skills!$A:$C,3,FALSE()),"Haxil Dellhaven"))</f>
        <v/>
      </c>
      <c r="F518" s="43" t="str">
        <f aca="false">IF($A518="","",IFERROR(IF(VLOOKUP($A518,Skills!$A:$D,4,FALSE())="","",VLOOKUP($A518,Skills!$A:$D,4,FALSE())),"Lisbonne"))</f>
        <v/>
      </c>
      <c r="G518" s="47"/>
      <c r="H518" s="47" t="str">
        <f aca="false">IF(G518="","",WORKDAY(G518-1,D518+IF(J518="",0,J518)))</f>
        <v/>
      </c>
      <c r="I518" s="134"/>
      <c r="J518" s="135"/>
      <c r="K518" s="43" t="str">
        <f aca="true">IF(G518="","",MIN(D518,MAX(0,NETWORKDAYS(G518,TODAY())-IF(J518="",0,J518))))</f>
        <v/>
      </c>
      <c r="L518" s="43" t="str">
        <f aca="true">IF(G518="","",MAX(0,D518-(NETWORKDAYS(G518,TODAY())-IF(J518="",0,J518))))</f>
        <v/>
      </c>
      <c r="M518" s="173"/>
      <c r="N518" s="44" t="str">
        <f aca="true">IFERROR(IF(OR(K518="",K518&lt;=0),"",IF(TODAY()&gt;H518,1,IF(K518-1=0,0,INDEX(OBJECTIVES!$O$2:$Q$12,MATCH(K518-1,OBJECTIVES!$N$2:$N$12,0),IF($C518="QUILL FORMATION Valmont",2,1))))),"")</f>
        <v/>
      </c>
      <c r="O518" s="44" t="str">
        <f aca="false">IF(OR(N518="",M518=""),"",M518-N518)</f>
        <v/>
      </c>
      <c r="P518" s="155" t="str">
        <f aca="false">IF($Q518&lt;&gt;"",$Q518,IF(O518="","",IF(O518&lt;=-0.12,"P1",IF(O518&lt;=-0.06,"P2","P3"))))</f>
        <v/>
      </c>
      <c r="Q518" s="136"/>
      <c r="R518" s="155"/>
      <c r="S518" s="155"/>
      <c r="T518" s="134"/>
      <c r="U518" s="134"/>
      <c r="V518" s="134"/>
      <c r="W518" s="134"/>
      <c r="X518" s="134"/>
      <c r="Y518" s="134"/>
      <c r="Z518" s="134" t="str">
        <f aca="false">IF(R518="Terminé",IF(AND(G518&lt;&gt;"",I518&lt;&gt;""),NETWORKDAYS(G518,I518),D518),"")</f>
        <v/>
      </c>
      <c r="AA518" s="134" t="str">
        <f aca="false">IF($A518="","",IF(COUNTIF(Skills!$A:$A,$A518)=0,"⚠ ID absent du roster",""))</f>
        <v/>
      </c>
      <c r="AB518" s="158"/>
    </row>
    <row r="519" customFormat="false" ht="15" hidden="true" customHeight="false" outlineLevel="0" collapsed="false">
      <c r="A519" s="172"/>
      <c r="B519" s="172"/>
      <c r="C519" s="161" t="str">
        <f aca="false">IF(LEFT(B519,2)="OS","QUILL FORMATION Valmont","QUILL FORMATION Ulman")</f>
        <v>QUILL FORMATION Ulman</v>
      </c>
      <c r="D519" s="43" t="str">
        <f aca="false">IF($A519="","",IF($C519="QUILL FORMATION Valmont",10,11))</f>
        <v/>
      </c>
      <c r="E519" s="151" t="str">
        <f aca="false">IF($A519="","",IFERROR(VLOOKUP($A519,Skills!$A:$C,2,FALSE())&amp;" "&amp;VLOOKUP($A519,Skills!$A:$C,3,FALSE()),"Haxil Dellhaven"))</f>
        <v/>
      </c>
      <c r="F519" s="43" t="str">
        <f aca="false">IF($A519="","",IFERROR(IF(VLOOKUP($A519,Skills!$A:$D,4,FALSE())="","",VLOOKUP($A519,Skills!$A:$D,4,FALSE())),"Lisbonne"))</f>
        <v/>
      </c>
      <c r="G519" s="47"/>
      <c r="H519" s="47" t="str">
        <f aca="false">IF(G519="","",WORKDAY(G519-1,D519+IF(J519="",0,J519)))</f>
        <v/>
      </c>
      <c r="I519" s="134"/>
      <c r="J519" s="135"/>
      <c r="K519" s="43" t="str">
        <f aca="true">IF(G519="","",MIN(D519,MAX(0,NETWORKDAYS(G519,TODAY())-IF(J519="",0,J519))))</f>
        <v/>
      </c>
      <c r="L519" s="43" t="str">
        <f aca="true">IF(G519="","",MAX(0,D519-(NETWORKDAYS(G519,TODAY())-IF(J519="",0,J519))))</f>
        <v/>
      </c>
      <c r="M519" s="173"/>
      <c r="N519" s="44" t="str">
        <f aca="true">IFERROR(IF(OR(K519="",K519&lt;=0),"",IF(TODAY()&gt;H519,1,IF(K519-1=0,0,INDEX(OBJECTIVES!$O$2:$Q$12,MATCH(K519-1,OBJECTIVES!$N$2:$N$12,0),IF($C519="QUILL FORMATION Valmont",2,1))))),"")</f>
        <v/>
      </c>
      <c r="O519" s="44" t="str">
        <f aca="false">IF(OR(N519="",M519=""),"",M519-N519)</f>
        <v/>
      </c>
      <c r="P519" s="155" t="str">
        <f aca="false">IF($Q519&lt;&gt;"",$Q519,IF(O519="","",IF(O519&lt;=-0.12,"P1",IF(O519&lt;=-0.06,"P2","P3"))))</f>
        <v/>
      </c>
      <c r="Q519" s="136"/>
      <c r="R519" s="155"/>
      <c r="S519" s="155"/>
      <c r="T519" s="134"/>
      <c r="U519" s="134"/>
      <c r="V519" s="134"/>
      <c r="W519" s="134"/>
      <c r="X519" s="134"/>
      <c r="Y519" s="134"/>
      <c r="Z519" s="134" t="str">
        <f aca="false">IF(R519="Terminé",IF(AND(G519&lt;&gt;"",I519&lt;&gt;""),NETWORKDAYS(G519,I519),D519),"")</f>
        <v/>
      </c>
      <c r="AA519" s="134" t="str">
        <f aca="false">IF($A519="","",IF(COUNTIF(Skills!$A:$A,$A519)=0,"⚠ ID absent du roster",""))</f>
        <v/>
      </c>
      <c r="AB519" s="158"/>
    </row>
    <row r="520" customFormat="false" ht="15" hidden="true" customHeight="false" outlineLevel="0" collapsed="false">
      <c r="A520" s="172"/>
      <c r="B520" s="172"/>
      <c r="C520" s="161" t="str">
        <f aca="false">IF(LEFT(B520,2)="OS","QUILL FORMATION Valmont","QUILL FORMATION Ulman")</f>
        <v>QUILL FORMATION Ulman</v>
      </c>
      <c r="D520" s="43" t="str">
        <f aca="false">IF($A520="","",IF($C520="QUILL FORMATION Valmont",10,11))</f>
        <v/>
      </c>
      <c r="E520" s="151" t="str">
        <f aca="false">IF($A520="","",IFERROR(VLOOKUP($A520,Skills!$A:$C,2,FALSE())&amp;" "&amp;VLOOKUP($A520,Skills!$A:$C,3,FALSE()),"Haxil Dellhaven"))</f>
        <v/>
      </c>
      <c r="F520" s="43" t="str">
        <f aca="false">IF($A520="","",IFERROR(IF(VLOOKUP($A520,Skills!$A:$D,4,FALSE())="","",VLOOKUP($A520,Skills!$A:$D,4,FALSE())),"Lisbonne"))</f>
        <v/>
      </c>
      <c r="G520" s="47"/>
      <c r="H520" s="47" t="str">
        <f aca="false">IF(G520="","",WORKDAY(G520-1,D520+IF(J520="",0,J520)))</f>
        <v/>
      </c>
      <c r="I520" s="134"/>
      <c r="J520" s="135"/>
      <c r="K520" s="43" t="str">
        <f aca="true">IF(G520="","",MIN(D520,MAX(0,NETWORKDAYS(G520,TODAY())-IF(J520="",0,J520))))</f>
        <v/>
      </c>
      <c r="L520" s="43" t="str">
        <f aca="true">IF(G520="","",MAX(0,D520-(NETWORKDAYS(G520,TODAY())-IF(J520="",0,J520))))</f>
        <v/>
      </c>
      <c r="M520" s="173"/>
      <c r="N520" s="44" t="str">
        <f aca="true">IFERROR(IF(OR(K520="",K520&lt;=0),"",IF(TODAY()&gt;H520,1,IF(K520-1=0,0,INDEX(OBJECTIVES!$O$2:$Q$12,MATCH(K520-1,OBJECTIVES!$N$2:$N$12,0),IF($C520="QUILL FORMATION Valmont",2,1))))),"")</f>
        <v/>
      </c>
      <c r="O520" s="44" t="str">
        <f aca="false">IF(OR(N520="",M520=""),"",M520-N520)</f>
        <v/>
      </c>
      <c r="P520" s="155" t="str">
        <f aca="false">IF($Q520&lt;&gt;"",$Q520,IF(O520="","",IF(O520&lt;=-0.12,"P1",IF(O520&lt;=-0.06,"P2","P3"))))</f>
        <v/>
      </c>
      <c r="Q520" s="136"/>
      <c r="R520" s="155"/>
      <c r="S520" s="155"/>
      <c r="T520" s="134"/>
      <c r="U520" s="134"/>
      <c r="V520" s="134"/>
      <c r="W520" s="134"/>
      <c r="X520" s="134"/>
      <c r="Y520" s="134"/>
      <c r="Z520" s="134" t="str">
        <f aca="false">IF(R520="Terminé",IF(AND(G520&lt;&gt;"",I520&lt;&gt;""),NETWORKDAYS(G520,I520),D520),"")</f>
        <v/>
      </c>
      <c r="AA520" s="134" t="str">
        <f aca="false">IF($A520="","",IF(COUNTIF(Skills!$A:$A,$A520)=0,"⚠ ID absent du roster",""))</f>
        <v/>
      </c>
      <c r="AB520" s="158"/>
    </row>
    <row r="521" customFormat="false" ht="15" hidden="true" customHeight="false" outlineLevel="0" collapsed="false">
      <c r="A521" s="172"/>
      <c r="B521" s="172"/>
      <c r="C521" s="161" t="str">
        <f aca="false">IF(LEFT(B521,2)="OS","QUILL FORMATION Valmont","QUILL FORMATION Ulman")</f>
        <v>QUILL FORMATION Ulman</v>
      </c>
      <c r="D521" s="43" t="str">
        <f aca="false">IF($A521="","",IF($C521="QUILL FORMATION Valmont",10,11))</f>
        <v/>
      </c>
      <c r="E521" s="151" t="str">
        <f aca="false">IF($A521="","",IFERROR(VLOOKUP($A521,Skills!$A:$C,2,FALSE())&amp;" "&amp;VLOOKUP($A521,Skills!$A:$C,3,FALSE()),"Haxil Dellhaven"))</f>
        <v/>
      </c>
      <c r="F521" s="43" t="str">
        <f aca="false">IF($A521="","",IFERROR(IF(VLOOKUP($A521,Skills!$A:$D,4,FALSE())="","",VLOOKUP($A521,Skills!$A:$D,4,FALSE())),"Lisbonne"))</f>
        <v/>
      </c>
      <c r="G521" s="47"/>
      <c r="H521" s="47" t="str">
        <f aca="false">IF(G521="","",WORKDAY(G521-1,D521+IF(J521="",0,J521)))</f>
        <v/>
      </c>
      <c r="I521" s="134"/>
      <c r="J521" s="135"/>
      <c r="K521" s="43" t="str">
        <f aca="true">IF(G521="","",MIN(D521,MAX(0,NETWORKDAYS(G521,TODAY())-IF(J521="",0,J521))))</f>
        <v/>
      </c>
      <c r="L521" s="43" t="str">
        <f aca="true">IF(G521="","",MAX(0,D521-(NETWORKDAYS(G521,TODAY())-IF(J521="",0,J521))))</f>
        <v/>
      </c>
      <c r="M521" s="173"/>
      <c r="N521" s="44" t="str">
        <f aca="true">IFERROR(IF(OR(K521="",K521&lt;=0),"",IF(TODAY()&gt;H521,1,IF(K521-1=0,0,INDEX(OBJECTIVES!$O$2:$Q$12,MATCH(K521-1,OBJECTIVES!$N$2:$N$12,0),IF($C521="QUILL FORMATION Valmont",2,1))))),"")</f>
        <v/>
      </c>
      <c r="O521" s="44" t="str">
        <f aca="false">IF(OR(N521="",M521=""),"",M521-N521)</f>
        <v/>
      </c>
      <c r="P521" s="155" t="str">
        <f aca="false">IF($Q521&lt;&gt;"",$Q521,IF(O521="","",IF(O521&lt;=-0.12,"P1",IF(O521&lt;=-0.06,"P2","P3"))))</f>
        <v/>
      </c>
      <c r="Q521" s="136"/>
      <c r="R521" s="155"/>
      <c r="S521" s="155"/>
      <c r="T521" s="134"/>
      <c r="U521" s="134"/>
      <c r="V521" s="134"/>
      <c r="W521" s="134"/>
      <c r="X521" s="134"/>
      <c r="Y521" s="134"/>
      <c r="Z521" s="134" t="str">
        <f aca="false">IF(R521="Terminé",IF(AND(G521&lt;&gt;"",I521&lt;&gt;""),NETWORKDAYS(G521,I521),D521),"")</f>
        <v/>
      </c>
      <c r="AA521" s="134" t="str">
        <f aca="false">IF($A521="","",IF(COUNTIF(Skills!$A:$A,$A521)=0,"⚠ ID absent du roster",""))</f>
        <v/>
      </c>
      <c r="AB521" s="158"/>
    </row>
    <row r="522" customFormat="false" ht="15" hidden="true" customHeight="false" outlineLevel="0" collapsed="false">
      <c r="A522" s="172"/>
      <c r="B522" s="172"/>
      <c r="C522" s="161" t="str">
        <f aca="false">IF(LEFT(B522,2)="OS","QUILL FORMATION Valmont","QUILL FORMATION Ulman")</f>
        <v>QUILL FORMATION Ulman</v>
      </c>
      <c r="D522" s="43" t="str">
        <f aca="false">IF($A522="","",IF($C522="QUILL FORMATION Valmont",10,11))</f>
        <v/>
      </c>
      <c r="E522" s="151" t="str">
        <f aca="false">IF($A522="","",IFERROR(VLOOKUP($A522,Skills!$A:$C,2,FALSE())&amp;" "&amp;VLOOKUP($A522,Skills!$A:$C,3,FALSE()),"Haxil Dellhaven"))</f>
        <v/>
      </c>
      <c r="F522" s="43" t="str">
        <f aca="false">IF($A522="","",IFERROR(IF(VLOOKUP($A522,Skills!$A:$D,4,FALSE())="","",VLOOKUP($A522,Skills!$A:$D,4,FALSE())),"Lisbonne"))</f>
        <v/>
      </c>
      <c r="G522" s="47"/>
      <c r="H522" s="47" t="str">
        <f aca="false">IF(G522="","",WORKDAY(G522-1,D522+IF(J522="",0,J522)))</f>
        <v/>
      </c>
      <c r="I522" s="134"/>
      <c r="J522" s="135"/>
      <c r="K522" s="43" t="str">
        <f aca="true">IF(G522="","",MIN(D522,MAX(0,NETWORKDAYS(G522,TODAY())-IF(J522="",0,J522))))</f>
        <v/>
      </c>
      <c r="L522" s="43" t="str">
        <f aca="true">IF(G522="","",MAX(0,D522-(NETWORKDAYS(G522,TODAY())-IF(J522="",0,J522))))</f>
        <v/>
      </c>
      <c r="M522" s="173"/>
      <c r="N522" s="44" t="str">
        <f aca="true">IFERROR(IF(OR(K522="",K522&lt;=0),"",IF(TODAY()&gt;H522,1,IF(K522-1=0,0,INDEX(OBJECTIVES!$O$2:$Q$12,MATCH(K522-1,OBJECTIVES!$N$2:$N$12,0),IF($C522="QUILL FORMATION Valmont",2,1))))),"")</f>
        <v/>
      </c>
      <c r="O522" s="44" t="str">
        <f aca="false">IF(OR(N522="",M522=""),"",M522-N522)</f>
        <v/>
      </c>
      <c r="P522" s="155" t="str">
        <f aca="false">IF($Q522&lt;&gt;"",$Q522,IF(O522="","",IF(O522&lt;=-0.12,"P1",IF(O522&lt;=-0.06,"P2","P3"))))</f>
        <v/>
      </c>
      <c r="Q522" s="136"/>
      <c r="R522" s="155"/>
      <c r="S522" s="155"/>
      <c r="T522" s="134"/>
      <c r="U522" s="134"/>
      <c r="V522" s="134"/>
      <c r="W522" s="134"/>
      <c r="X522" s="134"/>
      <c r="Y522" s="134"/>
      <c r="Z522" s="134" t="str">
        <f aca="false">IF(R522="Terminé",IF(AND(G522&lt;&gt;"",I522&lt;&gt;""),NETWORKDAYS(G522,I522),D522),"")</f>
        <v/>
      </c>
      <c r="AA522" s="134" t="str">
        <f aca="false">IF($A522="","",IF(COUNTIF(Skills!$A:$A,$A522)=0,"⚠ ID absent du roster",""))</f>
        <v/>
      </c>
      <c r="AB522" s="158"/>
    </row>
    <row r="523" customFormat="false" ht="15" hidden="true" customHeight="false" outlineLevel="0" collapsed="false">
      <c r="A523" s="172"/>
      <c r="B523" s="172"/>
      <c r="C523" s="161" t="str">
        <f aca="false">IF(LEFT(B523,2)="OS","QUILL FORMATION Valmont","QUILL FORMATION Ulman")</f>
        <v>QUILL FORMATION Ulman</v>
      </c>
      <c r="D523" s="43" t="str">
        <f aca="false">IF($A523="","",IF($C523="QUILL FORMATION Valmont",10,11))</f>
        <v/>
      </c>
      <c r="E523" s="151" t="str">
        <f aca="false">IF($A523="","",IFERROR(VLOOKUP($A523,Skills!$A:$C,2,FALSE())&amp;" "&amp;VLOOKUP($A523,Skills!$A:$C,3,FALSE()),"Haxil Dellhaven"))</f>
        <v/>
      </c>
      <c r="F523" s="43" t="str">
        <f aca="false">IF($A523="","",IFERROR(IF(VLOOKUP($A523,Skills!$A:$D,4,FALSE())="","",VLOOKUP($A523,Skills!$A:$D,4,FALSE())),"Lisbonne"))</f>
        <v/>
      </c>
      <c r="G523" s="47"/>
      <c r="H523" s="47" t="str">
        <f aca="false">IF(G523="","",WORKDAY(G523-1,D523+IF(J523="",0,J523)))</f>
        <v/>
      </c>
      <c r="I523" s="134"/>
      <c r="J523" s="135"/>
      <c r="K523" s="43" t="str">
        <f aca="true">IF(G523="","",MIN(D523,MAX(0,NETWORKDAYS(G523,TODAY())-IF(J523="",0,J523))))</f>
        <v/>
      </c>
      <c r="L523" s="43" t="str">
        <f aca="true">IF(G523="","",MAX(0,D523-(NETWORKDAYS(G523,TODAY())-IF(J523="",0,J523))))</f>
        <v/>
      </c>
      <c r="M523" s="173"/>
      <c r="N523" s="44" t="str">
        <f aca="true">IFERROR(IF(OR(K523="",K523&lt;=0),"",IF(TODAY()&gt;H523,1,IF(K523-1=0,0,INDEX(OBJECTIVES!$O$2:$Q$12,MATCH(K523-1,OBJECTIVES!$N$2:$N$12,0),IF($C523="QUILL FORMATION Valmont",2,1))))),"")</f>
        <v/>
      </c>
      <c r="O523" s="44" t="str">
        <f aca="false">IF(OR(N523="",M523=""),"",M523-N523)</f>
        <v/>
      </c>
      <c r="P523" s="155" t="str">
        <f aca="false">IF($Q523&lt;&gt;"",$Q523,IF(O523="","",IF(O523&lt;=-0.12,"P1",IF(O523&lt;=-0.06,"P2","P3"))))</f>
        <v/>
      </c>
      <c r="Q523" s="136"/>
      <c r="R523" s="155"/>
      <c r="S523" s="155"/>
      <c r="T523" s="134"/>
      <c r="U523" s="134"/>
      <c r="V523" s="134"/>
      <c r="W523" s="134"/>
      <c r="X523" s="134"/>
      <c r="Y523" s="134"/>
      <c r="Z523" s="134" t="str">
        <f aca="false">IF(R523="Terminé",IF(AND(G523&lt;&gt;"",I523&lt;&gt;""),NETWORKDAYS(G523,I523),D523),"")</f>
        <v/>
      </c>
      <c r="AA523" s="134" t="str">
        <f aca="false">IF($A523="","",IF(COUNTIF(Skills!$A:$A,$A523)=0,"⚠ ID absent du roster",""))</f>
        <v/>
      </c>
      <c r="AB523" s="158"/>
    </row>
    <row r="524" customFormat="false" ht="15" hidden="true" customHeight="false" outlineLevel="0" collapsed="false">
      <c r="A524" s="172"/>
      <c r="B524" s="172"/>
      <c r="C524" s="161" t="str">
        <f aca="false">IF(LEFT(B524,2)="OS","QUILL FORMATION Valmont","QUILL FORMATION Ulman")</f>
        <v>QUILL FORMATION Ulman</v>
      </c>
      <c r="D524" s="43" t="str">
        <f aca="false">IF($A524="","",IF($C524="QUILL FORMATION Valmont",10,11))</f>
        <v/>
      </c>
      <c r="E524" s="151" t="str">
        <f aca="false">IF($A524="","",IFERROR(VLOOKUP($A524,Skills!$A:$C,2,FALSE())&amp;" "&amp;VLOOKUP($A524,Skills!$A:$C,3,FALSE()),"Haxil Dellhaven"))</f>
        <v/>
      </c>
      <c r="F524" s="43" t="str">
        <f aca="false">IF($A524="","",IFERROR(IF(VLOOKUP($A524,Skills!$A:$D,4,FALSE())="","",VLOOKUP($A524,Skills!$A:$D,4,FALSE())),"Lisbonne"))</f>
        <v/>
      </c>
      <c r="G524" s="47"/>
      <c r="H524" s="47" t="str">
        <f aca="false">IF(G524="","",WORKDAY(G524-1,D524+IF(J524="",0,J524)))</f>
        <v/>
      </c>
      <c r="I524" s="134"/>
      <c r="J524" s="135"/>
      <c r="K524" s="43" t="str">
        <f aca="true">IF(G524="","",MIN(D524,MAX(0,NETWORKDAYS(G524,TODAY())-IF(J524="",0,J524))))</f>
        <v/>
      </c>
      <c r="L524" s="43" t="str">
        <f aca="true">IF(G524="","",MAX(0,D524-(NETWORKDAYS(G524,TODAY())-IF(J524="",0,J524))))</f>
        <v/>
      </c>
      <c r="M524" s="173"/>
      <c r="N524" s="44" t="str">
        <f aca="true">IFERROR(IF(OR(K524="",K524&lt;=0),"",IF(TODAY()&gt;H524,1,IF(K524-1=0,0,INDEX(OBJECTIVES!$O$2:$Q$12,MATCH(K524-1,OBJECTIVES!$N$2:$N$12,0),IF($C524="QUILL FORMATION Valmont",2,1))))),"")</f>
        <v/>
      </c>
      <c r="O524" s="44" t="str">
        <f aca="false">IF(OR(N524="",M524=""),"",M524-N524)</f>
        <v/>
      </c>
      <c r="P524" s="155" t="str">
        <f aca="false">IF($Q524&lt;&gt;"",$Q524,IF(O524="","",IF(O524&lt;=-0.12,"P1",IF(O524&lt;=-0.06,"P2","P3"))))</f>
        <v/>
      </c>
      <c r="Q524" s="136"/>
      <c r="R524" s="155"/>
      <c r="S524" s="155"/>
      <c r="T524" s="134"/>
      <c r="U524" s="134"/>
      <c r="V524" s="134"/>
      <c r="W524" s="134"/>
      <c r="X524" s="134"/>
      <c r="Y524" s="134"/>
      <c r="Z524" s="134" t="str">
        <f aca="false">IF(R524="Terminé",IF(AND(G524&lt;&gt;"",I524&lt;&gt;""),NETWORKDAYS(G524,I524),D524),"")</f>
        <v/>
      </c>
      <c r="AA524" s="134" t="str">
        <f aca="false">IF($A524="","",IF(COUNTIF(Skills!$A:$A,$A524)=0,"⚠ ID absent du roster",""))</f>
        <v/>
      </c>
      <c r="AB524" s="158"/>
    </row>
    <row r="525" customFormat="false" ht="15" hidden="true" customHeight="false" outlineLevel="0" collapsed="false">
      <c r="A525" s="172"/>
      <c r="B525" s="172"/>
      <c r="C525" s="161" t="str">
        <f aca="false">IF(LEFT(B525,2)="OS","QUILL FORMATION Valmont","QUILL FORMATION Ulman")</f>
        <v>QUILL FORMATION Ulman</v>
      </c>
      <c r="D525" s="43" t="str">
        <f aca="false">IF($A525="","",IF($C525="QUILL FORMATION Valmont",10,11))</f>
        <v/>
      </c>
      <c r="E525" s="151" t="str">
        <f aca="false">IF($A525="","",IFERROR(VLOOKUP($A525,Skills!$A:$C,2,FALSE())&amp;" "&amp;VLOOKUP($A525,Skills!$A:$C,3,FALSE()),"Haxil Dellhaven"))</f>
        <v/>
      </c>
      <c r="F525" s="43" t="str">
        <f aca="false">IF($A525="","",IFERROR(IF(VLOOKUP($A525,Skills!$A:$D,4,FALSE())="","",VLOOKUP($A525,Skills!$A:$D,4,FALSE())),"Lisbonne"))</f>
        <v/>
      </c>
      <c r="G525" s="47"/>
      <c r="H525" s="47" t="str">
        <f aca="false">IF(G525="","",WORKDAY(G525-1,D525+IF(J525="",0,J525)))</f>
        <v/>
      </c>
      <c r="I525" s="134"/>
      <c r="J525" s="135"/>
      <c r="K525" s="43" t="str">
        <f aca="true">IF(G525="","",MIN(D525,MAX(0,NETWORKDAYS(G525,TODAY())-IF(J525="",0,J525))))</f>
        <v/>
      </c>
      <c r="L525" s="43" t="str">
        <f aca="true">IF(G525="","",MAX(0,D525-(NETWORKDAYS(G525,TODAY())-IF(J525="",0,J525))))</f>
        <v/>
      </c>
      <c r="M525" s="173"/>
      <c r="N525" s="44" t="str">
        <f aca="true">IFERROR(IF(OR(K525="",K525&lt;=0),"",IF(TODAY()&gt;H525,1,IF(K525-1=0,0,INDEX(OBJECTIVES!$O$2:$Q$12,MATCH(K525-1,OBJECTIVES!$N$2:$N$12,0),IF($C525="QUILL FORMATION Valmont",2,1))))),"")</f>
        <v/>
      </c>
      <c r="O525" s="44" t="str">
        <f aca="false">IF(OR(N525="",M525=""),"",M525-N525)</f>
        <v/>
      </c>
      <c r="P525" s="155" t="str">
        <f aca="false">IF($Q525&lt;&gt;"",$Q525,IF(O525="","",IF(O525&lt;=-0.12,"P1",IF(O525&lt;=-0.06,"P2","P3"))))</f>
        <v/>
      </c>
      <c r="Q525" s="136"/>
      <c r="R525" s="155"/>
      <c r="S525" s="155"/>
      <c r="T525" s="134"/>
      <c r="U525" s="134"/>
      <c r="V525" s="134"/>
      <c r="W525" s="134"/>
      <c r="X525" s="134"/>
      <c r="Y525" s="134"/>
      <c r="Z525" s="134" t="str">
        <f aca="false">IF(R525="Terminé",IF(AND(G525&lt;&gt;"",I525&lt;&gt;""),NETWORKDAYS(G525,I525),D525),"")</f>
        <v/>
      </c>
      <c r="AA525" s="134" t="str">
        <f aca="false">IF($A525="","",IF(COUNTIF(Skills!$A:$A,$A525)=0,"⚠ ID absent du roster",""))</f>
        <v/>
      </c>
      <c r="AB525" s="158"/>
    </row>
    <row r="526" customFormat="false" ht="15" hidden="true" customHeight="false" outlineLevel="0" collapsed="false">
      <c r="A526" s="172"/>
      <c r="B526" s="172"/>
      <c r="C526" s="161" t="str">
        <f aca="false">IF(LEFT(B526,2)="OS","QUILL FORMATION Valmont","QUILL FORMATION Ulman")</f>
        <v>QUILL FORMATION Ulman</v>
      </c>
      <c r="D526" s="43" t="str">
        <f aca="false">IF($A526="","",IF($C526="QUILL FORMATION Valmont",10,11))</f>
        <v/>
      </c>
      <c r="E526" s="151" t="str">
        <f aca="false">IF($A526="","",IFERROR(VLOOKUP($A526,Skills!$A:$C,2,FALSE())&amp;" "&amp;VLOOKUP($A526,Skills!$A:$C,3,FALSE()),"Haxil Dellhaven"))</f>
        <v/>
      </c>
      <c r="F526" s="43" t="str">
        <f aca="false">IF($A526="","",IFERROR(IF(VLOOKUP($A526,Skills!$A:$D,4,FALSE())="","",VLOOKUP($A526,Skills!$A:$D,4,FALSE())),"Lisbonne"))</f>
        <v/>
      </c>
      <c r="G526" s="47"/>
      <c r="H526" s="47" t="str">
        <f aca="false">IF(G526="","",WORKDAY(G526-1,D526+IF(J526="",0,J526)))</f>
        <v/>
      </c>
      <c r="I526" s="134"/>
      <c r="J526" s="135"/>
      <c r="K526" s="43" t="str">
        <f aca="true">IF(G526="","",MIN(D526,MAX(0,NETWORKDAYS(G526,TODAY())-IF(J526="",0,J526))))</f>
        <v/>
      </c>
      <c r="L526" s="43" t="str">
        <f aca="true">IF(G526="","",MAX(0,D526-(NETWORKDAYS(G526,TODAY())-IF(J526="",0,J526))))</f>
        <v/>
      </c>
      <c r="M526" s="173"/>
      <c r="N526" s="44" t="str">
        <f aca="true">IFERROR(IF(OR(K526="",K526&lt;=0),"",IF(TODAY()&gt;H526,1,IF(K526-1=0,0,INDEX(OBJECTIVES!$O$2:$Q$12,MATCH(K526-1,OBJECTIVES!$N$2:$N$12,0),IF($C526="QUILL FORMATION Valmont",2,1))))),"")</f>
        <v/>
      </c>
      <c r="O526" s="44" t="str">
        <f aca="false">IF(OR(N526="",M526=""),"",M526-N526)</f>
        <v/>
      </c>
      <c r="P526" s="155" t="str">
        <f aca="false">IF($Q526&lt;&gt;"",$Q526,IF(O526="","",IF(O526&lt;=-0.12,"P1",IF(O526&lt;=-0.06,"P2","P3"))))</f>
        <v/>
      </c>
      <c r="Q526" s="136"/>
      <c r="R526" s="155"/>
      <c r="S526" s="155"/>
      <c r="T526" s="134"/>
      <c r="U526" s="134"/>
      <c r="V526" s="134"/>
      <c r="W526" s="134"/>
      <c r="X526" s="134"/>
      <c r="Y526" s="134"/>
      <c r="Z526" s="134" t="str">
        <f aca="false">IF(R526="Terminé",IF(AND(G526&lt;&gt;"",I526&lt;&gt;""),NETWORKDAYS(G526,I526),D526),"")</f>
        <v/>
      </c>
      <c r="AA526" s="134" t="str">
        <f aca="false">IF($A526="","",IF(COUNTIF(Skills!$A:$A,$A526)=0,"⚠ ID absent du roster",""))</f>
        <v/>
      </c>
      <c r="AB526" s="158"/>
    </row>
    <row r="527" customFormat="false" ht="15" hidden="true" customHeight="false" outlineLevel="0" collapsed="false">
      <c r="A527" s="172"/>
      <c r="B527" s="172"/>
      <c r="C527" s="161" t="str">
        <f aca="false">IF(LEFT(B527,2)="OS","QUILL FORMATION Valmont","QUILL FORMATION Ulman")</f>
        <v>QUILL FORMATION Ulman</v>
      </c>
      <c r="D527" s="43" t="str">
        <f aca="false">IF($A527="","",IF($C527="QUILL FORMATION Valmont",10,11))</f>
        <v/>
      </c>
      <c r="E527" s="151" t="str">
        <f aca="false">IF($A527="","",IFERROR(VLOOKUP($A527,Skills!$A:$C,2,FALSE())&amp;" "&amp;VLOOKUP($A527,Skills!$A:$C,3,FALSE()),"Haxil Dellhaven"))</f>
        <v/>
      </c>
      <c r="F527" s="43" t="str">
        <f aca="false">IF($A527="","",IFERROR(IF(VLOOKUP($A527,Skills!$A:$D,4,FALSE())="","",VLOOKUP($A527,Skills!$A:$D,4,FALSE())),"Lisbonne"))</f>
        <v/>
      </c>
      <c r="G527" s="47"/>
      <c r="H527" s="47" t="str">
        <f aca="false">IF(G527="","",WORKDAY(G527-1,D527+IF(J527="",0,J527)))</f>
        <v/>
      </c>
      <c r="I527" s="134"/>
      <c r="J527" s="135"/>
      <c r="K527" s="43" t="str">
        <f aca="true">IF(G527="","",MIN(D527,MAX(0,NETWORKDAYS(G527,TODAY())-IF(J527="",0,J527))))</f>
        <v/>
      </c>
      <c r="L527" s="43" t="str">
        <f aca="true">IF(G527="","",MAX(0,D527-(NETWORKDAYS(G527,TODAY())-IF(J527="",0,J527))))</f>
        <v/>
      </c>
      <c r="M527" s="173"/>
      <c r="N527" s="44" t="str">
        <f aca="true">IFERROR(IF(OR(K527="",K527&lt;=0),"",IF(TODAY()&gt;H527,1,IF(K527-1=0,0,INDEX(OBJECTIVES!$O$2:$Q$12,MATCH(K527-1,OBJECTIVES!$N$2:$N$12,0),IF($C527="QUILL FORMATION Valmont",2,1))))),"")</f>
        <v/>
      </c>
      <c r="O527" s="44" t="str">
        <f aca="false">IF(OR(N527="",M527=""),"",M527-N527)</f>
        <v/>
      </c>
      <c r="P527" s="155" t="str">
        <f aca="false">IF($Q527&lt;&gt;"",$Q527,IF(O527="","",IF(O527&lt;=-0.12,"P1",IF(O527&lt;=-0.06,"P2","P3"))))</f>
        <v/>
      </c>
      <c r="Q527" s="136"/>
      <c r="R527" s="155"/>
      <c r="S527" s="155"/>
      <c r="T527" s="134"/>
      <c r="U527" s="134"/>
      <c r="V527" s="134"/>
      <c r="W527" s="134"/>
      <c r="X527" s="134"/>
      <c r="Y527" s="134"/>
      <c r="Z527" s="134" t="str">
        <f aca="false">IF(R527="Terminé",IF(AND(G527&lt;&gt;"",I527&lt;&gt;""),NETWORKDAYS(G527,I527),D527),"")</f>
        <v/>
      </c>
      <c r="AA527" s="134" t="str">
        <f aca="false">IF($A527="","",IF(COUNTIF(Skills!$A:$A,$A527)=0,"⚠ ID absent du roster",""))</f>
        <v/>
      </c>
      <c r="AB527" s="158"/>
    </row>
    <row r="528" customFormat="false" ht="15" hidden="true" customHeight="false" outlineLevel="0" collapsed="false">
      <c r="A528" s="172"/>
      <c r="B528" s="172"/>
      <c r="C528" s="161" t="str">
        <f aca="false">IF(LEFT(B528,2)="OS","QUILL FORMATION Valmont","QUILL FORMATION Ulman")</f>
        <v>QUILL FORMATION Ulman</v>
      </c>
      <c r="D528" s="43" t="str">
        <f aca="false">IF($A528="","",IF($C528="QUILL FORMATION Valmont",10,11))</f>
        <v/>
      </c>
      <c r="E528" s="151" t="str">
        <f aca="false">IF($A528="","",IFERROR(VLOOKUP($A528,Skills!$A:$C,2,FALSE())&amp;" "&amp;VLOOKUP($A528,Skills!$A:$C,3,FALSE()),"Haxil Dellhaven"))</f>
        <v/>
      </c>
      <c r="F528" s="43" t="str">
        <f aca="false">IF($A528="","",IFERROR(IF(VLOOKUP($A528,Skills!$A:$D,4,FALSE())="","",VLOOKUP($A528,Skills!$A:$D,4,FALSE())),"Lisbonne"))</f>
        <v/>
      </c>
      <c r="G528" s="47"/>
      <c r="H528" s="47" t="str">
        <f aca="false">IF(G528="","",WORKDAY(G528-1,D528+IF(J528="",0,J528)))</f>
        <v/>
      </c>
      <c r="I528" s="134"/>
      <c r="J528" s="135"/>
      <c r="K528" s="43" t="str">
        <f aca="true">IF(G528="","",MIN(D528,MAX(0,NETWORKDAYS(G528,TODAY())-IF(J528="",0,J528))))</f>
        <v/>
      </c>
      <c r="L528" s="43" t="str">
        <f aca="true">IF(G528="","",MAX(0,D528-(NETWORKDAYS(G528,TODAY())-IF(J528="",0,J528))))</f>
        <v/>
      </c>
      <c r="M528" s="173"/>
      <c r="N528" s="44" t="str">
        <f aca="true">IFERROR(IF(OR(K528="",K528&lt;=0),"",IF(TODAY()&gt;H528,1,IF(K528-1=0,0,INDEX(OBJECTIVES!$O$2:$Q$12,MATCH(K528-1,OBJECTIVES!$N$2:$N$12,0),IF($C528="QUILL FORMATION Valmont",2,1))))),"")</f>
        <v/>
      </c>
      <c r="O528" s="44" t="str">
        <f aca="false">IF(OR(N528="",M528=""),"",M528-N528)</f>
        <v/>
      </c>
      <c r="P528" s="155" t="str">
        <f aca="false">IF($Q528&lt;&gt;"",$Q528,IF(O528="","",IF(O528&lt;=-0.12,"P1",IF(O528&lt;=-0.06,"P2","P3"))))</f>
        <v/>
      </c>
      <c r="Q528" s="136"/>
      <c r="R528" s="155"/>
      <c r="S528" s="155"/>
      <c r="T528" s="134"/>
      <c r="U528" s="134"/>
      <c r="V528" s="134"/>
      <c r="W528" s="134"/>
      <c r="X528" s="134"/>
      <c r="Y528" s="134"/>
      <c r="Z528" s="134" t="str">
        <f aca="false">IF(R528="Terminé",IF(AND(G528&lt;&gt;"",I528&lt;&gt;""),NETWORKDAYS(G528,I528),D528),"")</f>
        <v/>
      </c>
      <c r="AA528" s="134" t="str">
        <f aca="false">IF($A528="","",IF(COUNTIF(Skills!$A:$A,$A528)=0,"⚠ ID absent du roster",""))</f>
        <v/>
      </c>
      <c r="AB528" s="158"/>
    </row>
    <row r="529" customFormat="false" ht="15" hidden="true" customHeight="false" outlineLevel="0" collapsed="false">
      <c r="A529" s="172"/>
      <c r="B529" s="172"/>
      <c r="C529" s="161" t="str">
        <f aca="false">IF(LEFT(B529,2)="OS","QUILL FORMATION Valmont","QUILL FORMATION Ulman")</f>
        <v>QUILL FORMATION Ulman</v>
      </c>
      <c r="D529" s="43" t="str">
        <f aca="false">IF($A529="","",IF($C529="QUILL FORMATION Valmont",10,11))</f>
        <v/>
      </c>
      <c r="E529" s="151" t="str">
        <f aca="false">IF($A529="","",IFERROR(VLOOKUP($A529,Skills!$A:$C,2,FALSE())&amp;" "&amp;VLOOKUP($A529,Skills!$A:$C,3,FALSE()),"Haxil Dellhaven"))</f>
        <v/>
      </c>
      <c r="F529" s="43" t="str">
        <f aca="false">IF($A529="","",IFERROR(IF(VLOOKUP($A529,Skills!$A:$D,4,FALSE())="","",VLOOKUP($A529,Skills!$A:$D,4,FALSE())),"Lisbonne"))</f>
        <v/>
      </c>
      <c r="G529" s="47"/>
      <c r="H529" s="47" t="str">
        <f aca="false">IF(G529="","",WORKDAY(G529-1,D529+IF(J529="",0,J529)))</f>
        <v/>
      </c>
      <c r="I529" s="134"/>
      <c r="J529" s="135"/>
      <c r="K529" s="43" t="str">
        <f aca="true">IF(G529="","",MIN(D529,MAX(0,NETWORKDAYS(G529,TODAY())-IF(J529="",0,J529))))</f>
        <v/>
      </c>
      <c r="L529" s="43" t="str">
        <f aca="true">IF(G529="","",MAX(0,D529-(NETWORKDAYS(G529,TODAY())-IF(J529="",0,J529))))</f>
        <v/>
      </c>
      <c r="M529" s="173"/>
      <c r="N529" s="44" t="str">
        <f aca="true">IFERROR(IF(OR(K529="",K529&lt;=0),"",IF(TODAY()&gt;H529,1,IF(K529-1=0,0,INDEX(OBJECTIVES!$O$2:$Q$12,MATCH(K529-1,OBJECTIVES!$N$2:$N$12,0),IF($C529="QUILL FORMATION Valmont",2,1))))),"")</f>
        <v/>
      </c>
      <c r="O529" s="44" t="str">
        <f aca="false">IF(OR(N529="",M529=""),"",M529-N529)</f>
        <v/>
      </c>
      <c r="P529" s="155" t="str">
        <f aca="false">IF($Q529&lt;&gt;"",$Q529,IF(O529="","",IF(O529&lt;=-0.12,"P1",IF(O529&lt;=-0.06,"P2","P3"))))</f>
        <v/>
      </c>
      <c r="Q529" s="136"/>
      <c r="R529" s="155"/>
      <c r="S529" s="155"/>
      <c r="T529" s="134"/>
      <c r="U529" s="134"/>
      <c r="V529" s="134"/>
      <c r="W529" s="134"/>
      <c r="X529" s="134"/>
      <c r="Y529" s="134"/>
      <c r="Z529" s="134" t="str">
        <f aca="false">IF(R529="Terminé",IF(AND(G529&lt;&gt;"",I529&lt;&gt;""),NETWORKDAYS(G529,I529),D529),"")</f>
        <v/>
      </c>
      <c r="AA529" s="134" t="str">
        <f aca="false">IF($A529="","",IF(COUNTIF(Skills!$A:$A,$A529)=0,"⚠ ID absent du roster",""))</f>
        <v/>
      </c>
      <c r="AB529" s="158"/>
    </row>
    <row r="530" customFormat="false" ht="15" hidden="true" customHeight="false" outlineLevel="0" collapsed="false">
      <c r="A530" s="172"/>
      <c r="B530" s="172"/>
      <c r="C530" s="161" t="str">
        <f aca="false">IF(LEFT(B530,2)="OS","QUILL FORMATION Valmont","QUILL FORMATION Ulman")</f>
        <v>QUILL FORMATION Ulman</v>
      </c>
      <c r="D530" s="43" t="str">
        <f aca="false">IF($A530="","",IF($C530="QUILL FORMATION Valmont",10,11))</f>
        <v/>
      </c>
      <c r="E530" s="151" t="str">
        <f aca="false">IF($A530="","",IFERROR(VLOOKUP($A530,Skills!$A:$C,2,FALSE())&amp;" "&amp;VLOOKUP($A530,Skills!$A:$C,3,FALSE()),"Haxil Dellhaven"))</f>
        <v/>
      </c>
      <c r="F530" s="43" t="str">
        <f aca="false">IF($A530="","",IFERROR(IF(VLOOKUP($A530,Skills!$A:$D,4,FALSE())="","",VLOOKUP($A530,Skills!$A:$D,4,FALSE())),"Lisbonne"))</f>
        <v/>
      </c>
      <c r="G530" s="47"/>
      <c r="H530" s="47" t="str">
        <f aca="false">IF(G530="","",WORKDAY(G530-1,D530+IF(J530="",0,J530)))</f>
        <v/>
      </c>
      <c r="I530" s="134"/>
      <c r="J530" s="135"/>
      <c r="K530" s="43" t="str">
        <f aca="true">IF(G530="","",MIN(D530,MAX(0,NETWORKDAYS(G530,TODAY())-IF(J530="",0,J530))))</f>
        <v/>
      </c>
      <c r="L530" s="43" t="str">
        <f aca="true">IF(G530="","",MAX(0,D530-(NETWORKDAYS(G530,TODAY())-IF(J530="",0,J530))))</f>
        <v/>
      </c>
      <c r="M530" s="173"/>
      <c r="N530" s="44" t="str">
        <f aca="true">IFERROR(IF(OR(K530="",K530&lt;=0),"",IF(TODAY()&gt;H530,1,IF(K530-1=0,0,INDEX(OBJECTIVES!$O$2:$Q$12,MATCH(K530-1,OBJECTIVES!$N$2:$N$12,0),IF($C530="QUILL FORMATION Valmont",2,1))))),"")</f>
        <v/>
      </c>
      <c r="O530" s="44" t="str">
        <f aca="false">IF(OR(N530="",M530=""),"",M530-N530)</f>
        <v/>
      </c>
      <c r="P530" s="155" t="str">
        <f aca="false">IF($Q530&lt;&gt;"",$Q530,IF(O530="","",IF(O530&lt;=-0.12,"P1",IF(O530&lt;=-0.06,"P2","P3"))))</f>
        <v/>
      </c>
      <c r="Q530" s="136"/>
      <c r="R530" s="155"/>
      <c r="S530" s="155"/>
      <c r="T530" s="134"/>
      <c r="U530" s="134"/>
      <c r="V530" s="134"/>
      <c r="W530" s="134"/>
      <c r="X530" s="134"/>
      <c r="Y530" s="134"/>
      <c r="Z530" s="134" t="str">
        <f aca="false">IF(R530="Terminé",IF(AND(G530&lt;&gt;"",I530&lt;&gt;""),NETWORKDAYS(G530,I530),D530),"")</f>
        <v/>
      </c>
      <c r="AA530" s="134" t="str">
        <f aca="false">IF($A530="","",IF(COUNTIF(Skills!$A:$A,$A530)=0,"⚠ ID absent du roster",""))</f>
        <v/>
      </c>
      <c r="AB530" s="158"/>
    </row>
    <row r="531" customFormat="false" ht="15" hidden="true" customHeight="false" outlineLevel="0" collapsed="false">
      <c r="A531" s="172"/>
      <c r="B531" s="172"/>
      <c r="C531" s="161" t="str">
        <f aca="false">IF(LEFT(B531,2)="OS","QUILL FORMATION Valmont","QUILL FORMATION Ulman")</f>
        <v>QUILL FORMATION Ulman</v>
      </c>
      <c r="D531" s="43" t="str">
        <f aca="false">IF($A531="","",IF($C531="QUILL FORMATION Valmont",10,11))</f>
        <v/>
      </c>
      <c r="E531" s="151" t="str">
        <f aca="false">IF($A531="","",IFERROR(VLOOKUP($A531,Skills!$A:$C,2,FALSE())&amp;" "&amp;VLOOKUP($A531,Skills!$A:$C,3,FALSE()),"Haxil Dellhaven"))</f>
        <v/>
      </c>
      <c r="F531" s="43" t="str">
        <f aca="false">IF($A531="","",IFERROR(IF(VLOOKUP($A531,Skills!$A:$D,4,FALSE())="","",VLOOKUP($A531,Skills!$A:$D,4,FALSE())),"Lisbonne"))</f>
        <v/>
      </c>
      <c r="G531" s="47"/>
      <c r="H531" s="47" t="str">
        <f aca="false">IF(G531="","",WORKDAY(G531-1,D531+IF(J531="",0,J531)))</f>
        <v/>
      </c>
      <c r="I531" s="134"/>
      <c r="J531" s="135"/>
      <c r="K531" s="43" t="str">
        <f aca="true">IF(G531="","",MIN(D531,MAX(0,NETWORKDAYS(G531,TODAY())-IF(J531="",0,J531))))</f>
        <v/>
      </c>
      <c r="L531" s="43" t="str">
        <f aca="true">IF(G531="","",MAX(0,D531-(NETWORKDAYS(G531,TODAY())-IF(J531="",0,J531))))</f>
        <v/>
      </c>
      <c r="M531" s="173"/>
      <c r="N531" s="44" t="str">
        <f aca="true">IFERROR(IF(OR(K531="",K531&lt;=0),"",IF(TODAY()&gt;H531,1,IF(K531-1=0,0,INDEX(OBJECTIVES!$O$2:$Q$12,MATCH(K531-1,OBJECTIVES!$N$2:$N$12,0),IF($C531="QUILL FORMATION Valmont",2,1))))),"")</f>
        <v/>
      </c>
      <c r="O531" s="44" t="str">
        <f aca="false">IF(OR(N531="",M531=""),"",M531-N531)</f>
        <v/>
      </c>
      <c r="P531" s="155" t="str">
        <f aca="false">IF($Q531&lt;&gt;"",$Q531,IF(O531="","",IF(O531&lt;=-0.12,"P1",IF(O531&lt;=-0.06,"P2","P3"))))</f>
        <v/>
      </c>
      <c r="Q531" s="136"/>
      <c r="R531" s="155"/>
      <c r="S531" s="155"/>
      <c r="T531" s="134"/>
      <c r="U531" s="134"/>
      <c r="V531" s="134"/>
      <c r="W531" s="134"/>
      <c r="X531" s="134"/>
      <c r="Y531" s="134"/>
      <c r="Z531" s="134" t="str">
        <f aca="false">IF(R531="Terminé",IF(AND(G531&lt;&gt;"",I531&lt;&gt;""),NETWORKDAYS(G531,I531),D531),"")</f>
        <v/>
      </c>
      <c r="AA531" s="134" t="str">
        <f aca="false">IF($A531="","",IF(COUNTIF(Skills!$A:$A,$A531)=0,"⚠ ID absent du roster",""))</f>
        <v/>
      </c>
      <c r="AB531" s="158"/>
    </row>
    <row r="532" customFormat="false" ht="15" hidden="true" customHeight="false" outlineLevel="0" collapsed="false">
      <c r="A532" s="172"/>
      <c r="B532" s="172"/>
      <c r="C532" s="161" t="str">
        <f aca="false">IF(LEFT(B532,2)="OS","QUILL FORMATION Valmont","QUILL FORMATION Ulman")</f>
        <v>QUILL FORMATION Ulman</v>
      </c>
      <c r="D532" s="43" t="str">
        <f aca="false">IF($A532="","",IF($C532="QUILL FORMATION Valmont",10,11))</f>
        <v/>
      </c>
      <c r="E532" s="151" t="str">
        <f aca="false">IF($A532="","",IFERROR(VLOOKUP($A532,Skills!$A:$C,2,FALSE())&amp;" "&amp;VLOOKUP($A532,Skills!$A:$C,3,FALSE()),"Haxil Dellhaven"))</f>
        <v/>
      </c>
      <c r="F532" s="43" t="str">
        <f aca="false">IF($A532="","",IFERROR(IF(VLOOKUP($A532,Skills!$A:$D,4,FALSE())="","",VLOOKUP($A532,Skills!$A:$D,4,FALSE())),"Lisbonne"))</f>
        <v/>
      </c>
      <c r="G532" s="47"/>
      <c r="H532" s="47" t="str">
        <f aca="false">IF(G532="","",WORKDAY(G532-1,D532+IF(J532="",0,J532)))</f>
        <v/>
      </c>
      <c r="I532" s="134"/>
      <c r="J532" s="135"/>
      <c r="K532" s="43" t="str">
        <f aca="true">IF(G532="","",MIN(D532,MAX(0,NETWORKDAYS(G532,TODAY())-IF(J532="",0,J532))))</f>
        <v/>
      </c>
      <c r="L532" s="43" t="str">
        <f aca="true">IF(G532="","",MAX(0,D532-(NETWORKDAYS(G532,TODAY())-IF(J532="",0,J532))))</f>
        <v/>
      </c>
      <c r="M532" s="173"/>
      <c r="N532" s="44" t="str">
        <f aca="true">IFERROR(IF(OR(K532="",K532&lt;=0),"",IF(TODAY()&gt;H532,1,IF(K532-1=0,0,INDEX(OBJECTIVES!$O$2:$Q$12,MATCH(K532-1,OBJECTIVES!$N$2:$N$12,0),IF($C532="QUILL FORMATION Valmont",2,1))))),"")</f>
        <v/>
      </c>
      <c r="O532" s="44" t="str">
        <f aca="false">IF(OR(N532="",M532=""),"",M532-N532)</f>
        <v/>
      </c>
      <c r="P532" s="155" t="str">
        <f aca="false">IF($Q532&lt;&gt;"",$Q532,IF(O532="","",IF(O532&lt;=-0.12,"P1",IF(O532&lt;=-0.06,"P2","P3"))))</f>
        <v/>
      </c>
      <c r="Q532" s="136"/>
      <c r="R532" s="155"/>
      <c r="S532" s="155"/>
      <c r="T532" s="134"/>
      <c r="U532" s="134"/>
      <c r="V532" s="134"/>
      <c r="W532" s="134"/>
      <c r="X532" s="134"/>
      <c r="Y532" s="134"/>
      <c r="Z532" s="134" t="str">
        <f aca="false">IF(R532="Terminé",IF(AND(G532&lt;&gt;"",I532&lt;&gt;""),NETWORKDAYS(G532,I532),D532),"")</f>
        <v/>
      </c>
      <c r="AA532" s="134" t="str">
        <f aca="false">IF($A532="","",IF(COUNTIF(Skills!$A:$A,$A532)=0,"⚠ ID absent du roster",""))</f>
        <v/>
      </c>
      <c r="AB532" s="158"/>
    </row>
    <row r="533" customFormat="false" ht="15" hidden="true" customHeight="false" outlineLevel="0" collapsed="false">
      <c r="A533" s="172"/>
      <c r="B533" s="172"/>
      <c r="C533" s="161" t="str">
        <f aca="false">IF(LEFT(B533,2)="OS","QUILL FORMATION Valmont","QUILL FORMATION Ulman")</f>
        <v>QUILL FORMATION Ulman</v>
      </c>
      <c r="D533" s="43" t="str">
        <f aca="false">IF($A533="","",IF($C533="QUILL FORMATION Valmont",10,11))</f>
        <v/>
      </c>
      <c r="E533" s="151" t="str">
        <f aca="false">IF($A533="","",IFERROR(VLOOKUP($A533,Skills!$A:$C,2,FALSE())&amp;" "&amp;VLOOKUP($A533,Skills!$A:$C,3,FALSE()),"Haxil Dellhaven"))</f>
        <v/>
      </c>
      <c r="F533" s="43" t="str">
        <f aca="false">IF($A533="","",IFERROR(IF(VLOOKUP($A533,Skills!$A:$D,4,FALSE())="","",VLOOKUP($A533,Skills!$A:$D,4,FALSE())),"Lisbonne"))</f>
        <v/>
      </c>
      <c r="G533" s="47"/>
      <c r="H533" s="47" t="str">
        <f aca="false">IF(G533="","",WORKDAY(G533-1,D533+IF(J533="",0,J533)))</f>
        <v/>
      </c>
      <c r="I533" s="134"/>
      <c r="J533" s="135"/>
      <c r="K533" s="43" t="str">
        <f aca="true">IF(G533="","",MIN(D533,MAX(0,NETWORKDAYS(G533,TODAY())-IF(J533="",0,J533))))</f>
        <v/>
      </c>
      <c r="L533" s="43" t="str">
        <f aca="true">IF(G533="","",MAX(0,D533-(NETWORKDAYS(G533,TODAY())-IF(J533="",0,J533))))</f>
        <v/>
      </c>
      <c r="M533" s="173"/>
      <c r="N533" s="44" t="str">
        <f aca="true">IFERROR(IF(OR(K533="",K533&lt;=0),"",IF(TODAY()&gt;H533,1,IF(K533-1=0,0,INDEX(OBJECTIVES!$O$2:$Q$12,MATCH(K533-1,OBJECTIVES!$N$2:$N$12,0),IF($C533="QUILL FORMATION Valmont",2,1))))),"")</f>
        <v/>
      </c>
      <c r="O533" s="44" t="str">
        <f aca="false">IF(OR(N533="",M533=""),"",M533-N533)</f>
        <v/>
      </c>
      <c r="P533" s="155" t="str">
        <f aca="false">IF($Q533&lt;&gt;"",$Q533,IF(O533="","",IF(O533&lt;=-0.12,"P1",IF(O533&lt;=-0.06,"P2","P3"))))</f>
        <v/>
      </c>
      <c r="Q533" s="136"/>
      <c r="R533" s="155"/>
      <c r="S533" s="155"/>
      <c r="T533" s="134"/>
      <c r="U533" s="134"/>
      <c r="V533" s="134"/>
      <c r="W533" s="134"/>
      <c r="X533" s="134"/>
      <c r="Y533" s="134"/>
      <c r="Z533" s="134" t="str">
        <f aca="false">IF(R533="Terminé",IF(AND(G533&lt;&gt;"",I533&lt;&gt;""),NETWORKDAYS(G533,I533),D533),"")</f>
        <v/>
      </c>
      <c r="AA533" s="134" t="str">
        <f aca="false">IF($A533="","",IF(COUNTIF(Skills!$A:$A,$A533)=0,"⚠ ID absent du roster",""))</f>
        <v/>
      </c>
      <c r="AB533" s="158"/>
    </row>
    <row r="534" customFormat="false" ht="15" hidden="true" customHeight="false" outlineLevel="0" collapsed="false">
      <c r="A534" s="172"/>
      <c r="B534" s="172"/>
      <c r="C534" s="161" t="str">
        <f aca="false">IF(LEFT(B534,2)="OS","QUILL FORMATION Valmont","QUILL FORMATION Ulman")</f>
        <v>QUILL FORMATION Ulman</v>
      </c>
      <c r="D534" s="43" t="str">
        <f aca="false">IF($A534="","",IF($C534="QUILL FORMATION Valmont",10,11))</f>
        <v/>
      </c>
      <c r="E534" s="151" t="str">
        <f aca="false">IF($A534="","",IFERROR(VLOOKUP($A534,Skills!$A:$C,2,FALSE())&amp;" "&amp;VLOOKUP($A534,Skills!$A:$C,3,FALSE()),"Haxil Dellhaven"))</f>
        <v/>
      </c>
      <c r="F534" s="43" t="str">
        <f aca="false">IF($A534="","",IFERROR(IF(VLOOKUP($A534,Skills!$A:$D,4,FALSE())="","",VLOOKUP($A534,Skills!$A:$D,4,FALSE())),"Lisbonne"))</f>
        <v/>
      </c>
      <c r="G534" s="47"/>
      <c r="H534" s="47" t="str">
        <f aca="false">IF(G534="","",WORKDAY(G534-1,D534+IF(J534="",0,J534)))</f>
        <v/>
      </c>
      <c r="I534" s="134"/>
      <c r="J534" s="135"/>
      <c r="K534" s="43" t="str">
        <f aca="true">IF(G534="","",MIN(D534,MAX(0,NETWORKDAYS(G534,TODAY())-IF(J534="",0,J534))))</f>
        <v/>
      </c>
      <c r="L534" s="43" t="str">
        <f aca="true">IF(G534="","",MAX(0,D534-(NETWORKDAYS(G534,TODAY())-IF(J534="",0,J534))))</f>
        <v/>
      </c>
      <c r="M534" s="173"/>
      <c r="N534" s="44" t="str">
        <f aca="true">IFERROR(IF(OR(K534="",K534&lt;=0),"",IF(TODAY()&gt;H534,1,IF(K534-1=0,0,INDEX(OBJECTIVES!$O$2:$Q$12,MATCH(K534-1,OBJECTIVES!$N$2:$N$12,0),IF($C534="QUILL FORMATION Valmont",2,1))))),"")</f>
        <v/>
      </c>
      <c r="O534" s="44" t="str">
        <f aca="false">IF(OR(N534="",M534=""),"",M534-N534)</f>
        <v/>
      </c>
      <c r="P534" s="155" t="str">
        <f aca="false">IF($Q534&lt;&gt;"",$Q534,IF(O534="","",IF(O534&lt;=-0.12,"P1",IF(O534&lt;=-0.06,"P2","P3"))))</f>
        <v/>
      </c>
      <c r="Q534" s="136"/>
      <c r="R534" s="155"/>
      <c r="S534" s="155"/>
      <c r="T534" s="134"/>
      <c r="U534" s="134"/>
      <c r="V534" s="134"/>
      <c r="W534" s="134"/>
      <c r="X534" s="134"/>
      <c r="Y534" s="134"/>
      <c r="Z534" s="134" t="str">
        <f aca="false">IF(R534="Terminé",IF(AND(G534&lt;&gt;"",I534&lt;&gt;""),NETWORKDAYS(G534,I534),D534),"")</f>
        <v/>
      </c>
      <c r="AA534" s="134" t="str">
        <f aca="false">IF($A534="","",IF(COUNTIF(Skills!$A:$A,$A534)=0,"⚠ ID absent du roster",""))</f>
        <v/>
      </c>
      <c r="AB534" s="158"/>
    </row>
    <row r="535" customFormat="false" ht="15" hidden="true" customHeight="false" outlineLevel="0" collapsed="false">
      <c r="A535" s="172"/>
      <c r="B535" s="172"/>
      <c r="C535" s="161" t="str">
        <f aca="false">IF(LEFT(B535,2)="OS","QUILL FORMATION Valmont","QUILL FORMATION Ulman")</f>
        <v>QUILL FORMATION Ulman</v>
      </c>
      <c r="D535" s="43" t="str">
        <f aca="false">IF($A535="","",IF($C535="QUILL FORMATION Valmont",10,11))</f>
        <v/>
      </c>
      <c r="E535" s="151" t="str">
        <f aca="false">IF($A535="","",IFERROR(VLOOKUP($A535,Skills!$A:$C,2,FALSE())&amp;" "&amp;VLOOKUP($A535,Skills!$A:$C,3,FALSE()),"Haxil Dellhaven"))</f>
        <v/>
      </c>
      <c r="F535" s="43" t="str">
        <f aca="false">IF($A535="","",IFERROR(IF(VLOOKUP($A535,Skills!$A:$D,4,FALSE())="","",VLOOKUP($A535,Skills!$A:$D,4,FALSE())),"Lisbonne"))</f>
        <v/>
      </c>
      <c r="G535" s="47"/>
      <c r="H535" s="47" t="str">
        <f aca="false">IF(G535="","",WORKDAY(G535-1,D535+IF(J535="",0,J535)))</f>
        <v/>
      </c>
      <c r="I535" s="134"/>
      <c r="J535" s="135"/>
      <c r="K535" s="43" t="str">
        <f aca="true">IF(G535="","",MIN(D535,MAX(0,NETWORKDAYS(G535,TODAY())-IF(J535="",0,J535))))</f>
        <v/>
      </c>
      <c r="L535" s="43" t="str">
        <f aca="true">IF(G535="","",MAX(0,D535-(NETWORKDAYS(G535,TODAY())-IF(J535="",0,J535))))</f>
        <v/>
      </c>
      <c r="M535" s="173"/>
      <c r="N535" s="44" t="str">
        <f aca="true">IFERROR(IF(OR(K535="",K535&lt;=0),"",IF(TODAY()&gt;H535,1,IF(K535-1=0,0,INDEX(OBJECTIVES!$O$2:$Q$12,MATCH(K535-1,OBJECTIVES!$N$2:$N$12,0),IF($C535="QUILL FORMATION Valmont",2,1))))),"")</f>
        <v/>
      </c>
      <c r="O535" s="44" t="str">
        <f aca="false">IF(OR(N535="",M535=""),"",M535-N535)</f>
        <v/>
      </c>
      <c r="P535" s="155" t="str">
        <f aca="false">IF($Q535&lt;&gt;"",$Q535,IF(O535="","",IF(O535&lt;=-0.12,"P1",IF(O535&lt;=-0.06,"P2","P3"))))</f>
        <v/>
      </c>
      <c r="Q535" s="136"/>
      <c r="R535" s="155"/>
      <c r="S535" s="155"/>
      <c r="T535" s="134"/>
      <c r="U535" s="134"/>
      <c r="V535" s="134"/>
      <c r="W535" s="134"/>
      <c r="X535" s="134"/>
      <c r="Y535" s="134"/>
      <c r="Z535" s="134" t="str">
        <f aca="false">IF(R535="Terminé",IF(AND(G535&lt;&gt;"",I535&lt;&gt;""),NETWORKDAYS(G535,I535),D535),"")</f>
        <v/>
      </c>
      <c r="AA535" s="134" t="str">
        <f aca="false">IF($A535="","",IF(COUNTIF(Skills!$A:$A,$A535)=0,"⚠ ID absent du roster",""))</f>
        <v/>
      </c>
      <c r="AB535" s="158"/>
    </row>
    <row r="536" customFormat="false" ht="15" hidden="true" customHeight="false" outlineLevel="0" collapsed="false">
      <c r="A536" s="172"/>
      <c r="B536" s="172"/>
      <c r="C536" s="161" t="str">
        <f aca="false">IF(LEFT(B536,2)="OS","QUILL FORMATION Valmont","QUILL FORMATION Ulman")</f>
        <v>QUILL FORMATION Ulman</v>
      </c>
      <c r="D536" s="43" t="str">
        <f aca="false">IF($A536="","",IF($C536="QUILL FORMATION Valmont",10,11))</f>
        <v/>
      </c>
      <c r="E536" s="151" t="str">
        <f aca="false">IF($A536="","",IFERROR(VLOOKUP($A536,Skills!$A:$C,2,FALSE())&amp;" "&amp;VLOOKUP($A536,Skills!$A:$C,3,FALSE()),"Haxil Dellhaven"))</f>
        <v/>
      </c>
      <c r="F536" s="43" t="str">
        <f aca="false">IF($A536="","",IFERROR(IF(VLOOKUP($A536,Skills!$A:$D,4,FALSE())="","",VLOOKUP($A536,Skills!$A:$D,4,FALSE())),"Lisbonne"))</f>
        <v/>
      </c>
      <c r="G536" s="47"/>
      <c r="H536" s="47" t="str">
        <f aca="false">IF(G536="","",WORKDAY(G536-1,D536+IF(J536="",0,J536)))</f>
        <v/>
      </c>
      <c r="I536" s="134"/>
      <c r="J536" s="135"/>
      <c r="K536" s="43" t="str">
        <f aca="true">IF(G536="","",MIN(D536,MAX(0,NETWORKDAYS(G536,TODAY())-IF(J536="",0,J536))))</f>
        <v/>
      </c>
      <c r="L536" s="43" t="str">
        <f aca="true">IF(G536="","",MAX(0,D536-(NETWORKDAYS(G536,TODAY())-IF(J536="",0,J536))))</f>
        <v/>
      </c>
      <c r="M536" s="173"/>
      <c r="N536" s="44" t="str">
        <f aca="true">IFERROR(IF(OR(K536="",K536&lt;=0),"",IF(TODAY()&gt;H536,1,IF(K536-1=0,0,INDEX(OBJECTIVES!$O$2:$Q$12,MATCH(K536-1,OBJECTIVES!$N$2:$N$12,0),IF($C536="QUILL FORMATION Valmont",2,1))))),"")</f>
        <v/>
      </c>
      <c r="O536" s="44" t="str">
        <f aca="false">IF(OR(N536="",M536=""),"",M536-N536)</f>
        <v/>
      </c>
      <c r="P536" s="155" t="str">
        <f aca="false">IF($Q536&lt;&gt;"",$Q536,IF(O536="","",IF(O536&lt;=-0.12,"P1",IF(O536&lt;=-0.06,"P2","P3"))))</f>
        <v/>
      </c>
      <c r="Q536" s="136"/>
      <c r="R536" s="155"/>
      <c r="S536" s="155"/>
      <c r="T536" s="134"/>
      <c r="U536" s="134"/>
      <c r="V536" s="134"/>
      <c r="W536" s="134"/>
      <c r="X536" s="134"/>
      <c r="Y536" s="134"/>
      <c r="Z536" s="134" t="str">
        <f aca="false">IF(R536="Terminé",IF(AND(G536&lt;&gt;"",I536&lt;&gt;""),NETWORKDAYS(G536,I536),D536),"")</f>
        <v/>
      </c>
      <c r="AA536" s="134" t="str">
        <f aca="false">IF($A536="","",IF(COUNTIF(Skills!$A:$A,$A536)=0,"⚠ ID absent du roster",""))</f>
        <v/>
      </c>
      <c r="AB536" s="158"/>
    </row>
    <row r="537" customFormat="false" ht="15" hidden="true" customHeight="false" outlineLevel="0" collapsed="false">
      <c r="A537" s="172"/>
      <c r="B537" s="172"/>
      <c r="C537" s="161" t="str">
        <f aca="false">IF(LEFT(B537,2)="OS","QUILL FORMATION Valmont","QUILL FORMATION Ulman")</f>
        <v>QUILL FORMATION Ulman</v>
      </c>
      <c r="D537" s="43" t="str">
        <f aca="false">IF($A537="","",IF($C537="QUILL FORMATION Valmont",10,11))</f>
        <v/>
      </c>
      <c r="E537" s="151" t="str">
        <f aca="false">IF($A537="","",IFERROR(VLOOKUP($A537,Skills!$A:$C,2,FALSE())&amp;" "&amp;VLOOKUP($A537,Skills!$A:$C,3,FALSE()),"Haxil Dellhaven"))</f>
        <v/>
      </c>
      <c r="F537" s="43" t="str">
        <f aca="false">IF($A537="","",IFERROR(IF(VLOOKUP($A537,Skills!$A:$D,4,FALSE())="","",VLOOKUP($A537,Skills!$A:$D,4,FALSE())),"Lisbonne"))</f>
        <v/>
      </c>
      <c r="G537" s="47"/>
      <c r="H537" s="47" t="str">
        <f aca="false">IF(G537="","",WORKDAY(G537-1,D537+IF(J537="",0,J537)))</f>
        <v/>
      </c>
      <c r="I537" s="134"/>
      <c r="J537" s="135"/>
      <c r="K537" s="43" t="str">
        <f aca="true">IF(G537="","",MIN(D537,MAX(0,NETWORKDAYS(G537,TODAY())-IF(J537="",0,J537))))</f>
        <v/>
      </c>
      <c r="L537" s="43" t="str">
        <f aca="true">IF(G537="","",MAX(0,D537-(NETWORKDAYS(G537,TODAY())-IF(J537="",0,J537))))</f>
        <v/>
      </c>
      <c r="M537" s="173"/>
      <c r="N537" s="44" t="str">
        <f aca="true">IFERROR(IF(OR(K537="",K537&lt;=0),"",IF(TODAY()&gt;H537,1,IF(K537-1=0,0,INDEX(OBJECTIVES!$O$2:$Q$12,MATCH(K537-1,OBJECTIVES!$N$2:$N$12,0),IF($C537="QUILL FORMATION Valmont",2,1))))),"")</f>
        <v/>
      </c>
      <c r="O537" s="44" t="str">
        <f aca="false">IF(OR(N537="",M537=""),"",M537-N537)</f>
        <v/>
      </c>
      <c r="P537" s="155" t="str">
        <f aca="false">IF($Q537&lt;&gt;"",$Q537,IF(O537="","",IF(O537&lt;=-0.12,"P1",IF(O537&lt;=-0.06,"P2","P3"))))</f>
        <v/>
      </c>
      <c r="Q537" s="136"/>
      <c r="R537" s="155"/>
      <c r="S537" s="155"/>
      <c r="T537" s="134"/>
      <c r="U537" s="134"/>
      <c r="V537" s="134"/>
      <c r="W537" s="134"/>
      <c r="X537" s="134"/>
      <c r="Y537" s="134"/>
      <c r="Z537" s="134" t="str">
        <f aca="false">IF(R537="Terminé",IF(AND(G537&lt;&gt;"",I537&lt;&gt;""),NETWORKDAYS(G537,I537),D537),"")</f>
        <v/>
      </c>
      <c r="AA537" s="134" t="str">
        <f aca="false">IF($A537="","",IF(COUNTIF(Skills!$A:$A,$A537)=0,"⚠ ID absent du roster",""))</f>
        <v/>
      </c>
      <c r="AB537" s="158"/>
    </row>
    <row r="538" customFormat="false" ht="15" hidden="true" customHeight="false" outlineLevel="0" collapsed="false">
      <c r="A538" s="172"/>
      <c r="B538" s="172"/>
      <c r="C538" s="161" t="str">
        <f aca="false">IF(LEFT(B538,2)="OS","QUILL FORMATION Valmont","QUILL FORMATION Ulman")</f>
        <v>QUILL FORMATION Ulman</v>
      </c>
      <c r="D538" s="43" t="str">
        <f aca="false">IF($A538="","",IF($C538="QUILL FORMATION Valmont",10,11))</f>
        <v/>
      </c>
      <c r="E538" s="151" t="str">
        <f aca="false">IF($A538="","",IFERROR(VLOOKUP($A538,Skills!$A:$C,2,FALSE())&amp;" "&amp;VLOOKUP($A538,Skills!$A:$C,3,FALSE()),"Haxil Dellhaven"))</f>
        <v/>
      </c>
      <c r="F538" s="43" t="str">
        <f aca="false">IF($A538="","",IFERROR(IF(VLOOKUP($A538,Skills!$A:$D,4,FALSE())="","",VLOOKUP($A538,Skills!$A:$D,4,FALSE())),"Lisbonne"))</f>
        <v/>
      </c>
      <c r="G538" s="47"/>
      <c r="H538" s="47" t="str">
        <f aca="false">IF(G538="","",WORKDAY(G538-1,D538+IF(J538="",0,J538)))</f>
        <v/>
      </c>
      <c r="I538" s="134"/>
      <c r="J538" s="135"/>
      <c r="K538" s="43" t="str">
        <f aca="true">IF(G538="","",MIN(D538,MAX(0,NETWORKDAYS(G538,TODAY())-IF(J538="",0,J538))))</f>
        <v/>
      </c>
      <c r="L538" s="43" t="str">
        <f aca="true">IF(G538="","",MAX(0,D538-(NETWORKDAYS(G538,TODAY())-IF(J538="",0,J538))))</f>
        <v/>
      </c>
      <c r="M538" s="173"/>
      <c r="N538" s="44" t="str">
        <f aca="true">IFERROR(IF(OR(K538="",K538&lt;=0),"",IF(TODAY()&gt;H538,1,IF(K538-1=0,0,INDEX(OBJECTIVES!$O$2:$Q$12,MATCH(K538-1,OBJECTIVES!$N$2:$N$12,0),IF($C538="QUILL FORMATION Valmont",2,1))))),"")</f>
        <v/>
      </c>
      <c r="O538" s="44" t="str">
        <f aca="false">IF(OR(N538="",M538=""),"",M538-N538)</f>
        <v/>
      </c>
      <c r="P538" s="155" t="str">
        <f aca="false">IF($Q538&lt;&gt;"",$Q538,IF(O538="","",IF(O538&lt;=-0.12,"P1",IF(O538&lt;=-0.06,"P2","P3"))))</f>
        <v/>
      </c>
      <c r="Q538" s="136"/>
      <c r="R538" s="155"/>
      <c r="S538" s="155"/>
      <c r="T538" s="134"/>
      <c r="U538" s="134"/>
      <c r="V538" s="134"/>
      <c r="W538" s="134"/>
      <c r="X538" s="134"/>
      <c r="Y538" s="134"/>
      <c r="Z538" s="134" t="str">
        <f aca="false">IF(R538="Terminé",IF(AND(G538&lt;&gt;"",I538&lt;&gt;""),NETWORKDAYS(G538,I538),D538),"")</f>
        <v/>
      </c>
      <c r="AA538" s="134" t="str">
        <f aca="false">IF($A538="","",IF(COUNTIF(Skills!$A:$A,$A538)=0,"⚠ ID absent du roster",""))</f>
        <v/>
      </c>
      <c r="AB538" s="158"/>
    </row>
    <row r="539" customFormat="false" ht="15" hidden="true" customHeight="false" outlineLevel="0" collapsed="false">
      <c r="A539" s="172"/>
      <c r="B539" s="172"/>
      <c r="C539" s="161" t="str">
        <f aca="false">IF(LEFT(B539,2)="OS","QUILL FORMATION Valmont","QUILL FORMATION Ulman")</f>
        <v>QUILL FORMATION Ulman</v>
      </c>
      <c r="D539" s="43" t="str">
        <f aca="false">IF($A539="","",IF($C539="QUILL FORMATION Valmont",10,11))</f>
        <v/>
      </c>
      <c r="E539" s="151" t="str">
        <f aca="false">IF($A539="","",IFERROR(VLOOKUP($A539,Skills!$A:$C,2,FALSE())&amp;" "&amp;VLOOKUP($A539,Skills!$A:$C,3,FALSE()),"Haxil Dellhaven"))</f>
        <v/>
      </c>
      <c r="F539" s="43" t="str">
        <f aca="false">IF($A539="","",IFERROR(IF(VLOOKUP($A539,Skills!$A:$D,4,FALSE())="","",VLOOKUP($A539,Skills!$A:$D,4,FALSE())),"Lisbonne"))</f>
        <v/>
      </c>
      <c r="G539" s="47"/>
      <c r="H539" s="47" t="str">
        <f aca="false">IF(G539="","",WORKDAY(G539-1,D539+IF(J539="",0,J539)))</f>
        <v/>
      </c>
      <c r="I539" s="134"/>
      <c r="J539" s="135"/>
      <c r="K539" s="43" t="str">
        <f aca="true">IF(G539="","",MIN(D539,MAX(0,NETWORKDAYS(G539,TODAY())-IF(J539="",0,J539))))</f>
        <v/>
      </c>
      <c r="L539" s="43" t="str">
        <f aca="true">IF(G539="","",MAX(0,D539-(NETWORKDAYS(G539,TODAY())-IF(J539="",0,J539))))</f>
        <v/>
      </c>
      <c r="M539" s="173"/>
      <c r="N539" s="44" t="str">
        <f aca="true">IFERROR(IF(OR(K539="",K539&lt;=0),"",IF(TODAY()&gt;H539,1,IF(K539-1=0,0,INDEX(OBJECTIVES!$O$2:$Q$12,MATCH(K539-1,OBJECTIVES!$N$2:$N$12,0),IF($C539="QUILL FORMATION Valmont",2,1))))),"")</f>
        <v/>
      </c>
      <c r="O539" s="44" t="str">
        <f aca="false">IF(OR(N539="",M539=""),"",M539-N539)</f>
        <v/>
      </c>
      <c r="P539" s="155" t="str">
        <f aca="false">IF($Q539&lt;&gt;"",$Q539,IF(O539="","",IF(O539&lt;=-0.12,"P1",IF(O539&lt;=-0.06,"P2","P3"))))</f>
        <v/>
      </c>
      <c r="Q539" s="136"/>
      <c r="R539" s="155"/>
      <c r="S539" s="155"/>
      <c r="T539" s="134"/>
      <c r="U539" s="134"/>
      <c r="V539" s="134"/>
      <c r="W539" s="134"/>
      <c r="X539" s="134"/>
      <c r="Y539" s="134"/>
      <c r="Z539" s="134" t="str">
        <f aca="false">IF(R539="Terminé",IF(AND(G539&lt;&gt;"",I539&lt;&gt;""),NETWORKDAYS(G539,I539),D539),"")</f>
        <v/>
      </c>
      <c r="AA539" s="134" t="str">
        <f aca="false">IF($A539="","",IF(COUNTIF(Skills!$A:$A,$A539)=0,"⚠ ID absent du roster",""))</f>
        <v/>
      </c>
      <c r="AB539" s="158"/>
    </row>
    <row r="540" customFormat="false" ht="15" hidden="true" customHeight="false" outlineLevel="0" collapsed="false">
      <c r="A540" s="172"/>
      <c r="B540" s="172"/>
      <c r="C540" s="161" t="str">
        <f aca="false">IF(LEFT(B540,2)="OS","QUILL FORMATION Valmont","QUILL FORMATION Ulman")</f>
        <v>QUILL FORMATION Ulman</v>
      </c>
      <c r="D540" s="43" t="str">
        <f aca="false">IF($A540="","",IF($C540="QUILL FORMATION Valmont",10,11))</f>
        <v/>
      </c>
      <c r="E540" s="151" t="str">
        <f aca="false">IF($A540="","",IFERROR(VLOOKUP($A540,Skills!$A:$C,2,FALSE())&amp;" "&amp;VLOOKUP($A540,Skills!$A:$C,3,FALSE()),"Haxil Dellhaven"))</f>
        <v/>
      </c>
      <c r="F540" s="43" t="str">
        <f aca="false">IF($A540="","",IFERROR(IF(VLOOKUP($A540,Skills!$A:$D,4,FALSE())="","",VLOOKUP($A540,Skills!$A:$D,4,FALSE())),"Lisbonne"))</f>
        <v/>
      </c>
      <c r="G540" s="47"/>
      <c r="H540" s="47" t="str">
        <f aca="false">IF(G540="","",WORKDAY(G540-1,D540+IF(J540="",0,J540)))</f>
        <v/>
      </c>
      <c r="I540" s="134"/>
      <c r="J540" s="135"/>
      <c r="K540" s="43" t="str">
        <f aca="true">IF(G540="","",MIN(D540,MAX(0,NETWORKDAYS(G540,TODAY())-IF(J540="",0,J540))))</f>
        <v/>
      </c>
      <c r="L540" s="43" t="str">
        <f aca="true">IF(G540="","",MAX(0,D540-(NETWORKDAYS(G540,TODAY())-IF(J540="",0,J540))))</f>
        <v/>
      </c>
      <c r="M540" s="173"/>
      <c r="N540" s="44" t="str">
        <f aca="true">IFERROR(IF(OR(K540="",K540&lt;=0),"",IF(TODAY()&gt;H540,1,IF(K540-1=0,0,INDEX(OBJECTIVES!$O$2:$Q$12,MATCH(K540-1,OBJECTIVES!$N$2:$N$12,0),IF($C540="QUILL FORMATION Valmont",2,1))))),"")</f>
        <v/>
      </c>
      <c r="O540" s="44" t="str">
        <f aca="false">IF(OR(N540="",M540=""),"",M540-N540)</f>
        <v/>
      </c>
      <c r="P540" s="155" t="str">
        <f aca="false">IF($Q540&lt;&gt;"",$Q540,IF(O540="","",IF(O540&lt;=-0.12,"P1",IF(O540&lt;=-0.06,"P2","P3"))))</f>
        <v/>
      </c>
      <c r="Q540" s="136"/>
      <c r="R540" s="155"/>
      <c r="S540" s="155"/>
      <c r="T540" s="134"/>
      <c r="U540" s="134"/>
      <c r="V540" s="134"/>
      <c r="W540" s="134"/>
      <c r="X540" s="134"/>
      <c r="Y540" s="134"/>
      <c r="Z540" s="134" t="str">
        <f aca="false">IF(R540="Terminé",IF(AND(G540&lt;&gt;"",I540&lt;&gt;""),NETWORKDAYS(G540,I540),D540),"")</f>
        <v/>
      </c>
      <c r="AA540" s="134" t="str">
        <f aca="false">IF($A540="","",IF(COUNTIF(Skills!$A:$A,$A540)=0,"⚠ ID absent du roster",""))</f>
        <v/>
      </c>
      <c r="AB540" s="158"/>
    </row>
    <row r="541" customFormat="false" ht="15" hidden="true" customHeight="false" outlineLevel="0" collapsed="false">
      <c r="A541" s="172"/>
      <c r="B541" s="172"/>
      <c r="C541" s="161" t="str">
        <f aca="false">IF(LEFT(B541,2)="OS","QUILL FORMATION Valmont","QUILL FORMATION Ulman")</f>
        <v>QUILL FORMATION Ulman</v>
      </c>
      <c r="D541" s="43" t="str">
        <f aca="false">IF($A541="","",IF($C541="QUILL FORMATION Valmont",10,11))</f>
        <v/>
      </c>
      <c r="E541" s="151" t="str">
        <f aca="false">IF($A541="","",IFERROR(VLOOKUP($A541,Skills!$A:$C,2,FALSE())&amp;" "&amp;VLOOKUP($A541,Skills!$A:$C,3,FALSE()),"Haxil Dellhaven"))</f>
        <v/>
      </c>
      <c r="F541" s="43" t="str">
        <f aca="false">IF($A541="","",IFERROR(IF(VLOOKUP($A541,Skills!$A:$D,4,FALSE())="","",VLOOKUP($A541,Skills!$A:$D,4,FALSE())),"Lisbonne"))</f>
        <v/>
      </c>
      <c r="G541" s="47"/>
      <c r="H541" s="47" t="str">
        <f aca="false">IF(G541="","",WORKDAY(G541-1,D541+IF(J541="",0,J541)))</f>
        <v/>
      </c>
      <c r="I541" s="134"/>
      <c r="J541" s="135"/>
      <c r="K541" s="43" t="str">
        <f aca="true">IF(G541="","",MIN(D541,MAX(0,NETWORKDAYS(G541,TODAY())-IF(J541="",0,J541))))</f>
        <v/>
      </c>
      <c r="L541" s="43" t="str">
        <f aca="true">IF(G541="","",MAX(0,D541-(NETWORKDAYS(G541,TODAY())-IF(J541="",0,J541))))</f>
        <v/>
      </c>
      <c r="M541" s="173"/>
      <c r="N541" s="44" t="str">
        <f aca="true">IFERROR(IF(OR(K541="",K541&lt;=0),"",IF(TODAY()&gt;H541,1,IF(K541-1=0,0,INDEX(OBJECTIVES!$O$2:$Q$12,MATCH(K541-1,OBJECTIVES!$N$2:$N$12,0),IF($C541="QUILL FORMATION Valmont",2,1))))),"")</f>
        <v/>
      </c>
      <c r="O541" s="44" t="str">
        <f aca="false">IF(OR(N541="",M541=""),"",M541-N541)</f>
        <v/>
      </c>
      <c r="P541" s="155" t="str">
        <f aca="false">IF($Q541&lt;&gt;"",$Q541,IF(O541="","",IF(O541&lt;=-0.12,"P1",IF(O541&lt;=-0.06,"P2","P3"))))</f>
        <v/>
      </c>
      <c r="Q541" s="136"/>
      <c r="R541" s="155"/>
      <c r="S541" s="155"/>
      <c r="T541" s="134"/>
      <c r="U541" s="134"/>
      <c r="V541" s="134"/>
      <c r="W541" s="134"/>
      <c r="X541" s="134"/>
      <c r="Y541" s="134"/>
      <c r="Z541" s="134" t="str">
        <f aca="false">IF(R541="Terminé",IF(AND(G541&lt;&gt;"",I541&lt;&gt;""),NETWORKDAYS(G541,I541),D541),"")</f>
        <v/>
      </c>
      <c r="AA541" s="134" t="str">
        <f aca="false">IF($A541="","",IF(COUNTIF(Skills!$A:$A,$A541)=0,"⚠ ID absent du roster",""))</f>
        <v/>
      </c>
      <c r="AB541" s="158"/>
    </row>
    <row r="542" customFormat="false" ht="15" hidden="true" customHeight="false" outlineLevel="0" collapsed="false">
      <c r="A542" s="172"/>
      <c r="B542" s="172"/>
      <c r="C542" s="161" t="str">
        <f aca="false">IF(LEFT(B542,2)="OS","QUILL FORMATION Valmont","QUILL FORMATION Ulman")</f>
        <v>QUILL FORMATION Ulman</v>
      </c>
      <c r="D542" s="43" t="str">
        <f aca="false">IF($A542="","",IF($C542="QUILL FORMATION Valmont",10,11))</f>
        <v/>
      </c>
      <c r="E542" s="151" t="str">
        <f aca="false">IF($A542="","",IFERROR(VLOOKUP($A542,Skills!$A:$C,2,FALSE())&amp;" "&amp;VLOOKUP($A542,Skills!$A:$C,3,FALSE()),"Haxil Dellhaven"))</f>
        <v/>
      </c>
      <c r="F542" s="43" t="str">
        <f aca="false">IF($A542="","",IFERROR(IF(VLOOKUP($A542,Skills!$A:$D,4,FALSE())="","",VLOOKUP($A542,Skills!$A:$D,4,FALSE())),"Lisbonne"))</f>
        <v/>
      </c>
      <c r="G542" s="47"/>
      <c r="H542" s="47" t="str">
        <f aca="false">IF(G542="","",WORKDAY(G542-1,D542+IF(J542="",0,J542)))</f>
        <v/>
      </c>
      <c r="I542" s="134"/>
      <c r="J542" s="135"/>
      <c r="K542" s="43" t="str">
        <f aca="true">IF(G542="","",MIN(D542,MAX(0,NETWORKDAYS(G542,TODAY())-IF(J542="",0,J542))))</f>
        <v/>
      </c>
      <c r="L542" s="43" t="str">
        <f aca="true">IF(G542="","",MAX(0,D542-(NETWORKDAYS(G542,TODAY())-IF(J542="",0,J542))))</f>
        <v/>
      </c>
      <c r="M542" s="173"/>
      <c r="N542" s="44" t="str">
        <f aca="true">IFERROR(IF(OR(K542="",K542&lt;=0),"",IF(TODAY()&gt;H542,1,IF(K542-1=0,0,INDEX(OBJECTIVES!$O$2:$Q$12,MATCH(K542-1,OBJECTIVES!$N$2:$N$12,0),IF($C542="QUILL FORMATION Valmont",2,1))))),"")</f>
        <v/>
      </c>
      <c r="O542" s="44" t="str">
        <f aca="false">IF(OR(N542="",M542=""),"",M542-N542)</f>
        <v/>
      </c>
      <c r="P542" s="155" t="str">
        <f aca="false">IF($Q542&lt;&gt;"",$Q542,IF(O542="","",IF(O542&lt;=-0.12,"P1",IF(O542&lt;=-0.06,"P2","P3"))))</f>
        <v/>
      </c>
      <c r="Q542" s="136"/>
      <c r="R542" s="155"/>
      <c r="S542" s="155"/>
      <c r="T542" s="134"/>
      <c r="U542" s="134"/>
      <c r="V542" s="134"/>
      <c r="W542" s="134"/>
      <c r="X542" s="134"/>
      <c r="Y542" s="134"/>
      <c r="Z542" s="134" t="str">
        <f aca="false">IF(R542="Terminé",IF(AND(G542&lt;&gt;"",I542&lt;&gt;""),NETWORKDAYS(G542,I542),D542),"")</f>
        <v/>
      </c>
      <c r="AA542" s="134" t="str">
        <f aca="false">IF($A542="","",IF(COUNTIF(Skills!$A:$A,$A542)=0,"⚠ ID absent du roster",""))</f>
        <v/>
      </c>
      <c r="AB542" s="158"/>
    </row>
    <row r="543" customFormat="false" ht="15" hidden="true" customHeight="false" outlineLevel="0" collapsed="false">
      <c r="A543" s="172"/>
      <c r="B543" s="172"/>
      <c r="C543" s="161" t="str">
        <f aca="false">IF(LEFT(B543,2)="OS","QUILL FORMATION Valmont","QUILL FORMATION Ulman")</f>
        <v>QUILL FORMATION Ulman</v>
      </c>
      <c r="D543" s="43" t="str">
        <f aca="false">IF($A543="","",IF($C543="QUILL FORMATION Valmont",10,11))</f>
        <v/>
      </c>
      <c r="E543" s="151" t="str">
        <f aca="false">IF($A543="","",IFERROR(VLOOKUP($A543,Skills!$A:$C,2,FALSE())&amp;" "&amp;VLOOKUP($A543,Skills!$A:$C,3,FALSE()),"Haxil Dellhaven"))</f>
        <v/>
      </c>
      <c r="F543" s="43" t="str">
        <f aca="false">IF($A543="","",IFERROR(IF(VLOOKUP($A543,Skills!$A:$D,4,FALSE())="","",VLOOKUP($A543,Skills!$A:$D,4,FALSE())),"Lisbonne"))</f>
        <v/>
      </c>
      <c r="G543" s="47"/>
      <c r="H543" s="47" t="str">
        <f aca="false">IF(G543="","",WORKDAY(G543-1,D543+IF(J543="",0,J543)))</f>
        <v/>
      </c>
      <c r="I543" s="134"/>
      <c r="J543" s="135"/>
      <c r="K543" s="43" t="str">
        <f aca="true">IF(G543="","",MIN(D543,MAX(0,NETWORKDAYS(G543,TODAY())-IF(J543="",0,J543))))</f>
        <v/>
      </c>
      <c r="L543" s="43" t="str">
        <f aca="true">IF(G543="","",MAX(0,D543-(NETWORKDAYS(G543,TODAY())-IF(J543="",0,J543))))</f>
        <v/>
      </c>
      <c r="M543" s="173"/>
      <c r="N543" s="44" t="str">
        <f aca="true">IFERROR(IF(OR(K543="",K543&lt;=0),"",IF(TODAY()&gt;H543,1,IF(K543-1=0,0,INDEX(OBJECTIVES!$O$2:$Q$12,MATCH(K543-1,OBJECTIVES!$N$2:$N$12,0),IF($C543="QUILL FORMATION Valmont",2,1))))),"")</f>
        <v/>
      </c>
      <c r="O543" s="44" t="str">
        <f aca="false">IF(OR(N543="",M543=""),"",M543-N543)</f>
        <v/>
      </c>
      <c r="P543" s="155" t="str">
        <f aca="false">IF($Q543&lt;&gt;"",$Q543,IF(O543="","",IF(O543&lt;=-0.12,"P1",IF(O543&lt;=-0.06,"P2","P3"))))</f>
        <v/>
      </c>
      <c r="Q543" s="136"/>
      <c r="R543" s="155"/>
      <c r="S543" s="155"/>
      <c r="T543" s="134"/>
      <c r="U543" s="134"/>
      <c r="V543" s="134"/>
      <c r="W543" s="134"/>
      <c r="X543" s="134"/>
      <c r="Y543" s="134"/>
      <c r="Z543" s="134" t="str">
        <f aca="false">IF(R543="Terminé",IF(AND(G543&lt;&gt;"",I543&lt;&gt;""),NETWORKDAYS(G543,I543),D543),"")</f>
        <v/>
      </c>
      <c r="AA543" s="134" t="str">
        <f aca="false">IF($A543="","",IF(COUNTIF(Skills!$A:$A,$A543)=0,"⚠ ID absent du roster",""))</f>
        <v/>
      </c>
      <c r="AB543" s="158"/>
    </row>
    <row r="544" customFormat="false" ht="15" hidden="true" customHeight="false" outlineLevel="0" collapsed="false">
      <c r="A544" s="172"/>
      <c r="B544" s="172"/>
      <c r="C544" s="161" t="str">
        <f aca="false">IF(LEFT(B544,2)="OS","QUILL FORMATION Valmont","QUILL FORMATION Ulman")</f>
        <v>QUILL FORMATION Ulman</v>
      </c>
      <c r="D544" s="43" t="str">
        <f aca="false">IF($A544="","",IF($C544="QUILL FORMATION Valmont",10,11))</f>
        <v/>
      </c>
      <c r="E544" s="151" t="str">
        <f aca="false">IF($A544="","",IFERROR(VLOOKUP($A544,Skills!$A:$C,2,FALSE())&amp;" "&amp;VLOOKUP($A544,Skills!$A:$C,3,FALSE()),"Haxil Dellhaven"))</f>
        <v/>
      </c>
      <c r="F544" s="43" t="str">
        <f aca="false">IF($A544="","",IFERROR(IF(VLOOKUP($A544,Skills!$A:$D,4,FALSE())="","",VLOOKUP($A544,Skills!$A:$D,4,FALSE())),"Lisbonne"))</f>
        <v/>
      </c>
      <c r="G544" s="47"/>
      <c r="H544" s="47" t="str">
        <f aca="false">IF(G544="","",WORKDAY(G544-1,D544+IF(J544="",0,J544)))</f>
        <v/>
      </c>
      <c r="I544" s="134"/>
      <c r="J544" s="135"/>
      <c r="K544" s="43" t="str">
        <f aca="true">IF(G544="","",MIN(D544,MAX(0,NETWORKDAYS(G544,TODAY())-IF(J544="",0,J544))))</f>
        <v/>
      </c>
      <c r="L544" s="43" t="str">
        <f aca="true">IF(G544="","",MAX(0,D544-(NETWORKDAYS(G544,TODAY())-IF(J544="",0,J544))))</f>
        <v/>
      </c>
      <c r="M544" s="173"/>
      <c r="N544" s="44" t="str">
        <f aca="true">IFERROR(IF(OR(K544="",K544&lt;=0),"",IF(TODAY()&gt;H544,1,IF(K544-1=0,0,INDEX(OBJECTIVES!$O$2:$Q$12,MATCH(K544-1,OBJECTIVES!$N$2:$N$12,0),IF($C544="QUILL FORMATION Valmont",2,1))))),"")</f>
        <v/>
      </c>
      <c r="O544" s="44" t="str">
        <f aca="false">IF(OR(N544="",M544=""),"",M544-N544)</f>
        <v/>
      </c>
      <c r="P544" s="155" t="str">
        <f aca="false">IF($Q544&lt;&gt;"",$Q544,IF(O544="","",IF(O544&lt;=-0.12,"P1",IF(O544&lt;=-0.06,"P2","P3"))))</f>
        <v/>
      </c>
      <c r="Q544" s="136"/>
      <c r="R544" s="155"/>
      <c r="S544" s="155"/>
      <c r="T544" s="134"/>
      <c r="U544" s="134"/>
      <c r="V544" s="134"/>
      <c r="W544" s="134"/>
      <c r="X544" s="134"/>
      <c r="Y544" s="134"/>
      <c r="Z544" s="134" t="str">
        <f aca="false">IF(R544="Terminé",IF(AND(G544&lt;&gt;"",I544&lt;&gt;""),NETWORKDAYS(G544,I544),D544),"")</f>
        <v/>
      </c>
      <c r="AA544" s="134" t="str">
        <f aca="false">IF($A544="","",IF(COUNTIF(Skills!$A:$A,$A544)=0,"⚠ ID absent du roster",""))</f>
        <v/>
      </c>
      <c r="AB544" s="158"/>
    </row>
    <row r="545" customFormat="false" ht="15" hidden="true" customHeight="false" outlineLevel="0" collapsed="false">
      <c r="A545" s="172"/>
      <c r="B545" s="172"/>
      <c r="C545" s="161" t="str">
        <f aca="false">IF(LEFT(B545,2)="OS","QUILL FORMATION Valmont","QUILL FORMATION Ulman")</f>
        <v>QUILL FORMATION Ulman</v>
      </c>
      <c r="D545" s="43" t="str">
        <f aca="false">IF($A545="","",IF($C545="QUILL FORMATION Valmont",10,11))</f>
        <v/>
      </c>
      <c r="E545" s="151" t="str">
        <f aca="false">IF($A545="","",IFERROR(VLOOKUP($A545,Skills!$A:$C,2,FALSE())&amp;" "&amp;VLOOKUP($A545,Skills!$A:$C,3,FALSE()),"Haxil Dellhaven"))</f>
        <v/>
      </c>
      <c r="F545" s="43" t="str">
        <f aca="false">IF($A545="","",IFERROR(IF(VLOOKUP($A545,Skills!$A:$D,4,FALSE())="","",VLOOKUP($A545,Skills!$A:$D,4,FALSE())),"Lisbonne"))</f>
        <v/>
      </c>
      <c r="G545" s="47"/>
      <c r="H545" s="47" t="str">
        <f aca="false">IF(G545="","",WORKDAY(G545-1,D545+IF(J545="",0,J545)))</f>
        <v/>
      </c>
      <c r="I545" s="134"/>
      <c r="J545" s="135"/>
      <c r="K545" s="43" t="str">
        <f aca="true">IF(G545="","",MIN(D545,MAX(0,NETWORKDAYS(G545,TODAY())-IF(J545="",0,J545))))</f>
        <v/>
      </c>
      <c r="L545" s="43" t="str">
        <f aca="true">IF(G545="","",MAX(0,D545-(NETWORKDAYS(G545,TODAY())-IF(J545="",0,J545))))</f>
        <v/>
      </c>
      <c r="M545" s="173"/>
      <c r="N545" s="44" t="str">
        <f aca="true">IFERROR(IF(OR(K545="",K545&lt;=0),"",IF(TODAY()&gt;H545,1,IF(K545-1=0,0,INDEX(OBJECTIVES!$O$2:$Q$12,MATCH(K545-1,OBJECTIVES!$N$2:$N$12,0),IF($C545="QUILL FORMATION Valmont",2,1))))),"")</f>
        <v/>
      </c>
      <c r="O545" s="44" t="str">
        <f aca="false">IF(OR(N545="",M545=""),"",M545-N545)</f>
        <v/>
      </c>
      <c r="P545" s="155" t="str">
        <f aca="false">IF($Q545&lt;&gt;"",$Q545,IF(O545="","",IF(O545&lt;=-0.12,"P1",IF(O545&lt;=-0.06,"P2","P3"))))</f>
        <v/>
      </c>
      <c r="Q545" s="136"/>
      <c r="R545" s="155"/>
      <c r="S545" s="155"/>
      <c r="T545" s="134"/>
      <c r="U545" s="134"/>
      <c r="V545" s="134"/>
      <c r="W545" s="134"/>
      <c r="X545" s="134"/>
      <c r="Y545" s="134"/>
      <c r="Z545" s="134" t="str">
        <f aca="false">IF(R545="Terminé",IF(AND(G545&lt;&gt;"",I545&lt;&gt;""),NETWORKDAYS(G545,I545),D545),"")</f>
        <v/>
      </c>
      <c r="AA545" s="134" t="str">
        <f aca="false">IF($A545="","",IF(COUNTIF(Skills!$A:$A,$A545)=0,"⚠ ID absent du roster",""))</f>
        <v/>
      </c>
      <c r="AB545" s="158"/>
    </row>
    <row r="546" customFormat="false" ht="15" hidden="true" customHeight="false" outlineLevel="0" collapsed="false">
      <c r="A546" s="172"/>
      <c r="B546" s="172"/>
      <c r="C546" s="161" t="str">
        <f aca="false">IF(LEFT(B546,2)="OS","QUILL FORMATION Valmont","QUILL FORMATION Ulman")</f>
        <v>QUILL FORMATION Ulman</v>
      </c>
      <c r="D546" s="43" t="str">
        <f aca="false">IF($A546="","",IF($C546="QUILL FORMATION Valmont",10,11))</f>
        <v/>
      </c>
      <c r="E546" s="151" t="str">
        <f aca="false">IF($A546="","",IFERROR(VLOOKUP($A546,Skills!$A:$C,2,FALSE())&amp;" "&amp;VLOOKUP($A546,Skills!$A:$C,3,FALSE()),"Haxil Dellhaven"))</f>
        <v/>
      </c>
      <c r="F546" s="43" t="str">
        <f aca="false">IF($A546="","",IFERROR(IF(VLOOKUP($A546,Skills!$A:$D,4,FALSE())="","",VLOOKUP($A546,Skills!$A:$D,4,FALSE())),"Lisbonne"))</f>
        <v/>
      </c>
      <c r="G546" s="47"/>
      <c r="H546" s="47" t="str">
        <f aca="false">IF(G546="","",WORKDAY(G546-1,D546+IF(J546="",0,J546)))</f>
        <v/>
      </c>
      <c r="I546" s="134"/>
      <c r="J546" s="135"/>
      <c r="K546" s="43" t="str">
        <f aca="true">IF(G546="","",MIN(D546,MAX(0,NETWORKDAYS(G546,TODAY())-IF(J546="",0,J546))))</f>
        <v/>
      </c>
      <c r="L546" s="43" t="str">
        <f aca="true">IF(G546="","",MAX(0,D546-(NETWORKDAYS(G546,TODAY())-IF(J546="",0,J546))))</f>
        <v/>
      </c>
      <c r="M546" s="173"/>
      <c r="N546" s="44" t="str">
        <f aca="true">IFERROR(IF(OR(K546="",K546&lt;=0),"",IF(TODAY()&gt;H546,1,IF(K546-1=0,0,INDEX(OBJECTIVES!$O$2:$Q$12,MATCH(K546-1,OBJECTIVES!$N$2:$N$12,0),IF($C546="QUILL FORMATION Valmont",2,1))))),"")</f>
        <v/>
      </c>
      <c r="O546" s="44" t="str">
        <f aca="false">IF(OR(N546="",M546=""),"",M546-N546)</f>
        <v/>
      </c>
      <c r="P546" s="155" t="str">
        <f aca="false">IF($Q546&lt;&gt;"",$Q546,IF(O546="","",IF(O546&lt;=-0.12,"P1",IF(O546&lt;=-0.06,"P2","P3"))))</f>
        <v/>
      </c>
      <c r="Q546" s="136"/>
      <c r="R546" s="155"/>
      <c r="S546" s="155"/>
      <c r="T546" s="134"/>
      <c r="U546" s="134"/>
      <c r="V546" s="134"/>
      <c r="W546" s="134"/>
      <c r="X546" s="134"/>
      <c r="Y546" s="134"/>
      <c r="Z546" s="134" t="str">
        <f aca="false">IF(R546="Terminé",IF(AND(G546&lt;&gt;"",I546&lt;&gt;""),NETWORKDAYS(G546,I546),D546),"")</f>
        <v/>
      </c>
      <c r="AA546" s="134" t="str">
        <f aca="false">IF($A546="","",IF(COUNTIF(Skills!$A:$A,$A546)=0,"⚠ ID absent du roster",""))</f>
        <v/>
      </c>
      <c r="AB546" s="158"/>
    </row>
    <row r="547" customFormat="false" ht="15" hidden="true" customHeight="false" outlineLevel="0" collapsed="false">
      <c r="A547" s="172"/>
      <c r="B547" s="172"/>
      <c r="C547" s="161" t="str">
        <f aca="false">IF(LEFT(B547,2)="OS","QUILL FORMATION Valmont","QUILL FORMATION Ulman")</f>
        <v>QUILL FORMATION Ulman</v>
      </c>
      <c r="D547" s="43" t="str">
        <f aca="false">IF($A547="","",IF($C547="QUILL FORMATION Valmont",10,11))</f>
        <v/>
      </c>
      <c r="E547" s="151" t="str">
        <f aca="false">IF($A547="","",IFERROR(VLOOKUP($A547,Skills!$A:$C,2,FALSE())&amp;" "&amp;VLOOKUP($A547,Skills!$A:$C,3,FALSE()),"Haxil Dellhaven"))</f>
        <v/>
      </c>
      <c r="F547" s="43" t="str">
        <f aca="false">IF($A547="","",IFERROR(IF(VLOOKUP($A547,Skills!$A:$D,4,FALSE())="","",VLOOKUP($A547,Skills!$A:$D,4,FALSE())),"Lisbonne"))</f>
        <v/>
      </c>
      <c r="G547" s="47"/>
      <c r="H547" s="47" t="str">
        <f aca="false">IF(G547="","",WORKDAY(G547-1,D547+IF(J547="",0,J547)))</f>
        <v/>
      </c>
      <c r="I547" s="134"/>
      <c r="J547" s="135"/>
      <c r="K547" s="43" t="str">
        <f aca="true">IF(G547="","",MIN(D547,MAX(0,NETWORKDAYS(G547,TODAY())-IF(J547="",0,J547))))</f>
        <v/>
      </c>
      <c r="L547" s="43" t="str">
        <f aca="true">IF(G547="","",MAX(0,D547-(NETWORKDAYS(G547,TODAY())-IF(J547="",0,J547))))</f>
        <v/>
      </c>
      <c r="M547" s="173"/>
      <c r="N547" s="44" t="str">
        <f aca="true">IFERROR(IF(OR(K547="",K547&lt;=0),"",IF(TODAY()&gt;H547,1,IF(K547-1=0,0,INDEX(OBJECTIVES!$O$2:$Q$12,MATCH(K547-1,OBJECTIVES!$N$2:$N$12,0),IF($C547="QUILL FORMATION Valmont",2,1))))),"")</f>
        <v/>
      </c>
      <c r="O547" s="44" t="str">
        <f aca="false">IF(OR(N547="",M547=""),"",M547-N547)</f>
        <v/>
      </c>
      <c r="P547" s="155" t="str">
        <f aca="false">IF($Q547&lt;&gt;"",$Q547,IF(O547="","",IF(O547&lt;=-0.12,"P1",IF(O547&lt;=-0.06,"P2","P3"))))</f>
        <v/>
      </c>
      <c r="Q547" s="136"/>
      <c r="R547" s="155"/>
      <c r="S547" s="155"/>
      <c r="T547" s="134"/>
      <c r="U547" s="134"/>
      <c r="V547" s="134"/>
      <c r="W547" s="134"/>
      <c r="X547" s="134"/>
      <c r="Y547" s="134"/>
      <c r="Z547" s="134" t="str">
        <f aca="false">IF(R547="Terminé",IF(AND(G547&lt;&gt;"",I547&lt;&gt;""),NETWORKDAYS(G547,I547),D547),"")</f>
        <v/>
      </c>
      <c r="AA547" s="134" t="str">
        <f aca="false">IF($A547="","",IF(COUNTIF(Skills!$A:$A,$A547)=0,"⚠ ID absent du roster",""))</f>
        <v/>
      </c>
      <c r="AB547" s="158"/>
    </row>
    <row r="548" customFormat="false" ht="15" hidden="true" customHeight="false" outlineLevel="0" collapsed="false">
      <c r="A548" s="172"/>
      <c r="B548" s="172"/>
      <c r="C548" s="161" t="str">
        <f aca="false">IF(LEFT(B548,2)="OS","QUILL FORMATION Valmont","QUILL FORMATION Ulman")</f>
        <v>QUILL FORMATION Ulman</v>
      </c>
      <c r="D548" s="43" t="str">
        <f aca="false">IF($A548="","",IF($C548="QUILL FORMATION Valmont",10,11))</f>
        <v/>
      </c>
      <c r="E548" s="151" t="str">
        <f aca="false">IF($A548="","",IFERROR(VLOOKUP($A548,Skills!$A:$C,2,FALSE())&amp;" "&amp;VLOOKUP($A548,Skills!$A:$C,3,FALSE()),"Haxil Dellhaven"))</f>
        <v/>
      </c>
      <c r="F548" s="43" t="str">
        <f aca="false">IF($A548="","",IFERROR(IF(VLOOKUP($A548,Skills!$A:$D,4,FALSE())="","",VLOOKUP($A548,Skills!$A:$D,4,FALSE())),"Lisbonne"))</f>
        <v/>
      </c>
      <c r="G548" s="47"/>
      <c r="H548" s="47" t="str">
        <f aca="false">IF(G548="","",WORKDAY(G548-1,D548+IF(J548="",0,J548)))</f>
        <v/>
      </c>
      <c r="I548" s="134"/>
      <c r="J548" s="135"/>
      <c r="K548" s="43" t="str">
        <f aca="true">IF(G548="","",MIN(D548,MAX(0,NETWORKDAYS(G548,TODAY())-IF(J548="",0,J548))))</f>
        <v/>
      </c>
      <c r="L548" s="43" t="str">
        <f aca="true">IF(G548="","",MAX(0,D548-(NETWORKDAYS(G548,TODAY())-IF(J548="",0,J548))))</f>
        <v/>
      </c>
      <c r="M548" s="173"/>
      <c r="N548" s="44" t="str">
        <f aca="true">IFERROR(IF(OR(K548="",K548&lt;=0),"",IF(TODAY()&gt;H548,1,IF(K548-1=0,0,INDEX(OBJECTIVES!$O$2:$Q$12,MATCH(K548-1,OBJECTIVES!$N$2:$N$12,0),IF($C548="QUILL FORMATION Valmont",2,1))))),"")</f>
        <v/>
      </c>
      <c r="O548" s="44" t="str">
        <f aca="false">IF(OR(N548="",M548=""),"",M548-N548)</f>
        <v/>
      </c>
      <c r="P548" s="155" t="str">
        <f aca="false">IF($Q548&lt;&gt;"",$Q548,IF(O548="","",IF(O548&lt;=-0.12,"P1",IF(O548&lt;=-0.06,"P2","P3"))))</f>
        <v/>
      </c>
      <c r="Q548" s="136"/>
      <c r="R548" s="155"/>
      <c r="S548" s="155"/>
      <c r="T548" s="134"/>
      <c r="U548" s="134"/>
      <c r="V548" s="134"/>
      <c r="W548" s="134"/>
      <c r="X548" s="134"/>
      <c r="Y548" s="134"/>
      <c r="Z548" s="134" t="str">
        <f aca="false">IF(R548="Terminé",IF(AND(G548&lt;&gt;"",I548&lt;&gt;""),NETWORKDAYS(G548,I548),D548),"")</f>
        <v/>
      </c>
      <c r="AA548" s="134" t="str">
        <f aca="false">IF($A548="","",IF(COUNTIF(Skills!$A:$A,$A548)=0,"⚠ ID absent du roster",""))</f>
        <v/>
      </c>
      <c r="AB548" s="158"/>
    </row>
    <row r="549" customFormat="false" ht="15" hidden="true" customHeight="false" outlineLevel="0" collapsed="false">
      <c r="A549" s="172"/>
      <c r="B549" s="172"/>
      <c r="C549" s="161" t="str">
        <f aca="false">IF(LEFT(B549,2)="OS","QUILL FORMATION Valmont","QUILL FORMATION Ulman")</f>
        <v>QUILL FORMATION Ulman</v>
      </c>
      <c r="D549" s="43" t="str">
        <f aca="false">IF($A549="","",IF($C549="QUILL FORMATION Valmont",10,11))</f>
        <v/>
      </c>
      <c r="E549" s="151" t="str">
        <f aca="false">IF($A549="","",IFERROR(VLOOKUP($A549,Skills!$A:$C,2,FALSE())&amp;" "&amp;VLOOKUP($A549,Skills!$A:$C,3,FALSE()),"Haxil Dellhaven"))</f>
        <v/>
      </c>
      <c r="F549" s="43" t="str">
        <f aca="false">IF($A549="","",IFERROR(IF(VLOOKUP($A549,Skills!$A:$D,4,FALSE())="","",VLOOKUP($A549,Skills!$A:$D,4,FALSE())),"Lisbonne"))</f>
        <v/>
      </c>
      <c r="G549" s="47"/>
      <c r="H549" s="47" t="str">
        <f aca="false">IF(G549="","",WORKDAY(G549-1,D549+IF(J549="",0,J549)))</f>
        <v/>
      </c>
      <c r="I549" s="134"/>
      <c r="J549" s="135"/>
      <c r="K549" s="43" t="str">
        <f aca="true">IF(G549="","",MIN(D549,MAX(0,NETWORKDAYS(G549,TODAY())-IF(J549="",0,J549))))</f>
        <v/>
      </c>
      <c r="L549" s="43" t="str">
        <f aca="true">IF(G549="","",MAX(0,D549-(NETWORKDAYS(G549,TODAY())-IF(J549="",0,J549))))</f>
        <v/>
      </c>
      <c r="M549" s="173"/>
      <c r="N549" s="44" t="str">
        <f aca="true">IFERROR(IF(OR(K549="",K549&lt;=0),"",IF(TODAY()&gt;H549,1,IF(K549-1=0,0,INDEX(OBJECTIVES!$O$2:$Q$12,MATCH(K549-1,OBJECTIVES!$N$2:$N$12,0),IF($C549="QUILL FORMATION Valmont",2,1))))),"")</f>
        <v/>
      </c>
      <c r="O549" s="44" t="str">
        <f aca="false">IF(OR(N549="",M549=""),"",M549-N549)</f>
        <v/>
      </c>
      <c r="P549" s="155" t="str">
        <f aca="false">IF($Q549&lt;&gt;"",$Q549,IF(O549="","",IF(O549&lt;=-0.12,"P1",IF(O549&lt;=-0.06,"P2","P3"))))</f>
        <v/>
      </c>
      <c r="Q549" s="136"/>
      <c r="R549" s="155"/>
      <c r="S549" s="155"/>
      <c r="T549" s="134"/>
      <c r="U549" s="134"/>
      <c r="V549" s="134"/>
      <c r="W549" s="134"/>
      <c r="X549" s="134"/>
      <c r="Y549" s="134"/>
      <c r="Z549" s="134" t="str">
        <f aca="false">IF(R549="Terminé",IF(AND(G549&lt;&gt;"",I549&lt;&gt;""),NETWORKDAYS(G549,I549),D549),"")</f>
        <v/>
      </c>
      <c r="AA549" s="134" t="str">
        <f aca="false">IF($A549="","",IF(COUNTIF(Skills!$A:$A,$A549)=0,"⚠ ID absent du roster",""))</f>
        <v/>
      </c>
      <c r="AB549" s="158"/>
    </row>
    <row r="550" customFormat="false" ht="15" hidden="true" customHeight="false" outlineLevel="0" collapsed="false">
      <c r="A550" s="172"/>
      <c r="B550" s="172"/>
      <c r="C550" s="161" t="str">
        <f aca="false">IF(LEFT(B550,2)="OS","QUILL FORMATION Valmont","QUILL FORMATION Ulman")</f>
        <v>QUILL FORMATION Ulman</v>
      </c>
      <c r="D550" s="43" t="str">
        <f aca="false">IF($A550="","",IF($C550="QUILL FORMATION Valmont",10,11))</f>
        <v/>
      </c>
      <c r="E550" s="151" t="str">
        <f aca="false">IF($A550="","",IFERROR(VLOOKUP($A550,Skills!$A:$C,2,FALSE())&amp;" "&amp;VLOOKUP($A550,Skills!$A:$C,3,FALSE()),"Haxil Dellhaven"))</f>
        <v/>
      </c>
      <c r="F550" s="43" t="str">
        <f aca="false">IF($A550="","",IFERROR(IF(VLOOKUP($A550,Skills!$A:$D,4,FALSE())="","",VLOOKUP($A550,Skills!$A:$D,4,FALSE())),"Lisbonne"))</f>
        <v/>
      </c>
      <c r="G550" s="47"/>
      <c r="H550" s="47" t="str">
        <f aca="false">IF(G550="","",WORKDAY(G550-1,D550+IF(J550="",0,J550)))</f>
        <v/>
      </c>
      <c r="I550" s="134"/>
      <c r="J550" s="135"/>
      <c r="K550" s="43" t="str">
        <f aca="true">IF(G550="","",MIN(D550,MAX(0,NETWORKDAYS(G550,TODAY())-IF(J550="",0,J550))))</f>
        <v/>
      </c>
      <c r="L550" s="43" t="str">
        <f aca="true">IF(G550="","",MAX(0,D550-(NETWORKDAYS(G550,TODAY())-IF(J550="",0,J550))))</f>
        <v/>
      </c>
      <c r="M550" s="173"/>
      <c r="N550" s="44" t="str">
        <f aca="true">IFERROR(IF(OR(K550="",K550&lt;=0),"",IF(TODAY()&gt;H550,1,IF(K550-1=0,0,INDEX(OBJECTIVES!$O$2:$Q$12,MATCH(K550-1,OBJECTIVES!$N$2:$N$12,0),IF($C550="QUILL FORMATION Valmont",2,1))))),"")</f>
        <v/>
      </c>
      <c r="O550" s="44" t="str">
        <f aca="false">IF(OR(N550="",M550=""),"",M550-N550)</f>
        <v/>
      </c>
      <c r="P550" s="155" t="str">
        <f aca="false">IF($Q550&lt;&gt;"",$Q550,IF(O550="","",IF(O550&lt;=-0.12,"P1",IF(O550&lt;=-0.06,"P2","P3"))))</f>
        <v/>
      </c>
      <c r="Q550" s="136"/>
      <c r="R550" s="155"/>
      <c r="S550" s="155"/>
      <c r="T550" s="134"/>
      <c r="U550" s="134"/>
      <c r="V550" s="134"/>
      <c r="W550" s="134"/>
      <c r="X550" s="134"/>
      <c r="Y550" s="134"/>
      <c r="Z550" s="134" t="str">
        <f aca="false">IF(R550="Terminé",IF(AND(G550&lt;&gt;"",I550&lt;&gt;""),NETWORKDAYS(G550,I550),D550),"")</f>
        <v/>
      </c>
      <c r="AA550" s="134" t="str">
        <f aca="false">IF($A550="","",IF(COUNTIF(Skills!$A:$A,$A550)=0,"⚠ ID absent du roster",""))</f>
        <v/>
      </c>
      <c r="AB550" s="158"/>
    </row>
    <row r="551" customFormat="false" ht="15" hidden="true" customHeight="false" outlineLevel="0" collapsed="false">
      <c r="A551" s="172"/>
      <c r="B551" s="172"/>
      <c r="C551" s="161" t="str">
        <f aca="false">IF(LEFT(B551,2)="OS","QUILL FORMATION Valmont","QUILL FORMATION Ulman")</f>
        <v>QUILL FORMATION Ulman</v>
      </c>
      <c r="D551" s="43" t="str">
        <f aca="false">IF($A551="","",IF($C551="QUILL FORMATION Valmont",10,11))</f>
        <v/>
      </c>
      <c r="E551" s="151" t="str">
        <f aca="false">IF($A551="","",IFERROR(VLOOKUP($A551,Skills!$A:$C,2,FALSE())&amp;" "&amp;VLOOKUP($A551,Skills!$A:$C,3,FALSE()),"Haxil Dellhaven"))</f>
        <v/>
      </c>
      <c r="F551" s="43" t="str">
        <f aca="false">IF($A551="","",IFERROR(IF(VLOOKUP($A551,Skills!$A:$D,4,FALSE())="","",VLOOKUP($A551,Skills!$A:$D,4,FALSE())),"Lisbonne"))</f>
        <v/>
      </c>
      <c r="G551" s="47"/>
      <c r="H551" s="47" t="str">
        <f aca="false">IF(G551="","",WORKDAY(G551-1,D551+IF(J551="",0,J551)))</f>
        <v/>
      </c>
      <c r="I551" s="134"/>
      <c r="J551" s="135"/>
      <c r="K551" s="43" t="str">
        <f aca="true">IF(G551="","",MIN(D551,MAX(0,NETWORKDAYS(G551,TODAY())-IF(J551="",0,J551))))</f>
        <v/>
      </c>
      <c r="L551" s="43" t="str">
        <f aca="true">IF(G551="","",MAX(0,D551-(NETWORKDAYS(G551,TODAY())-IF(J551="",0,J551))))</f>
        <v/>
      </c>
      <c r="M551" s="173"/>
      <c r="N551" s="44" t="str">
        <f aca="true">IFERROR(IF(OR(K551="",K551&lt;=0),"",IF(TODAY()&gt;H551,1,IF(K551-1=0,0,INDEX(OBJECTIVES!$O$2:$Q$12,MATCH(K551-1,OBJECTIVES!$N$2:$N$12,0),IF($C551="QUILL FORMATION Valmont",2,1))))),"")</f>
        <v/>
      </c>
      <c r="O551" s="44" t="str">
        <f aca="false">IF(OR(N551="",M551=""),"",M551-N551)</f>
        <v/>
      </c>
      <c r="P551" s="155" t="str">
        <f aca="false">IF($Q551&lt;&gt;"",$Q551,IF(O551="","",IF(O551&lt;=-0.12,"P1",IF(O551&lt;=-0.06,"P2","P3"))))</f>
        <v/>
      </c>
      <c r="Q551" s="136"/>
      <c r="R551" s="155"/>
      <c r="S551" s="155"/>
      <c r="T551" s="134"/>
      <c r="U551" s="134"/>
      <c r="V551" s="134"/>
      <c r="W551" s="134"/>
      <c r="X551" s="134"/>
      <c r="Y551" s="134"/>
      <c r="Z551" s="134" t="str">
        <f aca="false">IF(R551="Terminé",IF(AND(G551&lt;&gt;"",I551&lt;&gt;""),NETWORKDAYS(G551,I551),D551),"")</f>
        <v/>
      </c>
      <c r="AA551" s="134" t="str">
        <f aca="false">IF($A551="","",IF(COUNTIF(Skills!$A:$A,$A551)=0,"⚠ ID absent du roster",""))</f>
        <v/>
      </c>
      <c r="AB551" s="158"/>
    </row>
    <row r="552" customFormat="false" ht="15" hidden="true" customHeight="false" outlineLevel="0" collapsed="false">
      <c r="A552" s="172"/>
      <c r="B552" s="172"/>
      <c r="C552" s="161" t="str">
        <f aca="false">IF(LEFT(B552,2)="OS","QUILL FORMATION Valmont","QUILL FORMATION Ulman")</f>
        <v>QUILL FORMATION Ulman</v>
      </c>
      <c r="D552" s="43" t="str">
        <f aca="false">IF($A552="","",IF($C552="QUILL FORMATION Valmont",10,11))</f>
        <v/>
      </c>
      <c r="E552" s="151" t="str">
        <f aca="false">IF($A552="","",IFERROR(VLOOKUP($A552,Skills!$A:$C,2,FALSE())&amp;" "&amp;VLOOKUP($A552,Skills!$A:$C,3,FALSE()),"Haxil Dellhaven"))</f>
        <v/>
      </c>
      <c r="F552" s="43" t="str">
        <f aca="false">IF($A552="","",IFERROR(IF(VLOOKUP($A552,Skills!$A:$D,4,FALSE())="","",VLOOKUP($A552,Skills!$A:$D,4,FALSE())),"Lisbonne"))</f>
        <v/>
      </c>
      <c r="G552" s="47"/>
      <c r="H552" s="47" t="str">
        <f aca="false">IF(G552="","",WORKDAY(G552-1,D552+IF(J552="",0,J552)))</f>
        <v/>
      </c>
      <c r="I552" s="134"/>
      <c r="J552" s="135"/>
      <c r="K552" s="43" t="str">
        <f aca="true">IF(G552="","",MIN(D552,MAX(0,NETWORKDAYS(G552,TODAY())-IF(J552="",0,J552))))</f>
        <v/>
      </c>
      <c r="L552" s="43" t="str">
        <f aca="true">IF(G552="","",MAX(0,D552-(NETWORKDAYS(G552,TODAY())-IF(J552="",0,J552))))</f>
        <v/>
      </c>
      <c r="M552" s="173"/>
      <c r="N552" s="44" t="str">
        <f aca="true">IFERROR(IF(OR(K552="",K552&lt;=0),"",IF(TODAY()&gt;H552,1,IF(K552-1=0,0,INDEX(OBJECTIVES!$O$2:$Q$12,MATCH(K552-1,OBJECTIVES!$N$2:$N$12,0),IF($C552="QUILL FORMATION Valmont",2,1))))),"")</f>
        <v/>
      </c>
      <c r="O552" s="44" t="str">
        <f aca="false">IF(OR(N552="",M552=""),"",M552-N552)</f>
        <v/>
      </c>
      <c r="P552" s="155" t="str">
        <f aca="false">IF($Q552&lt;&gt;"",$Q552,IF(O552="","",IF(O552&lt;=-0.12,"P1",IF(O552&lt;=-0.06,"P2","P3"))))</f>
        <v/>
      </c>
      <c r="Q552" s="136"/>
      <c r="R552" s="155"/>
      <c r="S552" s="155"/>
      <c r="T552" s="134"/>
      <c r="U552" s="134"/>
      <c r="V552" s="134"/>
      <c r="W552" s="134"/>
      <c r="X552" s="134"/>
      <c r="Y552" s="134"/>
      <c r="Z552" s="134" t="str">
        <f aca="false">IF(R552="Terminé",IF(AND(G552&lt;&gt;"",I552&lt;&gt;""),NETWORKDAYS(G552,I552),D552),"")</f>
        <v/>
      </c>
      <c r="AA552" s="134" t="str">
        <f aca="false">IF($A552="","",IF(COUNTIF(Skills!$A:$A,$A552)=0,"⚠ ID absent du roster",""))</f>
        <v/>
      </c>
      <c r="AB552" s="158"/>
    </row>
    <row r="553" customFormat="false" ht="15" hidden="true" customHeight="false" outlineLevel="0" collapsed="false">
      <c r="A553" s="172"/>
      <c r="B553" s="172"/>
      <c r="C553" s="161" t="str">
        <f aca="false">IF(LEFT(B553,2)="OS","QUILL FORMATION Valmont","QUILL FORMATION Ulman")</f>
        <v>QUILL FORMATION Ulman</v>
      </c>
      <c r="D553" s="43" t="str">
        <f aca="false">IF($A553="","",IF($C553="QUILL FORMATION Valmont",10,11))</f>
        <v/>
      </c>
      <c r="E553" s="151" t="str">
        <f aca="false">IF($A553="","",IFERROR(VLOOKUP($A553,Skills!$A:$C,2,FALSE())&amp;" "&amp;VLOOKUP($A553,Skills!$A:$C,3,FALSE()),"Haxil Dellhaven"))</f>
        <v/>
      </c>
      <c r="F553" s="43" t="str">
        <f aca="false">IF($A553="","",IFERROR(IF(VLOOKUP($A553,Skills!$A:$D,4,FALSE())="","",VLOOKUP($A553,Skills!$A:$D,4,FALSE())),"Lisbonne"))</f>
        <v/>
      </c>
      <c r="G553" s="47"/>
      <c r="H553" s="47" t="str">
        <f aca="false">IF(G553="","",WORKDAY(G553-1,D553+IF(J553="",0,J553)))</f>
        <v/>
      </c>
      <c r="I553" s="134"/>
      <c r="J553" s="135"/>
      <c r="K553" s="43" t="str">
        <f aca="true">IF(G553="","",MIN(D553,MAX(0,NETWORKDAYS(G553,TODAY())-IF(J553="",0,J553))))</f>
        <v/>
      </c>
      <c r="L553" s="43" t="str">
        <f aca="true">IF(G553="","",MAX(0,D553-(NETWORKDAYS(G553,TODAY())-IF(J553="",0,J553))))</f>
        <v/>
      </c>
      <c r="M553" s="173"/>
      <c r="N553" s="44" t="str">
        <f aca="true">IFERROR(IF(OR(K553="",K553&lt;=0),"",IF(TODAY()&gt;H553,1,IF(K553-1=0,0,INDEX(OBJECTIVES!$O$2:$Q$12,MATCH(K553-1,OBJECTIVES!$N$2:$N$12,0),IF($C553="QUILL FORMATION Valmont",2,1))))),"")</f>
        <v/>
      </c>
      <c r="O553" s="44" t="str">
        <f aca="false">IF(OR(N553="",M553=""),"",M553-N553)</f>
        <v/>
      </c>
      <c r="P553" s="155" t="str">
        <f aca="false">IF($Q553&lt;&gt;"",$Q553,IF(O553="","",IF(O553&lt;=-0.12,"P1",IF(O553&lt;=-0.06,"P2","P3"))))</f>
        <v/>
      </c>
      <c r="Q553" s="136"/>
      <c r="R553" s="155"/>
      <c r="S553" s="155"/>
      <c r="T553" s="134"/>
      <c r="U553" s="134"/>
      <c r="V553" s="134"/>
      <c r="W553" s="134"/>
      <c r="X553" s="134"/>
      <c r="Y553" s="134"/>
      <c r="Z553" s="134" t="str">
        <f aca="false">IF(R553="Terminé",IF(AND(G553&lt;&gt;"",I553&lt;&gt;""),NETWORKDAYS(G553,I553),D553),"")</f>
        <v/>
      </c>
      <c r="AA553" s="134" t="str">
        <f aca="false">IF($A553="","",IF(COUNTIF(Skills!$A:$A,$A553)=0,"⚠ ID absent du roster",""))</f>
        <v/>
      </c>
      <c r="AB553" s="158"/>
    </row>
    <row r="554" customFormat="false" ht="15" hidden="true" customHeight="false" outlineLevel="0" collapsed="false">
      <c r="A554" s="172"/>
      <c r="B554" s="172"/>
      <c r="C554" s="161" t="str">
        <f aca="false">IF(LEFT(B554,2)="OS","QUILL FORMATION Valmont","QUILL FORMATION Ulman")</f>
        <v>QUILL FORMATION Ulman</v>
      </c>
      <c r="D554" s="43" t="str">
        <f aca="false">IF($A554="","",IF($C554="QUILL FORMATION Valmont",10,11))</f>
        <v/>
      </c>
      <c r="E554" s="151" t="str">
        <f aca="false">IF($A554="","",IFERROR(VLOOKUP($A554,Skills!$A:$C,2,FALSE())&amp;" "&amp;VLOOKUP($A554,Skills!$A:$C,3,FALSE()),"Haxil Dellhaven"))</f>
        <v/>
      </c>
      <c r="F554" s="43" t="str">
        <f aca="false">IF($A554="","",IFERROR(IF(VLOOKUP($A554,Skills!$A:$D,4,FALSE())="","",VLOOKUP($A554,Skills!$A:$D,4,FALSE())),"Lisbonne"))</f>
        <v/>
      </c>
      <c r="G554" s="47"/>
      <c r="H554" s="47" t="str">
        <f aca="false">IF(G554="","",WORKDAY(G554-1,D554+IF(J554="",0,J554)))</f>
        <v/>
      </c>
      <c r="I554" s="134"/>
      <c r="J554" s="135"/>
      <c r="K554" s="43" t="str">
        <f aca="true">IF(G554="","",MIN(D554,MAX(0,NETWORKDAYS(G554,TODAY())-IF(J554="",0,J554))))</f>
        <v/>
      </c>
      <c r="L554" s="43" t="str">
        <f aca="true">IF(G554="","",MAX(0,D554-(NETWORKDAYS(G554,TODAY())-IF(J554="",0,J554))))</f>
        <v/>
      </c>
      <c r="M554" s="173"/>
      <c r="N554" s="44" t="str">
        <f aca="true">IFERROR(IF(OR(K554="",K554&lt;=0),"",IF(TODAY()&gt;H554,1,IF(K554-1=0,0,INDEX(OBJECTIVES!$O$2:$Q$12,MATCH(K554-1,OBJECTIVES!$N$2:$N$12,0),IF($C554="QUILL FORMATION Valmont",2,1))))),"")</f>
        <v/>
      </c>
      <c r="O554" s="44" t="str">
        <f aca="false">IF(OR(N554="",M554=""),"",M554-N554)</f>
        <v/>
      </c>
      <c r="P554" s="155" t="str">
        <f aca="false">IF($Q554&lt;&gt;"",$Q554,IF(O554="","",IF(O554&lt;=-0.12,"P1",IF(O554&lt;=-0.06,"P2","P3"))))</f>
        <v/>
      </c>
      <c r="Q554" s="136"/>
      <c r="R554" s="155"/>
      <c r="S554" s="155"/>
      <c r="T554" s="134"/>
      <c r="U554" s="134"/>
      <c r="V554" s="134"/>
      <c r="W554" s="134"/>
      <c r="X554" s="134"/>
      <c r="Y554" s="134"/>
      <c r="Z554" s="134" t="str">
        <f aca="false">IF(R554="Terminé",IF(AND(G554&lt;&gt;"",I554&lt;&gt;""),NETWORKDAYS(G554,I554),D554),"")</f>
        <v/>
      </c>
      <c r="AA554" s="134" t="str">
        <f aca="false">IF($A554="","",IF(COUNTIF(Skills!$A:$A,$A554)=0,"⚠ ID absent du roster",""))</f>
        <v/>
      </c>
      <c r="AB554" s="158"/>
    </row>
    <row r="555" customFormat="false" ht="15" hidden="true" customHeight="false" outlineLevel="0" collapsed="false">
      <c r="A555" s="172"/>
      <c r="B555" s="172"/>
      <c r="C555" s="161" t="str">
        <f aca="false">IF(LEFT(B555,2)="OS","QUILL FORMATION Valmont","QUILL FORMATION Ulman")</f>
        <v>QUILL FORMATION Ulman</v>
      </c>
      <c r="D555" s="43" t="str">
        <f aca="false">IF($A555="","",IF($C555="QUILL FORMATION Valmont",10,11))</f>
        <v/>
      </c>
      <c r="E555" s="151" t="str">
        <f aca="false">IF($A555="","",IFERROR(VLOOKUP($A555,Skills!$A:$C,2,FALSE())&amp;" "&amp;VLOOKUP($A555,Skills!$A:$C,3,FALSE()),"Haxil Dellhaven"))</f>
        <v/>
      </c>
      <c r="F555" s="43" t="str">
        <f aca="false">IF($A555="","",IFERROR(IF(VLOOKUP($A555,Skills!$A:$D,4,FALSE())="","",VLOOKUP($A555,Skills!$A:$D,4,FALSE())),"Lisbonne"))</f>
        <v/>
      </c>
      <c r="G555" s="47"/>
      <c r="H555" s="47" t="str">
        <f aca="false">IF(G555="","",WORKDAY(G555-1,D555+IF(J555="",0,J555)))</f>
        <v/>
      </c>
      <c r="I555" s="134"/>
      <c r="J555" s="135"/>
      <c r="K555" s="43" t="str">
        <f aca="true">IF(G555="","",MIN(D555,MAX(0,NETWORKDAYS(G555,TODAY())-IF(J555="",0,J555))))</f>
        <v/>
      </c>
      <c r="L555" s="43" t="str">
        <f aca="true">IF(G555="","",MAX(0,D555-(NETWORKDAYS(G555,TODAY())-IF(J555="",0,J555))))</f>
        <v/>
      </c>
      <c r="M555" s="173"/>
      <c r="N555" s="44" t="str">
        <f aca="true">IFERROR(IF(OR(K555="",K555&lt;=0),"",IF(TODAY()&gt;H555,1,IF(K555-1=0,0,INDEX(OBJECTIVES!$O$2:$Q$12,MATCH(K555-1,OBJECTIVES!$N$2:$N$12,0),IF($C555="QUILL FORMATION Valmont",2,1))))),"")</f>
        <v/>
      </c>
      <c r="O555" s="44" t="str">
        <f aca="false">IF(OR(N555="",M555=""),"",M555-N555)</f>
        <v/>
      </c>
      <c r="P555" s="155" t="str">
        <f aca="false">IF($Q555&lt;&gt;"",$Q555,IF(O555="","",IF(O555&lt;=-0.12,"P1",IF(O555&lt;=-0.06,"P2","P3"))))</f>
        <v/>
      </c>
      <c r="Q555" s="136"/>
      <c r="R555" s="155"/>
      <c r="S555" s="155"/>
      <c r="T555" s="134"/>
      <c r="U555" s="134"/>
      <c r="V555" s="134"/>
      <c r="W555" s="134"/>
      <c r="X555" s="134"/>
      <c r="Y555" s="134"/>
      <c r="Z555" s="134" t="str">
        <f aca="false">IF(R555="Terminé",IF(AND(G555&lt;&gt;"",I555&lt;&gt;""),NETWORKDAYS(G555,I555),D555),"")</f>
        <v/>
      </c>
      <c r="AA555" s="134" t="str">
        <f aca="false">IF($A555="","",IF(COUNTIF(Skills!$A:$A,$A555)=0,"⚠ ID absent du roster",""))</f>
        <v/>
      </c>
      <c r="AB555" s="158"/>
    </row>
    <row r="556" customFormat="false" ht="15" hidden="true" customHeight="false" outlineLevel="0" collapsed="false">
      <c r="A556" s="172"/>
      <c r="B556" s="172"/>
      <c r="C556" s="161" t="str">
        <f aca="false">IF(LEFT(B556,2)="OS","QUILL FORMATION Valmont","QUILL FORMATION Ulman")</f>
        <v>QUILL FORMATION Ulman</v>
      </c>
      <c r="D556" s="43" t="str">
        <f aca="false">IF($A556="","",IF($C556="QUILL FORMATION Valmont",10,11))</f>
        <v/>
      </c>
      <c r="E556" s="151" t="str">
        <f aca="false">IF($A556="","",IFERROR(VLOOKUP($A556,Skills!$A:$C,2,FALSE())&amp;" "&amp;VLOOKUP($A556,Skills!$A:$C,3,FALSE()),"Haxil Dellhaven"))</f>
        <v/>
      </c>
      <c r="F556" s="43" t="str">
        <f aca="false">IF($A556="","",IFERROR(IF(VLOOKUP($A556,Skills!$A:$D,4,FALSE())="","",VLOOKUP($A556,Skills!$A:$D,4,FALSE())),"Lisbonne"))</f>
        <v/>
      </c>
      <c r="G556" s="47"/>
      <c r="H556" s="47" t="str">
        <f aca="false">IF(G556="","",WORKDAY(G556-1,D556+IF(J556="",0,J556)))</f>
        <v/>
      </c>
      <c r="I556" s="134"/>
      <c r="J556" s="135"/>
      <c r="K556" s="43" t="str">
        <f aca="true">IF(G556="","",MIN(D556,MAX(0,NETWORKDAYS(G556,TODAY())-IF(J556="",0,J556))))</f>
        <v/>
      </c>
      <c r="L556" s="43" t="str">
        <f aca="true">IF(G556="","",MAX(0,D556-(NETWORKDAYS(G556,TODAY())-IF(J556="",0,J556))))</f>
        <v/>
      </c>
      <c r="M556" s="173"/>
      <c r="N556" s="44" t="str">
        <f aca="true">IFERROR(IF(OR(K556="",K556&lt;=0),"",IF(TODAY()&gt;H556,1,IF(K556-1=0,0,INDEX(OBJECTIVES!$O$2:$Q$12,MATCH(K556-1,OBJECTIVES!$N$2:$N$12,0),IF($C556="QUILL FORMATION Valmont",2,1))))),"")</f>
        <v/>
      </c>
      <c r="O556" s="44" t="str">
        <f aca="false">IF(OR(N556="",M556=""),"",M556-N556)</f>
        <v/>
      </c>
      <c r="P556" s="155" t="str">
        <f aca="false">IF($Q556&lt;&gt;"",$Q556,IF(O556="","",IF(O556&lt;=-0.12,"P1",IF(O556&lt;=-0.06,"P2","P3"))))</f>
        <v/>
      </c>
      <c r="Q556" s="136"/>
      <c r="R556" s="155"/>
      <c r="S556" s="155"/>
      <c r="T556" s="134"/>
      <c r="U556" s="134"/>
      <c r="V556" s="134"/>
      <c r="W556" s="134"/>
      <c r="X556" s="134"/>
      <c r="Y556" s="134"/>
      <c r="Z556" s="134" t="str">
        <f aca="false">IF(R556="Terminé",IF(AND(G556&lt;&gt;"",I556&lt;&gt;""),NETWORKDAYS(G556,I556),D556),"")</f>
        <v/>
      </c>
      <c r="AA556" s="134" t="str">
        <f aca="false">IF($A556="","",IF(COUNTIF(Skills!$A:$A,$A556)=0,"⚠ ID absent du roster",""))</f>
        <v/>
      </c>
      <c r="AB556" s="158"/>
    </row>
    <row r="557" customFormat="false" ht="15" hidden="true" customHeight="false" outlineLevel="0" collapsed="false">
      <c r="A557" s="172"/>
      <c r="B557" s="172"/>
      <c r="C557" s="161" t="str">
        <f aca="false">IF(LEFT(B557,2)="OS","QUILL FORMATION Valmont","QUILL FORMATION Ulman")</f>
        <v>QUILL FORMATION Ulman</v>
      </c>
      <c r="D557" s="43" t="str">
        <f aca="false">IF($A557="","",IF($C557="QUILL FORMATION Valmont",10,11))</f>
        <v/>
      </c>
      <c r="E557" s="151" t="str">
        <f aca="false">IF($A557="","",IFERROR(VLOOKUP($A557,Skills!$A:$C,2,FALSE())&amp;" "&amp;VLOOKUP($A557,Skills!$A:$C,3,FALSE()),"Haxil Dellhaven"))</f>
        <v/>
      </c>
      <c r="F557" s="43" t="str">
        <f aca="false">IF($A557="","",IFERROR(IF(VLOOKUP($A557,Skills!$A:$D,4,FALSE())="","",VLOOKUP($A557,Skills!$A:$D,4,FALSE())),"Lisbonne"))</f>
        <v/>
      </c>
      <c r="G557" s="47"/>
      <c r="H557" s="47" t="str">
        <f aca="false">IF(G557="","",WORKDAY(G557-1,D557+IF(J557="",0,J557)))</f>
        <v/>
      </c>
      <c r="I557" s="134"/>
      <c r="J557" s="135"/>
      <c r="K557" s="43" t="str">
        <f aca="true">IF(G557="","",MIN(D557,MAX(0,NETWORKDAYS(G557,TODAY())-IF(J557="",0,J557))))</f>
        <v/>
      </c>
      <c r="L557" s="43" t="str">
        <f aca="true">IF(G557="","",MAX(0,D557-(NETWORKDAYS(G557,TODAY())-IF(J557="",0,J557))))</f>
        <v/>
      </c>
      <c r="M557" s="173"/>
      <c r="N557" s="44" t="str">
        <f aca="true">IFERROR(IF(OR(K557="",K557&lt;=0),"",IF(TODAY()&gt;H557,1,IF(K557-1=0,0,INDEX(OBJECTIVES!$O$2:$Q$12,MATCH(K557-1,OBJECTIVES!$N$2:$N$12,0),IF($C557="QUILL FORMATION Valmont",2,1))))),"")</f>
        <v/>
      </c>
      <c r="O557" s="44" t="str">
        <f aca="false">IF(OR(N557="",M557=""),"",M557-N557)</f>
        <v/>
      </c>
      <c r="P557" s="155" t="str">
        <f aca="false">IF($Q557&lt;&gt;"",$Q557,IF(O557="","",IF(O557&lt;=-0.12,"P1",IF(O557&lt;=-0.06,"P2","P3"))))</f>
        <v/>
      </c>
      <c r="Q557" s="136"/>
      <c r="R557" s="155"/>
      <c r="S557" s="155"/>
      <c r="T557" s="134"/>
      <c r="U557" s="134"/>
      <c r="V557" s="134"/>
      <c r="W557" s="134"/>
      <c r="X557" s="134"/>
      <c r="Y557" s="134"/>
      <c r="Z557" s="134" t="str">
        <f aca="false">IF(R557="Terminé",IF(AND(G557&lt;&gt;"",I557&lt;&gt;""),NETWORKDAYS(G557,I557),D557),"")</f>
        <v/>
      </c>
      <c r="AA557" s="134" t="str">
        <f aca="false">IF($A557="","",IF(COUNTIF(Skills!$A:$A,$A557)=0,"⚠ ID absent du roster",""))</f>
        <v/>
      </c>
      <c r="AB557" s="158"/>
    </row>
    <row r="558" customFormat="false" ht="15" hidden="true" customHeight="false" outlineLevel="0" collapsed="false">
      <c r="A558" s="172"/>
      <c r="B558" s="172"/>
      <c r="C558" s="161" t="str">
        <f aca="false">IF(LEFT(B558,2)="OS","QUILL FORMATION Valmont","QUILL FORMATION Ulman")</f>
        <v>QUILL FORMATION Ulman</v>
      </c>
      <c r="D558" s="43" t="str">
        <f aca="false">IF($A558="","",IF($C558="QUILL FORMATION Valmont",10,11))</f>
        <v/>
      </c>
      <c r="E558" s="151" t="str">
        <f aca="false">IF($A558="","",IFERROR(VLOOKUP($A558,Skills!$A:$C,2,FALSE())&amp;" "&amp;VLOOKUP($A558,Skills!$A:$C,3,FALSE()),"Haxil Dellhaven"))</f>
        <v/>
      </c>
      <c r="F558" s="43" t="str">
        <f aca="false">IF($A558="","",IFERROR(IF(VLOOKUP($A558,Skills!$A:$D,4,FALSE())="","",VLOOKUP($A558,Skills!$A:$D,4,FALSE())),"Lisbonne"))</f>
        <v/>
      </c>
      <c r="G558" s="47"/>
      <c r="H558" s="47" t="str">
        <f aca="false">IF(G558="","",WORKDAY(G558-1,D558+IF(J558="",0,J558)))</f>
        <v/>
      </c>
      <c r="I558" s="134"/>
      <c r="J558" s="135"/>
      <c r="K558" s="43" t="str">
        <f aca="true">IF(G558="","",MIN(D558,MAX(0,NETWORKDAYS(G558,TODAY())-IF(J558="",0,J558))))</f>
        <v/>
      </c>
      <c r="L558" s="43" t="str">
        <f aca="true">IF(G558="","",MAX(0,D558-(NETWORKDAYS(G558,TODAY())-IF(J558="",0,J558))))</f>
        <v/>
      </c>
      <c r="M558" s="173"/>
      <c r="N558" s="44" t="str">
        <f aca="true">IFERROR(IF(OR(K558="",K558&lt;=0),"",IF(TODAY()&gt;H558,1,IF(K558-1=0,0,INDEX(OBJECTIVES!$O$2:$Q$12,MATCH(K558-1,OBJECTIVES!$N$2:$N$12,0),IF($C558="QUILL FORMATION Valmont",2,1))))),"")</f>
        <v/>
      </c>
      <c r="O558" s="44" t="str">
        <f aca="false">IF(OR(N558="",M558=""),"",M558-N558)</f>
        <v/>
      </c>
      <c r="P558" s="155" t="str">
        <f aca="false">IF($Q558&lt;&gt;"",$Q558,IF(O558="","",IF(O558&lt;=-0.12,"P1",IF(O558&lt;=-0.06,"P2","P3"))))</f>
        <v/>
      </c>
      <c r="Q558" s="136"/>
      <c r="R558" s="155"/>
      <c r="S558" s="155"/>
      <c r="T558" s="134"/>
      <c r="U558" s="134"/>
      <c r="V558" s="134"/>
      <c r="W558" s="134"/>
      <c r="X558" s="134"/>
      <c r="Y558" s="134"/>
      <c r="Z558" s="134" t="str">
        <f aca="false">IF(R558="Terminé",IF(AND(G558&lt;&gt;"",I558&lt;&gt;""),NETWORKDAYS(G558,I558),D558),"")</f>
        <v/>
      </c>
      <c r="AA558" s="134" t="str">
        <f aca="false">IF($A558="","",IF(COUNTIF(Skills!$A:$A,$A558)=0,"⚠ ID absent du roster",""))</f>
        <v/>
      </c>
      <c r="AB558" s="158"/>
    </row>
    <row r="559" customFormat="false" ht="15" hidden="true" customHeight="false" outlineLevel="0" collapsed="false">
      <c r="A559" s="172"/>
      <c r="B559" s="172"/>
      <c r="C559" s="161" t="str">
        <f aca="false">IF(LEFT(B559,2)="OS","QUILL FORMATION Valmont","QUILL FORMATION Ulman")</f>
        <v>QUILL FORMATION Ulman</v>
      </c>
      <c r="D559" s="43" t="str">
        <f aca="false">IF($A559="","",IF($C559="QUILL FORMATION Valmont",10,11))</f>
        <v/>
      </c>
      <c r="E559" s="151" t="str">
        <f aca="false">IF($A559="","",IFERROR(VLOOKUP($A559,Skills!$A:$C,2,FALSE())&amp;" "&amp;VLOOKUP($A559,Skills!$A:$C,3,FALSE()),"Haxil Dellhaven"))</f>
        <v/>
      </c>
      <c r="F559" s="43" t="str">
        <f aca="false">IF($A559="","",IFERROR(IF(VLOOKUP($A559,Skills!$A:$D,4,FALSE())="","",VLOOKUP($A559,Skills!$A:$D,4,FALSE())),"Lisbonne"))</f>
        <v/>
      </c>
      <c r="G559" s="47"/>
      <c r="H559" s="47" t="str">
        <f aca="false">IF(G559="","",WORKDAY(G559-1,D559+IF(J559="",0,J559)))</f>
        <v/>
      </c>
      <c r="I559" s="134"/>
      <c r="J559" s="135"/>
      <c r="K559" s="43" t="str">
        <f aca="true">IF(G559="","",MIN(D559,MAX(0,NETWORKDAYS(G559,TODAY())-IF(J559="",0,J559))))</f>
        <v/>
      </c>
      <c r="L559" s="43" t="str">
        <f aca="true">IF(G559="","",MAX(0,D559-(NETWORKDAYS(G559,TODAY())-IF(J559="",0,J559))))</f>
        <v/>
      </c>
      <c r="M559" s="173"/>
      <c r="N559" s="44" t="str">
        <f aca="true">IFERROR(IF(OR(K559="",K559&lt;=0),"",IF(TODAY()&gt;H559,1,IF(K559-1=0,0,INDEX(OBJECTIVES!$O$2:$Q$12,MATCH(K559-1,OBJECTIVES!$N$2:$N$12,0),IF($C559="QUILL FORMATION Valmont",2,1))))),"")</f>
        <v/>
      </c>
      <c r="O559" s="44" t="str">
        <f aca="false">IF(OR(N559="",M559=""),"",M559-N559)</f>
        <v/>
      </c>
      <c r="P559" s="155" t="str">
        <f aca="false">IF($Q559&lt;&gt;"",$Q559,IF(O559="","",IF(O559&lt;=-0.12,"P1",IF(O559&lt;=-0.06,"P2","P3"))))</f>
        <v/>
      </c>
      <c r="Q559" s="136"/>
      <c r="R559" s="155"/>
      <c r="S559" s="155"/>
      <c r="T559" s="134"/>
      <c r="U559" s="134"/>
      <c r="V559" s="134"/>
      <c r="W559" s="134"/>
      <c r="X559" s="134"/>
      <c r="Y559" s="134"/>
      <c r="Z559" s="134" t="str">
        <f aca="false">IF(R559="Terminé",IF(AND(G559&lt;&gt;"",I559&lt;&gt;""),NETWORKDAYS(G559,I559),D559),"")</f>
        <v/>
      </c>
      <c r="AA559" s="134" t="str">
        <f aca="false">IF($A559="","",IF(COUNTIF(Skills!$A:$A,$A559)=0,"⚠ ID absent du roster",""))</f>
        <v/>
      </c>
      <c r="AB559" s="158"/>
    </row>
    <row r="560" customFormat="false" ht="15" hidden="true" customHeight="false" outlineLevel="0" collapsed="false">
      <c r="A560" s="172"/>
      <c r="B560" s="172"/>
      <c r="C560" s="161" t="str">
        <f aca="false">IF(LEFT(B560,2)="OS","QUILL FORMATION Valmont","QUILL FORMATION Ulman")</f>
        <v>QUILL FORMATION Ulman</v>
      </c>
      <c r="D560" s="43" t="str">
        <f aca="false">IF($A560="","",IF($C560="QUILL FORMATION Valmont",10,11))</f>
        <v/>
      </c>
      <c r="E560" s="151" t="str">
        <f aca="false">IF($A560="","",IFERROR(VLOOKUP($A560,Skills!$A:$C,2,FALSE())&amp;" "&amp;VLOOKUP($A560,Skills!$A:$C,3,FALSE()),"Haxil Dellhaven"))</f>
        <v/>
      </c>
      <c r="F560" s="43" t="str">
        <f aca="false">IF($A560="","",IFERROR(IF(VLOOKUP($A560,Skills!$A:$D,4,FALSE())="","",VLOOKUP($A560,Skills!$A:$D,4,FALSE())),"Lisbonne"))</f>
        <v/>
      </c>
      <c r="G560" s="47"/>
      <c r="H560" s="47" t="str">
        <f aca="false">IF(G560="","",WORKDAY(G560-1,D560+IF(J560="",0,J560)))</f>
        <v/>
      </c>
      <c r="I560" s="134"/>
      <c r="J560" s="135"/>
      <c r="K560" s="43" t="str">
        <f aca="true">IF(G560="","",MIN(D560,MAX(0,NETWORKDAYS(G560,TODAY())-IF(J560="",0,J560))))</f>
        <v/>
      </c>
      <c r="L560" s="43" t="str">
        <f aca="true">IF(G560="","",MAX(0,D560-(NETWORKDAYS(G560,TODAY())-IF(J560="",0,J560))))</f>
        <v/>
      </c>
      <c r="M560" s="173"/>
      <c r="N560" s="44" t="str">
        <f aca="true">IFERROR(IF(OR(K560="",K560&lt;=0),"",IF(TODAY()&gt;H560,1,IF(K560-1=0,0,INDEX(OBJECTIVES!$O$2:$Q$12,MATCH(K560-1,OBJECTIVES!$N$2:$N$12,0),IF($C560="QUILL FORMATION Valmont",2,1))))),"")</f>
        <v/>
      </c>
      <c r="O560" s="44" t="str">
        <f aca="false">IF(OR(N560="",M560=""),"",M560-N560)</f>
        <v/>
      </c>
      <c r="P560" s="155" t="str">
        <f aca="false">IF($Q560&lt;&gt;"",$Q560,IF(O560="","",IF(O560&lt;=-0.12,"P1",IF(O560&lt;=-0.06,"P2","P3"))))</f>
        <v/>
      </c>
      <c r="Q560" s="136"/>
      <c r="R560" s="155"/>
      <c r="S560" s="155"/>
      <c r="T560" s="134"/>
      <c r="U560" s="134"/>
      <c r="V560" s="134"/>
      <c r="W560" s="134"/>
      <c r="X560" s="134"/>
      <c r="Y560" s="134"/>
      <c r="Z560" s="134" t="str">
        <f aca="false">IF(R560="Terminé",IF(AND(G560&lt;&gt;"",I560&lt;&gt;""),NETWORKDAYS(G560,I560),D560),"")</f>
        <v/>
      </c>
      <c r="AA560" s="134" t="str">
        <f aca="false">IF($A560="","",IF(COUNTIF(Skills!$A:$A,$A560)=0,"⚠ ID absent du roster",""))</f>
        <v/>
      </c>
      <c r="AB560" s="158"/>
    </row>
    <row r="561" customFormat="false" ht="15" hidden="true" customHeight="false" outlineLevel="0" collapsed="false">
      <c r="A561" s="172"/>
      <c r="B561" s="172"/>
      <c r="C561" s="161" t="str">
        <f aca="false">IF(LEFT(B561,2)="OS","QUILL FORMATION Valmont","QUILL FORMATION Ulman")</f>
        <v>QUILL FORMATION Ulman</v>
      </c>
      <c r="D561" s="43" t="str">
        <f aca="false">IF($A561="","",IF($C561="QUILL FORMATION Valmont",10,11))</f>
        <v/>
      </c>
      <c r="E561" s="151" t="str">
        <f aca="false">IF($A561="","",IFERROR(VLOOKUP($A561,Skills!$A:$C,2,FALSE())&amp;" "&amp;VLOOKUP($A561,Skills!$A:$C,3,FALSE()),"Haxil Dellhaven"))</f>
        <v/>
      </c>
      <c r="F561" s="43" t="str">
        <f aca="false">IF($A561="","",IFERROR(IF(VLOOKUP($A561,Skills!$A:$D,4,FALSE())="","",VLOOKUP($A561,Skills!$A:$D,4,FALSE())),"Lisbonne"))</f>
        <v/>
      </c>
      <c r="G561" s="47"/>
      <c r="H561" s="47" t="str">
        <f aca="false">IF(G561="","",WORKDAY(G561-1,D561+IF(J561="",0,J561)))</f>
        <v/>
      </c>
      <c r="I561" s="134"/>
      <c r="J561" s="135"/>
      <c r="K561" s="43" t="str">
        <f aca="true">IF(G561="","",MIN(D561,MAX(0,NETWORKDAYS(G561,TODAY())-IF(J561="",0,J561))))</f>
        <v/>
      </c>
      <c r="L561" s="43" t="str">
        <f aca="true">IF(G561="","",MAX(0,D561-(NETWORKDAYS(G561,TODAY())-IF(J561="",0,J561))))</f>
        <v/>
      </c>
      <c r="M561" s="173"/>
      <c r="N561" s="44" t="str">
        <f aca="true">IFERROR(IF(OR(K561="",K561&lt;=0),"",IF(TODAY()&gt;H561,1,IF(K561-1=0,0,INDEX(OBJECTIVES!$O$2:$Q$12,MATCH(K561-1,OBJECTIVES!$N$2:$N$12,0),IF($C561="QUILL FORMATION Valmont",2,1))))),"")</f>
        <v/>
      </c>
      <c r="O561" s="44" t="str">
        <f aca="false">IF(OR(N561="",M561=""),"",M561-N561)</f>
        <v/>
      </c>
      <c r="P561" s="155" t="str">
        <f aca="false">IF($Q561&lt;&gt;"",$Q561,IF(O561="","",IF(O561&lt;=-0.12,"P1",IF(O561&lt;=-0.06,"P2","P3"))))</f>
        <v/>
      </c>
      <c r="Q561" s="136"/>
      <c r="R561" s="155"/>
      <c r="S561" s="155"/>
      <c r="T561" s="134"/>
      <c r="U561" s="134"/>
      <c r="V561" s="134"/>
      <c r="W561" s="134"/>
      <c r="X561" s="134"/>
      <c r="Y561" s="134"/>
      <c r="Z561" s="134" t="str">
        <f aca="false">IF(R561="Terminé",IF(AND(G561&lt;&gt;"",I561&lt;&gt;""),NETWORKDAYS(G561,I561),D561),"")</f>
        <v/>
      </c>
      <c r="AA561" s="134" t="str">
        <f aca="false">IF($A561="","",IF(COUNTIF(Skills!$A:$A,$A561)=0,"⚠ ID absent du roster",""))</f>
        <v/>
      </c>
      <c r="AB561" s="158"/>
    </row>
    <row r="562" customFormat="false" ht="15" hidden="true" customHeight="false" outlineLevel="0" collapsed="false">
      <c r="A562" s="172"/>
      <c r="B562" s="172"/>
      <c r="C562" s="161" t="str">
        <f aca="false">IF(LEFT(B562,2)="OS","QUILL FORMATION Valmont","QUILL FORMATION Ulman")</f>
        <v>QUILL FORMATION Ulman</v>
      </c>
      <c r="D562" s="43" t="str">
        <f aca="false">IF($A562="","",IF($C562="QUILL FORMATION Valmont",10,11))</f>
        <v/>
      </c>
      <c r="E562" s="151" t="str">
        <f aca="false">IF($A562="","",IFERROR(VLOOKUP($A562,Skills!$A:$C,2,FALSE())&amp;" "&amp;VLOOKUP($A562,Skills!$A:$C,3,FALSE()),"Haxil Dellhaven"))</f>
        <v/>
      </c>
      <c r="F562" s="43" t="str">
        <f aca="false">IF($A562="","",IFERROR(IF(VLOOKUP($A562,Skills!$A:$D,4,FALSE())="","",VLOOKUP($A562,Skills!$A:$D,4,FALSE())),"Lisbonne"))</f>
        <v/>
      </c>
      <c r="G562" s="47"/>
      <c r="H562" s="47" t="str">
        <f aca="false">IF(G562="","",WORKDAY(G562-1,D562+IF(J562="",0,J562)))</f>
        <v/>
      </c>
      <c r="I562" s="134"/>
      <c r="J562" s="135"/>
      <c r="K562" s="43" t="str">
        <f aca="true">IF(G562="","",MIN(D562,MAX(0,NETWORKDAYS(G562,TODAY())-IF(J562="",0,J562))))</f>
        <v/>
      </c>
      <c r="L562" s="43" t="str">
        <f aca="true">IF(G562="","",MAX(0,D562-(NETWORKDAYS(G562,TODAY())-IF(J562="",0,J562))))</f>
        <v/>
      </c>
      <c r="M562" s="173"/>
      <c r="N562" s="44" t="str">
        <f aca="true">IFERROR(IF(OR(K562="",K562&lt;=0),"",IF(TODAY()&gt;H562,1,IF(K562-1=0,0,INDEX(OBJECTIVES!$O$2:$Q$12,MATCH(K562-1,OBJECTIVES!$N$2:$N$12,0),IF($C562="QUILL FORMATION Valmont",2,1))))),"")</f>
        <v/>
      </c>
      <c r="O562" s="44" t="str">
        <f aca="false">IF(OR(N562="",M562=""),"",M562-N562)</f>
        <v/>
      </c>
      <c r="P562" s="155" t="str">
        <f aca="false">IF($Q562&lt;&gt;"",$Q562,IF(O562="","",IF(O562&lt;=-0.12,"P1",IF(O562&lt;=-0.06,"P2","P3"))))</f>
        <v/>
      </c>
      <c r="Q562" s="136"/>
      <c r="R562" s="155"/>
      <c r="S562" s="155"/>
      <c r="T562" s="134"/>
      <c r="U562" s="134"/>
      <c r="V562" s="134"/>
      <c r="W562" s="134"/>
      <c r="X562" s="134"/>
      <c r="Y562" s="134"/>
      <c r="Z562" s="134" t="str">
        <f aca="false">IF(R562="Terminé",IF(AND(G562&lt;&gt;"",I562&lt;&gt;""),NETWORKDAYS(G562,I562),D562),"")</f>
        <v/>
      </c>
      <c r="AA562" s="134" t="str">
        <f aca="false">IF($A562="","",IF(COUNTIF(Skills!$A:$A,$A562)=0,"⚠ ID absent du roster",""))</f>
        <v/>
      </c>
      <c r="AB562" s="158"/>
    </row>
    <row r="563" customFormat="false" ht="15" hidden="true" customHeight="false" outlineLevel="0" collapsed="false">
      <c r="A563" s="172"/>
      <c r="B563" s="172"/>
      <c r="C563" s="161" t="str">
        <f aca="false">IF(LEFT(B563,2)="OS","QUILL FORMATION Valmont","QUILL FORMATION Ulman")</f>
        <v>QUILL FORMATION Ulman</v>
      </c>
      <c r="D563" s="43" t="str">
        <f aca="false">IF($A563="","",IF($C563="QUILL FORMATION Valmont",10,11))</f>
        <v/>
      </c>
      <c r="E563" s="151" t="str">
        <f aca="false">IF($A563="","",IFERROR(VLOOKUP($A563,Skills!$A:$C,2,FALSE())&amp;" "&amp;VLOOKUP($A563,Skills!$A:$C,3,FALSE()),"Haxil Dellhaven"))</f>
        <v/>
      </c>
      <c r="F563" s="43" t="str">
        <f aca="false">IF($A563="","",IFERROR(IF(VLOOKUP($A563,Skills!$A:$D,4,FALSE())="","",VLOOKUP($A563,Skills!$A:$D,4,FALSE())),"Lisbonne"))</f>
        <v/>
      </c>
      <c r="G563" s="47"/>
      <c r="H563" s="47" t="str">
        <f aca="false">IF(G563="","",WORKDAY(G563-1,D563+IF(J563="",0,J563)))</f>
        <v/>
      </c>
      <c r="I563" s="134"/>
      <c r="J563" s="135"/>
      <c r="K563" s="43" t="str">
        <f aca="true">IF(G563="","",MIN(D563,MAX(0,NETWORKDAYS(G563,TODAY())-IF(J563="",0,J563))))</f>
        <v/>
      </c>
      <c r="L563" s="43" t="str">
        <f aca="true">IF(G563="","",MAX(0,D563-(NETWORKDAYS(G563,TODAY())-IF(J563="",0,J563))))</f>
        <v/>
      </c>
      <c r="M563" s="173"/>
      <c r="N563" s="44" t="str">
        <f aca="true">IFERROR(IF(OR(K563="",K563&lt;=0),"",IF(TODAY()&gt;H563,1,IF(K563-1=0,0,INDEX(OBJECTIVES!$O$2:$Q$12,MATCH(K563-1,OBJECTIVES!$N$2:$N$12,0),IF($C563="QUILL FORMATION Valmont",2,1))))),"")</f>
        <v/>
      </c>
      <c r="O563" s="44" t="str">
        <f aca="false">IF(OR(N563="",M563=""),"",M563-N563)</f>
        <v/>
      </c>
      <c r="P563" s="155" t="str">
        <f aca="false">IF($Q563&lt;&gt;"",$Q563,IF(O563="","",IF(O563&lt;=-0.12,"P1",IF(O563&lt;=-0.06,"P2","P3"))))</f>
        <v/>
      </c>
      <c r="Q563" s="136"/>
      <c r="R563" s="155"/>
      <c r="S563" s="155"/>
      <c r="T563" s="134"/>
      <c r="U563" s="134"/>
      <c r="V563" s="134"/>
      <c r="W563" s="134"/>
      <c r="X563" s="134"/>
      <c r="Y563" s="134"/>
      <c r="Z563" s="134" t="str">
        <f aca="false">IF(R563="Terminé",IF(AND(G563&lt;&gt;"",I563&lt;&gt;""),NETWORKDAYS(G563,I563),D563),"")</f>
        <v/>
      </c>
      <c r="AA563" s="134" t="str">
        <f aca="false">IF($A563="","",IF(COUNTIF(Skills!$A:$A,$A563)=0,"⚠ ID absent du roster",""))</f>
        <v/>
      </c>
      <c r="AB563" s="158"/>
    </row>
    <row r="564" customFormat="false" ht="15" hidden="true" customHeight="false" outlineLevel="0" collapsed="false">
      <c r="A564" s="172"/>
      <c r="B564" s="172"/>
      <c r="C564" s="161" t="str">
        <f aca="false">IF(LEFT(B564,2)="OS","QUILL FORMATION Valmont","QUILL FORMATION Ulman")</f>
        <v>QUILL FORMATION Ulman</v>
      </c>
      <c r="D564" s="43" t="str">
        <f aca="false">IF($A564="","",IF($C564="QUILL FORMATION Valmont",10,11))</f>
        <v/>
      </c>
      <c r="E564" s="151" t="str">
        <f aca="false">IF($A564="","",IFERROR(VLOOKUP($A564,Skills!$A:$C,2,FALSE())&amp;" "&amp;VLOOKUP($A564,Skills!$A:$C,3,FALSE()),"Haxil Dellhaven"))</f>
        <v/>
      </c>
      <c r="F564" s="43" t="str">
        <f aca="false">IF($A564="","",IFERROR(IF(VLOOKUP($A564,Skills!$A:$D,4,FALSE())="","",VLOOKUP($A564,Skills!$A:$D,4,FALSE())),"Lisbonne"))</f>
        <v/>
      </c>
      <c r="G564" s="47"/>
      <c r="H564" s="47" t="str">
        <f aca="false">IF(G564="","",WORKDAY(G564-1,D564+IF(J564="",0,J564)))</f>
        <v/>
      </c>
      <c r="I564" s="134"/>
      <c r="J564" s="135"/>
      <c r="K564" s="43" t="str">
        <f aca="true">IF(G564="","",MIN(D564,MAX(0,NETWORKDAYS(G564,TODAY())-IF(J564="",0,J564))))</f>
        <v/>
      </c>
      <c r="L564" s="43" t="str">
        <f aca="true">IF(G564="","",MAX(0,D564-(NETWORKDAYS(G564,TODAY())-IF(J564="",0,J564))))</f>
        <v/>
      </c>
      <c r="M564" s="173"/>
      <c r="N564" s="44" t="str">
        <f aca="true">IFERROR(IF(OR(K564="",K564&lt;=0),"",IF(TODAY()&gt;H564,1,IF(K564-1=0,0,INDEX(OBJECTIVES!$O$2:$Q$12,MATCH(K564-1,OBJECTIVES!$N$2:$N$12,0),IF($C564="QUILL FORMATION Valmont",2,1))))),"")</f>
        <v/>
      </c>
      <c r="O564" s="44" t="str">
        <f aca="false">IF(OR(N564="",M564=""),"",M564-N564)</f>
        <v/>
      </c>
      <c r="P564" s="155" t="str">
        <f aca="false">IF($Q564&lt;&gt;"",$Q564,IF(O564="","",IF(O564&lt;=-0.12,"P1",IF(O564&lt;=-0.06,"P2","P3"))))</f>
        <v/>
      </c>
      <c r="Q564" s="136"/>
      <c r="R564" s="155"/>
      <c r="S564" s="155"/>
      <c r="T564" s="134"/>
      <c r="U564" s="134"/>
      <c r="V564" s="134"/>
      <c r="W564" s="134"/>
      <c r="X564" s="134"/>
      <c r="Y564" s="134"/>
      <c r="Z564" s="134" t="str">
        <f aca="false">IF(R564="Terminé",IF(AND(G564&lt;&gt;"",I564&lt;&gt;""),NETWORKDAYS(G564,I564),D564),"")</f>
        <v/>
      </c>
      <c r="AA564" s="134" t="str">
        <f aca="false">IF($A564="","",IF(COUNTIF(Skills!$A:$A,$A564)=0,"⚠ ID absent du roster",""))</f>
        <v/>
      </c>
      <c r="AB564" s="158"/>
    </row>
    <row r="565" customFormat="false" ht="15" hidden="true" customHeight="false" outlineLevel="0" collapsed="false">
      <c r="A565" s="172"/>
      <c r="B565" s="172"/>
      <c r="C565" s="161" t="str">
        <f aca="false">IF(LEFT(B565,2)="OS","QUILL FORMATION Valmont","QUILL FORMATION Ulman")</f>
        <v>QUILL FORMATION Ulman</v>
      </c>
      <c r="D565" s="43" t="str">
        <f aca="false">IF($A565="","",IF($C565="QUILL FORMATION Valmont",10,11))</f>
        <v/>
      </c>
      <c r="E565" s="151" t="str">
        <f aca="false">IF($A565="","",IFERROR(VLOOKUP($A565,Skills!$A:$C,2,FALSE())&amp;" "&amp;VLOOKUP($A565,Skills!$A:$C,3,FALSE()),"Haxil Dellhaven"))</f>
        <v/>
      </c>
      <c r="F565" s="43" t="str">
        <f aca="false">IF($A565="","",IFERROR(IF(VLOOKUP($A565,Skills!$A:$D,4,FALSE())="","",VLOOKUP($A565,Skills!$A:$D,4,FALSE())),"Lisbonne"))</f>
        <v/>
      </c>
      <c r="G565" s="47"/>
      <c r="H565" s="47" t="str">
        <f aca="false">IF(G565="","",WORKDAY(G565-1,D565+IF(J565="",0,J565)))</f>
        <v/>
      </c>
      <c r="I565" s="134"/>
      <c r="J565" s="135"/>
      <c r="K565" s="43" t="str">
        <f aca="true">IF(G565="","",MIN(D565,MAX(0,NETWORKDAYS(G565,TODAY())-IF(J565="",0,J565))))</f>
        <v/>
      </c>
      <c r="L565" s="43" t="str">
        <f aca="true">IF(G565="","",MAX(0,D565-(NETWORKDAYS(G565,TODAY())-IF(J565="",0,J565))))</f>
        <v/>
      </c>
      <c r="M565" s="173"/>
      <c r="N565" s="44" t="str">
        <f aca="true">IFERROR(IF(OR(K565="",K565&lt;=0),"",IF(TODAY()&gt;H565,1,IF(K565-1=0,0,INDEX(OBJECTIVES!$O$2:$Q$12,MATCH(K565-1,OBJECTIVES!$N$2:$N$12,0),IF($C565="QUILL FORMATION Valmont",2,1))))),"")</f>
        <v/>
      </c>
      <c r="O565" s="44" t="str">
        <f aca="false">IF(OR(N565="",M565=""),"",M565-N565)</f>
        <v/>
      </c>
      <c r="P565" s="155" t="str">
        <f aca="false">IF($Q565&lt;&gt;"",$Q565,IF(O565="","",IF(O565&lt;=-0.12,"P1",IF(O565&lt;=-0.06,"P2","P3"))))</f>
        <v/>
      </c>
      <c r="Q565" s="136"/>
      <c r="R565" s="155"/>
      <c r="S565" s="155"/>
      <c r="T565" s="134"/>
      <c r="U565" s="134"/>
      <c r="V565" s="134"/>
      <c r="W565" s="134"/>
      <c r="X565" s="134"/>
      <c r="Y565" s="134"/>
      <c r="Z565" s="134" t="str">
        <f aca="false">IF(R565="Terminé",IF(AND(G565&lt;&gt;"",I565&lt;&gt;""),NETWORKDAYS(G565,I565),D565),"")</f>
        <v/>
      </c>
      <c r="AA565" s="134" t="str">
        <f aca="false">IF($A565="","",IF(COUNTIF(Skills!$A:$A,$A565)=0,"⚠ ID absent du roster",""))</f>
        <v/>
      </c>
      <c r="AB565" s="158"/>
    </row>
    <row r="566" customFormat="false" ht="15" hidden="true" customHeight="false" outlineLevel="0" collapsed="false">
      <c r="A566" s="172"/>
      <c r="B566" s="172"/>
      <c r="C566" s="161" t="str">
        <f aca="false">IF(LEFT(B566,2)="OS","QUILL FORMATION Valmont","QUILL FORMATION Ulman")</f>
        <v>QUILL FORMATION Ulman</v>
      </c>
      <c r="D566" s="43" t="str">
        <f aca="false">IF($A566="","",IF($C566="QUILL FORMATION Valmont",10,11))</f>
        <v/>
      </c>
      <c r="E566" s="151" t="str">
        <f aca="false">IF($A566="","",IFERROR(VLOOKUP($A566,Skills!$A:$C,2,FALSE())&amp;" "&amp;VLOOKUP($A566,Skills!$A:$C,3,FALSE()),"Haxil Dellhaven"))</f>
        <v/>
      </c>
      <c r="F566" s="43" t="str">
        <f aca="false">IF($A566="","",IFERROR(IF(VLOOKUP($A566,Skills!$A:$D,4,FALSE())="","",VLOOKUP($A566,Skills!$A:$D,4,FALSE())),"Lisbonne"))</f>
        <v/>
      </c>
      <c r="G566" s="47"/>
      <c r="H566" s="47" t="str">
        <f aca="false">IF(G566="","",WORKDAY(G566-1,D566+IF(J566="",0,J566)))</f>
        <v/>
      </c>
      <c r="I566" s="134"/>
      <c r="J566" s="135"/>
      <c r="K566" s="43" t="str">
        <f aca="true">IF(G566="","",MIN(D566,MAX(0,NETWORKDAYS(G566,TODAY())-IF(J566="",0,J566))))</f>
        <v/>
      </c>
      <c r="L566" s="43" t="str">
        <f aca="true">IF(G566="","",MAX(0,D566-(NETWORKDAYS(G566,TODAY())-IF(J566="",0,J566))))</f>
        <v/>
      </c>
      <c r="M566" s="173"/>
      <c r="N566" s="44" t="str">
        <f aca="true">IFERROR(IF(OR(K566="",K566&lt;=0),"",IF(TODAY()&gt;H566,1,IF(K566-1=0,0,INDEX(OBJECTIVES!$O$2:$Q$12,MATCH(K566-1,OBJECTIVES!$N$2:$N$12,0),IF($C566="QUILL FORMATION Valmont",2,1))))),"")</f>
        <v/>
      </c>
      <c r="O566" s="44" t="str">
        <f aca="false">IF(OR(N566="",M566=""),"",M566-N566)</f>
        <v/>
      </c>
      <c r="P566" s="155" t="str">
        <f aca="false">IF($Q566&lt;&gt;"",$Q566,IF(O566="","",IF(O566&lt;=-0.12,"P1",IF(O566&lt;=-0.06,"P2","P3"))))</f>
        <v/>
      </c>
      <c r="Q566" s="136"/>
      <c r="R566" s="155"/>
      <c r="S566" s="155"/>
      <c r="T566" s="134"/>
      <c r="U566" s="134"/>
      <c r="V566" s="134"/>
      <c r="W566" s="134"/>
      <c r="X566" s="134"/>
      <c r="Y566" s="134"/>
      <c r="Z566" s="134" t="str">
        <f aca="false">IF(R566="Terminé",IF(AND(G566&lt;&gt;"",I566&lt;&gt;""),NETWORKDAYS(G566,I566),D566),"")</f>
        <v/>
      </c>
      <c r="AA566" s="134" t="str">
        <f aca="false">IF($A566="","",IF(COUNTIF(Skills!$A:$A,$A566)=0,"⚠ ID absent du roster",""))</f>
        <v/>
      </c>
      <c r="AB566" s="158"/>
    </row>
    <row r="567" customFormat="false" ht="15" hidden="true" customHeight="false" outlineLevel="0" collapsed="false">
      <c r="A567" s="172"/>
      <c r="B567" s="172"/>
      <c r="C567" s="161" t="str">
        <f aca="false">IF(LEFT(B567,2)="OS","QUILL FORMATION Valmont","QUILL FORMATION Ulman")</f>
        <v>QUILL FORMATION Ulman</v>
      </c>
      <c r="D567" s="43" t="str">
        <f aca="false">IF($A567="","",IF($C567="QUILL FORMATION Valmont",10,11))</f>
        <v/>
      </c>
      <c r="E567" s="151" t="str">
        <f aca="false">IF($A567="","",IFERROR(VLOOKUP($A567,Skills!$A:$C,2,FALSE())&amp;" "&amp;VLOOKUP($A567,Skills!$A:$C,3,FALSE()),"Haxil Dellhaven"))</f>
        <v/>
      </c>
      <c r="F567" s="43" t="str">
        <f aca="false">IF($A567="","",IFERROR(IF(VLOOKUP($A567,Skills!$A:$D,4,FALSE())="","",VLOOKUP($A567,Skills!$A:$D,4,FALSE())),"Lisbonne"))</f>
        <v/>
      </c>
      <c r="G567" s="47"/>
      <c r="H567" s="47" t="str">
        <f aca="false">IF(G567="","",WORKDAY(G567-1,D567+IF(J567="",0,J567)))</f>
        <v/>
      </c>
      <c r="I567" s="134"/>
      <c r="J567" s="135"/>
      <c r="K567" s="43" t="str">
        <f aca="true">IF(G567="","",MIN(D567,MAX(0,NETWORKDAYS(G567,TODAY())-IF(J567="",0,J567))))</f>
        <v/>
      </c>
      <c r="L567" s="43" t="str">
        <f aca="true">IF(G567="","",MAX(0,D567-(NETWORKDAYS(G567,TODAY())-IF(J567="",0,J567))))</f>
        <v/>
      </c>
      <c r="M567" s="173"/>
      <c r="N567" s="44" t="str">
        <f aca="true">IFERROR(IF(OR(K567="",K567&lt;=0),"",IF(TODAY()&gt;H567,1,IF(K567-1=0,0,INDEX(OBJECTIVES!$O$2:$Q$12,MATCH(K567-1,OBJECTIVES!$N$2:$N$12,0),IF($C567="QUILL FORMATION Valmont",2,1))))),"")</f>
        <v/>
      </c>
      <c r="O567" s="44" t="str">
        <f aca="false">IF(OR(N567="",M567=""),"",M567-N567)</f>
        <v/>
      </c>
      <c r="P567" s="155" t="str">
        <f aca="false">IF($Q567&lt;&gt;"",$Q567,IF(O567="","",IF(O567&lt;=-0.12,"P1",IF(O567&lt;=-0.06,"P2","P3"))))</f>
        <v/>
      </c>
      <c r="Q567" s="136"/>
      <c r="R567" s="155"/>
      <c r="S567" s="155"/>
      <c r="T567" s="134"/>
      <c r="U567" s="134"/>
      <c r="V567" s="134"/>
      <c r="W567" s="134"/>
      <c r="X567" s="134"/>
      <c r="Y567" s="134"/>
      <c r="Z567" s="134" t="str">
        <f aca="false">IF(R567="Terminé",IF(AND(G567&lt;&gt;"",I567&lt;&gt;""),NETWORKDAYS(G567,I567),D567),"")</f>
        <v/>
      </c>
      <c r="AA567" s="134" t="str">
        <f aca="false">IF($A567="","",IF(COUNTIF(Skills!$A:$A,$A567)=0,"⚠ ID absent du roster",""))</f>
        <v/>
      </c>
      <c r="AB567" s="158"/>
    </row>
    <row r="568" customFormat="false" ht="15" hidden="true" customHeight="false" outlineLevel="0" collapsed="false">
      <c r="A568" s="172"/>
      <c r="B568" s="172"/>
      <c r="C568" s="161" t="str">
        <f aca="false">IF(LEFT(B568,2)="OS","QUILL FORMATION Valmont","QUILL FORMATION Ulman")</f>
        <v>QUILL FORMATION Ulman</v>
      </c>
      <c r="D568" s="43" t="str">
        <f aca="false">IF($A568="","",IF($C568="QUILL FORMATION Valmont",10,11))</f>
        <v/>
      </c>
      <c r="E568" s="151" t="str">
        <f aca="false">IF($A568="","",IFERROR(VLOOKUP($A568,Skills!$A:$C,2,FALSE())&amp;" "&amp;VLOOKUP($A568,Skills!$A:$C,3,FALSE()),"Haxil Dellhaven"))</f>
        <v/>
      </c>
      <c r="F568" s="43" t="str">
        <f aca="false">IF($A568="","",IFERROR(IF(VLOOKUP($A568,Skills!$A:$D,4,FALSE())="","",VLOOKUP($A568,Skills!$A:$D,4,FALSE())),"Lisbonne"))</f>
        <v/>
      </c>
      <c r="G568" s="47"/>
      <c r="H568" s="47" t="str">
        <f aca="false">IF(G568="","",WORKDAY(G568-1,D568+IF(J568="",0,J568)))</f>
        <v/>
      </c>
      <c r="I568" s="134"/>
      <c r="J568" s="135"/>
      <c r="K568" s="43" t="str">
        <f aca="true">IF(G568="","",MIN(D568,MAX(0,NETWORKDAYS(G568,TODAY())-IF(J568="",0,J568))))</f>
        <v/>
      </c>
      <c r="L568" s="43" t="str">
        <f aca="true">IF(G568="","",MAX(0,D568-(NETWORKDAYS(G568,TODAY())-IF(J568="",0,J568))))</f>
        <v/>
      </c>
      <c r="M568" s="173"/>
      <c r="N568" s="44" t="str">
        <f aca="true">IFERROR(IF(OR(K568="",K568&lt;=0),"",IF(TODAY()&gt;H568,1,IF(K568-1=0,0,INDEX(OBJECTIVES!$O$2:$Q$12,MATCH(K568-1,OBJECTIVES!$N$2:$N$12,0),IF($C568="QUILL FORMATION Valmont",2,1))))),"")</f>
        <v/>
      </c>
      <c r="O568" s="44" t="str">
        <f aca="false">IF(OR(N568="",M568=""),"",M568-N568)</f>
        <v/>
      </c>
      <c r="P568" s="155" t="str">
        <f aca="false">IF($Q568&lt;&gt;"",$Q568,IF(O568="","",IF(O568&lt;=-0.12,"P1",IF(O568&lt;=-0.06,"P2","P3"))))</f>
        <v/>
      </c>
      <c r="Q568" s="136"/>
      <c r="R568" s="155"/>
      <c r="S568" s="155"/>
      <c r="T568" s="134"/>
      <c r="U568" s="134"/>
      <c r="V568" s="134"/>
      <c r="W568" s="134"/>
      <c r="X568" s="134"/>
      <c r="Y568" s="134"/>
      <c r="Z568" s="134" t="str">
        <f aca="false">IF(R568="Terminé",IF(AND(G568&lt;&gt;"",I568&lt;&gt;""),NETWORKDAYS(G568,I568),D568),"")</f>
        <v/>
      </c>
      <c r="AA568" s="134" t="str">
        <f aca="false">IF($A568="","",IF(COUNTIF(Skills!$A:$A,$A568)=0,"⚠ ID absent du roster",""))</f>
        <v/>
      </c>
      <c r="AB568" s="158"/>
    </row>
    <row r="569" customFormat="false" ht="15" hidden="true" customHeight="false" outlineLevel="0" collapsed="false">
      <c r="A569" s="172"/>
      <c r="B569" s="172"/>
      <c r="C569" s="161" t="str">
        <f aca="false">IF(LEFT(B569,2)="OS","QUILL FORMATION Valmont","QUILL FORMATION Ulman")</f>
        <v>QUILL FORMATION Ulman</v>
      </c>
      <c r="D569" s="43" t="str">
        <f aca="false">IF($A569="","",IF($C569="QUILL FORMATION Valmont",10,11))</f>
        <v/>
      </c>
      <c r="E569" s="151" t="str">
        <f aca="false">IF($A569="","",IFERROR(VLOOKUP($A569,Skills!$A:$C,2,FALSE())&amp;" "&amp;VLOOKUP($A569,Skills!$A:$C,3,FALSE()),"Haxil Dellhaven"))</f>
        <v/>
      </c>
      <c r="F569" s="43" t="str">
        <f aca="false">IF($A569="","",IFERROR(IF(VLOOKUP($A569,Skills!$A:$D,4,FALSE())="","",VLOOKUP($A569,Skills!$A:$D,4,FALSE())),"Lisbonne"))</f>
        <v/>
      </c>
      <c r="G569" s="47"/>
      <c r="H569" s="47" t="str">
        <f aca="false">IF(G569="","",WORKDAY(G569-1,D569+IF(J569="",0,J569)))</f>
        <v/>
      </c>
      <c r="I569" s="134"/>
      <c r="J569" s="135"/>
      <c r="K569" s="43" t="str">
        <f aca="true">IF(G569="","",MIN(D569,MAX(0,NETWORKDAYS(G569,TODAY())-IF(J569="",0,J569))))</f>
        <v/>
      </c>
      <c r="L569" s="43" t="str">
        <f aca="true">IF(G569="","",MAX(0,D569-(NETWORKDAYS(G569,TODAY())-IF(J569="",0,J569))))</f>
        <v/>
      </c>
      <c r="M569" s="173"/>
      <c r="N569" s="44" t="str">
        <f aca="true">IFERROR(IF(OR(K569="",K569&lt;=0),"",IF(TODAY()&gt;H569,1,IF(K569-1=0,0,INDEX(OBJECTIVES!$O$2:$Q$12,MATCH(K569-1,OBJECTIVES!$N$2:$N$12,0),IF($C569="QUILL FORMATION Valmont",2,1))))),"")</f>
        <v/>
      </c>
      <c r="O569" s="44" t="str">
        <f aca="false">IF(OR(N569="",M569=""),"",M569-N569)</f>
        <v/>
      </c>
      <c r="P569" s="155" t="str">
        <f aca="false">IF($Q569&lt;&gt;"",$Q569,IF(O569="","",IF(O569&lt;=-0.12,"P1",IF(O569&lt;=-0.06,"P2","P3"))))</f>
        <v/>
      </c>
      <c r="Q569" s="136"/>
      <c r="R569" s="155"/>
      <c r="S569" s="155"/>
      <c r="T569" s="134"/>
      <c r="U569" s="134"/>
      <c r="V569" s="134"/>
      <c r="W569" s="134"/>
      <c r="X569" s="134"/>
      <c r="Y569" s="134"/>
      <c r="Z569" s="134" t="str">
        <f aca="false">IF(R569="Terminé",IF(AND(G569&lt;&gt;"",I569&lt;&gt;""),NETWORKDAYS(G569,I569),D569),"")</f>
        <v/>
      </c>
      <c r="AA569" s="134" t="str">
        <f aca="false">IF($A569="","",IF(COUNTIF(Skills!$A:$A,$A569)=0,"⚠ ID absent du roster",""))</f>
        <v/>
      </c>
      <c r="AB569" s="158"/>
    </row>
    <row r="570" customFormat="false" ht="15" hidden="true" customHeight="false" outlineLevel="0" collapsed="false">
      <c r="A570" s="172"/>
      <c r="B570" s="172"/>
      <c r="C570" s="161" t="str">
        <f aca="false">IF(LEFT(B570,2)="OS","QUILL FORMATION Valmont","QUILL FORMATION Ulman")</f>
        <v>QUILL FORMATION Ulman</v>
      </c>
      <c r="D570" s="43" t="str">
        <f aca="false">IF($A570="","",IF($C570="QUILL FORMATION Valmont",10,11))</f>
        <v/>
      </c>
      <c r="E570" s="151" t="str">
        <f aca="false">IF($A570="","",IFERROR(VLOOKUP($A570,Skills!$A:$C,2,FALSE())&amp;" "&amp;VLOOKUP($A570,Skills!$A:$C,3,FALSE()),"Haxil Dellhaven"))</f>
        <v/>
      </c>
      <c r="F570" s="43" t="str">
        <f aca="false">IF($A570="","",IFERROR(IF(VLOOKUP($A570,Skills!$A:$D,4,FALSE())="","",VLOOKUP($A570,Skills!$A:$D,4,FALSE())),"Lisbonne"))</f>
        <v/>
      </c>
      <c r="G570" s="47"/>
      <c r="H570" s="47" t="str">
        <f aca="false">IF(G570="","",WORKDAY(G570-1,D570+IF(J570="",0,J570)))</f>
        <v/>
      </c>
      <c r="I570" s="134"/>
      <c r="J570" s="135"/>
      <c r="K570" s="43" t="str">
        <f aca="true">IF(G570="","",MIN(D570,MAX(0,NETWORKDAYS(G570,TODAY())-IF(J570="",0,J570))))</f>
        <v/>
      </c>
      <c r="L570" s="43" t="str">
        <f aca="true">IF(G570="","",MAX(0,D570-(NETWORKDAYS(G570,TODAY())-IF(J570="",0,J570))))</f>
        <v/>
      </c>
      <c r="M570" s="173"/>
      <c r="N570" s="44" t="str">
        <f aca="true">IFERROR(IF(OR(K570="",K570&lt;=0),"",IF(TODAY()&gt;H570,1,IF(K570-1=0,0,INDEX(OBJECTIVES!$O$2:$Q$12,MATCH(K570-1,OBJECTIVES!$N$2:$N$12,0),IF($C570="QUILL FORMATION Valmont",2,1))))),"")</f>
        <v/>
      </c>
      <c r="O570" s="44" t="str">
        <f aca="false">IF(OR(N570="",M570=""),"",M570-N570)</f>
        <v/>
      </c>
      <c r="P570" s="155" t="str">
        <f aca="false">IF($Q570&lt;&gt;"",$Q570,IF(O570="","",IF(O570&lt;=-0.12,"P1",IF(O570&lt;=-0.06,"P2","P3"))))</f>
        <v/>
      </c>
      <c r="Q570" s="136"/>
      <c r="R570" s="155"/>
      <c r="S570" s="155"/>
      <c r="T570" s="134"/>
      <c r="U570" s="134"/>
      <c r="V570" s="134"/>
      <c r="W570" s="134"/>
      <c r="X570" s="134"/>
      <c r="Y570" s="134"/>
      <c r="Z570" s="134" t="str">
        <f aca="false">IF(R570="Terminé",IF(AND(G570&lt;&gt;"",I570&lt;&gt;""),NETWORKDAYS(G570,I570),D570),"")</f>
        <v/>
      </c>
      <c r="AA570" s="134" t="str">
        <f aca="false">IF($A570="","",IF(COUNTIF(Skills!$A:$A,$A570)=0,"⚠ ID absent du roster",""))</f>
        <v/>
      </c>
      <c r="AB570" s="158"/>
    </row>
    <row r="571" customFormat="false" ht="15" hidden="true" customHeight="false" outlineLevel="0" collapsed="false">
      <c r="A571" s="172"/>
      <c r="B571" s="172"/>
      <c r="C571" s="161" t="str">
        <f aca="false">IF(LEFT(B571,2)="OS","QUILL FORMATION Valmont","QUILL FORMATION Ulman")</f>
        <v>QUILL FORMATION Ulman</v>
      </c>
      <c r="D571" s="43" t="str">
        <f aca="false">IF($A571="","",IF($C571="QUILL FORMATION Valmont",10,11))</f>
        <v/>
      </c>
      <c r="E571" s="151" t="str">
        <f aca="false">IF($A571="","",IFERROR(VLOOKUP($A571,Skills!$A:$C,2,FALSE())&amp;" "&amp;VLOOKUP($A571,Skills!$A:$C,3,FALSE()),"Haxil Dellhaven"))</f>
        <v/>
      </c>
      <c r="F571" s="43" t="str">
        <f aca="false">IF($A571="","",IFERROR(IF(VLOOKUP($A571,Skills!$A:$D,4,FALSE())="","",VLOOKUP($A571,Skills!$A:$D,4,FALSE())),"Lisbonne"))</f>
        <v/>
      </c>
      <c r="G571" s="47"/>
      <c r="H571" s="47" t="str">
        <f aca="false">IF(G571="","",WORKDAY(G571-1,D571+IF(J571="",0,J571)))</f>
        <v/>
      </c>
      <c r="I571" s="134"/>
      <c r="J571" s="135"/>
      <c r="K571" s="43" t="str">
        <f aca="true">IF(G571="","",MIN(D571,MAX(0,NETWORKDAYS(G571,TODAY())-IF(J571="",0,J571))))</f>
        <v/>
      </c>
      <c r="L571" s="43" t="str">
        <f aca="true">IF(G571="","",MAX(0,D571-(NETWORKDAYS(G571,TODAY())-IF(J571="",0,J571))))</f>
        <v/>
      </c>
      <c r="M571" s="173"/>
      <c r="N571" s="44" t="str">
        <f aca="true">IFERROR(IF(OR(K571="",K571&lt;=0),"",IF(TODAY()&gt;H571,1,IF(K571-1=0,0,INDEX(OBJECTIVES!$O$2:$Q$12,MATCH(K571-1,OBJECTIVES!$N$2:$N$12,0),IF($C571="QUILL FORMATION Valmont",2,1))))),"")</f>
        <v/>
      </c>
      <c r="O571" s="44" t="str">
        <f aca="false">IF(OR(N571="",M571=""),"",M571-N571)</f>
        <v/>
      </c>
      <c r="P571" s="155" t="str">
        <f aca="false">IF($Q571&lt;&gt;"",$Q571,IF(O571="","",IF(O571&lt;=-0.12,"P1",IF(O571&lt;=-0.06,"P2","P3"))))</f>
        <v/>
      </c>
      <c r="Q571" s="136"/>
      <c r="R571" s="155"/>
      <c r="S571" s="155"/>
      <c r="T571" s="134"/>
      <c r="U571" s="134"/>
      <c r="V571" s="134"/>
      <c r="W571" s="134"/>
      <c r="X571" s="134"/>
      <c r="Y571" s="134"/>
      <c r="Z571" s="134" t="str">
        <f aca="false">IF(R571="Terminé",IF(AND(G571&lt;&gt;"",I571&lt;&gt;""),NETWORKDAYS(G571,I571),D571),"")</f>
        <v/>
      </c>
      <c r="AA571" s="134" t="str">
        <f aca="false">IF($A571="","",IF(COUNTIF(Skills!$A:$A,$A571)=0,"⚠ ID absent du roster",""))</f>
        <v/>
      </c>
      <c r="AB571" s="158"/>
    </row>
    <row r="572" customFormat="false" ht="15" hidden="true" customHeight="false" outlineLevel="0" collapsed="false">
      <c r="A572" s="172"/>
      <c r="B572" s="172"/>
      <c r="C572" s="161" t="str">
        <f aca="false">IF(LEFT(B572,2)="OS","QUILL FORMATION Valmont","QUILL FORMATION Ulman")</f>
        <v>QUILL FORMATION Ulman</v>
      </c>
      <c r="D572" s="43" t="str">
        <f aca="false">IF($A572="","",IF($C572="QUILL FORMATION Valmont",10,11))</f>
        <v/>
      </c>
      <c r="E572" s="151" t="str">
        <f aca="false">IF($A572="","",IFERROR(VLOOKUP($A572,Skills!$A:$C,2,FALSE())&amp;" "&amp;VLOOKUP($A572,Skills!$A:$C,3,FALSE()),"Haxil Dellhaven"))</f>
        <v/>
      </c>
      <c r="F572" s="43" t="str">
        <f aca="false">IF($A572="","",IFERROR(IF(VLOOKUP($A572,Skills!$A:$D,4,FALSE())="","",VLOOKUP($A572,Skills!$A:$D,4,FALSE())),"Lisbonne"))</f>
        <v/>
      </c>
      <c r="G572" s="47"/>
      <c r="H572" s="47" t="str">
        <f aca="false">IF(G572="","",WORKDAY(G572-1,D572+IF(J572="",0,J572)))</f>
        <v/>
      </c>
      <c r="I572" s="134"/>
      <c r="J572" s="135"/>
      <c r="K572" s="43" t="str">
        <f aca="true">IF(G572="","",MIN(D572,MAX(0,NETWORKDAYS(G572,TODAY())-IF(J572="",0,J572))))</f>
        <v/>
      </c>
      <c r="L572" s="43" t="str">
        <f aca="true">IF(G572="","",MAX(0,D572-(NETWORKDAYS(G572,TODAY())-IF(J572="",0,J572))))</f>
        <v/>
      </c>
      <c r="M572" s="173"/>
      <c r="N572" s="44" t="str">
        <f aca="true">IFERROR(IF(OR(K572="",K572&lt;=0),"",IF(TODAY()&gt;H572,1,IF(K572-1=0,0,INDEX(OBJECTIVES!$O$2:$Q$12,MATCH(K572-1,OBJECTIVES!$N$2:$N$12,0),IF($C572="QUILL FORMATION Valmont",2,1))))),"")</f>
        <v/>
      </c>
      <c r="O572" s="44" t="str">
        <f aca="false">IF(OR(N572="",M572=""),"",M572-N572)</f>
        <v/>
      </c>
      <c r="P572" s="155" t="str">
        <f aca="false">IF($Q572&lt;&gt;"",$Q572,IF(O572="","",IF(O572&lt;=-0.12,"P1",IF(O572&lt;=-0.06,"P2","P3"))))</f>
        <v/>
      </c>
      <c r="Q572" s="136"/>
      <c r="R572" s="155"/>
      <c r="S572" s="155"/>
      <c r="T572" s="134"/>
      <c r="U572" s="134"/>
      <c r="V572" s="134"/>
      <c r="W572" s="134"/>
      <c r="X572" s="134"/>
      <c r="Y572" s="134"/>
      <c r="Z572" s="134" t="str">
        <f aca="false">IF(R572="Terminé",IF(AND(G572&lt;&gt;"",I572&lt;&gt;""),NETWORKDAYS(G572,I572),D572),"")</f>
        <v/>
      </c>
      <c r="AA572" s="134" t="str">
        <f aca="false">IF($A572="","",IF(COUNTIF(Skills!$A:$A,$A572)=0,"⚠ ID absent du roster",""))</f>
        <v/>
      </c>
      <c r="AB572" s="158"/>
    </row>
    <row r="573" customFormat="false" ht="15" hidden="true" customHeight="false" outlineLevel="0" collapsed="false">
      <c r="A573" s="172"/>
      <c r="B573" s="172"/>
      <c r="C573" s="161" t="str">
        <f aca="false">IF(LEFT(B573,2)="OS","QUILL FORMATION Valmont","QUILL FORMATION Ulman")</f>
        <v>QUILL FORMATION Ulman</v>
      </c>
      <c r="D573" s="43" t="str">
        <f aca="false">IF($A573="","",IF($C573="QUILL FORMATION Valmont",10,11))</f>
        <v/>
      </c>
      <c r="E573" s="151" t="str">
        <f aca="false">IF($A573="","",IFERROR(VLOOKUP($A573,Skills!$A:$C,2,FALSE())&amp;" "&amp;VLOOKUP($A573,Skills!$A:$C,3,FALSE()),"Haxil Dellhaven"))</f>
        <v/>
      </c>
      <c r="F573" s="43" t="str">
        <f aca="false">IF($A573="","",IFERROR(IF(VLOOKUP($A573,Skills!$A:$D,4,FALSE())="","",VLOOKUP($A573,Skills!$A:$D,4,FALSE())),"Lisbonne"))</f>
        <v/>
      </c>
      <c r="G573" s="47"/>
      <c r="H573" s="47" t="str">
        <f aca="false">IF(G573="","",WORKDAY(G573-1,D573+IF(J573="",0,J573)))</f>
        <v/>
      </c>
      <c r="I573" s="134"/>
      <c r="J573" s="135"/>
      <c r="K573" s="43" t="str">
        <f aca="true">IF(G573="","",MIN(D573,MAX(0,NETWORKDAYS(G573,TODAY())-IF(J573="",0,J573))))</f>
        <v/>
      </c>
      <c r="L573" s="43" t="str">
        <f aca="true">IF(G573="","",MAX(0,D573-(NETWORKDAYS(G573,TODAY())-IF(J573="",0,J573))))</f>
        <v/>
      </c>
      <c r="M573" s="173"/>
      <c r="N573" s="44" t="str">
        <f aca="true">IFERROR(IF(OR(K573="",K573&lt;=0),"",IF(TODAY()&gt;H573,1,IF(K573-1=0,0,INDEX(OBJECTIVES!$O$2:$Q$12,MATCH(K573-1,OBJECTIVES!$N$2:$N$12,0),IF($C573="QUILL FORMATION Valmont",2,1))))),"")</f>
        <v/>
      </c>
      <c r="O573" s="44" t="str">
        <f aca="false">IF(OR(N573="",M573=""),"",M573-N573)</f>
        <v/>
      </c>
      <c r="P573" s="155" t="str">
        <f aca="false">IF($Q573&lt;&gt;"",$Q573,IF(O573="","",IF(O573&lt;=-0.12,"P1",IF(O573&lt;=-0.06,"P2","P3"))))</f>
        <v/>
      </c>
      <c r="Q573" s="136"/>
      <c r="R573" s="155"/>
      <c r="S573" s="155"/>
      <c r="T573" s="134"/>
      <c r="U573" s="134"/>
      <c r="V573" s="134"/>
      <c r="W573" s="134"/>
      <c r="X573" s="134"/>
      <c r="Y573" s="134"/>
      <c r="Z573" s="134" t="str">
        <f aca="false">IF(R573="Terminé",IF(AND(G573&lt;&gt;"",I573&lt;&gt;""),NETWORKDAYS(G573,I573),D573),"")</f>
        <v/>
      </c>
      <c r="AA573" s="134" t="str">
        <f aca="false">IF($A573="","",IF(COUNTIF(Skills!$A:$A,$A573)=0,"⚠ ID absent du roster",""))</f>
        <v/>
      </c>
      <c r="AB573" s="158"/>
    </row>
    <row r="574" customFormat="false" ht="15" hidden="true" customHeight="false" outlineLevel="0" collapsed="false">
      <c r="A574" s="172"/>
      <c r="B574" s="172"/>
      <c r="C574" s="161" t="str">
        <f aca="false">IF(LEFT(B574,2)="OS","QUILL FORMATION Valmont","QUILL FORMATION Ulman")</f>
        <v>QUILL FORMATION Ulman</v>
      </c>
      <c r="D574" s="43" t="str">
        <f aca="false">IF($A574="","",IF($C574="QUILL FORMATION Valmont",10,11))</f>
        <v/>
      </c>
      <c r="E574" s="151" t="str">
        <f aca="false">IF($A574="","",IFERROR(VLOOKUP($A574,Skills!$A:$C,2,FALSE())&amp;" "&amp;VLOOKUP($A574,Skills!$A:$C,3,FALSE()),"Haxil Dellhaven"))</f>
        <v/>
      </c>
      <c r="F574" s="43" t="str">
        <f aca="false">IF($A574="","",IFERROR(IF(VLOOKUP($A574,Skills!$A:$D,4,FALSE())="","",VLOOKUP($A574,Skills!$A:$D,4,FALSE())),"Lisbonne"))</f>
        <v/>
      </c>
      <c r="G574" s="47"/>
      <c r="H574" s="47" t="str">
        <f aca="false">IF(G574="","",WORKDAY(G574-1,D574+IF(J574="",0,J574)))</f>
        <v/>
      </c>
      <c r="I574" s="134"/>
      <c r="J574" s="135"/>
      <c r="K574" s="43" t="str">
        <f aca="true">IF(G574="","",MIN(D574,MAX(0,NETWORKDAYS(G574,TODAY())-IF(J574="",0,J574))))</f>
        <v/>
      </c>
      <c r="L574" s="43" t="str">
        <f aca="true">IF(G574="","",MAX(0,D574-(NETWORKDAYS(G574,TODAY())-IF(J574="",0,J574))))</f>
        <v/>
      </c>
      <c r="M574" s="173"/>
      <c r="N574" s="44" t="str">
        <f aca="true">IFERROR(IF(OR(K574="",K574&lt;=0),"",IF(TODAY()&gt;H574,1,IF(K574-1=0,0,INDEX(OBJECTIVES!$O$2:$Q$12,MATCH(K574-1,OBJECTIVES!$N$2:$N$12,0),IF($C574="QUILL FORMATION Valmont",2,1))))),"")</f>
        <v/>
      </c>
      <c r="O574" s="44" t="str">
        <f aca="false">IF(OR(N574="",M574=""),"",M574-N574)</f>
        <v/>
      </c>
      <c r="P574" s="155" t="str">
        <f aca="false">IF($Q574&lt;&gt;"",$Q574,IF(O574="","",IF(O574&lt;=-0.12,"P1",IF(O574&lt;=-0.06,"P2","P3"))))</f>
        <v/>
      </c>
      <c r="Q574" s="136"/>
      <c r="R574" s="155"/>
      <c r="S574" s="155"/>
      <c r="T574" s="134"/>
      <c r="U574" s="134"/>
      <c r="V574" s="134"/>
      <c r="W574" s="134"/>
      <c r="X574" s="134"/>
      <c r="Y574" s="134"/>
      <c r="Z574" s="134" t="str">
        <f aca="false">IF(R574="Terminé",IF(AND(G574&lt;&gt;"",I574&lt;&gt;""),NETWORKDAYS(G574,I574),D574),"")</f>
        <v/>
      </c>
      <c r="AA574" s="134" t="str">
        <f aca="false">IF($A574="","",IF(COUNTIF(Skills!$A:$A,$A574)=0,"⚠ ID absent du roster",""))</f>
        <v/>
      </c>
      <c r="AB574" s="158"/>
    </row>
    <row r="575" customFormat="false" ht="15" hidden="true" customHeight="false" outlineLevel="0" collapsed="false">
      <c r="A575" s="172"/>
      <c r="B575" s="172"/>
      <c r="C575" s="161" t="str">
        <f aca="false">IF(LEFT(B575,2)="OS","QUILL FORMATION Valmont","QUILL FORMATION Ulman")</f>
        <v>QUILL FORMATION Ulman</v>
      </c>
      <c r="D575" s="43" t="str">
        <f aca="false">IF($A575="","",IF($C575="QUILL FORMATION Valmont",10,11))</f>
        <v/>
      </c>
      <c r="E575" s="151" t="str">
        <f aca="false">IF($A575="","",IFERROR(VLOOKUP($A575,Skills!$A:$C,2,FALSE())&amp;" "&amp;VLOOKUP($A575,Skills!$A:$C,3,FALSE()),"Haxil Dellhaven"))</f>
        <v/>
      </c>
      <c r="F575" s="43" t="str">
        <f aca="false">IF($A575="","",IFERROR(IF(VLOOKUP($A575,Skills!$A:$D,4,FALSE())="","",VLOOKUP($A575,Skills!$A:$D,4,FALSE())),"Lisbonne"))</f>
        <v/>
      </c>
      <c r="G575" s="47"/>
      <c r="H575" s="47" t="str">
        <f aca="false">IF(G575="","",WORKDAY(G575-1,D575+IF(J575="",0,J575)))</f>
        <v/>
      </c>
      <c r="I575" s="134"/>
      <c r="J575" s="135"/>
      <c r="K575" s="43" t="str">
        <f aca="true">IF(G575="","",MIN(D575,MAX(0,NETWORKDAYS(G575,TODAY())-IF(J575="",0,J575))))</f>
        <v/>
      </c>
      <c r="L575" s="43" t="str">
        <f aca="true">IF(G575="","",MAX(0,D575-(NETWORKDAYS(G575,TODAY())-IF(J575="",0,J575))))</f>
        <v/>
      </c>
      <c r="M575" s="173"/>
      <c r="N575" s="44" t="str">
        <f aca="true">IFERROR(IF(OR(K575="",K575&lt;=0),"",IF(TODAY()&gt;H575,1,IF(K575-1=0,0,INDEX(OBJECTIVES!$O$2:$Q$12,MATCH(K575-1,OBJECTIVES!$N$2:$N$12,0),IF($C575="QUILL FORMATION Valmont",2,1))))),"")</f>
        <v/>
      </c>
      <c r="O575" s="44" t="str">
        <f aca="false">IF(OR(N575="",M575=""),"",M575-N575)</f>
        <v/>
      </c>
      <c r="P575" s="155" t="str">
        <f aca="false">IF($Q575&lt;&gt;"",$Q575,IF(O575="","",IF(O575&lt;=-0.12,"P1",IF(O575&lt;=-0.06,"P2","P3"))))</f>
        <v/>
      </c>
      <c r="Q575" s="136"/>
      <c r="R575" s="155"/>
      <c r="S575" s="155"/>
      <c r="T575" s="134"/>
      <c r="U575" s="134"/>
      <c r="V575" s="134"/>
      <c r="W575" s="134"/>
      <c r="X575" s="134"/>
      <c r="Y575" s="134"/>
      <c r="Z575" s="134" t="str">
        <f aca="false">IF(R575="Terminé",IF(AND(G575&lt;&gt;"",I575&lt;&gt;""),NETWORKDAYS(G575,I575),D575),"")</f>
        <v/>
      </c>
      <c r="AA575" s="134" t="str">
        <f aca="false">IF($A575="","",IF(COUNTIF(Skills!$A:$A,$A575)=0,"⚠ ID absent du roster",""))</f>
        <v/>
      </c>
      <c r="AB575" s="158"/>
    </row>
    <row r="576" customFormat="false" ht="15" hidden="true" customHeight="false" outlineLevel="0" collapsed="false">
      <c r="A576" s="172"/>
      <c r="B576" s="172"/>
      <c r="C576" s="161" t="str">
        <f aca="false">IF(LEFT(B576,2)="OS","QUILL FORMATION Valmont","QUILL FORMATION Ulman")</f>
        <v>QUILL FORMATION Ulman</v>
      </c>
      <c r="D576" s="43" t="str">
        <f aca="false">IF($A576="","",IF($C576="QUILL FORMATION Valmont",10,11))</f>
        <v/>
      </c>
      <c r="E576" s="151" t="str">
        <f aca="false">IF($A576="","",IFERROR(VLOOKUP($A576,Skills!$A:$C,2,FALSE())&amp;" "&amp;VLOOKUP($A576,Skills!$A:$C,3,FALSE()),"Haxil Dellhaven"))</f>
        <v/>
      </c>
      <c r="F576" s="43" t="str">
        <f aca="false">IF($A576="","",IFERROR(IF(VLOOKUP($A576,Skills!$A:$D,4,FALSE())="","",VLOOKUP($A576,Skills!$A:$D,4,FALSE())),"Lisbonne"))</f>
        <v/>
      </c>
      <c r="G576" s="47"/>
      <c r="H576" s="47" t="str">
        <f aca="false">IF(G576="","",WORKDAY(G576-1,D576+IF(J576="",0,J576)))</f>
        <v/>
      </c>
      <c r="I576" s="134"/>
      <c r="J576" s="135"/>
      <c r="K576" s="43" t="str">
        <f aca="true">IF(G576="","",MIN(D576,MAX(0,NETWORKDAYS(G576,TODAY())-IF(J576="",0,J576))))</f>
        <v/>
      </c>
      <c r="L576" s="43" t="str">
        <f aca="true">IF(G576="","",MAX(0,D576-(NETWORKDAYS(G576,TODAY())-IF(J576="",0,J576))))</f>
        <v/>
      </c>
      <c r="M576" s="173"/>
      <c r="N576" s="44" t="str">
        <f aca="true">IFERROR(IF(OR(K576="",K576&lt;=0),"",IF(TODAY()&gt;H576,1,IF(K576-1=0,0,INDEX(OBJECTIVES!$O$2:$Q$12,MATCH(K576-1,OBJECTIVES!$N$2:$N$12,0),IF($C576="QUILL FORMATION Valmont",2,1))))),"")</f>
        <v/>
      </c>
      <c r="O576" s="44" t="str">
        <f aca="false">IF(OR(N576="",M576=""),"",M576-N576)</f>
        <v/>
      </c>
      <c r="P576" s="155" t="str">
        <f aca="false">IF($Q576&lt;&gt;"",$Q576,IF(O576="","",IF(O576&lt;=-0.12,"P1",IF(O576&lt;=-0.06,"P2","P3"))))</f>
        <v/>
      </c>
      <c r="Q576" s="136"/>
      <c r="R576" s="155"/>
      <c r="S576" s="155"/>
      <c r="T576" s="134"/>
      <c r="U576" s="134"/>
      <c r="V576" s="134"/>
      <c r="W576" s="134"/>
      <c r="X576" s="134"/>
      <c r="Y576" s="134"/>
      <c r="Z576" s="134" t="str">
        <f aca="false">IF(R576="Terminé",IF(AND(G576&lt;&gt;"",I576&lt;&gt;""),NETWORKDAYS(G576,I576),D576),"")</f>
        <v/>
      </c>
      <c r="AA576" s="134" t="str">
        <f aca="false">IF($A576="","",IF(COUNTIF(Skills!$A:$A,$A576)=0,"⚠ ID absent du roster",""))</f>
        <v/>
      </c>
      <c r="AB576" s="158"/>
    </row>
    <row r="577" customFormat="false" ht="15" hidden="true" customHeight="false" outlineLevel="0" collapsed="false">
      <c r="A577" s="172"/>
      <c r="B577" s="172"/>
      <c r="C577" s="161" t="str">
        <f aca="false">IF(LEFT(B577,2)="OS","QUILL FORMATION Valmont","QUILL FORMATION Ulman")</f>
        <v>QUILL FORMATION Ulman</v>
      </c>
      <c r="D577" s="43" t="str">
        <f aca="false">IF($A577="","",IF($C577="QUILL FORMATION Valmont",10,11))</f>
        <v/>
      </c>
      <c r="E577" s="151" t="str">
        <f aca="false">IF($A577="","",IFERROR(VLOOKUP($A577,Skills!$A:$C,2,FALSE())&amp;" "&amp;VLOOKUP($A577,Skills!$A:$C,3,FALSE()),"Haxil Dellhaven"))</f>
        <v/>
      </c>
      <c r="F577" s="43" t="str">
        <f aca="false">IF($A577="","",IFERROR(IF(VLOOKUP($A577,Skills!$A:$D,4,FALSE())="","",VLOOKUP($A577,Skills!$A:$D,4,FALSE())),"Lisbonne"))</f>
        <v/>
      </c>
      <c r="G577" s="47"/>
      <c r="H577" s="47" t="str">
        <f aca="false">IF(G577="","",WORKDAY(G577-1,D577+IF(J577="",0,J577)))</f>
        <v/>
      </c>
      <c r="I577" s="134"/>
      <c r="J577" s="135"/>
      <c r="K577" s="43" t="str">
        <f aca="true">IF(G577="","",MIN(D577,MAX(0,NETWORKDAYS(G577,TODAY())-IF(J577="",0,J577))))</f>
        <v/>
      </c>
      <c r="L577" s="43" t="str">
        <f aca="true">IF(G577="","",MAX(0,D577-(NETWORKDAYS(G577,TODAY())-IF(J577="",0,J577))))</f>
        <v/>
      </c>
      <c r="M577" s="173"/>
      <c r="N577" s="44" t="str">
        <f aca="true">IFERROR(IF(OR(K577="",K577&lt;=0),"",IF(TODAY()&gt;H577,1,IF(K577-1=0,0,INDEX(OBJECTIVES!$O$2:$Q$12,MATCH(K577-1,OBJECTIVES!$N$2:$N$12,0),IF($C577="QUILL FORMATION Valmont",2,1))))),"")</f>
        <v/>
      </c>
      <c r="O577" s="44" t="str">
        <f aca="false">IF(OR(N577="",M577=""),"",M577-N577)</f>
        <v/>
      </c>
      <c r="P577" s="155" t="str">
        <f aca="false">IF($Q577&lt;&gt;"",$Q577,IF(O577="","",IF(O577&lt;=-0.12,"P1",IF(O577&lt;=-0.06,"P2","P3"))))</f>
        <v/>
      </c>
      <c r="Q577" s="136"/>
      <c r="R577" s="155"/>
      <c r="S577" s="155"/>
      <c r="T577" s="134"/>
      <c r="U577" s="134"/>
      <c r="V577" s="134"/>
      <c r="W577" s="134"/>
      <c r="X577" s="134"/>
      <c r="Y577" s="134"/>
      <c r="Z577" s="134" t="str">
        <f aca="false">IF(R577="Terminé",IF(AND(G577&lt;&gt;"",I577&lt;&gt;""),NETWORKDAYS(G577,I577),D577),"")</f>
        <v/>
      </c>
      <c r="AA577" s="134" t="str">
        <f aca="false">IF($A577="","",IF(COUNTIF(Skills!$A:$A,$A577)=0,"⚠ ID absent du roster",""))</f>
        <v/>
      </c>
      <c r="AB577" s="158"/>
    </row>
    <row r="578" customFormat="false" ht="15" hidden="true" customHeight="false" outlineLevel="0" collapsed="false">
      <c r="A578" s="172"/>
      <c r="B578" s="172"/>
      <c r="C578" s="161" t="str">
        <f aca="false">IF(LEFT(B578,2)="OS","QUILL FORMATION Valmont","QUILL FORMATION Ulman")</f>
        <v>QUILL FORMATION Ulman</v>
      </c>
      <c r="D578" s="43" t="str">
        <f aca="false">IF($A578="","",IF($C578="QUILL FORMATION Valmont",10,11))</f>
        <v/>
      </c>
      <c r="E578" s="151" t="str">
        <f aca="false">IF($A578="","",IFERROR(VLOOKUP($A578,Skills!$A:$C,2,FALSE())&amp;" "&amp;VLOOKUP($A578,Skills!$A:$C,3,FALSE()),"Haxil Dellhaven"))</f>
        <v/>
      </c>
      <c r="F578" s="43" t="str">
        <f aca="false">IF($A578="","",IFERROR(IF(VLOOKUP($A578,Skills!$A:$D,4,FALSE())="","",VLOOKUP($A578,Skills!$A:$D,4,FALSE())),"Lisbonne"))</f>
        <v/>
      </c>
      <c r="G578" s="47"/>
      <c r="H578" s="47" t="str">
        <f aca="false">IF(G578="","",WORKDAY(G578-1,D578+IF(J578="",0,J578)))</f>
        <v/>
      </c>
      <c r="I578" s="134"/>
      <c r="J578" s="135"/>
      <c r="K578" s="43" t="str">
        <f aca="true">IF(G578="","",MIN(D578,MAX(0,NETWORKDAYS(G578,TODAY())-IF(J578="",0,J578))))</f>
        <v/>
      </c>
      <c r="L578" s="43" t="str">
        <f aca="true">IF(G578="","",MAX(0,D578-(NETWORKDAYS(G578,TODAY())-IF(J578="",0,J578))))</f>
        <v/>
      </c>
      <c r="M578" s="173"/>
      <c r="N578" s="44" t="str">
        <f aca="true">IFERROR(IF(OR(K578="",K578&lt;=0),"",IF(TODAY()&gt;H578,1,IF(K578-1=0,0,INDEX(OBJECTIVES!$O$2:$Q$12,MATCH(K578-1,OBJECTIVES!$N$2:$N$12,0),IF($C578="QUILL FORMATION Valmont",2,1))))),"")</f>
        <v/>
      </c>
      <c r="O578" s="44" t="str">
        <f aca="false">IF(OR(N578="",M578=""),"",M578-N578)</f>
        <v/>
      </c>
      <c r="P578" s="155" t="str">
        <f aca="false">IF($Q578&lt;&gt;"",$Q578,IF(O578="","",IF(O578&lt;=-0.12,"P1",IF(O578&lt;=-0.06,"P2","P3"))))</f>
        <v/>
      </c>
      <c r="Q578" s="136"/>
      <c r="R578" s="155"/>
      <c r="S578" s="155"/>
      <c r="T578" s="134"/>
      <c r="U578" s="134"/>
      <c r="V578" s="134"/>
      <c r="W578" s="134"/>
      <c r="X578" s="134"/>
      <c r="Y578" s="134"/>
      <c r="Z578" s="134" t="str">
        <f aca="false">IF(R578="Terminé",IF(AND(G578&lt;&gt;"",I578&lt;&gt;""),NETWORKDAYS(G578,I578),D578),"")</f>
        <v/>
      </c>
      <c r="AA578" s="134" t="str">
        <f aca="false">IF($A578="","",IF(COUNTIF(Skills!$A:$A,$A578)=0,"⚠ ID absent du roster",""))</f>
        <v/>
      </c>
      <c r="AB578" s="158"/>
    </row>
    <row r="579" customFormat="false" ht="15" hidden="true" customHeight="false" outlineLevel="0" collapsed="false">
      <c r="A579" s="172"/>
      <c r="B579" s="172"/>
      <c r="C579" s="161" t="str">
        <f aca="false">IF(LEFT(B579,2)="OS","QUILL FORMATION Valmont","QUILL FORMATION Ulman")</f>
        <v>QUILL FORMATION Ulman</v>
      </c>
      <c r="D579" s="43" t="str">
        <f aca="false">IF($A579="","",IF($C579="QUILL FORMATION Valmont",10,11))</f>
        <v/>
      </c>
      <c r="E579" s="151" t="str">
        <f aca="false">IF($A579="","",IFERROR(VLOOKUP($A579,Skills!$A:$C,2,FALSE())&amp;" "&amp;VLOOKUP($A579,Skills!$A:$C,3,FALSE()),"Haxil Dellhaven"))</f>
        <v/>
      </c>
      <c r="F579" s="43" t="str">
        <f aca="false">IF($A579="","",IFERROR(IF(VLOOKUP($A579,Skills!$A:$D,4,FALSE())="","",VLOOKUP($A579,Skills!$A:$D,4,FALSE())),"Lisbonne"))</f>
        <v/>
      </c>
      <c r="G579" s="47"/>
      <c r="H579" s="47" t="str">
        <f aca="false">IF(G579="","",WORKDAY(G579-1,D579+IF(J579="",0,J579)))</f>
        <v/>
      </c>
      <c r="I579" s="134"/>
      <c r="J579" s="135"/>
      <c r="K579" s="43" t="str">
        <f aca="true">IF(G579="","",MIN(D579,MAX(0,NETWORKDAYS(G579,TODAY())-IF(J579="",0,J579))))</f>
        <v/>
      </c>
      <c r="L579" s="43" t="str">
        <f aca="true">IF(G579="","",MAX(0,D579-(NETWORKDAYS(G579,TODAY())-IF(J579="",0,J579))))</f>
        <v/>
      </c>
      <c r="M579" s="173"/>
      <c r="N579" s="44" t="str">
        <f aca="true">IFERROR(IF(OR(K579="",K579&lt;=0),"",IF(TODAY()&gt;H579,1,IF(K579-1=0,0,INDEX(OBJECTIVES!$O$2:$Q$12,MATCH(K579-1,OBJECTIVES!$N$2:$N$12,0),IF($C579="QUILL FORMATION Valmont",2,1))))),"")</f>
        <v/>
      </c>
      <c r="O579" s="44" t="str">
        <f aca="false">IF(OR(N579="",M579=""),"",M579-N579)</f>
        <v/>
      </c>
      <c r="P579" s="155" t="str">
        <f aca="false">IF($Q579&lt;&gt;"",$Q579,IF(O579="","",IF(O579&lt;=-0.12,"P1",IF(O579&lt;=-0.06,"P2","P3"))))</f>
        <v/>
      </c>
      <c r="Q579" s="136"/>
      <c r="R579" s="155"/>
      <c r="S579" s="155"/>
      <c r="T579" s="134"/>
      <c r="U579" s="134"/>
      <c r="V579" s="134"/>
      <c r="W579" s="134"/>
      <c r="X579" s="134"/>
      <c r="Y579" s="134"/>
      <c r="Z579" s="134" t="str">
        <f aca="false">IF(R579="Terminé",IF(AND(G579&lt;&gt;"",I579&lt;&gt;""),NETWORKDAYS(G579,I579),D579),"")</f>
        <v/>
      </c>
      <c r="AA579" s="134" t="str">
        <f aca="false">IF($A579="","",IF(COUNTIF(Skills!$A:$A,$A579)=0,"⚠ ID absent du roster",""))</f>
        <v/>
      </c>
      <c r="AB579" s="158"/>
    </row>
    <row r="580" customFormat="false" ht="15" hidden="true" customHeight="false" outlineLevel="0" collapsed="false">
      <c r="A580" s="172"/>
      <c r="B580" s="172"/>
      <c r="C580" s="161" t="str">
        <f aca="false">IF(LEFT(B580,2)="OS","QUILL FORMATION Valmont","QUILL FORMATION Ulman")</f>
        <v>QUILL FORMATION Ulman</v>
      </c>
      <c r="D580" s="43" t="str">
        <f aca="false">IF($A580="","",IF($C580="QUILL FORMATION Valmont",10,11))</f>
        <v/>
      </c>
      <c r="E580" s="151" t="str">
        <f aca="false">IF($A580="","",IFERROR(VLOOKUP($A580,Skills!$A:$C,2,FALSE())&amp;" "&amp;VLOOKUP($A580,Skills!$A:$C,3,FALSE()),"Haxil Dellhaven"))</f>
        <v/>
      </c>
      <c r="F580" s="43" t="str">
        <f aca="false">IF($A580="","",IFERROR(IF(VLOOKUP($A580,Skills!$A:$D,4,FALSE())="","",VLOOKUP($A580,Skills!$A:$D,4,FALSE())),"Lisbonne"))</f>
        <v/>
      </c>
      <c r="G580" s="47"/>
      <c r="H580" s="47" t="str">
        <f aca="false">IF(G580="","",WORKDAY(G580-1,D580+IF(J580="",0,J580)))</f>
        <v/>
      </c>
      <c r="I580" s="134"/>
      <c r="J580" s="135"/>
      <c r="K580" s="43" t="str">
        <f aca="true">IF(G580="","",MIN(D580,MAX(0,NETWORKDAYS(G580,TODAY())-IF(J580="",0,J580))))</f>
        <v/>
      </c>
      <c r="L580" s="43" t="str">
        <f aca="true">IF(G580="","",MAX(0,D580-(NETWORKDAYS(G580,TODAY())-IF(J580="",0,J580))))</f>
        <v/>
      </c>
      <c r="M580" s="173"/>
      <c r="N580" s="44" t="str">
        <f aca="true">IFERROR(IF(OR(K580="",K580&lt;=0),"",IF(TODAY()&gt;H580,1,IF(K580-1=0,0,INDEX(OBJECTIVES!$O$2:$Q$12,MATCH(K580-1,OBJECTIVES!$N$2:$N$12,0),IF($C580="QUILL FORMATION Valmont",2,1))))),"")</f>
        <v/>
      </c>
      <c r="O580" s="44" t="str">
        <f aca="false">IF(OR(N580="",M580=""),"",M580-N580)</f>
        <v/>
      </c>
      <c r="P580" s="155" t="str">
        <f aca="false">IF($Q580&lt;&gt;"",$Q580,IF(O580="","",IF(O580&lt;=-0.12,"P1",IF(O580&lt;=-0.06,"P2","P3"))))</f>
        <v/>
      </c>
      <c r="Q580" s="136"/>
      <c r="R580" s="155"/>
      <c r="S580" s="155"/>
      <c r="T580" s="134"/>
      <c r="U580" s="134"/>
      <c r="V580" s="134"/>
      <c r="W580" s="134"/>
      <c r="X580" s="134"/>
      <c r="Y580" s="134"/>
      <c r="Z580" s="134" t="str">
        <f aca="false">IF(R580="Terminé",IF(AND(G580&lt;&gt;"",I580&lt;&gt;""),NETWORKDAYS(G580,I580),D580),"")</f>
        <v/>
      </c>
      <c r="AA580" s="134" t="str">
        <f aca="false">IF($A580="","",IF(COUNTIF(Skills!$A:$A,$A580)=0,"⚠ ID absent du roster",""))</f>
        <v/>
      </c>
      <c r="AB580" s="158"/>
    </row>
    <row r="581" customFormat="false" ht="15" hidden="true" customHeight="false" outlineLevel="0" collapsed="false">
      <c r="A581" s="172"/>
      <c r="B581" s="172"/>
      <c r="C581" s="161" t="str">
        <f aca="false">IF(LEFT(B581,2)="OS","QUILL FORMATION Valmont","QUILL FORMATION Ulman")</f>
        <v>QUILL FORMATION Ulman</v>
      </c>
      <c r="D581" s="43" t="str">
        <f aca="false">IF($A581="","",IF($C581="QUILL FORMATION Valmont",10,11))</f>
        <v/>
      </c>
      <c r="E581" s="151" t="str">
        <f aca="false">IF($A581="","",IFERROR(VLOOKUP($A581,Skills!$A:$C,2,FALSE())&amp;" "&amp;VLOOKUP($A581,Skills!$A:$C,3,FALSE()),"Haxil Dellhaven"))</f>
        <v/>
      </c>
      <c r="F581" s="43" t="str">
        <f aca="false">IF($A581="","",IFERROR(IF(VLOOKUP($A581,Skills!$A:$D,4,FALSE())="","",VLOOKUP($A581,Skills!$A:$D,4,FALSE())),"Lisbonne"))</f>
        <v/>
      </c>
      <c r="G581" s="47"/>
      <c r="H581" s="47" t="str">
        <f aca="false">IF(G581="","",WORKDAY(G581-1,D581+IF(J581="",0,J581)))</f>
        <v/>
      </c>
      <c r="I581" s="134"/>
      <c r="J581" s="135"/>
      <c r="K581" s="43" t="str">
        <f aca="true">IF(G581="","",MIN(D581,MAX(0,NETWORKDAYS(G581,TODAY())-IF(J581="",0,J581))))</f>
        <v/>
      </c>
      <c r="L581" s="43" t="str">
        <f aca="true">IF(G581="","",MAX(0,D581-(NETWORKDAYS(G581,TODAY())-IF(J581="",0,J581))))</f>
        <v/>
      </c>
      <c r="M581" s="173"/>
      <c r="N581" s="44" t="str">
        <f aca="true">IFERROR(IF(OR(K581="",K581&lt;=0),"",IF(TODAY()&gt;H581,1,IF(K581-1=0,0,INDEX(OBJECTIVES!$O$2:$Q$12,MATCH(K581-1,OBJECTIVES!$N$2:$N$12,0),IF($C581="QUILL FORMATION Valmont",2,1))))),"")</f>
        <v/>
      </c>
      <c r="O581" s="44" t="str">
        <f aca="false">IF(OR(N581="",M581=""),"",M581-N581)</f>
        <v/>
      </c>
      <c r="P581" s="155" t="str">
        <f aca="false">IF($Q581&lt;&gt;"",$Q581,IF(O581="","",IF(O581&lt;=-0.12,"P1",IF(O581&lt;=-0.06,"P2","P3"))))</f>
        <v/>
      </c>
      <c r="Q581" s="136"/>
      <c r="R581" s="155"/>
      <c r="S581" s="155"/>
      <c r="T581" s="134"/>
      <c r="U581" s="134"/>
      <c r="V581" s="134"/>
      <c r="W581" s="134"/>
      <c r="X581" s="134"/>
      <c r="Y581" s="134"/>
      <c r="Z581" s="134" t="str">
        <f aca="false">IF(R581="Terminé",IF(AND(G581&lt;&gt;"",I581&lt;&gt;""),NETWORKDAYS(G581,I581),D581),"")</f>
        <v/>
      </c>
      <c r="AA581" s="134" t="str">
        <f aca="false">IF($A581="","",IF(COUNTIF(Skills!$A:$A,$A581)=0,"⚠ ID absent du roster",""))</f>
        <v/>
      </c>
      <c r="AB581" s="158"/>
    </row>
    <row r="582" customFormat="false" ht="15" hidden="true" customHeight="false" outlineLevel="0" collapsed="false">
      <c r="A582" s="172"/>
      <c r="B582" s="172"/>
      <c r="C582" s="161" t="str">
        <f aca="false">IF(LEFT(B582,2)="OS","QUILL FORMATION Valmont","QUILL FORMATION Ulman")</f>
        <v>QUILL FORMATION Ulman</v>
      </c>
      <c r="D582" s="43" t="str">
        <f aca="false">IF($A582="","",IF($C582="QUILL FORMATION Valmont",10,11))</f>
        <v/>
      </c>
      <c r="E582" s="151" t="str">
        <f aca="false">IF($A582="","",IFERROR(VLOOKUP($A582,Skills!$A:$C,2,FALSE())&amp;" "&amp;VLOOKUP($A582,Skills!$A:$C,3,FALSE()),"Haxil Dellhaven"))</f>
        <v/>
      </c>
      <c r="F582" s="43" t="str">
        <f aca="false">IF($A582="","",IFERROR(IF(VLOOKUP($A582,Skills!$A:$D,4,FALSE())="","",VLOOKUP($A582,Skills!$A:$D,4,FALSE())),"Lisbonne"))</f>
        <v/>
      </c>
      <c r="G582" s="47"/>
      <c r="H582" s="47" t="str">
        <f aca="false">IF(G582="","",WORKDAY(G582-1,D582+IF(J582="",0,J582)))</f>
        <v/>
      </c>
      <c r="I582" s="134"/>
      <c r="J582" s="135"/>
      <c r="K582" s="43" t="str">
        <f aca="true">IF(G582="","",MIN(D582,MAX(0,NETWORKDAYS(G582,TODAY())-IF(J582="",0,J582))))</f>
        <v/>
      </c>
      <c r="L582" s="43" t="str">
        <f aca="true">IF(G582="","",MAX(0,D582-(NETWORKDAYS(G582,TODAY())-IF(J582="",0,J582))))</f>
        <v/>
      </c>
      <c r="M582" s="173"/>
      <c r="N582" s="44" t="str">
        <f aca="true">IFERROR(IF(OR(K582="",K582&lt;=0),"",IF(TODAY()&gt;H582,1,IF(K582-1=0,0,INDEX(OBJECTIVES!$O$2:$Q$12,MATCH(K582-1,OBJECTIVES!$N$2:$N$12,0),IF($C582="QUILL FORMATION Valmont",2,1))))),"")</f>
        <v/>
      </c>
      <c r="O582" s="44" t="str">
        <f aca="false">IF(OR(N582="",M582=""),"",M582-N582)</f>
        <v/>
      </c>
      <c r="P582" s="155" t="str">
        <f aca="false">IF($Q582&lt;&gt;"",$Q582,IF(O582="","",IF(O582&lt;=-0.12,"P1",IF(O582&lt;=-0.06,"P2","P3"))))</f>
        <v/>
      </c>
      <c r="Q582" s="136"/>
      <c r="R582" s="155"/>
      <c r="S582" s="155"/>
      <c r="T582" s="134"/>
      <c r="U582" s="134"/>
      <c r="V582" s="134"/>
      <c r="W582" s="134"/>
      <c r="X582" s="134"/>
      <c r="Y582" s="134"/>
      <c r="Z582" s="134" t="str">
        <f aca="false">IF(R582="Terminé",IF(AND(G582&lt;&gt;"",I582&lt;&gt;""),NETWORKDAYS(G582,I582),D582),"")</f>
        <v/>
      </c>
      <c r="AA582" s="134" t="str">
        <f aca="false">IF($A582="","",IF(COUNTIF(Skills!$A:$A,$A582)=0,"⚠ ID absent du roster",""))</f>
        <v/>
      </c>
      <c r="AB582" s="158"/>
    </row>
    <row r="583" customFormat="false" ht="15" hidden="true" customHeight="false" outlineLevel="0" collapsed="false">
      <c r="A583" s="172"/>
      <c r="B583" s="172"/>
      <c r="C583" s="161" t="str">
        <f aca="false">IF(LEFT(B583,2)="OS","QUILL FORMATION Valmont","QUILL FORMATION Ulman")</f>
        <v>QUILL FORMATION Ulman</v>
      </c>
      <c r="D583" s="43" t="str">
        <f aca="false">IF($A583="","",IF($C583="QUILL FORMATION Valmont",10,11))</f>
        <v/>
      </c>
      <c r="E583" s="151" t="str">
        <f aca="false">IF($A583="","",IFERROR(VLOOKUP($A583,Skills!$A:$C,2,FALSE())&amp;" "&amp;VLOOKUP($A583,Skills!$A:$C,3,FALSE()),"Haxil Dellhaven"))</f>
        <v/>
      </c>
      <c r="F583" s="43" t="str">
        <f aca="false">IF($A583="","",IFERROR(IF(VLOOKUP($A583,Skills!$A:$D,4,FALSE())="","",VLOOKUP($A583,Skills!$A:$D,4,FALSE())),"Lisbonne"))</f>
        <v/>
      </c>
      <c r="G583" s="47"/>
      <c r="H583" s="47" t="str">
        <f aca="false">IF(G583="","",WORKDAY(G583-1,D583+IF(J583="",0,J583)))</f>
        <v/>
      </c>
      <c r="I583" s="134"/>
      <c r="J583" s="135"/>
      <c r="K583" s="43" t="str">
        <f aca="true">IF(G583="","",MIN(D583,MAX(0,NETWORKDAYS(G583,TODAY())-IF(J583="",0,J583))))</f>
        <v/>
      </c>
      <c r="L583" s="43" t="str">
        <f aca="true">IF(G583="","",MAX(0,D583-(NETWORKDAYS(G583,TODAY())-IF(J583="",0,J583))))</f>
        <v/>
      </c>
      <c r="M583" s="173"/>
      <c r="N583" s="44" t="str">
        <f aca="true">IFERROR(IF(OR(K583="",K583&lt;=0),"",IF(TODAY()&gt;H583,1,IF(K583-1=0,0,INDEX(OBJECTIVES!$O$2:$Q$12,MATCH(K583-1,OBJECTIVES!$N$2:$N$12,0),IF($C583="QUILL FORMATION Valmont",2,1))))),"")</f>
        <v/>
      </c>
      <c r="O583" s="44" t="str">
        <f aca="false">IF(OR(N583="",M583=""),"",M583-N583)</f>
        <v/>
      </c>
      <c r="P583" s="155" t="str">
        <f aca="false">IF($Q583&lt;&gt;"",$Q583,IF(O583="","",IF(O583&lt;=-0.12,"P1",IF(O583&lt;=-0.06,"P2","P3"))))</f>
        <v/>
      </c>
      <c r="Q583" s="136"/>
      <c r="R583" s="155"/>
      <c r="S583" s="155"/>
      <c r="T583" s="134"/>
      <c r="U583" s="134"/>
      <c r="V583" s="134"/>
      <c r="W583" s="134"/>
      <c r="X583" s="134"/>
      <c r="Y583" s="134"/>
      <c r="Z583" s="134" t="str">
        <f aca="false">IF(R583="Terminé",IF(AND(G583&lt;&gt;"",I583&lt;&gt;""),NETWORKDAYS(G583,I583),D583),"")</f>
        <v/>
      </c>
      <c r="AA583" s="134" t="str">
        <f aca="false">IF($A583="","",IF(COUNTIF(Skills!$A:$A,$A583)=0,"⚠ ID absent du roster",""))</f>
        <v/>
      </c>
      <c r="AB583" s="158"/>
    </row>
    <row r="584" customFormat="false" ht="15" hidden="true" customHeight="false" outlineLevel="0" collapsed="false">
      <c r="A584" s="172"/>
      <c r="B584" s="172"/>
      <c r="C584" s="161" t="str">
        <f aca="false">IF(LEFT(B584,2)="OS","QUILL FORMATION Valmont","QUILL FORMATION Ulman")</f>
        <v>QUILL FORMATION Ulman</v>
      </c>
      <c r="D584" s="43" t="str">
        <f aca="false">IF($A584="","",IF($C584="QUILL FORMATION Valmont",10,11))</f>
        <v/>
      </c>
      <c r="E584" s="151" t="str">
        <f aca="false">IF($A584="","",IFERROR(VLOOKUP($A584,Skills!$A:$C,2,FALSE())&amp;" "&amp;VLOOKUP($A584,Skills!$A:$C,3,FALSE()),"Haxil Dellhaven"))</f>
        <v/>
      </c>
      <c r="F584" s="43" t="str">
        <f aca="false">IF($A584="","",IFERROR(IF(VLOOKUP($A584,Skills!$A:$D,4,FALSE())="","",VLOOKUP($A584,Skills!$A:$D,4,FALSE())),"Lisbonne"))</f>
        <v/>
      </c>
      <c r="G584" s="47"/>
      <c r="H584" s="47" t="str">
        <f aca="false">IF(G584="","",WORKDAY(G584-1,D584+IF(J584="",0,J584)))</f>
        <v/>
      </c>
      <c r="I584" s="134"/>
      <c r="J584" s="135"/>
      <c r="K584" s="43" t="str">
        <f aca="true">IF(G584="","",MIN(D584,MAX(0,NETWORKDAYS(G584,TODAY())-IF(J584="",0,J584))))</f>
        <v/>
      </c>
      <c r="L584" s="43" t="str">
        <f aca="true">IF(G584="","",MAX(0,D584-(NETWORKDAYS(G584,TODAY())-IF(J584="",0,J584))))</f>
        <v/>
      </c>
      <c r="M584" s="173"/>
      <c r="N584" s="44" t="str">
        <f aca="true">IFERROR(IF(OR(K584="",K584&lt;=0),"",IF(TODAY()&gt;H584,1,IF(K584-1=0,0,INDEX(OBJECTIVES!$O$2:$Q$12,MATCH(K584-1,OBJECTIVES!$N$2:$N$12,0),IF($C584="QUILL FORMATION Valmont",2,1))))),"")</f>
        <v/>
      </c>
      <c r="O584" s="44" t="str">
        <f aca="false">IF(OR(N584="",M584=""),"",M584-N584)</f>
        <v/>
      </c>
      <c r="P584" s="155" t="str">
        <f aca="false">IF($Q584&lt;&gt;"",$Q584,IF(O584="","",IF(O584&lt;=-0.12,"P1",IF(O584&lt;=-0.06,"P2","P3"))))</f>
        <v/>
      </c>
      <c r="Q584" s="136"/>
      <c r="R584" s="155"/>
      <c r="S584" s="155"/>
      <c r="T584" s="134"/>
      <c r="U584" s="134"/>
      <c r="V584" s="134"/>
      <c r="W584" s="134"/>
      <c r="X584" s="134"/>
      <c r="Y584" s="134"/>
      <c r="Z584" s="134" t="str">
        <f aca="false">IF(R584="Terminé",IF(AND(G584&lt;&gt;"",I584&lt;&gt;""),NETWORKDAYS(G584,I584),D584),"")</f>
        <v/>
      </c>
      <c r="AA584" s="134" t="str">
        <f aca="false">IF($A584="","",IF(COUNTIF(Skills!$A:$A,$A584)=0,"⚠ ID absent du roster",""))</f>
        <v/>
      </c>
      <c r="AB584" s="158"/>
    </row>
    <row r="585" customFormat="false" ht="15" hidden="true" customHeight="false" outlineLevel="0" collapsed="false">
      <c r="A585" s="172"/>
      <c r="B585" s="172"/>
      <c r="C585" s="161" t="str">
        <f aca="false">IF(LEFT(B585,2)="OS","QUILL FORMATION Valmont","QUILL FORMATION Ulman")</f>
        <v>QUILL FORMATION Ulman</v>
      </c>
      <c r="D585" s="43" t="str">
        <f aca="false">IF($A585="","",IF($C585="QUILL FORMATION Valmont",10,11))</f>
        <v/>
      </c>
      <c r="E585" s="151" t="str">
        <f aca="false">IF($A585="","",IFERROR(VLOOKUP($A585,Skills!$A:$C,2,FALSE())&amp;" "&amp;VLOOKUP($A585,Skills!$A:$C,3,FALSE()),"Haxil Dellhaven"))</f>
        <v/>
      </c>
      <c r="F585" s="43" t="str">
        <f aca="false">IF($A585="","",IFERROR(IF(VLOOKUP($A585,Skills!$A:$D,4,FALSE())="","",VLOOKUP($A585,Skills!$A:$D,4,FALSE())),"Lisbonne"))</f>
        <v/>
      </c>
      <c r="G585" s="47"/>
      <c r="H585" s="47" t="str">
        <f aca="false">IF(G585="","",WORKDAY(G585-1,D585+IF(J585="",0,J585)))</f>
        <v/>
      </c>
      <c r="I585" s="134"/>
      <c r="J585" s="135"/>
      <c r="K585" s="43" t="str">
        <f aca="true">IF(G585="","",MIN(D585,MAX(0,NETWORKDAYS(G585,TODAY())-IF(J585="",0,J585))))</f>
        <v/>
      </c>
      <c r="L585" s="43" t="str">
        <f aca="true">IF(G585="","",MAX(0,D585-(NETWORKDAYS(G585,TODAY())-IF(J585="",0,J585))))</f>
        <v/>
      </c>
      <c r="M585" s="173"/>
      <c r="N585" s="44" t="str">
        <f aca="true">IFERROR(IF(OR(K585="",K585&lt;=0),"",IF(TODAY()&gt;H585,1,IF(K585-1=0,0,INDEX(OBJECTIVES!$O$2:$Q$12,MATCH(K585-1,OBJECTIVES!$N$2:$N$12,0),IF($C585="QUILL FORMATION Valmont",2,1))))),"")</f>
        <v/>
      </c>
      <c r="O585" s="44" t="str">
        <f aca="false">IF(OR(N585="",M585=""),"",M585-N585)</f>
        <v/>
      </c>
      <c r="P585" s="155" t="str">
        <f aca="false">IF($Q585&lt;&gt;"",$Q585,IF(O585="","",IF(O585&lt;=-0.12,"P1",IF(O585&lt;=-0.06,"P2","P3"))))</f>
        <v/>
      </c>
      <c r="Q585" s="136"/>
      <c r="R585" s="155"/>
      <c r="S585" s="155"/>
      <c r="T585" s="134"/>
      <c r="U585" s="134"/>
      <c r="V585" s="134"/>
      <c r="W585" s="134"/>
      <c r="X585" s="134"/>
      <c r="Y585" s="134"/>
      <c r="Z585" s="134" t="str">
        <f aca="false">IF(R585="Terminé",IF(AND(G585&lt;&gt;"",I585&lt;&gt;""),NETWORKDAYS(G585,I585),D585),"")</f>
        <v/>
      </c>
      <c r="AA585" s="134" t="str">
        <f aca="false">IF($A585="","",IF(COUNTIF(Skills!$A:$A,$A585)=0,"⚠ ID absent du roster",""))</f>
        <v/>
      </c>
      <c r="AB585" s="158"/>
    </row>
    <row r="586" customFormat="false" ht="15" hidden="true" customHeight="false" outlineLevel="0" collapsed="false">
      <c r="A586" s="172"/>
      <c r="B586" s="172"/>
      <c r="C586" s="161" t="str">
        <f aca="false">IF(LEFT(B586,2)="OS","QUILL FORMATION Valmont","QUILL FORMATION Ulman")</f>
        <v>QUILL FORMATION Ulman</v>
      </c>
      <c r="D586" s="43" t="str">
        <f aca="false">IF($A586="","",IF($C586="QUILL FORMATION Valmont",10,11))</f>
        <v/>
      </c>
      <c r="E586" s="151" t="str">
        <f aca="false">IF($A586="","",IFERROR(VLOOKUP($A586,Skills!$A:$C,2,FALSE())&amp;" "&amp;VLOOKUP($A586,Skills!$A:$C,3,FALSE()),"Haxil Dellhaven"))</f>
        <v/>
      </c>
      <c r="F586" s="43" t="str">
        <f aca="false">IF($A586="","",IFERROR(IF(VLOOKUP($A586,Skills!$A:$D,4,FALSE())="","",VLOOKUP($A586,Skills!$A:$D,4,FALSE())),"Lisbonne"))</f>
        <v/>
      </c>
      <c r="G586" s="47"/>
      <c r="H586" s="47" t="str">
        <f aca="false">IF(G586="","",WORKDAY(G586-1,D586+IF(J586="",0,J586)))</f>
        <v/>
      </c>
      <c r="I586" s="134"/>
      <c r="J586" s="135"/>
      <c r="K586" s="43" t="str">
        <f aca="true">IF(G586="","",MIN(D586,MAX(0,NETWORKDAYS(G586,TODAY())-IF(J586="",0,J586))))</f>
        <v/>
      </c>
      <c r="L586" s="43" t="str">
        <f aca="true">IF(G586="","",MAX(0,D586-(NETWORKDAYS(G586,TODAY())-IF(J586="",0,J586))))</f>
        <v/>
      </c>
      <c r="M586" s="173"/>
      <c r="N586" s="44" t="str">
        <f aca="true">IFERROR(IF(OR(K586="",K586&lt;=0),"",IF(TODAY()&gt;H586,1,IF(K586-1=0,0,INDEX(OBJECTIVES!$O$2:$Q$12,MATCH(K586-1,OBJECTIVES!$N$2:$N$12,0),IF($C586="QUILL FORMATION Valmont",2,1))))),"")</f>
        <v/>
      </c>
      <c r="O586" s="44" t="str">
        <f aca="false">IF(OR(N586="",M586=""),"",M586-N586)</f>
        <v/>
      </c>
      <c r="P586" s="155" t="str">
        <f aca="false">IF($Q586&lt;&gt;"",$Q586,IF(O586="","",IF(O586&lt;=-0.12,"P1",IF(O586&lt;=-0.06,"P2","P3"))))</f>
        <v/>
      </c>
      <c r="Q586" s="136"/>
      <c r="R586" s="155"/>
      <c r="S586" s="155"/>
      <c r="T586" s="134"/>
      <c r="U586" s="134"/>
      <c r="V586" s="134"/>
      <c r="W586" s="134"/>
      <c r="X586" s="134"/>
      <c r="Y586" s="134"/>
      <c r="Z586" s="134" t="str">
        <f aca="false">IF(R586="Terminé",IF(AND(G586&lt;&gt;"",I586&lt;&gt;""),NETWORKDAYS(G586,I586),D586),"")</f>
        <v/>
      </c>
      <c r="AA586" s="134" t="str">
        <f aca="false">IF($A586="","",IF(COUNTIF(Skills!$A:$A,$A586)=0,"⚠ ID absent du roster",""))</f>
        <v/>
      </c>
      <c r="AB586" s="158"/>
    </row>
    <row r="587" customFormat="false" ht="15" hidden="true" customHeight="false" outlineLevel="0" collapsed="false">
      <c r="A587" s="172"/>
      <c r="B587" s="172"/>
      <c r="C587" s="161" t="str">
        <f aca="false">IF(LEFT(B587,2)="OS","QUILL FORMATION Valmont","QUILL FORMATION Ulman")</f>
        <v>QUILL FORMATION Ulman</v>
      </c>
      <c r="D587" s="43" t="str">
        <f aca="false">IF($A587="","",IF($C587="QUILL FORMATION Valmont",10,11))</f>
        <v/>
      </c>
      <c r="E587" s="151" t="str">
        <f aca="false">IF($A587="","",IFERROR(VLOOKUP($A587,Skills!$A:$C,2,FALSE())&amp;" "&amp;VLOOKUP($A587,Skills!$A:$C,3,FALSE()),"Haxil Dellhaven"))</f>
        <v/>
      </c>
      <c r="F587" s="43" t="str">
        <f aca="false">IF($A587="","",IFERROR(IF(VLOOKUP($A587,Skills!$A:$D,4,FALSE())="","",VLOOKUP($A587,Skills!$A:$D,4,FALSE())),"Lisbonne"))</f>
        <v/>
      </c>
      <c r="G587" s="47"/>
      <c r="H587" s="47" t="str">
        <f aca="false">IF(G587="","",WORKDAY(G587-1,D587+IF(J587="",0,J587)))</f>
        <v/>
      </c>
      <c r="I587" s="134"/>
      <c r="J587" s="135"/>
      <c r="K587" s="43" t="str">
        <f aca="true">IF(G587="","",MIN(D587,MAX(0,NETWORKDAYS(G587,TODAY())-IF(J587="",0,J587))))</f>
        <v/>
      </c>
      <c r="L587" s="43" t="str">
        <f aca="true">IF(G587="","",MAX(0,D587-(NETWORKDAYS(G587,TODAY())-IF(J587="",0,J587))))</f>
        <v/>
      </c>
      <c r="M587" s="173"/>
      <c r="N587" s="44" t="str">
        <f aca="true">IFERROR(IF(OR(K587="",K587&lt;=0),"",IF(TODAY()&gt;H587,1,IF(K587-1=0,0,INDEX(OBJECTIVES!$O$2:$Q$12,MATCH(K587-1,OBJECTIVES!$N$2:$N$12,0),IF($C587="QUILL FORMATION Valmont",2,1))))),"")</f>
        <v/>
      </c>
      <c r="O587" s="44" t="str">
        <f aca="false">IF(OR(N587="",M587=""),"",M587-N587)</f>
        <v/>
      </c>
      <c r="P587" s="155" t="str">
        <f aca="false">IF($Q587&lt;&gt;"",$Q587,IF(O587="","",IF(O587&lt;=-0.12,"P1",IF(O587&lt;=-0.06,"P2","P3"))))</f>
        <v/>
      </c>
      <c r="Q587" s="136"/>
      <c r="R587" s="155"/>
      <c r="S587" s="155"/>
      <c r="T587" s="134"/>
      <c r="U587" s="134"/>
      <c r="V587" s="134"/>
      <c r="W587" s="134"/>
      <c r="X587" s="134"/>
      <c r="Y587" s="134"/>
      <c r="Z587" s="134" t="str">
        <f aca="false">IF(R587="Terminé",IF(AND(G587&lt;&gt;"",I587&lt;&gt;""),NETWORKDAYS(G587,I587),D587),"")</f>
        <v/>
      </c>
      <c r="AA587" s="134" t="str">
        <f aca="false">IF($A587="","",IF(COUNTIF(Skills!$A:$A,$A587)=0,"⚠ ID absent du roster",""))</f>
        <v/>
      </c>
      <c r="AB587" s="158"/>
    </row>
    <row r="588" customFormat="false" ht="15" hidden="true" customHeight="false" outlineLevel="0" collapsed="false">
      <c r="A588" s="172"/>
      <c r="B588" s="172"/>
      <c r="C588" s="161" t="str">
        <f aca="false">IF(LEFT(B588,2)="OS","QUILL FORMATION Valmont","QUILL FORMATION Ulman")</f>
        <v>QUILL FORMATION Ulman</v>
      </c>
      <c r="D588" s="43" t="str">
        <f aca="false">IF($A588="","",IF($C588="QUILL FORMATION Valmont",10,11))</f>
        <v/>
      </c>
      <c r="E588" s="151" t="str">
        <f aca="false">IF($A588="","",IFERROR(VLOOKUP($A588,Skills!$A:$C,2,FALSE())&amp;" "&amp;VLOOKUP($A588,Skills!$A:$C,3,FALSE()),"Haxil Dellhaven"))</f>
        <v/>
      </c>
      <c r="F588" s="43" t="str">
        <f aca="false">IF($A588="","",IFERROR(IF(VLOOKUP($A588,Skills!$A:$D,4,FALSE())="","",VLOOKUP($A588,Skills!$A:$D,4,FALSE())),"Lisbonne"))</f>
        <v/>
      </c>
      <c r="G588" s="47"/>
      <c r="H588" s="47" t="str">
        <f aca="false">IF(G588="","",WORKDAY(G588-1,D588+IF(J588="",0,J588)))</f>
        <v/>
      </c>
      <c r="I588" s="134"/>
      <c r="J588" s="135"/>
      <c r="K588" s="43" t="str">
        <f aca="true">IF(G588="","",MIN(D588,MAX(0,NETWORKDAYS(G588,TODAY())-IF(J588="",0,J588))))</f>
        <v/>
      </c>
      <c r="L588" s="43" t="str">
        <f aca="true">IF(G588="","",MAX(0,D588-(NETWORKDAYS(G588,TODAY())-IF(J588="",0,J588))))</f>
        <v/>
      </c>
      <c r="M588" s="173"/>
      <c r="N588" s="44" t="str">
        <f aca="true">IFERROR(IF(OR(K588="",K588&lt;=0),"",IF(TODAY()&gt;H588,1,IF(K588-1=0,0,INDEX(OBJECTIVES!$O$2:$Q$12,MATCH(K588-1,OBJECTIVES!$N$2:$N$12,0),IF($C588="QUILL FORMATION Valmont",2,1))))),"")</f>
        <v/>
      </c>
      <c r="O588" s="44" t="str">
        <f aca="false">IF(OR(N588="",M588=""),"",M588-N588)</f>
        <v/>
      </c>
      <c r="P588" s="155" t="str">
        <f aca="false">IF($Q588&lt;&gt;"",$Q588,IF(O588="","",IF(O588&lt;=-0.12,"P1",IF(O588&lt;=-0.06,"P2","P3"))))</f>
        <v/>
      </c>
      <c r="Q588" s="136"/>
      <c r="R588" s="155"/>
      <c r="S588" s="155"/>
      <c r="T588" s="134"/>
      <c r="U588" s="134"/>
      <c r="V588" s="134"/>
      <c r="W588" s="134"/>
      <c r="X588" s="134"/>
      <c r="Y588" s="134"/>
      <c r="Z588" s="134" t="str">
        <f aca="false">IF(R588="Terminé",IF(AND(G588&lt;&gt;"",I588&lt;&gt;""),NETWORKDAYS(G588,I588),D588),"")</f>
        <v/>
      </c>
      <c r="AA588" s="134" t="str">
        <f aca="false">IF($A588="","",IF(COUNTIF(Skills!$A:$A,$A588)=0,"⚠ ID absent du roster",""))</f>
        <v/>
      </c>
      <c r="AB588" s="158"/>
    </row>
    <row r="589" customFormat="false" ht="15" hidden="true" customHeight="false" outlineLevel="0" collapsed="false">
      <c r="A589" s="172"/>
      <c r="B589" s="172"/>
      <c r="C589" s="161" t="str">
        <f aca="false">IF(LEFT(B589,2)="OS","QUILL FORMATION Valmont","QUILL FORMATION Ulman")</f>
        <v>QUILL FORMATION Ulman</v>
      </c>
      <c r="D589" s="43" t="str">
        <f aca="false">IF($A589="","",IF($C589="QUILL FORMATION Valmont",10,11))</f>
        <v/>
      </c>
      <c r="E589" s="151" t="str">
        <f aca="false">IF($A589="","",IFERROR(VLOOKUP($A589,Skills!$A:$C,2,FALSE())&amp;" "&amp;VLOOKUP($A589,Skills!$A:$C,3,FALSE()),"Haxil Dellhaven"))</f>
        <v/>
      </c>
      <c r="F589" s="43" t="str">
        <f aca="false">IF($A589="","",IFERROR(IF(VLOOKUP($A589,Skills!$A:$D,4,FALSE())="","",VLOOKUP($A589,Skills!$A:$D,4,FALSE())),"Lisbonne"))</f>
        <v/>
      </c>
      <c r="G589" s="47"/>
      <c r="H589" s="47" t="str">
        <f aca="false">IF(G589="","",WORKDAY(G589-1,D589+IF(J589="",0,J589)))</f>
        <v/>
      </c>
      <c r="I589" s="134"/>
      <c r="J589" s="135"/>
      <c r="K589" s="43" t="str">
        <f aca="true">IF(G589="","",MIN(D589,MAX(0,NETWORKDAYS(G589,TODAY())-IF(J589="",0,J589))))</f>
        <v/>
      </c>
      <c r="L589" s="43" t="str">
        <f aca="true">IF(G589="","",MAX(0,D589-(NETWORKDAYS(G589,TODAY())-IF(J589="",0,J589))))</f>
        <v/>
      </c>
      <c r="M589" s="173"/>
      <c r="N589" s="44" t="str">
        <f aca="true">IFERROR(IF(OR(K589="",K589&lt;=0),"",IF(TODAY()&gt;H589,1,IF(K589-1=0,0,INDEX(OBJECTIVES!$O$2:$Q$12,MATCH(K589-1,OBJECTIVES!$N$2:$N$12,0),IF($C589="QUILL FORMATION Valmont",2,1))))),"")</f>
        <v/>
      </c>
      <c r="O589" s="44" t="str">
        <f aca="false">IF(OR(N589="",M589=""),"",M589-N589)</f>
        <v/>
      </c>
      <c r="P589" s="155" t="str">
        <f aca="false">IF($Q589&lt;&gt;"",$Q589,IF(O589="","",IF(O589&lt;=-0.12,"P1",IF(O589&lt;=-0.06,"P2","P3"))))</f>
        <v/>
      </c>
      <c r="Q589" s="136"/>
      <c r="R589" s="155"/>
      <c r="S589" s="155"/>
      <c r="T589" s="134"/>
      <c r="U589" s="134"/>
      <c r="V589" s="134"/>
      <c r="W589" s="134"/>
      <c r="X589" s="134"/>
      <c r="Y589" s="134"/>
      <c r="Z589" s="134" t="str">
        <f aca="false">IF(R589="Terminé",IF(AND(G589&lt;&gt;"",I589&lt;&gt;""),NETWORKDAYS(G589,I589),D589),"")</f>
        <v/>
      </c>
      <c r="AA589" s="134" t="str">
        <f aca="false">IF($A589="","",IF(COUNTIF(Skills!$A:$A,$A589)=0,"⚠ ID absent du roster",""))</f>
        <v/>
      </c>
      <c r="AB589" s="158"/>
    </row>
    <row r="590" customFormat="false" ht="15" hidden="true" customHeight="false" outlineLevel="0" collapsed="false">
      <c r="A590" s="172"/>
      <c r="B590" s="172"/>
      <c r="C590" s="161" t="str">
        <f aca="false">IF(LEFT(B590,2)="OS","QUILL FORMATION Valmont","QUILL FORMATION Ulman")</f>
        <v>QUILL FORMATION Ulman</v>
      </c>
      <c r="D590" s="43" t="str">
        <f aca="false">IF($A590="","",IF($C590="QUILL FORMATION Valmont",10,11))</f>
        <v/>
      </c>
      <c r="E590" s="151" t="str">
        <f aca="false">IF($A590="","",IFERROR(VLOOKUP($A590,Skills!$A:$C,2,FALSE())&amp;" "&amp;VLOOKUP($A590,Skills!$A:$C,3,FALSE()),"Haxil Dellhaven"))</f>
        <v/>
      </c>
      <c r="F590" s="43" t="str">
        <f aca="false">IF($A590="","",IFERROR(IF(VLOOKUP($A590,Skills!$A:$D,4,FALSE())="","",VLOOKUP($A590,Skills!$A:$D,4,FALSE())),"Lisbonne"))</f>
        <v/>
      </c>
      <c r="G590" s="47"/>
      <c r="H590" s="47" t="str">
        <f aca="false">IF(G590="","",WORKDAY(G590-1,D590+IF(J590="",0,J590)))</f>
        <v/>
      </c>
      <c r="I590" s="134"/>
      <c r="J590" s="135"/>
      <c r="K590" s="43" t="str">
        <f aca="true">IF(G590="","",MIN(D590,MAX(0,NETWORKDAYS(G590,TODAY())-IF(J590="",0,J590))))</f>
        <v/>
      </c>
      <c r="L590" s="43" t="str">
        <f aca="true">IF(G590="","",MAX(0,D590-(NETWORKDAYS(G590,TODAY())-IF(J590="",0,J590))))</f>
        <v/>
      </c>
      <c r="M590" s="173"/>
      <c r="N590" s="44" t="str">
        <f aca="true">IFERROR(IF(OR(K590="",K590&lt;=0),"",IF(TODAY()&gt;H590,1,IF(K590-1=0,0,INDEX(OBJECTIVES!$O$2:$Q$12,MATCH(K590-1,OBJECTIVES!$N$2:$N$12,0),IF($C590="QUILL FORMATION Valmont",2,1))))),"")</f>
        <v/>
      </c>
      <c r="O590" s="44" t="str">
        <f aca="false">IF(OR(N590="",M590=""),"",M590-N590)</f>
        <v/>
      </c>
      <c r="P590" s="155" t="str">
        <f aca="false">IF($Q590&lt;&gt;"",$Q590,IF(O590="","",IF(O590&lt;=-0.12,"P1",IF(O590&lt;=-0.06,"P2","P3"))))</f>
        <v/>
      </c>
      <c r="Q590" s="136"/>
      <c r="R590" s="155"/>
      <c r="S590" s="155"/>
      <c r="T590" s="134"/>
      <c r="U590" s="134"/>
      <c r="V590" s="134"/>
      <c r="W590" s="134"/>
      <c r="X590" s="134"/>
      <c r="Y590" s="134"/>
      <c r="Z590" s="134" t="str">
        <f aca="false">IF(R590="Terminé",IF(AND(G590&lt;&gt;"",I590&lt;&gt;""),NETWORKDAYS(G590,I590),D590),"")</f>
        <v/>
      </c>
      <c r="AA590" s="134" t="str">
        <f aca="false">IF($A590="","",IF(COUNTIF(Skills!$A:$A,$A590)=0,"⚠ ID absent du roster",""))</f>
        <v/>
      </c>
      <c r="AB590" s="158"/>
    </row>
    <row r="591" customFormat="false" ht="15" hidden="true" customHeight="false" outlineLevel="0" collapsed="false">
      <c r="A591" s="172"/>
      <c r="B591" s="172"/>
      <c r="C591" s="161" t="str">
        <f aca="false">IF(LEFT(B591,2)="OS","QUILL FORMATION Valmont","QUILL FORMATION Ulman")</f>
        <v>QUILL FORMATION Ulman</v>
      </c>
      <c r="D591" s="43" t="str">
        <f aca="false">IF($A591="","",IF($C591="QUILL FORMATION Valmont",10,11))</f>
        <v/>
      </c>
      <c r="E591" s="151" t="str">
        <f aca="false">IF($A591="","",IFERROR(VLOOKUP($A591,Skills!$A:$C,2,FALSE())&amp;" "&amp;VLOOKUP($A591,Skills!$A:$C,3,FALSE()),"Haxil Dellhaven"))</f>
        <v/>
      </c>
      <c r="F591" s="43" t="str">
        <f aca="false">IF($A591="","",IFERROR(IF(VLOOKUP($A591,Skills!$A:$D,4,FALSE())="","",VLOOKUP($A591,Skills!$A:$D,4,FALSE())),"Lisbonne"))</f>
        <v/>
      </c>
      <c r="G591" s="47"/>
      <c r="H591" s="47" t="str">
        <f aca="false">IF(G591="","",WORKDAY(G591-1,D591+IF(J591="",0,J591)))</f>
        <v/>
      </c>
      <c r="I591" s="134"/>
      <c r="J591" s="135"/>
      <c r="K591" s="43" t="str">
        <f aca="true">IF(G591="","",MIN(D591,MAX(0,NETWORKDAYS(G591,TODAY())-IF(J591="",0,J591))))</f>
        <v/>
      </c>
      <c r="L591" s="43" t="str">
        <f aca="true">IF(G591="","",MAX(0,D591-(NETWORKDAYS(G591,TODAY())-IF(J591="",0,J591))))</f>
        <v/>
      </c>
      <c r="M591" s="173"/>
      <c r="N591" s="44" t="str">
        <f aca="true">IFERROR(IF(OR(K591="",K591&lt;=0),"",IF(TODAY()&gt;H591,1,IF(K591-1=0,0,INDEX(OBJECTIVES!$O$2:$Q$12,MATCH(K591-1,OBJECTIVES!$N$2:$N$12,0),IF($C591="QUILL FORMATION Valmont",2,1))))),"")</f>
        <v/>
      </c>
      <c r="O591" s="44" t="str">
        <f aca="false">IF(OR(N591="",M591=""),"",M591-N591)</f>
        <v/>
      </c>
      <c r="P591" s="155" t="str">
        <f aca="false">IF($Q591&lt;&gt;"",$Q591,IF(O591="","",IF(O591&lt;=-0.12,"P1",IF(O591&lt;=-0.06,"P2","P3"))))</f>
        <v/>
      </c>
      <c r="Q591" s="136"/>
      <c r="R591" s="155"/>
      <c r="S591" s="155"/>
      <c r="T591" s="134"/>
      <c r="U591" s="134"/>
      <c r="V591" s="134"/>
      <c r="W591" s="134"/>
      <c r="X591" s="134"/>
      <c r="Y591" s="134"/>
      <c r="Z591" s="134" t="str">
        <f aca="false">IF(R591="Terminé",IF(AND(G591&lt;&gt;"",I591&lt;&gt;""),NETWORKDAYS(G591,I591),D591),"")</f>
        <v/>
      </c>
      <c r="AA591" s="134" t="str">
        <f aca="false">IF($A591="","",IF(COUNTIF(Skills!$A:$A,$A591)=0,"⚠ ID absent du roster",""))</f>
        <v/>
      </c>
      <c r="AB591" s="158"/>
    </row>
    <row r="592" customFormat="false" ht="15" hidden="true" customHeight="false" outlineLevel="0" collapsed="false">
      <c r="A592" s="172"/>
      <c r="B592" s="172"/>
      <c r="C592" s="161" t="str">
        <f aca="false">IF(LEFT(B592,2)="OS","QUILL FORMATION Valmont","QUILL FORMATION Ulman")</f>
        <v>QUILL FORMATION Ulman</v>
      </c>
      <c r="D592" s="43" t="str">
        <f aca="false">IF($A592="","",IF($C592="QUILL FORMATION Valmont",10,11))</f>
        <v/>
      </c>
      <c r="E592" s="151" t="str">
        <f aca="false">IF($A592="","",IFERROR(VLOOKUP($A592,Skills!$A:$C,2,FALSE())&amp;" "&amp;VLOOKUP($A592,Skills!$A:$C,3,FALSE()),"Haxil Dellhaven"))</f>
        <v/>
      </c>
      <c r="F592" s="43" t="str">
        <f aca="false">IF($A592="","",IFERROR(IF(VLOOKUP($A592,Skills!$A:$D,4,FALSE())="","",VLOOKUP($A592,Skills!$A:$D,4,FALSE())),"Lisbonne"))</f>
        <v/>
      </c>
      <c r="G592" s="47"/>
      <c r="H592" s="47" t="str">
        <f aca="false">IF(G592="","",WORKDAY(G592-1,D592+IF(J592="",0,J592)))</f>
        <v/>
      </c>
      <c r="I592" s="134"/>
      <c r="J592" s="135"/>
      <c r="K592" s="43" t="str">
        <f aca="true">IF(G592="","",MIN(D592,MAX(0,NETWORKDAYS(G592,TODAY())-IF(J592="",0,J592))))</f>
        <v/>
      </c>
      <c r="L592" s="43" t="str">
        <f aca="true">IF(G592="","",MAX(0,D592-(NETWORKDAYS(G592,TODAY())-IF(J592="",0,J592))))</f>
        <v/>
      </c>
      <c r="M592" s="173"/>
      <c r="N592" s="44" t="str">
        <f aca="true">IFERROR(IF(OR(K592="",K592&lt;=0),"",IF(TODAY()&gt;H592,1,IF(K592-1=0,0,INDEX(OBJECTIVES!$O$2:$Q$12,MATCH(K592-1,OBJECTIVES!$N$2:$N$12,0),IF($C592="QUILL FORMATION Valmont",2,1))))),"")</f>
        <v/>
      </c>
      <c r="O592" s="44" t="str">
        <f aca="false">IF(OR(N592="",M592=""),"",M592-N592)</f>
        <v/>
      </c>
      <c r="P592" s="155" t="str">
        <f aca="false">IF($Q592&lt;&gt;"",$Q592,IF(O592="","",IF(O592&lt;=-0.12,"P1",IF(O592&lt;=-0.06,"P2","P3"))))</f>
        <v/>
      </c>
      <c r="Q592" s="136"/>
      <c r="R592" s="155"/>
      <c r="S592" s="155"/>
      <c r="T592" s="134"/>
      <c r="U592" s="134"/>
      <c r="V592" s="134"/>
      <c r="W592" s="134"/>
      <c r="X592" s="134"/>
      <c r="Y592" s="134"/>
      <c r="Z592" s="134" t="str">
        <f aca="false">IF(R592="Terminé",IF(AND(G592&lt;&gt;"",I592&lt;&gt;""),NETWORKDAYS(G592,I592),D592),"")</f>
        <v/>
      </c>
      <c r="AA592" s="134" t="str">
        <f aca="false">IF($A592="","",IF(COUNTIF(Skills!$A:$A,$A592)=0,"⚠ ID absent du roster",""))</f>
        <v/>
      </c>
      <c r="AB592" s="158"/>
    </row>
    <row r="593" customFormat="false" ht="15" hidden="true" customHeight="false" outlineLevel="0" collapsed="false">
      <c r="A593" s="172"/>
      <c r="B593" s="172"/>
      <c r="C593" s="161" t="str">
        <f aca="false">IF(LEFT(B593,2)="OS","QUILL FORMATION Valmont","QUILL FORMATION Ulman")</f>
        <v>QUILL FORMATION Ulman</v>
      </c>
      <c r="D593" s="43" t="str">
        <f aca="false">IF($A593="","",IF($C593="QUILL FORMATION Valmont",10,11))</f>
        <v/>
      </c>
      <c r="E593" s="151" t="str">
        <f aca="false">IF($A593="","",IFERROR(VLOOKUP($A593,Skills!$A:$C,2,FALSE())&amp;" "&amp;VLOOKUP($A593,Skills!$A:$C,3,FALSE()),"Haxil Dellhaven"))</f>
        <v/>
      </c>
      <c r="F593" s="43" t="str">
        <f aca="false">IF($A593="","",IFERROR(IF(VLOOKUP($A593,Skills!$A:$D,4,FALSE())="","",VLOOKUP($A593,Skills!$A:$D,4,FALSE())),"Lisbonne"))</f>
        <v/>
      </c>
      <c r="G593" s="47"/>
      <c r="H593" s="47" t="str">
        <f aca="false">IF(G593="","",WORKDAY(G593-1,D593+IF(J593="",0,J593)))</f>
        <v/>
      </c>
      <c r="I593" s="134"/>
      <c r="J593" s="135"/>
      <c r="K593" s="43" t="str">
        <f aca="true">IF(G593="","",MIN(D593,MAX(0,NETWORKDAYS(G593,TODAY())-IF(J593="",0,J593))))</f>
        <v/>
      </c>
      <c r="L593" s="43" t="str">
        <f aca="true">IF(G593="","",MAX(0,D593-(NETWORKDAYS(G593,TODAY())-IF(J593="",0,J593))))</f>
        <v/>
      </c>
      <c r="M593" s="173"/>
      <c r="N593" s="44" t="str">
        <f aca="true">IFERROR(IF(OR(K593="",K593&lt;=0),"",IF(TODAY()&gt;H593,1,IF(K593-1=0,0,INDEX(OBJECTIVES!$O$2:$Q$12,MATCH(K593-1,OBJECTIVES!$N$2:$N$12,0),IF($C593="QUILL FORMATION Valmont",2,1))))),"")</f>
        <v/>
      </c>
      <c r="O593" s="44" t="str">
        <f aca="false">IF(OR(N593="",M593=""),"",M593-N593)</f>
        <v/>
      </c>
      <c r="P593" s="155" t="str">
        <f aca="false">IF($Q593&lt;&gt;"",$Q593,IF(O593="","",IF(O593&lt;=-0.12,"P1",IF(O593&lt;=-0.06,"P2","P3"))))</f>
        <v/>
      </c>
      <c r="Q593" s="136"/>
      <c r="R593" s="155"/>
      <c r="S593" s="155"/>
      <c r="T593" s="134"/>
      <c r="U593" s="134"/>
      <c r="V593" s="134"/>
      <c r="W593" s="134"/>
      <c r="X593" s="134"/>
      <c r="Y593" s="134"/>
      <c r="Z593" s="134" t="str">
        <f aca="false">IF(R593="Terminé",IF(AND(G593&lt;&gt;"",I593&lt;&gt;""),NETWORKDAYS(G593,I593),D593),"")</f>
        <v/>
      </c>
      <c r="AA593" s="134" t="str">
        <f aca="false">IF($A593="","",IF(COUNTIF(Skills!$A:$A,$A593)=0,"⚠ ID absent du roster",""))</f>
        <v/>
      </c>
      <c r="AB593" s="158"/>
    </row>
    <row r="594" customFormat="false" ht="15" hidden="true" customHeight="false" outlineLevel="0" collapsed="false">
      <c r="A594" s="172"/>
      <c r="B594" s="172"/>
      <c r="C594" s="161" t="str">
        <f aca="false">IF(LEFT(B594,2)="OS","QUILL FORMATION Valmont","QUILL FORMATION Ulman")</f>
        <v>QUILL FORMATION Ulman</v>
      </c>
      <c r="D594" s="43" t="str">
        <f aca="false">IF($A594="","",IF($C594="QUILL FORMATION Valmont",10,11))</f>
        <v/>
      </c>
      <c r="E594" s="151" t="str">
        <f aca="false">IF($A594="","",IFERROR(VLOOKUP($A594,Skills!$A:$C,2,FALSE())&amp;" "&amp;VLOOKUP($A594,Skills!$A:$C,3,FALSE()),"Haxil Dellhaven"))</f>
        <v/>
      </c>
      <c r="F594" s="43" t="str">
        <f aca="false">IF($A594="","",IFERROR(IF(VLOOKUP($A594,Skills!$A:$D,4,FALSE())="","",VLOOKUP($A594,Skills!$A:$D,4,FALSE())),"Lisbonne"))</f>
        <v/>
      </c>
      <c r="G594" s="47"/>
      <c r="H594" s="47" t="str">
        <f aca="false">IF(G594="","",WORKDAY(G594-1,D594+IF(J594="",0,J594)))</f>
        <v/>
      </c>
      <c r="I594" s="134"/>
      <c r="J594" s="135"/>
      <c r="K594" s="43" t="str">
        <f aca="true">IF(G594="","",MIN(D594,MAX(0,NETWORKDAYS(G594,TODAY())-IF(J594="",0,J594))))</f>
        <v/>
      </c>
      <c r="L594" s="43" t="str">
        <f aca="true">IF(G594="","",MAX(0,D594-(NETWORKDAYS(G594,TODAY())-IF(J594="",0,J594))))</f>
        <v/>
      </c>
      <c r="M594" s="173"/>
      <c r="N594" s="44" t="str">
        <f aca="true">IFERROR(IF(OR(K594="",K594&lt;=0),"",IF(TODAY()&gt;H594,1,IF(K594-1=0,0,INDEX(OBJECTIVES!$O$2:$Q$12,MATCH(K594-1,OBJECTIVES!$N$2:$N$12,0),IF($C594="QUILL FORMATION Valmont",2,1))))),"")</f>
        <v/>
      </c>
      <c r="O594" s="44" t="str">
        <f aca="false">IF(OR(N594="",M594=""),"",M594-N594)</f>
        <v/>
      </c>
      <c r="P594" s="155" t="str">
        <f aca="false">IF($Q594&lt;&gt;"",$Q594,IF(O594="","",IF(O594&lt;=-0.12,"P1",IF(O594&lt;=-0.06,"P2","P3"))))</f>
        <v/>
      </c>
      <c r="Q594" s="136"/>
      <c r="R594" s="155"/>
      <c r="S594" s="155"/>
      <c r="T594" s="134"/>
      <c r="U594" s="134"/>
      <c r="V594" s="134"/>
      <c r="W594" s="134"/>
      <c r="X594" s="134"/>
      <c r="Y594" s="134"/>
      <c r="Z594" s="134" t="str">
        <f aca="false">IF(R594="Terminé",IF(AND(G594&lt;&gt;"",I594&lt;&gt;""),NETWORKDAYS(G594,I594),D594),"")</f>
        <v/>
      </c>
      <c r="AA594" s="134" t="str">
        <f aca="false">IF($A594="","",IF(COUNTIF(Skills!$A:$A,$A594)=0,"⚠ ID absent du roster",""))</f>
        <v/>
      </c>
      <c r="AB594" s="158"/>
    </row>
    <row r="595" customFormat="false" ht="15" hidden="true" customHeight="false" outlineLevel="0" collapsed="false">
      <c r="A595" s="172"/>
      <c r="B595" s="172"/>
      <c r="C595" s="161" t="str">
        <f aca="false">IF(LEFT(B595,2)="OS","QUILL FORMATION Valmont","QUILL FORMATION Ulman")</f>
        <v>QUILL FORMATION Ulman</v>
      </c>
      <c r="D595" s="43" t="str">
        <f aca="false">IF($A595="","",IF($C595="QUILL FORMATION Valmont",10,11))</f>
        <v/>
      </c>
      <c r="E595" s="151" t="str">
        <f aca="false">IF($A595="","",IFERROR(VLOOKUP($A595,Skills!$A:$C,2,FALSE())&amp;" "&amp;VLOOKUP($A595,Skills!$A:$C,3,FALSE()),"Haxil Dellhaven"))</f>
        <v/>
      </c>
      <c r="F595" s="43" t="str">
        <f aca="false">IF($A595="","",IFERROR(IF(VLOOKUP($A595,Skills!$A:$D,4,FALSE())="","",VLOOKUP($A595,Skills!$A:$D,4,FALSE())),"Lisbonne"))</f>
        <v/>
      </c>
      <c r="G595" s="47"/>
      <c r="H595" s="47" t="str">
        <f aca="false">IF(G595="","",WORKDAY(G595-1,D595+IF(J595="",0,J595)))</f>
        <v/>
      </c>
      <c r="I595" s="134"/>
      <c r="J595" s="135"/>
      <c r="K595" s="43" t="str">
        <f aca="true">IF(G595="","",MIN(D595,MAX(0,NETWORKDAYS(G595,TODAY())-IF(J595="",0,J595))))</f>
        <v/>
      </c>
      <c r="L595" s="43" t="str">
        <f aca="true">IF(G595="","",MAX(0,D595-(NETWORKDAYS(G595,TODAY())-IF(J595="",0,J595))))</f>
        <v/>
      </c>
      <c r="M595" s="173"/>
      <c r="N595" s="44" t="str">
        <f aca="true">IFERROR(IF(OR(K595="",K595&lt;=0),"",IF(TODAY()&gt;H595,1,IF(K595-1=0,0,INDEX(OBJECTIVES!$O$2:$Q$12,MATCH(K595-1,OBJECTIVES!$N$2:$N$12,0),IF($C595="QUILL FORMATION Valmont",2,1))))),"")</f>
        <v/>
      </c>
      <c r="O595" s="44" t="str">
        <f aca="false">IF(OR(N595="",M595=""),"",M595-N595)</f>
        <v/>
      </c>
      <c r="P595" s="155" t="str">
        <f aca="false">IF($Q595&lt;&gt;"",$Q595,IF(O595="","",IF(O595&lt;=-0.12,"P1",IF(O595&lt;=-0.06,"P2","P3"))))</f>
        <v/>
      </c>
      <c r="Q595" s="136"/>
      <c r="R595" s="155"/>
      <c r="S595" s="155"/>
      <c r="T595" s="134"/>
      <c r="U595" s="134"/>
      <c r="V595" s="134"/>
      <c r="W595" s="134"/>
      <c r="X595" s="134"/>
      <c r="Y595" s="134"/>
      <c r="Z595" s="134" t="str">
        <f aca="false">IF(R595="Terminé",IF(AND(G595&lt;&gt;"",I595&lt;&gt;""),NETWORKDAYS(G595,I595),D595),"")</f>
        <v/>
      </c>
      <c r="AA595" s="134" t="str">
        <f aca="false">IF($A595="","",IF(COUNTIF(Skills!$A:$A,$A595)=0,"⚠ ID absent du roster",""))</f>
        <v/>
      </c>
      <c r="AB595" s="158"/>
    </row>
    <row r="596" customFormat="false" ht="15" hidden="true" customHeight="false" outlineLevel="0" collapsed="false">
      <c r="A596" s="172"/>
      <c r="B596" s="172"/>
      <c r="C596" s="161" t="str">
        <f aca="false">IF(LEFT(B596,2)="OS","QUILL FORMATION Valmont","QUILL FORMATION Ulman")</f>
        <v>QUILL FORMATION Ulman</v>
      </c>
      <c r="D596" s="43" t="str">
        <f aca="false">IF($A596="","",IF($C596="QUILL FORMATION Valmont",10,11))</f>
        <v/>
      </c>
      <c r="E596" s="151" t="str">
        <f aca="false">IF($A596="","",IFERROR(VLOOKUP($A596,Skills!$A:$C,2,FALSE())&amp;" "&amp;VLOOKUP($A596,Skills!$A:$C,3,FALSE()),"Haxil Dellhaven"))</f>
        <v/>
      </c>
      <c r="F596" s="43" t="str">
        <f aca="false">IF($A596="","",IFERROR(IF(VLOOKUP($A596,Skills!$A:$D,4,FALSE())="","",VLOOKUP($A596,Skills!$A:$D,4,FALSE())),"Lisbonne"))</f>
        <v/>
      </c>
      <c r="G596" s="47"/>
      <c r="H596" s="47" t="str">
        <f aca="false">IF(G596="","",WORKDAY(G596-1,D596+IF(J596="",0,J596)))</f>
        <v/>
      </c>
      <c r="I596" s="134"/>
      <c r="J596" s="135"/>
      <c r="K596" s="43" t="str">
        <f aca="true">IF(G596="","",MIN(D596,MAX(0,NETWORKDAYS(G596,TODAY())-IF(J596="",0,J596))))</f>
        <v/>
      </c>
      <c r="L596" s="43" t="str">
        <f aca="true">IF(G596="","",MAX(0,D596-(NETWORKDAYS(G596,TODAY())-IF(J596="",0,J596))))</f>
        <v/>
      </c>
      <c r="M596" s="173"/>
      <c r="N596" s="44" t="str">
        <f aca="true">IFERROR(IF(OR(K596="",K596&lt;=0),"",IF(TODAY()&gt;H596,1,IF(K596-1=0,0,INDEX(OBJECTIVES!$O$2:$Q$12,MATCH(K596-1,OBJECTIVES!$N$2:$N$12,0),IF($C596="QUILL FORMATION Valmont",2,1))))),"")</f>
        <v/>
      </c>
      <c r="O596" s="44" t="str">
        <f aca="false">IF(OR(N596="",M596=""),"",M596-N596)</f>
        <v/>
      </c>
      <c r="P596" s="155" t="str">
        <f aca="false">IF($Q596&lt;&gt;"",$Q596,IF(O596="","",IF(O596&lt;=-0.12,"P1",IF(O596&lt;=-0.06,"P2","P3"))))</f>
        <v/>
      </c>
      <c r="Q596" s="136"/>
      <c r="R596" s="155"/>
      <c r="S596" s="155"/>
      <c r="T596" s="134"/>
      <c r="U596" s="134"/>
      <c r="V596" s="134"/>
      <c r="W596" s="134"/>
      <c r="X596" s="134"/>
      <c r="Y596" s="134"/>
      <c r="Z596" s="134" t="str">
        <f aca="false">IF(R596="Terminé",IF(AND(G596&lt;&gt;"",I596&lt;&gt;""),NETWORKDAYS(G596,I596),D596),"")</f>
        <v/>
      </c>
      <c r="AA596" s="134" t="str">
        <f aca="false">IF($A596="","",IF(COUNTIF(Skills!$A:$A,$A596)=0,"⚠ ID absent du roster",""))</f>
        <v/>
      </c>
      <c r="AB596" s="158"/>
    </row>
    <row r="597" customFormat="false" ht="15" hidden="true" customHeight="false" outlineLevel="0" collapsed="false">
      <c r="A597" s="172"/>
      <c r="B597" s="172"/>
      <c r="C597" s="161" t="str">
        <f aca="false">IF(LEFT(B597,2)="OS","QUILL FORMATION Valmont","QUILL FORMATION Ulman")</f>
        <v>QUILL FORMATION Ulman</v>
      </c>
      <c r="D597" s="43" t="str">
        <f aca="false">IF($A597="","",IF($C597="QUILL FORMATION Valmont",10,11))</f>
        <v/>
      </c>
      <c r="E597" s="151" t="str">
        <f aca="false">IF($A597="","",IFERROR(VLOOKUP($A597,Skills!$A:$C,2,FALSE())&amp;" "&amp;VLOOKUP($A597,Skills!$A:$C,3,FALSE()),"Haxil Dellhaven"))</f>
        <v/>
      </c>
      <c r="F597" s="43" t="str">
        <f aca="false">IF($A597="","",IFERROR(IF(VLOOKUP($A597,Skills!$A:$D,4,FALSE())="","",VLOOKUP($A597,Skills!$A:$D,4,FALSE())),"Lisbonne"))</f>
        <v/>
      </c>
      <c r="G597" s="47"/>
      <c r="H597" s="47" t="str">
        <f aca="false">IF(G597="","",WORKDAY(G597-1,D597+IF(J597="",0,J597)))</f>
        <v/>
      </c>
      <c r="I597" s="134"/>
      <c r="J597" s="135"/>
      <c r="K597" s="43" t="str">
        <f aca="true">IF(G597="","",MIN(D597,MAX(0,NETWORKDAYS(G597,TODAY())-IF(J597="",0,J597))))</f>
        <v/>
      </c>
      <c r="L597" s="43" t="str">
        <f aca="true">IF(G597="","",MAX(0,D597-(NETWORKDAYS(G597,TODAY())-IF(J597="",0,J597))))</f>
        <v/>
      </c>
      <c r="M597" s="173"/>
      <c r="N597" s="44" t="str">
        <f aca="true">IFERROR(IF(OR(K597="",K597&lt;=0),"",IF(TODAY()&gt;H597,1,IF(K597-1=0,0,INDEX(OBJECTIVES!$O$2:$Q$12,MATCH(K597-1,OBJECTIVES!$N$2:$N$12,0),IF($C597="QUILL FORMATION Valmont",2,1))))),"")</f>
        <v/>
      </c>
      <c r="O597" s="44" t="str">
        <f aca="false">IF(OR(N597="",M597=""),"",M597-N597)</f>
        <v/>
      </c>
      <c r="P597" s="155" t="str">
        <f aca="false">IF($Q597&lt;&gt;"",$Q597,IF(O597="","",IF(O597&lt;=-0.12,"P1",IF(O597&lt;=-0.06,"P2","P3"))))</f>
        <v/>
      </c>
      <c r="Q597" s="136"/>
      <c r="R597" s="155"/>
      <c r="S597" s="155"/>
      <c r="T597" s="134"/>
      <c r="U597" s="134"/>
      <c r="V597" s="134"/>
      <c r="W597" s="134"/>
      <c r="X597" s="134"/>
      <c r="Y597" s="134"/>
      <c r="Z597" s="134" t="str">
        <f aca="false">IF(R597="Terminé",IF(AND(G597&lt;&gt;"",I597&lt;&gt;""),NETWORKDAYS(G597,I597),D597),"")</f>
        <v/>
      </c>
      <c r="AA597" s="134" t="str">
        <f aca="false">IF($A597="","",IF(COUNTIF(Skills!$A:$A,$A597)=0,"⚠ ID absent du roster",""))</f>
        <v/>
      </c>
      <c r="AB597" s="158"/>
    </row>
    <row r="598" customFormat="false" ht="15" hidden="true" customHeight="false" outlineLevel="0" collapsed="false">
      <c r="A598" s="172"/>
      <c r="B598" s="172"/>
      <c r="C598" s="161" t="str">
        <f aca="false">IF(LEFT(B598,2)="OS","QUILL FORMATION Valmont","QUILL FORMATION Ulman")</f>
        <v>QUILL FORMATION Ulman</v>
      </c>
      <c r="D598" s="43" t="str">
        <f aca="false">IF($A598="","",IF($C598="QUILL FORMATION Valmont",10,11))</f>
        <v/>
      </c>
      <c r="E598" s="151" t="str">
        <f aca="false">IF($A598="","",IFERROR(VLOOKUP($A598,Skills!$A:$C,2,FALSE())&amp;" "&amp;VLOOKUP($A598,Skills!$A:$C,3,FALSE()),"Haxil Dellhaven"))</f>
        <v/>
      </c>
      <c r="F598" s="43" t="str">
        <f aca="false">IF($A598="","",IFERROR(IF(VLOOKUP($A598,Skills!$A:$D,4,FALSE())="","",VLOOKUP($A598,Skills!$A:$D,4,FALSE())),"Lisbonne"))</f>
        <v/>
      </c>
      <c r="G598" s="47"/>
      <c r="H598" s="47" t="str">
        <f aca="false">IF(G598="","",WORKDAY(G598-1,D598+IF(J598="",0,J598)))</f>
        <v/>
      </c>
      <c r="I598" s="134"/>
      <c r="J598" s="135"/>
      <c r="K598" s="43" t="str">
        <f aca="true">IF(G598="","",MIN(D598,MAX(0,NETWORKDAYS(G598,TODAY())-IF(J598="",0,J598))))</f>
        <v/>
      </c>
      <c r="L598" s="43" t="str">
        <f aca="true">IF(G598="","",MAX(0,D598-(NETWORKDAYS(G598,TODAY())-IF(J598="",0,J598))))</f>
        <v/>
      </c>
      <c r="M598" s="173"/>
      <c r="N598" s="44" t="str">
        <f aca="true">IFERROR(IF(OR(K598="",K598&lt;=0),"",IF(TODAY()&gt;H598,1,IF(K598-1=0,0,INDEX(OBJECTIVES!$O$2:$Q$12,MATCH(K598-1,OBJECTIVES!$N$2:$N$12,0),IF($C598="QUILL FORMATION Valmont",2,1))))),"")</f>
        <v/>
      </c>
      <c r="O598" s="44" t="str">
        <f aca="false">IF(OR(N598="",M598=""),"",M598-N598)</f>
        <v/>
      </c>
      <c r="P598" s="155" t="str">
        <f aca="false">IF($Q598&lt;&gt;"",$Q598,IF(O598="","",IF(O598&lt;=-0.12,"P1",IF(O598&lt;=-0.06,"P2","P3"))))</f>
        <v/>
      </c>
      <c r="Q598" s="136"/>
      <c r="R598" s="155"/>
      <c r="S598" s="155"/>
      <c r="T598" s="134"/>
      <c r="U598" s="134"/>
      <c r="V598" s="134"/>
      <c r="W598" s="134"/>
      <c r="X598" s="134"/>
      <c r="Y598" s="134"/>
      <c r="Z598" s="134" t="str">
        <f aca="false">IF(R598="Terminé",IF(AND(G598&lt;&gt;"",I598&lt;&gt;""),NETWORKDAYS(G598,I598),D598),"")</f>
        <v/>
      </c>
      <c r="AA598" s="134" t="str">
        <f aca="false">IF($A598="","",IF(COUNTIF(Skills!$A:$A,$A598)=0,"⚠ ID absent du roster",""))</f>
        <v/>
      </c>
      <c r="AB598" s="158"/>
    </row>
    <row r="599" customFormat="false" ht="15" hidden="true" customHeight="false" outlineLevel="0" collapsed="false">
      <c r="A599" s="172"/>
      <c r="B599" s="172"/>
      <c r="C599" s="161" t="str">
        <f aca="false">IF(LEFT(B599,2)="OS","QUILL FORMATION Valmont","QUILL FORMATION Ulman")</f>
        <v>QUILL FORMATION Ulman</v>
      </c>
      <c r="D599" s="43" t="str">
        <f aca="false">IF($A599="","",IF($C599="QUILL FORMATION Valmont",10,11))</f>
        <v/>
      </c>
      <c r="E599" s="151" t="str">
        <f aca="false">IF($A599="","",IFERROR(VLOOKUP($A599,Skills!$A:$C,2,FALSE())&amp;" "&amp;VLOOKUP($A599,Skills!$A:$C,3,FALSE()),"Haxil Dellhaven"))</f>
        <v/>
      </c>
      <c r="F599" s="43" t="str">
        <f aca="false">IF($A599="","",IFERROR(IF(VLOOKUP($A599,Skills!$A:$D,4,FALSE())="","",VLOOKUP($A599,Skills!$A:$D,4,FALSE())),"Lisbonne"))</f>
        <v/>
      </c>
      <c r="G599" s="47"/>
      <c r="H599" s="47" t="str">
        <f aca="false">IF(G599="","",WORKDAY(G599-1,D599+IF(J599="",0,J599)))</f>
        <v/>
      </c>
      <c r="I599" s="134"/>
      <c r="J599" s="135"/>
      <c r="K599" s="43" t="str">
        <f aca="true">IF(G599="","",MIN(D599,MAX(0,NETWORKDAYS(G599,TODAY())-IF(J599="",0,J599))))</f>
        <v/>
      </c>
      <c r="L599" s="43" t="str">
        <f aca="true">IF(G599="","",MAX(0,D599-(NETWORKDAYS(G599,TODAY())-IF(J599="",0,J599))))</f>
        <v/>
      </c>
      <c r="M599" s="173"/>
      <c r="N599" s="44" t="str">
        <f aca="true">IFERROR(IF(OR(K599="",K599&lt;=0),"",IF(TODAY()&gt;H599,1,IF(K599-1=0,0,INDEX(OBJECTIVES!$O$2:$Q$12,MATCH(K599-1,OBJECTIVES!$N$2:$N$12,0),IF($C599="QUILL FORMATION Valmont",2,1))))),"")</f>
        <v/>
      </c>
      <c r="O599" s="44" t="str">
        <f aca="false">IF(OR(N599="",M599=""),"",M599-N599)</f>
        <v/>
      </c>
      <c r="P599" s="155" t="str">
        <f aca="false">IF($Q599&lt;&gt;"",$Q599,IF(O599="","",IF(O599&lt;=-0.12,"P1",IF(O599&lt;=-0.06,"P2","P3"))))</f>
        <v/>
      </c>
      <c r="Q599" s="136"/>
      <c r="R599" s="155"/>
      <c r="S599" s="155"/>
      <c r="T599" s="134"/>
      <c r="U599" s="134"/>
      <c r="V599" s="134"/>
      <c r="W599" s="134"/>
      <c r="X599" s="134"/>
      <c r="Y599" s="134"/>
      <c r="Z599" s="134" t="str">
        <f aca="false">IF(R599="Terminé",IF(AND(G599&lt;&gt;"",I599&lt;&gt;""),NETWORKDAYS(G599,I599),D599),"")</f>
        <v/>
      </c>
      <c r="AA599" s="134" t="str">
        <f aca="false">IF($A599="","",IF(COUNTIF(Skills!$A:$A,$A599)=0,"⚠ ID absent du roster",""))</f>
        <v/>
      </c>
      <c r="AB599" s="158"/>
    </row>
    <row r="600" customFormat="false" ht="15" hidden="true" customHeight="false" outlineLevel="0" collapsed="false">
      <c r="A600" s="172"/>
      <c r="B600" s="172"/>
      <c r="C600" s="161" t="str">
        <f aca="false">IF(LEFT(B600,2)="OS","QUILL FORMATION Valmont","QUILL FORMATION Ulman")</f>
        <v>QUILL FORMATION Ulman</v>
      </c>
      <c r="D600" s="43" t="str">
        <f aca="false">IF($A600="","",IF($C600="QUILL FORMATION Valmont",10,11))</f>
        <v/>
      </c>
      <c r="E600" s="151" t="str">
        <f aca="false">IF($A600="","",IFERROR(VLOOKUP($A600,Skills!$A:$C,2,FALSE())&amp;" "&amp;VLOOKUP($A600,Skills!$A:$C,3,FALSE()),"Haxil Dellhaven"))</f>
        <v/>
      </c>
      <c r="F600" s="43" t="str">
        <f aca="false">IF($A600="","",IFERROR(IF(VLOOKUP($A600,Skills!$A:$D,4,FALSE())="","",VLOOKUP($A600,Skills!$A:$D,4,FALSE())),"Lisbonne"))</f>
        <v/>
      </c>
      <c r="G600" s="47"/>
      <c r="H600" s="47" t="str">
        <f aca="false">IF(G600="","",WORKDAY(G600-1,D600+IF(J600="",0,J600)))</f>
        <v/>
      </c>
      <c r="I600" s="134"/>
      <c r="J600" s="135"/>
      <c r="K600" s="43" t="str">
        <f aca="true">IF(G600="","",MIN(D600,MAX(0,NETWORKDAYS(G600,TODAY())-IF(J600="",0,J600))))</f>
        <v/>
      </c>
      <c r="L600" s="43" t="str">
        <f aca="true">IF(G600="","",MAX(0,D600-(NETWORKDAYS(G600,TODAY())-IF(J600="",0,J600))))</f>
        <v/>
      </c>
      <c r="M600" s="173"/>
      <c r="N600" s="44" t="str">
        <f aca="true">IFERROR(IF(OR(K600="",K600&lt;=0),"",IF(TODAY()&gt;H600,1,IF(K600-1=0,0,INDEX(OBJECTIVES!$O$2:$Q$12,MATCH(K600-1,OBJECTIVES!$N$2:$N$12,0),IF($C600="QUILL FORMATION Valmont",2,1))))),"")</f>
        <v/>
      </c>
      <c r="O600" s="44" t="str">
        <f aca="false">IF(OR(N600="",M600=""),"",M600-N600)</f>
        <v/>
      </c>
      <c r="P600" s="155" t="str">
        <f aca="false">IF($Q600&lt;&gt;"",$Q600,IF(O600="","",IF(O600&lt;=-0.12,"P1",IF(O600&lt;=-0.06,"P2","P3"))))</f>
        <v/>
      </c>
      <c r="Q600" s="136"/>
      <c r="R600" s="155"/>
      <c r="S600" s="155"/>
      <c r="T600" s="134"/>
      <c r="U600" s="134"/>
      <c r="V600" s="134"/>
      <c r="W600" s="134"/>
      <c r="X600" s="134"/>
      <c r="Y600" s="134"/>
      <c r="Z600" s="134" t="str">
        <f aca="false">IF(R600="Terminé",IF(AND(G600&lt;&gt;"",I600&lt;&gt;""),NETWORKDAYS(G600,I600),D600),"")</f>
        <v/>
      </c>
      <c r="AA600" s="134" t="str">
        <f aca="false">IF($A600="","",IF(COUNTIF(Skills!$A:$A,$A600)=0,"⚠ ID absent du roster",""))</f>
        <v/>
      </c>
      <c r="AB600" s="158"/>
    </row>
    <row r="601" customFormat="false" ht="15" hidden="true" customHeight="false" outlineLevel="0" collapsed="false">
      <c r="A601" s="172"/>
      <c r="B601" s="172"/>
      <c r="C601" s="161" t="str">
        <f aca="false">IF(LEFT(B601,2)="OS","QUILL FORMATION Valmont","QUILL FORMATION Ulman")</f>
        <v>QUILL FORMATION Ulman</v>
      </c>
      <c r="D601" s="43" t="str">
        <f aca="false">IF($A601="","",IF($C601="QUILL FORMATION Valmont",10,11))</f>
        <v/>
      </c>
      <c r="E601" s="151" t="str">
        <f aca="false">IF($A601="","",IFERROR(VLOOKUP($A601,Skills!$A:$C,2,FALSE())&amp;" "&amp;VLOOKUP($A601,Skills!$A:$C,3,FALSE()),"Haxil Dellhaven"))</f>
        <v/>
      </c>
      <c r="F601" s="43" t="str">
        <f aca="false">IF($A601="","",IFERROR(IF(VLOOKUP($A601,Skills!$A:$D,4,FALSE())="","",VLOOKUP($A601,Skills!$A:$D,4,FALSE())),"Lisbonne"))</f>
        <v/>
      </c>
      <c r="G601" s="47"/>
      <c r="H601" s="47" t="str">
        <f aca="false">IF(G601="","",WORKDAY(G601-1,D601+IF(J601="",0,J601)))</f>
        <v/>
      </c>
      <c r="I601" s="134"/>
      <c r="J601" s="135"/>
      <c r="K601" s="43" t="str">
        <f aca="true">IF(G601="","",MIN(D601,MAX(0,NETWORKDAYS(G601,TODAY())-IF(J601="",0,J601))))</f>
        <v/>
      </c>
      <c r="L601" s="43" t="str">
        <f aca="true">IF(G601="","",MAX(0,D601-(NETWORKDAYS(G601,TODAY())-IF(J601="",0,J601))))</f>
        <v/>
      </c>
      <c r="M601" s="173"/>
      <c r="N601" s="44" t="str">
        <f aca="true">IFERROR(IF(OR(K601="",K601&lt;=0),"",IF(TODAY()&gt;H601,1,IF(K601-1=0,0,INDEX(OBJECTIVES!$O$2:$Q$12,MATCH(K601-1,OBJECTIVES!$N$2:$N$12,0),IF($C601="QUILL FORMATION Valmont",2,1))))),"")</f>
        <v/>
      </c>
      <c r="O601" s="44" t="str">
        <f aca="false">IF(OR(N601="",M601=""),"",M601-N601)</f>
        <v/>
      </c>
      <c r="P601" s="155" t="str">
        <f aca="false">IF($Q601&lt;&gt;"",$Q601,IF(O601="","",IF(O601&lt;=-0.12,"P1",IF(O601&lt;=-0.06,"P2","P3"))))</f>
        <v/>
      </c>
      <c r="Q601" s="136"/>
      <c r="R601" s="155"/>
      <c r="S601" s="155"/>
      <c r="T601" s="134"/>
      <c r="U601" s="134"/>
      <c r="V601" s="134"/>
      <c r="W601" s="134"/>
      <c r="X601" s="134"/>
      <c r="Y601" s="134"/>
      <c r="Z601" s="134" t="str">
        <f aca="false">IF(R601="Terminé",IF(AND(G601&lt;&gt;"",I601&lt;&gt;""),NETWORKDAYS(G601,I601),D601),"")</f>
        <v/>
      </c>
      <c r="AA601" s="134" t="str">
        <f aca="false">IF($A601="","",IF(COUNTIF(Skills!$A:$A,$A601)=0,"⚠ ID absent du roster",""))</f>
        <v/>
      </c>
      <c r="AB601" s="158"/>
    </row>
    <row r="602" customFormat="false" ht="15" hidden="true" customHeight="false" outlineLevel="0" collapsed="false">
      <c r="A602" s="172"/>
      <c r="B602" s="172"/>
      <c r="C602" s="161" t="str">
        <f aca="false">IF(LEFT(B602,2)="OS","QUILL FORMATION Valmont","QUILL FORMATION Ulman")</f>
        <v>QUILL FORMATION Ulman</v>
      </c>
      <c r="D602" s="43" t="str">
        <f aca="false">IF($A602="","",IF($C602="QUILL FORMATION Valmont",10,11))</f>
        <v/>
      </c>
      <c r="E602" s="151" t="str">
        <f aca="false">IF($A602="","",IFERROR(VLOOKUP($A602,Skills!$A:$C,2,FALSE())&amp;" "&amp;VLOOKUP($A602,Skills!$A:$C,3,FALSE()),"Haxil Dellhaven"))</f>
        <v/>
      </c>
      <c r="F602" s="43" t="str">
        <f aca="false">IF($A602="","",IFERROR(IF(VLOOKUP($A602,Skills!$A:$D,4,FALSE())="","",VLOOKUP($A602,Skills!$A:$D,4,FALSE())),"Lisbonne"))</f>
        <v/>
      </c>
      <c r="G602" s="47"/>
      <c r="H602" s="47" t="str">
        <f aca="false">IF(G602="","",WORKDAY(G602-1,D602+IF(J602="",0,J602)))</f>
        <v/>
      </c>
      <c r="I602" s="134"/>
      <c r="J602" s="135"/>
      <c r="K602" s="43" t="str">
        <f aca="true">IF(G602="","",MIN(D602,MAX(0,NETWORKDAYS(G602,TODAY())-IF(J602="",0,J602))))</f>
        <v/>
      </c>
      <c r="L602" s="43" t="str">
        <f aca="true">IF(G602="","",MAX(0,D602-(NETWORKDAYS(G602,TODAY())-IF(J602="",0,J602))))</f>
        <v/>
      </c>
      <c r="M602" s="173"/>
      <c r="N602" s="44" t="str">
        <f aca="true">IFERROR(IF(OR(K602="",K602&lt;=0),"",IF(TODAY()&gt;H602,1,IF(K602-1=0,0,INDEX(OBJECTIVES!$O$2:$Q$12,MATCH(K602-1,OBJECTIVES!$N$2:$N$12,0),IF($C602="QUILL FORMATION Valmont",2,1))))),"")</f>
        <v/>
      </c>
      <c r="O602" s="44" t="str">
        <f aca="false">IF(OR(N602="",M602=""),"",M602-N602)</f>
        <v/>
      </c>
      <c r="P602" s="155" t="str">
        <f aca="false">IF($Q602&lt;&gt;"",$Q602,IF(O602="","",IF(O602&lt;=-0.12,"P1",IF(O602&lt;=-0.06,"P2","P3"))))</f>
        <v/>
      </c>
      <c r="Q602" s="136"/>
      <c r="R602" s="155"/>
      <c r="S602" s="155"/>
      <c r="T602" s="134"/>
      <c r="U602" s="134"/>
      <c r="V602" s="134"/>
      <c r="W602" s="134"/>
      <c r="X602" s="134"/>
      <c r="Y602" s="134"/>
      <c r="Z602" s="134" t="str">
        <f aca="false">IF(R602="Terminé",IF(AND(G602&lt;&gt;"",I602&lt;&gt;""),NETWORKDAYS(G602,I602),D602),"")</f>
        <v/>
      </c>
      <c r="AA602" s="134" t="str">
        <f aca="false">IF($A602="","",IF(COUNTIF(Skills!$A:$A,$A602)=0,"⚠ ID absent du roster",""))</f>
        <v/>
      </c>
      <c r="AB602" s="158"/>
    </row>
    <row r="603" customFormat="false" ht="15" hidden="true" customHeight="false" outlineLevel="0" collapsed="false">
      <c r="A603" s="172"/>
      <c r="B603" s="172"/>
      <c r="C603" s="161" t="str">
        <f aca="false">IF(LEFT(B603,2)="OS","QUILL FORMATION Valmont","QUILL FORMATION Ulman")</f>
        <v>QUILL FORMATION Ulman</v>
      </c>
      <c r="D603" s="43" t="str">
        <f aca="false">IF($A603="","",IF($C603="QUILL FORMATION Valmont",10,11))</f>
        <v/>
      </c>
      <c r="E603" s="151" t="str">
        <f aca="false">IF($A603="","",IFERROR(VLOOKUP($A603,Skills!$A:$C,2,FALSE())&amp;" "&amp;VLOOKUP($A603,Skills!$A:$C,3,FALSE()),"Haxil Dellhaven"))</f>
        <v/>
      </c>
      <c r="F603" s="43" t="str">
        <f aca="false">IF($A603="","",IFERROR(IF(VLOOKUP($A603,Skills!$A:$D,4,FALSE())="","",VLOOKUP($A603,Skills!$A:$D,4,FALSE())),"Lisbonne"))</f>
        <v/>
      </c>
      <c r="G603" s="47"/>
      <c r="H603" s="47" t="str">
        <f aca="false">IF(G603="","",WORKDAY(G603-1,D603+IF(J603="",0,J603)))</f>
        <v/>
      </c>
      <c r="I603" s="134"/>
      <c r="J603" s="135"/>
      <c r="K603" s="43" t="str">
        <f aca="true">IF(G603="","",MIN(D603,MAX(0,NETWORKDAYS(G603,TODAY())-IF(J603="",0,J603))))</f>
        <v/>
      </c>
      <c r="L603" s="43" t="str">
        <f aca="true">IF(G603="","",MAX(0,D603-(NETWORKDAYS(G603,TODAY())-IF(J603="",0,J603))))</f>
        <v/>
      </c>
      <c r="M603" s="173"/>
      <c r="N603" s="44" t="str">
        <f aca="true">IFERROR(IF(OR(K603="",K603&lt;=0),"",IF(TODAY()&gt;H603,1,IF(K603-1=0,0,INDEX(OBJECTIVES!$O$2:$Q$12,MATCH(K603-1,OBJECTIVES!$N$2:$N$12,0),IF($C603="QUILL FORMATION Valmont",2,1))))),"")</f>
        <v/>
      </c>
      <c r="O603" s="44" t="str">
        <f aca="false">IF(OR(N603="",M603=""),"",M603-N603)</f>
        <v/>
      </c>
      <c r="P603" s="155" t="str">
        <f aca="false">IF($Q603&lt;&gt;"",$Q603,IF(O603="","",IF(O603&lt;=-0.12,"P1",IF(O603&lt;=-0.06,"P2","P3"))))</f>
        <v/>
      </c>
      <c r="Q603" s="136"/>
      <c r="R603" s="155"/>
      <c r="S603" s="155"/>
      <c r="T603" s="134"/>
      <c r="U603" s="134"/>
      <c r="V603" s="134"/>
      <c r="W603" s="134"/>
      <c r="X603" s="134"/>
      <c r="Y603" s="134"/>
      <c r="Z603" s="134" t="str">
        <f aca="false">IF(R603="Terminé",IF(AND(G603&lt;&gt;"",I603&lt;&gt;""),NETWORKDAYS(G603,I603),D603),"")</f>
        <v/>
      </c>
      <c r="AA603" s="134" t="str">
        <f aca="false">IF($A603="","",IF(COUNTIF(Skills!$A:$A,$A603)=0,"⚠ ID absent du roster",""))</f>
        <v/>
      </c>
      <c r="AB603" s="158"/>
    </row>
    <row r="604" customFormat="false" ht="15" hidden="true" customHeight="false" outlineLevel="0" collapsed="false">
      <c r="A604" s="172"/>
      <c r="B604" s="172"/>
      <c r="C604" s="161" t="str">
        <f aca="false">IF(LEFT(B604,2)="OS","QUILL FORMATION Valmont","QUILL FORMATION Ulman")</f>
        <v>QUILL FORMATION Ulman</v>
      </c>
      <c r="D604" s="43" t="str">
        <f aca="false">IF($A604="","",IF($C604="QUILL FORMATION Valmont",10,11))</f>
        <v/>
      </c>
      <c r="E604" s="151" t="str">
        <f aca="false">IF($A604="","",IFERROR(VLOOKUP($A604,Skills!$A:$C,2,FALSE())&amp;" "&amp;VLOOKUP($A604,Skills!$A:$C,3,FALSE()),"Haxil Dellhaven"))</f>
        <v/>
      </c>
      <c r="F604" s="43" t="str">
        <f aca="false">IF($A604="","",IFERROR(IF(VLOOKUP($A604,Skills!$A:$D,4,FALSE())="","",VLOOKUP($A604,Skills!$A:$D,4,FALSE())),"Lisbonne"))</f>
        <v/>
      </c>
      <c r="G604" s="47"/>
      <c r="H604" s="47" t="str">
        <f aca="false">IF(G604="","",WORKDAY(G604-1,D604+IF(J604="",0,J604)))</f>
        <v/>
      </c>
      <c r="I604" s="134"/>
      <c r="J604" s="135"/>
      <c r="K604" s="43" t="str">
        <f aca="true">IF(G604="","",MIN(D604,MAX(0,NETWORKDAYS(G604,TODAY())-IF(J604="",0,J604))))</f>
        <v/>
      </c>
      <c r="L604" s="43" t="str">
        <f aca="true">IF(G604="","",MAX(0,D604-(NETWORKDAYS(G604,TODAY())-IF(J604="",0,J604))))</f>
        <v/>
      </c>
      <c r="M604" s="173"/>
      <c r="N604" s="44" t="str">
        <f aca="true">IFERROR(IF(OR(K604="",K604&lt;=0),"",IF(TODAY()&gt;H604,1,IF(K604-1=0,0,INDEX(OBJECTIVES!$O$2:$Q$12,MATCH(K604-1,OBJECTIVES!$N$2:$N$12,0),IF($C604="QUILL FORMATION Valmont",2,1))))),"")</f>
        <v/>
      </c>
      <c r="O604" s="44" t="str">
        <f aca="false">IF(OR(N604="",M604=""),"",M604-N604)</f>
        <v/>
      </c>
      <c r="P604" s="155" t="str">
        <f aca="false">IF($Q604&lt;&gt;"",$Q604,IF(O604="","",IF(O604&lt;=-0.12,"P1",IF(O604&lt;=-0.06,"P2","P3"))))</f>
        <v/>
      </c>
      <c r="Q604" s="136"/>
      <c r="R604" s="155"/>
      <c r="S604" s="155"/>
      <c r="T604" s="134"/>
      <c r="U604" s="134"/>
      <c r="V604" s="134"/>
      <c r="W604" s="134"/>
      <c r="X604" s="134"/>
      <c r="Y604" s="134"/>
      <c r="Z604" s="134" t="str">
        <f aca="false">IF(R604="Terminé",IF(AND(G604&lt;&gt;"",I604&lt;&gt;""),NETWORKDAYS(G604,I604),D604),"")</f>
        <v/>
      </c>
      <c r="AA604" s="134" t="str">
        <f aca="false">IF($A604="","",IF(COUNTIF(Skills!$A:$A,$A604)=0,"⚠ ID absent du roster",""))</f>
        <v/>
      </c>
      <c r="AB604" s="158"/>
    </row>
    <row r="605" customFormat="false" ht="15" hidden="true" customHeight="false" outlineLevel="0" collapsed="false">
      <c r="A605" s="172"/>
      <c r="B605" s="172"/>
      <c r="C605" s="161" t="str">
        <f aca="false">IF(LEFT(B605,2)="OS","QUILL FORMATION Valmont","QUILL FORMATION Ulman")</f>
        <v>QUILL FORMATION Ulman</v>
      </c>
      <c r="D605" s="43" t="str">
        <f aca="false">IF($A605="","",IF($C605="QUILL FORMATION Valmont",10,11))</f>
        <v/>
      </c>
      <c r="E605" s="151" t="str">
        <f aca="false">IF($A605="","",IFERROR(VLOOKUP($A605,Skills!$A:$C,2,FALSE())&amp;" "&amp;VLOOKUP($A605,Skills!$A:$C,3,FALSE()),"Haxil Dellhaven"))</f>
        <v/>
      </c>
      <c r="F605" s="43" t="str">
        <f aca="false">IF($A605="","",IFERROR(IF(VLOOKUP($A605,Skills!$A:$D,4,FALSE())="","",VLOOKUP($A605,Skills!$A:$D,4,FALSE())),"Lisbonne"))</f>
        <v/>
      </c>
      <c r="G605" s="47"/>
      <c r="H605" s="47" t="str">
        <f aca="false">IF(G605="","",WORKDAY(G605-1,D605+IF(J605="",0,J605)))</f>
        <v/>
      </c>
      <c r="I605" s="134"/>
      <c r="J605" s="135"/>
      <c r="K605" s="43" t="str">
        <f aca="true">IF(G605="","",MIN(D605,MAX(0,NETWORKDAYS(G605,TODAY())-IF(J605="",0,J605))))</f>
        <v/>
      </c>
      <c r="L605" s="43" t="str">
        <f aca="true">IF(G605="","",MAX(0,D605-(NETWORKDAYS(G605,TODAY())-IF(J605="",0,J605))))</f>
        <v/>
      </c>
      <c r="M605" s="173"/>
      <c r="N605" s="44" t="str">
        <f aca="true">IFERROR(IF(OR(K605="",K605&lt;=0),"",IF(TODAY()&gt;H605,1,IF(K605-1=0,0,INDEX(OBJECTIVES!$O$2:$Q$12,MATCH(K605-1,OBJECTIVES!$N$2:$N$12,0),IF($C605="QUILL FORMATION Valmont",2,1))))),"")</f>
        <v/>
      </c>
      <c r="O605" s="44" t="str">
        <f aca="false">IF(OR(N605="",M605=""),"",M605-N605)</f>
        <v/>
      </c>
      <c r="P605" s="155" t="str">
        <f aca="false">IF($Q605&lt;&gt;"",$Q605,IF(O605="","",IF(O605&lt;=-0.12,"P1",IF(O605&lt;=-0.06,"P2","P3"))))</f>
        <v/>
      </c>
      <c r="Q605" s="136"/>
      <c r="R605" s="155"/>
      <c r="S605" s="155"/>
      <c r="T605" s="134"/>
      <c r="U605" s="134"/>
      <c r="V605" s="134"/>
      <c r="W605" s="134"/>
      <c r="X605" s="134"/>
      <c r="Y605" s="134"/>
      <c r="Z605" s="134" t="str">
        <f aca="false">IF(R605="Terminé",IF(AND(G605&lt;&gt;"",I605&lt;&gt;""),NETWORKDAYS(G605,I605),D605),"")</f>
        <v/>
      </c>
      <c r="AA605" s="134" t="str">
        <f aca="false">IF($A605="","",IF(COUNTIF(Skills!$A:$A,$A605)=0,"⚠ ID absent du roster",""))</f>
        <v/>
      </c>
      <c r="AB605" s="158"/>
    </row>
    <row r="606" customFormat="false" ht="15" hidden="true" customHeight="false" outlineLevel="0" collapsed="false">
      <c r="A606" s="172"/>
      <c r="B606" s="172"/>
      <c r="C606" s="161" t="str">
        <f aca="false">IF(LEFT(B606,2)="OS","QUILL FORMATION Valmont","QUILL FORMATION Ulman")</f>
        <v>QUILL FORMATION Ulman</v>
      </c>
      <c r="D606" s="43" t="str">
        <f aca="false">IF($A606="","",IF($C606="QUILL FORMATION Valmont",10,11))</f>
        <v/>
      </c>
      <c r="E606" s="151" t="str">
        <f aca="false">IF($A606="","",IFERROR(VLOOKUP($A606,Skills!$A:$C,2,FALSE())&amp;" "&amp;VLOOKUP($A606,Skills!$A:$C,3,FALSE()),"Haxil Dellhaven"))</f>
        <v/>
      </c>
      <c r="F606" s="43" t="str">
        <f aca="false">IF($A606="","",IFERROR(IF(VLOOKUP($A606,Skills!$A:$D,4,FALSE())="","",VLOOKUP($A606,Skills!$A:$D,4,FALSE())),"Lisbonne"))</f>
        <v/>
      </c>
      <c r="G606" s="47"/>
      <c r="H606" s="47" t="str">
        <f aca="false">IF(G606="","",WORKDAY(G606-1,D606+IF(J606="",0,J606)))</f>
        <v/>
      </c>
      <c r="I606" s="134"/>
      <c r="J606" s="135"/>
      <c r="K606" s="43" t="str">
        <f aca="true">IF(G606="","",MIN(D606,MAX(0,NETWORKDAYS(G606,TODAY())-IF(J606="",0,J606))))</f>
        <v/>
      </c>
      <c r="L606" s="43" t="str">
        <f aca="true">IF(G606="","",MAX(0,D606-(NETWORKDAYS(G606,TODAY())-IF(J606="",0,J606))))</f>
        <v/>
      </c>
      <c r="M606" s="173"/>
      <c r="N606" s="44" t="str">
        <f aca="true">IFERROR(IF(OR(K606="",K606&lt;=0),"",IF(TODAY()&gt;H606,1,IF(K606-1=0,0,INDEX(OBJECTIVES!$O$2:$Q$12,MATCH(K606-1,OBJECTIVES!$N$2:$N$12,0),IF($C606="QUILL FORMATION Valmont",2,1))))),"")</f>
        <v/>
      </c>
      <c r="O606" s="44" t="str">
        <f aca="false">IF(OR(N606="",M606=""),"",M606-N606)</f>
        <v/>
      </c>
      <c r="P606" s="155" t="str">
        <f aca="false">IF($Q606&lt;&gt;"",$Q606,IF(O606="","",IF(O606&lt;=-0.12,"P1",IF(O606&lt;=-0.06,"P2","P3"))))</f>
        <v/>
      </c>
      <c r="Q606" s="136"/>
      <c r="R606" s="155"/>
      <c r="S606" s="155"/>
      <c r="T606" s="134"/>
      <c r="U606" s="134"/>
      <c r="V606" s="134"/>
      <c r="W606" s="134"/>
      <c r="X606" s="134"/>
      <c r="Y606" s="134"/>
      <c r="Z606" s="134" t="str">
        <f aca="false">IF(R606="Terminé",IF(AND(G606&lt;&gt;"",I606&lt;&gt;""),NETWORKDAYS(G606,I606),D606),"")</f>
        <v/>
      </c>
      <c r="AA606" s="134" t="str">
        <f aca="false">IF($A606="","",IF(COUNTIF(Skills!$A:$A,$A606)=0,"⚠ ID absent du roster",""))</f>
        <v/>
      </c>
      <c r="AB606" s="158"/>
    </row>
    <row r="607" customFormat="false" ht="15" hidden="true" customHeight="false" outlineLevel="0" collapsed="false">
      <c r="A607" s="172"/>
      <c r="B607" s="172"/>
      <c r="C607" s="161" t="str">
        <f aca="false">IF(LEFT(B607,2)="OS","QUILL FORMATION Valmont","QUILL FORMATION Ulman")</f>
        <v>QUILL FORMATION Ulman</v>
      </c>
      <c r="D607" s="43" t="str">
        <f aca="false">IF($A607="","",IF($C607="QUILL FORMATION Valmont",10,11))</f>
        <v/>
      </c>
      <c r="E607" s="151" t="str">
        <f aca="false">IF($A607="","",IFERROR(VLOOKUP($A607,Skills!$A:$C,2,FALSE())&amp;" "&amp;VLOOKUP($A607,Skills!$A:$C,3,FALSE()),"Haxil Dellhaven"))</f>
        <v/>
      </c>
      <c r="F607" s="43" t="str">
        <f aca="false">IF($A607="","",IFERROR(IF(VLOOKUP($A607,Skills!$A:$D,4,FALSE())="","",VLOOKUP($A607,Skills!$A:$D,4,FALSE())),"Lisbonne"))</f>
        <v/>
      </c>
      <c r="G607" s="47"/>
      <c r="H607" s="47" t="str">
        <f aca="false">IF(G607="","",WORKDAY(G607-1,D607+IF(J607="",0,J607)))</f>
        <v/>
      </c>
      <c r="I607" s="134"/>
      <c r="J607" s="135"/>
      <c r="K607" s="43" t="str">
        <f aca="true">IF(G607="","",MIN(D607,MAX(0,NETWORKDAYS(G607,TODAY())-IF(J607="",0,J607))))</f>
        <v/>
      </c>
      <c r="L607" s="43" t="str">
        <f aca="true">IF(G607="","",MAX(0,D607-(NETWORKDAYS(G607,TODAY())-IF(J607="",0,J607))))</f>
        <v/>
      </c>
      <c r="M607" s="173"/>
      <c r="N607" s="44" t="str">
        <f aca="true">IFERROR(IF(OR(K607="",K607&lt;=0),"",IF(TODAY()&gt;H607,1,IF(K607-1=0,0,INDEX(OBJECTIVES!$O$2:$Q$12,MATCH(K607-1,OBJECTIVES!$N$2:$N$12,0),IF($C607="QUILL FORMATION Valmont",2,1))))),"")</f>
        <v/>
      </c>
      <c r="O607" s="44" t="str">
        <f aca="false">IF(OR(N607="",M607=""),"",M607-N607)</f>
        <v/>
      </c>
      <c r="P607" s="155" t="str">
        <f aca="false">IF($Q607&lt;&gt;"",$Q607,IF(O607="","",IF(O607&lt;=-0.12,"P1",IF(O607&lt;=-0.06,"P2","P3"))))</f>
        <v/>
      </c>
      <c r="Q607" s="136"/>
      <c r="R607" s="155"/>
      <c r="S607" s="155"/>
      <c r="T607" s="134"/>
      <c r="U607" s="134"/>
      <c r="V607" s="134"/>
      <c r="W607" s="134"/>
      <c r="X607" s="134"/>
      <c r="Y607" s="134"/>
      <c r="Z607" s="134" t="str">
        <f aca="false">IF(R607="Terminé",IF(AND(G607&lt;&gt;"",I607&lt;&gt;""),NETWORKDAYS(G607,I607),D607),"")</f>
        <v/>
      </c>
      <c r="AA607" s="134" t="str">
        <f aca="false">IF($A607="","",IF(COUNTIF(Skills!$A:$A,$A607)=0,"⚠ ID absent du roster",""))</f>
        <v/>
      </c>
      <c r="AB607" s="158"/>
    </row>
    <row r="608" customFormat="false" ht="15" hidden="true" customHeight="false" outlineLevel="0" collapsed="false">
      <c r="A608" s="172"/>
      <c r="B608" s="172"/>
      <c r="C608" s="161" t="str">
        <f aca="false">IF(LEFT(B608,2)="OS","QUILL FORMATION Valmont","QUILL FORMATION Ulman")</f>
        <v>QUILL FORMATION Ulman</v>
      </c>
      <c r="D608" s="43" t="str">
        <f aca="false">IF($A608="","",IF($C608="QUILL FORMATION Valmont",10,11))</f>
        <v/>
      </c>
      <c r="E608" s="151" t="str">
        <f aca="false">IF($A608="","",IFERROR(VLOOKUP($A608,Skills!$A:$C,2,FALSE())&amp;" "&amp;VLOOKUP($A608,Skills!$A:$C,3,FALSE()),"Haxil Dellhaven"))</f>
        <v/>
      </c>
      <c r="F608" s="43" t="str">
        <f aca="false">IF($A608="","",IFERROR(IF(VLOOKUP($A608,Skills!$A:$D,4,FALSE())="","",VLOOKUP($A608,Skills!$A:$D,4,FALSE())),"Lisbonne"))</f>
        <v/>
      </c>
      <c r="G608" s="47"/>
      <c r="H608" s="47" t="str">
        <f aca="false">IF(G608="","",WORKDAY(G608-1,D608+IF(J608="",0,J608)))</f>
        <v/>
      </c>
      <c r="I608" s="134"/>
      <c r="J608" s="135"/>
      <c r="K608" s="43" t="str">
        <f aca="true">IF(G608="","",MIN(D608,MAX(0,NETWORKDAYS(G608,TODAY())-IF(J608="",0,J608))))</f>
        <v/>
      </c>
      <c r="L608" s="43" t="str">
        <f aca="true">IF(G608="","",MAX(0,D608-(NETWORKDAYS(G608,TODAY())-IF(J608="",0,J608))))</f>
        <v/>
      </c>
      <c r="M608" s="173"/>
      <c r="N608" s="44" t="str">
        <f aca="true">IFERROR(IF(OR(K608="",K608&lt;=0),"",IF(TODAY()&gt;H608,1,IF(K608-1=0,0,INDEX(OBJECTIVES!$O$2:$Q$12,MATCH(K608-1,OBJECTIVES!$N$2:$N$12,0),IF($C608="QUILL FORMATION Valmont",2,1))))),"")</f>
        <v/>
      </c>
      <c r="O608" s="44" t="str">
        <f aca="false">IF(OR(N608="",M608=""),"",M608-N608)</f>
        <v/>
      </c>
      <c r="P608" s="155" t="str">
        <f aca="false">IF($Q608&lt;&gt;"",$Q608,IF(O608="","",IF(O608&lt;=-0.12,"P1",IF(O608&lt;=-0.06,"P2","P3"))))</f>
        <v/>
      </c>
      <c r="Q608" s="136"/>
      <c r="R608" s="155"/>
      <c r="S608" s="155"/>
      <c r="T608" s="134"/>
      <c r="U608" s="134"/>
      <c r="V608" s="134"/>
      <c r="W608" s="134"/>
      <c r="X608" s="134"/>
      <c r="Y608" s="134"/>
      <c r="Z608" s="134" t="str">
        <f aca="false">IF(R608="Terminé",IF(AND(G608&lt;&gt;"",I608&lt;&gt;""),NETWORKDAYS(G608,I608),D608),"")</f>
        <v/>
      </c>
      <c r="AA608" s="134" t="str">
        <f aca="false">IF($A608="","",IF(COUNTIF(Skills!$A:$A,$A608)=0,"⚠ ID absent du roster",""))</f>
        <v/>
      </c>
      <c r="AB608" s="158"/>
    </row>
    <row r="609" customFormat="false" ht="15" hidden="true" customHeight="false" outlineLevel="0" collapsed="false">
      <c r="A609" s="172"/>
      <c r="B609" s="172"/>
      <c r="C609" s="161" t="str">
        <f aca="false">IF(LEFT(B609,2)="OS","QUILL FORMATION Valmont","QUILL FORMATION Ulman")</f>
        <v>QUILL FORMATION Ulman</v>
      </c>
      <c r="D609" s="43" t="str">
        <f aca="false">IF($A609="","",IF($C609="QUILL FORMATION Valmont",10,11))</f>
        <v/>
      </c>
      <c r="E609" s="151" t="str">
        <f aca="false">IF($A609="","",IFERROR(VLOOKUP($A609,Skills!$A:$C,2,FALSE())&amp;" "&amp;VLOOKUP($A609,Skills!$A:$C,3,FALSE()),"Haxil Dellhaven"))</f>
        <v/>
      </c>
      <c r="F609" s="43" t="str">
        <f aca="false">IF($A609="","",IFERROR(IF(VLOOKUP($A609,Skills!$A:$D,4,FALSE())="","",VLOOKUP($A609,Skills!$A:$D,4,FALSE())),"Lisbonne"))</f>
        <v/>
      </c>
      <c r="G609" s="47"/>
      <c r="H609" s="47" t="str">
        <f aca="false">IF(G609="","",WORKDAY(G609-1,D609+IF(J609="",0,J609)))</f>
        <v/>
      </c>
      <c r="I609" s="134"/>
      <c r="J609" s="135"/>
      <c r="K609" s="43" t="str">
        <f aca="true">IF(G609="","",MIN(D609,MAX(0,NETWORKDAYS(G609,TODAY())-IF(J609="",0,J609))))</f>
        <v/>
      </c>
      <c r="L609" s="43" t="str">
        <f aca="true">IF(G609="","",MAX(0,D609-(NETWORKDAYS(G609,TODAY())-IF(J609="",0,J609))))</f>
        <v/>
      </c>
      <c r="M609" s="173"/>
      <c r="N609" s="44" t="str">
        <f aca="true">IFERROR(IF(OR(K609="",K609&lt;=0),"",IF(TODAY()&gt;H609,1,IF(K609-1=0,0,INDEX(OBJECTIVES!$O$2:$Q$12,MATCH(K609-1,OBJECTIVES!$N$2:$N$12,0),IF($C609="QUILL FORMATION Valmont",2,1))))),"")</f>
        <v/>
      </c>
      <c r="O609" s="44" t="str">
        <f aca="false">IF(OR(N609="",M609=""),"",M609-N609)</f>
        <v/>
      </c>
      <c r="P609" s="155" t="str">
        <f aca="false">IF($Q609&lt;&gt;"",$Q609,IF(O609="","",IF(O609&lt;=-0.12,"P1",IF(O609&lt;=-0.06,"P2","P3"))))</f>
        <v/>
      </c>
      <c r="Q609" s="136"/>
      <c r="R609" s="155"/>
      <c r="S609" s="155"/>
      <c r="T609" s="134"/>
      <c r="U609" s="134"/>
      <c r="V609" s="134"/>
      <c r="W609" s="134"/>
      <c r="X609" s="134"/>
      <c r="Y609" s="134"/>
      <c r="Z609" s="134" t="str">
        <f aca="false">IF(R609="Terminé",IF(AND(G609&lt;&gt;"",I609&lt;&gt;""),NETWORKDAYS(G609,I609),D609),"")</f>
        <v/>
      </c>
      <c r="AA609" s="134" t="str">
        <f aca="false">IF($A609="","",IF(COUNTIF(Skills!$A:$A,$A609)=0,"⚠ ID absent du roster",""))</f>
        <v/>
      </c>
      <c r="AB609" s="158"/>
    </row>
    <row r="610" customFormat="false" ht="15" hidden="true" customHeight="false" outlineLevel="0" collapsed="false">
      <c r="A610" s="172"/>
      <c r="B610" s="172"/>
      <c r="C610" s="161" t="str">
        <f aca="false">IF(LEFT(B610,2)="OS","QUILL FORMATION Valmont","QUILL FORMATION Ulman")</f>
        <v>QUILL FORMATION Ulman</v>
      </c>
      <c r="D610" s="43" t="str">
        <f aca="false">IF($A610="","",IF($C610="QUILL FORMATION Valmont",10,11))</f>
        <v/>
      </c>
      <c r="E610" s="151" t="str">
        <f aca="false">IF($A610="","",IFERROR(VLOOKUP($A610,Skills!$A:$C,2,FALSE())&amp;" "&amp;VLOOKUP($A610,Skills!$A:$C,3,FALSE()),"Haxil Dellhaven"))</f>
        <v/>
      </c>
      <c r="F610" s="43" t="str">
        <f aca="false">IF($A610="","",IFERROR(IF(VLOOKUP($A610,Skills!$A:$D,4,FALSE())="","",VLOOKUP($A610,Skills!$A:$D,4,FALSE())),"Lisbonne"))</f>
        <v/>
      </c>
      <c r="G610" s="47"/>
      <c r="H610" s="47" t="str">
        <f aca="false">IF(G610="","",WORKDAY(G610-1,D610+IF(J610="",0,J610)))</f>
        <v/>
      </c>
      <c r="I610" s="134"/>
      <c r="J610" s="135"/>
      <c r="K610" s="43" t="str">
        <f aca="true">IF(G610="","",MIN(D610,MAX(0,NETWORKDAYS(G610,TODAY())-IF(J610="",0,J610))))</f>
        <v/>
      </c>
      <c r="L610" s="43" t="str">
        <f aca="true">IF(G610="","",MAX(0,D610-(NETWORKDAYS(G610,TODAY())-IF(J610="",0,J610))))</f>
        <v/>
      </c>
      <c r="M610" s="173"/>
      <c r="N610" s="44" t="str">
        <f aca="true">IFERROR(IF(OR(K610="",K610&lt;=0),"",IF(TODAY()&gt;H610,1,IF(K610-1=0,0,INDEX(OBJECTIVES!$O$2:$Q$12,MATCH(K610-1,OBJECTIVES!$N$2:$N$12,0),IF($C610="QUILL FORMATION Valmont",2,1))))),"")</f>
        <v/>
      </c>
      <c r="O610" s="44" t="str">
        <f aca="false">IF(OR(N610="",M610=""),"",M610-N610)</f>
        <v/>
      </c>
      <c r="P610" s="155" t="str">
        <f aca="false">IF($Q610&lt;&gt;"",$Q610,IF(O610="","",IF(O610&lt;=-0.12,"P1",IF(O610&lt;=-0.06,"P2","P3"))))</f>
        <v/>
      </c>
      <c r="Q610" s="136"/>
      <c r="R610" s="155"/>
      <c r="S610" s="155"/>
      <c r="T610" s="134"/>
      <c r="U610" s="134"/>
      <c r="V610" s="134"/>
      <c r="W610" s="134"/>
      <c r="X610" s="134"/>
      <c r="Y610" s="134"/>
      <c r="Z610" s="134" t="str">
        <f aca="false">IF(R610="Terminé",IF(AND(G610&lt;&gt;"",I610&lt;&gt;""),NETWORKDAYS(G610,I610),D610),"")</f>
        <v/>
      </c>
      <c r="AA610" s="134" t="str">
        <f aca="false">IF($A610="","",IF(COUNTIF(Skills!$A:$A,$A610)=0,"⚠ ID absent du roster",""))</f>
        <v/>
      </c>
      <c r="AB610" s="158"/>
    </row>
    <row r="611" customFormat="false" ht="15" hidden="true" customHeight="false" outlineLevel="0" collapsed="false">
      <c r="A611" s="172"/>
      <c r="B611" s="172"/>
      <c r="C611" s="161" t="str">
        <f aca="false">IF(LEFT(B611,2)="OS","QUILL FORMATION Valmont","QUILL FORMATION Ulman")</f>
        <v>QUILL FORMATION Ulman</v>
      </c>
      <c r="D611" s="43" t="str">
        <f aca="false">IF($A611="","",IF($C611="QUILL FORMATION Valmont",10,11))</f>
        <v/>
      </c>
      <c r="E611" s="151" t="str">
        <f aca="false">IF($A611="","",IFERROR(VLOOKUP($A611,Skills!$A:$C,2,FALSE())&amp;" "&amp;VLOOKUP($A611,Skills!$A:$C,3,FALSE()),"Haxil Dellhaven"))</f>
        <v/>
      </c>
      <c r="F611" s="43" t="str">
        <f aca="false">IF($A611="","",IFERROR(IF(VLOOKUP($A611,Skills!$A:$D,4,FALSE())="","",VLOOKUP($A611,Skills!$A:$D,4,FALSE())),"Lisbonne"))</f>
        <v/>
      </c>
      <c r="G611" s="47"/>
      <c r="H611" s="47" t="str">
        <f aca="false">IF(G611="","",WORKDAY(G611-1,D611+IF(J611="",0,J611)))</f>
        <v/>
      </c>
      <c r="I611" s="134"/>
      <c r="J611" s="135"/>
      <c r="K611" s="43" t="str">
        <f aca="true">IF(G611="","",MIN(D611,MAX(0,NETWORKDAYS(G611,TODAY())-IF(J611="",0,J611))))</f>
        <v/>
      </c>
      <c r="L611" s="43" t="str">
        <f aca="true">IF(G611="","",MAX(0,D611-(NETWORKDAYS(G611,TODAY())-IF(J611="",0,J611))))</f>
        <v/>
      </c>
      <c r="M611" s="173"/>
      <c r="N611" s="44" t="str">
        <f aca="true">IFERROR(IF(OR(K611="",K611&lt;=0),"",IF(TODAY()&gt;H611,1,IF(K611-1=0,0,INDEX(OBJECTIVES!$O$2:$Q$12,MATCH(K611-1,OBJECTIVES!$N$2:$N$12,0),IF($C611="QUILL FORMATION Valmont",2,1))))),"")</f>
        <v/>
      </c>
      <c r="O611" s="44" t="str">
        <f aca="false">IF(OR(N611="",M611=""),"",M611-N611)</f>
        <v/>
      </c>
      <c r="P611" s="155" t="str">
        <f aca="false">IF($Q611&lt;&gt;"",$Q611,IF(O611="","",IF(O611&lt;=-0.12,"P1",IF(O611&lt;=-0.06,"P2","P3"))))</f>
        <v/>
      </c>
      <c r="Q611" s="136"/>
      <c r="R611" s="155"/>
      <c r="S611" s="155"/>
      <c r="T611" s="134"/>
      <c r="U611" s="134"/>
      <c r="V611" s="134"/>
      <c r="W611" s="134"/>
      <c r="X611" s="134"/>
      <c r="Y611" s="134"/>
      <c r="Z611" s="134" t="str">
        <f aca="false">IF(R611="Terminé",IF(AND(G611&lt;&gt;"",I611&lt;&gt;""),NETWORKDAYS(G611,I611),D611),"")</f>
        <v/>
      </c>
      <c r="AA611" s="134" t="str">
        <f aca="false">IF($A611="","",IF(COUNTIF(Skills!$A:$A,$A611)=0,"⚠ ID absent du roster",""))</f>
        <v/>
      </c>
      <c r="AB611" s="158"/>
    </row>
    <row r="612" customFormat="false" ht="15" hidden="true" customHeight="false" outlineLevel="0" collapsed="false">
      <c r="A612" s="172"/>
      <c r="B612" s="172"/>
      <c r="C612" s="161" t="str">
        <f aca="false">IF(LEFT(B612,2)="OS","QUILL FORMATION Valmont","QUILL FORMATION Ulman")</f>
        <v>QUILL FORMATION Ulman</v>
      </c>
      <c r="D612" s="43" t="str">
        <f aca="false">IF($A612="","",IF($C612="QUILL FORMATION Valmont",10,11))</f>
        <v/>
      </c>
      <c r="E612" s="151" t="str">
        <f aca="false">IF($A612="","",IFERROR(VLOOKUP($A612,Skills!$A:$C,2,FALSE())&amp;" "&amp;VLOOKUP($A612,Skills!$A:$C,3,FALSE()),"Haxil Dellhaven"))</f>
        <v/>
      </c>
      <c r="F612" s="43" t="str">
        <f aca="false">IF($A612="","",IFERROR(IF(VLOOKUP($A612,Skills!$A:$D,4,FALSE())="","",VLOOKUP($A612,Skills!$A:$D,4,FALSE())),"Lisbonne"))</f>
        <v/>
      </c>
      <c r="G612" s="47"/>
      <c r="H612" s="47" t="str">
        <f aca="false">IF(G612="","",WORKDAY(G612-1,D612+IF(J612="",0,J612)))</f>
        <v/>
      </c>
      <c r="I612" s="134"/>
      <c r="J612" s="135"/>
      <c r="K612" s="43" t="str">
        <f aca="true">IF(G612="","",MIN(D612,MAX(0,NETWORKDAYS(G612,TODAY())-IF(J612="",0,J612))))</f>
        <v/>
      </c>
      <c r="L612" s="43" t="str">
        <f aca="true">IF(G612="","",MAX(0,D612-(NETWORKDAYS(G612,TODAY())-IF(J612="",0,J612))))</f>
        <v/>
      </c>
      <c r="M612" s="173"/>
      <c r="N612" s="44" t="str">
        <f aca="true">IFERROR(IF(OR(K612="",K612&lt;=0),"",IF(TODAY()&gt;H612,1,IF(K612-1=0,0,INDEX(OBJECTIVES!$O$2:$Q$12,MATCH(K612-1,OBJECTIVES!$N$2:$N$12,0),IF($C612="QUILL FORMATION Valmont",2,1))))),"")</f>
        <v/>
      </c>
      <c r="O612" s="44" t="str">
        <f aca="false">IF(OR(N612="",M612=""),"",M612-N612)</f>
        <v/>
      </c>
      <c r="P612" s="155" t="str">
        <f aca="false">IF($Q612&lt;&gt;"",$Q612,IF(O612="","",IF(O612&lt;=-0.12,"P1",IF(O612&lt;=-0.06,"P2","P3"))))</f>
        <v/>
      </c>
      <c r="Q612" s="136"/>
      <c r="R612" s="155"/>
      <c r="S612" s="155"/>
      <c r="T612" s="134"/>
      <c r="U612" s="134"/>
      <c r="V612" s="134"/>
      <c r="W612" s="134"/>
      <c r="X612" s="134"/>
      <c r="Y612" s="134"/>
      <c r="Z612" s="134" t="str">
        <f aca="false">IF(R612="Terminé",IF(AND(G612&lt;&gt;"",I612&lt;&gt;""),NETWORKDAYS(G612,I612),D612),"")</f>
        <v/>
      </c>
      <c r="AA612" s="134" t="str">
        <f aca="false">IF($A612="","",IF(COUNTIF(Skills!$A:$A,$A612)=0,"⚠ ID absent du roster",""))</f>
        <v/>
      </c>
      <c r="AB612" s="158"/>
    </row>
    <row r="613" customFormat="false" ht="15" hidden="true" customHeight="false" outlineLevel="0" collapsed="false">
      <c r="A613" s="172"/>
      <c r="B613" s="172"/>
      <c r="C613" s="161" t="str">
        <f aca="false">IF(LEFT(B613,2)="OS","QUILL FORMATION Valmont","QUILL FORMATION Ulman")</f>
        <v>QUILL FORMATION Ulman</v>
      </c>
      <c r="D613" s="43" t="str">
        <f aca="false">IF($A613="","",IF($C613="QUILL FORMATION Valmont",10,11))</f>
        <v/>
      </c>
      <c r="E613" s="151" t="str">
        <f aca="false">IF($A613="","",IFERROR(VLOOKUP($A613,Skills!$A:$C,2,FALSE())&amp;" "&amp;VLOOKUP($A613,Skills!$A:$C,3,FALSE()),"Haxil Dellhaven"))</f>
        <v/>
      </c>
      <c r="F613" s="43" t="str">
        <f aca="false">IF($A613="","",IFERROR(IF(VLOOKUP($A613,Skills!$A:$D,4,FALSE())="","",VLOOKUP($A613,Skills!$A:$D,4,FALSE())),"Lisbonne"))</f>
        <v/>
      </c>
      <c r="G613" s="47"/>
      <c r="H613" s="47" t="str">
        <f aca="false">IF(G613="","",WORKDAY(G613-1,D613+IF(J613="",0,J613)))</f>
        <v/>
      </c>
      <c r="I613" s="134"/>
      <c r="J613" s="135"/>
      <c r="K613" s="43" t="str">
        <f aca="true">IF(G613="","",MIN(D613,MAX(0,NETWORKDAYS(G613,TODAY())-IF(J613="",0,J613))))</f>
        <v/>
      </c>
      <c r="L613" s="43" t="str">
        <f aca="true">IF(G613="","",MAX(0,D613-(NETWORKDAYS(G613,TODAY())-IF(J613="",0,J613))))</f>
        <v/>
      </c>
      <c r="M613" s="173"/>
      <c r="N613" s="44" t="str">
        <f aca="true">IFERROR(IF(OR(K613="",K613&lt;=0),"",IF(TODAY()&gt;H613,1,IF(K613-1=0,0,INDEX(OBJECTIVES!$O$2:$Q$12,MATCH(K613-1,OBJECTIVES!$N$2:$N$12,0),IF($C613="QUILL FORMATION Valmont",2,1))))),"")</f>
        <v/>
      </c>
      <c r="O613" s="44" t="str">
        <f aca="false">IF(OR(N613="",M613=""),"",M613-N613)</f>
        <v/>
      </c>
      <c r="P613" s="155" t="str">
        <f aca="false">IF($Q613&lt;&gt;"",$Q613,IF(O613="","",IF(O613&lt;=-0.12,"P1",IF(O613&lt;=-0.06,"P2","P3"))))</f>
        <v/>
      </c>
      <c r="Q613" s="136"/>
      <c r="R613" s="155"/>
      <c r="S613" s="155"/>
      <c r="T613" s="134"/>
      <c r="U613" s="134"/>
      <c r="V613" s="134"/>
      <c r="W613" s="134"/>
      <c r="X613" s="134"/>
      <c r="Y613" s="134"/>
      <c r="Z613" s="134" t="str">
        <f aca="false">IF(R613="Terminé",IF(AND(G613&lt;&gt;"",I613&lt;&gt;""),NETWORKDAYS(G613,I613),D613),"")</f>
        <v/>
      </c>
      <c r="AA613" s="134" t="str">
        <f aca="false">IF($A613="","",IF(COUNTIF(Skills!$A:$A,$A613)=0,"⚠ ID absent du roster",""))</f>
        <v/>
      </c>
      <c r="AB613" s="158"/>
    </row>
    <row r="614" customFormat="false" ht="15" hidden="true" customHeight="false" outlineLevel="0" collapsed="false">
      <c r="A614" s="172"/>
      <c r="B614" s="172"/>
      <c r="C614" s="161" t="str">
        <f aca="false">IF(LEFT(B614,2)="OS","QUILL FORMATION Valmont","QUILL FORMATION Ulman")</f>
        <v>QUILL FORMATION Ulman</v>
      </c>
      <c r="D614" s="43" t="str">
        <f aca="false">IF($A614="","",IF($C614="QUILL FORMATION Valmont",10,11))</f>
        <v/>
      </c>
      <c r="E614" s="151" t="str">
        <f aca="false">IF($A614="","",IFERROR(VLOOKUP($A614,Skills!$A:$C,2,FALSE())&amp;" "&amp;VLOOKUP($A614,Skills!$A:$C,3,FALSE()),"Haxil Dellhaven"))</f>
        <v/>
      </c>
      <c r="F614" s="43" t="str">
        <f aca="false">IF($A614="","",IFERROR(IF(VLOOKUP($A614,Skills!$A:$D,4,FALSE())="","",VLOOKUP($A614,Skills!$A:$D,4,FALSE())),"Lisbonne"))</f>
        <v/>
      </c>
      <c r="G614" s="47"/>
      <c r="H614" s="47" t="str">
        <f aca="false">IF(G614="","",WORKDAY(G614-1,D614+IF(J614="",0,J614)))</f>
        <v/>
      </c>
      <c r="I614" s="134"/>
      <c r="J614" s="135"/>
      <c r="K614" s="43" t="str">
        <f aca="true">IF(G614="","",MIN(D614,MAX(0,NETWORKDAYS(G614,TODAY())-IF(J614="",0,J614))))</f>
        <v/>
      </c>
      <c r="L614" s="43" t="str">
        <f aca="true">IF(G614="","",MAX(0,D614-(NETWORKDAYS(G614,TODAY())-IF(J614="",0,J614))))</f>
        <v/>
      </c>
      <c r="M614" s="173"/>
      <c r="N614" s="44" t="str">
        <f aca="true">IFERROR(IF(OR(K614="",K614&lt;=0),"",IF(TODAY()&gt;H614,1,IF(K614-1=0,0,INDEX(OBJECTIVES!$O$2:$Q$12,MATCH(K614-1,OBJECTIVES!$N$2:$N$12,0),IF($C614="QUILL FORMATION Valmont",2,1))))),"")</f>
        <v/>
      </c>
      <c r="O614" s="44" t="str">
        <f aca="false">IF(OR(N614="",M614=""),"",M614-N614)</f>
        <v/>
      </c>
      <c r="P614" s="155" t="str">
        <f aca="false">IF($Q614&lt;&gt;"",$Q614,IF(O614="","",IF(O614&lt;=-0.12,"P1",IF(O614&lt;=-0.06,"P2","P3"))))</f>
        <v/>
      </c>
      <c r="Q614" s="136"/>
      <c r="R614" s="155"/>
      <c r="S614" s="155"/>
      <c r="T614" s="134"/>
      <c r="U614" s="134"/>
      <c r="V614" s="134"/>
      <c r="W614" s="134"/>
      <c r="X614" s="134"/>
      <c r="Y614" s="134"/>
      <c r="Z614" s="134" t="str">
        <f aca="false">IF(R614="Terminé",IF(AND(G614&lt;&gt;"",I614&lt;&gt;""),NETWORKDAYS(G614,I614),D614),"")</f>
        <v/>
      </c>
      <c r="AA614" s="134" t="str">
        <f aca="false">IF($A614="","",IF(COUNTIF(Skills!$A:$A,$A614)=0,"⚠ ID absent du roster",""))</f>
        <v/>
      </c>
      <c r="AB614" s="158"/>
    </row>
    <row r="615" customFormat="false" ht="15" hidden="true" customHeight="false" outlineLevel="0" collapsed="false">
      <c r="A615" s="172"/>
      <c r="B615" s="172"/>
      <c r="C615" s="161" t="str">
        <f aca="false">IF(LEFT(B615,2)="OS","QUILL FORMATION Valmont","QUILL FORMATION Ulman")</f>
        <v>QUILL FORMATION Ulman</v>
      </c>
      <c r="D615" s="43" t="str">
        <f aca="false">IF($A615="","",IF($C615="QUILL FORMATION Valmont",10,11))</f>
        <v/>
      </c>
      <c r="E615" s="151" t="str">
        <f aca="false">IF($A615="","",IFERROR(VLOOKUP($A615,Skills!$A:$C,2,FALSE())&amp;" "&amp;VLOOKUP($A615,Skills!$A:$C,3,FALSE()),"Haxil Dellhaven"))</f>
        <v/>
      </c>
      <c r="F615" s="43" t="str">
        <f aca="false">IF($A615="","",IFERROR(IF(VLOOKUP($A615,Skills!$A:$D,4,FALSE())="","",VLOOKUP($A615,Skills!$A:$D,4,FALSE())),"Lisbonne"))</f>
        <v/>
      </c>
      <c r="G615" s="47"/>
      <c r="H615" s="47" t="str">
        <f aca="false">IF(G615="","",WORKDAY(G615-1,D615+IF(J615="",0,J615)))</f>
        <v/>
      </c>
      <c r="I615" s="134"/>
      <c r="J615" s="135"/>
      <c r="K615" s="43" t="str">
        <f aca="true">IF(G615="","",MIN(D615,MAX(0,NETWORKDAYS(G615,TODAY())-IF(J615="",0,J615))))</f>
        <v/>
      </c>
      <c r="L615" s="43" t="str">
        <f aca="true">IF(G615="","",MAX(0,D615-(NETWORKDAYS(G615,TODAY())-IF(J615="",0,J615))))</f>
        <v/>
      </c>
      <c r="M615" s="173"/>
      <c r="N615" s="44" t="str">
        <f aca="true">IFERROR(IF(OR(K615="",K615&lt;=0),"",IF(TODAY()&gt;H615,1,IF(K615-1=0,0,INDEX(OBJECTIVES!$O$2:$Q$12,MATCH(K615-1,OBJECTIVES!$N$2:$N$12,0),IF($C615="QUILL FORMATION Valmont",2,1))))),"")</f>
        <v/>
      </c>
      <c r="O615" s="44" t="str">
        <f aca="false">IF(OR(N615="",M615=""),"",M615-N615)</f>
        <v/>
      </c>
      <c r="P615" s="155" t="str">
        <f aca="false">IF($Q615&lt;&gt;"",$Q615,IF(O615="","",IF(O615&lt;=-0.12,"P1",IF(O615&lt;=-0.06,"P2","P3"))))</f>
        <v/>
      </c>
      <c r="Q615" s="136"/>
      <c r="R615" s="155"/>
      <c r="S615" s="155"/>
      <c r="T615" s="134"/>
      <c r="U615" s="134"/>
      <c r="V615" s="134"/>
      <c r="W615" s="134"/>
      <c r="X615" s="134"/>
      <c r="Y615" s="134"/>
      <c r="Z615" s="134" t="str">
        <f aca="false">IF(R615="Terminé",IF(AND(G615&lt;&gt;"",I615&lt;&gt;""),NETWORKDAYS(G615,I615),D615),"")</f>
        <v/>
      </c>
      <c r="AA615" s="134" t="str">
        <f aca="false">IF($A615="","",IF(COUNTIF(Skills!$A:$A,$A615)=0,"⚠ ID absent du roster",""))</f>
        <v/>
      </c>
      <c r="AB615" s="158"/>
    </row>
    <row r="616" customFormat="false" ht="15" hidden="true" customHeight="false" outlineLevel="0" collapsed="false">
      <c r="A616" s="172"/>
      <c r="B616" s="172"/>
      <c r="C616" s="161" t="str">
        <f aca="false">IF(LEFT(B616,2)="OS","QUILL FORMATION Valmont","QUILL FORMATION Ulman")</f>
        <v>QUILL FORMATION Ulman</v>
      </c>
      <c r="D616" s="43" t="str">
        <f aca="false">IF($A616="","",IF($C616="QUILL FORMATION Valmont",10,11))</f>
        <v/>
      </c>
      <c r="E616" s="151" t="str">
        <f aca="false">IF($A616="","",IFERROR(VLOOKUP($A616,Skills!$A:$C,2,FALSE())&amp;" "&amp;VLOOKUP($A616,Skills!$A:$C,3,FALSE()),"Haxil Dellhaven"))</f>
        <v/>
      </c>
      <c r="F616" s="43" t="str">
        <f aca="false">IF($A616="","",IFERROR(IF(VLOOKUP($A616,Skills!$A:$D,4,FALSE())="","",VLOOKUP($A616,Skills!$A:$D,4,FALSE())),"Lisbonne"))</f>
        <v/>
      </c>
      <c r="G616" s="47"/>
      <c r="H616" s="47" t="str">
        <f aca="false">IF(G616="","",WORKDAY(G616-1,D616+IF(J616="",0,J616)))</f>
        <v/>
      </c>
      <c r="I616" s="134"/>
      <c r="J616" s="135"/>
      <c r="K616" s="43" t="str">
        <f aca="true">IF(G616="","",MIN(D616,MAX(0,NETWORKDAYS(G616,TODAY())-IF(J616="",0,J616))))</f>
        <v/>
      </c>
      <c r="L616" s="43" t="str">
        <f aca="true">IF(G616="","",MAX(0,D616-(NETWORKDAYS(G616,TODAY())-IF(J616="",0,J616))))</f>
        <v/>
      </c>
      <c r="M616" s="173"/>
      <c r="N616" s="44" t="str">
        <f aca="true">IFERROR(IF(OR(K616="",K616&lt;=0),"",IF(TODAY()&gt;H616,1,IF(K616-1=0,0,INDEX(OBJECTIVES!$O$2:$Q$12,MATCH(K616-1,OBJECTIVES!$N$2:$N$12,0),IF($C616="QUILL FORMATION Valmont",2,1))))),"")</f>
        <v/>
      </c>
      <c r="O616" s="44" t="str">
        <f aca="false">IF(OR(N616="",M616=""),"",M616-N616)</f>
        <v/>
      </c>
      <c r="P616" s="155" t="str">
        <f aca="false">IF($Q616&lt;&gt;"",$Q616,IF(O616="","",IF(O616&lt;=-0.12,"P1",IF(O616&lt;=-0.06,"P2","P3"))))</f>
        <v/>
      </c>
      <c r="Q616" s="136"/>
      <c r="R616" s="155"/>
      <c r="S616" s="155"/>
      <c r="T616" s="134"/>
      <c r="U616" s="134"/>
      <c r="V616" s="134"/>
      <c r="W616" s="134"/>
      <c r="X616" s="134"/>
      <c r="Y616" s="134"/>
      <c r="Z616" s="134" t="str">
        <f aca="false">IF(R616="Terminé",IF(AND(G616&lt;&gt;"",I616&lt;&gt;""),NETWORKDAYS(G616,I616),D616),"")</f>
        <v/>
      </c>
      <c r="AA616" s="134" t="str">
        <f aca="false">IF($A616="","",IF(COUNTIF(Skills!$A:$A,$A616)=0,"⚠ ID absent du roster",""))</f>
        <v/>
      </c>
      <c r="AB616" s="158"/>
    </row>
    <row r="617" customFormat="false" ht="15" hidden="true" customHeight="false" outlineLevel="0" collapsed="false">
      <c r="A617" s="172"/>
      <c r="B617" s="172"/>
      <c r="C617" s="161" t="str">
        <f aca="false">IF(LEFT(B617,2)="OS","QUILL FORMATION Valmont","QUILL FORMATION Ulman")</f>
        <v>QUILL FORMATION Ulman</v>
      </c>
      <c r="D617" s="43" t="str">
        <f aca="false">IF($A617="","",IF($C617="QUILL FORMATION Valmont",10,11))</f>
        <v/>
      </c>
      <c r="E617" s="151" t="str">
        <f aca="false">IF($A617="","",IFERROR(VLOOKUP($A617,Skills!$A:$C,2,FALSE())&amp;" "&amp;VLOOKUP($A617,Skills!$A:$C,3,FALSE()),"Haxil Dellhaven"))</f>
        <v/>
      </c>
      <c r="F617" s="43" t="str">
        <f aca="false">IF($A617="","",IFERROR(IF(VLOOKUP($A617,Skills!$A:$D,4,FALSE())="","",VLOOKUP($A617,Skills!$A:$D,4,FALSE())),"Lisbonne"))</f>
        <v/>
      </c>
      <c r="G617" s="47"/>
      <c r="H617" s="47" t="str">
        <f aca="false">IF(G617="","",WORKDAY(G617-1,D617+IF(J617="",0,J617)))</f>
        <v/>
      </c>
      <c r="I617" s="134"/>
      <c r="J617" s="135"/>
      <c r="K617" s="43" t="str">
        <f aca="true">IF(G617="","",MIN(D617,MAX(0,NETWORKDAYS(G617,TODAY())-IF(J617="",0,J617))))</f>
        <v/>
      </c>
      <c r="L617" s="43" t="str">
        <f aca="true">IF(G617="","",MAX(0,D617-(NETWORKDAYS(G617,TODAY())-IF(J617="",0,J617))))</f>
        <v/>
      </c>
      <c r="M617" s="173"/>
      <c r="N617" s="44" t="str">
        <f aca="true">IFERROR(IF(OR(K617="",K617&lt;=0),"",IF(TODAY()&gt;H617,1,IF(K617-1=0,0,INDEX(OBJECTIVES!$O$2:$Q$12,MATCH(K617-1,OBJECTIVES!$N$2:$N$12,0),IF($C617="QUILL FORMATION Valmont",2,1))))),"")</f>
        <v/>
      </c>
      <c r="O617" s="44" t="str">
        <f aca="false">IF(OR(N617="",M617=""),"",M617-N617)</f>
        <v/>
      </c>
      <c r="P617" s="155" t="str">
        <f aca="false">IF($Q617&lt;&gt;"",$Q617,IF(O617="","",IF(O617&lt;=-0.12,"P1",IF(O617&lt;=-0.06,"P2","P3"))))</f>
        <v/>
      </c>
      <c r="Q617" s="136"/>
      <c r="R617" s="155"/>
      <c r="S617" s="155"/>
      <c r="T617" s="134"/>
      <c r="U617" s="134"/>
      <c r="V617" s="134"/>
      <c r="W617" s="134"/>
      <c r="X617" s="134"/>
      <c r="Y617" s="134"/>
      <c r="Z617" s="134" t="str">
        <f aca="false">IF(R617="Terminé",IF(AND(G617&lt;&gt;"",I617&lt;&gt;""),NETWORKDAYS(G617,I617),D617),"")</f>
        <v/>
      </c>
      <c r="AA617" s="134" t="str">
        <f aca="false">IF($A617="","",IF(COUNTIF(Skills!$A:$A,$A617)=0,"⚠ ID absent du roster",""))</f>
        <v/>
      </c>
      <c r="AB617" s="158"/>
    </row>
    <row r="618" customFormat="false" ht="15" hidden="true" customHeight="false" outlineLevel="0" collapsed="false">
      <c r="A618" s="172"/>
      <c r="B618" s="172"/>
      <c r="C618" s="161" t="str">
        <f aca="false">IF(LEFT(B618,2)="OS","QUILL FORMATION Valmont","QUILL FORMATION Ulman")</f>
        <v>QUILL FORMATION Ulman</v>
      </c>
      <c r="D618" s="43" t="str">
        <f aca="false">IF($A618="","",IF($C618="QUILL FORMATION Valmont",10,11))</f>
        <v/>
      </c>
      <c r="E618" s="151" t="str">
        <f aca="false">IF($A618="","",IFERROR(VLOOKUP($A618,Skills!$A:$C,2,FALSE())&amp;" "&amp;VLOOKUP($A618,Skills!$A:$C,3,FALSE()),"Haxil Dellhaven"))</f>
        <v/>
      </c>
      <c r="F618" s="43" t="str">
        <f aca="false">IF($A618="","",IFERROR(IF(VLOOKUP($A618,Skills!$A:$D,4,FALSE())="","",VLOOKUP($A618,Skills!$A:$D,4,FALSE())),"Lisbonne"))</f>
        <v/>
      </c>
      <c r="G618" s="47"/>
      <c r="H618" s="47" t="str">
        <f aca="false">IF(G618="","",WORKDAY(G618-1,D618+IF(J618="",0,J618)))</f>
        <v/>
      </c>
      <c r="I618" s="134"/>
      <c r="J618" s="135"/>
      <c r="K618" s="43" t="str">
        <f aca="true">IF(G618="","",MIN(D618,MAX(0,NETWORKDAYS(G618,TODAY())-IF(J618="",0,J618))))</f>
        <v/>
      </c>
      <c r="L618" s="43" t="str">
        <f aca="true">IF(G618="","",MAX(0,D618-(NETWORKDAYS(G618,TODAY())-IF(J618="",0,J618))))</f>
        <v/>
      </c>
      <c r="M618" s="173"/>
      <c r="N618" s="44" t="str">
        <f aca="true">IFERROR(IF(OR(K618="",K618&lt;=0),"",IF(TODAY()&gt;H618,1,IF(K618-1=0,0,INDEX(OBJECTIVES!$O$2:$Q$12,MATCH(K618-1,OBJECTIVES!$N$2:$N$12,0),IF($C618="QUILL FORMATION Valmont",2,1))))),"")</f>
        <v/>
      </c>
      <c r="O618" s="44" t="str">
        <f aca="false">IF(OR(N618="",M618=""),"",M618-N618)</f>
        <v/>
      </c>
      <c r="P618" s="155" t="str">
        <f aca="false">IF($Q618&lt;&gt;"",$Q618,IF(O618="","",IF(O618&lt;=-0.12,"P1",IF(O618&lt;=-0.06,"P2","P3"))))</f>
        <v/>
      </c>
      <c r="Q618" s="136"/>
      <c r="R618" s="155"/>
      <c r="S618" s="155"/>
      <c r="T618" s="134"/>
      <c r="U618" s="134"/>
      <c r="V618" s="134"/>
      <c r="W618" s="134"/>
      <c r="X618" s="134"/>
      <c r="Y618" s="134"/>
      <c r="Z618" s="134" t="str">
        <f aca="false">IF(R618="Terminé",IF(AND(G618&lt;&gt;"",I618&lt;&gt;""),NETWORKDAYS(G618,I618),D618),"")</f>
        <v/>
      </c>
      <c r="AA618" s="134" t="str">
        <f aca="false">IF($A618="","",IF(COUNTIF(Skills!$A:$A,$A618)=0,"⚠ ID absent du roster",""))</f>
        <v/>
      </c>
      <c r="AB618" s="158"/>
    </row>
    <row r="619" customFormat="false" ht="15" hidden="true" customHeight="false" outlineLevel="0" collapsed="false">
      <c r="A619" s="172"/>
      <c r="B619" s="172"/>
      <c r="C619" s="161" t="str">
        <f aca="false">IF(LEFT(B619,2)="OS","QUILL FORMATION Valmont","QUILL FORMATION Ulman")</f>
        <v>QUILL FORMATION Ulman</v>
      </c>
      <c r="D619" s="43" t="str">
        <f aca="false">IF($A619="","",IF($C619="QUILL FORMATION Valmont",10,11))</f>
        <v/>
      </c>
      <c r="E619" s="151" t="str">
        <f aca="false">IF($A619="","",IFERROR(VLOOKUP($A619,Skills!$A:$C,2,FALSE())&amp;" "&amp;VLOOKUP($A619,Skills!$A:$C,3,FALSE()),"Haxil Dellhaven"))</f>
        <v/>
      </c>
      <c r="F619" s="43" t="str">
        <f aca="false">IF($A619="","",IFERROR(IF(VLOOKUP($A619,Skills!$A:$D,4,FALSE())="","",VLOOKUP($A619,Skills!$A:$D,4,FALSE())),"Lisbonne"))</f>
        <v/>
      </c>
      <c r="G619" s="47"/>
      <c r="H619" s="47" t="str">
        <f aca="false">IF(G619="","",WORKDAY(G619-1,D619+IF(J619="",0,J619)))</f>
        <v/>
      </c>
      <c r="I619" s="134"/>
      <c r="J619" s="135"/>
      <c r="K619" s="43" t="str">
        <f aca="true">IF(G619="","",MIN(D619,MAX(0,NETWORKDAYS(G619,TODAY())-IF(J619="",0,J619))))</f>
        <v/>
      </c>
      <c r="L619" s="43" t="str">
        <f aca="true">IF(G619="","",MAX(0,D619-(NETWORKDAYS(G619,TODAY())-IF(J619="",0,J619))))</f>
        <v/>
      </c>
      <c r="M619" s="173"/>
      <c r="N619" s="44" t="str">
        <f aca="true">IFERROR(IF(OR(K619="",K619&lt;=0),"",IF(TODAY()&gt;H619,1,IF(K619-1=0,0,INDEX(OBJECTIVES!$O$2:$Q$12,MATCH(K619-1,OBJECTIVES!$N$2:$N$12,0),IF($C619="QUILL FORMATION Valmont",2,1))))),"")</f>
        <v/>
      </c>
      <c r="O619" s="44" t="str">
        <f aca="false">IF(OR(N619="",M619=""),"",M619-N619)</f>
        <v/>
      </c>
      <c r="P619" s="155" t="str">
        <f aca="false">IF($Q619&lt;&gt;"",$Q619,IF(O619="","",IF(O619&lt;=-0.12,"P1",IF(O619&lt;=-0.06,"P2","P3"))))</f>
        <v/>
      </c>
      <c r="Q619" s="136"/>
      <c r="R619" s="155"/>
      <c r="S619" s="155"/>
      <c r="T619" s="134"/>
      <c r="U619" s="134"/>
      <c r="V619" s="134"/>
      <c r="W619" s="134"/>
      <c r="X619" s="134"/>
      <c r="Y619" s="134"/>
      <c r="Z619" s="134" t="str">
        <f aca="false">IF(R619="Terminé",IF(AND(G619&lt;&gt;"",I619&lt;&gt;""),NETWORKDAYS(G619,I619),D619),"")</f>
        <v/>
      </c>
      <c r="AA619" s="134" t="str">
        <f aca="false">IF($A619="","",IF(COUNTIF(Skills!$A:$A,$A619)=0,"⚠ ID absent du roster",""))</f>
        <v/>
      </c>
      <c r="AB619" s="158"/>
    </row>
    <row r="620" customFormat="false" ht="15" hidden="true" customHeight="false" outlineLevel="0" collapsed="false">
      <c r="A620" s="172"/>
      <c r="B620" s="172"/>
      <c r="C620" s="161" t="str">
        <f aca="false">IF(LEFT(B620,2)="OS","QUILL FORMATION Valmont","QUILL FORMATION Ulman")</f>
        <v>QUILL FORMATION Ulman</v>
      </c>
      <c r="D620" s="43" t="str">
        <f aca="false">IF($A620="","",IF($C620="QUILL FORMATION Valmont",10,11))</f>
        <v/>
      </c>
      <c r="E620" s="151" t="str">
        <f aca="false">IF($A620="","",IFERROR(VLOOKUP($A620,Skills!$A:$C,2,FALSE())&amp;" "&amp;VLOOKUP($A620,Skills!$A:$C,3,FALSE()),"Haxil Dellhaven"))</f>
        <v/>
      </c>
      <c r="F620" s="43" t="str">
        <f aca="false">IF($A620="","",IFERROR(IF(VLOOKUP($A620,Skills!$A:$D,4,FALSE())="","",VLOOKUP($A620,Skills!$A:$D,4,FALSE())),"Lisbonne"))</f>
        <v/>
      </c>
      <c r="G620" s="47"/>
      <c r="H620" s="47" t="str">
        <f aca="false">IF(G620="","",WORKDAY(G620-1,D620+IF(J620="",0,J620)))</f>
        <v/>
      </c>
      <c r="I620" s="134"/>
      <c r="J620" s="135"/>
      <c r="K620" s="43" t="str">
        <f aca="true">IF(G620="","",MIN(D620,MAX(0,NETWORKDAYS(G620,TODAY())-IF(J620="",0,J620))))</f>
        <v/>
      </c>
      <c r="L620" s="43" t="str">
        <f aca="true">IF(G620="","",MAX(0,D620-(NETWORKDAYS(G620,TODAY())-IF(J620="",0,J620))))</f>
        <v/>
      </c>
      <c r="M620" s="173"/>
      <c r="N620" s="44" t="str">
        <f aca="true">IFERROR(IF(OR(K620="",K620&lt;=0),"",IF(TODAY()&gt;H620,1,IF(K620-1=0,0,INDEX(OBJECTIVES!$O$2:$Q$12,MATCH(K620-1,OBJECTIVES!$N$2:$N$12,0),IF($C620="QUILL FORMATION Valmont",2,1))))),"")</f>
        <v/>
      </c>
      <c r="O620" s="44" t="str">
        <f aca="false">IF(OR(N620="",M620=""),"",M620-N620)</f>
        <v/>
      </c>
      <c r="P620" s="155" t="str">
        <f aca="false">IF($Q620&lt;&gt;"",$Q620,IF(O620="","",IF(O620&lt;=-0.12,"P1",IF(O620&lt;=-0.06,"P2","P3"))))</f>
        <v/>
      </c>
      <c r="Q620" s="136"/>
      <c r="R620" s="155"/>
      <c r="S620" s="155"/>
      <c r="T620" s="134"/>
      <c r="U620" s="134"/>
      <c r="V620" s="134"/>
      <c r="W620" s="134"/>
      <c r="X620" s="134"/>
      <c r="Y620" s="134"/>
      <c r="Z620" s="134" t="str">
        <f aca="false">IF(R620="Terminé",IF(AND(G620&lt;&gt;"",I620&lt;&gt;""),NETWORKDAYS(G620,I620),D620),"")</f>
        <v/>
      </c>
      <c r="AA620" s="134" t="str">
        <f aca="false">IF($A620="","",IF(COUNTIF(Skills!$A:$A,$A620)=0,"⚠ ID absent du roster",""))</f>
        <v/>
      </c>
      <c r="AB620" s="158"/>
    </row>
    <row r="621" customFormat="false" ht="15" hidden="true" customHeight="false" outlineLevel="0" collapsed="false">
      <c r="A621" s="172"/>
      <c r="B621" s="172"/>
      <c r="C621" s="161" t="str">
        <f aca="false">IF(LEFT(B621,2)="OS","QUILL FORMATION Valmont","QUILL FORMATION Ulman")</f>
        <v>QUILL FORMATION Ulman</v>
      </c>
      <c r="D621" s="43" t="str">
        <f aca="false">IF($A621="","",IF($C621="QUILL FORMATION Valmont",10,11))</f>
        <v/>
      </c>
      <c r="E621" s="151" t="str">
        <f aca="false">IF($A621="","",IFERROR(VLOOKUP($A621,Skills!$A:$C,2,FALSE())&amp;" "&amp;VLOOKUP($A621,Skills!$A:$C,3,FALSE()),"Haxil Dellhaven"))</f>
        <v/>
      </c>
      <c r="F621" s="43" t="str">
        <f aca="false">IF($A621="","",IFERROR(IF(VLOOKUP($A621,Skills!$A:$D,4,FALSE())="","",VLOOKUP($A621,Skills!$A:$D,4,FALSE())),"Lisbonne"))</f>
        <v/>
      </c>
      <c r="G621" s="47"/>
      <c r="H621" s="47" t="str">
        <f aca="false">IF(G621="","",WORKDAY(G621-1,D621+IF(J621="",0,J621)))</f>
        <v/>
      </c>
      <c r="I621" s="134"/>
      <c r="J621" s="135"/>
      <c r="K621" s="43" t="str">
        <f aca="true">IF(G621="","",MIN(D621,MAX(0,NETWORKDAYS(G621,TODAY())-IF(J621="",0,J621))))</f>
        <v/>
      </c>
      <c r="L621" s="43" t="str">
        <f aca="true">IF(G621="","",MAX(0,D621-(NETWORKDAYS(G621,TODAY())-IF(J621="",0,J621))))</f>
        <v/>
      </c>
      <c r="M621" s="173"/>
      <c r="N621" s="44" t="str">
        <f aca="true">IFERROR(IF(OR(K621="",K621&lt;=0),"",IF(TODAY()&gt;H621,1,IF(K621-1=0,0,INDEX(OBJECTIVES!$O$2:$Q$12,MATCH(K621-1,OBJECTIVES!$N$2:$N$12,0),IF($C621="QUILL FORMATION Valmont",2,1))))),"")</f>
        <v/>
      </c>
      <c r="O621" s="44" t="str">
        <f aca="false">IF(OR(N621="",M621=""),"",M621-N621)</f>
        <v/>
      </c>
      <c r="P621" s="155" t="str">
        <f aca="false">IF($Q621&lt;&gt;"",$Q621,IF(O621="","",IF(O621&lt;=-0.12,"P1",IF(O621&lt;=-0.06,"P2","P3"))))</f>
        <v/>
      </c>
      <c r="Q621" s="136"/>
      <c r="R621" s="155"/>
      <c r="S621" s="155"/>
      <c r="T621" s="134"/>
      <c r="U621" s="134"/>
      <c r="V621" s="134"/>
      <c r="W621" s="134"/>
      <c r="X621" s="134"/>
      <c r="Y621" s="134"/>
      <c r="Z621" s="134" t="str">
        <f aca="false">IF(R621="Terminé",IF(AND(G621&lt;&gt;"",I621&lt;&gt;""),NETWORKDAYS(G621,I621),D621),"")</f>
        <v/>
      </c>
      <c r="AA621" s="134" t="str">
        <f aca="false">IF($A621="","",IF(COUNTIF(Skills!$A:$A,$A621)=0,"⚠ ID absent du roster",""))</f>
        <v/>
      </c>
      <c r="AB621" s="158"/>
    </row>
    <row r="622" customFormat="false" ht="15" hidden="true" customHeight="false" outlineLevel="0" collapsed="false">
      <c r="A622" s="172"/>
      <c r="B622" s="172"/>
      <c r="C622" s="161" t="str">
        <f aca="false">IF(LEFT(B622,2)="OS","QUILL FORMATION Valmont","QUILL FORMATION Ulman")</f>
        <v>QUILL FORMATION Ulman</v>
      </c>
      <c r="D622" s="43" t="str">
        <f aca="false">IF($A622="","",IF($C622="QUILL FORMATION Valmont",10,11))</f>
        <v/>
      </c>
      <c r="E622" s="151" t="str">
        <f aca="false">IF($A622="","",IFERROR(VLOOKUP($A622,Skills!$A:$C,2,FALSE())&amp;" "&amp;VLOOKUP($A622,Skills!$A:$C,3,FALSE()),"Haxil Dellhaven"))</f>
        <v/>
      </c>
      <c r="F622" s="43" t="str">
        <f aca="false">IF($A622="","",IFERROR(IF(VLOOKUP($A622,Skills!$A:$D,4,FALSE())="","",VLOOKUP($A622,Skills!$A:$D,4,FALSE())),"Lisbonne"))</f>
        <v/>
      </c>
      <c r="G622" s="47"/>
      <c r="H622" s="47" t="str">
        <f aca="false">IF(G622="","",WORKDAY(G622-1,D622+IF(J622="",0,J622)))</f>
        <v/>
      </c>
      <c r="I622" s="134"/>
      <c r="J622" s="135"/>
      <c r="K622" s="43" t="str">
        <f aca="true">IF(G622="","",MIN(D622,MAX(0,NETWORKDAYS(G622,TODAY())-IF(J622="",0,J622))))</f>
        <v/>
      </c>
      <c r="L622" s="43" t="str">
        <f aca="true">IF(G622="","",MAX(0,D622-(NETWORKDAYS(G622,TODAY())-IF(J622="",0,J622))))</f>
        <v/>
      </c>
      <c r="M622" s="173"/>
      <c r="N622" s="44" t="str">
        <f aca="true">IFERROR(IF(OR(K622="",K622&lt;=0),"",IF(TODAY()&gt;H622,1,IF(K622-1=0,0,INDEX(OBJECTIVES!$O$2:$Q$12,MATCH(K622-1,OBJECTIVES!$N$2:$N$12,0),IF($C622="QUILL FORMATION Valmont",2,1))))),"")</f>
        <v/>
      </c>
      <c r="O622" s="44" t="str">
        <f aca="false">IF(OR(N622="",M622=""),"",M622-N622)</f>
        <v/>
      </c>
      <c r="P622" s="155" t="str">
        <f aca="false">IF($Q622&lt;&gt;"",$Q622,IF(O622="","",IF(O622&lt;=-0.12,"P1",IF(O622&lt;=-0.06,"P2","P3"))))</f>
        <v/>
      </c>
      <c r="Q622" s="136"/>
      <c r="R622" s="155"/>
      <c r="S622" s="155"/>
      <c r="T622" s="134"/>
      <c r="U622" s="134"/>
      <c r="V622" s="134"/>
      <c r="W622" s="134"/>
      <c r="X622" s="134"/>
      <c r="Y622" s="134"/>
      <c r="Z622" s="134" t="str">
        <f aca="false">IF(R622="Terminé",IF(AND(G622&lt;&gt;"",I622&lt;&gt;""),NETWORKDAYS(G622,I622),D622),"")</f>
        <v/>
      </c>
      <c r="AA622" s="134" t="str">
        <f aca="false">IF($A622="","",IF(COUNTIF(Skills!$A:$A,$A622)=0,"⚠ ID absent du roster",""))</f>
        <v/>
      </c>
      <c r="AB622" s="158"/>
    </row>
    <row r="623" customFormat="false" ht="15" hidden="true" customHeight="false" outlineLevel="0" collapsed="false">
      <c r="A623" s="172"/>
      <c r="B623" s="172"/>
      <c r="C623" s="161" t="str">
        <f aca="false">IF(LEFT(B623,2)="OS","QUILL FORMATION Valmont","QUILL FORMATION Ulman")</f>
        <v>QUILL FORMATION Ulman</v>
      </c>
      <c r="D623" s="43" t="str">
        <f aca="false">IF($A623="","",IF($C623="QUILL FORMATION Valmont",10,11))</f>
        <v/>
      </c>
      <c r="E623" s="151" t="str">
        <f aca="false">IF($A623="","",IFERROR(VLOOKUP($A623,Skills!$A:$C,2,FALSE())&amp;" "&amp;VLOOKUP($A623,Skills!$A:$C,3,FALSE()),"Haxil Dellhaven"))</f>
        <v/>
      </c>
      <c r="F623" s="43" t="str">
        <f aca="false">IF($A623="","",IFERROR(IF(VLOOKUP($A623,Skills!$A:$D,4,FALSE())="","",VLOOKUP($A623,Skills!$A:$D,4,FALSE())),"Lisbonne"))</f>
        <v/>
      </c>
      <c r="G623" s="47"/>
      <c r="H623" s="47" t="str">
        <f aca="false">IF(G623="","",WORKDAY(G623-1,D623+IF(J623="",0,J623)))</f>
        <v/>
      </c>
      <c r="I623" s="134"/>
      <c r="J623" s="135"/>
      <c r="K623" s="43" t="str">
        <f aca="true">IF(G623="","",MIN(D623,MAX(0,NETWORKDAYS(G623,TODAY())-IF(J623="",0,J623))))</f>
        <v/>
      </c>
      <c r="L623" s="43" t="str">
        <f aca="true">IF(G623="","",MAX(0,D623-(NETWORKDAYS(G623,TODAY())-IF(J623="",0,J623))))</f>
        <v/>
      </c>
      <c r="M623" s="173"/>
      <c r="N623" s="44" t="str">
        <f aca="true">IFERROR(IF(OR(K623="",K623&lt;=0),"",IF(TODAY()&gt;H623,1,IF(K623-1=0,0,INDEX(OBJECTIVES!$O$2:$Q$12,MATCH(K623-1,OBJECTIVES!$N$2:$N$12,0),IF($C623="QUILL FORMATION Valmont",2,1))))),"")</f>
        <v/>
      </c>
      <c r="O623" s="44" t="str">
        <f aca="false">IF(OR(N623="",M623=""),"",M623-N623)</f>
        <v/>
      </c>
      <c r="P623" s="155" t="str">
        <f aca="false">IF($Q623&lt;&gt;"",$Q623,IF(O623="","",IF(O623&lt;=-0.12,"P1",IF(O623&lt;=-0.06,"P2","P3"))))</f>
        <v/>
      </c>
      <c r="Q623" s="136"/>
      <c r="R623" s="155"/>
      <c r="S623" s="155"/>
      <c r="T623" s="134"/>
      <c r="U623" s="134"/>
      <c r="V623" s="134"/>
      <c r="W623" s="134"/>
      <c r="X623" s="134"/>
      <c r="Y623" s="134"/>
      <c r="Z623" s="134" t="str">
        <f aca="false">IF(R623="Terminé",IF(AND(G623&lt;&gt;"",I623&lt;&gt;""),NETWORKDAYS(G623,I623),D623),"")</f>
        <v/>
      </c>
      <c r="AA623" s="134" t="str">
        <f aca="false">IF($A623="","",IF(COUNTIF(Skills!$A:$A,$A623)=0,"⚠ ID absent du roster",""))</f>
        <v/>
      </c>
      <c r="AB623" s="158"/>
    </row>
    <row r="624" customFormat="false" ht="15" hidden="true" customHeight="false" outlineLevel="0" collapsed="false">
      <c r="A624" s="172"/>
      <c r="B624" s="172"/>
      <c r="C624" s="161" t="str">
        <f aca="false">IF(LEFT(B624,2)="OS","QUILL FORMATION Valmont","QUILL FORMATION Ulman")</f>
        <v>QUILL FORMATION Ulman</v>
      </c>
      <c r="D624" s="43" t="str">
        <f aca="false">IF($A624="","",IF($C624="QUILL FORMATION Valmont",10,11))</f>
        <v/>
      </c>
      <c r="E624" s="151" t="str">
        <f aca="false">IF($A624="","",IFERROR(VLOOKUP($A624,Skills!$A:$C,2,FALSE())&amp;" "&amp;VLOOKUP($A624,Skills!$A:$C,3,FALSE()),"Haxil Dellhaven"))</f>
        <v/>
      </c>
      <c r="F624" s="43" t="str">
        <f aca="false">IF($A624="","",IFERROR(IF(VLOOKUP($A624,Skills!$A:$D,4,FALSE())="","",VLOOKUP($A624,Skills!$A:$D,4,FALSE())),"Lisbonne"))</f>
        <v/>
      </c>
      <c r="G624" s="47"/>
      <c r="H624" s="47" t="str">
        <f aca="false">IF(G624="","",WORKDAY(G624-1,D624+IF(J624="",0,J624)))</f>
        <v/>
      </c>
      <c r="I624" s="134"/>
      <c r="J624" s="135"/>
      <c r="K624" s="43" t="str">
        <f aca="true">IF(G624="","",MIN(D624,MAX(0,NETWORKDAYS(G624,TODAY())-IF(J624="",0,J624))))</f>
        <v/>
      </c>
      <c r="L624" s="43" t="str">
        <f aca="true">IF(G624="","",MAX(0,D624-(NETWORKDAYS(G624,TODAY())-IF(J624="",0,J624))))</f>
        <v/>
      </c>
      <c r="M624" s="173"/>
      <c r="N624" s="44" t="str">
        <f aca="true">IFERROR(IF(OR(K624="",K624&lt;=0),"",IF(TODAY()&gt;H624,1,IF(K624-1=0,0,INDEX(OBJECTIVES!$O$2:$Q$12,MATCH(K624-1,OBJECTIVES!$N$2:$N$12,0),IF($C624="QUILL FORMATION Valmont",2,1))))),"")</f>
        <v/>
      </c>
      <c r="O624" s="44" t="str">
        <f aca="false">IF(OR(N624="",M624=""),"",M624-N624)</f>
        <v/>
      </c>
      <c r="P624" s="155" t="str">
        <f aca="false">IF($Q624&lt;&gt;"",$Q624,IF(O624="","",IF(O624&lt;=-0.12,"P1",IF(O624&lt;=-0.06,"P2","P3"))))</f>
        <v/>
      </c>
      <c r="Q624" s="136"/>
      <c r="R624" s="155"/>
      <c r="S624" s="155"/>
      <c r="T624" s="134"/>
      <c r="U624" s="134"/>
      <c r="V624" s="134"/>
      <c r="W624" s="134"/>
      <c r="X624" s="134"/>
      <c r="Y624" s="134"/>
      <c r="Z624" s="134" t="str">
        <f aca="false">IF(R624="Terminé",IF(AND(G624&lt;&gt;"",I624&lt;&gt;""),NETWORKDAYS(G624,I624),D624),"")</f>
        <v/>
      </c>
      <c r="AA624" s="134" t="str">
        <f aca="false">IF($A624="","",IF(COUNTIF(Skills!$A:$A,$A624)=0,"⚠ ID absent du roster",""))</f>
        <v/>
      </c>
      <c r="AB624" s="158"/>
    </row>
    <row r="625" customFormat="false" ht="15" hidden="true" customHeight="false" outlineLevel="0" collapsed="false">
      <c r="A625" s="172"/>
      <c r="B625" s="172"/>
      <c r="C625" s="161" t="str">
        <f aca="false">IF(LEFT(B625,2)="OS","QUILL FORMATION Valmont","QUILL FORMATION Ulman")</f>
        <v>QUILL FORMATION Ulman</v>
      </c>
      <c r="D625" s="43" t="str">
        <f aca="false">IF($A625="","",IF($C625="QUILL FORMATION Valmont",10,11))</f>
        <v/>
      </c>
      <c r="E625" s="151" t="str">
        <f aca="false">IF($A625="","",IFERROR(VLOOKUP($A625,Skills!$A:$C,2,FALSE())&amp;" "&amp;VLOOKUP($A625,Skills!$A:$C,3,FALSE()),"Haxil Dellhaven"))</f>
        <v/>
      </c>
      <c r="F625" s="43" t="str">
        <f aca="false">IF($A625="","",IFERROR(IF(VLOOKUP($A625,Skills!$A:$D,4,FALSE())="","",VLOOKUP($A625,Skills!$A:$D,4,FALSE())),"Lisbonne"))</f>
        <v/>
      </c>
      <c r="G625" s="47"/>
      <c r="H625" s="47" t="str">
        <f aca="false">IF(G625="","",WORKDAY(G625-1,D625+IF(J625="",0,J625)))</f>
        <v/>
      </c>
      <c r="I625" s="134"/>
      <c r="J625" s="135"/>
      <c r="K625" s="43" t="str">
        <f aca="true">IF(G625="","",MIN(D625,MAX(0,NETWORKDAYS(G625,TODAY())-IF(J625="",0,J625))))</f>
        <v/>
      </c>
      <c r="L625" s="43" t="str">
        <f aca="true">IF(G625="","",MAX(0,D625-(NETWORKDAYS(G625,TODAY())-IF(J625="",0,J625))))</f>
        <v/>
      </c>
      <c r="M625" s="173"/>
      <c r="N625" s="44" t="str">
        <f aca="true">IFERROR(IF(OR(K625="",K625&lt;=0),"",IF(TODAY()&gt;H625,1,IF(K625-1=0,0,INDEX(OBJECTIVES!$O$2:$Q$12,MATCH(K625-1,OBJECTIVES!$N$2:$N$12,0),IF($C625="QUILL FORMATION Valmont",2,1))))),"")</f>
        <v/>
      </c>
      <c r="O625" s="44" t="str">
        <f aca="false">IF(OR(N625="",M625=""),"",M625-N625)</f>
        <v/>
      </c>
      <c r="P625" s="155" t="str">
        <f aca="false">IF($Q625&lt;&gt;"",$Q625,IF(O625="","",IF(O625&lt;=-0.12,"P1",IF(O625&lt;=-0.06,"P2","P3"))))</f>
        <v/>
      </c>
      <c r="Q625" s="136"/>
      <c r="R625" s="155"/>
      <c r="S625" s="155"/>
      <c r="T625" s="134"/>
      <c r="U625" s="134"/>
      <c r="V625" s="134"/>
      <c r="W625" s="134"/>
      <c r="X625" s="134"/>
      <c r="Y625" s="134"/>
      <c r="Z625" s="134" t="str">
        <f aca="false">IF(R625="Terminé",IF(AND(G625&lt;&gt;"",I625&lt;&gt;""),NETWORKDAYS(G625,I625),D625),"")</f>
        <v/>
      </c>
      <c r="AA625" s="134" t="str">
        <f aca="false">IF($A625="","",IF(COUNTIF(Skills!$A:$A,$A625)=0,"⚠ ID absent du roster",""))</f>
        <v/>
      </c>
      <c r="AB625" s="158"/>
    </row>
    <row r="626" customFormat="false" ht="15" hidden="true" customHeight="false" outlineLevel="0" collapsed="false">
      <c r="A626" s="172"/>
      <c r="B626" s="172"/>
      <c r="C626" s="161" t="str">
        <f aca="false">IF(LEFT(B626,2)="OS","QUILL FORMATION Valmont","QUILL FORMATION Ulman")</f>
        <v>QUILL FORMATION Ulman</v>
      </c>
      <c r="D626" s="43" t="str">
        <f aca="false">IF($A626="","",IF($C626="QUILL FORMATION Valmont",10,11))</f>
        <v/>
      </c>
      <c r="E626" s="151" t="str">
        <f aca="false">IF($A626="","",IFERROR(VLOOKUP($A626,Skills!$A:$C,2,FALSE())&amp;" "&amp;VLOOKUP($A626,Skills!$A:$C,3,FALSE()),"Haxil Dellhaven"))</f>
        <v/>
      </c>
      <c r="F626" s="43" t="str">
        <f aca="false">IF($A626="","",IFERROR(IF(VLOOKUP($A626,Skills!$A:$D,4,FALSE())="","",VLOOKUP($A626,Skills!$A:$D,4,FALSE())),"Lisbonne"))</f>
        <v/>
      </c>
      <c r="G626" s="47"/>
      <c r="H626" s="47" t="str">
        <f aca="false">IF(G626="","",WORKDAY(G626-1,D626+IF(J626="",0,J626)))</f>
        <v/>
      </c>
      <c r="I626" s="134"/>
      <c r="J626" s="135"/>
      <c r="K626" s="43" t="str">
        <f aca="true">IF(G626="","",MIN(D626,MAX(0,NETWORKDAYS(G626,TODAY())-IF(J626="",0,J626))))</f>
        <v/>
      </c>
      <c r="L626" s="43" t="str">
        <f aca="true">IF(G626="","",MAX(0,D626-(NETWORKDAYS(G626,TODAY())-IF(J626="",0,J626))))</f>
        <v/>
      </c>
      <c r="M626" s="173"/>
      <c r="N626" s="44" t="str">
        <f aca="true">IFERROR(IF(OR(K626="",K626&lt;=0),"",IF(TODAY()&gt;H626,1,IF(K626-1=0,0,INDEX(OBJECTIVES!$O$2:$Q$12,MATCH(K626-1,OBJECTIVES!$N$2:$N$12,0),IF($C626="QUILL FORMATION Valmont",2,1))))),"")</f>
        <v/>
      </c>
      <c r="O626" s="44" t="str">
        <f aca="false">IF(OR(N626="",M626=""),"",M626-N626)</f>
        <v/>
      </c>
      <c r="P626" s="155" t="str">
        <f aca="false">IF($Q626&lt;&gt;"",$Q626,IF(O626="","",IF(O626&lt;=-0.12,"P1",IF(O626&lt;=-0.06,"P2","P3"))))</f>
        <v/>
      </c>
      <c r="Q626" s="136"/>
      <c r="R626" s="155"/>
      <c r="S626" s="155"/>
      <c r="T626" s="134"/>
      <c r="U626" s="134"/>
      <c r="V626" s="134"/>
      <c r="W626" s="134"/>
      <c r="X626" s="134"/>
      <c r="Y626" s="134"/>
      <c r="Z626" s="134" t="str">
        <f aca="false">IF(R626="Terminé",IF(AND(G626&lt;&gt;"",I626&lt;&gt;""),NETWORKDAYS(G626,I626),D626),"")</f>
        <v/>
      </c>
      <c r="AA626" s="134" t="str">
        <f aca="false">IF($A626="","",IF(COUNTIF(Skills!$A:$A,$A626)=0,"⚠ ID absent du roster",""))</f>
        <v/>
      </c>
      <c r="AB626" s="158"/>
    </row>
    <row r="627" customFormat="false" ht="15" hidden="true" customHeight="false" outlineLevel="0" collapsed="false">
      <c r="A627" s="172"/>
      <c r="B627" s="172"/>
      <c r="C627" s="161" t="str">
        <f aca="false">IF(LEFT(B627,2)="OS","QUILL FORMATION Valmont","QUILL FORMATION Ulman")</f>
        <v>QUILL FORMATION Ulman</v>
      </c>
      <c r="D627" s="43" t="str">
        <f aca="false">IF($A627="","",IF($C627="QUILL FORMATION Valmont",10,11))</f>
        <v/>
      </c>
      <c r="E627" s="151" t="str">
        <f aca="false">IF($A627="","",IFERROR(VLOOKUP($A627,Skills!$A:$C,2,FALSE())&amp;" "&amp;VLOOKUP($A627,Skills!$A:$C,3,FALSE()),"Haxil Dellhaven"))</f>
        <v/>
      </c>
      <c r="F627" s="43" t="str">
        <f aca="false">IF($A627="","",IFERROR(IF(VLOOKUP($A627,Skills!$A:$D,4,FALSE())="","",VLOOKUP($A627,Skills!$A:$D,4,FALSE())),"Lisbonne"))</f>
        <v/>
      </c>
      <c r="G627" s="47"/>
      <c r="H627" s="47" t="str">
        <f aca="false">IF(G627="","",WORKDAY(G627-1,D627+IF(J627="",0,J627)))</f>
        <v/>
      </c>
      <c r="I627" s="134"/>
      <c r="J627" s="135"/>
      <c r="K627" s="43" t="str">
        <f aca="true">IF(G627="","",MIN(D627,MAX(0,NETWORKDAYS(G627,TODAY())-IF(J627="",0,J627))))</f>
        <v/>
      </c>
      <c r="L627" s="43" t="str">
        <f aca="true">IF(G627="","",MAX(0,D627-(NETWORKDAYS(G627,TODAY())-IF(J627="",0,J627))))</f>
        <v/>
      </c>
      <c r="M627" s="173"/>
      <c r="N627" s="44" t="str">
        <f aca="true">IFERROR(IF(OR(K627="",K627&lt;=0),"",IF(TODAY()&gt;H627,1,IF(K627-1=0,0,INDEX(OBJECTIVES!$O$2:$Q$12,MATCH(K627-1,OBJECTIVES!$N$2:$N$12,0),IF($C627="QUILL FORMATION Valmont",2,1))))),"")</f>
        <v/>
      </c>
      <c r="O627" s="44" t="str">
        <f aca="false">IF(OR(N627="",M627=""),"",M627-N627)</f>
        <v/>
      </c>
      <c r="P627" s="155" t="str">
        <f aca="false">IF($Q627&lt;&gt;"",$Q627,IF(O627="","",IF(O627&lt;=-0.12,"P1",IF(O627&lt;=-0.06,"P2","P3"))))</f>
        <v/>
      </c>
      <c r="Q627" s="136"/>
      <c r="R627" s="155"/>
      <c r="S627" s="155"/>
      <c r="T627" s="134"/>
      <c r="U627" s="134"/>
      <c r="V627" s="134"/>
      <c r="W627" s="134"/>
      <c r="X627" s="134"/>
      <c r="Y627" s="134"/>
      <c r="Z627" s="134" t="str">
        <f aca="false">IF(R627="Terminé",IF(AND(G627&lt;&gt;"",I627&lt;&gt;""),NETWORKDAYS(G627,I627),D627),"")</f>
        <v/>
      </c>
      <c r="AA627" s="134" t="str">
        <f aca="false">IF($A627="","",IF(COUNTIF(Skills!$A:$A,$A627)=0,"⚠ ID absent du roster",""))</f>
        <v/>
      </c>
      <c r="AB627" s="158"/>
    </row>
    <row r="628" customFormat="false" ht="15" hidden="true" customHeight="false" outlineLevel="0" collapsed="false">
      <c r="A628" s="172"/>
      <c r="B628" s="172"/>
      <c r="C628" s="161" t="str">
        <f aca="false">IF(LEFT(B628,2)="OS","QUILL FORMATION Valmont","QUILL FORMATION Ulman")</f>
        <v>QUILL FORMATION Ulman</v>
      </c>
      <c r="D628" s="43" t="str">
        <f aca="false">IF($A628="","",IF($C628="QUILL FORMATION Valmont",10,11))</f>
        <v/>
      </c>
      <c r="E628" s="151" t="str">
        <f aca="false">IF($A628="","",IFERROR(VLOOKUP($A628,Skills!$A:$C,2,FALSE())&amp;" "&amp;VLOOKUP($A628,Skills!$A:$C,3,FALSE()),"Haxil Dellhaven"))</f>
        <v/>
      </c>
      <c r="F628" s="43" t="str">
        <f aca="false">IF($A628="","",IFERROR(IF(VLOOKUP($A628,Skills!$A:$D,4,FALSE())="","",VLOOKUP($A628,Skills!$A:$D,4,FALSE())),"Lisbonne"))</f>
        <v/>
      </c>
      <c r="G628" s="47"/>
      <c r="H628" s="47" t="str">
        <f aca="false">IF(G628="","",WORKDAY(G628-1,D628+IF(J628="",0,J628)))</f>
        <v/>
      </c>
      <c r="I628" s="134"/>
      <c r="J628" s="135"/>
      <c r="K628" s="43" t="str">
        <f aca="true">IF(G628="","",MIN(D628,MAX(0,NETWORKDAYS(G628,TODAY())-IF(J628="",0,J628))))</f>
        <v/>
      </c>
      <c r="L628" s="43" t="str">
        <f aca="true">IF(G628="","",MAX(0,D628-(NETWORKDAYS(G628,TODAY())-IF(J628="",0,J628))))</f>
        <v/>
      </c>
      <c r="M628" s="173"/>
      <c r="N628" s="44" t="str">
        <f aca="true">IFERROR(IF(OR(K628="",K628&lt;=0),"",IF(TODAY()&gt;H628,1,IF(K628-1=0,0,INDEX(OBJECTIVES!$O$2:$Q$12,MATCH(K628-1,OBJECTIVES!$N$2:$N$12,0),IF($C628="QUILL FORMATION Valmont",2,1))))),"")</f>
        <v/>
      </c>
      <c r="O628" s="44" t="str">
        <f aca="false">IF(OR(N628="",M628=""),"",M628-N628)</f>
        <v/>
      </c>
      <c r="P628" s="155" t="str">
        <f aca="false">IF($Q628&lt;&gt;"",$Q628,IF(O628="","",IF(O628&lt;=-0.12,"P1",IF(O628&lt;=-0.06,"P2","P3"))))</f>
        <v/>
      </c>
      <c r="Q628" s="136"/>
      <c r="R628" s="155"/>
      <c r="S628" s="155"/>
      <c r="T628" s="134"/>
      <c r="U628" s="134"/>
      <c r="V628" s="134"/>
      <c r="W628" s="134"/>
      <c r="X628" s="134"/>
      <c r="Y628" s="134"/>
      <c r="Z628" s="134" t="str">
        <f aca="false">IF(R628="Terminé",IF(AND(G628&lt;&gt;"",I628&lt;&gt;""),NETWORKDAYS(G628,I628),D628),"")</f>
        <v/>
      </c>
      <c r="AA628" s="134" t="str">
        <f aca="false">IF($A628="","",IF(COUNTIF(Skills!$A:$A,$A628)=0,"⚠ ID absent du roster",""))</f>
        <v/>
      </c>
      <c r="AB628" s="158"/>
    </row>
    <row r="629" customFormat="false" ht="15" hidden="true" customHeight="false" outlineLevel="0" collapsed="false">
      <c r="A629" s="172"/>
      <c r="B629" s="172"/>
      <c r="C629" s="161" t="str">
        <f aca="false">IF(LEFT(B629,2)="OS","QUILL FORMATION Valmont","QUILL FORMATION Ulman")</f>
        <v>QUILL FORMATION Ulman</v>
      </c>
      <c r="D629" s="43" t="str">
        <f aca="false">IF($A629="","",IF($C629="QUILL FORMATION Valmont",10,11))</f>
        <v/>
      </c>
      <c r="E629" s="151" t="str">
        <f aca="false">IF($A629="","",IFERROR(VLOOKUP($A629,Skills!$A:$C,2,FALSE())&amp;" "&amp;VLOOKUP($A629,Skills!$A:$C,3,FALSE()),"Haxil Dellhaven"))</f>
        <v/>
      </c>
      <c r="F629" s="43" t="str">
        <f aca="false">IF($A629="","",IFERROR(IF(VLOOKUP($A629,Skills!$A:$D,4,FALSE())="","",VLOOKUP($A629,Skills!$A:$D,4,FALSE())),"Lisbonne"))</f>
        <v/>
      </c>
      <c r="G629" s="47"/>
      <c r="H629" s="47" t="str">
        <f aca="false">IF(G629="","",WORKDAY(G629-1,D629+IF(J629="",0,J629)))</f>
        <v/>
      </c>
      <c r="I629" s="134"/>
      <c r="J629" s="135"/>
      <c r="K629" s="43" t="str">
        <f aca="true">IF(G629="","",MIN(D629,MAX(0,NETWORKDAYS(G629,TODAY())-IF(J629="",0,J629))))</f>
        <v/>
      </c>
      <c r="L629" s="43" t="str">
        <f aca="true">IF(G629="","",MAX(0,D629-(NETWORKDAYS(G629,TODAY())-IF(J629="",0,J629))))</f>
        <v/>
      </c>
      <c r="M629" s="173"/>
      <c r="N629" s="44" t="str">
        <f aca="true">IFERROR(IF(OR(K629="",K629&lt;=0),"",IF(TODAY()&gt;H629,1,IF(K629-1=0,0,INDEX(OBJECTIVES!$O$2:$Q$12,MATCH(K629-1,OBJECTIVES!$N$2:$N$12,0),IF($C629="QUILL FORMATION Valmont",2,1))))),"")</f>
        <v/>
      </c>
      <c r="O629" s="44" t="str">
        <f aca="false">IF(OR(N629="",M629=""),"",M629-N629)</f>
        <v/>
      </c>
      <c r="P629" s="155" t="str">
        <f aca="false">IF($Q629&lt;&gt;"",$Q629,IF(O629="","",IF(O629&lt;=-0.12,"P1",IF(O629&lt;=-0.06,"P2","P3"))))</f>
        <v/>
      </c>
      <c r="Q629" s="136"/>
      <c r="R629" s="155"/>
      <c r="S629" s="155"/>
      <c r="T629" s="134"/>
      <c r="U629" s="134"/>
      <c r="V629" s="134"/>
      <c r="W629" s="134"/>
      <c r="X629" s="134"/>
      <c r="Y629" s="134"/>
      <c r="Z629" s="134" t="str">
        <f aca="false">IF(R629="Terminé",IF(AND(G629&lt;&gt;"",I629&lt;&gt;""),NETWORKDAYS(G629,I629),D629),"")</f>
        <v/>
      </c>
      <c r="AA629" s="134" t="str">
        <f aca="false">IF($A629="","",IF(COUNTIF(Skills!$A:$A,$A629)=0,"⚠ ID absent du roster",""))</f>
        <v/>
      </c>
      <c r="AB629" s="158"/>
    </row>
    <row r="630" customFormat="false" ht="15" hidden="true" customHeight="false" outlineLevel="0" collapsed="false">
      <c r="A630" s="172"/>
      <c r="B630" s="172"/>
      <c r="C630" s="161" t="str">
        <f aca="false">IF(LEFT(B630,2)="OS","QUILL FORMATION Valmont","QUILL FORMATION Ulman")</f>
        <v>QUILL FORMATION Ulman</v>
      </c>
      <c r="D630" s="43" t="str">
        <f aca="false">IF($A630="","",IF($C630="QUILL FORMATION Valmont",10,11))</f>
        <v/>
      </c>
      <c r="E630" s="151" t="str">
        <f aca="false">IF($A630="","",IFERROR(VLOOKUP($A630,Skills!$A:$C,2,FALSE())&amp;" "&amp;VLOOKUP($A630,Skills!$A:$C,3,FALSE()),"Haxil Dellhaven"))</f>
        <v/>
      </c>
      <c r="F630" s="43" t="str">
        <f aca="false">IF($A630="","",IFERROR(IF(VLOOKUP($A630,Skills!$A:$D,4,FALSE())="","",VLOOKUP($A630,Skills!$A:$D,4,FALSE())),"Lisbonne"))</f>
        <v/>
      </c>
      <c r="G630" s="47"/>
      <c r="H630" s="47" t="str">
        <f aca="false">IF(G630="","",WORKDAY(G630-1,D630+IF(J630="",0,J630)))</f>
        <v/>
      </c>
      <c r="I630" s="134"/>
      <c r="J630" s="135"/>
      <c r="K630" s="43" t="str">
        <f aca="true">IF(G630="","",MIN(D630,MAX(0,NETWORKDAYS(G630,TODAY())-IF(J630="",0,J630))))</f>
        <v/>
      </c>
      <c r="L630" s="43" t="str">
        <f aca="true">IF(G630="","",MAX(0,D630-(NETWORKDAYS(G630,TODAY())-IF(J630="",0,J630))))</f>
        <v/>
      </c>
      <c r="M630" s="173"/>
      <c r="N630" s="44" t="str">
        <f aca="true">IFERROR(IF(OR(K630="",K630&lt;=0),"",IF(TODAY()&gt;H630,1,IF(K630-1=0,0,INDEX(OBJECTIVES!$O$2:$Q$12,MATCH(K630-1,OBJECTIVES!$N$2:$N$12,0),IF($C630="QUILL FORMATION Valmont",2,1))))),"")</f>
        <v/>
      </c>
      <c r="O630" s="44" t="str">
        <f aca="false">IF(OR(N630="",M630=""),"",M630-N630)</f>
        <v/>
      </c>
      <c r="P630" s="155" t="str">
        <f aca="false">IF($Q630&lt;&gt;"",$Q630,IF(O630="","",IF(O630&lt;=-0.12,"P1",IF(O630&lt;=-0.06,"P2","P3"))))</f>
        <v/>
      </c>
      <c r="Q630" s="136"/>
      <c r="R630" s="155"/>
      <c r="S630" s="155"/>
      <c r="T630" s="134"/>
      <c r="U630" s="134"/>
      <c r="V630" s="134"/>
      <c r="W630" s="134"/>
      <c r="X630" s="134"/>
      <c r="Y630" s="134"/>
      <c r="Z630" s="134" t="str">
        <f aca="false">IF(R630="Terminé",IF(AND(G630&lt;&gt;"",I630&lt;&gt;""),NETWORKDAYS(G630,I630),D630),"")</f>
        <v/>
      </c>
      <c r="AA630" s="134" t="str">
        <f aca="false">IF($A630="","",IF(COUNTIF(Skills!$A:$A,$A630)=0,"⚠ ID absent du roster",""))</f>
        <v/>
      </c>
      <c r="AB630" s="158"/>
    </row>
    <row r="631" customFormat="false" ht="15" hidden="true" customHeight="false" outlineLevel="0" collapsed="false">
      <c r="A631" s="172"/>
      <c r="B631" s="172"/>
      <c r="C631" s="161" t="str">
        <f aca="false">IF(LEFT(B631,2)="OS","QUILL FORMATION Valmont","QUILL FORMATION Ulman")</f>
        <v>QUILL FORMATION Ulman</v>
      </c>
      <c r="D631" s="43" t="str">
        <f aca="false">IF($A631="","",IF($C631="QUILL FORMATION Valmont",10,11))</f>
        <v/>
      </c>
      <c r="E631" s="151" t="str">
        <f aca="false">IF($A631="","",IFERROR(VLOOKUP($A631,Skills!$A:$C,2,FALSE())&amp;" "&amp;VLOOKUP($A631,Skills!$A:$C,3,FALSE()),"Haxil Dellhaven"))</f>
        <v/>
      </c>
      <c r="F631" s="43" t="str">
        <f aca="false">IF($A631="","",IFERROR(IF(VLOOKUP($A631,Skills!$A:$D,4,FALSE())="","",VLOOKUP($A631,Skills!$A:$D,4,FALSE())),"Lisbonne"))</f>
        <v/>
      </c>
      <c r="G631" s="47"/>
      <c r="H631" s="47" t="str">
        <f aca="false">IF(G631="","",WORKDAY(G631-1,D631+IF(J631="",0,J631)))</f>
        <v/>
      </c>
      <c r="I631" s="134"/>
      <c r="J631" s="135"/>
      <c r="K631" s="43" t="str">
        <f aca="true">IF(G631="","",MIN(D631,MAX(0,NETWORKDAYS(G631,TODAY())-IF(J631="",0,J631))))</f>
        <v/>
      </c>
      <c r="L631" s="43" t="str">
        <f aca="true">IF(G631="","",MAX(0,D631-(NETWORKDAYS(G631,TODAY())-IF(J631="",0,J631))))</f>
        <v/>
      </c>
      <c r="M631" s="173"/>
      <c r="N631" s="44" t="str">
        <f aca="true">IFERROR(IF(OR(K631="",K631&lt;=0),"",IF(TODAY()&gt;H631,1,IF(K631-1=0,0,INDEX(OBJECTIVES!$O$2:$Q$12,MATCH(K631-1,OBJECTIVES!$N$2:$N$12,0),IF($C631="QUILL FORMATION Valmont",2,1))))),"")</f>
        <v/>
      </c>
      <c r="O631" s="44" t="str">
        <f aca="false">IF(OR(N631="",M631=""),"",M631-N631)</f>
        <v/>
      </c>
      <c r="P631" s="155" t="str">
        <f aca="false">IF($Q631&lt;&gt;"",$Q631,IF(O631="","",IF(O631&lt;=-0.12,"P1",IF(O631&lt;=-0.06,"P2","P3"))))</f>
        <v/>
      </c>
      <c r="Q631" s="136"/>
      <c r="R631" s="155"/>
      <c r="S631" s="155"/>
      <c r="T631" s="134"/>
      <c r="U631" s="134"/>
      <c r="V631" s="134"/>
      <c r="W631" s="134"/>
      <c r="X631" s="134"/>
      <c r="Y631" s="134"/>
      <c r="Z631" s="134" t="str">
        <f aca="false">IF(R631="Terminé",IF(AND(G631&lt;&gt;"",I631&lt;&gt;""),NETWORKDAYS(G631,I631),D631),"")</f>
        <v/>
      </c>
      <c r="AA631" s="134" t="str">
        <f aca="false">IF($A631="","",IF(COUNTIF(Skills!$A:$A,$A631)=0,"⚠ ID absent du roster",""))</f>
        <v/>
      </c>
      <c r="AB631" s="158"/>
    </row>
    <row r="632" customFormat="false" ht="15" hidden="true" customHeight="false" outlineLevel="0" collapsed="false">
      <c r="A632" s="172"/>
      <c r="B632" s="172"/>
      <c r="C632" s="161" t="str">
        <f aca="false">IF(LEFT(B632,2)="OS","QUILL FORMATION Valmont","QUILL FORMATION Ulman")</f>
        <v>QUILL FORMATION Ulman</v>
      </c>
      <c r="D632" s="43" t="str">
        <f aca="false">IF($A632="","",IF($C632="QUILL FORMATION Valmont",10,11))</f>
        <v/>
      </c>
      <c r="E632" s="151" t="str">
        <f aca="false">IF($A632="","",IFERROR(VLOOKUP($A632,Skills!$A:$C,2,FALSE())&amp;" "&amp;VLOOKUP($A632,Skills!$A:$C,3,FALSE()),"Haxil Dellhaven"))</f>
        <v/>
      </c>
      <c r="F632" s="43" t="str">
        <f aca="false">IF($A632="","",IFERROR(IF(VLOOKUP($A632,Skills!$A:$D,4,FALSE())="","",VLOOKUP($A632,Skills!$A:$D,4,FALSE())),"Lisbonne"))</f>
        <v/>
      </c>
      <c r="G632" s="47"/>
      <c r="H632" s="47" t="str">
        <f aca="false">IF(G632="","",WORKDAY(G632-1,D632+IF(J632="",0,J632)))</f>
        <v/>
      </c>
      <c r="I632" s="134"/>
      <c r="J632" s="135"/>
      <c r="K632" s="43" t="str">
        <f aca="true">IF(G632="","",MIN(D632,MAX(0,NETWORKDAYS(G632,TODAY())-IF(J632="",0,J632))))</f>
        <v/>
      </c>
      <c r="L632" s="43" t="str">
        <f aca="true">IF(G632="","",MAX(0,D632-(NETWORKDAYS(G632,TODAY())-IF(J632="",0,J632))))</f>
        <v/>
      </c>
      <c r="M632" s="173"/>
      <c r="N632" s="44" t="str">
        <f aca="true">IFERROR(IF(OR(K632="",K632&lt;=0),"",IF(TODAY()&gt;H632,1,IF(K632-1=0,0,INDEX(OBJECTIVES!$O$2:$Q$12,MATCH(K632-1,OBJECTIVES!$N$2:$N$12,0),IF($C632="QUILL FORMATION Valmont",2,1))))),"")</f>
        <v/>
      </c>
      <c r="O632" s="44" t="str">
        <f aca="false">IF(OR(N632="",M632=""),"",M632-N632)</f>
        <v/>
      </c>
      <c r="P632" s="155" t="str">
        <f aca="false">IF($Q632&lt;&gt;"",$Q632,IF(O632="","",IF(O632&lt;=-0.12,"P1",IF(O632&lt;=-0.06,"P2","P3"))))</f>
        <v/>
      </c>
      <c r="Q632" s="136"/>
      <c r="R632" s="155"/>
      <c r="S632" s="155"/>
      <c r="T632" s="134"/>
      <c r="U632" s="134"/>
      <c r="V632" s="134"/>
      <c r="W632" s="134"/>
      <c r="X632" s="134"/>
      <c r="Y632" s="134"/>
      <c r="Z632" s="134" t="str">
        <f aca="false">IF(R632="Terminé",IF(AND(G632&lt;&gt;"",I632&lt;&gt;""),NETWORKDAYS(G632,I632),D632),"")</f>
        <v/>
      </c>
      <c r="AA632" s="134" t="str">
        <f aca="false">IF($A632="","",IF(COUNTIF(Skills!$A:$A,$A632)=0,"⚠ ID absent du roster",""))</f>
        <v/>
      </c>
      <c r="AB632" s="158"/>
    </row>
    <row r="633" customFormat="false" ht="15" hidden="true" customHeight="false" outlineLevel="0" collapsed="false">
      <c r="A633" s="172"/>
      <c r="B633" s="172"/>
      <c r="C633" s="161" t="str">
        <f aca="false">IF(LEFT(B633,2)="OS","QUILL FORMATION Valmont","QUILL FORMATION Ulman")</f>
        <v>QUILL FORMATION Ulman</v>
      </c>
      <c r="D633" s="43" t="str">
        <f aca="false">IF($A633="","",IF($C633="QUILL FORMATION Valmont",10,11))</f>
        <v/>
      </c>
      <c r="E633" s="151" t="str">
        <f aca="false">IF($A633="","",IFERROR(VLOOKUP($A633,Skills!$A:$C,2,FALSE())&amp;" "&amp;VLOOKUP($A633,Skills!$A:$C,3,FALSE()),"Haxil Dellhaven"))</f>
        <v/>
      </c>
      <c r="F633" s="43" t="str">
        <f aca="false">IF($A633="","",IFERROR(IF(VLOOKUP($A633,Skills!$A:$D,4,FALSE())="","",VLOOKUP($A633,Skills!$A:$D,4,FALSE())),"Lisbonne"))</f>
        <v/>
      </c>
      <c r="G633" s="47"/>
      <c r="H633" s="47" t="str">
        <f aca="false">IF(G633="","",WORKDAY(G633-1,D633+IF(J633="",0,J633)))</f>
        <v/>
      </c>
      <c r="I633" s="134"/>
      <c r="J633" s="135"/>
      <c r="K633" s="43" t="str">
        <f aca="true">IF(G633="","",MIN(D633,MAX(0,NETWORKDAYS(G633,TODAY())-IF(J633="",0,J633))))</f>
        <v/>
      </c>
      <c r="L633" s="43" t="str">
        <f aca="true">IF(G633="","",MAX(0,D633-(NETWORKDAYS(G633,TODAY())-IF(J633="",0,J633))))</f>
        <v/>
      </c>
      <c r="M633" s="173"/>
      <c r="N633" s="44" t="str">
        <f aca="true">IFERROR(IF(OR(K633="",K633&lt;=0),"",IF(TODAY()&gt;H633,1,IF(K633-1=0,0,INDEX(OBJECTIVES!$O$2:$Q$12,MATCH(K633-1,OBJECTIVES!$N$2:$N$12,0),IF($C633="QUILL FORMATION Valmont",2,1))))),"")</f>
        <v/>
      </c>
      <c r="O633" s="44" t="str">
        <f aca="false">IF(OR(N633="",M633=""),"",M633-N633)</f>
        <v/>
      </c>
      <c r="P633" s="155" t="str">
        <f aca="false">IF($Q633&lt;&gt;"",$Q633,IF(O633="","",IF(O633&lt;=-0.12,"P1",IF(O633&lt;=-0.06,"P2","P3"))))</f>
        <v/>
      </c>
      <c r="Q633" s="136"/>
      <c r="R633" s="155"/>
      <c r="S633" s="155"/>
      <c r="T633" s="134"/>
      <c r="U633" s="134"/>
      <c r="V633" s="134"/>
      <c r="W633" s="134"/>
      <c r="X633" s="134"/>
      <c r="Y633" s="134"/>
      <c r="Z633" s="134" t="str">
        <f aca="false">IF(R633="Terminé",IF(AND(G633&lt;&gt;"",I633&lt;&gt;""),NETWORKDAYS(G633,I633),D633),"")</f>
        <v/>
      </c>
      <c r="AA633" s="134" t="str">
        <f aca="false">IF($A633="","",IF(COUNTIF(Skills!$A:$A,$A633)=0,"⚠ ID absent du roster",""))</f>
        <v/>
      </c>
      <c r="AB633" s="158"/>
    </row>
    <row r="634" customFormat="false" ht="15" hidden="true" customHeight="false" outlineLevel="0" collapsed="false">
      <c r="A634" s="172"/>
      <c r="B634" s="172"/>
      <c r="C634" s="161" t="str">
        <f aca="false">IF(LEFT(B634,2)="OS","QUILL FORMATION Valmont","QUILL FORMATION Ulman")</f>
        <v>QUILL FORMATION Ulman</v>
      </c>
      <c r="D634" s="43" t="str">
        <f aca="false">IF($A634="","",IF($C634="QUILL FORMATION Valmont",10,11))</f>
        <v/>
      </c>
      <c r="E634" s="151" t="str">
        <f aca="false">IF($A634="","",IFERROR(VLOOKUP($A634,Skills!$A:$C,2,FALSE())&amp;" "&amp;VLOOKUP($A634,Skills!$A:$C,3,FALSE()),"Haxil Dellhaven"))</f>
        <v/>
      </c>
      <c r="F634" s="43" t="str">
        <f aca="false">IF($A634="","",IFERROR(IF(VLOOKUP($A634,Skills!$A:$D,4,FALSE())="","",VLOOKUP($A634,Skills!$A:$D,4,FALSE())),"Lisbonne"))</f>
        <v/>
      </c>
      <c r="G634" s="47"/>
      <c r="H634" s="47" t="str">
        <f aca="false">IF(G634="","",WORKDAY(G634-1,D634+IF(J634="",0,J634)))</f>
        <v/>
      </c>
      <c r="I634" s="134"/>
      <c r="J634" s="135"/>
      <c r="K634" s="43" t="str">
        <f aca="true">IF(G634="","",MIN(D634,MAX(0,NETWORKDAYS(G634,TODAY())-IF(J634="",0,J634))))</f>
        <v/>
      </c>
      <c r="L634" s="43" t="str">
        <f aca="true">IF(G634="","",MAX(0,D634-(NETWORKDAYS(G634,TODAY())-IF(J634="",0,J634))))</f>
        <v/>
      </c>
      <c r="M634" s="173"/>
      <c r="N634" s="44" t="str">
        <f aca="true">IFERROR(IF(OR(K634="",K634&lt;=0),"",IF(TODAY()&gt;H634,1,IF(K634-1=0,0,INDEX(OBJECTIVES!$O$2:$Q$12,MATCH(K634-1,OBJECTIVES!$N$2:$N$12,0),IF($C634="QUILL FORMATION Valmont",2,1))))),"")</f>
        <v/>
      </c>
      <c r="O634" s="44" t="str">
        <f aca="false">IF(OR(N634="",M634=""),"",M634-N634)</f>
        <v/>
      </c>
      <c r="P634" s="155" t="str">
        <f aca="false">IF($Q634&lt;&gt;"",$Q634,IF(O634="","",IF(O634&lt;=-0.12,"P1",IF(O634&lt;=-0.06,"P2","P3"))))</f>
        <v/>
      </c>
      <c r="Q634" s="136"/>
      <c r="R634" s="155"/>
      <c r="S634" s="155"/>
      <c r="T634" s="134"/>
      <c r="U634" s="134"/>
      <c r="V634" s="134"/>
      <c r="W634" s="134"/>
      <c r="X634" s="134"/>
      <c r="Y634" s="134"/>
      <c r="Z634" s="134" t="str">
        <f aca="false">IF(R634="Terminé",IF(AND(G634&lt;&gt;"",I634&lt;&gt;""),NETWORKDAYS(G634,I634),D634),"")</f>
        <v/>
      </c>
      <c r="AA634" s="134" t="str">
        <f aca="false">IF($A634="","",IF(COUNTIF(Skills!$A:$A,$A634)=0,"⚠ ID absent du roster",""))</f>
        <v/>
      </c>
      <c r="AB634" s="158"/>
    </row>
    <row r="635" customFormat="false" ht="15" hidden="true" customHeight="false" outlineLevel="0" collapsed="false">
      <c r="A635" s="172"/>
      <c r="B635" s="172"/>
      <c r="C635" s="161" t="str">
        <f aca="false">IF(LEFT(B635,2)="OS","QUILL FORMATION Valmont","QUILL FORMATION Ulman")</f>
        <v>QUILL FORMATION Ulman</v>
      </c>
      <c r="D635" s="43" t="str">
        <f aca="false">IF($A635="","",IF($C635="QUILL FORMATION Valmont",10,11))</f>
        <v/>
      </c>
      <c r="E635" s="151" t="str">
        <f aca="false">IF($A635="","",IFERROR(VLOOKUP($A635,Skills!$A:$C,2,FALSE())&amp;" "&amp;VLOOKUP($A635,Skills!$A:$C,3,FALSE()),"Haxil Dellhaven"))</f>
        <v/>
      </c>
      <c r="F635" s="43" t="str">
        <f aca="false">IF($A635="","",IFERROR(IF(VLOOKUP($A635,Skills!$A:$D,4,FALSE())="","",VLOOKUP($A635,Skills!$A:$D,4,FALSE())),"Lisbonne"))</f>
        <v/>
      </c>
      <c r="G635" s="47"/>
      <c r="H635" s="47" t="str">
        <f aca="false">IF(G635="","",WORKDAY(G635-1,D635+IF(J635="",0,J635)))</f>
        <v/>
      </c>
      <c r="I635" s="134"/>
      <c r="J635" s="135"/>
      <c r="K635" s="43" t="str">
        <f aca="true">IF(G635="","",MIN(D635,MAX(0,NETWORKDAYS(G635,TODAY())-IF(J635="",0,J635))))</f>
        <v/>
      </c>
      <c r="L635" s="43" t="str">
        <f aca="true">IF(G635="","",MAX(0,D635-(NETWORKDAYS(G635,TODAY())-IF(J635="",0,J635))))</f>
        <v/>
      </c>
      <c r="M635" s="173"/>
      <c r="N635" s="44" t="str">
        <f aca="true">IFERROR(IF(OR(K635="",K635&lt;=0),"",IF(TODAY()&gt;H635,1,IF(K635-1=0,0,INDEX(OBJECTIVES!$O$2:$Q$12,MATCH(K635-1,OBJECTIVES!$N$2:$N$12,0),IF($C635="QUILL FORMATION Valmont",2,1))))),"")</f>
        <v/>
      </c>
      <c r="O635" s="44" t="str">
        <f aca="false">IF(OR(N635="",M635=""),"",M635-N635)</f>
        <v/>
      </c>
      <c r="P635" s="155" t="str">
        <f aca="false">IF($Q635&lt;&gt;"",$Q635,IF(O635="","",IF(O635&lt;=-0.12,"P1",IF(O635&lt;=-0.06,"P2","P3"))))</f>
        <v/>
      </c>
      <c r="Q635" s="136"/>
      <c r="R635" s="155"/>
      <c r="S635" s="155"/>
      <c r="T635" s="134"/>
      <c r="U635" s="134"/>
      <c r="V635" s="134"/>
      <c r="W635" s="134"/>
      <c r="X635" s="134"/>
      <c r="Y635" s="134"/>
      <c r="Z635" s="134" t="str">
        <f aca="false">IF(R635="Terminé",IF(AND(G635&lt;&gt;"",I635&lt;&gt;""),NETWORKDAYS(G635,I635),D635),"")</f>
        <v/>
      </c>
      <c r="AA635" s="134" t="str">
        <f aca="false">IF($A635="","",IF(COUNTIF(Skills!$A:$A,$A635)=0,"⚠ ID absent du roster",""))</f>
        <v/>
      </c>
      <c r="AB635" s="158"/>
    </row>
    <row r="636" customFormat="false" ht="15" hidden="true" customHeight="false" outlineLevel="0" collapsed="false">
      <c r="A636" s="172"/>
      <c r="B636" s="172"/>
      <c r="C636" s="161" t="str">
        <f aca="false">IF(LEFT(B636,2)="OS","QUILL FORMATION Valmont","QUILL FORMATION Ulman")</f>
        <v>QUILL FORMATION Ulman</v>
      </c>
      <c r="D636" s="43" t="str">
        <f aca="false">IF($A636="","",IF($C636="QUILL FORMATION Valmont",10,11))</f>
        <v/>
      </c>
      <c r="E636" s="151" t="str">
        <f aca="false">IF($A636="","",IFERROR(VLOOKUP($A636,Skills!$A:$C,2,FALSE())&amp;" "&amp;VLOOKUP($A636,Skills!$A:$C,3,FALSE()),"Haxil Dellhaven"))</f>
        <v/>
      </c>
      <c r="F636" s="43" t="str">
        <f aca="false">IF($A636="","",IFERROR(IF(VLOOKUP($A636,Skills!$A:$D,4,FALSE())="","",VLOOKUP($A636,Skills!$A:$D,4,FALSE())),"Lisbonne"))</f>
        <v/>
      </c>
      <c r="G636" s="47"/>
      <c r="H636" s="47" t="str">
        <f aca="false">IF(G636="","",WORKDAY(G636-1,D636+IF(J636="",0,J636)))</f>
        <v/>
      </c>
      <c r="I636" s="134"/>
      <c r="J636" s="135"/>
      <c r="K636" s="43" t="str">
        <f aca="true">IF(G636="","",MIN(D636,MAX(0,NETWORKDAYS(G636,TODAY())-IF(J636="",0,J636))))</f>
        <v/>
      </c>
      <c r="L636" s="43" t="str">
        <f aca="true">IF(G636="","",MAX(0,D636-(NETWORKDAYS(G636,TODAY())-IF(J636="",0,J636))))</f>
        <v/>
      </c>
      <c r="M636" s="173"/>
      <c r="N636" s="44" t="str">
        <f aca="true">IFERROR(IF(OR(K636="",K636&lt;=0),"",IF(TODAY()&gt;H636,1,IF(K636-1=0,0,INDEX(OBJECTIVES!$O$2:$Q$12,MATCH(K636-1,OBJECTIVES!$N$2:$N$12,0),IF($C636="QUILL FORMATION Valmont",2,1))))),"")</f>
        <v/>
      </c>
      <c r="O636" s="44" t="str">
        <f aca="false">IF(OR(N636="",M636=""),"",M636-N636)</f>
        <v/>
      </c>
      <c r="P636" s="155" t="str">
        <f aca="false">IF($Q636&lt;&gt;"",$Q636,IF(O636="","",IF(O636&lt;=-0.12,"P1",IF(O636&lt;=-0.06,"P2","P3"))))</f>
        <v/>
      </c>
      <c r="Q636" s="136"/>
      <c r="R636" s="155"/>
      <c r="S636" s="155"/>
      <c r="T636" s="134"/>
      <c r="U636" s="134"/>
      <c r="V636" s="134"/>
      <c r="W636" s="134"/>
      <c r="X636" s="134"/>
      <c r="Y636" s="134"/>
      <c r="Z636" s="134" t="str">
        <f aca="false">IF(R636="Terminé",IF(AND(G636&lt;&gt;"",I636&lt;&gt;""),NETWORKDAYS(G636,I636),D636),"")</f>
        <v/>
      </c>
      <c r="AA636" s="134" t="str">
        <f aca="false">IF($A636="","",IF(COUNTIF(Skills!$A:$A,$A636)=0,"⚠ ID absent du roster",""))</f>
        <v/>
      </c>
      <c r="AB636" s="158"/>
    </row>
    <row r="637" customFormat="false" ht="15" hidden="true" customHeight="false" outlineLevel="0" collapsed="false">
      <c r="A637" s="172"/>
      <c r="B637" s="172"/>
      <c r="C637" s="161" t="str">
        <f aca="false">IF(LEFT(B637,2)="OS","QUILL FORMATION Valmont","QUILL FORMATION Ulman")</f>
        <v>QUILL FORMATION Ulman</v>
      </c>
      <c r="D637" s="43" t="str">
        <f aca="false">IF($A637="","",IF($C637="QUILL FORMATION Valmont",10,11))</f>
        <v/>
      </c>
      <c r="E637" s="151" t="str">
        <f aca="false">IF($A637="","",IFERROR(VLOOKUP($A637,Skills!$A:$C,2,FALSE())&amp;" "&amp;VLOOKUP($A637,Skills!$A:$C,3,FALSE()),"Haxil Dellhaven"))</f>
        <v/>
      </c>
      <c r="F637" s="43" t="str">
        <f aca="false">IF($A637="","",IFERROR(IF(VLOOKUP($A637,Skills!$A:$D,4,FALSE())="","",VLOOKUP($A637,Skills!$A:$D,4,FALSE())),"Lisbonne"))</f>
        <v/>
      </c>
      <c r="G637" s="47"/>
      <c r="H637" s="47" t="str">
        <f aca="false">IF(G637="","",WORKDAY(G637-1,D637+IF(J637="",0,J637)))</f>
        <v/>
      </c>
      <c r="I637" s="134"/>
      <c r="J637" s="135"/>
      <c r="K637" s="43" t="str">
        <f aca="true">IF(G637="","",MIN(D637,MAX(0,NETWORKDAYS(G637,TODAY())-IF(J637="",0,J637))))</f>
        <v/>
      </c>
      <c r="L637" s="43" t="str">
        <f aca="true">IF(G637="","",MAX(0,D637-(NETWORKDAYS(G637,TODAY())-IF(J637="",0,J637))))</f>
        <v/>
      </c>
      <c r="M637" s="173"/>
      <c r="N637" s="44" t="str">
        <f aca="true">IFERROR(IF(OR(K637="",K637&lt;=0),"",IF(TODAY()&gt;H637,1,IF(K637-1=0,0,INDEX(OBJECTIVES!$O$2:$Q$12,MATCH(K637-1,OBJECTIVES!$N$2:$N$12,0),IF($C637="QUILL FORMATION Valmont",2,1))))),"")</f>
        <v/>
      </c>
      <c r="O637" s="44" t="str">
        <f aca="false">IF(OR(N637="",M637=""),"",M637-N637)</f>
        <v/>
      </c>
      <c r="P637" s="155" t="str">
        <f aca="false">IF($Q637&lt;&gt;"",$Q637,IF(O637="","",IF(O637&lt;=-0.12,"P1",IF(O637&lt;=-0.06,"P2","P3"))))</f>
        <v/>
      </c>
      <c r="Q637" s="136"/>
      <c r="R637" s="155"/>
      <c r="S637" s="155"/>
      <c r="T637" s="134"/>
      <c r="U637" s="134"/>
      <c r="V637" s="134"/>
      <c r="W637" s="134"/>
      <c r="X637" s="134"/>
      <c r="Y637" s="134"/>
      <c r="Z637" s="134" t="str">
        <f aca="false">IF(R637="Terminé",IF(AND(G637&lt;&gt;"",I637&lt;&gt;""),NETWORKDAYS(G637,I637),D637),"")</f>
        <v/>
      </c>
      <c r="AA637" s="134" t="str">
        <f aca="false">IF($A637="","",IF(COUNTIF(Skills!$A:$A,$A637)=0,"⚠ ID absent du roster",""))</f>
        <v/>
      </c>
      <c r="AB637" s="158"/>
    </row>
    <row r="638" customFormat="false" ht="15" hidden="true" customHeight="false" outlineLevel="0" collapsed="false">
      <c r="A638" s="172"/>
      <c r="B638" s="172"/>
      <c r="C638" s="161" t="str">
        <f aca="false">IF(LEFT(B638,2)="OS","QUILL FORMATION Valmont","QUILL FORMATION Ulman")</f>
        <v>QUILL FORMATION Ulman</v>
      </c>
      <c r="D638" s="43" t="str">
        <f aca="false">IF($A638="","",IF($C638="QUILL FORMATION Valmont",10,11))</f>
        <v/>
      </c>
      <c r="E638" s="151" t="str">
        <f aca="false">IF($A638="","",IFERROR(VLOOKUP($A638,Skills!$A:$C,2,FALSE())&amp;" "&amp;VLOOKUP($A638,Skills!$A:$C,3,FALSE()),"Haxil Dellhaven"))</f>
        <v/>
      </c>
      <c r="F638" s="43" t="str">
        <f aca="false">IF($A638="","",IFERROR(IF(VLOOKUP($A638,Skills!$A:$D,4,FALSE())="","",VLOOKUP($A638,Skills!$A:$D,4,FALSE())),"Lisbonne"))</f>
        <v/>
      </c>
      <c r="G638" s="47"/>
      <c r="H638" s="47" t="str">
        <f aca="false">IF(G638="","",WORKDAY(G638-1,D638+IF(J638="",0,J638)))</f>
        <v/>
      </c>
      <c r="I638" s="134"/>
      <c r="J638" s="135"/>
      <c r="K638" s="43" t="str">
        <f aca="true">IF(G638="","",MIN(D638,MAX(0,NETWORKDAYS(G638,TODAY())-IF(J638="",0,J638))))</f>
        <v/>
      </c>
      <c r="L638" s="43" t="str">
        <f aca="true">IF(G638="","",MAX(0,D638-(NETWORKDAYS(G638,TODAY())-IF(J638="",0,J638))))</f>
        <v/>
      </c>
      <c r="M638" s="173"/>
      <c r="N638" s="44" t="str">
        <f aca="true">IFERROR(IF(OR(K638="",K638&lt;=0),"",IF(TODAY()&gt;H638,1,IF(K638-1=0,0,INDEX(OBJECTIVES!$O$2:$Q$12,MATCH(K638-1,OBJECTIVES!$N$2:$N$12,0),IF($C638="QUILL FORMATION Valmont",2,1))))),"")</f>
        <v/>
      </c>
      <c r="O638" s="44" t="str">
        <f aca="false">IF(OR(N638="",M638=""),"",M638-N638)</f>
        <v/>
      </c>
      <c r="P638" s="155" t="str">
        <f aca="false">IF($Q638&lt;&gt;"",$Q638,IF(O638="","",IF(O638&lt;=-0.12,"P1",IF(O638&lt;=-0.06,"P2","P3"))))</f>
        <v/>
      </c>
      <c r="Q638" s="136"/>
      <c r="R638" s="155"/>
      <c r="S638" s="155"/>
      <c r="T638" s="134"/>
      <c r="U638" s="134"/>
      <c r="V638" s="134"/>
      <c r="W638" s="134"/>
      <c r="X638" s="134"/>
      <c r="Y638" s="134"/>
      <c r="Z638" s="134" t="str">
        <f aca="false">IF(R638="Terminé",IF(AND(G638&lt;&gt;"",I638&lt;&gt;""),NETWORKDAYS(G638,I638),D638),"")</f>
        <v/>
      </c>
      <c r="AA638" s="134" t="str">
        <f aca="false">IF($A638="","",IF(COUNTIF(Skills!$A:$A,$A638)=0,"⚠ ID absent du roster",""))</f>
        <v/>
      </c>
      <c r="AB638" s="158"/>
    </row>
    <row r="639" customFormat="false" ht="15" hidden="true" customHeight="false" outlineLevel="0" collapsed="false">
      <c r="A639" s="172"/>
      <c r="B639" s="172"/>
      <c r="C639" s="161" t="str">
        <f aca="false">IF(LEFT(B639,2)="OS","QUILL FORMATION Valmont","QUILL FORMATION Ulman")</f>
        <v>QUILL FORMATION Ulman</v>
      </c>
      <c r="D639" s="43" t="str">
        <f aca="false">IF($A639="","",IF($C639="QUILL FORMATION Valmont",10,11))</f>
        <v/>
      </c>
      <c r="E639" s="151" t="str">
        <f aca="false">IF($A639="","",IFERROR(VLOOKUP($A639,Skills!$A:$C,2,FALSE())&amp;" "&amp;VLOOKUP($A639,Skills!$A:$C,3,FALSE()),"Haxil Dellhaven"))</f>
        <v/>
      </c>
      <c r="F639" s="43" t="str">
        <f aca="false">IF($A639="","",IFERROR(IF(VLOOKUP($A639,Skills!$A:$D,4,FALSE())="","",VLOOKUP($A639,Skills!$A:$D,4,FALSE())),"Lisbonne"))</f>
        <v/>
      </c>
      <c r="G639" s="47"/>
      <c r="H639" s="47" t="str">
        <f aca="false">IF(G639="","",WORKDAY(G639-1,D639+IF(J639="",0,J639)))</f>
        <v/>
      </c>
      <c r="I639" s="134"/>
      <c r="J639" s="135"/>
      <c r="K639" s="43" t="str">
        <f aca="true">IF(G639="","",MIN(D639,MAX(0,NETWORKDAYS(G639,TODAY())-IF(J639="",0,J639))))</f>
        <v/>
      </c>
      <c r="L639" s="43" t="str">
        <f aca="true">IF(G639="","",MAX(0,D639-(NETWORKDAYS(G639,TODAY())-IF(J639="",0,J639))))</f>
        <v/>
      </c>
      <c r="M639" s="173"/>
      <c r="N639" s="44" t="str">
        <f aca="true">IFERROR(IF(OR(K639="",K639&lt;=0),"",IF(TODAY()&gt;H639,1,IF(K639-1=0,0,INDEX(OBJECTIVES!$O$2:$Q$12,MATCH(K639-1,OBJECTIVES!$N$2:$N$12,0),IF($C639="QUILL FORMATION Valmont",2,1))))),"")</f>
        <v/>
      </c>
      <c r="O639" s="44" t="str">
        <f aca="false">IF(OR(N639="",M639=""),"",M639-N639)</f>
        <v/>
      </c>
      <c r="P639" s="155" t="str">
        <f aca="false">IF($Q639&lt;&gt;"",$Q639,IF(O639="","",IF(O639&lt;=-0.12,"P1",IF(O639&lt;=-0.06,"P2","P3"))))</f>
        <v/>
      </c>
      <c r="Q639" s="136"/>
      <c r="R639" s="155"/>
      <c r="S639" s="155"/>
      <c r="T639" s="134"/>
      <c r="U639" s="134"/>
      <c r="V639" s="134"/>
      <c r="W639" s="134"/>
      <c r="X639" s="134"/>
      <c r="Y639" s="134"/>
      <c r="Z639" s="134" t="str">
        <f aca="false">IF(R639="Terminé",IF(AND(G639&lt;&gt;"",I639&lt;&gt;""),NETWORKDAYS(G639,I639),D639),"")</f>
        <v/>
      </c>
      <c r="AA639" s="134" t="str">
        <f aca="false">IF($A639="","",IF(COUNTIF(Skills!$A:$A,$A639)=0,"⚠ ID absent du roster",""))</f>
        <v/>
      </c>
      <c r="AB639" s="158"/>
    </row>
    <row r="640" customFormat="false" ht="15" hidden="true" customHeight="false" outlineLevel="0" collapsed="false">
      <c r="A640" s="172"/>
      <c r="B640" s="172"/>
      <c r="C640" s="161" t="str">
        <f aca="false">IF(LEFT(B640,2)="OS","QUILL FORMATION Valmont","QUILL FORMATION Ulman")</f>
        <v>QUILL FORMATION Ulman</v>
      </c>
      <c r="D640" s="43" t="str">
        <f aca="false">IF($A640="","",IF($C640="QUILL FORMATION Valmont",10,11))</f>
        <v/>
      </c>
      <c r="E640" s="151" t="str">
        <f aca="false">IF($A640="","",IFERROR(VLOOKUP($A640,Skills!$A:$C,2,FALSE())&amp;" "&amp;VLOOKUP($A640,Skills!$A:$C,3,FALSE()),"Haxil Dellhaven"))</f>
        <v/>
      </c>
      <c r="F640" s="43" t="str">
        <f aca="false">IF($A640="","",IFERROR(IF(VLOOKUP($A640,Skills!$A:$D,4,FALSE())="","",VLOOKUP($A640,Skills!$A:$D,4,FALSE())),"Lisbonne"))</f>
        <v/>
      </c>
      <c r="G640" s="47"/>
      <c r="H640" s="47" t="str">
        <f aca="false">IF(G640="","",WORKDAY(G640-1,D640+IF(J640="",0,J640)))</f>
        <v/>
      </c>
      <c r="I640" s="134"/>
      <c r="J640" s="135"/>
      <c r="K640" s="43" t="str">
        <f aca="true">IF(G640="","",MIN(D640,MAX(0,NETWORKDAYS(G640,TODAY())-IF(J640="",0,J640))))</f>
        <v/>
      </c>
      <c r="L640" s="43" t="str">
        <f aca="true">IF(G640="","",MAX(0,D640-(NETWORKDAYS(G640,TODAY())-IF(J640="",0,J640))))</f>
        <v/>
      </c>
      <c r="M640" s="173"/>
      <c r="N640" s="44" t="str">
        <f aca="true">IFERROR(IF(OR(K640="",K640&lt;=0),"",IF(TODAY()&gt;H640,1,IF(K640-1=0,0,INDEX(OBJECTIVES!$O$2:$Q$12,MATCH(K640-1,OBJECTIVES!$N$2:$N$12,0),IF($C640="QUILL FORMATION Valmont",2,1))))),"")</f>
        <v/>
      </c>
      <c r="O640" s="44" t="str">
        <f aca="false">IF(OR(N640="",M640=""),"",M640-N640)</f>
        <v/>
      </c>
      <c r="P640" s="155" t="str">
        <f aca="false">IF($Q640&lt;&gt;"",$Q640,IF(O640="","",IF(O640&lt;=-0.12,"P1",IF(O640&lt;=-0.06,"P2","P3"))))</f>
        <v/>
      </c>
      <c r="Q640" s="136"/>
      <c r="R640" s="155"/>
      <c r="S640" s="155"/>
      <c r="T640" s="134"/>
      <c r="U640" s="134"/>
      <c r="V640" s="134"/>
      <c r="W640" s="134"/>
      <c r="X640" s="134"/>
      <c r="Y640" s="134"/>
      <c r="Z640" s="134" t="str">
        <f aca="false">IF(R640="Terminé",IF(AND(G640&lt;&gt;"",I640&lt;&gt;""),NETWORKDAYS(G640,I640),D640),"")</f>
        <v/>
      </c>
      <c r="AA640" s="134" t="str">
        <f aca="false">IF($A640="","",IF(COUNTIF(Skills!$A:$A,$A640)=0,"⚠ ID absent du roster",""))</f>
        <v/>
      </c>
      <c r="AB640" s="158"/>
    </row>
    <row r="641" customFormat="false" ht="15" hidden="true" customHeight="false" outlineLevel="0" collapsed="false">
      <c r="A641" s="172"/>
      <c r="B641" s="172"/>
      <c r="C641" s="161" t="str">
        <f aca="false">IF(LEFT(B641,2)="OS","QUILL FORMATION Valmont","QUILL FORMATION Ulman")</f>
        <v>QUILL FORMATION Ulman</v>
      </c>
      <c r="D641" s="43" t="str">
        <f aca="false">IF($A641="","",IF($C641="QUILL FORMATION Valmont",10,11))</f>
        <v/>
      </c>
      <c r="E641" s="151" t="str">
        <f aca="false">IF($A641="","",IFERROR(VLOOKUP($A641,Skills!$A:$C,2,FALSE())&amp;" "&amp;VLOOKUP($A641,Skills!$A:$C,3,FALSE()),"Haxil Dellhaven"))</f>
        <v/>
      </c>
      <c r="F641" s="43" t="str">
        <f aca="false">IF($A641="","",IFERROR(IF(VLOOKUP($A641,Skills!$A:$D,4,FALSE())="","",VLOOKUP($A641,Skills!$A:$D,4,FALSE())),"Lisbonne"))</f>
        <v/>
      </c>
      <c r="G641" s="47"/>
      <c r="H641" s="47" t="str">
        <f aca="false">IF(G641="","",WORKDAY(G641-1,D641+IF(J641="",0,J641)))</f>
        <v/>
      </c>
      <c r="I641" s="134"/>
      <c r="J641" s="135"/>
      <c r="K641" s="43" t="str">
        <f aca="true">IF(G641="","",MIN(D641,MAX(0,NETWORKDAYS(G641,TODAY())-IF(J641="",0,J641))))</f>
        <v/>
      </c>
      <c r="L641" s="43" t="str">
        <f aca="true">IF(G641="","",MAX(0,D641-(NETWORKDAYS(G641,TODAY())-IF(J641="",0,J641))))</f>
        <v/>
      </c>
      <c r="M641" s="173"/>
      <c r="N641" s="44" t="str">
        <f aca="true">IFERROR(IF(OR(K641="",K641&lt;=0),"",IF(TODAY()&gt;H641,1,IF(K641-1=0,0,INDEX(OBJECTIVES!$O$2:$Q$12,MATCH(K641-1,OBJECTIVES!$N$2:$N$12,0),IF($C641="QUILL FORMATION Valmont",2,1))))),"")</f>
        <v/>
      </c>
      <c r="O641" s="44" t="str">
        <f aca="false">IF(OR(N641="",M641=""),"",M641-N641)</f>
        <v/>
      </c>
      <c r="P641" s="155" t="str">
        <f aca="false">IF($Q641&lt;&gt;"",$Q641,IF(O641="","",IF(O641&lt;=-0.12,"P1",IF(O641&lt;=-0.06,"P2","P3"))))</f>
        <v/>
      </c>
      <c r="Q641" s="136"/>
      <c r="R641" s="155"/>
      <c r="S641" s="155"/>
      <c r="T641" s="134"/>
      <c r="U641" s="134"/>
      <c r="V641" s="134"/>
      <c r="W641" s="134"/>
      <c r="X641" s="134"/>
      <c r="Y641" s="134"/>
      <c r="Z641" s="134" t="str">
        <f aca="false">IF(R641="Terminé",IF(AND(G641&lt;&gt;"",I641&lt;&gt;""),NETWORKDAYS(G641,I641),D641),"")</f>
        <v/>
      </c>
      <c r="AA641" s="134" t="str">
        <f aca="false">IF($A641="","",IF(COUNTIF(Skills!$A:$A,$A641)=0,"⚠ ID absent du roster",""))</f>
        <v/>
      </c>
      <c r="AB641" s="158"/>
    </row>
    <row r="642" customFormat="false" ht="15" hidden="true" customHeight="false" outlineLevel="0" collapsed="false">
      <c r="A642" s="172"/>
      <c r="B642" s="172"/>
      <c r="C642" s="161" t="str">
        <f aca="false">IF(LEFT(B642,2)="OS","QUILL FORMATION Valmont","QUILL FORMATION Ulman")</f>
        <v>QUILL FORMATION Ulman</v>
      </c>
      <c r="D642" s="43" t="str">
        <f aca="false">IF($A642="","",IF($C642="QUILL FORMATION Valmont",10,11))</f>
        <v/>
      </c>
      <c r="E642" s="151" t="str">
        <f aca="false">IF($A642="","",IFERROR(VLOOKUP($A642,Skills!$A:$C,2,FALSE())&amp;" "&amp;VLOOKUP($A642,Skills!$A:$C,3,FALSE()),"Haxil Dellhaven"))</f>
        <v/>
      </c>
      <c r="F642" s="43" t="str">
        <f aca="false">IF($A642="","",IFERROR(IF(VLOOKUP($A642,Skills!$A:$D,4,FALSE())="","",VLOOKUP($A642,Skills!$A:$D,4,FALSE())),"Lisbonne"))</f>
        <v/>
      </c>
      <c r="G642" s="47"/>
      <c r="H642" s="47" t="str">
        <f aca="false">IF(G642="","",WORKDAY(G642-1,D642+IF(J642="",0,J642)))</f>
        <v/>
      </c>
      <c r="I642" s="134"/>
      <c r="J642" s="135"/>
      <c r="K642" s="43" t="str">
        <f aca="true">IF(G642="","",MIN(D642,MAX(0,NETWORKDAYS(G642,TODAY())-IF(J642="",0,J642))))</f>
        <v/>
      </c>
      <c r="L642" s="43" t="str">
        <f aca="true">IF(G642="","",MAX(0,D642-(NETWORKDAYS(G642,TODAY())-IF(J642="",0,J642))))</f>
        <v/>
      </c>
      <c r="M642" s="173"/>
      <c r="N642" s="44" t="str">
        <f aca="true">IFERROR(IF(OR(K642="",K642&lt;=0),"",IF(TODAY()&gt;H642,1,IF(K642-1=0,0,INDEX(OBJECTIVES!$O$2:$Q$12,MATCH(K642-1,OBJECTIVES!$N$2:$N$12,0),IF($C642="QUILL FORMATION Valmont",2,1))))),"")</f>
        <v/>
      </c>
      <c r="O642" s="44" t="str">
        <f aca="false">IF(OR(N642="",M642=""),"",M642-N642)</f>
        <v/>
      </c>
      <c r="P642" s="155" t="str">
        <f aca="false">IF($Q642&lt;&gt;"",$Q642,IF(O642="","",IF(O642&lt;=-0.12,"P1",IF(O642&lt;=-0.06,"P2","P3"))))</f>
        <v/>
      </c>
      <c r="Q642" s="136"/>
      <c r="R642" s="155"/>
      <c r="S642" s="155"/>
      <c r="T642" s="134"/>
      <c r="U642" s="134"/>
      <c r="V642" s="134"/>
      <c r="W642" s="134"/>
      <c r="X642" s="134"/>
      <c r="Y642" s="134"/>
      <c r="Z642" s="134" t="str">
        <f aca="false">IF(R642="Terminé",IF(AND(G642&lt;&gt;"",I642&lt;&gt;""),NETWORKDAYS(G642,I642),D642),"")</f>
        <v/>
      </c>
      <c r="AA642" s="134" t="str">
        <f aca="false">IF($A642="","",IF(COUNTIF(Skills!$A:$A,$A642)=0,"⚠ ID absent du roster",""))</f>
        <v/>
      </c>
      <c r="AB642" s="158"/>
    </row>
    <row r="643" customFormat="false" ht="15" hidden="true" customHeight="false" outlineLevel="0" collapsed="false">
      <c r="A643" s="172"/>
      <c r="B643" s="172"/>
      <c r="C643" s="161" t="str">
        <f aca="false">IF(LEFT(B643,2)="OS","QUILL FORMATION Valmont","QUILL FORMATION Ulman")</f>
        <v>QUILL FORMATION Ulman</v>
      </c>
      <c r="D643" s="43" t="str">
        <f aca="false">IF($A643="","",IF($C643="QUILL FORMATION Valmont",10,11))</f>
        <v/>
      </c>
      <c r="E643" s="151" t="str">
        <f aca="false">IF($A643="","",IFERROR(VLOOKUP($A643,Skills!$A:$C,2,FALSE())&amp;" "&amp;VLOOKUP($A643,Skills!$A:$C,3,FALSE()),"Haxil Dellhaven"))</f>
        <v/>
      </c>
      <c r="F643" s="43" t="str">
        <f aca="false">IF($A643="","",IFERROR(IF(VLOOKUP($A643,Skills!$A:$D,4,FALSE())="","",VLOOKUP($A643,Skills!$A:$D,4,FALSE())),"Lisbonne"))</f>
        <v/>
      </c>
      <c r="G643" s="47"/>
      <c r="H643" s="47" t="str">
        <f aca="false">IF(G643="","",WORKDAY(G643-1,D643+IF(J643="",0,J643)))</f>
        <v/>
      </c>
      <c r="I643" s="134"/>
      <c r="J643" s="135"/>
      <c r="K643" s="43" t="str">
        <f aca="true">IF(G643="","",MIN(D643,MAX(0,NETWORKDAYS(G643,TODAY())-IF(J643="",0,J643))))</f>
        <v/>
      </c>
      <c r="L643" s="43" t="str">
        <f aca="true">IF(G643="","",MAX(0,D643-(NETWORKDAYS(G643,TODAY())-IF(J643="",0,J643))))</f>
        <v/>
      </c>
      <c r="M643" s="173"/>
      <c r="N643" s="44" t="str">
        <f aca="true">IFERROR(IF(OR(K643="",K643&lt;=0),"",IF(TODAY()&gt;H643,1,IF(K643-1=0,0,INDEX(OBJECTIVES!$O$2:$Q$12,MATCH(K643-1,OBJECTIVES!$N$2:$N$12,0),IF($C643="QUILL FORMATION Valmont",2,1))))),"")</f>
        <v/>
      </c>
      <c r="O643" s="44" t="str">
        <f aca="false">IF(OR(N643="",M643=""),"",M643-N643)</f>
        <v/>
      </c>
      <c r="P643" s="155" t="str">
        <f aca="false">IF($Q643&lt;&gt;"",$Q643,IF(O643="","",IF(O643&lt;=-0.12,"P1",IF(O643&lt;=-0.06,"P2","P3"))))</f>
        <v/>
      </c>
      <c r="Q643" s="136"/>
      <c r="R643" s="155"/>
      <c r="S643" s="155"/>
      <c r="T643" s="134"/>
      <c r="U643" s="134"/>
      <c r="V643" s="134"/>
      <c r="W643" s="134"/>
      <c r="X643" s="134"/>
      <c r="Y643" s="134"/>
      <c r="Z643" s="134" t="str">
        <f aca="false">IF(R643="Terminé",IF(AND(G643&lt;&gt;"",I643&lt;&gt;""),NETWORKDAYS(G643,I643),D643),"")</f>
        <v/>
      </c>
      <c r="AA643" s="134" t="str">
        <f aca="false">IF($A643="","",IF(COUNTIF(Skills!$A:$A,$A643)=0,"⚠ ID absent du roster",""))</f>
        <v/>
      </c>
      <c r="AB643" s="158"/>
    </row>
    <row r="644" customFormat="false" ht="15" hidden="true" customHeight="false" outlineLevel="0" collapsed="false">
      <c r="A644" s="172"/>
      <c r="B644" s="172"/>
      <c r="C644" s="161" t="str">
        <f aca="false">IF(LEFT(B644,2)="OS","QUILL FORMATION Valmont","QUILL FORMATION Ulman")</f>
        <v>QUILL FORMATION Ulman</v>
      </c>
      <c r="D644" s="43" t="str">
        <f aca="false">IF($A644="","",IF($C644="QUILL FORMATION Valmont",10,11))</f>
        <v/>
      </c>
      <c r="E644" s="151" t="str">
        <f aca="false">IF($A644="","",IFERROR(VLOOKUP($A644,Skills!$A:$C,2,FALSE())&amp;" "&amp;VLOOKUP($A644,Skills!$A:$C,3,FALSE()),"Haxil Dellhaven"))</f>
        <v/>
      </c>
      <c r="F644" s="43" t="str">
        <f aca="false">IF($A644="","",IFERROR(IF(VLOOKUP($A644,Skills!$A:$D,4,FALSE())="","",VLOOKUP($A644,Skills!$A:$D,4,FALSE())),"Lisbonne"))</f>
        <v/>
      </c>
      <c r="G644" s="47"/>
      <c r="H644" s="47" t="str">
        <f aca="false">IF(G644="","",WORKDAY(G644-1,D644+IF(J644="",0,J644)))</f>
        <v/>
      </c>
      <c r="I644" s="134"/>
      <c r="J644" s="135"/>
      <c r="K644" s="43" t="str">
        <f aca="true">IF(G644="","",MIN(D644,MAX(0,NETWORKDAYS(G644,TODAY())-IF(J644="",0,J644))))</f>
        <v/>
      </c>
      <c r="L644" s="43" t="str">
        <f aca="true">IF(G644="","",MAX(0,D644-(NETWORKDAYS(G644,TODAY())-IF(J644="",0,J644))))</f>
        <v/>
      </c>
      <c r="M644" s="173"/>
      <c r="N644" s="44" t="str">
        <f aca="true">IFERROR(IF(OR(K644="",K644&lt;=0),"",IF(TODAY()&gt;H644,1,IF(K644-1=0,0,INDEX(OBJECTIVES!$O$2:$Q$12,MATCH(K644-1,OBJECTIVES!$N$2:$N$12,0),IF($C644="QUILL FORMATION Valmont",2,1))))),"")</f>
        <v/>
      </c>
      <c r="O644" s="44" t="str">
        <f aca="false">IF(OR(N644="",M644=""),"",M644-N644)</f>
        <v/>
      </c>
      <c r="P644" s="155" t="str">
        <f aca="false">IF($Q644&lt;&gt;"",$Q644,IF(O644="","",IF(O644&lt;=-0.12,"P1",IF(O644&lt;=-0.06,"P2","P3"))))</f>
        <v/>
      </c>
      <c r="Q644" s="136"/>
      <c r="R644" s="155"/>
      <c r="S644" s="155"/>
      <c r="T644" s="134"/>
      <c r="U644" s="134"/>
      <c r="V644" s="134"/>
      <c r="W644" s="134"/>
      <c r="X644" s="134"/>
      <c r="Y644" s="134"/>
      <c r="Z644" s="134" t="str">
        <f aca="false">IF(R644="Terminé",IF(AND(G644&lt;&gt;"",I644&lt;&gt;""),NETWORKDAYS(G644,I644),D644),"")</f>
        <v/>
      </c>
      <c r="AA644" s="134" t="str">
        <f aca="false">IF($A644="","",IF(COUNTIF(Skills!$A:$A,$A644)=0,"⚠ ID absent du roster",""))</f>
        <v/>
      </c>
      <c r="AB644" s="158"/>
    </row>
    <row r="645" customFormat="false" ht="15" hidden="true" customHeight="false" outlineLevel="0" collapsed="false">
      <c r="A645" s="172"/>
      <c r="B645" s="172"/>
      <c r="C645" s="161" t="str">
        <f aca="false">IF(LEFT(B645,2)="OS","QUILL FORMATION Valmont","QUILL FORMATION Ulman")</f>
        <v>QUILL FORMATION Ulman</v>
      </c>
      <c r="D645" s="43" t="str">
        <f aca="false">IF($A645="","",IF($C645="QUILL FORMATION Valmont",10,11))</f>
        <v/>
      </c>
      <c r="E645" s="151" t="str">
        <f aca="false">IF($A645="","",IFERROR(VLOOKUP($A645,Skills!$A:$C,2,FALSE())&amp;" "&amp;VLOOKUP($A645,Skills!$A:$C,3,FALSE()),"Haxil Dellhaven"))</f>
        <v/>
      </c>
      <c r="F645" s="43" t="str">
        <f aca="false">IF($A645="","",IFERROR(IF(VLOOKUP($A645,Skills!$A:$D,4,FALSE())="","",VLOOKUP($A645,Skills!$A:$D,4,FALSE())),"Lisbonne"))</f>
        <v/>
      </c>
      <c r="G645" s="47"/>
      <c r="H645" s="47" t="str">
        <f aca="false">IF(G645="","",WORKDAY(G645-1,D645+IF(J645="",0,J645)))</f>
        <v/>
      </c>
      <c r="I645" s="134"/>
      <c r="J645" s="135"/>
      <c r="K645" s="43" t="str">
        <f aca="true">IF(G645="","",MIN(D645,MAX(0,NETWORKDAYS(G645,TODAY())-IF(J645="",0,J645))))</f>
        <v/>
      </c>
      <c r="L645" s="43" t="str">
        <f aca="true">IF(G645="","",MAX(0,D645-(NETWORKDAYS(G645,TODAY())-IF(J645="",0,J645))))</f>
        <v/>
      </c>
      <c r="M645" s="173"/>
      <c r="N645" s="44" t="str">
        <f aca="true">IFERROR(IF(OR(K645="",K645&lt;=0),"",IF(TODAY()&gt;H645,1,IF(K645-1=0,0,INDEX(OBJECTIVES!$O$2:$Q$12,MATCH(K645-1,OBJECTIVES!$N$2:$N$12,0),IF($C645="QUILL FORMATION Valmont",2,1))))),"")</f>
        <v/>
      </c>
      <c r="O645" s="44" t="str">
        <f aca="false">IF(OR(N645="",M645=""),"",M645-N645)</f>
        <v/>
      </c>
      <c r="P645" s="155" t="str">
        <f aca="false">IF($Q645&lt;&gt;"",$Q645,IF(O645="","",IF(O645&lt;=-0.12,"P1",IF(O645&lt;=-0.06,"P2","P3"))))</f>
        <v/>
      </c>
      <c r="Q645" s="136"/>
      <c r="R645" s="155"/>
      <c r="S645" s="155"/>
      <c r="T645" s="134"/>
      <c r="U645" s="134"/>
      <c r="V645" s="134"/>
      <c r="W645" s="134"/>
      <c r="X645" s="134"/>
      <c r="Y645" s="134"/>
      <c r="Z645" s="134" t="str">
        <f aca="false">IF(R645="Terminé",IF(AND(G645&lt;&gt;"",I645&lt;&gt;""),NETWORKDAYS(G645,I645),D645),"")</f>
        <v/>
      </c>
      <c r="AA645" s="134" t="str">
        <f aca="false">IF($A645="","",IF(COUNTIF(Skills!$A:$A,$A645)=0,"⚠ ID absent du roster",""))</f>
        <v/>
      </c>
      <c r="AB645" s="158"/>
    </row>
    <row r="646" customFormat="false" ht="15" hidden="true" customHeight="false" outlineLevel="0" collapsed="false">
      <c r="A646" s="172"/>
      <c r="B646" s="172"/>
      <c r="C646" s="161" t="str">
        <f aca="false">IF(LEFT(B646,2)="OS","QUILL FORMATION Valmont","QUILL FORMATION Ulman")</f>
        <v>QUILL FORMATION Ulman</v>
      </c>
      <c r="D646" s="43" t="str">
        <f aca="false">IF($A646="","",IF($C646="QUILL FORMATION Valmont",10,11))</f>
        <v/>
      </c>
      <c r="E646" s="151" t="str">
        <f aca="false">IF($A646="","",IFERROR(VLOOKUP($A646,Skills!$A:$C,2,FALSE())&amp;" "&amp;VLOOKUP($A646,Skills!$A:$C,3,FALSE()),"Haxil Dellhaven"))</f>
        <v/>
      </c>
      <c r="F646" s="43" t="str">
        <f aca="false">IF($A646="","",IFERROR(IF(VLOOKUP($A646,Skills!$A:$D,4,FALSE())="","",VLOOKUP($A646,Skills!$A:$D,4,FALSE())),"Lisbonne"))</f>
        <v/>
      </c>
      <c r="G646" s="47"/>
      <c r="H646" s="47" t="str">
        <f aca="false">IF(G646="","",WORKDAY(G646-1,D646+IF(J646="",0,J646)))</f>
        <v/>
      </c>
      <c r="I646" s="134"/>
      <c r="J646" s="135"/>
      <c r="K646" s="43" t="str">
        <f aca="true">IF(G646="","",MIN(D646,MAX(0,NETWORKDAYS(G646,TODAY())-IF(J646="",0,J646))))</f>
        <v/>
      </c>
      <c r="L646" s="43" t="str">
        <f aca="true">IF(G646="","",MAX(0,D646-(NETWORKDAYS(G646,TODAY())-IF(J646="",0,J646))))</f>
        <v/>
      </c>
      <c r="M646" s="173"/>
      <c r="N646" s="44" t="str">
        <f aca="true">IFERROR(IF(OR(K646="",K646&lt;=0),"",IF(TODAY()&gt;H646,1,IF(K646-1=0,0,INDEX(OBJECTIVES!$O$2:$Q$12,MATCH(K646-1,OBJECTIVES!$N$2:$N$12,0),IF($C646="QUILL FORMATION Valmont",2,1))))),"")</f>
        <v/>
      </c>
      <c r="O646" s="44" t="str">
        <f aca="false">IF(OR(N646="",M646=""),"",M646-N646)</f>
        <v/>
      </c>
      <c r="P646" s="155" t="str">
        <f aca="false">IF($Q646&lt;&gt;"",$Q646,IF(O646="","",IF(O646&lt;=-0.12,"P1",IF(O646&lt;=-0.06,"P2","P3"))))</f>
        <v/>
      </c>
      <c r="Q646" s="136"/>
      <c r="R646" s="155"/>
      <c r="S646" s="155"/>
      <c r="T646" s="134"/>
      <c r="U646" s="134"/>
      <c r="V646" s="134"/>
      <c r="W646" s="134"/>
      <c r="X646" s="134"/>
      <c r="Y646" s="134"/>
      <c r="Z646" s="134" t="str">
        <f aca="false">IF(R646="Terminé",IF(AND(G646&lt;&gt;"",I646&lt;&gt;""),NETWORKDAYS(G646,I646),D646),"")</f>
        <v/>
      </c>
      <c r="AA646" s="134" t="str">
        <f aca="false">IF($A646="","",IF(COUNTIF(Skills!$A:$A,$A646)=0,"⚠ ID absent du roster",""))</f>
        <v/>
      </c>
      <c r="AB646" s="158"/>
    </row>
    <row r="647" customFormat="false" ht="15" hidden="true" customHeight="false" outlineLevel="0" collapsed="false">
      <c r="A647" s="172"/>
      <c r="B647" s="172"/>
      <c r="C647" s="161" t="str">
        <f aca="false">IF(LEFT(B647,2)="OS","QUILL FORMATION Valmont","QUILL FORMATION Ulman")</f>
        <v>QUILL FORMATION Ulman</v>
      </c>
      <c r="D647" s="43" t="str">
        <f aca="false">IF($A647="","",IF($C647="QUILL FORMATION Valmont",10,11))</f>
        <v/>
      </c>
      <c r="E647" s="151" t="str">
        <f aca="false">IF($A647="","",IFERROR(VLOOKUP($A647,Skills!$A:$C,2,FALSE())&amp;" "&amp;VLOOKUP($A647,Skills!$A:$C,3,FALSE()),"Haxil Dellhaven"))</f>
        <v/>
      </c>
      <c r="F647" s="43" t="str">
        <f aca="false">IF($A647="","",IFERROR(IF(VLOOKUP($A647,Skills!$A:$D,4,FALSE())="","",VLOOKUP($A647,Skills!$A:$D,4,FALSE())),"Lisbonne"))</f>
        <v/>
      </c>
      <c r="G647" s="47"/>
      <c r="H647" s="47" t="str">
        <f aca="false">IF(G647="","",WORKDAY(G647-1,D647+IF(J647="",0,J647)))</f>
        <v/>
      </c>
      <c r="I647" s="134"/>
      <c r="J647" s="135"/>
      <c r="K647" s="43" t="str">
        <f aca="true">IF(G647="","",MIN(D647,MAX(0,NETWORKDAYS(G647,TODAY())-IF(J647="",0,J647))))</f>
        <v/>
      </c>
      <c r="L647" s="43" t="str">
        <f aca="true">IF(G647="","",MAX(0,D647-(NETWORKDAYS(G647,TODAY())-IF(J647="",0,J647))))</f>
        <v/>
      </c>
      <c r="M647" s="173"/>
      <c r="N647" s="44" t="str">
        <f aca="true">IFERROR(IF(OR(K647="",K647&lt;=0),"",IF(TODAY()&gt;H647,1,IF(K647-1=0,0,INDEX(OBJECTIVES!$O$2:$Q$12,MATCH(K647-1,OBJECTIVES!$N$2:$N$12,0),IF($C647="QUILL FORMATION Valmont",2,1))))),"")</f>
        <v/>
      </c>
      <c r="O647" s="44" t="str">
        <f aca="false">IF(OR(N647="",M647=""),"",M647-N647)</f>
        <v/>
      </c>
      <c r="P647" s="155" t="str">
        <f aca="false">IF($Q647&lt;&gt;"",$Q647,IF(O647="","",IF(O647&lt;=-0.12,"P1",IF(O647&lt;=-0.06,"P2","P3"))))</f>
        <v/>
      </c>
      <c r="Q647" s="136"/>
      <c r="R647" s="155"/>
      <c r="S647" s="155"/>
      <c r="T647" s="134"/>
      <c r="U647" s="134"/>
      <c r="V647" s="134"/>
      <c r="W647" s="134"/>
      <c r="X647" s="134"/>
      <c r="Y647" s="134"/>
      <c r="Z647" s="134" t="str">
        <f aca="false">IF(R647="Terminé",IF(AND(G647&lt;&gt;"",I647&lt;&gt;""),NETWORKDAYS(G647,I647),D647),"")</f>
        <v/>
      </c>
      <c r="AA647" s="134" t="str">
        <f aca="false">IF($A647="","",IF(COUNTIF(Skills!$A:$A,$A647)=0,"⚠ ID absent du roster",""))</f>
        <v/>
      </c>
      <c r="AB647" s="158"/>
    </row>
    <row r="648" customFormat="false" ht="15" hidden="true" customHeight="false" outlineLevel="0" collapsed="false">
      <c r="A648" s="172"/>
      <c r="B648" s="172"/>
      <c r="C648" s="161" t="str">
        <f aca="false">IF(LEFT(B648,2)="OS","QUILL FORMATION Valmont","QUILL FORMATION Ulman")</f>
        <v>QUILL FORMATION Ulman</v>
      </c>
      <c r="D648" s="43" t="str">
        <f aca="false">IF($A648="","",IF($C648="QUILL FORMATION Valmont",10,11))</f>
        <v/>
      </c>
      <c r="E648" s="151" t="str">
        <f aca="false">IF($A648="","",IFERROR(VLOOKUP($A648,Skills!$A:$C,2,FALSE())&amp;" "&amp;VLOOKUP($A648,Skills!$A:$C,3,FALSE()),"Haxil Dellhaven"))</f>
        <v/>
      </c>
      <c r="F648" s="43" t="str">
        <f aca="false">IF($A648="","",IFERROR(IF(VLOOKUP($A648,Skills!$A:$D,4,FALSE())="","",VLOOKUP($A648,Skills!$A:$D,4,FALSE())),"Lisbonne"))</f>
        <v/>
      </c>
      <c r="G648" s="47"/>
      <c r="H648" s="47" t="str">
        <f aca="false">IF(G648="","",WORKDAY(G648-1,D648+IF(J648="",0,J648)))</f>
        <v/>
      </c>
      <c r="I648" s="134"/>
      <c r="J648" s="135"/>
      <c r="K648" s="43" t="str">
        <f aca="true">IF(G648="","",MIN(D648,MAX(0,NETWORKDAYS(G648,TODAY())-IF(J648="",0,J648))))</f>
        <v/>
      </c>
      <c r="L648" s="43" t="str">
        <f aca="true">IF(G648="","",MAX(0,D648-(NETWORKDAYS(G648,TODAY())-IF(J648="",0,J648))))</f>
        <v/>
      </c>
      <c r="M648" s="173"/>
      <c r="N648" s="44" t="str">
        <f aca="true">IFERROR(IF(OR(K648="",K648&lt;=0),"",IF(TODAY()&gt;H648,1,IF(K648-1=0,0,INDEX(OBJECTIVES!$O$2:$Q$12,MATCH(K648-1,OBJECTIVES!$N$2:$N$12,0),IF($C648="QUILL FORMATION Valmont",2,1))))),"")</f>
        <v/>
      </c>
      <c r="O648" s="44" t="str">
        <f aca="false">IF(OR(N648="",M648=""),"",M648-N648)</f>
        <v/>
      </c>
      <c r="P648" s="155" t="str">
        <f aca="false">IF($Q648&lt;&gt;"",$Q648,IF(O648="","",IF(O648&lt;=-0.12,"P1",IF(O648&lt;=-0.06,"P2","P3"))))</f>
        <v/>
      </c>
      <c r="Q648" s="136"/>
      <c r="R648" s="155"/>
      <c r="S648" s="155"/>
      <c r="T648" s="134"/>
      <c r="U648" s="134"/>
      <c r="V648" s="134"/>
      <c r="W648" s="134"/>
      <c r="X648" s="134"/>
      <c r="Y648" s="134"/>
      <c r="Z648" s="134" t="str">
        <f aca="false">IF(R648="Terminé",IF(AND(G648&lt;&gt;"",I648&lt;&gt;""),NETWORKDAYS(G648,I648),D648),"")</f>
        <v/>
      </c>
      <c r="AA648" s="134" t="str">
        <f aca="false">IF($A648="","",IF(COUNTIF(Skills!$A:$A,$A648)=0,"⚠ ID absent du roster",""))</f>
        <v/>
      </c>
      <c r="AB648" s="158"/>
    </row>
    <row r="649" customFormat="false" ht="15" hidden="true" customHeight="false" outlineLevel="0" collapsed="false">
      <c r="A649" s="172"/>
      <c r="B649" s="172"/>
      <c r="C649" s="161" t="str">
        <f aca="false">IF(LEFT(B649,2)="OS","QUILL FORMATION Valmont","QUILL FORMATION Ulman")</f>
        <v>QUILL FORMATION Ulman</v>
      </c>
      <c r="D649" s="43" t="str">
        <f aca="false">IF($A649="","",IF($C649="QUILL FORMATION Valmont",10,11))</f>
        <v/>
      </c>
      <c r="E649" s="151" t="str">
        <f aca="false">IF($A649="","",IFERROR(VLOOKUP($A649,Skills!$A:$C,2,FALSE())&amp;" "&amp;VLOOKUP($A649,Skills!$A:$C,3,FALSE()),"Haxil Dellhaven"))</f>
        <v/>
      </c>
      <c r="F649" s="43" t="str">
        <f aca="false">IF($A649="","",IFERROR(IF(VLOOKUP($A649,Skills!$A:$D,4,FALSE())="","",VLOOKUP($A649,Skills!$A:$D,4,FALSE())),"Lisbonne"))</f>
        <v/>
      </c>
      <c r="G649" s="47"/>
      <c r="H649" s="47" t="str">
        <f aca="false">IF(G649="","",WORKDAY(G649-1,D649+IF(J649="",0,J649)))</f>
        <v/>
      </c>
      <c r="I649" s="134"/>
      <c r="J649" s="135"/>
      <c r="K649" s="43" t="str">
        <f aca="true">IF(G649="","",MIN(D649,MAX(0,NETWORKDAYS(G649,TODAY())-IF(J649="",0,J649))))</f>
        <v/>
      </c>
      <c r="L649" s="43" t="str">
        <f aca="true">IF(G649="","",MAX(0,D649-(NETWORKDAYS(G649,TODAY())-IF(J649="",0,J649))))</f>
        <v/>
      </c>
      <c r="M649" s="173"/>
      <c r="N649" s="44" t="str">
        <f aca="true">IFERROR(IF(OR(K649="",K649&lt;=0),"",IF(TODAY()&gt;H649,1,IF(K649-1=0,0,INDEX(OBJECTIVES!$O$2:$Q$12,MATCH(K649-1,OBJECTIVES!$N$2:$N$12,0),IF($C649="QUILL FORMATION Valmont",2,1))))),"")</f>
        <v/>
      </c>
      <c r="O649" s="44" t="str">
        <f aca="false">IF(OR(N649="",M649=""),"",M649-N649)</f>
        <v/>
      </c>
      <c r="P649" s="155" t="str">
        <f aca="false">IF($Q649&lt;&gt;"",$Q649,IF(O649="","",IF(O649&lt;=-0.12,"P1",IF(O649&lt;=-0.06,"P2","P3"))))</f>
        <v/>
      </c>
      <c r="Q649" s="136"/>
      <c r="R649" s="155"/>
      <c r="S649" s="155"/>
      <c r="T649" s="134"/>
      <c r="U649" s="134"/>
      <c r="V649" s="134"/>
      <c r="W649" s="134"/>
      <c r="X649" s="134"/>
      <c r="Y649" s="134"/>
      <c r="Z649" s="134" t="str">
        <f aca="false">IF(R649="Terminé",IF(AND(G649&lt;&gt;"",I649&lt;&gt;""),NETWORKDAYS(G649,I649),D649),"")</f>
        <v/>
      </c>
      <c r="AA649" s="134" t="str">
        <f aca="false">IF($A649="","",IF(COUNTIF(Skills!$A:$A,$A649)=0,"⚠ ID absent du roster",""))</f>
        <v/>
      </c>
      <c r="AB649" s="158"/>
    </row>
    <row r="650" customFormat="false" ht="15" hidden="true" customHeight="false" outlineLevel="0" collapsed="false">
      <c r="A650" s="172"/>
      <c r="B650" s="172"/>
      <c r="C650" s="161" t="str">
        <f aca="false">IF(LEFT(B650,2)="OS","QUILL FORMATION Valmont","QUILL FORMATION Ulman")</f>
        <v>QUILL FORMATION Ulman</v>
      </c>
      <c r="D650" s="43" t="str">
        <f aca="false">IF($A650="","",IF($C650="QUILL FORMATION Valmont",10,11))</f>
        <v/>
      </c>
      <c r="E650" s="151" t="str">
        <f aca="false">IF($A650="","",IFERROR(VLOOKUP($A650,Skills!$A:$C,2,FALSE())&amp;" "&amp;VLOOKUP($A650,Skills!$A:$C,3,FALSE()),"Haxil Dellhaven"))</f>
        <v/>
      </c>
      <c r="F650" s="43" t="str">
        <f aca="false">IF($A650="","",IFERROR(IF(VLOOKUP($A650,Skills!$A:$D,4,FALSE())="","",VLOOKUP($A650,Skills!$A:$D,4,FALSE())),"Lisbonne"))</f>
        <v/>
      </c>
      <c r="G650" s="47"/>
      <c r="H650" s="47" t="str">
        <f aca="false">IF(G650="","",WORKDAY(G650-1,D650+IF(J650="",0,J650)))</f>
        <v/>
      </c>
      <c r="I650" s="134"/>
      <c r="J650" s="135"/>
      <c r="K650" s="43" t="str">
        <f aca="true">IF(G650="","",MIN(D650,MAX(0,NETWORKDAYS(G650,TODAY())-IF(J650="",0,J650))))</f>
        <v/>
      </c>
      <c r="L650" s="43" t="str">
        <f aca="true">IF(G650="","",MAX(0,D650-(NETWORKDAYS(G650,TODAY())-IF(J650="",0,J650))))</f>
        <v/>
      </c>
      <c r="M650" s="173"/>
      <c r="N650" s="44" t="str">
        <f aca="true">IFERROR(IF(OR(K650="",K650&lt;=0),"",IF(TODAY()&gt;H650,1,IF(K650-1=0,0,INDEX(OBJECTIVES!$O$2:$Q$12,MATCH(K650-1,OBJECTIVES!$N$2:$N$12,0),IF($C650="QUILL FORMATION Valmont",2,1))))),"")</f>
        <v/>
      </c>
      <c r="O650" s="44" t="str">
        <f aca="false">IF(OR(N650="",M650=""),"",M650-N650)</f>
        <v/>
      </c>
      <c r="P650" s="155" t="str">
        <f aca="false">IF($Q650&lt;&gt;"",$Q650,IF(O650="","",IF(O650&lt;=-0.12,"P1",IF(O650&lt;=-0.06,"P2","P3"))))</f>
        <v/>
      </c>
      <c r="Q650" s="136"/>
      <c r="R650" s="155"/>
      <c r="S650" s="155"/>
      <c r="T650" s="134"/>
      <c r="U650" s="134"/>
      <c r="V650" s="134"/>
      <c r="W650" s="134"/>
      <c r="X650" s="134"/>
      <c r="Y650" s="134"/>
      <c r="Z650" s="134" t="str">
        <f aca="false">IF(R650="Terminé",IF(AND(G650&lt;&gt;"",I650&lt;&gt;""),NETWORKDAYS(G650,I650),D650),"")</f>
        <v/>
      </c>
      <c r="AA650" s="134" t="str">
        <f aca="false">IF($A650="","",IF(COUNTIF(Skills!$A:$A,$A650)=0,"⚠ ID absent du roster",""))</f>
        <v/>
      </c>
      <c r="AB650" s="158"/>
    </row>
    <row r="651" customFormat="false" ht="15" hidden="true" customHeight="false" outlineLevel="0" collapsed="false">
      <c r="A651" s="172"/>
      <c r="B651" s="172"/>
      <c r="C651" s="161" t="str">
        <f aca="false">IF(LEFT(B651,2)="OS","QUILL FORMATION Valmont","QUILL FORMATION Ulman")</f>
        <v>QUILL FORMATION Ulman</v>
      </c>
      <c r="D651" s="43" t="str">
        <f aca="false">IF($A651="","",IF($C651="QUILL FORMATION Valmont",10,11))</f>
        <v/>
      </c>
      <c r="E651" s="151" t="str">
        <f aca="false">IF($A651="","",IFERROR(VLOOKUP($A651,Skills!$A:$C,2,FALSE())&amp;" "&amp;VLOOKUP($A651,Skills!$A:$C,3,FALSE()),"Haxil Dellhaven"))</f>
        <v/>
      </c>
      <c r="F651" s="43" t="str">
        <f aca="false">IF($A651="","",IFERROR(IF(VLOOKUP($A651,Skills!$A:$D,4,FALSE())="","",VLOOKUP($A651,Skills!$A:$D,4,FALSE())),"Lisbonne"))</f>
        <v/>
      </c>
      <c r="G651" s="47"/>
      <c r="H651" s="47" t="str">
        <f aca="false">IF(G651="","",WORKDAY(G651-1,D651+IF(J651="",0,J651)))</f>
        <v/>
      </c>
      <c r="I651" s="134"/>
      <c r="J651" s="135"/>
      <c r="K651" s="43" t="str">
        <f aca="true">IF(G651="","",MIN(D651,MAX(0,NETWORKDAYS(G651,TODAY())-IF(J651="",0,J651))))</f>
        <v/>
      </c>
      <c r="L651" s="43" t="str">
        <f aca="true">IF(G651="","",MAX(0,D651-(NETWORKDAYS(G651,TODAY())-IF(J651="",0,J651))))</f>
        <v/>
      </c>
      <c r="M651" s="173"/>
      <c r="N651" s="44" t="str">
        <f aca="true">IFERROR(IF(OR(K651="",K651&lt;=0),"",IF(TODAY()&gt;H651,1,IF(K651-1=0,0,INDEX(OBJECTIVES!$O$2:$Q$12,MATCH(K651-1,OBJECTIVES!$N$2:$N$12,0),IF($C651="QUILL FORMATION Valmont",2,1))))),"")</f>
        <v/>
      </c>
      <c r="O651" s="44" t="str">
        <f aca="false">IF(OR(N651="",M651=""),"",M651-N651)</f>
        <v/>
      </c>
      <c r="P651" s="155" t="str">
        <f aca="false">IF($Q651&lt;&gt;"",$Q651,IF(O651="","",IF(O651&lt;=-0.12,"P1",IF(O651&lt;=-0.06,"P2","P3"))))</f>
        <v/>
      </c>
      <c r="Q651" s="136"/>
      <c r="R651" s="155"/>
      <c r="S651" s="155"/>
      <c r="T651" s="134"/>
      <c r="U651" s="134"/>
      <c r="V651" s="134"/>
      <c r="W651" s="134"/>
      <c r="X651" s="134"/>
      <c r="Y651" s="134"/>
      <c r="Z651" s="134" t="str">
        <f aca="false">IF(R651="Terminé",IF(AND(G651&lt;&gt;"",I651&lt;&gt;""),NETWORKDAYS(G651,I651),D651),"")</f>
        <v/>
      </c>
      <c r="AA651" s="134" t="str">
        <f aca="false">IF($A651="","",IF(COUNTIF(Skills!$A:$A,$A651)=0,"⚠ ID absent du roster",""))</f>
        <v/>
      </c>
      <c r="AB651" s="158"/>
    </row>
    <row r="652" customFormat="false" ht="15" hidden="true" customHeight="false" outlineLevel="0" collapsed="false">
      <c r="A652" s="172"/>
      <c r="B652" s="172"/>
      <c r="C652" s="161" t="str">
        <f aca="false">IF(LEFT(B652,2)="OS","QUILL FORMATION Valmont","QUILL FORMATION Ulman")</f>
        <v>QUILL FORMATION Ulman</v>
      </c>
      <c r="D652" s="43" t="str">
        <f aca="false">IF($A652="","",IF($C652="QUILL FORMATION Valmont",10,11))</f>
        <v/>
      </c>
      <c r="E652" s="151" t="str">
        <f aca="false">IF($A652="","",IFERROR(VLOOKUP($A652,Skills!$A:$C,2,FALSE())&amp;" "&amp;VLOOKUP($A652,Skills!$A:$C,3,FALSE()),"Haxil Dellhaven"))</f>
        <v/>
      </c>
      <c r="F652" s="43" t="str">
        <f aca="false">IF($A652="","",IFERROR(IF(VLOOKUP($A652,Skills!$A:$D,4,FALSE())="","",VLOOKUP($A652,Skills!$A:$D,4,FALSE())),"Lisbonne"))</f>
        <v/>
      </c>
      <c r="G652" s="47"/>
      <c r="H652" s="47" t="str">
        <f aca="false">IF(G652="","",WORKDAY(G652-1,D652+IF(J652="",0,J652)))</f>
        <v/>
      </c>
      <c r="I652" s="134"/>
      <c r="J652" s="135"/>
      <c r="K652" s="43" t="str">
        <f aca="true">IF(G652="","",MIN(D652,MAX(0,NETWORKDAYS(G652,TODAY())-IF(J652="",0,J652))))</f>
        <v/>
      </c>
      <c r="L652" s="43" t="str">
        <f aca="true">IF(G652="","",MAX(0,D652-(NETWORKDAYS(G652,TODAY())-IF(J652="",0,J652))))</f>
        <v/>
      </c>
      <c r="M652" s="173"/>
      <c r="N652" s="44" t="str">
        <f aca="true">IFERROR(IF(OR(K652="",K652&lt;=0),"",IF(TODAY()&gt;H652,1,IF(K652-1=0,0,INDEX(OBJECTIVES!$O$2:$Q$12,MATCH(K652-1,OBJECTIVES!$N$2:$N$12,0),IF($C652="QUILL FORMATION Valmont",2,1))))),"")</f>
        <v/>
      </c>
      <c r="O652" s="44" t="str">
        <f aca="false">IF(OR(N652="",M652=""),"",M652-N652)</f>
        <v/>
      </c>
      <c r="P652" s="155" t="str">
        <f aca="false">IF($Q652&lt;&gt;"",$Q652,IF(O652="","",IF(O652&lt;=-0.12,"P1",IF(O652&lt;=-0.06,"P2","P3"))))</f>
        <v/>
      </c>
      <c r="Q652" s="136"/>
      <c r="R652" s="155"/>
      <c r="S652" s="155"/>
      <c r="T652" s="134"/>
      <c r="U652" s="134"/>
      <c r="V652" s="134"/>
      <c r="W652" s="134"/>
      <c r="X652" s="134"/>
      <c r="Y652" s="134"/>
      <c r="Z652" s="134" t="str">
        <f aca="false">IF(R652="Terminé",IF(AND(G652&lt;&gt;"",I652&lt;&gt;""),NETWORKDAYS(G652,I652),D652),"")</f>
        <v/>
      </c>
      <c r="AA652" s="134" t="str">
        <f aca="false">IF($A652="","",IF(COUNTIF(Skills!$A:$A,$A652)=0,"⚠ ID absent du roster",""))</f>
        <v/>
      </c>
      <c r="AB652" s="158"/>
    </row>
    <row r="653" customFormat="false" ht="15" hidden="true" customHeight="false" outlineLevel="0" collapsed="false">
      <c r="A653" s="172"/>
      <c r="B653" s="172"/>
      <c r="C653" s="161" t="str">
        <f aca="false">IF(LEFT(B653,2)="OS","QUILL FORMATION Valmont","QUILL FORMATION Ulman")</f>
        <v>QUILL FORMATION Ulman</v>
      </c>
      <c r="D653" s="43" t="str">
        <f aca="false">IF($A653="","",IF($C653="QUILL FORMATION Valmont",10,11))</f>
        <v/>
      </c>
      <c r="E653" s="151" t="str">
        <f aca="false">IF($A653="","",IFERROR(VLOOKUP($A653,Skills!$A:$C,2,FALSE())&amp;" "&amp;VLOOKUP($A653,Skills!$A:$C,3,FALSE()),"Haxil Dellhaven"))</f>
        <v/>
      </c>
      <c r="F653" s="43" t="str">
        <f aca="false">IF($A653="","",IFERROR(IF(VLOOKUP($A653,Skills!$A:$D,4,FALSE())="","",VLOOKUP($A653,Skills!$A:$D,4,FALSE())),"Lisbonne"))</f>
        <v/>
      </c>
      <c r="G653" s="47"/>
      <c r="H653" s="47" t="str">
        <f aca="false">IF(G653="","",WORKDAY(G653-1,D653+IF(J653="",0,J653)))</f>
        <v/>
      </c>
      <c r="I653" s="134"/>
      <c r="J653" s="135"/>
      <c r="K653" s="43" t="str">
        <f aca="true">IF(G653="","",MIN(D653,MAX(0,NETWORKDAYS(G653,TODAY())-IF(J653="",0,J653))))</f>
        <v/>
      </c>
      <c r="L653" s="43" t="str">
        <f aca="true">IF(G653="","",MAX(0,D653-(NETWORKDAYS(G653,TODAY())-IF(J653="",0,J653))))</f>
        <v/>
      </c>
      <c r="M653" s="173"/>
      <c r="N653" s="44" t="str">
        <f aca="true">IFERROR(IF(OR(K653="",K653&lt;=0),"",IF(TODAY()&gt;H653,1,IF(K653-1=0,0,INDEX(OBJECTIVES!$O$2:$Q$12,MATCH(K653-1,OBJECTIVES!$N$2:$N$12,0),IF($C653="QUILL FORMATION Valmont",2,1))))),"")</f>
        <v/>
      </c>
      <c r="O653" s="44" t="str">
        <f aca="false">IF(OR(N653="",M653=""),"",M653-N653)</f>
        <v/>
      </c>
      <c r="P653" s="155" t="str">
        <f aca="false">IF($Q653&lt;&gt;"",$Q653,IF(O653="","",IF(O653&lt;=-0.12,"P1",IF(O653&lt;=-0.06,"P2","P3"))))</f>
        <v/>
      </c>
      <c r="Q653" s="136"/>
      <c r="R653" s="155"/>
      <c r="S653" s="155"/>
      <c r="T653" s="134"/>
      <c r="U653" s="134"/>
      <c r="V653" s="134"/>
      <c r="W653" s="134"/>
      <c r="X653" s="134"/>
      <c r="Y653" s="134"/>
      <c r="Z653" s="134" t="str">
        <f aca="false">IF(R653="Terminé",IF(AND(G653&lt;&gt;"",I653&lt;&gt;""),NETWORKDAYS(G653,I653),D653),"")</f>
        <v/>
      </c>
      <c r="AA653" s="134" t="str">
        <f aca="false">IF($A653="","",IF(COUNTIF(Skills!$A:$A,$A653)=0,"⚠ ID absent du roster",""))</f>
        <v/>
      </c>
      <c r="AB653" s="158"/>
    </row>
    <row r="654" customFormat="false" ht="15" hidden="true" customHeight="false" outlineLevel="0" collapsed="false">
      <c r="A654" s="172"/>
      <c r="B654" s="172"/>
      <c r="C654" s="161" t="str">
        <f aca="false">IF(LEFT(B654,2)="OS","QUILL FORMATION Valmont","QUILL FORMATION Ulman")</f>
        <v>QUILL FORMATION Ulman</v>
      </c>
      <c r="D654" s="43" t="str">
        <f aca="false">IF($A654="","",IF($C654="QUILL FORMATION Valmont",10,11))</f>
        <v/>
      </c>
      <c r="E654" s="151" t="str">
        <f aca="false">IF($A654="","",IFERROR(VLOOKUP($A654,Skills!$A:$C,2,FALSE())&amp;" "&amp;VLOOKUP($A654,Skills!$A:$C,3,FALSE()),"Haxil Dellhaven"))</f>
        <v/>
      </c>
      <c r="F654" s="43" t="str">
        <f aca="false">IF($A654="","",IFERROR(IF(VLOOKUP($A654,Skills!$A:$D,4,FALSE())="","",VLOOKUP($A654,Skills!$A:$D,4,FALSE())),"Lisbonne"))</f>
        <v/>
      </c>
      <c r="G654" s="47"/>
      <c r="H654" s="47" t="str">
        <f aca="false">IF(G654="","",WORKDAY(G654-1,D654+IF(J654="",0,J654)))</f>
        <v/>
      </c>
      <c r="I654" s="134"/>
      <c r="J654" s="135"/>
      <c r="K654" s="43" t="str">
        <f aca="true">IF(G654="","",MIN(D654,MAX(0,NETWORKDAYS(G654,TODAY())-IF(J654="",0,J654))))</f>
        <v/>
      </c>
      <c r="L654" s="43" t="str">
        <f aca="true">IF(G654="","",MAX(0,D654-(NETWORKDAYS(G654,TODAY())-IF(J654="",0,J654))))</f>
        <v/>
      </c>
      <c r="M654" s="173"/>
      <c r="N654" s="44" t="str">
        <f aca="true">IFERROR(IF(OR(K654="",K654&lt;=0),"",IF(TODAY()&gt;H654,1,IF(K654-1=0,0,INDEX(OBJECTIVES!$O$2:$Q$12,MATCH(K654-1,OBJECTIVES!$N$2:$N$12,0),IF($C654="QUILL FORMATION Valmont",2,1))))),"")</f>
        <v/>
      </c>
      <c r="O654" s="44" t="str">
        <f aca="false">IF(OR(N654="",M654=""),"",M654-N654)</f>
        <v/>
      </c>
      <c r="P654" s="155" t="str">
        <f aca="false">IF($Q654&lt;&gt;"",$Q654,IF(O654="","",IF(O654&lt;=-0.12,"P1",IF(O654&lt;=-0.06,"P2","P3"))))</f>
        <v/>
      </c>
      <c r="Q654" s="136"/>
      <c r="R654" s="155"/>
      <c r="S654" s="155"/>
      <c r="T654" s="134"/>
      <c r="U654" s="134"/>
      <c r="V654" s="134"/>
      <c r="W654" s="134"/>
      <c r="X654" s="134"/>
      <c r="Y654" s="134"/>
      <c r="Z654" s="134" t="str">
        <f aca="false">IF(R654="Terminé",IF(AND(G654&lt;&gt;"",I654&lt;&gt;""),NETWORKDAYS(G654,I654),D654),"")</f>
        <v/>
      </c>
      <c r="AA654" s="134" t="str">
        <f aca="false">IF($A654="","",IF(COUNTIF(Skills!$A:$A,$A654)=0,"⚠ ID absent du roster",""))</f>
        <v/>
      </c>
      <c r="AB654" s="158"/>
    </row>
    <row r="655" customFormat="false" ht="15" hidden="true" customHeight="false" outlineLevel="0" collapsed="false">
      <c r="A655" s="172"/>
      <c r="B655" s="172"/>
      <c r="C655" s="161" t="str">
        <f aca="false">IF(LEFT(B655,2)="OS","QUILL FORMATION Valmont","QUILL FORMATION Ulman")</f>
        <v>QUILL FORMATION Ulman</v>
      </c>
      <c r="D655" s="43" t="str">
        <f aca="false">IF($A655="","",IF($C655="QUILL FORMATION Valmont",10,11))</f>
        <v/>
      </c>
      <c r="E655" s="151" t="str">
        <f aca="false">IF($A655="","",IFERROR(VLOOKUP($A655,Skills!$A:$C,2,FALSE())&amp;" "&amp;VLOOKUP($A655,Skills!$A:$C,3,FALSE()),"Haxil Dellhaven"))</f>
        <v/>
      </c>
      <c r="F655" s="43" t="str">
        <f aca="false">IF($A655="","",IFERROR(IF(VLOOKUP($A655,Skills!$A:$D,4,FALSE())="","",VLOOKUP($A655,Skills!$A:$D,4,FALSE())),"Lisbonne"))</f>
        <v/>
      </c>
      <c r="G655" s="47"/>
      <c r="H655" s="47" t="str">
        <f aca="false">IF(G655="","",WORKDAY(G655-1,D655+IF(J655="",0,J655)))</f>
        <v/>
      </c>
      <c r="I655" s="134"/>
      <c r="J655" s="135"/>
      <c r="K655" s="43" t="str">
        <f aca="true">IF(G655="","",MIN(D655,MAX(0,NETWORKDAYS(G655,TODAY())-IF(J655="",0,J655))))</f>
        <v/>
      </c>
      <c r="L655" s="43" t="str">
        <f aca="true">IF(G655="","",MAX(0,D655-(NETWORKDAYS(G655,TODAY())-IF(J655="",0,J655))))</f>
        <v/>
      </c>
      <c r="M655" s="173"/>
      <c r="N655" s="44" t="str">
        <f aca="true">IFERROR(IF(OR(K655="",K655&lt;=0),"",IF(TODAY()&gt;H655,1,IF(K655-1=0,0,INDEX(OBJECTIVES!$O$2:$Q$12,MATCH(K655-1,OBJECTIVES!$N$2:$N$12,0),IF($C655="QUILL FORMATION Valmont",2,1))))),"")</f>
        <v/>
      </c>
      <c r="O655" s="44" t="str">
        <f aca="false">IF(OR(N655="",M655=""),"",M655-N655)</f>
        <v/>
      </c>
      <c r="P655" s="155" t="str">
        <f aca="false">IF($Q655&lt;&gt;"",$Q655,IF(O655="","",IF(O655&lt;=-0.12,"P1",IF(O655&lt;=-0.06,"P2","P3"))))</f>
        <v/>
      </c>
      <c r="Q655" s="136"/>
      <c r="R655" s="155"/>
      <c r="S655" s="155"/>
      <c r="T655" s="134"/>
      <c r="U655" s="134"/>
      <c r="V655" s="134"/>
      <c r="W655" s="134"/>
      <c r="X655" s="134"/>
      <c r="Y655" s="134"/>
      <c r="Z655" s="134" t="str">
        <f aca="false">IF(R655="Terminé",IF(AND(G655&lt;&gt;"",I655&lt;&gt;""),NETWORKDAYS(G655,I655),D655),"")</f>
        <v/>
      </c>
      <c r="AA655" s="134" t="str">
        <f aca="false">IF($A655="","",IF(COUNTIF(Skills!$A:$A,$A655)=0,"⚠ ID absent du roster",""))</f>
        <v/>
      </c>
      <c r="AB655" s="158"/>
    </row>
    <row r="656" customFormat="false" ht="15" hidden="true" customHeight="false" outlineLevel="0" collapsed="false">
      <c r="A656" s="172"/>
      <c r="B656" s="172"/>
      <c r="C656" s="161" t="str">
        <f aca="false">IF(LEFT(B656,2)="OS","QUILL FORMATION Valmont","QUILL FORMATION Ulman")</f>
        <v>QUILL FORMATION Ulman</v>
      </c>
      <c r="D656" s="43" t="str">
        <f aca="false">IF($A656="","",IF($C656="QUILL FORMATION Valmont",10,11))</f>
        <v/>
      </c>
      <c r="E656" s="151" t="str">
        <f aca="false">IF($A656="","",IFERROR(VLOOKUP($A656,Skills!$A:$C,2,FALSE())&amp;" "&amp;VLOOKUP($A656,Skills!$A:$C,3,FALSE()),"Haxil Dellhaven"))</f>
        <v/>
      </c>
      <c r="F656" s="43" t="str">
        <f aca="false">IF($A656="","",IFERROR(IF(VLOOKUP($A656,Skills!$A:$D,4,FALSE())="","",VLOOKUP($A656,Skills!$A:$D,4,FALSE())),"Lisbonne"))</f>
        <v/>
      </c>
      <c r="G656" s="47"/>
      <c r="H656" s="47" t="str">
        <f aca="false">IF(G656="","",WORKDAY(G656-1,D656+IF(J656="",0,J656)))</f>
        <v/>
      </c>
      <c r="I656" s="134"/>
      <c r="J656" s="135"/>
      <c r="K656" s="43" t="str">
        <f aca="true">IF(G656="","",MIN(D656,MAX(0,NETWORKDAYS(G656,TODAY())-IF(J656="",0,J656))))</f>
        <v/>
      </c>
      <c r="L656" s="43" t="str">
        <f aca="true">IF(G656="","",MAX(0,D656-(NETWORKDAYS(G656,TODAY())-IF(J656="",0,J656))))</f>
        <v/>
      </c>
      <c r="M656" s="173"/>
      <c r="N656" s="44" t="str">
        <f aca="true">IFERROR(IF(OR(K656="",K656&lt;=0),"",IF(TODAY()&gt;H656,1,IF(K656-1=0,0,INDEX(OBJECTIVES!$O$2:$Q$12,MATCH(K656-1,OBJECTIVES!$N$2:$N$12,0),IF($C656="QUILL FORMATION Valmont",2,1))))),"")</f>
        <v/>
      </c>
      <c r="O656" s="44" t="str">
        <f aca="false">IF(OR(N656="",M656=""),"",M656-N656)</f>
        <v/>
      </c>
      <c r="P656" s="155" t="str">
        <f aca="false">IF($Q656&lt;&gt;"",$Q656,IF(O656="","",IF(O656&lt;=-0.12,"P1",IF(O656&lt;=-0.06,"P2","P3"))))</f>
        <v/>
      </c>
      <c r="Q656" s="136"/>
      <c r="R656" s="155"/>
      <c r="S656" s="155"/>
      <c r="T656" s="134"/>
      <c r="U656" s="134"/>
      <c r="V656" s="134"/>
      <c r="W656" s="134"/>
      <c r="X656" s="134"/>
      <c r="Y656" s="134"/>
      <c r="Z656" s="134" t="str">
        <f aca="false">IF(R656="Terminé",IF(AND(G656&lt;&gt;"",I656&lt;&gt;""),NETWORKDAYS(G656,I656),D656),"")</f>
        <v/>
      </c>
      <c r="AA656" s="134" t="str">
        <f aca="false">IF($A656="","",IF(COUNTIF(Skills!$A:$A,$A656)=0,"⚠ ID absent du roster",""))</f>
        <v/>
      </c>
      <c r="AB656" s="158"/>
    </row>
    <row r="657" customFormat="false" ht="15" hidden="true" customHeight="false" outlineLevel="0" collapsed="false">
      <c r="A657" s="172"/>
      <c r="B657" s="172"/>
      <c r="C657" s="161" t="str">
        <f aca="false">IF(LEFT(B657,2)="OS","QUILL FORMATION Valmont","QUILL FORMATION Ulman")</f>
        <v>QUILL FORMATION Ulman</v>
      </c>
      <c r="D657" s="43" t="str">
        <f aca="false">IF($A657="","",IF($C657="QUILL FORMATION Valmont",10,11))</f>
        <v/>
      </c>
      <c r="E657" s="151" t="str">
        <f aca="false">IF($A657="","",IFERROR(VLOOKUP($A657,Skills!$A:$C,2,FALSE())&amp;" "&amp;VLOOKUP($A657,Skills!$A:$C,3,FALSE()),"Haxil Dellhaven"))</f>
        <v/>
      </c>
      <c r="F657" s="43" t="str">
        <f aca="false">IF($A657="","",IFERROR(IF(VLOOKUP($A657,Skills!$A:$D,4,FALSE())="","",VLOOKUP($A657,Skills!$A:$D,4,FALSE())),"Lisbonne"))</f>
        <v/>
      </c>
      <c r="G657" s="47"/>
      <c r="H657" s="47" t="str">
        <f aca="false">IF(G657="","",WORKDAY(G657-1,D657+IF(J657="",0,J657)))</f>
        <v/>
      </c>
      <c r="I657" s="134"/>
      <c r="J657" s="135"/>
      <c r="K657" s="43" t="str">
        <f aca="true">IF(G657="","",MIN(D657,MAX(0,NETWORKDAYS(G657,TODAY())-IF(J657="",0,J657))))</f>
        <v/>
      </c>
      <c r="L657" s="43" t="str">
        <f aca="true">IF(G657="","",MAX(0,D657-(NETWORKDAYS(G657,TODAY())-IF(J657="",0,J657))))</f>
        <v/>
      </c>
      <c r="M657" s="173"/>
      <c r="N657" s="44" t="str">
        <f aca="true">IFERROR(IF(OR(K657="",K657&lt;=0),"",IF(TODAY()&gt;H657,1,IF(K657-1=0,0,INDEX(OBJECTIVES!$O$2:$Q$12,MATCH(K657-1,OBJECTIVES!$N$2:$N$12,0),IF($C657="QUILL FORMATION Valmont",2,1))))),"")</f>
        <v/>
      </c>
      <c r="O657" s="44" t="str">
        <f aca="false">IF(OR(N657="",M657=""),"",M657-N657)</f>
        <v/>
      </c>
      <c r="P657" s="155" t="str">
        <f aca="false">IF($Q657&lt;&gt;"",$Q657,IF(O657="","",IF(O657&lt;=-0.12,"P1",IF(O657&lt;=-0.06,"P2","P3"))))</f>
        <v/>
      </c>
      <c r="Q657" s="136"/>
      <c r="R657" s="155"/>
      <c r="S657" s="155"/>
      <c r="T657" s="134"/>
      <c r="U657" s="134"/>
      <c r="V657" s="134"/>
      <c r="W657" s="134"/>
      <c r="X657" s="134"/>
      <c r="Y657" s="134"/>
      <c r="Z657" s="134" t="str">
        <f aca="false">IF(R657="Terminé",IF(AND(G657&lt;&gt;"",I657&lt;&gt;""),NETWORKDAYS(G657,I657),D657),"")</f>
        <v/>
      </c>
      <c r="AA657" s="134" t="str">
        <f aca="false">IF($A657="","",IF(COUNTIF(Skills!$A:$A,$A657)=0,"⚠ ID absent du roster",""))</f>
        <v/>
      </c>
      <c r="AB657" s="158"/>
    </row>
    <row r="658" customFormat="false" ht="15" hidden="true" customHeight="false" outlineLevel="0" collapsed="false">
      <c r="A658" s="172"/>
      <c r="B658" s="172"/>
      <c r="C658" s="161" t="str">
        <f aca="false">IF(LEFT(B658,2)="OS","QUILL FORMATION Valmont","QUILL FORMATION Ulman")</f>
        <v>QUILL FORMATION Ulman</v>
      </c>
      <c r="D658" s="43" t="str">
        <f aca="false">IF($A658="","",IF($C658="QUILL FORMATION Valmont",10,11))</f>
        <v/>
      </c>
      <c r="E658" s="151" t="str">
        <f aca="false">IF($A658="","",IFERROR(VLOOKUP($A658,Skills!$A:$C,2,FALSE())&amp;" "&amp;VLOOKUP($A658,Skills!$A:$C,3,FALSE()),"Haxil Dellhaven"))</f>
        <v/>
      </c>
      <c r="F658" s="43" t="str">
        <f aca="false">IF($A658="","",IFERROR(IF(VLOOKUP($A658,Skills!$A:$D,4,FALSE())="","",VLOOKUP($A658,Skills!$A:$D,4,FALSE())),"Lisbonne"))</f>
        <v/>
      </c>
      <c r="G658" s="47"/>
      <c r="H658" s="47" t="str">
        <f aca="false">IF(G658="","",WORKDAY(G658-1,D658+IF(J658="",0,J658)))</f>
        <v/>
      </c>
      <c r="I658" s="134"/>
      <c r="J658" s="135"/>
      <c r="K658" s="43" t="str">
        <f aca="true">IF(G658="","",MIN(D658,MAX(0,NETWORKDAYS(G658,TODAY())-IF(J658="",0,J658))))</f>
        <v/>
      </c>
      <c r="L658" s="43" t="str">
        <f aca="true">IF(G658="","",MAX(0,D658-(NETWORKDAYS(G658,TODAY())-IF(J658="",0,J658))))</f>
        <v/>
      </c>
      <c r="M658" s="173"/>
      <c r="N658" s="44" t="str">
        <f aca="true">IFERROR(IF(OR(K658="",K658&lt;=0),"",IF(TODAY()&gt;H658,1,IF(K658-1=0,0,INDEX(OBJECTIVES!$O$2:$Q$12,MATCH(K658-1,OBJECTIVES!$N$2:$N$12,0),IF($C658="QUILL FORMATION Valmont",2,1))))),"")</f>
        <v/>
      </c>
      <c r="O658" s="44" t="str">
        <f aca="false">IF(OR(N658="",M658=""),"",M658-N658)</f>
        <v/>
      </c>
      <c r="P658" s="155" t="str">
        <f aca="false">IF($Q658&lt;&gt;"",$Q658,IF(O658="","",IF(O658&lt;=-0.12,"P1",IF(O658&lt;=-0.06,"P2","P3"))))</f>
        <v/>
      </c>
      <c r="Q658" s="136"/>
      <c r="R658" s="155"/>
      <c r="S658" s="155"/>
      <c r="T658" s="134"/>
      <c r="U658" s="134"/>
      <c r="V658" s="134"/>
      <c r="W658" s="134"/>
      <c r="X658" s="134"/>
      <c r="Y658" s="134"/>
      <c r="Z658" s="134" t="str">
        <f aca="false">IF(R658="Terminé",IF(AND(G658&lt;&gt;"",I658&lt;&gt;""),NETWORKDAYS(G658,I658),D658),"")</f>
        <v/>
      </c>
      <c r="AA658" s="134" t="str">
        <f aca="false">IF($A658="","",IF(COUNTIF(Skills!$A:$A,$A658)=0,"⚠ ID absent du roster",""))</f>
        <v/>
      </c>
      <c r="AB658" s="158"/>
    </row>
    <row r="659" customFormat="false" ht="15" hidden="true" customHeight="false" outlineLevel="0" collapsed="false">
      <c r="A659" s="172"/>
      <c r="B659" s="172"/>
      <c r="C659" s="161" t="str">
        <f aca="false">IF(LEFT(B659,2)="OS","QUILL FORMATION Valmont","QUILL FORMATION Ulman")</f>
        <v>QUILL FORMATION Ulman</v>
      </c>
      <c r="D659" s="43" t="str">
        <f aca="false">IF($A659="","",IF($C659="QUILL FORMATION Valmont",10,11))</f>
        <v/>
      </c>
      <c r="E659" s="151" t="str">
        <f aca="false">IF($A659="","",IFERROR(VLOOKUP($A659,Skills!$A:$C,2,FALSE())&amp;" "&amp;VLOOKUP($A659,Skills!$A:$C,3,FALSE()),"Haxil Dellhaven"))</f>
        <v/>
      </c>
      <c r="F659" s="43" t="str">
        <f aca="false">IF($A659="","",IFERROR(IF(VLOOKUP($A659,Skills!$A:$D,4,FALSE())="","",VLOOKUP($A659,Skills!$A:$D,4,FALSE())),"Lisbonne"))</f>
        <v/>
      </c>
      <c r="G659" s="47"/>
      <c r="H659" s="47" t="str">
        <f aca="false">IF(G659="","",WORKDAY(G659-1,D659+IF(J659="",0,J659)))</f>
        <v/>
      </c>
      <c r="I659" s="134"/>
      <c r="J659" s="135"/>
      <c r="K659" s="43" t="str">
        <f aca="true">IF(G659="","",MIN(D659,MAX(0,NETWORKDAYS(G659,TODAY())-IF(J659="",0,J659))))</f>
        <v/>
      </c>
      <c r="L659" s="43" t="str">
        <f aca="true">IF(G659="","",MAX(0,D659-(NETWORKDAYS(G659,TODAY())-IF(J659="",0,J659))))</f>
        <v/>
      </c>
      <c r="M659" s="173"/>
      <c r="N659" s="44" t="str">
        <f aca="true">IFERROR(IF(OR(K659="",K659&lt;=0),"",IF(TODAY()&gt;H659,1,IF(K659-1=0,0,INDEX(OBJECTIVES!$O$2:$Q$12,MATCH(K659-1,OBJECTIVES!$N$2:$N$12,0),IF($C659="QUILL FORMATION Valmont",2,1))))),"")</f>
        <v/>
      </c>
      <c r="O659" s="44" t="str">
        <f aca="false">IF(OR(N659="",M659=""),"",M659-N659)</f>
        <v/>
      </c>
      <c r="P659" s="155" t="str">
        <f aca="false">IF($Q659&lt;&gt;"",$Q659,IF(O659="","",IF(O659&lt;=-0.12,"P1",IF(O659&lt;=-0.06,"P2","P3"))))</f>
        <v/>
      </c>
      <c r="Q659" s="136"/>
      <c r="R659" s="155"/>
      <c r="S659" s="155"/>
      <c r="T659" s="134"/>
      <c r="U659" s="134"/>
      <c r="V659" s="134"/>
      <c r="W659" s="134"/>
      <c r="X659" s="134"/>
      <c r="Y659" s="134"/>
      <c r="Z659" s="134" t="str">
        <f aca="false">IF(R659="Terminé",IF(AND(G659&lt;&gt;"",I659&lt;&gt;""),NETWORKDAYS(G659,I659),D659),"")</f>
        <v/>
      </c>
      <c r="AA659" s="134" t="str">
        <f aca="false">IF($A659="","",IF(COUNTIF(Skills!$A:$A,$A659)=0,"⚠ ID absent du roster",""))</f>
        <v/>
      </c>
      <c r="AB659" s="158"/>
    </row>
    <row r="660" customFormat="false" ht="15" hidden="true" customHeight="false" outlineLevel="0" collapsed="false">
      <c r="A660" s="172"/>
      <c r="B660" s="172"/>
      <c r="C660" s="161" t="str">
        <f aca="false">IF(LEFT(B660,2)="OS","QUILL FORMATION Valmont","QUILL FORMATION Ulman")</f>
        <v>QUILL FORMATION Ulman</v>
      </c>
      <c r="D660" s="43" t="str">
        <f aca="false">IF($A660="","",IF($C660="QUILL FORMATION Valmont",10,11))</f>
        <v/>
      </c>
      <c r="E660" s="151" t="str">
        <f aca="false">IF($A660="","",IFERROR(VLOOKUP($A660,Skills!$A:$C,2,FALSE())&amp;" "&amp;VLOOKUP($A660,Skills!$A:$C,3,FALSE()),"Haxil Dellhaven"))</f>
        <v/>
      </c>
      <c r="F660" s="43" t="str">
        <f aca="false">IF($A660="","",IFERROR(IF(VLOOKUP($A660,Skills!$A:$D,4,FALSE())="","",VLOOKUP($A660,Skills!$A:$D,4,FALSE())),"Lisbonne"))</f>
        <v/>
      </c>
      <c r="G660" s="47"/>
      <c r="H660" s="47" t="str">
        <f aca="false">IF(G660="","",WORKDAY(G660-1,D660+IF(J660="",0,J660)))</f>
        <v/>
      </c>
      <c r="I660" s="134"/>
      <c r="J660" s="135"/>
      <c r="K660" s="43" t="str">
        <f aca="true">IF(G660="","",MIN(D660,MAX(0,NETWORKDAYS(G660,TODAY())-IF(J660="",0,J660))))</f>
        <v/>
      </c>
      <c r="L660" s="43" t="str">
        <f aca="true">IF(G660="","",MAX(0,D660-(NETWORKDAYS(G660,TODAY())-IF(J660="",0,J660))))</f>
        <v/>
      </c>
      <c r="M660" s="173"/>
      <c r="N660" s="44" t="str">
        <f aca="true">IFERROR(IF(OR(K660="",K660&lt;=0),"",IF(TODAY()&gt;H660,1,IF(K660-1=0,0,INDEX(OBJECTIVES!$O$2:$Q$12,MATCH(K660-1,OBJECTIVES!$N$2:$N$12,0),IF($C660="QUILL FORMATION Valmont",2,1))))),"")</f>
        <v/>
      </c>
      <c r="O660" s="44" t="str">
        <f aca="false">IF(OR(N660="",M660=""),"",M660-N660)</f>
        <v/>
      </c>
      <c r="P660" s="155" t="str">
        <f aca="false">IF($Q660&lt;&gt;"",$Q660,IF(O660="","",IF(O660&lt;=-0.12,"P1",IF(O660&lt;=-0.06,"P2","P3"))))</f>
        <v/>
      </c>
      <c r="Q660" s="136"/>
      <c r="R660" s="155"/>
      <c r="S660" s="155"/>
      <c r="T660" s="134"/>
      <c r="U660" s="134"/>
      <c r="V660" s="134"/>
      <c r="W660" s="134"/>
      <c r="X660" s="134"/>
      <c r="Y660" s="134"/>
      <c r="Z660" s="134" t="str">
        <f aca="false">IF(R660="Terminé",IF(AND(G660&lt;&gt;"",I660&lt;&gt;""),NETWORKDAYS(G660,I660),D660),"")</f>
        <v/>
      </c>
      <c r="AA660" s="134" t="str">
        <f aca="false">IF($A660="","",IF(COUNTIF(Skills!$A:$A,$A660)=0,"⚠ ID absent du roster",""))</f>
        <v/>
      </c>
      <c r="AB660" s="158"/>
    </row>
    <row r="661" customFormat="false" ht="15" hidden="true" customHeight="false" outlineLevel="0" collapsed="false">
      <c r="A661" s="172"/>
      <c r="B661" s="172"/>
      <c r="C661" s="161" t="str">
        <f aca="false">IF(LEFT(B661,2)="OS","QUILL FORMATION Valmont","QUILL FORMATION Ulman")</f>
        <v>QUILL FORMATION Ulman</v>
      </c>
      <c r="D661" s="43" t="str">
        <f aca="false">IF($A661="","",IF($C661="QUILL FORMATION Valmont",10,11))</f>
        <v/>
      </c>
      <c r="E661" s="151" t="str">
        <f aca="false">IF($A661="","",IFERROR(VLOOKUP($A661,Skills!$A:$C,2,FALSE())&amp;" "&amp;VLOOKUP($A661,Skills!$A:$C,3,FALSE()),"Haxil Dellhaven"))</f>
        <v/>
      </c>
      <c r="F661" s="43" t="str">
        <f aca="false">IF($A661="","",IFERROR(IF(VLOOKUP($A661,Skills!$A:$D,4,FALSE())="","",VLOOKUP($A661,Skills!$A:$D,4,FALSE())),"Lisbonne"))</f>
        <v/>
      </c>
      <c r="G661" s="47"/>
      <c r="H661" s="47" t="str">
        <f aca="false">IF(G661="","",WORKDAY(G661-1,D661+IF(J661="",0,J661)))</f>
        <v/>
      </c>
      <c r="I661" s="134"/>
      <c r="J661" s="135"/>
      <c r="K661" s="43" t="str">
        <f aca="true">IF(G661="","",MIN(D661,MAX(0,NETWORKDAYS(G661,TODAY())-IF(J661="",0,J661))))</f>
        <v/>
      </c>
      <c r="L661" s="43" t="str">
        <f aca="true">IF(G661="","",MAX(0,D661-(NETWORKDAYS(G661,TODAY())-IF(J661="",0,J661))))</f>
        <v/>
      </c>
      <c r="M661" s="173"/>
      <c r="N661" s="44" t="str">
        <f aca="true">IFERROR(IF(OR(K661="",K661&lt;=0),"",IF(TODAY()&gt;H661,1,IF(K661-1=0,0,INDEX(OBJECTIVES!$O$2:$Q$12,MATCH(K661-1,OBJECTIVES!$N$2:$N$12,0),IF($C661="QUILL FORMATION Valmont",2,1))))),"")</f>
        <v/>
      </c>
      <c r="O661" s="44" t="str">
        <f aca="false">IF(OR(N661="",M661=""),"",M661-N661)</f>
        <v/>
      </c>
      <c r="P661" s="155" t="str">
        <f aca="false">IF($Q661&lt;&gt;"",$Q661,IF(O661="","",IF(O661&lt;=-0.12,"P1",IF(O661&lt;=-0.06,"P2","P3"))))</f>
        <v/>
      </c>
      <c r="Q661" s="136"/>
      <c r="R661" s="155"/>
      <c r="S661" s="155"/>
      <c r="T661" s="134"/>
      <c r="U661" s="134"/>
      <c r="V661" s="134"/>
      <c r="W661" s="134"/>
      <c r="X661" s="134"/>
      <c r="Y661" s="134"/>
      <c r="Z661" s="134" t="str">
        <f aca="false">IF(R661="Terminé",IF(AND(G661&lt;&gt;"",I661&lt;&gt;""),NETWORKDAYS(G661,I661),D661),"")</f>
        <v/>
      </c>
      <c r="AA661" s="134" t="str">
        <f aca="false">IF($A661="","",IF(COUNTIF(Skills!$A:$A,$A661)=0,"⚠ ID absent du roster",""))</f>
        <v/>
      </c>
      <c r="AB661" s="158"/>
    </row>
    <row r="662" customFormat="false" ht="15" hidden="true" customHeight="false" outlineLevel="0" collapsed="false">
      <c r="A662" s="172"/>
      <c r="B662" s="172"/>
      <c r="C662" s="161" t="str">
        <f aca="false">IF(LEFT(B662,2)="OS","QUILL FORMATION Valmont","QUILL FORMATION Ulman")</f>
        <v>QUILL FORMATION Ulman</v>
      </c>
      <c r="D662" s="43" t="str">
        <f aca="false">IF($A662="","",IF($C662="QUILL FORMATION Valmont",10,11))</f>
        <v/>
      </c>
      <c r="E662" s="151" t="str">
        <f aca="false">IF($A662="","",IFERROR(VLOOKUP($A662,Skills!$A:$C,2,FALSE())&amp;" "&amp;VLOOKUP($A662,Skills!$A:$C,3,FALSE()),"Haxil Dellhaven"))</f>
        <v/>
      </c>
      <c r="F662" s="43" t="str">
        <f aca="false">IF($A662="","",IFERROR(IF(VLOOKUP($A662,Skills!$A:$D,4,FALSE())="","",VLOOKUP($A662,Skills!$A:$D,4,FALSE())),"Lisbonne"))</f>
        <v/>
      </c>
      <c r="G662" s="47"/>
      <c r="H662" s="47" t="str">
        <f aca="false">IF(G662="","",WORKDAY(G662-1,D662+IF(J662="",0,J662)))</f>
        <v/>
      </c>
      <c r="I662" s="134"/>
      <c r="J662" s="135"/>
      <c r="K662" s="43" t="str">
        <f aca="true">IF(G662="","",MIN(D662,MAX(0,NETWORKDAYS(G662,TODAY())-IF(J662="",0,J662))))</f>
        <v/>
      </c>
      <c r="L662" s="43" t="str">
        <f aca="true">IF(G662="","",MAX(0,D662-(NETWORKDAYS(G662,TODAY())-IF(J662="",0,J662))))</f>
        <v/>
      </c>
      <c r="M662" s="173"/>
      <c r="N662" s="44" t="str">
        <f aca="true">IFERROR(IF(OR(K662="",K662&lt;=0),"",IF(TODAY()&gt;H662,1,IF(K662-1=0,0,INDEX(OBJECTIVES!$O$2:$Q$12,MATCH(K662-1,OBJECTIVES!$N$2:$N$12,0),IF($C662="QUILL FORMATION Valmont",2,1))))),"")</f>
        <v/>
      </c>
      <c r="O662" s="44" t="str">
        <f aca="false">IF(OR(N662="",M662=""),"",M662-N662)</f>
        <v/>
      </c>
      <c r="P662" s="155" t="str">
        <f aca="false">IF($Q662&lt;&gt;"",$Q662,IF(O662="","",IF(O662&lt;=-0.12,"P1",IF(O662&lt;=-0.06,"P2","P3"))))</f>
        <v/>
      </c>
      <c r="Q662" s="136"/>
      <c r="R662" s="155"/>
      <c r="S662" s="155"/>
      <c r="T662" s="134"/>
      <c r="U662" s="134"/>
      <c r="V662" s="134"/>
      <c r="W662" s="134"/>
      <c r="X662" s="134"/>
      <c r="Y662" s="134"/>
      <c r="Z662" s="134" t="str">
        <f aca="false">IF(R662="Terminé",IF(AND(G662&lt;&gt;"",I662&lt;&gt;""),NETWORKDAYS(G662,I662),D662),"")</f>
        <v/>
      </c>
      <c r="AA662" s="134" t="str">
        <f aca="false">IF($A662="","",IF(COUNTIF(Skills!$A:$A,$A662)=0,"⚠ ID absent du roster",""))</f>
        <v/>
      </c>
      <c r="AB662" s="158"/>
    </row>
    <row r="663" customFormat="false" ht="15" hidden="true" customHeight="false" outlineLevel="0" collapsed="false">
      <c r="A663" s="172"/>
      <c r="B663" s="172"/>
      <c r="C663" s="161" t="str">
        <f aca="false">IF(LEFT(B663,2)="OS","QUILL FORMATION Valmont","QUILL FORMATION Ulman")</f>
        <v>QUILL FORMATION Ulman</v>
      </c>
      <c r="D663" s="43" t="str">
        <f aca="false">IF($A663="","",IF($C663="QUILL FORMATION Valmont",10,11))</f>
        <v/>
      </c>
      <c r="E663" s="151" t="str">
        <f aca="false">IF($A663="","",IFERROR(VLOOKUP($A663,Skills!$A:$C,2,FALSE())&amp;" "&amp;VLOOKUP($A663,Skills!$A:$C,3,FALSE()),"Haxil Dellhaven"))</f>
        <v/>
      </c>
      <c r="F663" s="43" t="str">
        <f aca="false">IF($A663="","",IFERROR(IF(VLOOKUP($A663,Skills!$A:$D,4,FALSE())="","",VLOOKUP($A663,Skills!$A:$D,4,FALSE())),"Lisbonne"))</f>
        <v/>
      </c>
      <c r="G663" s="47"/>
      <c r="H663" s="47" t="str">
        <f aca="false">IF(G663="","",WORKDAY(G663-1,D663+IF(J663="",0,J663)))</f>
        <v/>
      </c>
      <c r="I663" s="134"/>
      <c r="J663" s="135"/>
      <c r="K663" s="43" t="str">
        <f aca="true">IF(G663="","",MIN(D663,MAX(0,NETWORKDAYS(G663,TODAY())-IF(J663="",0,J663))))</f>
        <v/>
      </c>
      <c r="L663" s="43" t="str">
        <f aca="true">IF(G663="","",MAX(0,D663-(NETWORKDAYS(G663,TODAY())-IF(J663="",0,J663))))</f>
        <v/>
      </c>
      <c r="M663" s="173"/>
      <c r="N663" s="44" t="str">
        <f aca="true">IFERROR(IF(OR(K663="",K663&lt;=0),"",IF(TODAY()&gt;H663,1,IF(K663-1=0,0,INDEX(OBJECTIVES!$O$2:$Q$12,MATCH(K663-1,OBJECTIVES!$N$2:$N$12,0),IF($C663="QUILL FORMATION Valmont",2,1))))),"")</f>
        <v/>
      </c>
      <c r="O663" s="44" t="str">
        <f aca="false">IF(OR(N663="",M663=""),"",M663-N663)</f>
        <v/>
      </c>
      <c r="P663" s="155" t="str">
        <f aca="false">IF($Q663&lt;&gt;"",$Q663,IF(O663="","",IF(O663&lt;=-0.12,"P1",IF(O663&lt;=-0.06,"P2","P3"))))</f>
        <v/>
      </c>
      <c r="Q663" s="136"/>
      <c r="R663" s="155"/>
      <c r="S663" s="155"/>
      <c r="T663" s="134"/>
      <c r="U663" s="134"/>
      <c r="V663" s="134"/>
      <c r="W663" s="134"/>
      <c r="X663" s="134"/>
      <c r="Y663" s="134"/>
      <c r="Z663" s="134" t="str">
        <f aca="false">IF(R663="Terminé",IF(AND(G663&lt;&gt;"",I663&lt;&gt;""),NETWORKDAYS(G663,I663),D663),"")</f>
        <v/>
      </c>
      <c r="AA663" s="134" t="str">
        <f aca="false">IF($A663="","",IF(COUNTIF(Skills!$A:$A,$A663)=0,"⚠ ID absent du roster",""))</f>
        <v/>
      </c>
      <c r="AB663" s="158"/>
    </row>
    <row r="664" customFormat="false" ht="15" hidden="true" customHeight="false" outlineLevel="0" collapsed="false">
      <c r="A664" s="172"/>
      <c r="B664" s="172"/>
      <c r="C664" s="161" t="str">
        <f aca="false">IF(LEFT(B664,2)="OS","QUILL FORMATION Valmont","QUILL FORMATION Ulman")</f>
        <v>QUILL FORMATION Ulman</v>
      </c>
      <c r="D664" s="43" t="str">
        <f aca="false">IF($A664="","",IF($C664="QUILL FORMATION Valmont",10,11))</f>
        <v/>
      </c>
      <c r="E664" s="151" t="str">
        <f aca="false">IF($A664="","",IFERROR(VLOOKUP($A664,Skills!$A:$C,2,FALSE())&amp;" "&amp;VLOOKUP($A664,Skills!$A:$C,3,FALSE()),"Haxil Dellhaven"))</f>
        <v/>
      </c>
      <c r="F664" s="43" t="str">
        <f aca="false">IF($A664="","",IFERROR(IF(VLOOKUP($A664,Skills!$A:$D,4,FALSE())="","",VLOOKUP($A664,Skills!$A:$D,4,FALSE())),"Lisbonne"))</f>
        <v/>
      </c>
      <c r="G664" s="47"/>
      <c r="H664" s="47" t="str">
        <f aca="false">IF(G664="","",WORKDAY(G664-1,D664+IF(J664="",0,J664)))</f>
        <v/>
      </c>
      <c r="I664" s="134"/>
      <c r="J664" s="135"/>
      <c r="K664" s="43" t="str">
        <f aca="true">IF(G664="","",MIN(D664,MAX(0,NETWORKDAYS(G664,TODAY())-IF(J664="",0,J664))))</f>
        <v/>
      </c>
      <c r="L664" s="43" t="str">
        <f aca="true">IF(G664="","",MAX(0,D664-(NETWORKDAYS(G664,TODAY())-IF(J664="",0,J664))))</f>
        <v/>
      </c>
      <c r="M664" s="173"/>
      <c r="N664" s="44" t="str">
        <f aca="true">IFERROR(IF(OR(K664="",K664&lt;=0),"",IF(TODAY()&gt;H664,1,IF(K664-1=0,0,INDEX(OBJECTIVES!$O$2:$Q$12,MATCH(K664-1,OBJECTIVES!$N$2:$N$12,0),IF($C664="QUILL FORMATION Valmont",2,1))))),"")</f>
        <v/>
      </c>
      <c r="O664" s="44" t="str">
        <f aca="false">IF(OR(N664="",M664=""),"",M664-N664)</f>
        <v/>
      </c>
      <c r="P664" s="155" t="str">
        <f aca="false">IF($Q664&lt;&gt;"",$Q664,IF(O664="","",IF(O664&lt;=-0.12,"P1",IF(O664&lt;=-0.06,"P2","P3"))))</f>
        <v/>
      </c>
      <c r="Q664" s="136"/>
      <c r="R664" s="155"/>
      <c r="S664" s="155"/>
      <c r="T664" s="134"/>
      <c r="U664" s="134"/>
      <c r="V664" s="134"/>
      <c r="W664" s="134"/>
      <c r="X664" s="134"/>
      <c r="Y664" s="134"/>
      <c r="Z664" s="134" t="str">
        <f aca="false">IF(R664="Terminé",IF(AND(G664&lt;&gt;"",I664&lt;&gt;""),NETWORKDAYS(G664,I664),D664),"")</f>
        <v/>
      </c>
      <c r="AA664" s="134" t="str">
        <f aca="false">IF($A664="","",IF(COUNTIF(Skills!$A:$A,$A664)=0,"⚠ ID absent du roster",""))</f>
        <v/>
      </c>
      <c r="AB664" s="158"/>
    </row>
    <row r="665" customFormat="false" ht="15" hidden="true" customHeight="false" outlineLevel="0" collapsed="false">
      <c r="A665" s="172"/>
      <c r="B665" s="172"/>
      <c r="C665" s="161" t="str">
        <f aca="false">IF(LEFT(B665,2)="OS","QUILL FORMATION Valmont","QUILL FORMATION Ulman")</f>
        <v>QUILL FORMATION Ulman</v>
      </c>
      <c r="D665" s="43" t="str">
        <f aca="false">IF($A665="","",IF($C665="QUILL FORMATION Valmont",10,11))</f>
        <v/>
      </c>
      <c r="E665" s="151" t="str">
        <f aca="false">IF($A665="","",IFERROR(VLOOKUP($A665,Skills!$A:$C,2,FALSE())&amp;" "&amp;VLOOKUP($A665,Skills!$A:$C,3,FALSE()),"Haxil Dellhaven"))</f>
        <v/>
      </c>
      <c r="F665" s="43" t="str">
        <f aca="false">IF($A665="","",IFERROR(IF(VLOOKUP($A665,Skills!$A:$D,4,FALSE())="","",VLOOKUP($A665,Skills!$A:$D,4,FALSE())),"Lisbonne"))</f>
        <v/>
      </c>
      <c r="G665" s="47"/>
      <c r="H665" s="47" t="str">
        <f aca="false">IF(G665="","",WORKDAY(G665-1,D665+IF(J665="",0,J665)))</f>
        <v/>
      </c>
      <c r="I665" s="134"/>
      <c r="J665" s="135"/>
      <c r="K665" s="43" t="str">
        <f aca="true">IF(G665="","",MIN(D665,MAX(0,NETWORKDAYS(G665,TODAY())-IF(J665="",0,J665))))</f>
        <v/>
      </c>
      <c r="L665" s="43" t="str">
        <f aca="true">IF(G665="","",MAX(0,D665-(NETWORKDAYS(G665,TODAY())-IF(J665="",0,J665))))</f>
        <v/>
      </c>
      <c r="M665" s="173"/>
      <c r="N665" s="44" t="str">
        <f aca="true">IFERROR(IF(OR(K665="",K665&lt;=0),"",IF(TODAY()&gt;H665,1,IF(K665-1=0,0,INDEX(OBJECTIVES!$O$2:$Q$12,MATCH(K665-1,OBJECTIVES!$N$2:$N$12,0),IF($C665="QUILL FORMATION Valmont",2,1))))),"")</f>
        <v/>
      </c>
      <c r="O665" s="44" t="str">
        <f aca="false">IF(OR(N665="",M665=""),"",M665-N665)</f>
        <v/>
      </c>
      <c r="P665" s="155" t="str">
        <f aca="false">IF($Q665&lt;&gt;"",$Q665,IF(O665="","",IF(O665&lt;=-0.12,"P1",IF(O665&lt;=-0.06,"P2","P3"))))</f>
        <v/>
      </c>
      <c r="Q665" s="136"/>
      <c r="R665" s="155"/>
      <c r="S665" s="155"/>
      <c r="T665" s="134"/>
      <c r="U665" s="134"/>
      <c r="V665" s="134"/>
      <c r="W665" s="134"/>
      <c r="X665" s="134"/>
      <c r="Y665" s="134"/>
      <c r="Z665" s="134" t="str">
        <f aca="false">IF(R665="Terminé",IF(AND(G665&lt;&gt;"",I665&lt;&gt;""),NETWORKDAYS(G665,I665),D665),"")</f>
        <v/>
      </c>
      <c r="AA665" s="134" t="str">
        <f aca="false">IF($A665="","",IF(COUNTIF(Skills!$A:$A,$A665)=0,"⚠ ID absent du roster",""))</f>
        <v/>
      </c>
      <c r="AB665" s="158"/>
    </row>
    <row r="666" customFormat="false" ht="15" hidden="true" customHeight="false" outlineLevel="0" collapsed="false">
      <c r="A666" s="172"/>
      <c r="B666" s="172"/>
      <c r="C666" s="161" t="str">
        <f aca="false">IF(LEFT(B666,2)="OS","QUILL FORMATION Valmont","QUILL FORMATION Ulman")</f>
        <v>QUILL FORMATION Ulman</v>
      </c>
      <c r="D666" s="43" t="str">
        <f aca="false">IF($A666="","",IF($C666="QUILL FORMATION Valmont",10,11))</f>
        <v/>
      </c>
      <c r="E666" s="151" t="str">
        <f aca="false">IF($A666="","",IFERROR(VLOOKUP($A666,Skills!$A:$C,2,FALSE())&amp;" "&amp;VLOOKUP($A666,Skills!$A:$C,3,FALSE()),"Haxil Dellhaven"))</f>
        <v/>
      </c>
      <c r="F666" s="43" t="str">
        <f aca="false">IF($A666="","",IFERROR(IF(VLOOKUP($A666,Skills!$A:$D,4,FALSE())="","",VLOOKUP($A666,Skills!$A:$D,4,FALSE())),"Lisbonne"))</f>
        <v/>
      </c>
      <c r="G666" s="47"/>
      <c r="H666" s="47" t="str">
        <f aca="false">IF(G666="","",WORKDAY(G666-1,D666+IF(J666="",0,J666)))</f>
        <v/>
      </c>
      <c r="I666" s="134"/>
      <c r="J666" s="135"/>
      <c r="K666" s="43" t="str">
        <f aca="true">IF(G666="","",MIN(D666,MAX(0,NETWORKDAYS(G666,TODAY())-IF(J666="",0,J666))))</f>
        <v/>
      </c>
      <c r="L666" s="43" t="str">
        <f aca="true">IF(G666="","",MAX(0,D666-(NETWORKDAYS(G666,TODAY())-IF(J666="",0,J666))))</f>
        <v/>
      </c>
      <c r="M666" s="173"/>
      <c r="N666" s="44" t="str">
        <f aca="true">IFERROR(IF(OR(K666="",K666&lt;=0),"",IF(TODAY()&gt;H666,1,IF(K666-1=0,0,INDEX(OBJECTIVES!$O$2:$Q$12,MATCH(K666-1,OBJECTIVES!$N$2:$N$12,0),IF($C666="QUILL FORMATION Valmont",2,1))))),"")</f>
        <v/>
      </c>
      <c r="O666" s="44" t="str">
        <f aca="false">IF(OR(N666="",M666=""),"",M666-N666)</f>
        <v/>
      </c>
      <c r="P666" s="155" t="str">
        <f aca="false">IF($Q666&lt;&gt;"",$Q666,IF(O666="","",IF(O666&lt;=-0.12,"P1",IF(O666&lt;=-0.06,"P2","P3"))))</f>
        <v/>
      </c>
      <c r="Q666" s="136"/>
      <c r="R666" s="155"/>
      <c r="S666" s="155"/>
      <c r="T666" s="134"/>
      <c r="U666" s="134"/>
      <c r="V666" s="134"/>
      <c r="W666" s="134"/>
      <c r="X666" s="134"/>
      <c r="Y666" s="134"/>
      <c r="Z666" s="134" t="str">
        <f aca="false">IF(R666="Terminé",IF(AND(G666&lt;&gt;"",I666&lt;&gt;""),NETWORKDAYS(G666,I666),D666),"")</f>
        <v/>
      </c>
      <c r="AA666" s="134" t="str">
        <f aca="false">IF($A666="","",IF(COUNTIF(Skills!$A:$A,$A666)=0,"⚠ ID absent du roster",""))</f>
        <v/>
      </c>
      <c r="AB666" s="158"/>
    </row>
    <row r="667" customFormat="false" ht="15" hidden="true" customHeight="false" outlineLevel="0" collapsed="false">
      <c r="A667" s="172"/>
      <c r="B667" s="172"/>
      <c r="C667" s="161" t="str">
        <f aca="false">IF(LEFT(B667,2)="OS","QUILL FORMATION Valmont","QUILL FORMATION Ulman")</f>
        <v>QUILL FORMATION Ulman</v>
      </c>
      <c r="D667" s="43" t="str">
        <f aca="false">IF($A667="","",IF($C667="QUILL FORMATION Valmont",10,11))</f>
        <v/>
      </c>
      <c r="E667" s="151" t="str">
        <f aca="false">IF($A667="","",IFERROR(VLOOKUP($A667,Skills!$A:$C,2,FALSE())&amp;" "&amp;VLOOKUP($A667,Skills!$A:$C,3,FALSE()),"Haxil Dellhaven"))</f>
        <v/>
      </c>
      <c r="F667" s="43" t="str">
        <f aca="false">IF($A667="","",IFERROR(IF(VLOOKUP($A667,Skills!$A:$D,4,FALSE())="","",VLOOKUP($A667,Skills!$A:$D,4,FALSE())),"Lisbonne"))</f>
        <v/>
      </c>
      <c r="G667" s="47"/>
      <c r="H667" s="47" t="str">
        <f aca="false">IF(G667="","",WORKDAY(G667-1,D667+IF(J667="",0,J667)))</f>
        <v/>
      </c>
      <c r="I667" s="134"/>
      <c r="J667" s="135"/>
      <c r="K667" s="43" t="str">
        <f aca="true">IF(G667="","",MIN(D667,MAX(0,NETWORKDAYS(G667,TODAY())-IF(J667="",0,J667))))</f>
        <v/>
      </c>
      <c r="L667" s="43" t="str">
        <f aca="true">IF(G667="","",MAX(0,D667-(NETWORKDAYS(G667,TODAY())-IF(J667="",0,J667))))</f>
        <v/>
      </c>
      <c r="M667" s="173"/>
      <c r="N667" s="44" t="str">
        <f aca="true">IFERROR(IF(OR(K667="",K667&lt;=0),"",IF(TODAY()&gt;H667,1,IF(K667-1=0,0,INDEX(OBJECTIVES!$O$2:$Q$12,MATCH(K667-1,OBJECTIVES!$N$2:$N$12,0),IF($C667="QUILL FORMATION Valmont",2,1))))),"")</f>
        <v/>
      </c>
      <c r="O667" s="44" t="str">
        <f aca="false">IF(OR(N667="",M667=""),"",M667-N667)</f>
        <v/>
      </c>
      <c r="P667" s="155" t="str">
        <f aca="false">IF($Q667&lt;&gt;"",$Q667,IF(O667="","",IF(O667&lt;=-0.12,"P1",IF(O667&lt;=-0.06,"P2","P3"))))</f>
        <v/>
      </c>
      <c r="Q667" s="136"/>
      <c r="R667" s="155"/>
      <c r="S667" s="155"/>
      <c r="T667" s="134"/>
      <c r="U667" s="134"/>
      <c r="V667" s="134"/>
      <c r="W667" s="134"/>
      <c r="X667" s="134"/>
      <c r="Y667" s="134"/>
      <c r="Z667" s="134" t="str">
        <f aca="false">IF(R667="Terminé",IF(AND(G667&lt;&gt;"",I667&lt;&gt;""),NETWORKDAYS(G667,I667),D667),"")</f>
        <v/>
      </c>
      <c r="AA667" s="134" t="str">
        <f aca="false">IF($A667="","",IF(COUNTIF(Skills!$A:$A,$A667)=0,"⚠ ID absent du roster",""))</f>
        <v/>
      </c>
      <c r="AB667" s="158"/>
    </row>
    <row r="668" customFormat="false" ht="15" hidden="true" customHeight="false" outlineLevel="0" collapsed="false">
      <c r="A668" s="172"/>
      <c r="B668" s="172"/>
      <c r="C668" s="161" t="str">
        <f aca="false">IF(LEFT(B668,2)="OS","QUILL FORMATION Valmont","QUILL FORMATION Ulman")</f>
        <v>QUILL FORMATION Ulman</v>
      </c>
      <c r="D668" s="43" t="str">
        <f aca="false">IF($A668="","",IF($C668="QUILL FORMATION Valmont",10,11))</f>
        <v/>
      </c>
      <c r="E668" s="151" t="str">
        <f aca="false">IF($A668="","",IFERROR(VLOOKUP($A668,Skills!$A:$C,2,FALSE())&amp;" "&amp;VLOOKUP($A668,Skills!$A:$C,3,FALSE()),"Haxil Dellhaven"))</f>
        <v/>
      </c>
      <c r="F668" s="43" t="str">
        <f aca="false">IF($A668="","",IFERROR(IF(VLOOKUP($A668,Skills!$A:$D,4,FALSE())="","",VLOOKUP($A668,Skills!$A:$D,4,FALSE())),"Lisbonne"))</f>
        <v/>
      </c>
      <c r="G668" s="47"/>
      <c r="H668" s="47" t="str">
        <f aca="false">IF(G668="","",WORKDAY(G668-1,D668+IF(J668="",0,J668)))</f>
        <v/>
      </c>
      <c r="I668" s="134"/>
      <c r="J668" s="135"/>
      <c r="K668" s="43" t="str">
        <f aca="true">IF(G668="","",MIN(D668,MAX(0,NETWORKDAYS(G668,TODAY())-IF(J668="",0,J668))))</f>
        <v/>
      </c>
      <c r="L668" s="43" t="str">
        <f aca="true">IF(G668="","",MAX(0,D668-(NETWORKDAYS(G668,TODAY())-IF(J668="",0,J668))))</f>
        <v/>
      </c>
      <c r="M668" s="173"/>
      <c r="N668" s="44" t="str">
        <f aca="true">IFERROR(IF(OR(K668="",K668&lt;=0),"",IF(TODAY()&gt;H668,1,IF(K668-1=0,0,INDEX(OBJECTIVES!$O$2:$Q$12,MATCH(K668-1,OBJECTIVES!$N$2:$N$12,0),IF($C668="QUILL FORMATION Valmont",2,1))))),"")</f>
        <v/>
      </c>
      <c r="O668" s="44" t="str">
        <f aca="false">IF(OR(N668="",M668=""),"",M668-N668)</f>
        <v/>
      </c>
      <c r="P668" s="155" t="str">
        <f aca="false">IF($Q668&lt;&gt;"",$Q668,IF(O668="","",IF(O668&lt;=-0.12,"P1",IF(O668&lt;=-0.06,"P2","P3"))))</f>
        <v/>
      </c>
      <c r="Q668" s="136"/>
      <c r="R668" s="155"/>
      <c r="S668" s="155"/>
      <c r="T668" s="134"/>
      <c r="U668" s="134"/>
      <c r="V668" s="134"/>
      <c r="W668" s="134"/>
      <c r="X668" s="134"/>
      <c r="Y668" s="134"/>
      <c r="Z668" s="134" t="str">
        <f aca="false">IF(R668="Terminé",IF(AND(G668&lt;&gt;"",I668&lt;&gt;""),NETWORKDAYS(G668,I668),D668),"")</f>
        <v/>
      </c>
      <c r="AA668" s="134" t="str">
        <f aca="false">IF($A668="","",IF(COUNTIF(Skills!$A:$A,$A668)=0,"⚠ ID absent du roster",""))</f>
        <v/>
      </c>
      <c r="AB668" s="158"/>
    </row>
    <row r="669" customFormat="false" ht="15" hidden="true" customHeight="false" outlineLevel="0" collapsed="false">
      <c r="A669" s="172"/>
      <c r="B669" s="172"/>
      <c r="C669" s="161" t="str">
        <f aca="false">IF(LEFT(B669,2)="OS","QUILL FORMATION Valmont","QUILL FORMATION Ulman")</f>
        <v>QUILL FORMATION Ulman</v>
      </c>
      <c r="D669" s="43" t="str">
        <f aca="false">IF($A669="","",IF($C669="QUILL FORMATION Valmont",10,11))</f>
        <v/>
      </c>
      <c r="E669" s="151" t="str">
        <f aca="false">IF($A669="","",IFERROR(VLOOKUP($A669,Skills!$A:$C,2,FALSE())&amp;" "&amp;VLOOKUP($A669,Skills!$A:$C,3,FALSE()),"Haxil Dellhaven"))</f>
        <v/>
      </c>
      <c r="F669" s="43" t="str">
        <f aca="false">IF($A669="","",IFERROR(IF(VLOOKUP($A669,Skills!$A:$D,4,FALSE())="","",VLOOKUP($A669,Skills!$A:$D,4,FALSE())),"Lisbonne"))</f>
        <v/>
      </c>
      <c r="G669" s="47"/>
      <c r="H669" s="47" t="str">
        <f aca="false">IF(G669="","",WORKDAY(G669-1,D669+IF(J669="",0,J669)))</f>
        <v/>
      </c>
      <c r="I669" s="134"/>
      <c r="J669" s="135"/>
      <c r="K669" s="43" t="str">
        <f aca="true">IF(G669="","",MIN(D669,MAX(0,NETWORKDAYS(G669,TODAY())-IF(J669="",0,J669))))</f>
        <v/>
      </c>
      <c r="L669" s="43" t="str">
        <f aca="true">IF(G669="","",MAX(0,D669-(NETWORKDAYS(G669,TODAY())-IF(J669="",0,J669))))</f>
        <v/>
      </c>
      <c r="M669" s="173"/>
      <c r="N669" s="44" t="str">
        <f aca="true">IFERROR(IF(OR(K669="",K669&lt;=0),"",IF(TODAY()&gt;H669,1,IF(K669-1=0,0,INDEX(OBJECTIVES!$O$2:$Q$12,MATCH(K669-1,OBJECTIVES!$N$2:$N$12,0),IF($C669="QUILL FORMATION Valmont",2,1))))),"")</f>
        <v/>
      </c>
      <c r="O669" s="44" t="str">
        <f aca="false">IF(OR(N669="",M669=""),"",M669-N669)</f>
        <v/>
      </c>
      <c r="P669" s="155" t="str">
        <f aca="false">IF($Q669&lt;&gt;"",$Q669,IF(O669="","",IF(O669&lt;=-0.12,"P1",IF(O669&lt;=-0.06,"P2","P3"))))</f>
        <v/>
      </c>
      <c r="Q669" s="136"/>
      <c r="R669" s="155"/>
      <c r="S669" s="155"/>
      <c r="T669" s="134"/>
      <c r="U669" s="134"/>
      <c r="V669" s="134"/>
      <c r="W669" s="134"/>
      <c r="X669" s="134"/>
      <c r="Y669" s="134"/>
      <c r="Z669" s="134" t="str">
        <f aca="false">IF(R669="Terminé",IF(AND(G669&lt;&gt;"",I669&lt;&gt;""),NETWORKDAYS(G669,I669),D669),"")</f>
        <v/>
      </c>
      <c r="AA669" s="134" t="str">
        <f aca="false">IF($A669="","",IF(COUNTIF(Skills!$A:$A,$A669)=0,"⚠ ID absent du roster",""))</f>
        <v/>
      </c>
      <c r="AB669" s="158"/>
    </row>
    <row r="670" customFormat="false" ht="15" hidden="true" customHeight="false" outlineLevel="0" collapsed="false">
      <c r="A670" s="172"/>
      <c r="B670" s="172"/>
      <c r="C670" s="161" t="str">
        <f aca="false">IF(LEFT(B670,2)="OS","QUILL FORMATION Valmont","QUILL FORMATION Ulman")</f>
        <v>QUILL FORMATION Ulman</v>
      </c>
      <c r="D670" s="43" t="str">
        <f aca="false">IF($A670="","",IF($C670="QUILL FORMATION Valmont",10,11))</f>
        <v/>
      </c>
      <c r="E670" s="151" t="str">
        <f aca="false">IF($A670="","",IFERROR(VLOOKUP($A670,Skills!$A:$C,2,FALSE())&amp;" "&amp;VLOOKUP($A670,Skills!$A:$C,3,FALSE()),"Haxil Dellhaven"))</f>
        <v/>
      </c>
      <c r="F670" s="43" t="str">
        <f aca="false">IF($A670="","",IFERROR(IF(VLOOKUP($A670,Skills!$A:$D,4,FALSE())="","",VLOOKUP($A670,Skills!$A:$D,4,FALSE())),"Lisbonne"))</f>
        <v/>
      </c>
      <c r="G670" s="47"/>
      <c r="H670" s="47" t="str">
        <f aca="false">IF(G670="","",WORKDAY(G670-1,D670+IF(J670="",0,J670)))</f>
        <v/>
      </c>
      <c r="I670" s="134"/>
      <c r="J670" s="135"/>
      <c r="K670" s="43" t="str">
        <f aca="true">IF(G670="","",MIN(D670,MAX(0,NETWORKDAYS(G670,TODAY())-IF(J670="",0,J670))))</f>
        <v/>
      </c>
      <c r="L670" s="43" t="str">
        <f aca="true">IF(G670="","",MAX(0,D670-(NETWORKDAYS(G670,TODAY())-IF(J670="",0,J670))))</f>
        <v/>
      </c>
      <c r="M670" s="173"/>
      <c r="N670" s="44" t="str">
        <f aca="true">IFERROR(IF(OR(K670="",K670&lt;=0),"",IF(TODAY()&gt;H670,1,IF(K670-1=0,0,INDEX(OBJECTIVES!$O$2:$Q$12,MATCH(K670-1,OBJECTIVES!$N$2:$N$12,0),IF($C670="QUILL FORMATION Valmont",2,1))))),"")</f>
        <v/>
      </c>
      <c r="O670" s="44" t="str">
        <f aca="false">IF(OR(N670="",M670=""),"",M670-N670)</f>
        <v/>
      </c>
      <c r="P670" s="155" t="str">
        <f aca="false">IF($Q670&lt;&gt;"",$Q670,IF(O670="","",IF(O670&lt;=-0.12,"P1",IF(O670&lt;=-0.06,"P2","P3"))))</f>
        <v/>
      </c>
      <c r="Q670" s="136"/>
      <c r="R670" s="155"/>
      <c r="S670" s="155"/>
      <c r="T670" s="134"/>
      <c r="U670" s="134"/>
      <c r="V670" s="134"/>
      <c r="W670" s="134"/>
      <c r="X670" s="134"/>
      <c r="Y670" s="134"/>
      <c r="Z670" s="134" t="str">
        <f aca="false">IF(R670="Terminé",IF(AND(G670&lt;&gt;"",I670&lt;&gt;""),NETWORKDAYS(G670,I670),D670),"")</f>
        <v/>
      </c>
      <c r="AA670" s="134" t="str">
        <f aca="false">IF($A670="","",IF(COUNTIF(Skills!$A:$A,$A670)=0,"⚠ ID absent du roster",""))</f>
        <v/>
      </c>
      <c r="AB670" s="158"/>
    </row>
    <row r="671" customFormat="false" ht="15" hidden="true" customHeight="false" outlineLevel="0" collapsed="false">
      <c r="A671" s="172"/>
      <c r="B671" s="172"/>
      <c r="C671" s="161" t="str">
        <f aca="false">IF(LEFT(B671,2)="OS","QUILL FORMATION Valmont","QUILL FORMATION Ulman")</f>
        <v>QUILL FORMATION Ulman</v>
      </c>
      <c r="D671" s="43" t="str">
        <f aca="false">IF($A671="","",IF($C671="QUILL FORMATION Valmont",10,11))</f>
        <v/>
      </c>
      <c r="E671" s="151" t="str">
        <f aca="false">IF($A671="","",IFERROR(VLOOKUP($A671,Skills!$A:$C,2,FALSE())&amp;" "&amp;VLOOKUP($A671,Skills!$A:$C,3,FALSE()),"Haxil Dellhaven"))</f>
        <v/>
      </c>
      <c r="F671" s="43" t="str">
        <f aca="false">IF($A671="","",IFERROR(IF(VLOOKUP($A671,Skills!$A:$D,4,FALSE())="","",VLOOKUP($A671,Skills!$A:$D,4,FALSE())),"Lisbonne"))</f>
        <v/>
      </c>
      <c r="G671" s="47"/>
      <c r="H671" s="47" t="str">
        <f aca="false">IF(G671="","",WORKDAY(G671-1,D671+IF(J671="",0,J671)))</f>
        <v/>
      </c>
      <c r="I671" s="134"/>
      <c r="J671" s="135"/>
      <c r="K671" s="43" t="str">
        <f aca="true">IF(G671="","",MIN(D671,MAX(0,NETWORKDAYS(G671,TODAY())-IF(J671="",0,J671))))</f>
        <v/>
      </c>
      <c r="L671" s="43" t="str">
        <f aca="true">IF(G671="","",MAX(0,D671-(NETWORKDAYS(G671,TODAY())-IF(J671="",0,J671))))</f>
        <v/>
      </c>
      <c r="M671" s="173"/>
      <c r="N671" s="44" t="str">
        <f aca="true">IFERROR(IF(OR(K671="",K671&lt;=0),"",IF(TODAY()&gt;H671,1,IF(K671-1=0,0,INDEX(OBJECTIVES!$O$2:$Q$12,MATCH(K671-1,OBJECTIVES!$N$2:$N$12,0),IF($C671="QUILL FORMATION Valmont",2,1))))),"")</f>
        <v/>
      </c>
      <c r="O671" s="44" t="str">
        <f aca="false">IF(OR(N671="",M671=""),"",M671-N671)</f>
        <v/>
      </c>
      <c r="P671" s="155" t="str">
        <f aca="false">IF($Q671&lt;&gt;"",$Q671,IF(O671="","",IF(O671&lt;=-0.12,"P1",IF(O671&lt;=-0.06,"P2","P3"))))</f>
        <v/>
      </c>
      <c r="Q671" s="136"/>
      <c r="R671" s="155"/>
      <c r="S671" s="155"/>
      <c r="T671" s="134"/>
      <c r="U671" s="134"/>
      <c r="V671" s="134"/>
      <c r="W671" s="134"/>
      <c r="X671" s="134"/>
      <c r="Y671" s="134"/>
      <c r="Z671" s="134" t="str">
        <f aca="false">IF(R671="Terminé",IF(AND(G671&lt;&gt;"",I671&lt;&gt;""),NETWORKDAYS(G671,I671),D671),"")</f>
        <v/>
      </c>
      <c r="AA671" s="134" t="str">
        <f aca="false">IF($A671="","",IF(COUNTIF(Skills!$A:$A,$A671)=0,"⚠ ID absent du roster",""))</f>
        <v/>
      </c>
      <c r="AB671" s="158"/>
    </row>
    <row r="672" customFormat="false" ht="15" hidden="true" customHeight="false" outlineLevel="0" collapsed="false">
      <c r="A672" s="172"/>
      <c r="B672" s="172"/>
      <c r="C672" s="161" t="str">
        <f aca="false">IF(LEFT(B672,2)="OS","QUILL FORMATION Valmont","QUILL FORMATION Ulman")</f>
        <v>QUILL FORMATION Ulman</v>
      </c>
      <c r="D672" s="43" t="str">
        <f aca="false">IF($A672="","",IF($C672="QUILL FORMATION Valmont",10,11))</f>
        <v/>
      </c>
      <c r="E672" s="151" t="str">
        <f aca="false">IF($A672="","",IFERROR(VLOOKUP($A672,Skills!$A:$C,2,FALSE())&amp;" "&amp;VLOOKUP($A672,Skills!$A:$C,3,FALSE()),"Haxil Dellhaven"))</f>
        <v/>
      </c>
      <c r="F672" s="43" t="str">
        <f aca="false">IF($A672="","",IFERROR(IF(VLOOKUP($A672,Skills!$A:$D,4,FALSE())="","",VLOOKUP($A672,Skills!$A:$D,4,FALSE())),"Lisbonne"))</f>
        <v/>
      </c>
      <c r="G672" s="47"/>
      <c r="H672" s="47" t="str">
        <f aca="false">IF(G672="","",WORKDAY(G672-1,D672+IF(J672="",0,J672)))</f>
        <v/>
      </c>
      <c r="I672" s="134"/>
      <c r="J672" s="135"/>
      <c r="K672" s="43" t="str">
        <f aca="true">IF(G672="","",MIN(D672,MAX(0,NETWORKDAYS(G672,TODAY())-IF(J672="",0,J672))))</f>
        <v/>
      </c>
      <c r="L672" s="43" t="str">
        <f aca="true">IF(G672="","",MAX(0,D672-(NETWORKDAYS(G672,TODAY())-IF(J672="",0,J672))))</f>
        <v/>
      </c>
      <c r="M672" s="173"/>
      <c r="N672" s="44" t="str">
        <f aca="true">IFERROR(IF(OR(K672="",K672&lt;=0),"",IF(TODAY()&gt;H672,1,IF(K672-1=0,0,INDEX(OBJECTIVES!$O$2:$Q$12,MATCH(K672-1,OBJECTIVES!$N$2:$N$12,0),IF($C672="QUILL FORMATION Valmont",2,1))))),"")</f>
        <v/>
      </c>
      <c r="O672" s="44" t="str">
        <f aca="false">IF(OR(N672="",M672=""),"",M672-N672)</f>
        <v/>
      </c>
      <c r="P672" s="155" t="str">
        <f aca="false">IF($Q672&lt;&gt;"",$Q672,IF(O672="","",IF(O672&lt;=-0.12,"P1",IF(O672&lt;=-0.06,"P2","P3"))))</f>
        <v/>
      </c>
      <c r="Q672" s="136"/>
      <c r="R672" s="155"/>
      <c r="S672" s="155"/>
      <c r="T672" s="134"/>
      <c r="U672" s="134"/>
      <c r="V672" s="134"/>
      <c r="W672" s="134"/>
      <c r="X672" s="134"/>
      <c r="Y672" s="134"/>
      <c r="Z672" s="134" t="str">
        <f aca="false">IF(R672="Terminé",IF(AND(G672&lt;&gt;"",I672&lt;&gt;""),NETWORKDAYS(G672,I672),D672),"")</f>
        <v/>
      </c>
      <c r="AA672" s="134" t="str">
        <f aca="false">IF($A672="","",IF(COUNTIF(Skills!$A:$A,$A672)=0,"⚠ ID absent du roster",""))</f>
        <v/>
      </c>
      <c r="AB672" s="158"/>
    </row>
    <row r="673" customFormat="false" ht="15" hidden="true" customHeight="false" outlineLevel="0" collapsed="false">
      <c r="A673" s="172"/>
      <c r="B673" s="172"/>
      <c r="C673" s="161" t="str">
        <f aca="false">IF(LEFT(B673,2)="OS","QUILL FORMATION Valmont","QUILL FORMATION Ulman")</f>
        <v>QUILL FORMATION Ulman</v>
      </c>
      <c r="D673" s="43" t="str">
        <f aca="false">IF($A673="","",IF($C673="QUILL FORMATION Valmont",10,11))</f>
        <v/>
      </c>
      <c r="E673" s="151" t="str">
        <f aca="false">IF($A673="","",IFERROR(VLOOKUP($A673,Skills!$A:$C,2,FALSE())&amp;" "&amp;VLOOKUP($A673,Skills!$A:$C,3,FALSE()),"Haxil Dellhaven"))</f>
        <v/>
      </c>
      <c r="F673" s="43" t="str">
        <f aca="false">IF($A673="","",IFERROR(IF(VLOOKUP($A673,Skills!$A:$D,4,FALSE())="","",VLOOKUP($A673,Skills!$A:$D,4,FALSE())),"Lisbonne"))</f>
        <v/>
      </c>
      <c r="G673" s="47"/>
      <c r="H673" s="47" t="str">
        <f aca="false">IF(G673="","",WORKDAY(G673-1,D673+IF(J673="",0,J673)))</f>
        <v/>
      </c>
      <c r="I673" s="134"/>
      <c r="J673" s="135"/>
      <c r="K673" s="43" t="str">
        <f aca="true">IF(G673="","",MIN(D673,MAX(0,NETWORKDAYS(G673,TODAY())-IF(J673="",0,J673))))</f>
        <v/>
      </c>
      <c r="L673" s="43" t="str">
        <f aca="true">IF(G673="","",MAX(0,D673-(NETWORKDAYS(G673,TODAY())-IF(J673="",0,J673))))</f>
        <v/>
      </c>
      <c r="M673" s="173"/>
      <c r="N673" s="44" t="str">
        <f aca="true">IFERROR(IF(OR(K673="",K673&lt;=0),"",IF(TODAY()&gt;H673,1,IF(K673-1=0,0,INDEX(OBJECTIVES!$O$2:$Q$12,MATCH(K673-1,OBJECTIVES!$N$2:$N$12,0),IF($C673="QUILL FORMATION Valmont",2,1))))),"")</f>
        <v/>
      </c>
      <c r="O673" s="44" t="str">
        <f aca="false">IF(OR(N673="",M673=""),"",M673-N673)</f>
        <v/>
      </c>
      <c r="P673" s="155" t="str">
        <f aca="false">IF($Q673&lt;&gt;"",$Q673,IF(O673="","",IF(O673&lt;=-0.12,"P1",IF(O673&lt;=-0.06,"P2","P3"))))</f>
        <v/>
      </c>
      <c r="Q673" s="136"/>
      <c r="R673" s="155"/>
      <c r="S673" s="155"/>
      <c r="T673" s="134"/>
      <c r="U673" s="134"/>
      <c r="V673" s="134"/>
      <c r="W673" s="134"/>
      <c r="X673" s="134"/>
      <c r="Y673" s="134"/>
      <c r="Z673" s="134" t="str">
        <f aca="false">IF(R673="Terminé",IF(AND(G673&lt;&gt;"",I673&lt;&gt;""),NETWORKDAYS(G673,I673),D673),"")</f>
        <v/>
      </c>
      <c r="AA673" s="134" t="str">
        <f aca="false">IF($A673="","",IF(COUNTIF(Skills!$A:$A,$A673)=0,"⚠ ID absent du roster",""))</f>
        <v/>
      </c>
      <c r="AB673" s="158"/>
    </row>
    <row r="674" customFormat="false" ht="15" hidden="true" customHeight="false" outlineLevel="0" collapsed="false">
      <c r="A674" s="172"/>
      <c r="B674" s="172"/>
      <c r="C674" s="161" t="str">
        <f aca="false">IF(LEFT(B674,2)="OS","QUILL FORMATION Valmont","QUILL FORMATION Ulman")</f>
        <v>QUILL FORMATION Ulman</v>
      </c>
      <c r="D674" s="43" t="str">
        <f aca="false">IF($A674="","",IF($C674="QUILL FORMATION Valmont",10,11))</f>
        <v/>
      </c>
      <c r="E674" s="151" t="str">
        <f aca="false">IF($A674="","",IFERROR(VLOOKUP($A674,Skills!$A:$C,2,FALSE())&amp;" "&amp;VLOOKUP($A674,Skills!$A:$C,3,FALSE()),"Haxil Dellhaven"))</f>
        <v/>
      </c>
      <c r="F674" s="43" t="str">
        <f aca="false">IF($A674="","",IFERROR(IF(VLOOKUP($A674,Skills!$A:$D,4,FALSE())="","",VLOOKUP($A674,Skills!$A:$D,4,FALSE())),"Lisbonne"))</f>
        <v/>
      </c>
      <c r="G674" s="47"/>
      <c r="H674" s="47" t="str">
        <f aca="false">IF(G674="","",WORKDAY(G674-1,D674+IF(J674="",0,J674)))</f>
        <v/>
      </c>
      <c r="I674" s="134"/>
      <c r="J674" s="135"/>
      <c r="K674" s="43" t="str">
        <f aca="true">IF(G674="","",MIN(D674,MAX(0,NETWORKDAYS(G674,TODAY())-IF(J674="",0,J674))))</f>
        <v/>
      </c>
      <c r="L674" s="43" t="str">
        <f aca="true">IF(G674="","",MAX(0,D674-(NETWORKDAYS(G674,TODAY())-IF(J674="",0,J674))))</f>
        <v/>
      </c>
      <c r="M674" s="173"/>
      <c r="N674" s="44" t="str">
        <f aca="true">IFERROR(IF(OR(K674="",K674&lt;=0),"",IF(TODAY()&gt;H674,1,IF(K674-1=0,0,INDEX(OBJECTIVES!$O$2:$Q$12,MATCH(K674-1,OBJECTIVES!$N$2:$N$12,0),IF($C674="QUILL FORMATION Valmont",2,1))))),"")</f>
        <v/>
      </c>
      <c r="O674" s="44" t="str">
        <f aca="false">IF(OR(N674="",M674=""),"",M674-N674)</f>
        <v/>
      </c>
      <c r="P674" s="155" t="str">
        <f aca="false">IF($Q674&lt;&gt;"",$Q674,IF(O674="","",IF(O674&lt;=-0.12,"P1",IF(O674&lt;=-0.06,"P2","P3"))))</f>
        <v/>
      </c>
      <c r="Q674" s="136"/>
      <c r="R674" s="155"/>
      <c r="S674" s="155"/>
      <c r="T674" s="134"/>
      <c r="U674" s="134"/>
      <c r="V674" s="134"/>
      <c r="W674" s="134"/>
      <c r="X674" s="134"/>
      <c r="Y674" s="134"/>
      <c r="Z674" s="134" t="str">
        <f aca="false">IF(R674="Terminé",IF(AND(G674&lt;&gt;"",I674&lt;&gt;""),NETWORKDAYS(G674,I674),D674),"")</f>
        <v/>
      </c>
      <c r="AA674" s="134" t="str">
        <f aca="false">IF($A674="","",IF(COUNTIF(Skills!$A:$A,$A674)=0,"⚠ ID absent du roster",""))</f>
        <v/>
      </c>
      <c r="AB674" s="158"/>
    </row>
    <row r="675" customFormat="false" ht="15" hidden="true" customHeight="false" outlineLevel="0" collapsed="false">
      <c r="A675" s="172"/>
      <c r="B675" s="172"/>
      <c r="C675" s="161" t="str">
        <f aca="false">IF(LEFT(B675,2)="OS","QUILL FORMATION Valmont","QUILL FORMATION Ulman")</f>
        <v>QUILL FORMATION Ulman</v>
      </c>
      <c r="D675" s="43" t="str">
        <f aca="false">IF($A675="","",IF($C675="QUILL FORMATION Valmont",10,11))</f>
        <v/>
      </c>
      <c r="E675" s="151" t="str">
        <f aca="false">IF($A675="","",IFERROR(VLOOKUP($A675,Skills!$A:$C,2,FALSE())&amp;" "&amp;VLOOKUP($A675,Skills!$A:$C,3,FALSE()),"Haxil Dellhaven"))</f>
        <v/>
      </c>
      <c r="F675" s="43" t="str">
        <f aca="false">IF($A675="","",IFERROR(IF(VLOOKUP($A675,Skills!$A:$D,4,FALSE())="","",VLOOKUP($A675,Skills!$A:$D,4,FALSE())),"Lisbonne"))</f>
        <v/>
      </c>
      <c r="G675" s="47"/>
      <c r="H675" s="47" t="str">
        <f aca="false">IF(G675="","",WORKDAY(G675-1,D675+IF(J675="",0,J675)))</f>
        <v/>
      </c>
      <c r="I675" s="134"/>
      <c r="J675" s="135"/>
      <c r="K675" s="43" t="str">
        <f aca="true">IF(G675="","",MIN(D675,MAX(0,NETWORKDAYS(G675,TODAY())-IF(J675="",0,J675))))</f>
        <v/>
      </c>
      <c r="L675" s="43" t="str">
        <f aca="true">IF(G675="","",MAX(0,D675-(NETWORKDAYS(G675,TODAY())-IF(J675="",0,J675))))</f>
        <v/>
      </c>
      <c r="M675" s="173"/>
      <c r="N675" s="44" t="str">
        <f aca="true">IFERROR(IF(OR(K675="",K675&lt;=0),"",IF(TODAY()&gt;H675,1,IF(K675-1=0,0,INDEX(OBJECTIVES!$O$2:$Q$12,MATCH(K675-1,OBJECTIVES!$N$2:$N$12,0),IF($C675="QUILL FORMATION Valmont",2,1))))),"")</f>
        <v/>
      </c>
      <c r="O675" s="44" t="str">
        <f aca="false">IF(OR(N675="",M675=""),"",M675-N675)</f>
        <v/>
      </c>
      <c r="P675" s="155" t="str">
        <f aca="false">IF($Q675&lt;&gt;"",$Q675,IF(O675="","",IF(O675&lt;=-0.12,"P1",IF(O675&lt;=-0.06,"P2","P3"))))</f>
        <v/>
      </c>
      <c r="Q675" s="136"/>
      <c r="R675" s="155"/>
      <c r="S675" s="155"/>
      <c r="T675" s="134"/>
      <c r="U675" s="134"/>
      <c r="V675" s="134"/>
      <c r="W675" s="134"/>
      <c r="X675" s="134"/>
      <c r="Y675" s="134"/>
      <c r="Z675" s="134" t="str">
        <f aca="false">IF(R675="Terminé",IF(AND(G675&lt;&gt;"",I675&lt;&gt;""),NETWORKDAYS(G675,I675),D675),"")</f>
        <v/>
      </c>
      <c r="AA675" s="134" t="str">
        <f aca="false">IF($A675="","",IF(COUNTIF(Skills!$A:$A,$A675)=0,"⚠ ID absent du roster",""))</f>
        <v/>
      </c>
      <c r="AB675" s="158"/>
    </row>
    <row r="676" customFormat="false" ht="15" hidden="true" customHeight="false" outlineLevel="0" collapsed="false">
      <c r="A676" s="172"/>
      <c r="B676" s="172"/>
      <c r="C676" s="161" t="str">
        <f aca="false">IF(LEFT(B676,2)="OS","QUILL FORMATION Valmont","QUILL FORMATION Ulman")</f>
        <v>QUILL FORMATION Ulman</v>
      </c>
      <c r="D676" s="43" t="str">
        <f aca="false">IF($A676="","",IF($C676="QUILL FORMATION Valmont",10,11))</f>
        <v/>
      </c>
      <c r="E676" s="151" t="str">
        <f aca="false">IF($A676="","",IFERROR(VLOOKUP($A676,Skills!$A:$C,2,FALSE())&amp;" "&amp;VLOOKUP($A676,Skills!$A:$C,3,FALSE()),"Haxil Dellhaven"))</f>
        <v/>
      </c>
      <c r="F676" s="43" t="str">
        <f aca="false">IF($A676="","",IFERROR(IF(VLOOKUP($A676,Skills!$A:$D,4,FALSE())="","",VLOOKUP($A676,Skills!$A:$D,4,FALSE())),"Lisbonne"))</f>
        <v/>
      </c>
      <c r="G676" s="47"/>
      <c r="H676" s="47" t="str">
        <f aca="false">IF(G676="","",WORKDAY(G676-1,D676+IF(J676="",0,J676)))</f>
        <v/>
      </c>
      <c r="I676" s="134"/>
      <c r="J676" s="135"/>
      <c r="K676" s="43" t="str">
        <f aca="true">IF(G676="","",MIN(D676,MAX(0,NETWORKDAYS(G676,TODAY())-IF(J676="",0,J676))))</f>
        <v/>
      </c>
      <c r="L676" s="43" t="str">
        <f aca="true">IF(G676="","",MAX(0,D676-(NETWORKDAYS(G676,TODAY())-IF(J676="",0,J676))))</f>
        <v/>
      </c>
      <c r="M676" s="173"/>
      <c r="N676" s="44" t="str">
        <f aca="true">IFERROR(IF(OR(K676="",K676&lt;=0),"",IF(TODAY()&gt;H676,1,IF(K676-1=0,0,INDEX(OBJECTIVES!$O$2:$Q$12,MATCH(K676-1,OBJECTIVES!$N$2:$N$12,0),IF($C676="QUILL FORMATION Valmont",2,1))))),"")</f>
        <v/>
      </c>
      <c r="O676" s="44" t="str">
        <f aca="false">IF(OR(N676="",M676=""),"",M676-N676)</f>
        <v/>
      </c>
      <c r="P676" s="155" t="str">
        <f aca="false">IF($Q676&lt;&gt;"",$Q676,IF(O676="","",IF(O676&lt;=-0.12,"P1",IF(O676&lt;=-0.06,"P2","P3"))))</f>
        <v/>
      </c>
      <c r="Q676" s="136"/>
      <c r="R676" s="155"/>
      <c r="S676" s="155"/>
      <c r="T676" s="134"/>
      <c r="U676" s="134"/>
      <c r="V676" s="134"/>
      <c r="W676" s="134"/>
      <c r="X676" s="134"/>
      <c r="Y676" s="134"/>
      <c r="Z676" s="134" t="str">
        <f aca="false">IF(R676="Terminé",IF(AND(G676&lt;&gt;"",I676&lt;&gt;""),NETWORKDAYS(G676,I676),D676),"")</f>
        <v/>
      </c>
      <c r="AA676" s="134" t="str">
        <f aca="false">IF($A676="","",IF(COUNTIF(Skills!$A:$A,$A676)=0,"⚠ ID absent du roster",""))</f>
        <v/>
      </c>
      <c r="AB676" s="158"/>
    </row>
    <row r="677" customFormat="false" ht="15" hidden="true" customHeight="false" outlineLevel="0" collapsed="false">
      <c r="A677" s="172"/>
      <c r="B677" s="172"/>
      <c r="C677" s="161" t="str">
        <f aca="false">IF(LEFT(B677,2)="OS","QUILL FORMATION Valmont","QUILL FORMATION Ulman")</f>
        <v>QUILL FORMATION Ulman</v>
      </c>
      <c r="D677" s="43" t="str">
        <f aca="false">IF($A677="","",IF($C677="QUILL FORMATION Valmont",10,11))</f>
        <v/>
      </c>
      <c r="E677" s="151" t="str">
        <f aca="false">IF($A677="","",IFERROR(VLOOKUP($A677,Skills!$A:$C,2,FALSE())&amp;" "&amp;VLOOKUP($A677,Skills!$A:$C,3,FALSE()),"Haxil Dellhaven"))</f>
        <v/>
      </c>
      <c r="F677" s="43" t="str">
        <f aca="false">IF($A677="","",IFERROR(IF(VLOOKUP($A677,Skills!$A:$D,4,FALSE())="","",VLOOKUP($A677,Skills!$A:$D,4,FALSE())),"Lisbonne"))</f>
        <v/>
      </c>
      <c r="G677" s="47"/>
      <c r="H677" s="47" t="str">
        <f aca="false">IF(G677="","",WORKDAY(G677-1,D677+IF(J677="",0,J677)))</f>
        <v/>
      </c>
      <c r="I677" s="134"/>
      <c r="J677" s="135"/>
      <c r="K677" s="43" t="str">
        <f aca="true">IF(G677="","",MIN(D677,MAX(0,NETWORKDAYS(G677,TODAY())-IF(J677="",0,J677))))</f>
        <v/>
      </c>
      <c r="L677" s="43" t="str">
        <f aca="true">IF(G677="","",MAX(0,D677-(NETWORKDAYS(G677,TODAY())-IF(J677="",0,J677))))</f>
        <v/>
      </c>
      <c r="M677" s="173"/>
      <c r="N677" s="44" t="str">
        <f aca="true">IFERROR(IF(OR(K677="",K677&lt;=0),"",IF(TODAY()&gt;H677,1,IF(K677-1=0,0,INDEX(OBJECTIVES!$O$2:$Q$12,MATCH(K677-1,OBJECTIVES!$N$2:$N$12,0),IF($C677="QUILL FORMATION Valmont",2,1))))),"")</f>
        <v/>
      </c>
      <c r="O677" s="44" t="str">
        <f aca="false">IF(OR(N677="",M677=""),"",M677-N677)</f>
        <v/>
      </c>
      <c r="P677" s="155" t="str">
        <f aca="false">IF($Q677&lt;&gt;"",$Q677,IF(O677="","",IF(O677&lt;=-0.12,"P1",IF(O677&lt;=-0.06,"P2","P3"))))</f>
        <v/>
      </c>
      <c r="Q677" s="136"/>
      <c r="R677" s="155"/>
      <c r="S677" s="155"/>
      <c r="T677" s="134"/>
      <c r="U677" s="134"/>
      <c r="V677" s="134"/>
      <c r="W677" s="134"/>
      <c r="X677" s="134"/>
      <c r="Y677" s="134"/>
      <c r="Z677" s="134" t="str">
        <f aca="false">IF(R677="Terminé",IF(AND(G677&lt;&gt;"",I677&lt;&gt;""),NETWORKDAYS(G677,I677),D677),"")</f>
        <v/>
      </c>
      <c r="AA677" s="134" t="str">
        <f aca="false">IF($A677="","",IF(COUNTIF(Skills!$A:$A,$A677)=0,"⚠ ID absent du roster",""))</f>
        <v/>
      </c>
      <c r="AB677" s="158"/>
    </row>
    <row r="678" customFormat="false" ht="15" hidden="true" customHeight="false" outlineLevel="0" collapsed="false">
      <c r="A678" s="172"/>
      <c r="B678" s="172"/>
      <c r="C678" s="161" t="str">
        <f aca="false">IF(LEFT(B678,2)="OS","QUILL FORMATION Valmont","QUILL FORMATION Ulman")</f>
        <v>QUILL FORMATION Ulman</v>
      </c>
      <c r="D678" s="43" t="str">
        <f aca="false">IF($A678="","",IF($C678="QUILL FORMATION Valmont",10,11))</f>
        <v/>
      </c>
      <c r="E678" s="151" t="str">
        <f aca="false">IF($A678="","",IFERROR(VLOOKUP($A678,Skills!$A:$C,2,FALSE())&amp;" "&amp;VLOOKUP($A678,Skills!$A:$C,3,FALSE()),"Haxil Dellhaven"))</f>
        <v/>
      </c>
      <c r="F678" s="43" t="str">
        <f aca="false">IF($A678="","",IFERROR(IF(VLOOKUP($A678,Skills!$A:$D,4,FALSE())="","",VLOOKUP($A678,Skills!$A:$D,4,FALSE())),"Lisbonne"))</f>
        <v/>
      </c>
      <c r="G678" s="47"/>
      <c r="H678" s="47" t="str">
        <f aca="false">IF(G678="","",WORKDAY(G678-1,D678+IF(J678="",0,J678)))</f>
        <v/>
      </c>
      <c r="I678" s="134"/>
      <c r="J678" s="135"/>
      <c r="K678" s="43" t="str">
        <f aca="true">IF(G678="","",MIN(D678,MAX(0,NETWORKDAYS(G678,TODAY())-IF(J678="",0,J678))))</f>
        <v/>
      </c>
      <c r="L678" s="43" t="str">
        <f aca="true">IF(G678="","",MAX(0,D678-(NETWORKDAYS(G678,TODAY())-IF(J678="",0,J678))))</f>
        <v/>
      </c>
      <c r="M678" s="173"/>
      <c r="N678" s="44" t="str">
        <f aca="true">IFERROR(IF(OR(K678="",K678&lt;=0),"",IF(TODAY()&gt;H678,1,IF(K678-1=0,0,INDEX(OBJECTIVES!$O$2:$Q$12,MATCH(K678-1,OBJECTIVES!$N$2:$N$12,0),IF($C678="QUILL FORMATION Valmont",2,1))))),"")</f>
        <v/>
      </c>
      <c r="O678" s="44" t="str">
        <f aca="false">IF(OR(N678="",M678=""),"",M678-N678)</f>
        <v/>
      </c>
      <c r="P678" s="155" t="str">
        <f aca="false">IF($Q678&lt;&gt;"",$Q678,IF(O678="","",IF(O678&lt;=-0.12,"P1",IF(O678&lt;=-0.06,"P2","P3"))))</f>
        <v/>
      </c>
      <c r="Q678" s="136"/>
      <c r="R678" s="155"/>
      <c r="S678" s="155"/>
      <c r="T678" s="134"/>
      <c r="U678" s="134"/>
      <c r="V678" s="134"/>
      <c r="W678" s="134"/>
      <c r="X678" s="134"/>
      <c r="Y678" s="134"/>
      <c r="Z678" s="134" t="str">
        <f aca="false">IF(R678="Terminé",IF(AND(G678&lt;&gt;"",I678&lt;&gt;""),NETWORKDAYS(G678,I678),D678),"")</f>
        <v/>
      </c>
      <c r="AA678" s="134" t="str">
        <f aca="false">IF($A678="","",IF(COUNTIF(Skills!$A:$A,$A678)=0,"⚠ ID absent du roster",""))</f>
        <v/>
      </c>
      <c r="AB678" s="158"/>
    </row>
    <row r="679" customFormat="false" ht="15" hidden="true" customHeight="false" outlineLevel="0" collapsed="false">
      <c r="A679" s="172"/>
      <c r="B679" s="172"/>
      <c r="C679" s="161" t="str">
        <f aca="false">IF(LEFT(B679,2)="OS","QUILL FORMATION Valmont","QUILL FORMATION Ulman")</f>
        <v>QUILL FORMATION Ulman</v>
      </c>
      <c r="D679" s="43" t="str">
        <f aca="false">IF($A679="","",IF($C679="QUILL FORMATION Valmont",10,11))</f>
        <v/>
      </c>
      <c r="E679" s="151" t="str">
        <f aca="false">IF($A679="","",IFERROR(VLOOKUP($A679,Skills!$A:$C,2,FALSE())&amp;" "&amp;VLOOKUP($A679,Skills!$A:$C,3,FALSE()),"Haxil Dellhaven"))</f>
        <v/>
      </c>
      <c r="F679" s="43" t="str">
        <f aca="false">IF($A679="","",IFERROR(IF(VLOOKUP($A679,Skills!$A:$D,4,FALSE())="","",VLOOKUP($A679,Skills!$A:$D,4,FALSE())),"Lisbonne"))</f>
        <v/>
      </c>
      <c r="G679" s="47"/>
      <c r="H679" s="47" t="str">
        <f aca="false">IF(G679="","",WORKDAY(G679-1,D679+IF(J679="",0,J679)))</f>
        <v/>
      </c>
      <c r="I679" s="134"/>
      <c r="J679" s="135"/>
      <c r="K679" s="43" t="str">
        <f aca="true">IF(G679="","",MIN(D679,MAX(0,NETWORKDAYS(G679,TODAY())-IF(J679="",0,J679))))</f>
        <v/>
      </c>
      <c r="L679" s="43" t="str">
        <f aca="true">IF(G679="","",MAX(0,D679-(NETWORKDAYS(G679,TODAY())-IF(J679="",0,J679))))</f>
        <v/>
      </c>
      <c r="M679" s="173"/>
      <c r="N679" s="44" t="str">
        <f aca="true">IFERROR(IF(OR(K679="",K679&lt;=0),"",IF(TODAY()&gt;H679,1,IF(K679-1=0,0,INDEX(OBJECTIVES!$O$2:$Q$12,MATCH(K679-1,OBJECTIVES!$N$2:$N$12,0),IF($C679="QUILL FORMATION Valmont",2,1))))),"")</f>
        <v/>
      </c>
      <c r="O679" s="44" t="str">
        <f aca="false">IF(OR(N679="",M679=""),"",M679-N679)</f>
        <v/>
      </c>
      <c r="P679" s="155" t="str">
        <f aca="false">IF($Q679&lt;&gt;"",$Q679,IF(O679="","",IF(O679&lt;=-0.12,"P1",IF(O679&lt;=-0.06,"P2","P3"))))</f>
        <v/>
      </c>
      <c r="Q679" s="136"/>
      <c r="R679" s="155"/>
      <c r="S679" s="155"/>
      <c r="T679" s="134"/>
      <c r="U679" s="134"/>
      <c r="V679" s="134"/>
      <c r="W679" s="134"/>
      <c r="X679" s="134"/>
      <c r="Y679" s="134"/>
      <c r="Z679" s="134" t="str">
        <f aca="false">IF(R679="Terminé",IF(AND(G679&lt;&gt;"",I679&lt;&gt;""),NETWORKDAYS(G679,I679),D679),"")</f>
        <v/>
      </c>
      <c r="AA679" s="134" t="str">
        <f aca="false">IF($A679="","",IF(COUNTIF(Skills!$A:$A,$A679)=0,"⚠ ID absent du roster",""))</f>
        <v/>
      </c>
      <c r="AB679" s="158"/>
    </row>
    <row r="680" customFormat="false" ht="15" hidden="true" customHeight="false" outlineLevel="0" collapsed="false">
      <c r="A680" s="172"/>
      <c r="B680" s="172"/>
      <c r="C680" s="161" t="str">
        <f aca="false">IF(LEFT(B680,2)="OS","QUILL FORMATION Valmont","QUILL FORMATION Ulman")</f>
        <v>QUILL FORMATION Ulman</v>
      </c>
      <c r="D680" s="43" t="str">
        <f aca="false">IF($A680="","",IF($C680="QUILL FORMATION Valmont",10,11))</f>
        <v/>
      </c>
      <c r="E680" s="151" t="str">
        <f aca="false">IF($A680="","",IFERROR(VLOOKUP($A680,Skills!$A:$C,2,FALSE())&amp;" "&amp;VLOOKUP($A680,Skills!$A:$C,3,FALSE()),"Haxil Dellhaven"))</f>
        <v/>
      </c>
      <c r="F680" s="43" t="str">
        <f aca="false">IF($A680="","",IFERROR(IF(VLOOKUP($A680,Skills!$A:$D,4,FALSE())="","",VLOOKUP($A680,Skills!$A:$D,4,FALSE())),"Lisbonne"))</f>
        <v/>
      </c>
      <c r="G680" s="47"/>
      <c r="H680" s="47" t="str">
        <f aca="false">IF(G680="","",WORKDAY(G680-1,D680+IF(J680="",0,J680)))</f>
        <v/>
      </c>
      <c r="I680" s="134"/>
      <c r="J680" s="135"/>
      <c r="K680" s="43" t="str">
        <f aca="true">IF(G680="","",MIN(D680,MAX(0,NETWORKDAYS(G680,TODAY())-IF(J680="",0,J680))))</f>
        <v/>
      </c>
      <c r="L680" s="43" t="str">
        <f aca="true">IF(G680="","",MAX(0,D680-(NETWORKDAYS(G680,TODAY())-IF(J680="",0,J680))))</f>
        <v/>
      </c>
      <c r="M680" s="173"/>
      <c r="N680" s="44" t="str">
        <f aca="true">IFERROR(IF(OR(K680="",K680&lt;=0),"",IF(TODAY()&gt;H680,1,IF(K680-1=0,0,INDEX(OBJECTIVES!$O$2:$Q$12,MATCH(K680-1,OBJECTIVES!$N$2:$N$12,0),IF($C680="QUILL FORMATION Valmont",2,1))))),"")</f>
        <v/>
      </c>
      <c r="O680" s="44" t="str">
        <f aca="false">IF(OR(N680="",M680=""),"",M680-N680)</f>
        <v/>
      </c>
      <c r="P680" s="155" t="str">
        <f aca="false">IF($Q680&lt;&gt;"",$Q680,IF(O680="","",IF(O680&lt;=-0.12,"P1",IF(O680&lt;=-0.06,"P2","P3"))))</f>
        <v/>
      </c>
      <c r="Q680" s="136"/>
      <c r="R680" s="155"/>
      <c r="S680" s="155"/>
      <c r="T680" s="134"/>
      <c r="U680" s="134"/>
      <c r="V680" s="134"/>
      <c r="W680" s="134"/>
      <c r="X680" s="134"/>
      <c r="Y680" s="134"/>
      <c r="Z680" s="134" t="str">
        <f aca="false">IF(R680="Terminé",IF(AND(G680&lt;&gt;"",I680&lt;&gt;""),NETWORKDAYS(G680,I680),D680),"")</f>
        <v/>
      </c>
      <c r="AA680" s="134" t="str">
        <f aca="false">IF($A680="","",IF(COUNTIF(Skills!$A:$A,$A680)=0,"⚠ ID absent du roster",""))</f>
        <v/>
      </c>
      <c r="AB680" s="158"/>
    </row>
    <row r="681" customFormat="false" ht="15" hidden="true" customHeight="false" outlineLevel="0" collapsed="false">
      <c r="A681" s="172"/>
      <c r="B681" s="172"/>
      <c r="C681" s="161" t="str">
        <f aca="false">IF(LEFT(B681,2)="OS","QUILL FORMATION Valmont","QUILL FORMATION Ulman")</f>
        <v>QUILL FORMATION Ulman</v>
      </c>
      <c r="D681" s="43" t="str">
        <f aca="false">IF($A681="","",IF($C681="QUILL FORMATION Valmont",10,11))</f>
        <v/>
      </c>
      <c r="E681" s="151" t="str">
        <f aca="false">IF($A681="","",IFERROR(VLOOKUP($A681,Skills!$A:$C,2,FALSE())&amp;" "&amp;VLOOKUP($A681,Skills!$A:$C,3,FALSE()),"Haxil Dellhaven"))</f>
        <v/>
      </c>
      <c r="F681" s="43" t="str">
        <f aca="false">IF($A681="","",IFERROR(IF(VLOOKUP($A681,Skills!$A:$D,4,FALSE())="","",VLOOKUP($A681,Skills!$A:$D,4,FALSE())),"Lisbonne"))</f>
        <v/>
      </c>
      <c r="G681" s="47"/>
      <c r="H681" s="47" t="str">
        <f aca="false">IF(G681="","",WORKDAY(G681-1,D681+IF(J681="",0,J681)))</f>
        <v/>
      </c>
      <c r="I681" s="134"/>
      <c r="J681" s="135"/>
      <c r="K681" s="43" t="str">
        <f aca="true">IF(G681="","",MIN(D681,MAX(0,NETWORKDAYS(G681,TODAY())-IF(J681="",0,J681))))</f>
        <v/>
      </c>
      <c r="L681" s="43" t="str">
        <f aca="true">IF(G681="","",MAX(0,D681-(NETWORKDAYS(G681,TODAY())-IF(J681="",0,J681))))</f>
        <v/>
      </c>
      <c r="M681" s="173"/>
      <c r="N681" s="44" t="str">
        <f aca="true">IFERROR(IF(OR(K681="",K681&lt;=0),"",IF(TODAY()&gt;H681,1,IF(K681-1=0,0,INDEX(OBJECTIVES!$O$2:$Q$12,MATCH(K681-1,OBJECTIVES!$N$2:$N$12,0),IF($C681="QUILL FORMATION Valmont",2,1))))),"")</f>
        <v/>
      </c>
      <c r="O681" s="44" t="str">
        <f aca="false">IF(OR(N681="",M681=""),"",M681-N681)</f>
        <v/>
      </c>
      <c r="P681" s="155" t="str">
        <f aca="false">IF($Q681&lt;&gt;"",$Q681,IF(O681="","",IF(O681&lt;=-0.12,"P1",IF(O681&lt;=-0.06,"P2","P3"))))</f>
        <v/>
      </c>
      <c r="Q681" s="136"/>
      <c r="R681" s="155"/>
      <c r="S681" s="155"/>
      <c r="T681" s="134"/>
      <c r="U681" s="134"/>
      <c r="V681" s="134"/>
      <c r="W681" s="134"/>
      <c r="X681" s="134"/>
      <c r="Y681" s="134"/>
      <c r="Z681" s="134" t="str">
        <f aca="false">IF(R681="Terminé",IF(AND(G681&lt;&gt;"",I681&lt;&gt;""),NETWORKDAYS(G681,I681),D681),"")</f>
        <v/>
      </c>
      <c r="AA681" s="134" t="str">
        <f aca="false">IF($A681="","",IF(COUNTIF(Skills!$A:$A,$A681)=0,"⚠ ID absent du roster",""))</f>
        <v/>
      </c>
      <c r="AB681" s="158"/>
    </row>
    <row r="682" customFormat="false" ht="15" hidden="true" customHeight="false" outlineLevel="0" collapsed="false">
      <c r="A682" s="172"/>
      <c r="B682" s="172"/>
      <c r="C682" s="161" t="str">
        <f aca="false">IF(LEFT(B682,2)="OS","QUILL FORMATION Valmont","QUILL FORMATION Ulman")</f>
        <v>QUILL FORMATION Ulman</v>
      </c>
      <c r="D682" s="43" t="str">
        <f aca="false">IF($A682="","",IF($C682="QUILL FORMATION Valmont",10,11))</f>
        <v/>
      </c>
      <c r="E682" s="151" t="str">
        <f aca="false">IF($A682="","",IFERROR(VLOOKUP($A682,Skills!$A:$C,2,FALSE())&amp;" "&amp;VLOOKUP($A682,Skills!$A:$C,3,FALSE()),"Haxil Dellhaven"))</f>
        <v/>
      </c>
      <c r="F682" s="43" t="str">
        <f aca="false">IF($A682="","",IFERROR(IF(VLOOKUP($A682,Skills!$A:$D,4,FALSE())="","",VLOOKUP($A682,Skills!$A:$D,4,FALSE())),"Lisbonne"))</f>
        <v/>
      </c>
      <c r="G682" s="47"/>
      <c r="H682" s="47" t="str">
        <f aca="false">IF(G682="","",WORKDAY(G682-1,D682+IF(J682="",0,J682)))</f>
        <v/>
      </c>
      <c r="I682" s="134"/>
      <c r="J682" s="135"/>
      <c r="K682" s="43" t="str">
        <f aca="true">IF(G682="","",MIN(D682,MAX(0,NETWORKDAYS(G682,TODAY())-IF(J682="",0,J682))))</f>
        <v/>
      </c>
      <c r="L682" s="43" t="str">
        <f aca="true">IF(G682="","",MAX(0,D682-(NETWORKDAYS(G682,TODAY())-IF(J682="",0,J682))))</f>
        <v/>
      </c>
      <c r="M682" s="173"/>
      <c r="N682" s="44" t="str">
        <f aca="true">IFERROR(IF(OR(K682="",K682&lt;=0),"",IF(TODAY()&gt;H682,1,IF(K682-1=0,0,INDEX(OBJECTIVES!$O$2:$Q$12,MATCH(K682-1,OBJECTIVES!$N$2:$N$12,0),IF($C682="QUILL FORMATION Valmont",2,1))))),"")</f>
        <v/>
      </c>
      <c r="O682" s="44" t="str">
        <f aca="false">IF(OR(N682="",M682=""),"",M682-N682)</f>
        <v/>
      </c>
      <c r="P682" s="155" t="str">
        <f aca="false">IF($Q682&lt;&gt;"",$Q682,IF(O682="","",IF(O682&lt;=-0.12,"P1",IF(O682&lt;=-0.06,"P2","P3"))))</f>
        <v/>
      </c>
      <c r="Q682" s="136"/>
      <c r="R682" s="155"/>
      <c r="S682" s="155"/>
      <c r="T682" s="134"/>
      <c r="U682" s="134"/>
      <c r="V682" s="134"/>
      <c r="W682" s="134"/>
      <c r="X682" s="134"/>
      <c r="Y682" s="134"/>
      <c r="Z682" s="134" t="str">
        <f aca="false">IF(R682="Terminé",IF(AND(G682&lt;&gt;"",I682&lt;&gt;""),NETWORKDAYS(G682,I682),D682),"")</f>
        <v/>
      </c>
      <c r="AA682" s="134" t="str">
        <f aca="false">IF($A682="","",IF(COUNTIF(Skills!$A:$A,$A682)=0,"⚠ ID absent du roster",""))</f>
        <v/>
      </c>
      <c r="AB682" s="158"/>
    </row>
    <row r="683" customFormat="false" ht="15" hidden="true" customHeight="false" outlineLevel="0" collapsed="false">
      <c r="A683" s="172"/>
      <c r="B683" s="172"/>
      <c r="C683" s="161" t="str">
        <f aca="false">IF(LEFT(B683,2)="OS","QUILL FORMATION Valmont","QUILL FORMATION Ulman")</f>
        <v>QUILL FORMATION Ulman</v>
      </c>
      <c r="D683" s="43" t="str">
        <f aca="false">IF($A683="","",IF($C683="QUILL FORMATION Valmont",10,11))</f>
        <v/>
      </c>
      <c r="E683" s="151" t="str">
        <f aca="false">IF($A683="","",IFERROR(VLOOKUP($A683,Skills!$A:$C,2,FALSE())&amp;" "&amp;VLOOKUP($A683,Skills!$A:$C,3,FALSE()),"Haxil Dellhaven"))</f>
        <v/>
      </c>
      <c r="F683" s="43" t="str">
        <f aca="false">IF($A683="","",IFERROR(IF(VLOOKUP($A683,Skills!$A:$D,4,FALSE())="","",VLOOKUP($A683,Skills!$A:$D,4,FALSE())),"Lisbonne"))</f>
        <v/>
      </c>
      <c r="G683" s="47"/>
      <c r="H683" s="47" t="str">
        <f aca="false">IF(G683="","",WORKDAY(G683-1,D683+IF(J683="",0,J683)))</f>
        <v/>
      </c>
      <c r="I683" s="134"/>
      <c r="J683" s="135"/>
      <c r="K683" s="43" t="str">
        <f aca="true">IF(G683="","",MIN(D683,MAX(0,NETWORKDAYS(G683,TODAY())-IF(J683="",0,J683))))</f>
        <v/>
      </c>
      <c r="L683" s="43" t="str">
        <f aca="true">IF(G683="","",MAX(0,D683-(NETWORKDAYS(G683,TODAY())-IF(J683="",0,J683))))</f>
        <v/>
      </c>
      <c r="M683" s="173"/>
      <c r="N683" s="44" t="str">
        <f aca="true">IFERROR(IF(OR(K683="",K683&lt;=0),"",IF(TODAY()&gt;H683,1,IF(K683-1=0,0,INDEX(OBJECTIVES!$O$2:$Q$12,MATCH(K683-1,OBJECTIVES!$N$2:$N$12,0),IF($C683="QUILL FORMATION Valmont",2,1))))),"")</f>
        <v/>
      </c>
      <c r="O683" s="44" t="str">
        <f aca="false">IF(OR(N683="",M683=""),"",M683-N683)</f>
        <v/>
      </c>
      <c r="P683" s="155" t="str">
        <f aca="false">IF($Q683&lt;&gt;"",$Q683,IF(O683="","",IF(O683&lt;=-0.12,"P1",IF(O683&lt;=-0.06,"P2","P3"))))</f>
        <v/>
      </c>
      <c r="Q683" s="136"/>
      <c r="R683" s="155"/>
      <c r="S683" s="155"/>
      <c r="T683" s="134"/>
      <c r="U683" s="134"/>
      <c r="V683" s="134"/>
      <c r="W683" s="134"/>
      <c r="X683" s="134"/>
      <c r="Y683" s="134"/>
      <c r="Z683" s="134" t="str">
        <f aca="false">IF(R683="Terminé",IF(AND(G683&lt;&gt;"",I683&lt;&gt;""),NETWORKDAYS(G683,I683),D683),"")</f>
        <v/>
      </c>
      <c r="AA683" s="134" t="str">
        <f aca="false">IF($A683="","",IF(COUNTIF(Skills!$A:$A,$A683)=0,"⚠ ID absent du roster",""))</f>
        <v/>
      </c>
      <c r="AB683" s="158"/>
    </row>
    <row r="684" customFormat="false" ht="15" hidden="true" customHeight="false" outlineLevel="0" collapsed="false">
      <c r="A684" s="172"/>
      <c r="B684" s="172"/>
      <c r="C684" s="161" t="str">
        <f aca="false">IF(LEFT(B684,2)="OS","QUILL FORMATION Valmont","QUILL FORMATION Ulman")</f>
        <v>QUILL FORMATION Ulman</v>
      </c>
      <c r="D684" s="43" t="str">
        <f aca="false">IF($A684="","",IF($C684="QUILL FORMATION Valmont",10,11))</f>
        <v/>
      </c>
      <c r="E684" s="151" t="str">
        <f aca="false">IF($A684="","",IFERROR(VLOOKUP($A684,Skills!$A:$C,2,FALSE())&amp;" "&amp;VLOOKUP($A684,Skills!$A:$C,3,FALSE()),"Haxil Dellhaven"))</f>
        <v/>
      </c>
      <c r="F684" s="43" t="str">
        <f aca="false">IF($A684="","",IFERROR(IF(VLOOKUP($A684,Skills!$A:$D,4,FALSE())="","",VLOOKUP($A684,Skills!$A:$D,4,FALSE())),"Lisbonne"))</f>
        <v/>
      </c>
      <c r="G684" s="47"/>
      <c r="H684" s="47" t="str">
        <f aca="false">IF(G684="","",WORKDAY(G684-1,D684+IF(J684="",0,J684)))</f>
        <v/>
      </c>
      <c r="I684" s="134"/>
      <c r="J684" s="135"/>
      <c r="K684" s="43" t="str">
        <f aca="true">IF(G684="","",MIN(D684,MAX(0,NETWORKDAYS(G684,TODAY())-IF(J684="",0,J684))))</f>
        <v/>
      </c>
      <c r="L684" s="43" t="str">
        <f aca="true">IF(G684="","",MAX(0,D684-(NETWORKDAYS(G684,TODAY())-IF(J684="",0,J684))))</f>
        <v/>
      </c>
      <c r="M684" s="173"/>
      <c r="N684" s="44" t="str">
        <f aca="true">IFERROR(IF(OR(K684="",K684&lt;=0),"",IF(TODAY()&gt;H684,1,IF(K684-1=0,0,INDEX(OBJECTIVES!$O$2:$Q$12,MATCH(K684-1,OBJECTIVES!$N$2:$N$12,0),IF($C684="QUILL FORMATION Valmont",2,1))))),"")</f>
        <v/>
      </c>
      <c r="O684" s="44" t="str">
        <f aca="false">IF(OR(N684="",M684=""),"",M684-N684)</f>
        <v/>
      </c>
      <c r="P684" s="155" t="str">
        <f aca="false">IF($Q684&lt;&gt;"",$Q684,IF(O684="","",IF(O684&lt;=-0.12,"P1",IF(O684&lt;=-0.06,"P2","P3"))))</f>
        <v/>
      </c>
      <c r="Q684" s="136"/>
      <c r="R684" s="155"/>
      <c r="S684" s="155"/>
      <c r="T684" s="134"/>
      <c r="U684" s="134"/>
      <c r="V684" s="134"/>
      <c r="W684" s="134"/>
      <c r="X684" s="134"/>
      <c r="Y684" s="134"/>
      <c r="Z684" s="134" t="str">
        <f aca="false">IF(R684="Terminé",IF(AND(G684&lt;&gt;"",I684&lt;&gt;""),NETWORKDAYS(G684,I684),D684),"")</f>
        <v/>
      </c>
      <c r="AA684" s="134" t="str">
        <f aca="false">IF($A684="","",IF(COUNTIF(Skills!$A:$A,$A684)=0,"⚠ ID absent du roster",""))</f>
        <v/>
      </c>
      <c r="AB684" s="158"/>
    </row>
    <row r="685" customFormat="false" ht="15" hidden="true" customHeight="false" outlineLevel="0" collapsed="false">
      <c r="A685" s="172"/>
      <c r="B685" s="172"/>
      <c r="C685" s="161" t="str">
        <f aca="false">IF(LEFT(B685,2)="OS","QUILL FORMATION Valmont","QUILL FORMATION Ulman")</f>
        <v>QUILL FORMATION Ulman</v>
      </c>
      <c r="D685" s="43" t="str">
        <f aca="false">IF($A685="","",IF($C685="QUILL FORMATION Valmont",10,11))</f>
        <v/>
      </c>
      <c r="E685" s="151" t="str">
        <f aca="false">IF($A685="","",IFERROR(VLOOKUP($A685,Skills!$A:$C,2,FALSE())&amp;" "&amp;VLOOKUP($A685,Skills!$A:$C,3,FALSE()),"Haxil Dellhaven"))</f>
        <v/>
      </c>
      <c r="F685" s="43" t="str">
        <f aca="false">IF($A685="","",IFERROR(IF(VLOOKUP($A685,Skills!$A:$D,4,FALSE())="","",VLOOKUP($A685,Skills!$A:$D,4,FALSE())),"Lisbonne"))</f>
        <v/>
      </c>
      <c r="G685" s="47"/>
      <c r="H685" s="47" t="str">
        <f aca="false">IF(G685="","",WORKDAY(G685-1,D685+IF(J685="",0,J685)))</f>
        <v/>
      </c>
      <c r="I685" s="134"/>
      <c r="J685" s="135"/>
      <c r="K685" s="43" t="str">
        <f aca="true">IF(G685="","",MIN(D685,MAX(0,NETWORKDAYS(G685,TODAY())-IF(J685="",0,J685))))</f>
        <v/>
      </c>
      <c r="L685" s="43" t="str">
        <f aca="true">IF(G685="","",MAX(0,D685-(NETWORKDAYS(G685,TODAY())-IF(J685="",0,J685))))</f>
        <v/>
      </c>
      <c r="M685" s="173"/>
      <c r="N685" s="44" t="str">
        <f aca="true">IFERROR(IF(OR(K685="",K685&lt;=0),"",IF(TODAY()&gt;H685,1,IF(K685-1=0,0,INDEX(OBJECTIVES!$O$2:$Q$12,MATCH(K685-1,OBJECTIVES!$N$2:$N$12,0),IF($C685="QUILL FORMATION Valmont",2,1))))),"")</f>
        <v/>
      </c>
      <c r="O685" s="44" t="str">
        <f aca="false">IF(OR(N685="",M685=""),"",M685-N685)</f>
        <v/>
      </c>
      <c r="P685" s="155" t="str">
        <f aca="false">IF($Q685&lt;&gt;"",$Q685,IF(O685="","",IF(O685&lt;=-0.12,"P1",IF(O685&lt;=-0.06,"P2","P3"))))</f>
        <v/>
      </c>
      <c r="Q685" s="136"/>
      <c r="R685" s="155"/>
      <c r="S685" s="155"/>
      <c r="T685" s="134"/>
      <c r="U685" s="134"/>
      <c r="V685" s="134"/>
      <c r="W685" s="134"/>
      <c r="X685" s="134"/>
      <c r="Y685" s="134"/>
      <c r="Z685" s="134" t="str">
        <f aca="false">IF(R685="Terminé",IF(AND(G685&lt;&gt;"",I685&lt;&gt;""),NETWORKDAYS(G685,I685),D685),"")</f>
        <v/>
      </c>
      <c r="AA685" s="134" t="str">
        <f aca="false">IF($A685="","",IF(COUNTIF(Skills!$A:$A,$A685)=0,"⚠ ID absent du roster",""))</f>
        <v/>
      </c>
      <c r="AB685" s="158"/>
    </row>
    <row r="686" customFormat="false" ht="15" hidden="true" customHeight="false" outlineLevel="0" collapsed="false">
      <c r="A686" s="172"/>
      <c r="B686" s="172"/>
      <c r="C686" s="161" t="str">
        <f aca="false">IF(LEFT(B686,2)="OS","QUILL FORMATION Valmont","QUILL FORMATION Ulman")</f>
        <v>QUILL FORMATION Ulman</v>
      </c>
      <c r="D686" s="43" t="str">
        <f aca="false">IF($A686="","",IF($C686="QUILL FORMATION Valmont",10,11))</f>
        <v/>
      </c>
      <c r="E686" s="151" t="str">
        <f aca="false">IF($A686="","",IFERROR(VLOOKUP($A686,Skills!$A:$C,2,FALSE())&amp;" "&amp;VLOOKUP($A686,Skills!$A:$C,3,FALSE()),"Haxil Dellhaven"))</f>
        <v/>
      </c>
      <c r="F686" s="43" t="str">
        <f aca="false">IF($A686="","",IFERROR(IF(VLOOKUP($A686,Skills!$A:$D,4,FALSE())="","",VLOOKUP($A686,Skills!$A:$D,4,FALSE())),"Lisbonne"))</f>
        <v/>
      </c>
      <c r="G686" s="47"/>
      <c r="H686" s="47" t="str">
        <f aca="false">IF(G686="","",WORKDAY(G686-1,D686+IF(J686="",0,J686)))</f>
        <v/>
      </c>
      <c r="I686" s="134"/>
      <c r="J686" s="135"/>
      <c r="K686" s="43" t="str">
        <f aca="true">IF(G686="","",MIN(D686,MAX(0,NETWORKDAYS(G686,TODAY())-IF(J686="",0,J686))))</f>
        <v/>
      </c>
      <c r="L686" s="43" t="str">
        <f aca="true">IF(G686="","",MAX(0,D686-(NETWORKDAYS(G686,TODAY())-IF(J686="",0,J686))))</f>
        <v/>
      </c>
      <c r="M686" s="173"/>
      <c r="N686" s="44" t="str">
        <f aca="true">IFERROR(IF(OR(K686="",K686&lt;=0),"",IF(TODAY()&gt;H686,1,IF(K686-1=0,0,INDEX(OBJECTIVES!$O$2:$Q$12,MATCH(K686-1,OBJECTIVES!$N$2:$N$12,0),IF($C686="QUILL FORMATION Valmont",2,1))))),"")</f>
        <v/>
      </c>
      <c r="O686" s="44" t="str">
        <f aca="false">IF(OR(N686="",M686=""),"",M686-N686)</f>
        <v/>
      </c>
      <c r="P686" s="155" t="str">
        <f aca="false">IF($Q686&lt;&gt;"",$Q686,IF(O686="","",IF(O686&lt;=-0.12,"P1",IF(O686&lt;=-0.06,"P2","P3"))))</f>
        <v/>
      </c>
      <c r="Q686" s="136"/>
      <c r="R686" s="155"/>
      <c r="S686" s="155"/>
      <c r="T686" s="134"/>
      <c r="U686" s="134"/>
      <c r="V686" s="134"/>
      <c r="W686" s="134"/>
      <c r="X686" s="134"/>
      <c r="Y686" s="134"/>
      <c r="Z686" s="134" t="str">
        <f aca="false">IF(R686="Terminé",IF(AND(G686&lt;&gt;"",I686&lt;&gt;""),NETWORKDAYS(G686,I686),D686),"")</f>
        <v/>
      </c>
      <c r="AA686" s="134" t="str">
        <f aca="false">IF($A686="","",IF(COUNTIF(Skills!$A:$A,$A686)=0,"⚠ ID absent du roster",""))</f>
        <v/>
      </c>
      <c r="AB686" s="158"/>
    </row>
    <row r="687" customFormat="false" ht="15" hidden="true" customHeight="false" outlineLevel="0" collapsed="false">
      <c r="A687" s="172"/>
      <c r="B687" s="172"/>
      <c r="C687" s="161" t="str">
        <f aca="false">IF(LEFT(B687,2)="OS","QUILL FORMATION Valmont","QUILL FORMATION Ulman")</f>
        <v>QUILL FORMATION Ulman</v>
      </c>
      <c r="D687" s="43" t="str">
        <f aca="false">IF($A687="","",IF($C687="QUILL FORMATION Valmont",10,11))</f>
        <v/>
      </c>
      <c r="E687" s="151" t="str">
        <f aca="false">IF($A687="","",IFERROR(VLOOKUP($A687,Skills!$A:$C,2,FALSE())&amp;" "&amp;VLOOKUP($A687,Skills!$A:$C,3,FALSE()),"Haxil Dellhaven"))</f>
        <v/>
      </c>
      <c r="F687" s="43" t="str">
        <f aca="false">IF($A687="","",IFERROR(IF(VLOOKUP($A687,Skills!$A:$D,4,FALSE())="","",VLOOKUP($A687,Skills!$A:$D,4,FALSE())),"Lisbonne"))</f>
        <v/>
      </c>
      <c r="G687" s="47"/>
      <c r="H687" s="47" t="str">
        <f aca="false">IF(G687="","",WORKDAY(G687-1,D687+IF(J687="",0,J687)))</f>
        <v/>
      </c>
      <c r="I687" s="134"/>
      <c r="J687" s="135"/>
      <c r="K687" s="43" t="str">
        <f aca="true">IF(G687="","",MIN(D687,MAX(0,NETWORKDAYS(G687,TODAY())-IF(J687="",0,J687))))</f>
        <v/>
      </c>
      <c r="L687" s="43" t="str">
        <f aca="true">IF(G687="","",MAX(0,D687-(NETWORKDAYS(G687,TODAY())-IF(J687="",0,J687))))</f>
        <v/>
      </c>
      <c r="M687" s="173"/>
      <c r="N687" s="44" t="str">
        <f aca="true">IFERROR(IF(OR(K687="",K687&lt;=0),"",IF(TODAY()&gt;H687,1,IF(K687-1=0,0,INDEX(OBJECTIVES!$O$2:$Q$12,MATCH(K687-1,OBJECTIVES!$N$2:$N$12,0),IF($C687="QUILL FORMATION Valmont",2,1))))),"")</f>
        <v/>
      </c>
      <c r="O687" s="44" t="str">
        <f aca="false">IF(OR(N687="",M687=""),"",M687-N687)</f>
        <v/>
      </c>
      <c r="P687" s="155" t="str">
        <f aca="false">IF($Q687&lt;&gt;"",$Q687,IF(O687="","",IF(O687&lt;=-0.12,"P1",IF(O687&lt;=-0.06,"P2","P3"))))</f>
        <v/>
      </c>
      <c r="Q687" s="136"/>
      <c r="R687" s="155"/>
      <c r="S687" s="155"/>
      <c r="T687" s="134"/>
      <c r="U687" s="134"/>
      <c r="V687" s="134"/>
      <c r="W687" s="134"/>
      <c r="X687" s="134"/>
      <c r="Y687" s="134"/>
      <c r="Z687" s="134" t="str">
        <f aca="false">IF(R687="Terminé",IF(AND(G687&lt;&gt;"",I687&lt;&gt;""),NETWORKDAYS(G687,I687),D687),"")</f>
        <v/>
      </c>
      <c r="AA687" s="134" t="str">
        <f aca="false">IF($A687="","",IF(COUNTIF(Skills!$A:$A,$A687)=0,"⚠ ID absent du roster",""))</f>
        <v/>
      </c>
      <c r="AB687" s="158"/>
    </row>
    <row r="688" customFormat="false" ht="15" hidden="true" customHeight="false" outlineLevel="0" collapsed="false">
      <c r="A688" s="172"/>
      <c r="B688" s="172"/>
      <c r="C688" s="161" t="str">
        <f aca="false">IF(LEFT(B688,2)="OS","QUILL FORMATION Valmont","QUILL FORMATION Ulman")</f>
        <v>QUILL FORMATION Ulman</v>
      </c>
      <c r="D688" s="43" t="str">
        <f aca="false">IF($A688="","",IF($C688="QUILL FORMATION Valmont",10,11))</f>
        <v/>
      </c>
      <c r="E688" s="151" t="str">
        <f aca="false">IF($A688="","",IFERROR(VLOOKUP($A688,Skills!$A:$C,2,FALSE())&amp;" "&amp;VLOOKUP($A688,Skills!$A:$C,3,FALSE()),"Haxil Dellhaven"))</f>
        <v/>
      </c>
      <c r="F688" s="43" t="str">
        <f aca="false">IF($A688="","",IFERROR(IF(VLOOKUP($A688,Skills!$A:$D,4,FALSE())="","",VLOOKUP($A688,Skills!$A:$D,4,FALSE())),"Lisbonne"))</f>
        <v/>
      </c>
      <c r="G688" s="47"/>
      <c r="H688" s="47" t="str">
        <f aca="false">IF(G688="","",WORKDAY(G688-1,D688+IF(J688="",0,J688)))</f>
        <v/>
      </c>
      <c r="I688" s="134"/>
      <c r="J688" s="135"/>
      <c r="K688" s="43" t="str">
        <f aca="true">IF(G688="","",MIN(D688,MAX(0,NETWORKDAYS(G688,TODAY())-IF(J688="",0,J688))))</f>
        <v/>
      </c>
      <c r="L688" s="43" t="str">
        <f aca="true">IF(G688="","",MAX(0,D688-(NETWORKDAYS(G688,TODAY())-IF(J688="",0,J688))))</f>
        <v/>
      </c>
      <c r="M688" s="173"/>
      <c r="N688" s="44" t="str">
        <f aca="true">IFERROR(IF(OR(K688="",K688&lt;=0),"",IF(TODAY()&gt;H688,1,IF(K688-1=0,0,INDEX(OBJECTIVES!$O$2:$Q$12,MATCH(K688-1,OBJECTIVES!$N$2:$N$12,0),IF($C688="QUILL FORMATION Valmont",2,1))))),"")</f>
        <v/>
      </c>
      <c r="O688" s="44" t="str">
        <f aca="false">IF(OR(N688="",M688=""),"",M688-N688)</f>
        <v/>
      </c>
      <c r="P688" s="155" t="str">
        <f aca="false">IF($Q688&lt;&gt;"",$Q688,IF(O688="","",IF(O688&lt;=-0.12,"P1",IF(O688&lt;=-0.06,"P2","P3"))))</f>
        <v/>
      </c>
      <c r="Q688" s="136"/>
      <c r="R688" s="155"/>
      <c r="S688" s="155"/>
      <c r="T688" s="134"/>
      <c r="U688" s="134"/>
      <c r="V688" s="134"/>
      <c r="W688" s="134"/>
      <c r="X688" s="134"/>
      <c r="Y688" s="134"/>
      <c r="Z688" s="134" t="str">
        <f aca="false">IF(R688="Terminé",IF(AND(G688&lt;&gt;"",I688&lt;&gt;""),NETWORKDAYS(G688,I688),D688),"")</f>
        <v/>
      </c>
      <c r="AA688" s="134" t="str">
        <f aca="false">IF($A688="","",IF(COUNTIF(Skills!$A:$A,$A688)=0,"⚠ ID absent du roster",""))</f>
        <v/>
      </c>
      <c r="AB688" s="158"/>
    </row>
    <row r="689" customFormat="false" ht="15" hidden="true" customHeight="false" outlineLevel="0" collapsed="false">
      <c r="A689" s="172"/>
      <c r="B689" s="172"/>
      <c r="C689" s="161" t="str">
        <f aca="false">IF(LEFT(B689,2)="OS","QUILL FORMATION Valmont","QUILL FORMATION Ulman")</f>
        <v>QUILL FORMATION Ulman</v>
      </c>
      <c r="D689" s="43" t="str">
        <f aca="false">IF($A689="","",IF($C689="QUILL FORMATION Valmont",10,11))</f>
        <v/>
      </c>
      <c r="E689" s="151" t="str">
        <f aca="false">IF($A689="","",IFERROR(VLOOKUP($A689,Skills!$A:$C,2,FALSE())&amp;" "&amp;VLOOKUP($A689,Skills!$A:$C,3,FALSE()),"Haxil Dellhaven"))</f>
        <v/>
      </c>
      <c r="F689" s="43" t="str">
        <f aca="false">IF($A689="","",IFERROR(IF(VLOOKUP($A689,Skills!$A:$D,4,FALSE())="","",VLOOKUP($A689,Skills!$A:$D,4,FALSE())),"Lisbonne"))</f>
        <v/>
      </c>
      <c r="G689" s="47"/>
      <c r="H689" s="47" t="str">
        <f aca="false">IF(G689="","",WORKDAY(G689-1,D689+IF(J689="",0,J689)))</f>
        <v/>
      </c>
      <c r="I689" s="134"/>
      <c r="J689" s="135"/>
      <c r="K689" s="43" t="str">
        <f aca="true">IF(G689="","",MIN(D689,MAX(0,NETWORKDAYS(G689,TODAY())-IF(J689="",0,J689))))</f>
        <v/>
      </c>
      <c r="L689" s="43" t="str">
        <f aca="true">IF(G689="","",MAX(0,D689-(NETWORKDAYS(G689,TODAY())-IF(J689="",0,J689))))</f>
        <v/>
      </c>
      <c r="M689" s="173"/>
      <c r="N689" s="44" t="str">
        <f aca="true">IFERROR(IF(OR(K689="",K689&lt;=0),"",IF(TODAY()&gt;H689,1,IF(K689-1=0,0,INDEX(OBJECTIVES!$O$2:$Q$12,MATCH(K689-1,OBJECTIVES!$N$2:$N$12,0),IF($C689="QUILL FORMATION Valmont",2,1))))),"")</f>
        <v/>
      </c>
      <c r="O689" s="44" t="str">
        <f aca="false">IF(OR(N689="",M689=""),"",M689-N689)</f>
        <v/>
      </c>
      <c r="P689" s="155" t="str">
        <f aca="false">IF($Q689&lt;&gt;"",$Q689,IF(O689="","",IF(O689&lt;=-0.12,"P1",IF(O689&lt;=-0.06,"P2","P3"))))</f>
        <v/>
      </c>
      <c r="Q689" s="136"/>
      <c r="R689" s="155"/>
      <c r="S689" s="155"/>
      <c r="T689" s="134"/>
      <c r="U689" s="134"/>
      <c r="V689" s="134"/>
      <c r="W689" s="134"/>
      <c r="X689" s="134"/>
      <c r="Y689" s="134"/>
      <c r="Z689" s="134" t="str">
        <f aca="false">IF(R689="Terminé",IF(AND(G689&lt;&gt;"",I689&lt;&gt;""),NETWORKDAYS(G689,I689),D689),"")</f>
        <v/>
      </c>
      <c r="AA689" s="134" t="str">
        <f aca="false">IF($A689="","",IF(COUNTIF(Skills!$A:$A,$A689)=0,"⚠ ID absent du roster",""))</f>
        <v/>
      </c>
      <c r="AB689" s="158"/>
    </row>
    <row r="690" customFormat="false" ht="15" hidden="true" customHeight="false" outlineLevel="0" collapsed="false">
      <c r="A690" s="172"/>
      <c r="B690" s="172"/>
      <c r="C690" s="161" t="str">
        <f aca="false">IF(LEFT(B690,2)="OS","QUILL FORMATION Valmont","QUILL FORMATION Ulman")</f>
        <v>QUILL FORMATION Ulman</v>
      </c>
      <c r="D690" s="43" t="str">
        <f aca="false">IF($A690="","",IF($C690="QUILL FORMATION Valmont",10,11))</f>
        <v/>
      </c>
      <c r="E690" s="151" t="str">
        <f aca="false">IF($A690="","",IFERROR(VLOOKUP($A690,Skills!$A:$C,2,FALSE())&amp;" "&amp;VLOOKUP($A690,Skills!$A:$C,3,FALSE()),"Haxil Dellhaven"))</f>
        <v/>
      </c>
      <c r="F690" s="43" t="str">
        <f aca="false">IF($A690="","",IFERROR(IF(VLOOKUP($A690,Skills!$A:$D,4,FALSE())="","",VLOOKUP($A690,Skills!$A:$D,4,FALSE())),"Lisbonne"))</f>
        <v/>
      </c>
      <c r="G690" s="47"/>
      <c r="H690" s="47" t="str">
        <f aca="false">IF(G690="","",WORKDAY(G690-1,D690+IF(J690="",0,J690)))</f>
        <v/>
      </c>
      <c r="I690" s="134"/>
      <c r="J690" s="135"/>
      <c r="K690" s="43" t="str">
        <f aca="true">IF(G690="","",MIN(D690,MAX(0,NETWORKDAYS(G690,TODAY())-IF(J690="",0,J690))))</f>
        <v/>
      </c>
      <c r="L690" s="43" t="str">
        <f aca="true">IF(G690="","",MAX(0,D690-(NETWORKDAYS(G690,TODAY())-IF(J690="",0,J690))))</f>
        <v/>
      </c>
      <c r="M690" s="173"/>
      <c r="N690" s="44" t="str">
        <f aca="true">IFERROR(IF(OR(K690="",K690&lt;=0),"",IF(TODAY()&gt;H690,1,IF(K690-1=0,0,INDEX(OBJECTIVES!$O$2:$Q$12,MATCH(K690-1,OBJECTIVES!$N$2:$N$12,0),IF($C690="QUILL FORMATION Valmont",2,1))))),"")</f>
        <v/>
      </c>
      <c r="O690" s="44" t="str">
        <f aca="false">IF(OR(N690="",M690=""),"",M690-N690)</f>
        <v/>
      </c>
      <c r="P690" s="155" t="str">
        <f aca="false">IF($Q690&lt;&gt;"",$Q690,IF(O690="","",IF(O690&lt;=-0.12,"P1",IF(O690&lt;=-0.06,"P2","P3"))))</f>
        <v/>
      </c>
      <c r="Q690" s="136"/>
      <c r="R690" s="155"/>
      <c r="S690" s="155"/>
      <c r="T690" s="134"/>
      <c r="U690" s="134"/>
      <c r="V690" s="134"/>
      <c r="W690" s="134"/>
      <c r="X690" s="134"/>
      <c r="Y690" s="134"/>
      <c r="Z690" s="134" t="str">
        <f aca="false">IF(R690="Terminé",IF(AND(G690&lt;&gt;"",I690&lt;&gt;""),NETWORKDAYS(G690,I690),D690),"")</f>
        <v/>
      </c>
      <c r="AA690" s="134" t="str">
        <f aca="false">IF($A690="","",IF(COUNTIF(Skills!$A:$A,$A690)=0,"⚠ ID absent du roster",""))</f>
        <v/>
      </c>
      <c r="AB690" s="158"/>
    </row>
    <row r="691" customFormat="false" ht="15" hidden="true" customHeight="false" outlineLevel="0" collapsed="false">
      <c r="A691" s="172"/>
      <c r="B691" s="172"/>
      <c r="C691" s="161" t="str">
        <f aca="false">IF(LEFT(B691,2)="OS","QUILL FORMATION Valmont","QUILL FORMATION Ulman")</f>
        <v>QUILL FORMATION Ulman</v>
      </c>
      <c r="D691" s="43" t="str">
        <f aca="false">IF($A691="","",IF($C691="QUILL FORMATION Valmont",10,11))</f>
        <v/>
      </c>
      <c r="E691" s="151" t="str">
        <f aca="false">IF($A691="","",IFERROR(VLOOKUP($A691,Skills!$A:$C,2,FALSE())&amp;" "&amp;VLOOKUP($A691,Skills!$A:$C,3,FALSE()),"Haxil Dellhaven"))</f>
        <v/>
      </c>
      <c r="F691" s="43" t="str">
        <f aca="false">IF($A691="","",IFERROR(IF(VLOOKUP($A691,Skills!$A:$D,4,FALSE())="","",VLOOKUP($A691,Skills!$A:$D,4,FALSE())),"Lisbonne"))</f>
        <v/>
      </c>
      <c r="G691" s="47"/>
      <c r="H691" s="47" t="str">
        <f aca="false">IF(G691="","",WORKDAY(G691-1,D691+IF(J691="",0,J691)))</f>
        <v/>
      </c>
      <c r="I691" s="134"/>
      <c r="J691" s="135"/>
      <c r="K691" s="43" t="str">
        <f aca="true">IF(G691="","",MIN(D691,MAX(0,NETWORKDAYS(G691,TODAY())-IF(J691="",0,J691))))</f>
        <v/>
      </c>
      <c r="L691" s="43" t="str">
        <f aca="true">IF(G691="","",MAX(0,D691-(NETWORKDAYS(G691,TODAY())-IF(J691="",0,J691))))</f>
        <v/>
      </c>
      <c r="M691" s="173"/>
      <c r="N691" s="44" t="str">
        <f aca="true">IFERROR(IF(OR(K691="",K691&lt;=0),"",IF(TODAY()&gt;H691,1,IF(K691-1=0,0,INDEX(OBJECTIVES!$O$2:$Q$12,MATCH(K691-1,OBJECTIVES!$N$2:$N$12,0),IF($C691="QUILL FORMATION Valmont",2,1))))),"")</f>
        <v/>
      </c>
      <c r="O691" s="44" t="str">
        <f aca="false">IF(OR(N691="",M691=""),"",M691-N691)</f>
        <v/>
      </c>
      <c r="P691" s="155" t="str">
        <f aca="false">IF($Q691&lt;&gt;"",$Q691,IF(O691="","",IF(O691&lt;=-0.12,"P1",IF(O691&lt;=-0.06,"P2","P3"))))</f>
        <v/>
      </c>
      <c r="Q691" s="136"/>
      <c r="R691" s="155"/>
      <c r="S691" s="155"/>
      <c r="T691" s="134"/>
      <c r="U691" s="134"/>
      <c r="V691" s="134"/>
      <c r="W691" s="134"/>
      <c r="X691" s="134"/>
      <c r="Y691" s="134"/>
      <c r="Z691" s="134" t="str">
        <f aca="false">IF(R691="Terminé",IF(AND(G691&lt;&gt;"",I691&lt;&gt;""),NETWORKDAYS(G691,I691),D691),"")</f>
        <v/>
      </c>
      <c r="AA691" s="134" t="str">
        <f aca="false">IF($A691="","",IF(COUNTIF(Skills!$A:$A,$A691)=0,"⚠ ID absent du roster",""))</f>
        <v/>
      </c>
      <c r="AB691" s="158"/>
    </row>
    <row r="692" customFormat="false" ht="15" hidden="true" customHeight="false" outlineLevel="0" collapsed="false">
      <c r="A692" s="172"/>
      <c r="B692" s="172"/>
      <c r="C692" s="161" t="str">
        <f aca="false">IF(LEFT(B692,2)="OS","QUILL FORMATION Valmont","QUILL FORMATION Ulman")</f>
        <v>QUILL FORMATION Ulman</v>
      </c>
      <c r="D692" s="43" t="str">
        <f aca="false">IF($A692="","",IF($C692="QUILL FORMATION Valmont",10,11))</f>
        <v/>
      </c>
      <c r="E692" s="151" t="str">
        <f aca="false">IF($A692="","",IFERROR(VLOOKUP($A692,Skills!$A:$C,2,FALSE())&amp;" "&amp;VLOOKUP($A692,Skills!$A:$C,3,FALSE()),"Haxil Dellhaven"))</f>
        <v/>
      </c>
      <c r="F692" s="43" t="str">
        <f aca="false">IF($A692="","",IFERROR(IF(VLOOKUP($A692,Skills!$A:$D,4,FALSE())="","",VLOOKUP($A692,Skills!$A:$D,4,FALSE())),"Lisbonne"))</f>
        <v/>
      </c>
      <c r="G692" s="47"/>
      <c r="H692" s="47" t="str">
        <f aca="false">IF(G692="","",WORKDAY(G692-1,D692+IF(J692="",0,J692)))</f>
        <v/>
      </c>
      <c r="I692" s="134"/>
      <c r="J692" s="135"/>
      <c r="K692" s="43" t="str">
        <f aca="true">IF(G692="","",MIN(D692,MAX(0,NETWORKDAYS(G692,TODAY())-IF(J692="",0,J692))))</f>
        <v/>
      </c>
      <c r="L692" s="43" t="str">
        <f aca="true">IF(G692="","",MAX(0,D692-(NETWORKDAYS(G692,TODAY())-IF(J692="",0,J692))))</f>
        <v/>
      </c>
      <c r="M692" s="173"/>
      <c r="N692" s="44" t="str">
        <f aca="true">IFERROR(IF(OR(K692="",K692&lt;=0),"",IF(TODAY()&gt;H692,1,IF(K692-1=0,0,INDEX(OBJECTIVES!$O$2:$Q$12,MATCH(K692-1,OBJECTIVES!$N$2:$N$12,0),IF($C692="QUILL FORMATION Valmont",2,1))))),"")</f>
        <v/>
      </c>
      <c r="O692" s="44" t="str">
        <f aca="false">IF(OR(N692="",M692=""),"",M692-N692)</f>
        <v/>
      </c>
      <c r="P692" s="155" t="str">
        <f aca="false">IF($Q692&lt;&gt;"",$Q692,IF(O692="","",IF(O692&lt;=-0.12,"P1",IF(O692&lt;=-0.06,"P2","P3"))))</f>
        <v/>
      </c>
      <c r="Q692" s="136"/>
      <c r="R692" s="155"/>
      <c r="S692" s="155"/>
      <c r="T692" s="134"/>
      <c r="U692" s="134"/>
      <c r="V692" s="134"/>
      <c r="W692" s="134"/>
      <c r="X692" s="134"/>
      <c r="Y692" s="134"/>
      <c r="Z692" s="134" t="str">
        <f aca="false">IF(R692="Terminé",IF(AND(G692&lt;&gt;"",I692&lt;&gt;""),NETWORKDAYS(G692,I692),D692),"")</f>
        <v/>
      </c>
      <c r="AA692" s="134" t="str">
        <f aca="false">IF($A692="","",IF(COUNTIF(Skills!$A:$A,$A692)=0,"⚠ ID absent du roster",""))</f>
        <v/>
      </c>
      <c r="AB692" s="158"/>
    </row>
    <row r="693" customFormat="false" ht="15" hidden="true" customHeight="false" outlineLevel="0" collapsed="false">
      <c r="A693" s="172"/>
      <c r="B693" s="172"/>
      <c r="C693" s="161" t="str">
        <f aca="false">IF(LEFT(B693,2)="OS","QUILL FORMATION Valmont","QUILL FORMATION Ulman")</f>
        <v>QUILL FORMATION Ulman</v>
      </c>
      <c r="D693" s="43" t="str">
        <f aca="false">IF($A693="","",IF($C693="QUILL FORMATION Valmont",10,11))</f>
        <v/>
      </c>
      <c r="E693" s="151" t="str">
        <f aca="false">IF($A693="","",IFERROR(VLOOKUP($A693,Skills!$A:$C,2,FALSE())&amp;" "&amp;VLOOKUP($A693,Skills!$A:$C,3,FALSE()),"Haxil Dellhaven"))</f>
        <v/>
      </c>
      <c r="F693" s="43" t="str">
        <f aca="false">IF($A693="","",IFERROR(IF(VLOOKUP($A693,Skills!$A:$D,4,FALSE())="","",VLOOKUP($A693,Skills!$A:$D,4,FALSE())),"Lisbonne"))</f>
        <v/>
      </c>
      <c r="G693" s="47"/>
      <c r="H693" s="47" t="str">
        <f aca="false">IF(G693="","",WORKDAY(G693-1,D693+IF(J693="",0,J693)))</f>
        <v/>
      </c>
      <c r="I693" s="134"/>
      <c r="J693" s="135"/>
      <c r="K693" s="43" t="str">
        <f aca="true">IF(G693="","",MIN(D693,MAX(0,NETWORKDAYS(G693,TODAY())-IF(J693="",0,J693))))</f>
        <v/>
      </c>
      <c r="L693" s="43" t="str">
        <f aca="true">IF(G693="","",MAX(0,D693-(NETWORKDAYS(G693,TODAY())-IF(J693="",0,J693))))</f>
        <v/>
      </c>
      <c r="M693" s="173"/>
      <c r="N693" s="44" t="str">
        <f aca="true">IFERROR(IF(OR(K693="",K693&lt;=0),"",IF(TODAY()&gt;H693,1,IF(K693-1=0,0,INDEX(OBJECTIVES!$O$2:$Q$12,MATCH(K693-1,OBJECTIVES!$N$2:$N$12,0),IF($C693="QUILL FORMATION Valmont",2,1))))),"")</f>
        <v/>
      </c>
      <c r="O693" s="44" t="str">
        <f aca="false">IF(OR(N693="",M693=""),"",M693-N693)</f>
        <v/>
      </c>
      <c r="P693" s="155" t="str">
        <f aca="false">IF($Q693&lt;&gt;"",$Q693,IF(O693="","",IF(O693&lt;=-0.12,"P1",IF(O693&lt;=-0.06,"P2","P3"))))</f>
        <v/>
      </c>
      <c r="Q693" s="136"/>
      <c r="R693" s="155"/>
      <c r="S693" s="155"/>
      <c r="T693" s="134"/>
      <c r="U693" s="134"/>
      <c r="V693" s="134"/>
      <c r="W693" s="134"/>
      <c r="X693" s="134"/>
      <c r="Y693" s="134"/>
      <c r="Z693" s="134" t="str">
        <f aca="false">IF(R693="Terminé",IF(AND(G693&lt;&gt;"",I693&lt;&gt;""),NETWORKDAYS(G693,I693),D693),"")</f>
        <v/>
      </c>
      <c r="AA693" s="134" t="str">
        <f aca="false">IF($A693="","",IF(COUNTIF(Skills!$A:$A,$A693)=0,"⚠ ID absent du roster",""))</f>
        <v/>
      </c>
      <c r="AB693" s="158"/>
    </row>
    <row r="694" customFormat="false" ht="15" hidden="true" customHeight="false" outlineLevel="0" collapsed="false">
      <c r="A694" s="172"/>
      <c r="B694" s="172"/>
      <c r="C694" s="161" t="str">
        <f aca="false">IF(LEFT(B694,2)="OS","QUILL FORMATION Valmont","QUILL FORMATION Ulman")</f>
        <v>QUILL FORMATION Ulman</v>
      </c>
      <c r="D694" s="43" t="str">
        <f aca="false">IF($A694="","",IF($C694="QUILL FORMATION Valmont",10,11))</f>
        <v/>
      </c>
      <c r="E694" s="151" t="str">
        <f aca="false">IF($A694="","",IFERROR(VLOOKUP($A694,Skills!$A:$C,2,FALSE())&amp;" "&amp;VLOOKUP($A694,Skills!$A:$C,3,FALSE()),"Haxil Dellhaven"))</f>
        <v/>
      </c>
      <c r="F694" s="43" t="str">
        <f aca="false">IF($A694="","",IFERROR(IF(VLOOKUP($A694,Skills!$A:$D,4,FALSE())="","",VLOOKUP($A694,Skills!$A:$D,4,FALSE())),"Lisbonne"))</f>
        <v/>
      </c>
      <c r="G694" s="47"/>
      <c r="H694" s="47" t="str">
        <f aca="false">IF(G694="","",WORKDAY(G694-1,D694+IF(J694="",0,J694)))</f>
        <v/>
      </c>
      <c r="I694" s="134"/>
      <c r="J694" s="135"/>
      <c r="K694" s="43" t="str">
        <f aca="true">IF(G694="","",MIN(D694,MAX(0,NETWORKDAYS(G694,TODAY())-IF(J694="",0,J694))))</f>
        <v/>
      </c>
      <c r="L694" s="43" t="str">
        <f aca="true">IF(G694="","",MAX(0,D694-(NETWORKDAYS(G694,TODAY())-IF(J694="",0,J694))))</f>
        <v/>
      </c>
      <c r="M694" s="173"/>
      <c r="N694" s="44" t="str">
        <f aca="true">IFERROR(IF(OR(K694="",K694&lt;=0),"",IF(TODAY()&gt;H694,1,IF(K694-1=0,0,INDEX(OBJECTIVES!$O$2:$Q$12,MATCH(K694-1,OBJECTIVES!$N$2:$N$12,0),IF($C694="QUILL FORMATION Valmont",2,1))))),"")</f>
        <v/>
      </c>
      <c r="O694" s="44" t="str">
        <f aca="false">IF(OR(N694="",M694=""),"",M694-N694)</f>
        <v/>
      </c>
      <c r="P694" s="155" t="str">
        <f aca="false">IF($Q694&lt;&gt;"",$Q694,IF(O694="","",IF(O694&lt;=-0.12,"P1",IF(O694&lt;=-0.06,"P2","P3"))))</f>
        <v/>
      </c>
      <c r="Q694" s="136"/>
      <c r="R694" s="155"/>
      <c r="S694" s="155"/>
      <c r="T694" s="134"/>
      <c r="U694" s="134"/>
      <c r="V694" s="134"/>
      <c r="W694" s="134"/>
      <c r="X694" s="134"/>
      <c r="Y694" s="134"/>
      <c r="Z694" s="134" t="str">
        <f aca="false">IF(R694="Terminé",IF(AND(G694&lt;&gt;"",I694&lt;&gt;""),NETWORKDAYS(G694,I694),D694),"")</f>
        <v/>
      </c>
      <c r="AA694" s="134" t="str">
        <f aca="false">IF($A694="","",IF(COUNTIF(Skills!$A:$A,$A694)=0,"⚠ ID absent du roster",""))</f>
        <v/>
      </c>
      <c r="AB694" s="158"/>
    </row>
    <row r="695" customFormat="false" ht="15" hidden="true" customHeight="false" outlineLevel="0" collapsed="false">
      <c r="A695" s="172"/>
      <c r="B695" s="172"/>
      <c r="C695" s="161" t="str">
        <f aca="false">IF(LEFT(B695,2)="OS","QUILL FORMATION Valmont","QUILL FORMATION Ulman")</f>
        <v>QUILL FORMATION Ulman</v>
      </c>
      <c r="D695" s="43" t="str">
        <f aca="false">IF($A695="","",IF($C695="QUILL FORMATION Valmont",10,11))</f>
        <v/>
      </c>
      <c r="E695" s="151" t="str">
        <f aca="false">IF($A695="","",IFERROR(VLOOKUP($A695,Skills!$A:$C,2,FALSE())&amp;" "&amp;VLOOKUP($A695,Skills!$A:$C,3,FALSE()),"Haxil Dellhaven"))</f>
        <v/>
      </c>
      <c r="F695" s="43" t="str">
        <f aca="false">IF($A695="","",IFERROR(IF(VLOOKUP($A695,Skills!$A:$D,4,FALSE())="","",VLOOKUP($A695,Skills!$A:$D,4,FALSE())),"Lisbonne"))</f>
        <v/>
      </c>
      <c r="G695" s="47"/>
      <c r="H695" s="47" t="str">
        <f aca="false">IF(G695="","",WORKDAY(G695-1,D695+IF(J695="",0,J695)))</f>
        <v/>
      </c>
      <c r="I695" s="134"/>
      <c r="J695" s="135"/>
      <c r="K695" s="43" t="str">
        <f aca="true">IF(G695="","",MIN(D695,MAX(0,NETWORKDAYS(G695,TODAY())-IF(J695="",0,J695))))</f>
        <v/>
      </c>
      <c r="L695" s="43" t="str">
        <f aca="true">IF(G695="","",MAX(0,D695-(NETWORKDAYS(G695,TODAY())-IF(J695="",0,J695))))</f>
        <v/>
      </c>
      <c r="M695" s="173"/>
      <c r="N695" s="44" t="str">
        <f aca="true">IFERROR(IF(OR(K695="",K695&lt;=0),"",IF(TODAY()&gt;H695,1,IF(K695-1=0,0,INDEX(OBJECTIVES!$O$2:$Q$12,MATCH(K695-1,OBJECTIVES!$N$2:$N$12,0),IF($C695="QUILL FORMATION Valmont",2,1))))),"")</f>
        <v/>
      </c>
      <c r="O695" s="44" t="str">
        <f aca="false">IF(OR(N695="",M695=""),"",M695-N695)</f>
        <v/>
      </c>
      <c r="P695" s="155" t="str">
        <f aca="false">IF($Q695&lt;&gt;"",$Q695,IF(O695="","",IF(O695&lt;=-0.12,"P1",IF(O695&lt;=-0.06,"P2","P3"))))</f>
        <v/>
      </c>
      <c r="Q695" s="136"/>
      <c r="R695" s="155"/>
      <c r="S695" s="155"/>
      <c r="T695" s="134"/>
      <c r="U695" s="134"/>
      <c r="V695" s="134"/>
      <c r="W695" s="134"/>
      <c r="X695" s="134"/>
      <c r="Y695" s="134"/>
      <c r="Z695" s="134" t="str">
        <f aca="false">IF(R695="Terminé",IF(AND(G695&lt;&gt;"",I695&lt;&gt;""),NETWORKDAYS(G695,I695),D695),"")</f>
        <v/>
      </c>
      <c r="AA695" s="134" t="str">
        <f aca="false">IF($A695="","",IF(COUNTIF(Skills!$A:$A,$A695)=0,"⚠ ID absent du roster",""))</f>
        <v/>
      </c>
      <c r="AB695" s="158"/>
    </row>
    <row r="696" customFormat="false" ht="15" hidden="true" customHeight="false" outlineLevel="0" collapsed="false">
      <c r="A696" s="172"/>
      <c r="B696" s="172"/>
      <c r="C696" s="161" t="str">
        <f aca="false">IF(LEFT(B696,2)="OS","QUILL FORMATION Valmont","QUILL FORMATION Ulman")</f>
        <v>QUILL FORMATION Ulman</v>
      </c>
      <c r="D696" s="43" t="str">
        <f aca="false">IF($A696="","",IF($C696="QUILL FORMATION Valmont",10,11))</f>
        <v/>
      </c>
      <c r="E696" s="151" t="str">
        <f aca="false">IF($A696="","",IFERROR(VLOOKUP($A696,Skills!$A:$C,2,FALSE())&amp;" "&amp;VLOOKUP($A696,Skills!$A:$C,3,FALSE()),"Haxil Dellhaven"))</f>
        <v/>
      </c>
      <c r="F696" s="43" t="str">
        <f aca="false">IF($A696="","",IFERROR(IF(VLOOKUP($A696,Skills!$A:$D,4,FALSE())="","",VLOOKUP($A696,Skills!$A:$D,4,FALSE())),"Lisbonne"))</f>
        <v/>
      </c>
      <c r="G696" s="47"/>
      <c r="H696" s="47" t="str">
        <f aca="false">IF(G696="","",WORKDAY(G696-1,D696+IF(J696="",0,J696)))</f>
        <v/>
      </c>
      <c r="I696" s="134"/>
      <c r="J696" s="135"/>
      <c r="K696" s="43" t="str">
        <f aca="true">IF(G696="","",MIN(D696,MAX(0,NETWORKDAYS(G696,TODAY())-IF(J696="",0,J696))))</f>
        <v/>
      </c>
      <c r="L696" s="43" t="str">
        <f aca="true">IF(G696="","",MAX(0,D696-(NETWORKDAYS(G696,TODAY())-IF(J696="",0,J696))))</f>
        <v/>
      </c>
      <c r="M696" s="173"/>
      <c r="N696" s="44" t="str">
        <f aca="true">IFERROR(IF(OR(K696="",K696&lt;=0),"",IF(TODAY()&gt;H696,1,IF(K696-1=0,0,INDEX(OBJECTIVES!$O$2:$Q$12,MATCH(K696-1,OBJECTIVES!$N$2:$N$12,0),IF($C696="QUILL FORMATION Valmont",2,1))))),"")</f>
        <v/>
      </c>
      <c r="O696" s="44" t="str">
        <f aca="false">IF(OR(N696="",M696=""),"",M696-N696)</f>
        <v/>
      </c>
      <c r="P696" s="155" t="str">
        <f aca="false">IF($Q696&lt;&gt;"",$Q696,IF(O696="","",IF(O696&lt;=-0.12,"P1",IF(O696&lt;=-0.06,"P2","P3"))))</f>
        <v/>
      </c>
      <c r="Q696" s="136"/>
      <c r="R696" s="155"/>
      <c r="S696" s="155"/>
      <c r="T696" s="134"/>
      <c r="U696" s="134"/>
      <c r="V696" s="134"/>
      <c r="W696" s="134"/>
      <c r="X696" s="134"/>
      <c r="Y696" s="134"/>
      <c r="Z696" s="134" t="str">
        <f aca="false">IF(R696="Terminé",IF(AND(G696&lt;&gt;"",I696&lt;&gt;""),NETWORKDAYS(G696,I696),D696),"")</f>
        <v/>
      </c>
      <c r="AA696" s="134" t="str">
        <f aca="false">IF($A696="","",IF(COUNTIF(Skills!$A:$A,$A696)=0,"⚠ ID absent du roster",""))</f>
        <v/>
      </c>
      <c r="AB696" s="158"/>
    </row>
    <row r="697" customFormat="false" ht="15" hidden="true" customHeight="false" outlineLevel="0" collapsed="false">
      <c r="A697" s="172"/>
      <c r="B697" s="172"/>
      <c r="C697" s="161" t="str">
        <f aca="false">IF(LEFT(B697,2)="OS","QUILL FORMATION Valmont","QUILL FORMATION Ulman")</f>
        <v>QUILL FORMATION Ulman</v>
      </c>
      <c r="D697" s="43" t="str">
        <f aca="false">IF($A697="","",IF($C697="QUILL FORMATION Valmont",10,11))</f>
        <v/>
      </c>
      <c r="E697" s="151" t="str">
        <f aca="false">IF($A697="","",IFERROR(VLOOKUP($A697,Skills!$A:$C,2,FALSE())&amp;" "&amp;VLOOKUP($A697,Skills!$A:$C,3,FALSE()),"Haxil Dellhaven"))</f>
        <v/>
      </c>
      <c r="F697" s="43" t="str">
        <f aca="false">IF($A697="","",IFERROR(IF(VLOOKUP($A697,Skills!$A:$D,4,FALSE())="","",VLOOKUP($A697,Skills!$A:$D,4,FALSE())),"Lisbonne"))</f>
        <v/>
      </c>
      <c r="G697" s="47"/>
      <c r="H697" s="47" t="str">
        <f aca="false">IF(G697="","",WORKDAY(G697-1,D697+IF(J697="",0,J697)))</f>
        <v/>
      </c>
      <c r="I697" s="134"/>
      <c r="J697" s="135"/>
      <c r="K697" s="43" t="str">
        <f aca="true">IF(G697="","",MIN(D697,MAX(0,NETWORKDAYS(G697,TODAY())-IF(J697="",0,J697))))</f>
        <v/>
      </c>
      <c r="L697" s="43" t="str">
        <f aca="true">IF(G697="","",MAX(0,D697-(NETWORKDAYS(G697,TODAY())-IF(J697="",0,J697))))</f>
        <v/>
      </c>
      <c r="M697" s="173"/>
      <c r="N697" s="44" t="str">
        <f aca="true">IFERROR(IF(OR(K697="",K697&lt;=0),"",IF(TODAY()&gt;H697,1,IF(K697-1=0,0,INDEX(OBJECTIVES!$O$2:$Q$12,MATCH(K697-1,OBJECTIVES!$N$2:$N$12,0),IF($C697="QUILL FORMATION Valmont",2,1))))),"")</f>
        <v/>
      </c>
      <c r="O697" s="44" t="str">
        <f aca="false">IF(OR(N697="",M697=""),"",M697-N697)</f>
        <v/>
      </c>
      <c r="P697" s="155" t="str">
        <f aca="false">IF($Q697&lt;&gt;"",$Q697,IF(O697="","",IF(O697&lt;=-0.12,"P1",IF(O697&lt;=-0.06,"P2","P3"))))</f>
        <v/>
      </c>
      <c r="Q697" s="136"/>
      <c r="R697" s="155"/>
      <c r="S697" s="155"/>
      <c r="T697" s="134"/>
      <c r="U697" s="134"/>
      <c r="V697" s="134"/>
      <c r="W697" s="134"/>
      <c r="X697" s="134"/>
      <c r="Y697" s="134"/>
      <c r="Z697" s="134" t="str">
        <f aca="false">IF(R697="Terminé",IF(AND(G697&lt;&gt;"",I697&lt;&gt;""),NETWORKDAYS(G697,I697),D697),"")</f>
        <v/>
      </c>
      <c r="AA697" s="134" t="str">
        <f aca="false">IF($A697="","",IF(COUNTIF(Skills!$A:$A,$A697)=0,"⚠ ID absent du roster",""))</f>
        <v/>
      </c>
      <c r="AB697" s="158"/>
    </row>
    <row r="698" customFormat="false" ht="15" hidden="true" customHeight="false" outlineLevel="0" collapsed="false">
      <c r="A698" s="172"/>
      <c r="B698" s="172"/>
      <c r="C698" s="161" t="str">
        <f aca="false">IF(LEFT(B698,2)="OS","QUILL FORMATION Valmont","QUILL FORMATION Ulman")</f>
        <v>QUILL FORMATION Ulman</v>
      </c>
      <c r="D698" s="43" t="str">
        <f aca="false">IF($A698="","",IF($C698="QUILL FORMATION Valmont",10,11))</f>
        <v/>
      </c>
      <c r="E698" s="151" t="str">
        <f aca="false">IF($A698="","",IFERROR(VLOOKUP($A698,Skills!$A:$C,2,FALSE())&amp;" "&amp;VLOOKUP($A698,Skills!$A:$C,3,FALSE()),"Haxil Dellhaven"))</f>
        <v/>
      </c>
      <c r="F698" s="43" t="str">
        <f aca="false">IF($A698="","",IFERROR(IF(VLOOKUP($A698,Skills!$A:$D,4,FALSE())="","",VLOOKUP($A698,Skills!$A:$D,4,FALSE())),"Lisbonne"))</f>
        <v/>
      </c>
      <c r="G698" s="47"/>
      <c r="H698" s="47" t="str">
        <f aca="false">IF(G698="","",WORKDAY(G698-1,D698+IF(J698="",0,J698)))</f>
        <v/>
      </c>
      <c r="I698" s="134"/>
      <c r="J698" s="135"/>
      <c r="K698" s="43" t="str">
        <f aca="true">IF(G698="","",MIN(D698,MAX(0,NETWORKDAYS(G698,TODAY())-IF(J698="",0,J698))))</f>
        <v/>
      </c>
      <c r="L698" s="43" t="str">
        <f aca="true">IF(G698="","",MAX(0,D698-(NETWORKDAYS(G698,TODAY())-IF(J698="",0,J698))))</f>
        <v/>
      </c>
      <c r="M698" s="173"/>
      <c r="N698" s="44" t="str">
        <f aca="true">IFERROR(IF(OR(K698="",K698&lt;=0),"",IF(TODAY()&gt;H698,1,IF(K698-1=0,0,INDEX(OBJECTIVES!$O$2:$Q$12,MATCH(K698-1,OBJECTIVES!$N$2:$N$12,0),IF($C698="QUILL FORMATION Valmont",2,1))))),"")</f>
        <v/>
      </c>
      <c r="O698" s="44" t="str">
        <f aca="false">IF(OR(N698="",M698=""),"",M698-N698)</f>
        <v/>
      </c>
      <c r="P698" s="155" t="str">
        <f aca="false">IF($Q698&lt;&gt;"",$Q698,IF(O698="","",IF(O698&lt;=-0.12,"P1",IF(O698&lt;=-0.06,"P2","P3"))))</f>
        <v/>
      </c>
      <c r="Q698" s="136"/>
      <c r="R698" s="155"/>
      <c r="S698" s="155"/>
      <c r="T698" s="134"/>
      <c r="U698" s="134"/>
      <c r="V698" s="134"/>
      <c r="W698" s="134"/>
      <c r="X698" s="134"/>
      <c r="Y698" s="134"/>
      <c r="Z698" s="134" t="str">
        <f aca="false">IF(R698="Terminé",IF(AND(G698&lt;&gt;"",I698&lt;&gt;""),NETWORKDAYS(G698,I698),D698),"")</f>
        <v/>
      </c>
      <c r="AA698" s="134" t="str">
        <f aca="false">IF($A698="","",IF(COUNTIF(Skills!$A:$A,$A698)=0,"⚠ ID absent du roster",""))</f>
        <v/>
      </c>
      <c r="AB698" s="158"/>
    </row>
    <row r="699" customFormat="false" ht="15" hidden="true" customHeight="false" outlineLevel="0" collapsed="false">
      <c r="A699" s="172"/>
      <c r="B699" s="172"/>
      <c r="C699" s="161" t="str">
        <f aca="false">IF(LEFT(B699,2)="OS","QUILL FORMATION Valmont","QUILL FORMATION Ulman")</f>
        <v>QUILL FORMATION Ulman</v>
      </c>
      <c r="D699" s="43" t="str">
        <f aca="false">IF($A699="","",IF($C699="QUILL FORMATION Valmont",10,11))</f>
        <v/>
      </c>
      <c r="E699" s="151" t="str">
        <f aca="false">IF($A699="","",IFERROR(VLOOKUP($A699,Skills!$A:$C,2,FALSE())&amp;" "&amp;VLOOKUP($A699,Skills!$A:$C,3,FALSE()),"Haxil Dellhaven"))</f>
        <v/>
      </c>
      <c r="F699" s="43" t="str">
        <f aca="false">IF($A699="","",IFERROR(IF(VLOOKUP($A699,Skills!$A:$D,4,FALSE())="","",VLOOKUP($A699,Skills!$A:$D,4,FALSE())),"Lisbonne"))</f>
        <v/>
      </c>
      <c r="G699" s="47"/>
      <c r="H699" s="47" t="str">
        <f aca="false">IF(G699="","",WORKDAY(G699-1,D699+IF(J699="",0,J699)))</f>
        <v/>
      </c>
      <c r="I699" s="134"/>
      <c r="J699" s="135"/>
      <c r="K699" s="43" t="str">
        <f aca="true">IF(G699="","",MIN(D699,MAX(0,NETWORKDAYS(G699,TODAY())-IF(J699="",0,J699))))</f>
        <v/>
      </c>
      <c r="L699" s="43" t="str">
        <f aca="true">IF(G699="","",MAX(0,D699-(NETWORKDAYS(G699,TODAY())-IF(J699="",0,J699))))</f>
        <v/>
      </c>
      <c r="M699" s="173"/>
      <c r="N699" s="44" t="str">
        <f aca="true">IFERROR(IF(OR(K699="",K699&lt;=0),"",IF(TODAY()&gt;H699,1,IF(K699-1=0,0,INDEX(OBJECTIVES!$O$2:$Q$12,MATCH(K699-1,OBJECTIVES!$N$2:$N$12,0),IF($C699="QUILL FORMATION Valmont",2,1))))),"")</f>
        <v/>
      </c>
      <c r="O699" s="44" t="str">
        <f aca="false">IF(OR(N699="",M699=""),"",M699-N699)</f>
        <v/>
      </c>
      <c r="P699" s="155" t="str">
        <f aca="false">IF($Q699&lt;&gt;"",$Q699,IF(O699="","",IF(O699&lt;=-0.12,"P1",IF(O699&lt;=-0.06,"P2","P3"))))</f>
        <v/>
      </c>
      <c r="Q699" s="136"/>
      <c r="R699" s="155"/>
      <c r="S699" s="155"/>
      <c r="T699" s="134"/>
      <c r="U699" s="134"/>
      <c r="V699" s="134"/>
      <c r="W699" s="134"/>
      <c r="X699" s="134"/>
      <c r="Y699" s="134"/>
      <c r="Z699" s="134" t="str">
        <f aca="false">IF(R699="Terminé",IF(AND(G699&lt;&gt;"",I699&lt;&gt;""),NETWORKDAYS(G699,I699),D699),"")</f>
        <v/>
      </c>
      <c r="AA699" s="134" t="str">
        <f aca="false">IF($A699="","",IF(COUNTIF(Skills!$A:$A,$A699)=0,"⚠ ID absent du roster",""))</f>
        <v/>
      </c>
      <c r="AB699" s="158"/>
    </row>
    <row r="700" customFormat="false" ht="15" hidden="true" customHeight="false" outlineLevel="0" collapsed="false">
      <c r="A700" s="172"/>
      <c r="B700" s="172"/>
      <c r="C700" s="161" t="str">
        <f aca="false">IF(LEFT(B700,2)="OS","QUILL FORMATION Valmont","QUILL FORMATION Ulman")</f>
        <v>QUILL FORMATION Ulman</v>
      </c>
      <c r="D700" s="43" t="str">
        <f aca="false">IF($A700="","",IF($C700="QUILL FORMATION Valmont",10,11))</f>
        <v/>
      </c>
      <c r="E700" s="151" t="str">
        <f aca="false">IF($A700="","",IFERROR(VLOOKUP($A700,Skills!$A:$C,2,FALSE())&amp;" "&amp;VLOOKUP($A700,Skills!$A:$C,3,FALSE()),"Haxil Dellhaven"))</f>
        <v/>
      </c>
      <c r="F700" s="43" t="str">
        <f aca="false">IF($A700="","",IFERROR(IF(VLOOKUP($A700,Skills!$A:$D,4,FALSE())="","",VLOOKUP($A700,Skills!$A:$D,4,FALSE())),"Lisbonne"))</f>
        <v/>
      </c>
      <c r="G700" s="47"/>
      <c r="H700" s="47" t="str">
        <f aca="false">IF(G700="","",WORKDAY(G700-1,D700+IF(J700="",0,J700)))</f>
        <v/>
      </c>
      <c r="I700" s="134"/>
      <c r="J700" s="135"/>
      <c r="K700" s="43" t="str">
        <f aca="true">IF(G700="","",MIN(D700,MAX(0,NETWORKDAYS(G700,TODAY())-IF(J700="",0,J700))))</f>
        <v/>
      </c>
      <c r="L700" s="43" t="str">
        <f aca="true">IF(G700="","",MAX(0,D700-(NETWORKDAYS(G700,TODAY())-IF(J700="",0,J700))))</f>
        <v/>
      </c>
      <c r="M700" s="173"/>
      <c r="N700" s="44" t="str">
        <f aca="true">IFERROR(IF(OR(K700="",K700&lt;=0),"",IF(TODAY()&gt;H700,1,IF(K700-1=0,0,INDEX(OBJECTIVES!$O$2:$Q$12,MATCH(K700-1,OBJECTIVES!$N$2:$N$12,0),IF($C700="QUILL FORMATION Valmont",2,1))))),"")</f>
        <v/>
      </c>
      <c r="O700" s="44" t="str">
        <f aca="false">IF(OR(N700="",M700=""),"",M700-N700)</f>
        <v/>
      </c>
      <c r="P700" s="155" t="str">
        <f aca="false">IF($Q700&lt;&gt;"",$Q700,IF(O700="","",IF(O700&lt;=-0.12,"P1",IF(O700&lt;=-0.06,"P2","P3"))))</f>
        <v/>
      </c>
      <c r="Q700" s="136"/>
      <c r="R700" s="155"/>
      <c r="S700" s="155"/>
      <c r="T700" s="134"/>
      <c r="U700" s="134"/>
      <c r="V700" s="134"/>
      <c r="W700" s="134"/>
      <c r="X700" s="134"/>
      <c r="Y700" s="134"/>
      <c r="Z700" s="134" t="str">
        <f aca="false">IF(R700="Terminé",IF(AND(G700&lt;&gt;"",I700&lt;&gt;""),NETWORKDAYS(G700,I700),D700),"")</f>
        <v/>
      </c>
      <c r="AA700" s="134" t="str">
        <f aca="false">IF($A700="","",IF(COUNTIF(Skills!$A:$A,$A700)=0,"⚠ ID absent du roster",""))</f>
        <v/>
      </c>
      <c r="AB700" s="158"/>
    </row>
    <row r="701" customFormat="false" ht="15" hidden="true" customHeight="false" outlineLevel="0" collapsed="false">
      <c r="A701" s="172"/>
      <c r="B701" s="172"/>
      <c r="C701" s="161" t="str">
        <f aca="false">IF(LEFT(B701,2)="OS","QUILL FORMATION Valmont","QUILL FORMATION Ulman")</f>
        <v>QUILL FORMATION Ulman</v>
      </c>
      <c r="D701" s="43" t="str">
        <f aca="false">IF($A701="","",IF($C701="QUILL FORMATION Valmont",10,11))</f>
        <v/>
      </c>
      <c r="E701" s="151" t="str">
        <f aca="false">IF($A701="","",IFERROR(VLOOKUP($A701,Skills!$A:$C,2,FALSE())&amp;" "&amp;VLOOKUP($A701,Skills!$A:$C,3,FALSE()),"Haxil Dellhaven"))</f>
        <v/>
      </c>
      <c r="F701" s="43" t="str">
        <f aca="false">IF($A701="","",IFERROR(IF(VLOOKUP($A701,Skills!$A:$D,4,FALSE())="","",VLOOKUP($A701,Skills!$A:$D,4,FALSE())),"Lisbonne"))</f>
        <v/>
      </c>
      <c r="G701" s="47"/>
      <c r="H701" s="47" t="str">
        <f aca="false">IF(G701="","",WORKDAY(G701-1,D701+IF(J701="",0,J701)))</f>
        <v/>
      </c>
      <c r="I701" s="134"/>
      <c r="J701" s="135"/>
      <c r="K701" s="43" t="str">
        <f aca="true">IF(G701="","",MIN(D701,MAX(0,NETWORKDAYS(G701,TODAY())-IF(J701="",0,J701))))</f>
        <v/>
      </c>
      <c r="L701" s="43" t="str">
        <f aca="true">IF(G701="","",MAX(0,D701-(NETWORKDAYS(G701,TODAY())-IF(J701="",0,J701))))</f>
        <v/>
      </c>
      <c r="M701" s="173"/>
      <c r="N701" s="44" t="str">
        <f aca="true">IFERROR(IF(OR(K701="",K701&lt;=0),"",IF(TODAY()&gt;H701,1,IF(K701-1=0,0,INDEX(OBJECTIVES!$O$2:$Q$12,MATCH(K701-1,OBJECTIVES!$N$2:$N$12,0),IF($C701="QUILL FORMATION Valmont",2,1))))),"")</f>
        <v/>
      </c>
      <c r="O701" s="44" t="str">
        <f aca="false">IF(OR(N701="",M701=""),"",M701-N701)</f>
        <v/>
      </c>
      <c r="P701" s="155" t="str">
        <f aca="false">IF($Q701&lt;&gt;"",$Q701,IF(O701="","",IF(O701&lt;=-0.12,"P1",IF(O701&lt;=-0.06,"P2","P3"))))</f>
        <v/>
      </c>
      <c r="Q701" s="136"/>
      <c r="R701" s="155"/>
      <c r="S701" s="155"/>
      <c r="T701" s="134"/>
      <c r="U701" s="134"/>
      <c r="V701" s="134"/>
      <c r="W701" s="134"/>
      <c r="X701" s="134"/>
      <c r="Y701" s="134"/>
      <c r="Z701" s="134" t="str">
        <f aca="false">IF(R701="Terminé",IF(AND(G701&lt;&gt;"",I701&lt;&gt;""),NETWORKDAYS(G701,I701),D701),"")</f>
        <v/>
      </c>
      <c r="AA701" s="134" t="str">
        <f aca="false">IF($A701="","",IF(COUNTIF(Skills!$A:$A,$A701)=0,"⚠ ID absent du roster",""))</f>
        <v/>
      </c>
      <c r="AB701" s="158"/>
    </row>
    <row r="702" customFormat="false" ht="15" hidden="true" customHeight="false" outlineLevel="0" collapsed="false">
      <c r="A702" s="172"/>
      <c r="B702" s="172"/>
      <c r="C702" s="161" t="str">
        <f aca="false">IF(LEFT(B702,2)="OS","QUILL FORMATION Valmont","QUILL FORMATION Ulman")</f>
        <v>QUILL FORMATION Ulman</v>
      </c>
      <c r="D702" s="43" t="str">
        <f aca="false">IF($A702="","",IF($C702="QUILL FORMATION Valmont",10,11))</f>
        <v/>
      </c>
      <c r="E702" s="151" t="str">
        <f aca="false">IF($A702="","",IFERROR(VLOOKUP($A702,Skills!$A:$C,2,FALSE())&amp;" "&amp;VLOOKUP($A702,Skills!$A:$C,3,FALSE()),"Haxil Dellhaven"))</f>
        <v/>
      </c>
      <c r="F702" s="43" t="str">
        <f aca="false">IF($A702="","",IFERROR(IF(VLOOKUP($A702,Skills!$A:$D,4,FALSE())="","",VLOOKUP($A702,Skills!$A:$D,4,FALSE())),"Lisbonne"))</f>
        <v/>
      </c>
      <c r="G702" s="47"/>
      <c r="H702" s="47" t="str">
        <f aca="false">IF(G702="","",WORKDAY(G702-1,D702+IF(J702="",0,J702)))</f>
        <v/>
      </c>
      <c r="I702" s="134"/>
      <c r="J702" s="135"/>
      <c r="K702" s="43" t="str">
        <f aca="true">IF(G702="","",MIN(D702,MAX(0,NETWORKDAYS(G702,TODAY())-IF(J702="",0,J702))))</f>
        <v/>
      </c>
      <c r="L702" s="43" t="str">
        <f aca="true">IF(G702="","",MAX(0,D702-(NETWORKDAYS(G702,TODAY())-IF(J702="",0,J702))))</f>
        <v/>
      </c>
      <c r="M702" s="173"/>
      <c r="N702" s="44" t="str">
        <f aca="true">IFERROR(IF(OR(K702="",K702&lt;=0),"",IF(TODAY()&gt;H702,1,IF(K702-1=0,0,INDEX(OBJECTIVES!$O$2:$Q$12,MATCH(K702-1,OBJECTIVES!$N$2:$N$12,0),IF($C702="QUILL FORMATION Valmont",2,1))))),"")</f>
        <v/>
      </c>
      <c r="O702" s="44" t="str">
        <f aca="false">IF(OR(N702="",M702=""),"",M702-N702)</f>
        <v/>
      </c>
      <c r="P702" s="155" t="str">
        <f aca="false">IF($Q702&lt;&gt;"",$Q702,IF(O702="","",IF(O702&lt;=-0.12,"P1",IF(O702&lt;=-0.06,"P2","P3"))))</f>
        <v/>
      </c>
      <c r="Q702" s="136"/>
      <c r="R702" s="155"/>
      <c r="S702" s="155"/>
      <c r="T702" s="134"/>
      <c r="U702" s="134"/>
      <c r="V702" s="134"/>
      <c r="W702" s="134"/>
      <c r="X702" s="134"/>
      <c r="Y702" s="134"/>
      <c r="Z702" s="134" t="str">
        <f aca="false">IF(R702="Terminé",IF(AND(G702&lt;&gt;"",I702&lt;&gt;""),NETWORKDAYS(G702,I702),D702),"")</f>
        <v/>
      </c>
      <c r="AA702" s="134" t="str">
        <f aca="false">IF($A702="","",IF(COUNTIF(Skills!$A:$A,$A702)=0,"⚠ ID absent du roster",""))</f>
        <v/>
      </c>
      <c r="AB702" s="158"/>
    </row>
    <row r="703" customFormat="false" ht="15" hidden="true" customHeight="false" outlineLevel="0" collapsed="false">
      <c r="A703" s="172"/>
      <c r="B703" s="172"/>
      <c r="C703" s="161" t="str">
        <f aca="false">IF(LEFT(B703,2)="OS","QUILL FORMATION Valmont","QUILL FORMATION Ulman")</f>
        <v>QUILL FORMATION Ulman</v>
      </c>
      <c r="D703" s="43" t="str">
        <f aca="false">IF($A703="","",IF($C703="QUILL FORMATION Valmont",10,11))</f>
        <v/>
      </c>
      <c r="E703" s="151" t="str">
        <f aca="false">IF($A703="","",IFERROR(VLOOKUP($A703,Skills!$A:$C,2,FALSE())&amp;" "&amp;VLOOKUP($A703,Skills!$A:$C,3,FALSE()),"Haxil Dellhaven"))</f>
        <v/>
      </c>
      <c r="F703" s="43" t="str">
        <f aca="false">IF($A703="","",IFERROR(IF(VLOOKUP($A703,Skills!$A:$D,4,FALSE())="","",VLOOKUP($A703,Skills!$A:$D,4,FALSE())),"Lisbonne"))</f>
        <v/>
      </c>
      <c r="G703" s="47"/>
      <c r="H703" s="47" t="str">
        <f aca="false">IF(G703="","",WORKDAY(G703-1,D703+IF(J703="",0,J703)))</f>
        <v/>
      </c>
      <c r="I703" s="134"/>
      <c r="J703" s="135"/>
      <c r="K703" s="43" t="str">
        <f aca="true">IF(G703="","",MIN(D703,MAX(0,NETWORKDAYS(G703,TODAY())-IF(J703="",0,J703))))</f>
        <v/>
      </c>
      <c r="L703" s="43" t="str">
        <f aca="true">IF(G703="","",MAX(0,D703-(NETWORKDAYS(G703,TODAY())-IF(J703="",0,J703))))</f>
        <v/>
      </c>
      <c r="M703" s="173"/>
      <c r="N703" s="44" t="str">
        <f aca="true">IFERROR(IF(OR(K703="",K703&lt;=0),"",IF(TODAY()&gt;H703,1,IF(K703-1=0,0,INDEX(OBJECTIVES!$O$2:$Q$12,MATCH(K703-1,OBJECTIVES!$N$2:$N$12,0),IF($C703="QUILL FORMATION Valmont",2,1))))),"")</f>
        <v/>
      </c>
      <c r="O703" s="44" t="str">
        <f aca="false">IF(OR(N703="",M703=""),"",M703-N703)</f>
        <v/>
      </c>
      <c r="P703" s="155" t="str">
        <f aca="false">IF($Q703&lt;&gt;"",$Q703,IF(O703="","",IF(O703&lt;=-0.12,"P1",IF(O703&lt;=-0.06,"P2","P3"))))</f>
        <v/>
      </c>
      <c r="Q703" s="136"/>
      <c r="R703" s="155"/>
      <c r="S703" s="155"/>
      <c r="T703" s="134"/>
      <c r="U703" s="134"/>
      <c r="V703" s="134"/>
      <c r="W703" s="134"/>
      <c r="X703" s="134"/>
      <c r="Y703" s="134"/>
      <c r="Z703" s="134" t="str">
        <f aca="false">IF(R703="Terminé",IF(AND(G703&lt;&gt;"",I703&lt;&gt;""),NETWORKDAYS(G703,I703),D703),"")</f>
        <v/>
      </c>
      <c r="AA703" s="134" t="str">
        <f aca="false">IF($A703="","",IF(COUNTIF(Skills!$A:$A,$A703)=0,"⚠ ID absent du roster",""))</f>
        <v/>
      </c>
      <c r="AB703" s="158"/>
    </row>
    <row r="704" customFormat="false" ht="15" hidden="true" customHeight="false" outlineLevel="0" collapsed="false">
      <c r="A704" s="172"/>
      <c r="B704" s="172"/>
      <c r="C704" s="161" t="str">
        <f aca="false">IF(LEFT(B704,2)="OS","QUILL FORMATION Valmont","QUILL FORMATION Ulman")</f>
        <v>QUILL FORMATION Ulman</v>
      </c>
      <c r="D704" s="43" t="str">
        <f aca="false">IF($A704="","",IF($C704="QUILL FORMATION Valmont",10,11))</f>
        <v/>
      </c>
      <c r="E704" s="151" t="str">
        <f aca="false">IF($A704="","",IFERROR(VLOOKUP($A704,Skills!$A:$C,2,FALSE())&amp;" "&amp;VLOOKUP($A704,Skills!$A:$C,3,FALSE()),"Haxil Dellhaven"))</f>
        <v/>
      </c>
      <c r="F704" s="43" t="str">
        <f aca="false">IF($A704="","",IFERROR(IF(VLOOKUP($A704,Skills!$A:$D,4,FALSE())="","",VLOOKUP($A704,Skills!$A:$D,4,FALSE())),"Lisbonne"))</f>
        <v/>
      </c>
      <c r="G704" s="47"/>
      <c r="H704" s="47" t="str">
        <f aca="false">IF(G704="","",WORKDAY(G704-1,D704+IF(J704="",0,J704)))</f>
        <v/>
      </c>
      <c r="I704" s="134"/>
      <c r="J704" s="135"/>
      <c r="K704" s="43" t="str">
        <f aca="true">IF(G704="","",MIN(D704,MAX(0,NETWORKDAYS(G704,TODAY())-IF(J704="",0,J704))))</f>
        <v/>
      </c>
      <c r="L704" s="43" t="str">
        <f aca="true">IF(G704="","",MAX(0,D704-(NETWORKDAYS(G704,TODAY())-IF(J704="",0,J704))))</f>
        <v/>
      </c>
      <c r="M704" s="173"/>
      <c r="N704" s="44" t="str">
        <f aca="true">IFERROR(IF(OR(K704="",K704&lt;=0),"",IF(TODAY()&gt;H704,1,IF(K704-1=0,0,INDEX(OBJECTIVES!$O$2:$Q$12,MATCH(K704-1,OBJECTIVES!$N$2:$N$12,0),IF($C704="QUILL FORMATION Valmont",2,1))))),"")</f>
        <v/>
      </c>
      <c r="O704" s="44" t="str">
        <f aca="false">IF(OR(N704="",M704=""),"",M704-N704)</f>
        <v/>
      </c>
      <c r="P704" s="155" t="str">
        <f aca="false">IF($Q704&lt;&gt;"",$Q704,IF(O704="","",IF(O704&lt;=-0.12,"P1",IF(O704&lt;=-0.06,"P2","P3"))))</f>
        <v/>
      </c>
      <c r="Q704" s="136"/>
      <c r="R704" s="155"/>
      <c r="S704" s="155"/>
      <c r="T704" s="134"/>
      <c r="U704" s="134"/>
      <c r="V704" s="134"/>
      <c r="W704" s="134"/>
      <c r="X704" s="134"/>
      <c r="Y704" s="134"/>
      <c r="Z704" s="134" t="str">
        <f aca="false">IF(R704="Terminé",IF(AND(G704&lt;&gt;"",I704&lt;&gt;""),NETWORKDAYS(G704,I704),D704),"")</f>
        <v/>
      </c>
      <c r="AA704" s="134" t="str">
        <f aca="false">IF($A704="","",IF(COUNTIF(Skills!$A:$A,$A704)=0,"⚠ ID absent du roster",""))</f>
        <v/>
      </c>
      <c r="AB704" s="158"/>
    </row>
    <row r="705" customFormat="false" ht="15" hidden="true" customHeight="false" outlineLevel="0" collapsed="false">
      <c r="A705" s="172"/>
      <c r="B705" s="172"/>
      <c r="C705" s="161" t="str">
        <f aca="false">IF(LEFT(B705,2)="OS","QUILL FORMATION Valmont","QUILL FORMATION Ulman")</f>
        <v>QUILL FORMATION Ulman</v>
      </c>
      <c r="D705" s="43" t="str">
        <f aca="false">IF($A705="","",IF($C705="QUILL FORMATION Valmont",10,11))</f>
        <v/>
      </c>
      <c r="E705" s="151" t="str">
        <f aca="false">IF($A705="","",IFERROR(VLOOKUP($A705,Skills!$A:$C,2,FALSE())&amp;" "&amp;VLOOKUP($A705,Skills!$A:$C,3,FALSE()),"Haxil Dellhaven"))</f>
        <v/>
      </c>
      <c r="F705" s="43" t="str">
        <f aca="false">IF($A705="","",IFERROR(IF(VLOOKUP($A705,Skills!$A:$D,4,FALSE())="","",VLOOKUP($A705,Skills!$A:$D,4,FALSE())),"Lisbonne"))</f>
        <v/>
      </c>
      <c r="G705" s="47"/>
      <c r="H705" s="47" t="str">
        <f aca="false">IF(G705="","",WORKDAY(G705-1,D705+IF(J705="",0,J705)))</f>
        <v/>
      </c>
      <c r="I705" s="134"/>
      <c r="J705" s="135"/>
      <c r="K705" s="43" t="str">
        <f aca="true">IF(G705="","",MIN(D705,MAX(0,NETWORKDAYS(G705,TODAY())-IF(J705="",0,J705))))</f>
        <v/>
      </c>
      <c r="L705" s="43" t="str">
        <f aca="true">IF(G705="","",MAX(0,D705-(NETWORKDAYS(G705,TODAY())-IF(J705="",0,J705))))</f>
        <v/>
      </c>
      <c r="M705" s="173"/>
      <c r="N705" s="44" t="str">
        <f aca="true">IFERROR(IF(OR(K705="",K705&lt;=0),"",IF(TODAY()&gt;H705,1,IF(K705-1=0,0,INDEX(OBJECTIVES!$O$2:$Q$12,MATCH(K705-1,OBJECTIVES!$N$2:$N$12,0),IF($C705="QUILL FORMATION Valmont",2,1))))),"")</f>
        <v/>
      </c>
      <c r="O705" s="44" t="str">
        <f aca="false">IF(OR(N705="",M705=""),"",M705-N705)</f>
        <v/>
      </c>
      <c r="P705" s="155" t="str">
        <f aca="false">IF($Q705&lt;&gt;"",$Q705,IF(O705="","",IF(O705&lt;=-0.12,"P1",IF(O705&lt;=-0.06,"P2","P3"))))</f>
        <v/>
      </c>
      <c r="Q705" s="136"/>
      <c r="R705" s="155"/>
      <c r="S705" s="155"/>
      <c r="T705" s="134"/>
      <c r="U705" s="134"/>
      <c r="V705" s="134"/>
      <c r="W705" s="134"/>
      <c r="X705" s="134"/>
      <c r="Y705" s="134"/>
      <c r="Z705" s="134" t="str">
        <f aca="false">IF(R705="Terminé",IF(AND(G705&lt;&gt;"",I705&lt;&gt;""),NETWORKDAYS(G705,I705),D705),"")</f>
        <v/>
      </c>
      <c r="AA705" s="134" t="str">
        <f aca="false">IF($A705="","",IF(COUNTIF(Skills!$A:$A,$A705)=0,"⚠ ID absent du roster",""))</f>
        <v/>
      </c>
      <c r="AB705" s="158"/>
    </row>
    <row r="706" customFormat="false" ht="15" hidden="true" customHeight="false" outlineLevel="0" collapsed="false">
      <c r="A706" s="172"/>
      <c r="B706" s="172"/>
      <c r="C706" s="161" t="str">
        <f aca="false">IF(LEFT(B706,2)="OS","QUILL FORMATION Valmont","QUILL FORMATION Ulman")</f>
        <v>QUILL FORMATION Ulman</v>
      </c>
      <c r="D706" s="43" t="str">
        <f aca="false">IF($A706="","",IF($C706="QUILL FORMATION Valmont",10,11))</f>
        <v/>
      </c>
      <c r="E706" s="151" t="str">
        <f aca="false">IF($A706="","",IFERROR(VLOOKUP($A706,Skills!$A:$C,2,FALSE())&amp;" "&amp;VLOOKUP($A706,Skills!$A:$C,3,FALSE()),"Haxil Dellhaven"))</f>
        <v/>
      </c>
      <c r="F706" s="43" t="str">
        <f aca="false">IF($A706="","",IFERROR(IF(VLOOKUP($A706,Skills!$A:$D,4,FALSE())="","",VLOOKUP($A706,Skills!$A:$D,4,FALSE())),"Lisbonne"))</f>
        <v/>
      </c>
      <c r="G706" s="47"/>
      <c r="H706" s="47" t="str">
        <f aca="false">IF(G706="","",WORKDAY(G706-1,D706+IF(J706="",0,J706)))</f>
        <v/>
      </c>
      <c r="I706" s="134"/>
      <c r="J706" s="135"/>
      <c r="K706" s="43" t="str">
        <f aca="true">IF(G706="","",MIN(D706,MAX(0,NETWORKDAYS(G706,TODAY())-IF(J706="",0,J706))))</f>
        <v/>
      </c>
      <c r="L706" s="43" t="str">
        <f aca="true">IF(G706="","",MAX(0,D706-(NETWORKDAYS(G706,TODAY())-IF(J706="",0,J706))))</f>
        <v/>
      </c>
      <c r="M706" s="173"/>
      <c r="N706" s="44" t="str">
        <f aca="true">IFERROR(IF(OR(K706="",K706&lt;=0),"",IF(TODAY()&gt;H706,1,IF(K706-1=0,0,INDEX(OBJECTIVES!$O$2:$Q$12,MATCH(K706-1,OBJECTIVES!$N$2:$N$12,0),IF($C706="QUILL FORMATION Valmont",2,1))))),"")</f>
        <v/>
      </c>
      <c r="O706" s="44" t="str">
        <f aca="false">IF(OR(N706="",M706=""),"",M706-N706)</f>
        <v/>
      </c>
      <c r="P706" s="155" t="str">
        <f aca="false">IF($Q706&lt;&gt;"",$Q706,IF(O706="","",IF(O706&lt;=-0.12,"P1",IF(O706&lt;=-0.06,"P2","P3"))))</f>
        <v/>
      </c>
      <c r="Q706" s="136"/>
      <c r="R706" s="155"/>
      <c r="S706" s="155"/>
      <c r="T706" s="134"/>
      <c r="U706" s="134"/>
      <c r="V706" s="134"/>
      <c r="W706" s="134"/>
      <c r="X706" s="134"/>
      <c r="Y706" s="134"/>
      <c r="Z706" s="134" t="str">
        <f aca="false">IF(R706="Terminé",IF(AND(G706&lt;&gt;"",I706&lt;&gt;""),NETWORKDAYS(G706,I706),D706),"")</f>
        <v/>
      </c>
      <c r="AA706" s="134" t="str">
        <f aca="false">IF($A706="","",IF(COUNTIF(Skills!$A:$A,$A706)=0,"⚠ ID absent du roster",""))</f>
        <v/>
      </c>
      <c r="AB706" s="158"/>
    </row>
    <row r="707" customFormat="false" ht="15" hidden="true" customHeight="false" outlineLevel="0" collapsed="false">
      <c r="A707" s="172"/>
      <c r="B707" s="172"/>
      <c r="C707" s="161" t="str">
        <f aca="false">IF(LEFT(B707,2)="OS","QUILL FORMATION Valmont","QUILL FORMATION Ulman")</f>
        <v>QUILL FORMATION Ulman</v>
      </c>
      <c r="D707" s="43" t="str">
        <f aca="false">IF($A707="","",IF($C707="QUILL FORMATION Valmont",10,11))</f>
        <v/>
      </c>
      <c r="E707" s="151" t="str">
        <f aca="false">IF($A707="","",IFERROR(VLOOKUP($A707,Skills!$A:$C,2,FALSE())&amp;" "&amp;VLOOKUP($A707,Skills!$A:$C,3,FALSE()),"Haxil Dellhaven"))</f>
        <v/>
      </c>
      <c r="F707" s="43" t="str">
        <f aca="false">IF($A707="","",IFERROR(IF(VLOOKUP($A707,Skills!$A:$D,4,FALSE())="","",VLOOKUP($A707,Skills!$A:$D,4,FALSE())),"Lisbonne"))</f>
        <v/>
      </c>
      <c r="G707" s="47"/>
      <c r="H707" s="47" t="str">
        <f aca="false">IF(G707="","",WORKDAY(G707-1,D707+IF(J707="",0,J707)))</f>
        <v/>
      </c>
      <c r="I707" s="134"/>
      <c r="J707" s="135"/>
      <c r="K707" s="43" t="str">
        <f aca="true">IF(G707="","",MIN(D707,MAX(0,NETWORKDAYS(G707,TODAY())-IF(J707="",0,J707))))</f>
        <v/>
      </c>
      <c r="L707" s="43" t="str">
        <f aca="true">IF(G707="","",MAX(0,D707-(NETWORKDAYS(G707,TODAY())-IF(J707="",0,J707))))</f>
        <v/>
      </c>
      <c r="M707" s="173"/>
      <c r="N707" s="44" t="str">
        <f aca="true">IFERROR(IF(OR(K707="",K707&lt;=0),"",IF(TODAY()&gt;H707,1,IF(K707-1=0,0,INDEX(OBJECTIVES!$O$2:$Q$12,MATCH(K707-1,OBJECTIVES!$N$2:$N$12,0),IF($C707="QUILL FORMATION Valmont",2,1))))),"")</f>
        <v/>
      </c>
      <c r="O707" s="44" t="str">
        <f aca="false">IF(OR(N707="",M707=""),"",M707-N707)</f>
        <v/>
      </c>
      <c r="P707" s="155" t="str">
        <f aca="false">IF($Q707&lt;&gt;"",$Q707,IF(O707="","",IF(O707&lt;=-0.12,"P1",IF(O707&lt;=-0.06,"P2","P3"))))</f>
        <v/>
      </c>
      <c r="Q707" s="136"/>
      <c r="R707" s="155"/>
      <c r="S707" s="155"/>
      <c r="T707" s="134"/>
      <c r="U707" s="134"/>
      <c r="V707" s="134"/>
      <c r="W707" s="134"/>
      <c r="X707" s="134"/>
      <c r="Y707" s="134"/>
      <c r="Z707" s="134" t="str">
        <f aca="false">IF(R707="Terminé",IF(AND(G707&lt;&gt;"",I707&lt;&gt;""),NETWORKDAYS(G707,I707),D707),"")</f>
        <v/>
      </c>
      <c r="AA707" s="134" t="str">
        <f aca="false">IF($A707="","",IF(COUNTIF(Skills!$A:$A,$A707)=0,"⚠ ID absent du roster",""))</f>
        <v/>
      </c>
      <c r="AB707" s="158"/>
    </row>
    <row r="708" customFormat="false" ht="15" hidden="true" customHeight="false" outlineLevel="0" collapsed="false">
      <c r="A708" s="172"/>
      <c r="B708" s="172"/>
      <c r="C708" s="161" t="str">
        <f aca="false">IF(LEFT(B708,2)="OS","QUILL FORMATION Valmont","QUILL FORMATION Ulman")</f>
        <v>QUILL FORMATION Ulman</v>
      </c>
      <c r="D708" s="43" t="str">
        <f aca="false">IF($A708="","",IF($C708="QUILL FORMATION Valmont",10,11))</f>
        <v/>
      </c>
      <c r="E708" s="151" t="str">
        <f aca="false">IF($A708="","",IFERROR(VLOOKUP($A708,Skills!$A:$C,2,FALSE())&amp;" "&amp;VLOOKUP($A708,Skills!$A:$C,3,FALSE()),"Haxil Dellhaven"))</f>
        <v/>
      </c>
      <c r="F708" s="43" t="str">
        <f aca="false">IF($A708="","",IFERROR(IF(VLOOKUP($A708,Skills!$A:$D,4,FALSE())="","",VLOOKUP($A708,Skills!$A:$D,4,FALSE())),"Lisbonne"))</f>
        <v/>
      </c>
      <c r="G708" s="47"/>
      <c r="H708" s="47" t="str">
        <f aca="false">IF(G708="","",WORKDAY(G708-1,D708+IF(J708="",0,J708)))</f>
        <v/>
      </c>
      <c r="I708" s="134"/>
      <c r="J708" s="135"/>
      <c r="K708" s="43" t="str">
        <f aca="true">IF(G708="","",MIN(D708,MAX(0,NETWORKDAYS(G708,TODAY())-IF(J708="",0,J708))))</f>
        <v/>
      </c>
      <c r="L708" s="43" t="str">
        <f aca="true">IF(G708="","",MAX(0,D708-(NETWORKDAYS(G708,TODAY())-IF(J708="",0,J708))))</f>
        <v/>
      </c>
      <c r="M708" s="173"/>
      <c r="N708" s="44" t="str">
        <f aca="true">IFERROR(IF(OR(K708="",K708&lt;=0),"",IF(TODAY()&gt;H708,1,IF(K708-1=0,0,INDEX(OBJECTIVES!$O$2:$Q$12,MATCH(K708-1,OBJECTIVES!$N$2:$N$12,0),IF($C708="QUILL FORMATION Valmont",2,1))))),"")</f>
        <v/>
      </c>
      <c r="O708" s="44" t="str">
        <f aca="false">IF(OR(N708="",M708=""),"",M708-N708)</f>
        <v/>
      </c>
      <c r="P708" s="155" t="str">
        <f aca="false">IF($Q708&lt;&gt;"",$Q708,IF(O708="","",IF(O708&lt;=-0.12,"P1",IF(O708&lt;=-0.06,"P2","P3"))))</f>
        <v/>
      </c>
      <c r="Q708" s="136"/>
      <c r="R708" s="155"/>
      <c r="S708" s="155"/>
      <c r="T708" s="134"/>
      <c r="U708" s="134"/>
      <c r="V708" s="134"/>
      <c r="W708" s="134"/>
      <c r="X708" s="134"/>
      <c r="Y708" s="134"/>
      <c r="Z708" s="134" t="str">
        <f aca="false">IF(R708="Terminé",IF(AND(G708&lt;&gt;"",I708&lt;&gt;""),NETWORKDAYS(G708,I708),D708),"")</f>
        <v/>
      </c>
      <c r="AA708" s="134" t="str">
        <f aca="false">IF($A708="","",IF(COUNTIF(Skills!$A:$A,$A708)=0,"⚠ ID absent du roster",""))</f>
        <v/>
      </c>
      <c r="AB708" s="158"/>
    </row>
    <row r="709" customFormat="false" ht="15" hidden="true" customHeight="false" outlineLevel="0" collapsed="false">
      <c r="A709" s="172"/>
      <c r="B709" s="172"/>
      <c r="C709" s="161" t="str">
        <f aca="false">IF(LEFT(B709,2)="OS","QUILL FORMATION Valmont","QUILL FORMATION Ulman")</f>
        <v>QUILL FORMATION Ulman</v>
      </c>
      <c r="D709" s="43" t="str">
        <f aca="false">IF($A709="","",IF($C709="QUILL FORMATION Valmont",10,11))</f>
        <v/>
      </c>
      <c r="E709" s="151" t="str">
        <f aca="false">IF($A709="","",IFERROR(VLOOKUP($A709,Skills!$A:$C,2,FALSE())&amp;" "&amp;VLOOKUP($A709,Skills!$A:$C,3,FALSE()),"Haxil Dellhaven"))</f>
        <v/>
      </c>
      <c r="F709" s="43" t="str">
        <f aca="false">IF($A709="","",IFERROR(IF(VLOOKUP($A709,Skills!$A:$D,4,FALSE())="","",VLOOKUP($A709,Skills!$A:$D,4,FALSE())),"Lisbonne"))</f>
        <v/>
      </c>
      <c r="G709" s="47"/>
      <c r="H709" s="47" t="str">
        <f aca="false">IF(G709="","",WORKDAY(G709-1,D709+IF(J709="",0,J709)))</f>
        <v/>
      </c>
      <c r="I709" s="134"/>
      <c r="J709" s="135"/>
      <c r="K709" s="43" t="str">
        <f aca="true">IF(G709="","",MIN(D709,MAX(0,NETWORKDAYS(G709,TODAY())-IF(J709="",0,J709))))</f>
        <v/>
      </c>
      <c r="L709" s="43" t="str">
        <f aca="true">IF(G709="","",MAX(0,D709-(NETWORKDAYS(G709,TODAY())-IF(J709="",0,J709))))</f>
        <v/>
      </c>
      <c r="M709" s="173"/>
      <c r="N709" s="44" t="str">
        <f aca="true">IFERROR(IF(OR(K709="",K709&lt;=0),"",IF(TODAY()&gt;H709,1,IF(K709-1=0,0,INDEX(OBJECTIVES!$O$2:$Q$12,MATCH(K709-1,OBJECTIVES!$N$2:$N$12,0),IF($C709="QUILL FORMATION Valmont",2,1))))),"")</f>
        <v/>
      </c>
      <c r="O709" s="44" t="str">
        <f aca="false">IF(OR(N709="",M709=""),"",M709-N709)</f>
        <v/>
      </c>
      <c r="P709" s="155" t="str">
        <f aca="false">IF($Q709&lt;&gt;"",$Q709,IF(O709="","",IF(O709&lt;=-0.12,"P1",IF(O709&lt;=-0.06,"P2","P3"))))</f>
        <v/>
      </c>
      <c r="Q709" s="136"/>
      <c r="R709" s="155"/>
      <c r="S709" s="155"/>
      <c r="T709" s="134"/>
      <c r="U709" s="134"/>
      <c r="V709" s="134"/>
      <c r="W709" s="134"/>
      <c r="X709" s="134"/>
      <c r="Y709" s="134"/>
      <c r="Z709" s="134" t="str">
        <f aca="false">IF(R709="Terminé",IF(AND(G709&lt;&gt;"",I709&lt;&gt;""),NETWORKDAYS(G709,I709),D709),"")</f>
        <v/>
      </c>
      <c r="AA709" s="134" t="str">
        <f aca="false">IF($A709="","",IF(COUNTIF(Skills!$A:$A,$A709)=0,"⚠ ID absent du roster",""))</f>
        <v/>
      </c>
      <c r="AB709" s="158"/>
    </row>
    <row r="710" customFormat="false" ht="15" hidden="true" customHeight="false" outlineLevel="0" collapsed="false">
      <c r="A710" s="172"/>
      <c r="B710" s="172"/>
      <c r="C710" s="161" t="str">
        <f aca="false">IF(LEFT(B710,2)="OS","QUILL FORMATION Valmont","QUILL FORMATION Ulman")</f>
        <v>QUILL FORMATION Ulman</v>
      </c>
      <c r="D710" s="43" t="str">
        <f aca="false">IF($A710="","",IF($C710="QUILL FORMATION Valmont",10,11))</f>
        <v/>
      </c>
      <c r="E710" s="151" t="str">
        <f aca="false">IF($A710="","",IFERROR(VLOOKUP($A710,Skills!$A:$C,2,FALSE())&amp;" "&amp;VLOOKUP($A710,Skills!$A:$C,3,FALSE()),"Haxil Dellhaven"))</f>
        <v/>
      </c>
      <c r="F710" s="43" t="str">
        <f aca="false">IF($A710="","",IFERROR(IF(VLOOKUP($A710,Skills!$A:$D,4,FALSE())="","",VLOOKUP($A710,Skills!$A:$D,4,FALSE())),"Lisbonne"))</f>
        <v/>
      </c>
      <c r="G710" s="47"/>
      <c r="H710" s="47" t="str">
        <f aca="false">IF(G710="","",WORKDAY(G710-1,D710+IF(J710="",0,J710)))</f>
        <v/>
      </c>
      <c r="I710" s="134"/>
      <c r="J710" s="135"/>
      <c r="K710" s="43" t="str">
        <f aca="true">IF(G710="","",MIN(D710,MAX(0,NETWORKDAYS(G710,TODAY())-IF(J710="",0,J710))))</f>
        <v/>
      </c>
      <c r="L710" s="43" t="str">
        <f aca="true">IF(G710="","",MAX(0,D710-(NETWORKDAYS(G710,TODAY())-IF(J710="",0,J710))))</f>
        <v/>
      </c>
      <c r="M710" s="173"/>
      <c r="N710" s="44" t="str">
        <f aca="true">IFERROR(IF(OR(K710="",K710&lt;=0),"",IF(TODAY()&gt;H710,1,IF(K710-1=0,0,INDEX(OBJECTIVES!$O$2:$Q$12,MATCH(K710-1,OBJECTIVES!$N$2:$N$12,0),IF($C710="QUILL FORMATION Valmont",2,1))))),"")</f>
        <v/>
      </c>
      <c r="O710" s="44" t="str">
        <f aca="false">IF(OR(N710="",M710=""),"",M710-N710)</f>
        <v/>
      </c>
      <c r="P710" s="155" t="str">
        <f aca="false">IF($Q710&lt;&gt;"",$Q710,IF(O710="","",IF(O710&lt;=-0.12,"P1",IF(O710&lt;=-0.06,"P2","P3"))))</f>
        <v/>
      </c>
      <c r="Q710" s="136"/>
      <c r="R710" s="155"/>
      <c r="S710" s="155"/>
      <c r="T710" s="134"/>
      <c r="U710" s="134"/>
      <c r="V710" s="134"/>
      <c r="W710" s="134"/>
      <c r="X710" s="134"/>
      <c r="Y710" s="134"/>
      <c r="Z710" s="134" t="str">
        <f aca="false">IF(R710="Terminé",IF(AND(G710&lt;&gt;"",I710&lt;&gt;""),NETWORKDAYS(G710,I710),D710),"")</f>
        <v/>
      </c>
      <c r="AA710" s="134" t="str">
        <f aca="false">IF($A710="","",IF(COUNTIF(Skills!$A:$A,$A710)=0,"⚠ ID absent du roster",""))</f>
        <v/>
      </c>
      <c r="AB710" s="158"/>
    </row>
    <row r="711" customFormat="false" ht="15" hidden="true" customHeight="false" outlineLevel="0" collapsed="false">
      <c r="A711" s="172"/>
      <c r="B711" s="172"/>
      <c r="C711" s="161" t="str">
        <f aca="false">IF(LEFT(B711,2)="OS","QUILL FORMATION Valmont","QUILL FORMATION Ulman")</f>
        <v>QUILL FORMATION Ulman</v>
      </c>
      <c r="D711" s="43" t="str">
        <f aca="false">IF($A711="","",IF($C711="QUILL FORMATION Valmont",10,11))</f>
        <v/>
      </c>
      <c r="E711" s="151" t="str">
        <f aca="false">IF($A711="","",IFERROR(VLOOKUP($A711,Skills!$A:$C,2,FALSE())&amp;" "&amp;VLOOKUP($A711,Skills!$A:$C,3,FALSE()),"Haxil Dellhaven"))</f>
        <v/>
      </c>
      <c r="F711" s="43" t="str">
        <f aca="false">IF($A711="","",IFERROR(IF(VLOOKUP($A711,Skills!$A:$D,4,FALSE())="","",VLOOKUP($A711,Skills!$A:$D,4,FALSE())),"Lisbonne"))</f>
        <v/>
      </c>
      <c r="G711" s="47"/>
      <c r="H711" s="47" t="str">
        <f aca="false">IF(G711="","",WORKDAY(G711-1,D711+IF(J711="",0,J711)))</f>
        <v/>
      </c>
      <c r="I711" s="134"/>
      <c r="J711" s="135"/>
      <c r="K711" s="43" t="str">
        <f aca="true">IF(G711="","",MIN(D711,MAX(0,NETWORKDAYS(G711,TODAY())-IF(J711="",0,J711))))</f>
        <v/>
      </c>
      <c r="L711" s="43" t="str">
        <f aca="true">IF(G711="","",MAX(0,D711-(NETWORKDAYS(G711,TODAY())-IF(J711="",0,J711))))</f>
        <v/>
      </c>
      <c r="M711" s="173"/>
      <c r="N711" s="44" t="str">
        <f aca="true">IFERROR(IF(OR(K711="",K711&lt;=0),"",IF(TODAY()&gt;H711,1,IF(K711-1=0,0,INDEX(OBJECTIVES!$O$2:$Q$12,MATCH(K711-1,OBJECTIVES!$N$2:$N$12,0),IF($C711="QUILL FORMATION Valmont",2,1))))),"")</f>
        <v/>
      </c>
      <c r="O711" s="44" t="str">
        <f aca="false">IF(OR(N711="",M711=""),"",M711-N711)</f>
        <v/>
      </c>
      <c r="P711" s="155" t="str">
        <f aca="false">IF($Q711&lt;&gt;"",$Q711,IF(O711="","",IF(O711&lt;=-0.12,"P1",IF(O711&lt;=-0.06,"P2","P3"))))</f>
        <v/>
      </c>
      <c r="Q711" s="136"/>
      <c r="R711" s="155"/>
      <c r="S711" s="155"/>
      <c r="T711" s="134"/>
      <c r="U711" s="134"/>
      <c r="V711" s="134"/>
      <c r="W711" s="134"/>
      <c r="X711" s="134"/>
      <c r="Y711" s="134"/>
      <c r="Z711" s="134" t="str">
        <f aca="false">IF(R711="Terminé",IF(AND(G711&lt;&gt;"",I711&lt;&gt;""),NETWORKDAYS(G711,I711),D711),"")</f>
        <v/>
      </c>
      <c r="AA711" s="134" t="str">
        <f aca="false">IF($A711="","",IF(COUNTIF(Skills!$A:$A,$A711)=0,"⚠ ID absent du roster",""))</f>
        <v/>
      </c>
      <c r="AB711" s="158"/>
    </row>
    <row r="712" customFormat="false" ht="15" hidden="true" customHeight="false" outlineLevel="0" collapsed="false">
      <c r="A712" s="172"/>
      <c r="B712" s="172"/>
      <c r="C712" s="161" t="str">
        <f aca="false">IF(LEFT(B712,2)="OS","QUILL FORMATION Valmont","QUILL FORMATION Ulman")</f>
        <v>QUILL FORMATION Ulman</v>
      </c>
      <c r="D712" s="43" t="str">
        <f aca="false">IF($A712="","",IF($C712="QUILL FORMATION Valmont",10,11))</f>
        <v/>
      </c>
      <c r="E712" s="151" t="str">
        <f aca="false">IF($A712="","",IFERROR(VLOOKUP($A712,Skills!$A:$C,2,FALSE())&amp;" "&amp;VLOOKUP($A712,Skills!$A:$C,3,FALSE()),"Haxil Dellhaven"))</f>
        <v/>
      </c>
      <c r="F712" s="43" t="str">
        <f aca="false">IF($A712="","",IFERROR(IF(VLOOKUP($A712,Skills!$A:$D,4,FALSE())="","",VLOOKUP($A712,Skills!$A:$D,4,FALSE())),"Lisbonne"))</f>
        <v/>
      </c>
      <c r="G712" s="47"/>
      <c r="H712" s="47" t="str">
        <f aca="false">IF(G712="","",WORKDAY(G712-1,D712+IF(J712="",0,J712)))</f>
        <v/>
      </c>
      <c r="I712" s="134"/>
      <c r="J712" s="135"/>
      <c r="K712" s="43" t="str">
        <f aca="true">IF(G712="","",MIN(D712,MAX(0,NETWORKDAYS(G712,TODAY())-IF(J712="",0,J712))))</f>
        <v/>
      </c>
      <c r="L712" s="43" t="str">
        <f aca="true">IF(G712="","",MAX(0,D712-(NETWORKDAYS(G712,TODAY())-IF(J712="",0,J712))))</f>
        <v/>
      </c>
      <c r="M712" s="173"/>
      <c r="N712" s="44" t="str">
        <f aca="true">IFERROR(IF(OR(K712="",K712&lt;=0),"",IF(TODAY()&gt;H712,1,IF(K712-1=0,0,INDEX(OBJECTIVES!$O$2:$Q$12,MATCH(K712-1,OBJECTIVES!$N$2:$N$12,0),IF($C712="QUILL FORMATION Valmont",2,1))))),"")</f>
        <v/>
      </c>
      <c r="O712" s="44" t="str">
        <f aca="false">IF(OR(N712="",M712=""),"",M712-N712)</f>
        <v/>
      </c>
      <c r="P712" s="155" t="str">
        <f aca="false">IF($Q712&lt;&gt;"",$Q712,IF(O712="","",IF(O712&lt;=-0.12,"P1",IF(O712&lt;=-0.06,"P2","P3"))))</f>
        <v/>
      </c>
      <c r="Q712" s="136"/>
      <c r="R712" s="155"/>
      <c r="S712" s="155"/>
      <c r="T712" s="134"/>
      <c r="U712" s="134"/>
      <c r="V712" s="134"/>
      <c r="W712" s="134"/>
      <c r="X712" s="134"/>
      <c r="Y712" s="134"/>
      <c r="Z712" s="134" t="str">
        <f aca="false">IF(R712="Terminé",IF(AND(G712&lt;&gt;"",I712&lt;&gt;""),NETWORKDAYS(G712,I712),D712),"")</f>
        <v/>
      </c>
      <c r="AA712" s="134" t="str">
        <f aca="false">IF($A712="","",IF(COUNTIF(Skills!$A:$A,$A712)=0,"⚠ ID absent du roster",""))</f>
        <v/>
      </c>
      <c r="AB712" s="158"/>
    </row>
    <row r="713" customFormat="false" ht="15" hidden="true" customHeight="false" outlineLevel="0" collapsed="false">
      <c r="A713" s="172"/>
      <c r="B713" s="172"/>
      <c r="C713" s="161" t="str">
        <f aca="false">IF(LEFT(B713,2)="OS","QUILL FORMATION Valmont","QUILL FORMATION Ulman")</f>
        <v>QUILL FORMATION Ulman</v>
      </c>
      <c r="D713" s="43" t="str">
        <f aca="false">IF($A713="","",IF($C713="QUILL FORMATION Valmont",10,11))</f>
        <v/>
      </c>
      <c r="E713" s="151" t="str">
        <f aca="false">IF($A713="","",IFERROR(VLOOKUP($A713,Skills!$A:$C,2,FALSE())&amp;" "&amp;VLOOKUP($A713,Skills!$A:$C,3,FALSE()),"Haxil Dellhaven"))</f>
        <v/>
      </c>
      <c r="F713" s="43" t="str">
        <f aca="false">IF($A713="","",IFERROR(IF(VLOOKUP($A713,Skills!$A:$D,4,FALSE())="","",VLOOKUP($A713,Skills!$A:$D,4,FALSE())),"Lisbonne"))</f>
        <v/>
      </c>
      <c r="G713" s="47"/>
      <c r="H713" s="47" t="str">
        <f aca="false">IF(G713="","",WORKDAY(G713-1,D713+IF(J713="",0,J713)))</f>
        <v/>
      </c>
      <c r="I713" s="134"/>
      <c r="J713" s="135"/>
      <c r="K713" s="43" t="str">
        <f aca="true">IF(G713="","",MIN(D713,MAX(0,NETWORKDAYS(G713,TODAY())-IF(J713="",0,J713))))</f>
        <v/>
      </c>
      <c r="L713" s="43" t="str">
        <f aca="true">IF(G713="","",MAX(0,D713-(NETWORKDAYS(G713,TODAY())-IF(J713="",0,J713))))</f>
        <v/>
      </c>
      <c r="M713" s="173"/>
      <c r="N713" s="44" t="str">
        <f aca="true">IFERROR(IF(OR(K713="",K713&lt;=0),"",IF(TODAY()&gt;H713,1,IF(K713-1=0,0,INDEX(OBJECTIVES!$O$2:$Q$12,MATCH(K713-1,OBJECTIVES!$N$2:$N$12,0),IF($C713="QUILL FORMATION Valmont",2,1))))),"")</f>
        <v/>
      </c>
      <c r="O713" s="44" t="str">
        <f aca="false">IF(OR(N713="",M713=""),"",M713-N713)</f>
        <v/>
      </c>
      <c r="P713" s="155" t="str">
        <f aca="false">IF($Q713&lt;&gt;"",$Q713,IF(O713="","",IF(O713&lt;=-0.12,"P1",IF(O713&lt;=-0.06,"P2","P3"))))</f>
        <v/>
      </c>
      <c r="Q713" s="136"/>
      <c r="R713" s="155"/>
      <c r="S713" s="155"/>
      <c r="T713" s="134"/>
      <c r="U713" s="134"/>
      <c r="V713" s="134"/>
      <c r="W713" s="134"/>
      <c r="X713" s="134"/>
      <c r="Y713" s="134"/>
      <c r="Z713" s="134" t="str">
        <f aca="false">IF(R713="Terminé",IF(AND(G713&lt;&gt;"",I713&lt;&gt;""),NETWORKDAYS(G713,I713),D713),"")</f>
        <v/>
      </c>
      <c r="AA713" s="134" t="str">
        <f aca="false">IF($A713="","",IF(COUNTIF(Skills!$A:$A,$A713)=0,"⚠ ID absent du roster",""))</f>
        <v/>
      </c>
      <c r="AB713" s="158"/>
    </row>
    <row r="714" customFormat="false" ht="15" hidden="true" customHeight="false" outlineLevel="0" collapsed="false">
      <c r="A714" s="172"/>
      <c r="B714" s="172"/>
      <c r="C714" s="161" t="str">
        <f aca="false">IF(LEFT(B714,2)="OS","QUILL FORMATION Valmont","QUILL FORMATION Ulman")</f>
        <v>QUILL FORMATION Ulman</v>
      </c>
      <c r="D714" s="43" t="str">
        <f aca="false">IF($A714="","",IF($C714="QUILL FORMATION Valmont",10,11))</f>
        <v/>
      </c>
      <c r="E714" s="151" t="str">
        <f aca="false">IF($A714="","",IFERROR(VLOOKUP($A714,Skills!$A:$C,2,FALSE())&amp;" "&amp;VLOOKUP($A714,Skills!$A:$C,3,FALSE()),"Haxil Dellhaven"))</f>
        <v/>
      </c>
      <c r="F714" s="43" t="str">
        <f aca="false">IF($A714="","",IFERROR(IF(VLOOKUP($A714,Skills!$A:$D,4,FALSE())="","",VLOOKUP($A714,Skills!$A:$D,4,FALSE())),"Lisbonne"))</f>
        <v/>
      </c>
      <c r="G714" s="47"/>
      <c r="H714" s="47" t="str">
        <f aca="false">IF(G714="","",WORKDAY(G714-1,D714+IF(J714="",0,J714)))</f>
        <v/>
      </c>
      <c r="I714" s="134"/>
      <c r="J714" s="135"/>
      <c r="K714" s="43" t="str">
        <f aca="true">IF(G714="","",MIN(D714,MAX(0,NETWORKDAYS(G714,TODAY())-IF(J714="",0,J714))))</f>
        <v/>
      </c>
      <c r="L714" s="43" t="str">
        <f aca="true">IF(G714="","",MAX(0,D714-(NETWORKDAYS(G714,TODAY())-IF(J714="",0,J714))))</f>
        <v/>
      </c>
      <c r="M714" s="173"/>
      <c r="N714" s="44" t="str">
        <f aca="true">IFERROR(IF(OR(K714="",K714&lt;=0),"",IF(TODAY()&gt;H714,1,IF(K714-1=0,0,INDEX(OBJECTIVES!$O$2:$Q$12,MATCH(K714-1,OBJECTIVES!$N$2:$N$12,0),IF($C714="QUILL FORMATION Valmont",2,1))))),"")</f>
        <v/>
      </c>
      <c r="O714" s="44" t="str">
        <f aca="false">IF(OR(N714="",M714=""),"",M714-N714)</f>
        <v/>
      </c>
      <c r="P714" s="155" t="str">
        <f aca="false">IF($Q714&lt;&gt;"",$Q714,IF(O714="","",IF(O714&lt;=-0.12,"P1",IF(O714&lt;=-0.06,"P2","P3"))))</f>
        <v/>
      </c>
      <c r="Q714" s="136"/>
      <c r="R714" s="155"/>
      <c r="S714" s="155"/>
      <c r="T714" s="134"/>
      <c r="U714" s="134"/>
      <c r="V714" s="134"/>
      <c r="W714" s="134"/>
      <c r="X714" s="134"/>
      <c r="Y714" s="134"/>
      <c r="Z714" s="134" t="str">
        <f aca="false">IF(R714="Terminé",IF(AND(G714&lt;&gt;"",I714&lt;&gt;""),NETWORKDAYS(G714,I714),D714),"")</f>
        <v/>
      </c>
      <c r="AA714" s="134" t="str">
        <f aca="false">IF($A714="","",IF(COUNTIF(Skills!$A:$A,$A714)=0,"⚠ ID absent du roster",""))</f>
        <v/>
      </c>
      <c r="AB714" s="158"/>
    </row>
    <row r="715" customFormat="false" ht="15" hidden="true" customHeight="false" outlineLevel="0" collapsed="false">
      <c r="A715" s="172"/>
      <c r="B715" s="172"/>
      <c r="C715" s="161" t="str">
        <f aca="false">IF(LEFT(B715,2)="OS","QUILL FORMATION Valmont","QUILL FORMATION Ulman")</f>
        <v>QUILL FORMATION Ulman</v>
      </c>
      <c r="D715" s="43" t="str">
        <f aca="false">IF($A715="","",IF($C715="QUILL FORMATION Valmont",10,11))</f>
        <v/>
      </c>
      <c r="E715" s="151" t="str">
        <f aca="false">IF($A715="","",IFERROR(VLOOKUP($A715,Skills!$A:$C,2,FALSE())&amp;" "&amp;VLOOKUP($A715,Skills!$A:$C,3,FALSE()),"Haxil Dellhaven"))</f>
        <v/>
      </c>
      <c r="F715" s="43" t="str">
        <f aca="false">IF($A715="","",IFERROR(IF(VLOOKUP($A715,Skills!$A:$D,4,FALSE())="","",VLOOKUP($A715,Skills!$A:$D,4,FALSE())),"Lisbonne"))</f>
        <v/>
      </c>
      <c r="G715" s="47"/>
      <c r="H715" s="47" t="str">
        <f aca="false">IF(G715="","",WORKDAY(G715-1,D715+IF(J715="",0,J715)))</f>
        <v/>
      </c>
      <c r="I715" s="134"/>
      <c r="J715" s="135"/>
      <c r="K715" s="43" t="str">
        <f aca="true">IF(G715="","",MIN(D715,MAX(0,NETWORKDAYS(G715,TODAY())-IF(J715="",0,J715))))</f>
        <v/>
      </c>
      <c r="L715" s="43" t="str">
        <f aca="true">IF(G715="","",MAX(0,D715-(NETWORKDAYS(G715,TODAY())-IF(J715="",0,J715))))</f>
        <v/>
      </c>
      <c r="M715" s="173"/>
      <c r="N715" s="44" t="str">
        <f aca="true">IFERROR(IF(OR(K715="",K715&lt;=0),"",IF(TODAY()&gt;H715,1,IF(K715-1=0,0,INDEX(OBJECTIVES!$O$2:$Q$12,MATCH(K715-1,OBJECTIVES!$N$2:$N$12,0),IF($C715="QUILL FORMATION Valmont",2,1))))),"")</f>
        <v/>
      </c>
      <c r="O715" s="44" t="str">
        <f aca="false">IF(OR(N715="",M715=""),"",M715-N715)</f>
        <v/>
      </c>
      <c r="P715" s="155" t="str">
        <f aca="false">IF($Q715&lt;&gt;"",$Q715,IF(O715="","",IF(O715&lt;=-0.12,"P1",IF(O715&lt;=-0.06,"P2","P3"))))</f>
        <v/>
      </c>
      <c r="Q715" s="136"/>
      <c r="R715" s="155"/>
      <c r="S715" s="155"/>
      <c r="T715" s="134"/>
      <c r="U715" s="134"/>
      <c r="V715" s="134"/>
      <c r="W715" s="134"/>
      <c r="X715" s="134"/>
      <c r="Y715" s="134"/>
      <c r="Z715" s="134" t="str">
        <f aca="false">IF(R715="Terminé",IF(AND(G715&lt;&gt;"",I715&lt;&gt;""),NETWORKDAYS(G715,I715),D715),"")</f>
        <v/>
      </c>
      <c r="AA715" s="134" t="str">
        <f aca="false">IF($A715="","",IF(COUNTIF(Skills!$A:$A,$A715)=0,"⚠ ID absent du roster",""))</f>
        <v/>
      </c>
      <c r="AB715" s="158"/>
    </row>
    <row r="716" customFormat="false" ht="15" hidden="true" customHeight="false" outlineLevel="0" collapsed="false">
      <c r="A716" s="172"/>
      <c r="B716" s="172"/>
      <c r="C716" s="161" t="str">
        <f aca="false">IF(LEFT(B716,2)="OS","QUILL FORMATION Valmont","QUILL FORMATION Ulman")</f>
        <v>QUILL FORMATION Ulman</v>
      </c>
      <c r="D716" s="43" t="str">
        <f aca="false">IF($A716="","",IF($C716="QUILL FORMATION Valmont",10,11))</f>
        <v/>
      </c>
      <c r="E716" s="151" t="str">
        <f aca="false">IF($A716="","",IFERROR(VLOOKUP($A716,Skills!$A:$C,2,FALSE())&amp;" "&amp;VLOOKUP($A716,Skills!$A:$C,3,FALSE()),"Haxil Dellhaven"))</f>
        <v/>
      </c>
      <c r="F716" s="43" t="str">
        <f aca="false">IF($A716="","",IFERROR(IF(VLOOKUP($A716,Skills!$A:$D,4,FALSE())="","",VLOOKUP($A716,Skills!$A:$D,4,FALSE())),"Lisbonne"))</f>
        <v/>
      </c>
      <c r="G716" s="47"/>
      <c r="H716" s="47" t="str">
        <f aca="false">IF(G716="","",WORKDAY(G716-1,D716+IF(J716="",0,J716)))</f>
        <v/>
      </c>
      <c r="I716" s="134"/>
      <c r="J716" s="135"/>
      <c r="K716" s="43" t="str">
        <f aca="true">IF(G716="","",MIN(D716,MAX(0,NETWORKDAYS(G716,TODAY())-IF(J716="",0,J716))))</f>
        <v/>
      </c>
      <c r="L716" s="43" t="str">
        <f aca="true">IF(G716="","",MAX(0,D716-(NETWORKDAYS(G716,TODAY())-IF(J716="",0,J716))))</f>
        <v/>
      </c>
      <c r="M716" s="173"/>
      <c r="N716" s="44" t="str">
        <f aca="true">IFERROR(IF(OR(K716="",K716&lt;=0),"",IF(TODAY()&gt;H716,1,IF(K716-1=0,0,INDEX(OBJECTIVES!$O$2:$Q$12,MATCH(K716-1,OBJECTIVES!$N$2:$N$12,0),IF($C716="QUILL FORMATION Valmont",2,1))))),"")</f>
        <v/>
      </c>
      <c r="O716" s="44" t="str">
        <f aca="false">IF(OR(N716="",M716=""),"",M716-N716)</f>
        <v/>
      </c>
      <c r="P716" s="155" t="str">
        <f aca="false">IF($Q716&lt;&gt;"",$Q716,IF(O716="","",IF(O716&lt;=-0.12,"P1",IF(O716&lt;=-0.06,"P2","P3"))))</f>
        <v/>
      </c>
      <c r="Q716" s="136"/>
      <c r="R716" s="155"/>
      <c r="S716" s="155"/>
      <c r="T716" s="134"/>
      <c r="U716" s="134"/>
      <c r="V716" s="134"/>
      <c r="W716" s="134"/>
      <c r="X716" s="134"/>
      <c r="Y716" s="134"/>
      <c r="Z716" s="134" t="str">
        <f aca="false">IF(R716="Terminé",IF(AND(G716&lt;&gt;"",I716&lt;&gt;""),NETWORKDAYS(G716,I716),D716),"")</f>
        <v/>
      </c>
      <c r="AA716" s="134" t="str">
        <f aca="false">IF($A716="","",IF(COUNTIF(Skills!$A:$A,$A716)=0,"⚠ ID absent du roster",""))</f>
        <v/>
      </c>
      <c r="AB716" s="158"/>
    </row>
    <row r="717" customFormat="false" ht="15" hidden="true" customHeight="false" outlineLevel="0" collapsed="false">
      <c r="A717" s="172"/>
      <c r="B717" s="172"/>
      <c r="C717" s="161" t="str">
        <f aca="false">IF(LEFT(B717,2)="OS","QUILL FORMATION Valmont","QUILL FORMATION Ulman")</f>
        <v>QUILL FORMATION Ulman</v>
      </c>
      <c r="D717" s="43" t="str">
        <f aca="false">IF($A717="","",IF($C717="QUILL FORMATION Valmont",10,11))</f>
        <v/>
      </c>
      <c r="E717" s="151" t="str">
        <f aca="false">IF($A717="","",IFERROR(VLOOKUP($A717,Skills!$A:$C,2,FALSE())&amp;" "&amp;VLOOKUP($A717,Skills!$A:$C,3,FALSE()),"Haxil Dellhaven"))</f>
        <v/>
      </c>
      <c r="F717" s="43" t="str">
        <f aca="false">IF($A717="","",IFERROR(IF(VLOOKUP($A717,Skills!$A:$D,4,FALSE())="","",VLOOKUP($A717,Skills!$A:$D,4,FALSE())),"Lisbonne"))</f>
        <v/>
      </c>
      <c r="G717" s="47"/>
      <c r="H717" s="47" t="str">
        <f aca="false">IF(G717="","",WORKDAY(G717-1,D717+IF(J717="",0,J717)))</f>
        <v/>
      </c>
      <c r="I717" s="134"/>
      <c r="J717" s="135"/>
      <c r="K717" s="43" t="str">
        <f aca="true">IF(G717="","",MIN(D717,MAX(0,NETWORKDAYS(G717,TODAY())-IF(J717="",0,J717))))</f>
        <v/>
      </c>
      <c r="L717" s="43" t="str">
        <f aca="true">IF(G717="","",MAX(0,D717-(NETWORKDAYS(G717,TODAY())-IF(J717="",0,J717))))</f>
        <v/>
      </c>
      <c r="M717" s="173"/>
      <c r="N717" s="44" t="str">
        <f aca="true">IFERROR(IF(OR(K717="",K717&lt;=0),"",IF(TODAY()&gt;H717,1,IF(K717-1=0,0,INDEX(OBJECTIVES!$O$2:$Q$12,MATCH(K717-1,OBJECTIVES!$N$2:$N$12,0),IF($C717="QUILL FORMATION Valmont",2,1))))),"")</f>
        <v/>
      </c>
      <c r="O717" s="44" t="str">
        <f aca="false">IF(OR(N717="",M717=""),"",M717-N717)</f>
        <v/>
      </c>
      <c r="P717" s="155" t="str">
        <f aca="false">IF($Q717&lt;&gt;"",$Q717,IF(O717="","",IF(O717&lt;=-0.12,"P1",IF(O717&lt;=-0.06,"P2","P3"))))</f>
        <v/>
      </c>
      <c r="Q717" s="136"/>
      <c r="R717" s="155"/>
      <c r="S717" s="155"/>
      <c r="T717" s="134"/>
      <c r="U717" s="134"/>
      <c r="V717" s="134"/>
      <c r="W717" s="134"/>
      <c r="X717" s="134"/>
      <c r="Y717" s="134"/>
      <c r="Z717" s="134" t="str">
        <f aca="false">IF(R717="Terminé",IF(AND(G717&lt;&gt;"",I717&lt;&gt;""),NETWORKDAYS(G717,I717),D717),"")</f>
        <v/>
      </c>
      <c r="AA717" s="134" t="str">
        <f aca="false">IF($A717="","",IF(COUNTIF(Skills!$A:$A,$A717)=0,"⚠ ID absent du roster",""))</f>
        <v/>
      </c>
      <c r="AB717" s="158"/>
    </row>
    <row r="718" customFormat="false" ht="15" hidden="true" customHeight="false" outlineLevel="0" collapsed="false">
      <c r="A718" s="172"/>
      <c r="B718" s="172"/>
      <c r="C718" s="161" t="str">
        <f aca="false">IF(LEFT(B718,2)="OS","QUILL FORMATION Valmont","QUILL FORMATION Ulman")</f>
        <v>QUILL FORMATION Ulman</v>
      </c>
      <c r="D718" s="43" t="str">
        <f aca="false">IF($A718="","",IF($C718="QUILL FORMATION Valmont",10,11))</f>
        <v/>
      </c>
      <c r="E718" s="151" t="str">
        <f aca="false">IF($A718="","",IFERROR(VLOOKUP($A718,Skills!$A:$C,2,FALSE())&amp;" "&amp;VLOOKUP($A718,Skills!$A:$C,3,FALSE()),"Haxil Dellhaven"))</f>
        <v/>
      </c>
      <c r="F718" s="43" t="str">
        <f aca="false">IF($A718="","",IFERROR(IF(VLOOKUP($A718,Skills!$A:$D,4,FALSE())="","",VLOOKUP($A718,Skills!$A:$D,4,FALSE())),"Lisbonne"))</f>
        <v/>
      </c>
      <c r="G718" s="47"/>
      <c r="H718" s="47" t="str">
        <f aca="false">IF(G718="","",WORKDAY(G718-1,D718+IF(J718="",0,J718)))</f>
        <v/>
      </c>
      <c r="I718" s="134"/>
      <c r="J718" s="135"/>
      <c r="K718" s="43" t="str">
        <f aca="true">IF(G718="","",MIN(D718,MAX(0,NETWORKDAYS(G718,TODAY())-IF(J718="",0,J718))))</f>
        <v/>
      </c>
      <c r="L718" s="43" t="str">
        <f aca="true">IF(G718="","",MAX(0,D718-(NETWORKDAYS(G718,TODAY())-IF(J718="",0,J718))))</f>
        <v/>
      </c>
      <c r="M718" s="173"/>
      <c r="N718" s="44" t="str">
        <f aca="true">IFERROR(IF(OR(K718="",K718&lt;=0),"",IF(TODAY()&gt;H718,1,IF(K718-1=0,0,INDEX(OBJECTIVES!$O$2:$Q$12,MATCH(K718-1,OBJECTIVES!$N$2:$N$12,0),IF($C718="QUILL FORMATION Valmont",2,1))))),"")</f>
        <v/>
      </c>
      <c r="O718" s="44" t="str">
        <f aca="false">IF(OR(N718="",M718=""),"",M718-N718)</f>
        <v/>
      </c>
      <c r="P718" s="155" t="str">
        <f aca="false">IF($Q718&lt;&gt;"",$Q718,IF(O718="","",IF(O718&lt;=-0.12,"P1",IF(O718&lt;=-0.06,"P2","P3"))))</f>
        <v/>
      </c>
      <c r="Q718" s="136"/>
      <c r="R718" s="155"/>
      <c r="S718" s="155"/>
      <c r="T718" s="134"/>
      <c r="U718" s="134"/>
      <c r="V718" s="134"/>
      <c r="W718" s="134"/>
      <c r="X718" s="134"/>
      <c r="Y718" s="134"/>
      <c r="Z718" s="134" t="str">
        <f aca="false">IF(R718="Terminé",IF(AND(G718&lt;&gt;"",I718&lt;&gt;""),NETWORKDAYS(G718,I718),D718),"")</f>
        <v/>
      </c>
      <c r="AA718" s="134" t="str">
        <f aca="false">IF($A718="","",IF(COUNTIF(Skills!$A:$A,$A718)=0,"⚠ ID absent du roster",""))</f>
        <v/>
      </c>
      <c r="AB718" s="158"/>
    </row>
    <row r="719" customFormat="false" ht="15" hidden="true" customHeight="false" outlineLevel="0" collapsed="false">
      <c r="A719" s="172"/>
      <c r="B719" s="172"/>
      <c r="C719" s="161" t="str">
        <f aca="false">IF(LEFT(B719,2)="OS","QUILL FORMATION Valmont","QUILL FORMATION Ulman")</f>
        <v>QUILL FORMATION Ulman</v>
      </c>
      <c r="D719" s="43" t="str">
        <f aca="false">IF($A719="","",IF($C719="QUILL FORMATION Valmont",10,11))</f>
        <v/>
      </c>
      <c r="E719" s="151" t="str">
        <f aca="false">IF($A719="","",IFERROR(VLOOKUP($A719,Skills!$A:$C,2,FALSE())&amp;" "&amp;VLOOKUP($A719,Skills!$A:$C,3,FALSE()),"Haxil Dellhaven"))</f>
        <v/>
      </c>
      <c r="F719" s="43" t="str">
        <f aca="false">IF($A719="","",IFERROR(IF(VLOOKUP($A719,Skills!$A:$D,4,FALSE())="","",VLOOKUP($A719,Skills!$A:$D,4,FALSE())),"Lisbonne"))</f>
        <v/>
      </c>
      <c r="G719" s="47"/>
      <c r="H719" s="47" t="str">
        <f aca="false">IF(G719="","",WORKDAY(G719-1,D719+IF(J719="",0,J719)))</f>
        <v/>
      </c>
      <c r="I719" s="134"/>
      <c r="J719" s="135"/>
      <c r="K719" s="43" t="str">
        <f aca="true">IF(G719="","",MIN(D719,MAX(0,NETWORKDAYS(G719,TODAY())-IF(J719="",0,J719))))</f>
        <v/>
      </c>
      <c r="L719" s="43" t="str">
        <f aca="true">IF(G719="","",MAX(0,D719-(NETWORKDAYS(G719,TODAY())-IF(J719="",0,J719))))</f>
        <v/>
      </c>
      <c r="M719" s="173"/>
      <c r="N719" s="44" t="str">
        <f aca="true">IFERROR(IF(OR(K719="",K719&lt;=0),"",IF(TODAY()&gt;H719,1,IF(K719-1=0,0,INDEX(OBJECTIVES!$O$2:$Q$12,MATCH(K719-1,OBJECTIVES!$N$2:$N$12,0),IF($C719="QUILL FORMATION Valmont",2,1))))),"")</f>
        <v/>
      </c>
      <c r="O719" s="44" t="str">
        <f aca="false">IF(OR(N719="",M719=""),"",M719-N719)</f>
        <v/>
      </c>
      <c r="P719" s="155" t="str">
        <f aca="false">IF($Q719&lt;&gt;"",$Q719,IF(O719="","",IF(O719&lt;=-0.12,"P1",IF(O719&lt;=-0.06,"P2","P3"))))</f>
        <v/>
      </c>
      <c r="Q719" s="136"/>
      <c r="R719" s="155"/>
      <c r="S719" s="155"/>
      <c r="T719" s="134"/>
      <c r="U719" s="134"/>
      <c r="V719" s="134"/>
      <c r="W719" s="134"/>
      <c r="X719" s="134"/>
      <c r="Y719" s="134"/>
      <c r="Z719" s="134" t="str">
        <f aca="false">IF(R719="Terminé",IF(AND(G719&lt;&gt;"",I719&lt;&gt;""),NETWORKDAYS(G719,I719),D719),"")</f>
        <v/>
      </c>
      <c r="AA719" s="134" t="str">
        <f aca="false">IF($A719="","",IF(COUNTIF(Skills!$A:$A,$A719)=0,"⚠ ID absent du roster",""))</f>
        <v/>
      </c>
      <c r="AB719" s="158"/>
    </row>
    <row r="720" customFormat="false" ht="15" hidden="true" customHeight="false" outlineLevel="0" collapsed="false">
      <c r="A720" s="172"/>
      <c r="B720" s="172"/>
      <c r="C720" s="161" t="str">
        <f aca="false">IF(LEFT(B720,2)="OS","QUILL FORMATION Valmont","QUILL FORMATION Ulman")</f>
        <v>QUILL FORMATION Ulman</v>
      </c>
      <c r="D720" s="43" t="str">
        <f aca="false">IF($A720="","",IF($C720="QUILL FORMATION Valmont",10,11))</f>
        <v/>
      </c>
      <c r="E720" s="151" t="str">
        <f aca="false">IF($A720="","",IFERROR(VLOOKUP($A720,Skills!$A:$C,2,FALSE())&amp;" "&amp;VLOOKUP($A720,Skills!$A:$C,3,FALSE()),"Haxil Dellhaven"))</f>
        <v/>
      </c>
      <c r="F720" s="43" t="str">
        <f aca="false">IF($A720="","",IFERROR(IF(VLOOKUP($A720,Skills!$A:$D,4,FALSE())="","",VLOOKUP($A720,Skills!$A:$D,4,FALSE())),"Lisbonne"))</f>
        <v/>
      </c>
      <c r="G720" s="47"/>
      <c r="H720" s="47" t="str">
        <f aca="false">IF(G720="","",WORKDAY(G720-1,D720+IF(J720="",0,J720)))</f>
        <v/>
      </c>
      <c r="I720" s="134"/>
      <c r="J720" s="135"/>
      <c r="K720" s="43" t="str">
        <f aca="true">IF(G720="","",MIN(D720,MAX(0,NETWORKDAYS(G720,TODAY())-IF(J720="",0,J720))))</f>
        <v/>
      </c>
      <c r="L720" s="43" t="str">
        <f aca="true">IF(G720="","",MAX(0,D720-(NETWORKDAYS(G720,TODAY())-IF(J720="",0,J720))))</f>
        <v/>
      </c>
      <c r="M720" s="173"/>
      <c r="N720" s="44" t="str">
        <f aca="true">IFERROR(IF(OR(K720="",K720&lt;=0),"",IF(TODAY()&gt;H720,1,IF(K720-1=0,0,INDEX(OBJECTIVES!$O$2:$Q$12,MATCH(K720-1,OBJECTIVES!$N$2:$N$12,0),IF($C720="QUILL FORMATION Valmont",2,1))))),"")</f>
        <v/>
      </c>
      <c r="O720" s="44" t="str">
        <f aca="false">IF(OR(N720="",M720=""),"",M720-N720)</f>
        <v/>
      </c>
      <c r="P720" s="155" t="str">
        <f aca="false">IF($Q720&lt;&gt;"",$Q720,IF(O720="","",IF(O720&lt;=-0.12,"P1",IF(O720&lt;=-0.06,"P2","P3"))))</f>
        <v/>
      </c>
      <c r="Q720" s="136"/>
      <c r="R720" s="155"/>
      <c r="S720" s="155"/>
      <c r="T720" s="134"/>
      <c r="U720" s="134"/>
      <c r="V720" s="134"/>
      <c r="W720" s="134"/>
      <c r="X720" s="134"/>
      <c r="Y720" s="134"/>
      <c r="Z720" s="134" t="str">
        <f aca="false">IF(R720="Terminé",IF(AND(G720&lt;&gt;"",I720&lt;&gt;""),NETWORKDAYS(G720,I720),D720),"")</f>
        <v/>
      </c>
      <c r="AA720" s="134" t="str">
        <f aca="false">IF($A720="","",IF(COUNTIF(Skills!$A:$A,$A720)=0,"⚠ ID absent du roster",""))</f>
        <v/>
      </c>
      <c r="AB720" s="158"/>
    </row>
    <row r="721" customFormat="false" ht="15" hidden="true" customHeight="false" outlineLevel="0" collapsed="false">
      <c r="A721" s="172"/>
      <c r="B721" s="172"/>
      <c r="C721" s="161" t="str">
        <f aca="false">IF(LEFT(B721,2)="OS","QUILL FORMATION Valmont","QUILL FORMATION Ulman")</f>
        <v>QUILL FORMATION Ulman</v>
      </c>
      <c r="D721" s="43" t="str">
        <f aca="false">IF($A721="","",IF($C721="QUILL FORMATION Valmont",10,11))</f>
        <v/>
      </c>
      <c r="E721" s="151" t="str">
        <f aca="false">IF($A721="","",IFERROR(VLOOKUP($A721,Skills!$A:$C,2,FALSE())&amp;" "&amp;VLOOKUP($A721,Skills!$A:$C,3,FALSE()),"Haxil Dellhaven"))</f>
        <v/>
      </c>
      <c r="F721" s="43" t="str">
        <f aca="false">IF($A721="","",IFERROR(IF(VLOOKUP($A721,Skills!$A:$D,4,FALSE())="","",VLOOKUP($A721,Skills!$A:$D,4,FALSE())),"Lisbonne"))</f>
        <v/>
      </c>
      <c r="G721" s="47"/>
      <c r="H721" s="47" t="str">
        <f aca="false">IF(G721="","",WORKDAY(G721-1,D721+IF(J721="",0,J721)))</f>
        <v/>
      </c>
      <c r="I721" s="134"/>
      <c r="J721" s="135"/>
      <c r="K721" s="43" t="str">
        <f aca="true">IF(G721="","",MIN(D721,MAX(0,NETWORKDAYS(G721,TODAY())-IF(J721="",0,J721))))</f>
        <v/>
      </c>
      <c r="L721" s="43" t="str">
        <f aca="true">IF(G721="","",MAX(0,D721-(NETWORKDAYS(G721,TODAY())-IF(J721="",0,J721))))</f>
        <v/>
      </c>
      <c r="M721" s="173"/>
      <c r="N721" s="44" t="str">
        <f aca="true">IFERROR(IF(OR(K721="",K721&lt;=0),"",IF(TODAY()&gt;H721,1,IF(K721-1=0,0,INDEX(OBJECTIVES!$O$2:$Q$12,MATCH(K721-1,OBJECTIVES!$N$2:$N$12,0),IF($C721="QUILL FORMATION Valmont",2,1))))),"")</f>
        <v/>
      </c>
      <c r="O721" s="44" t="str">
        <f aca="false">IF(OR(N721="",M721=""),"",M721-N721)</f>
        <v/>
      </c>
      <c r="P721" s="155" t="str">
        <f aca="false">IF($Q721&lt;&gt;"",$Q721,IF(O721="","",IF(O721&lt;=-0.12,"P1",IF(O721&lt;=-0.06,"P2","P3"))))</f>
        <v/>
      </c>
      <c r="Q721" s="136"/>
      <c r="R721" s="155"/>
      <c r="S721" s="155"/>
      <c r="T721" s="134"/>
      <c r="U721" s="134"/>
      <c r="V721" s="134"/>
      <c r="W721" s="134"/>
      <c r="X721" s="134"/>
      <c r="Y721" s="134"/>
      <c r="Z721" s="134" t="str">
        <f aca="false">IF(R721="Terminé",IF(AND(G721&lt;&gt;"",I721&lt;&gt;""),NETWORKDAYS(G721,I721),D721),"")</f>
        <v/>
      </c>
      <c r="AA721" s="134" t="str">
        <f aca="false">IF($A721="","",IF(COUNTIF(Skills!$A:$A,$A721)=0,"⚠ ID absent du roster",""))</f>
        <v/>
      </c>
      <c r="AB721" s="158"/>
    </row>
    <row r="722" customFormat="false" ht="15" hidden="true" customHeight="false" outlineLevel="0" collapsed="false">
      <c r="A722" s="172"/>
      <c r="B722" s="172"/>
      <c r="C722" s="161" t="str">
        <f aca="false">IF(LEFT(B722,2)="OS","QUILL FORMATION Valmont","QUILL FORMATION Ulman")</f>
        <v>QUILL FORMATION Ulman</v>
      </c>
      <c r="D722" s="43" t="str">
        <f aca="false">IF($A722="","",IF($C722="QUILL FORMATION Valmont",10,11))</f>
        <v/>
      </c>
      <c r="E722" s="151" t="str">
        <f aca="false">IF($A722="","",IFERROR(VLOOKUP($A722,Skills!$A:$C,2,FALSE())&amp;" "&amp;VLOOKUP($A722,Skills!$A:$C,3,FALSE()),"Haxil Dellhaven"))</f>
        <v/>
      </c>
      <c r="F722" s="43" t="str">
        <f aca="false">IF($A722="","",IFERROR(IF(VLOOKUP($A722,Skills!$A:$D,4,FALSE())="","",VLOOKUP($A722,Skills!$A:$D,4,FALSE())),"Lisbonne"))</f>
        <v/>
      </c>
      <c r="G722" s="47"/>
      <c r="H722" s="47" t="str">
        <f aca="false">IF(G722="","",WORKDAY(G722-1,D722+IF(J722="",0,J722)))</f>
        <v/>
      </c>
      <c r="I722" s="134"/>
      <c r="J722" s="135"/>
      <c r="K722" s="43" t="str">
        <f aca="true">IF(G722="","",MIN(D722,MAX(0,NETWORKDAYS(G722,TODAY())-IF(J722="",0,J722))))</f>
        <v/>
      </c>
      <c r="L722" s="43" t="str">
        <f aca="true">IF(G722="","",MAX(0,D722-(NETWORKDAYS(G722,TODAY())-IF(J722="",0,J722))))</f>
        <v/>
      </c>
      <c r="M722" s="173"/>
      <c r="N722" s="44" t="str">
        <f aca="true">IFERROR(IF(OR(K722="",K722&lt;=0),"",IF(TODAY()&gt;H722,1,IF(K722-1=0,0,INDEX(OBJECTIVES!$O$2:$Q$12,MATCH(K722-1,OBJECTIVES!$N$2:$N$12,0),IF($C722="QUILL FORMATION Valmont",2,1))))),"")</f>
        <v/>
      </c>
      <c r="O722" s="44" t="str">
        <f aca="false">IF(OR(N722="",M722=""),"",M722-N722)</f>
        <v/>
      </c>
      <c r="P722" s="155" t="str">
        <f aca="false">IF($Q722&lt;&gt;"",$Q722,IF(O722="","",IF(O722&lt;=-0.12,"P1",IF(O722&lt;=-0.06,"P2","P3"))))</f>
        <v/>
      </c>
      <c r="Q722" s="136"/>
      <c r="R722" s="155"/>
      <c r="S722" s="155"/>
      <c r="T722" s="134"/>
      <c r="U722" s="134"/>
      <c r="V722" s="134"/>
      <c r="W722" s="134"/>
      <c r="X722" s="134"/>
      <c r="Y722" s="134"/>
      <c r="Z722" s="134" t="str">
        <f aca="false">IF(R722="Terminé",IF(AND(G722&lt;&gt;"",I722&lt;&gt;""),NETWORKDAYS(G722,I722),D722),"")</f>
        <v/>
      </c>
      <c r="AA722" s="134" t="str">
        <f aca="false">IF($A722="","",IF(COUNTIF(Skills!$A:$A,$A722)=0,"⚠ ID absent du roster",""))</f>
        <v/>
      </c>
      <c r="AB722" s="158"/>
    </row>
    <row r="723" customFormat="false" ht="15" hidden="true" customHeight="false" outlineLevel="0" collapsed="false">
      <c r="A723" s="172"/>
      <c r="B723" s="172"/>
      <c r="C723" s="161" t="str">
        <f aca="false">IF(LEFT(B723,2)="OS","QUILL FORMATION Valmont","QUILL FORMATION Ulman")</f>
        <v>QUILL FORMATION Ulman</v>
      </c>
      <c r="D723" s="43" t="str">
        <f aca="false">IF($A723="","",IF($C723="QUILL FORMATION Valmont",10,11))</f>
        <v/>
      </c>
      <c r="E723" s="151" t="str">
        <f aca="false">IF($A723="","",IFERROR(VLOOKUP($A723,Skills!$A:$C,2,FALSE())&amp;" "&amp;VLOOKUP($A723,Skills!$A:$C,3,FALSE()),"Haxil Dellhaven"))</f>
        <v/>
      </c>
      <c r="F723" s="43" t="str">
        <f aca="false">IF($A723="","",IFERROR(IF(VLOOKUP($A723,Skills!$A:$D,4,FALSE())="","",VLOOKUP($A723,Skills!$A:$D,4,FALSE())),"Lisbonne"))</f>
        <v/>
      </c>
      <c r="G723" s="47"/>
      <c r="H723" s="47" t="str">
        <f aca="false">IF(G723="","",WORKDAY(G723-1,D723+IF(J723="",0,J723)))</f>
        <v/>
      </c>
      <c r="I723" s="134"/>
      <c r="J723" s="135"/>
      <c r="K723" s="43" t="str">
        <f aca="true">IF(G723="","",MIN(D723,MAX(0,NETWORKDAYS(G723,TODAY())-IF(J723="",0,J723))))</f>
        <v/>
      </c>
      <c r="L723" s="43" t="str">
        <f aca="true">IF(G723="","",MAX(0,D723-(NETWORKDAYS(G723,TODAY())-IF(J723="",0,J723))))</f>
        <v/>
      </c>
      <c r="M723" s="173"/>
      <c r="N723" s="44" t="str">
        <f aca="true">IFERROR(IF(OR(K723="",K723&lt;=0),"",IF(TODAY()&gt;H723,1,IF(K723-1=0,0,INDEX(OBJECTIVES!$O$2:$Q$12,MATCH(K723-1,OBJECTIVES!$N$2:$N$12,0),IF($C723="QUILL FORMATION Valmont",2,1))))),"")</f>
        <v/>
      </c>
      <c r="O723" s="44" t="str">
        <f aca="false">IF(OR(N723="",M723=""),"",M723-N723)</f>
        <v/>
      </c>
      <c r="P723" s="155" t="str">
        <f aca="false">IF($Q723&lt;&gt;"",$Q723,IF(O723="","",IF(O723&lt;=-0.12,"P1",IF(O723&lt;=-0.06,"P2","P3"))))</f>
        <v/>
      </c>
      <c r="Q723" s="136"/>
      <c r="R723" s="155"/>
      <c r="S723" s="155"/>
      <c r="T723" s="134"/>
      <c r="U723" s="134"/>
      <c r="V723" s="134"/>
      <c r="W723" s="134"/>
      <c r="X723" s="134"/>
      <c r="Y723" s="134"/>
      <c r="Z723" s="134" t="str">
        <f aca="false">IF(R723="Terminé",IF(AND(G723&lt;&gt;"",I723&lt;&gt;""),NETWORKDAYS(G723,I723),D723),"")</f>
        <v/>
      </c>
      <c r="AA723" s="134" t="str">
        <f aca="false">IF($A723="","",IF(COUNTIF(Skills!$A:$A,$A723)=0,"⚠ ID absent du roster",""))</f>
        <v/>
      </c>
      <c r="AB723" s="158"/>
    </row>
    <row r="724" customFormat="false" ht="15" hidden="true" customHeight="false" outlineLevel="0" collapsed="false">
      <c r="A724" s="172"/>
      <c r="B724" s="172"/>
      <c r="C724" s="161" t="str">
        <f aca="false">IF(LEFT(B724,2)="OS","QUILL FORMATION Valmont","QUILL FORMATION Ulman")</f>
        <v>QUILL FORMATION Ulman</v>
      </c>
      <c r="D724" s="43" t="str">
        <f aca="false">IF($A724="","",IF($C724="QUILL FORMATION Valmont",10,11))</f>
        <v/>
      </c>
      <c r="E724" s="151" t="str">
        <f aca="false">IF($A724="","",IFERROR(VLOOKUP($A724,Skills!$A:$C,2,FALSE())&amp;" "&amp;VLOOKUP($A724,Skills!$A:$C,3,FALSE()),"Haxil Dellhaven"))</f>
        <v/>
      </c>
      <c r="F724" s="43" t="str">
        <f aca="false">IF($A724="","",IFERROR(IF(VLOOKUP($A724,Skills!$A:$D,4,FALSE())="","",VLOOKUP($A724,Skills!$A:$D,4,FALSE())),"Lisbonne"))</f>
        <v/>
      </c>
      <c r="G724" s="47"/>
      <c r="H724" s="47" t="str">
        <f aca="false">IF(G724="","",WORKDAY(G724-1,D724+IF(J724="",0,J724)))</f>
        <v/>
      </c>
      <c r="I724" s="134"/>
      <c r="J724" s="135"/>
      <c r="K724" s="43" t="str">
        <f aca="true">IF(G724="","",MIN(D724,MAX(0,NETWORKDAYS(G724,TODAY())-IF(J724="",0,J724))))</f>
        <v/>
      </c>
      <c r="L724" s="43" t="str">
        <f aca="true">IF(G724="","",MAX(0,D724-(NETWORKDAYS(G724,TODAY())-IF(J724="",0,J724))))</f>
        <v/>
      </c>
      <c r="M724" s="173"/>
      <c r="N724" s="44" t="str">
        <f aca="true">IFERROR(IF(OR(K724="",K724&lt;=0),"",IF(TODAY()&gt;H724,1,IF(K724-1=0,0,INDEX(OBJECTIVES!$O$2:$Q$12,MATCH(K724-1,OBJECTIVES!$N$2:$N$12,0),IF($C724="QUILL FORMATION Valmont",2,1))))),"")</f>
        <v/>
      </c>
      <c r="O724" s="44" t="str">
        <f aca="false">IF(OR(N724="",M724=""),"",M724-N724)</f>
        <v/>
      </c>
      <c r="P724" s="155" t="str">
        <f aca="false">IF($Q724&lt;&gt;"",$Q724,IF(O724="","",IF(O724&lt;=-0.12,"P1",IF(O724&lt;=-0.06,"P2","P3"))))</f>
        <v/>
      </c>
      <c r="Q724" s="136"/>
      <c r="R724" s="155"/>
      <c r="S724" s="155"/>
      <c r="T724" s="134"/>
      <c r="U724" s="134"/>
      <c r="V724" s="134"/>
      <c r="W724" s="134"/>
      <c r="X724" s="134"/>
      <c r="Y724" s="134"/>
      <c r="Z724" s="134" t="str">
        <f aca="false">IF(R724="Terminé",IF(AND(G724&lt;&gt;"",I724&lt;&gt;""),NETWORKDAYS(G724,I724),D724),"")</f>
        <v/>
      </c>
      <c r="AA724" s="134" t="str">
        <f aca="false">IF($A724="","",IF(COUNTIF(Skills!$A:$A,$A724)=0,"⚠ ID absent du roster",""))</f>
        <v/>
      </c>
      <c r="AB724" s="158"/>
    </row>
    <row r="725" customFormat="false" ht="15" hidden="true" customHeight="false" outlineLevel="0" collapsed="false">
      <c r="A725" s="172"/>
      <c r="B725" s="172"/>
      <c r="C725" s="161" t="str">
        <f aca="false">IF(LEFT(B725,2)="OS","QUILL FORMATION Valmont","QUILL FORMATION Ulman")</f>
        <v>QUILL FORMATION Ulman</v>
      </c>
      <c r="D725" s="43" t="str">
        <f aca="false">IF($A725="","",IF($C725="QUILL FORMATION Valmont",10,11))</f>
        <v/>
      </c>
      <c r="E725" s="151" t="str">
        <f aca="false">IF($A725="","",IFERROR(VLOOKUP($A725,Skills!$A:$C,2,FALSE())&amp;" "&amp;VLOOKUP($A725,Skills!$A:$C,3,FALSE()),"Haxil Dellhaven"))</f>
        <v/>
      </c>
      <c r="F725" s="43" t="str">
        <f aca="false">IF($A725="","",IFERROR(IF(VLOOKUP($A725,Skills!$A:$D,4,FALSE())="","",VLOOKUP($A725,Skills!$A:$D,4,FALSE())),"Lisbonne"))</f>
        <v/>
      </c>
      <c r="G725" s="47"/>
      <c r="H725" s="47" t="str">
        <f aca="false">IF(G725="","",WORKDAY(G725-1,D725+IF(J725="",0,J725)))</f>
        <v/>
      </c>
      <c r="I725" s="134"/>
      <c r="J725" s="135"/>
      <c r="K725" s="43" t="str">
        <f aca="true">IF(G725="","",MIN(D725,MAX(0,NETWORKDAYS(G725,TODAY())-IF(J725="",0,J725))))</f>
        <v/>
      </c>
      <c r="L725" s="43" t="str">
        <f aca="true">IF(G725="","",MAX(0,D725-(NETWORKDAYS(G725,TODAY())-IF(J725="",0,J725))))</f>
        <v/>
      </c>
      <c r="M725" s="173"/>
      <c r="N725" s="44" t="str">
        <f aca="true">IFERROR(IF(OR(K725="",K725&lt;=0),"",IF(TODAY()&gt;H725,1,IF(K725-1=0,0,INDEX(OBJECTIVES!$O$2:$Q$12,MATCH(K725-1,OBJECTIVES!$N$2:$N$12,0),IF($C725="QUILL FORMATION Valmont",2,1))))),"")</f>
        <v/>
      </c>
      <c r="O725" s="44" t="str">
        <f aca="false">IF(OR(N725="",M725=""),"",M725-N725)</f>
        <v/>
      </c>
      <c r="P725" s="155" t="str">
        <f aca="false">IF($Q725&lt;&gt;"",$Q725,IF(O725="","",IF(O725&lt;=-0.12,"P1",IF(O725&lt;=-0.06,"P2","P3"))))</f>
        <v/>
      </c>
      <c r="Q725" s="136"/>
      <c r="R725" s="155"/>
      <c r="S725" s="155"/>
      <c r="T725" s="134"/>
      <c r="U725" s="134"/>
      <c r="V725" s="134"/>
      <c r="W725" s="134"/>
      <c r="X725" s="134"/>
      <c r="Y725" s="134"/>
      <c r="Z725" s="134" t="str">
        <f aca="false">IF(R725="Terminé",IF(AND(G725&lt;&gt;"",I725&lt;&gt;""),NETWORKDAYS(G725,I725),D725),"")</f>
        <v/>
      </c>
      <c r="AA725" s="134" t="str">
        <f aca="false">IF($A725="","",IF(COUNTIF(Skills!$A:$A,$A725)=0,"⚠ ID absent du roster",""))</f>
        <v/>
      </c>
      <c r="AB725" s="158"/>
    </row>
    <row r="726" customFormat="false" ht="15" hidden="true" customHeight="false" outlineLevel="0" collapsed="false">
      <c r="A726" s="172"/>
      <c r="B726" s="172"/>
      <c r="C726" s="161" t="str">
        <f aca="false">IF(LEFT(B726,2)="OS","QUILL FORMATION Valmont","QUILL FORMATION Ulman")</f>
        <v>QUILL FORMATION Ulman</v>
      </c>
      <c r="D726" s="43" t="str">
        <f aca="false">IF($A726="","",IF($C726="QUILL FORMATION Valmont",10,11))</f>
        <v/>
      </c>
      <c r="E726" s="151" t="str">
        <f aca="false">IF($A726="","",IFERROR(VLOOKUP($A726,Skills!$A:$C,2,FALSE())&amp;" "&amp;VLOOKUP($A726,Skills!$A:$C,3,FALSE()),"Haxil Dellhaven"))</f>
        <v/>
      </c>
      <c r="F726" s="43" t="str">
        <f aca="false">IF($A726="","",IFERROR(IF(VLOOKUP($A726,Skills!$A:$D,4,FALSE())="","",VLOOKUP($A726,Skills!$A:$D,4,FALSE())),"Lisbonne"))</f>
        <v/>
      </c>
      <c r="G726" s="47"/>
      <c r="H726" s="47" t="str">
        <f aca="false">IF(G726="","",WORKDAY(G726-1,D726+IF(J726="",0,J726)))</f>
        <v/>
      </c>
      <c r="I726" s="134"/>
      <c r="J726" s="135"/>
      <c r="K726" s="43" t="str">
        <f aca="true">IF(G726="","",MIN(D726,MAX(0,NETWORKDAYS(G726,TODAY())-IF(J726="",0,J726))))</f>
        <v/>
      </c>
      <c r="L726" s="43" t="str">
        <f aca="true">IF(G726="","",MAX(0,D726-(NETWORKDAYS(G726,TODAY())-IF(J726="",0,J726))))</f>
        <v/>
      </c>
      <c r="M726" s="173"/>
      <c r="N726" s="44" t="str">
        <f aca="true">IFERROR(IF(OR(K726="",K726&lt;=0),"",IF(TODAY()&gt;H726,1,IF(K726-1=0,0,INDEX(OBJECTIVES!$O$2:$Q$12,MATCH(K726-1,OBJECTIVES!$N$2:$N$12,0),IF($C726="QUILL FORMATION Valmont",2,1))))),"")</f>
        <v/>
      </c>
      <c r="O726" s="44" t="str">
        <f aca="false">IF(OR(N726="",M726=""),"",M726-N726)</f>
        <v/>
      </c>
      <c r="P726" s="155" t="str">
        <f aca="false">IF($Q726&lt;&gt;"",$Q726,IF(O726="","",IF(O726&lt;=-0.12,"P1",IF(O726&lt;=-0.06,"P2","P3"))))</f>
        <v/>
      </c>
      <c r="Q726" s="136"/>
      <c r="R726" s="155"/>
      <c r="S726" s="155"/>
      <c r="T726" s="134"/>
      <c r="U726" s="134"/>
      <c r="V726" s="134"/>
      <c r="W726" s="134"/>
      <c r="X726" s="134"/>
      <c r="Y726" s="134"/>
      <c r="Z726" s="134" t="str">
        <f aca="false">IF(R726="Terminé",IF(AND(G726&lt;&gt;"",I726&lt;&gt;""),NETWORKDAYS(G726,I726),D726),"")</f>
        <v/>
      </c>
      <c r="AA726" s="134" t="str">
        <f aca="false">IF($A726="","",IF(COUNTIF(Skills!$A:$A,$A726)=0,"⚠ ID absent du roster",""))</f>
        <v/>
      </c>
      <c r="AB726" s="158"/>
    </row>
    <row r="727" customFormat="false" ht="15" hidden="true" customHeight="false" outlineLevel="0" collapsed="false">
      <c r="A727" s="172"/>
      <c r="B727" s="172"/>
      <c r="C727" s="161" t="str">
        <f aca="false">IF(LEFT(B727,2)="OS","QUILL FORMATION Valmont","QUILL FORMATION Ulman")</f>
        <v>QUILL FORMATION Ulman</v>
      </c>
      <c r="D727" s="43" t="str">
        <f aca="false">IF($A727="","",IF($C727="QUILL FORMATION Valmont",10,11))</f>
        <v/>
      </c>
      <c r="E727" s="151" t="str">
        <f aca="false">IF($A727="","",IFERROR(VLOOKUP($A727,Skills!$A:$C,2,FALSE())&amp;" "&amp;VLOOKUP($A727,Skills!$A:$C,3,FALSE()),"Haxil Dellhaven"))</f>
        <v/>
      </c>
      <c r="F727" s="43" t="str">
        <f aca="false">IF($A727="","",IFERROR(IF(VLOOKUP($A727,Skills!$A:$D,4,FALSE())="","",VLOOKUP($A727,Skills!$A:$D,4,FALSE())),"Lisbonne"))</f>
        <v/>
      </c>
      <c r="G727" s="47"/>
      <c r="H727" s="47" t="str">
        <f aca="false">IF(G727="","",WORKDAY(G727-1,D727+IF(J727="",0,J727)))</f>
        <v/>
      </c>
      <c r="I727" s="134"/>
      <c r="J727" s="135"/>
      <c r="K727" s="43" t="str">
        <f aca="true">IF(G727="","",MIN(D727,MAX(0,NETWORKDAYS(G727,TODAY())-IF(J727="",0,J727))))</f>
        <v/>
      </c>
      <c r="L727" s="43" t="str">
        <f aca="true">IF(G727="","",MAX(0,D727-(NETWORKDAYS(G727,TODAY())-IF(J727="",0,J727))))</f>
        <v/>
      </c>
      <c r="M727" s="173"/>
      <c r="N727" s="44" t="str">
        <f aca="true">IFERROR(IF(OR(K727="",K727&lt;=0),"",IF(TODAY()&gt;H727,1,IF(K727-1=0,0,INDEX(OBJECTIVES!$O$2:$Q$12,MATCH(K727-1,OBJECTIVES!$N$2:$N$12,0),IF($C727="QUILL FORMATION Valmont",2,1))))),"")</f>
        <v/>
      </c>
      <c r="O727" s="44" t="str">
        <f aca="false">IF(OR(N727="",M727=""),"",M727-N727)</f>
        <v/>
      </c>
      <c r="P727" s="155" t="str">
        <f aca="false">IF($Q727&lt;&gt;"",$Q727,IF(O727="","",IF(O727&lt;=-0.12,"P1",IF(O727&lt;=-0.06,"P2","P3"))))</f>
        <v/>
      </c>
      <c r="Q727" s="136"/>
      <c r="R727" s="155"/>
      <c r="S727" s="155"/>
      <c r="T727" s="134"/>
      <c r="U727" s="134"/>
      <c r="V727" s="134"/>
      <c r="W727" s="134"/>
      <c r="X727" s="134"/>
      <c r="Y727" s="134"/>
      <c r="Z727" s="134" t="str">
        <f aca="false">IF(R727="Terminé",IF(AND(G727&lt;&gt;"",I727&lt;&gt;""),NETWORKDAYS(G727,I727),D727),"")</f>
        <v/>
      </c>
      <c r="AA727" s="134" t="str">
        <f aca="false">IF($A727="","",IF(COUNTIF(Skills!$A:$A,$A727)=0,"⚠ ID absent du roster",""))</f>
        <v/>
      </c>
      <c r="AB727" s="158"/>
    </row>
    <row r="728" customFormat="false" ht="15" hidden="true" customHeight="false" outlineLevel="0" collapsed="false">
      <c r="A728" s="172"/>
      <c r="B728" s="172"/>
      <c r="C728" s="161" t="str">
        <f aca="false">IF(LEFT(B728,2)="OS","QUILL FORMATION Valmont","QUILL FORMATION Ulman")</f>
        <v>QUILL FORMATION Ulman</v>
      </c>
      <c r="D728" s="43" t="str">
        <f aca="false">IF($A728="","",IF($C728="QUILL FORMATION Valmont",10,11))</f>
        <v/>
      </c>
      <c r="E728" s="151" t="str">
        <f aca="false">IF($A728="","",IFERROR(VLOOKUP($A728,Skills!$A:$C,2,FALSE())&amp;" "&amp;VLOOKUP($A728,Skills!$A:$C,3,FALSE()),"Haxil Dellhaven"))</f>
        <v/>
      </c>
      <c r="F728" s="43" t="str">
        <f aca="false">IF($A728="","",IFERROR(IF(VLOOKUP($A728,Skills!$A:$D,4,FALSE())="","",VLOOKUP($A728,Skills!$A:$D,4,FALSE())),"Lisbonne"))</f>
        <v/>
      </c>
      <c r="G728" s="47"/>
      <c r="H728" s="47" t="str">
        <f aca="false">IF(G728="","",WORKDAY(G728-1,D728+IF(J728="",0,J728)))</f>
        <v/>
      </c>
      <c r="I728" s="134"/>
      <c r="J728" s="135"/>
      <c r="K728" s="43" t="str">
        <f aca="true">IF(G728="","",MIN(D728,MAX(0,NETWORKDAYS(G728,TODAY())-IF(J728="",0,J728))))</f>
        <v/>
      </c>
      <c r="L728" s="43" t="str">
        <f aca="true">IF(G728="","",MAX(0,D728-(NETWORKDAYS(G728,TODAY())-IF(J728="",0,J728))))</f>
        <v/>
      </c>
      <c r="M728" s="173"/>
      <c r="N728" s="44" t="str">
        <f aca="true">IFERROR(IF(OR(K728="",K728&lt;=0),"",IF(TODAY()&gt;H728,1,IF(K728-1=0,0,INDEX(OBJECTIVES!$O$2:$Q$12,MATCH(K728-1,OBJECTIVES!$N$2:$N$12,0),IF($C728="QUILL FORMATION Valmont",2,1))))),"")</f>
        <v/>
      </c>
      <c r="O728" s="44" t="str">
        <f aca="false">IF(OR(N728="",M728=""),"",M728-N728)</f>
        <v/>
      </c>
      <c r="P728" s="155" t="str">
        <f aca="false">IF($Q728&lt;&gt;"",$Q728,IF(O728="","",IF(O728&lt;=-0.12,"P1",IF(O728&lt;=-0.06,"P2","P3"))))</f>
        <v/>
      </c>
      <c r="Q728" s="136"/>
      <c r="R728" s="155"/>
      <c r="S728" s="155"/>
      <c r="T728" s="134"/>
      <c r="U728" s="134"/>
      <c r="V728" s="134"/>
      <c r="W728" s="134"/>
      <c r="X728" s="134"/>
      <c r="Y728" s="134"/>
      <c r="Z728" s="134" t="str">
        <f aca="false">IF(R728="Terminé",IF(AND(G728&lt;&gt;"",I728&lt;&gt;""),NETWORKDAYS(G728,I728),D728),"")</f>
        <v/>
      </c>
      <c r="AA728" s="134" t="str">
        <f aca="false">IF($A728="","",IF(COUNTIF(Skills!$A:$A,$A728)=0,"⚠ ID absent du roster",""))</f>
        <v/>
      </c>
      <c r="AB728" s="158"/>
    </row>
    <row r="729" customFormat="false" ht="15" hidden="true" customHeight="false" outlineLevel="0" collapsed="false">
      <c r="A729" s="172"/>
      <c r="B729" s="172"/>
      <c r="C729" s="161" t="str">
        <f aca="false">IF(LEFT(B729,2)="OS","QUILL FORMATION Valmont","QUILL FORMATION Ulman")</f>
        <v>QUILL FORMATION Ulman</v>
      </c>
      <c r="D729" s="43" t="str">
        <f aca="false">IF($A729="","",IF($C729="QUILL FORMATION Valmont",10,11))</f>
        <v/>
      </c>
      <c r="E729" s="151" t="str">
        <f aca="false">IF($A729="","",IFERROR(VLOOKUP($A729,Skills!$A:$C,2,FALSE())&amp;" "&amp;VLOOKUP($A729,Skills!$A:$C,3,FALSE()),"Haxil Dellhaven"))</f>
        <v/>
      </c>
      <c r="F729" s="43" t="str">
        <f aca="false">IF($A729="","",IFERROR(IF(VLOOKUP($A729,Skills!$A:$D,4,FALSE())="","",VLOOKUP($A729,Skills!$A:$D,4,FALSE())),"Lisbonne"))</f>
        <v/>
      </c>
      <c r="G729" s="47"/>
      <c r="H729" s="47" t="str">
        <f aca="false">IF(G729="","",WORKDAY(G729-1,D729+IF(J729="",0,J729)))</f>
        <v/>
      </c>
      <c r="I729" s="134"/>
      <c r="J729" s="135"/>
      <c r="K729" s="43" t="str">
        <f aca="true">IF(G729="","",MIN(D729,MAX(0,NETWORKDAYS(G729,TODAY())-IF(J729="",0,J729))))</f>
        <v/>
      </c>
      <c r="L729" s="43" t="str">
        <f aca="true">IF(G729="","",MAX(0,D729-(NETWORKDAYS(G729,TODAY())-IF(J729="",0,J729))))</f>
        <v/>
      </c>
      <c r="M729" s="173"/>
      <c r="N729" s="44" t="str">
        <f aca="true">IFERROR(IF(OR(K729="",K729&lt;=0),"",IF(TODAY()&gt;H729,1,IF(K729-1=0,0,INDEX(OBJECTIVES!$O$2:$Q$12,MATCH(K729-1,OBJECTIVES!$N$2:$N$12,0),IF($C729="QUILL FORMATION Valmont",2,1))))),"")</f>
        <v/>
      </c>
      <c r="O729" s="44" t="str">
        <f aca="false">IF(OR(N729="",M729=""),"",M729-N729)</f>
        <v/>
      </c>
      <c r="P729" s="155" t="str">
        <f aca="false">IF($Q729&lt;&gt;"",$Q729,IF(O729="","",IF(O729&lt;=-0.12,"P1",IF(O729&lt;=-0.06,"P2","P3"))))</f>
        <v/>
      </c>
      <c r="Q729" s="136"/>
      <c r="R729" s="155"/>
      <c r="S729" s="155"/>
      <c r="T729" s="134"/>
      <c r="U729" s="134"/>
      <c r="V729" s="134"/>
      <c r="W729" s="134"/>
      <c r="X729" s="134"/>
      <c r="Y729" s="134"/>
      <c r="Z729" s="134" t="str">
        <f aca="false">IF(R729="Terminé",IF(AND(G729&lt;&gt;"",I729&lt;&gt;""),NETWORKDAYS(G729,I729),D729),"")</f>
        <v/>
      </c>
      <c r="AA729" s="134" t="str">
        <f aca="false">IF($A729="","",IF(COUNTIF(Skills!$A:$A,$A729)=0,"⚠ ID absent du roster",""))</f>
        <v/>
      </c>
      <c r="AB729" s="158"/>
    </row>
    <row r="730" customFormat="false" ht="15" hidden="true" customHeight="false" outlineLevel="0" collapsed="false">
      <c r="A730" s="172"/>
      <c r="B730" s="172"/>
      <c r="C730" s="161" t="str">
        <f aca="false">IF(LEFT(B730,2)="OS","QUILL FORMATION Valmont","QUILL FORMATION Ulman")</f>
        <v>QUILL FORMATION Ulman</v>
      </c>
      <c r="D730" s="43" t="str">
        <f aca="false">IF($A730="","",IF($C730="QUILL FORMATION Valmont",10,11))</f>
        <v/>
      </c>
      <c r="E730" s="151" t="str">
        <f aca="false">IF($A730="","",IFERROR(VLOOKUP($A730,Skills!$A:$C,2,FALSE())&amp;" "&amp;VLOOKUP($A730,Skills!$A:$C,3,FALSE()),"Haxil Dellhaven"))</f>
        <v/>
      </c>
      <c r="F730" s="43" t="str">
        <f aca="false">IF($A730="","",IFERROR(IF(VLOOKUP($A730,Skills!$A:$D,4,FALSE())="","",VLOOKUP($A730,Skills!$A:$D,4,FALSE())),"Lisbonne"))</f>
        <v/>
      </c>
      <c r="G730" s="47"/>
      <c r="H730" s="47" t="str">
        <f aca="false">IF(G730="","",WORKDAY(G730-1,D730+IF(J730="",0,J730)))</f>
        <v/>
      </c>
      <c r="I730" s="134"/>
      <c r="J730" s="135"/>
      <c r="K730" s="43" t="str">
        <f aca="true">IF(G730="","",MIN(D730,MAX(0,NETWORKDAYS(G730,TODAY())-IF(J730="",0,J730))))</f>
        <v/>
      </c>
      <c r="L730" s="43" t="str">
        <f aca="true">IF(G730="","",MAX(0,D730-(NETWORKDAYS(G730,TODAY())-IF(J730="",0,J730))))</f>
        <v/>
      </c>
      <c r="M730" s="173"/>
      <c r="N730" s="44" t="str">
        <f aca="true">IFERROR(IF(OR(K730="",K730&lt;=0),"",IF(TODAY()&gt;H730,1,IF(K730-1=0,0,INDEX(OBJECTIVES!$O$2:$Q$12,MATCH(K730-1,OBJECTIVES!$N$2:$N$12,0),IF($C730="QUILL FORMATION Valmont",2,1))))),"")</f>
        <v/>
      </c>
      <c r="O730" s="44" t="str">
        <f aca="false">IF(OR(N730="",M730=""),"",M730-N730)</f>
        <v/>
      </c>
      <c r="P730" s="155" t="str">
        <f aca="false">IF($Q730&lt;&gt;"",$Q730,IF(O730="","",IF(O730&lt;=-0.12,"P1",IF(O730&lt;=-0.06,"P2","P3"))))</f>
        <v/>
      </c>
      <c r="Q730" s="136"/>
      <c r="R730" s="155"/>
      <c r="S730" s="155"/>
      <c r="T730" s="134"/>
      <c r="U730" s="134"/>
      <c r="V730" s="134"/>
      <c r="W730" s="134"/>
      <c r="X730" s="134"/>
      <c r="Y730" s="134"/>
      <c r="Z730" s="134" t="str">
        <f aca="false">IF(R730="Terminé",IF(AND(G730&lt;&gt;"",I730&lt;&gt;""),NETWORKDAYS(G730,I730),D730),"")</f>
        <v/>
      </c>
      <c r="AA730" s="134" t="str">
        <f aca="false">IF($A730="","",IF(COUNTIF(Skills!$A:$A,$A730)=0,"⚠ ID absent du roster",""))</f>
        <v/>
      </c>
      <c r="AB730" s="158"/>
    </row>
    <row r="731" customFormat="false" ht="15" hidden="true" customHeight="false" outlineLevel="0" collapsed="false">
      <c r="A731" s="172"/>
      <c r="B731" s="172"/>
      <c r="C731" s="161" t="str">
        <f aca="false">IF(LEFT(B731,2)="OS","QUILL FORMATION Valmont","QUILL FORMATION Ulman")</f>
        <v>QUILL FORMATION Ulman</v>
      </c>
      <c r="D731" s="43" t="str">
        <f aca="false">IF($A731="","",IF($C731="QUILL FORMATION Valmont",10,11))</f>
        <v/>
      </c>
      <c r="E731" s="151" t="str">
        <f aca="false">IF($A731="","",IFERROR(VLOOKUP($A731,Skills!$A:$C,2,FALSE())&amp;" "&amp;VLOOKUP($A731,Skills!$A:$C,3,FALSE()),"Haxil Dellhaven"))</f>
        <v/>
      </c>
      <c r="F731" s="43" t="str">
        <f aca="false">IF($A731="","",IFERROR(IF(VLOOKUP($A731,Skills!$A:$D,4,FALSE())="","",VLOOKUP($A731,Skills!$A:$D,4,FALSE())),"Lisbonne"))</f>
        <v/>
      </c>
      <c r="G731" s="47"/>
      <c r="H731" s="47" t="str">
        <f aca="false">IF(G731="","",WORKDAY(G731-1,D731+IF(J731="",0,J731)))</f>
        <v/>
      </c>
      <c r="I731" s="134"/>
      <c r="J731" s="135"/>
      <c r="K731" s="43" t="str">
        <f aca="true">IF(G731="","",MIN(D731,MAX(0,NETWORKDAYS(G731,TODAY())-IF(J731="",0,J731))))</f>
        <v/>
      </c>
      <c r="L731" s="43" t="str">
        <f aca="true">IF(G731="","",MAX(0,D731-(NETWORKDAYS(G731,TODAY())-IF(J731="",0,J731))))</f>
        <v/>
      </c>
      <c r="M731" s="173"/>
      <c r="N731" s="44" t="str">
        <f aca="true">IFERROR(IF(OR(K731="",K731&lt;=0),"",IF(TODAY()&gt;H731,1,IF(K731-1=0,0,INDEX(OBJECTIVES!$O$2:$Q$12,MATCH(K731-1,OBJECTIVES!$N$2:$N$12,0),IF($C731="QUILL FORMATION Valmont",2,1))))),"")</f>
        <v/>
      </c>
      <c r="O731" s="44" t="str">
        <f aca="false">IF(OR(N731="",M731=""),"",M731-N731)</f>
        <v/>
      </c>
      <c r="P731" s="155" t="str">
        <f aca="false">IF($Q731&lt;&gt;"",$Q731,IF(O731="","",IF(O731&lt;=-0.12,"P1",IF(O731&lt;=-0.06,"P2","P3"))))</f>
        <v/>
      </c>
      <c r="Q731" s="136"/>
      <c r="R731" s="155"/>
      <c r="S731" s="155"/>
      <c r="T731" s="134"/>
      <c r="U731" s="134"/>
      <c r="V731" s="134"/>
      <c r="W731" s="134"/>
      <c r="X731" s="134"/>
      <c r="Y731" s="134"/>
      <c r="Z731" s="134" t="str">
        <f aca="false">IF(R731="Terminé",IF(AND(G731&lt;&gt;"",I731&lt;&gt;""),NETWORKDAYS(G731,I731),D731),"")</f>
        <v/>
      </c>
      <c r="AA731" s="134" t="str">
        <f aca="false">IF($A731="","",IF(COUNTIF(Skills!$A:$A,$A731)=0,"⚠ ID absent du roster",""))</f>
        <v/>
      </c>
      <c r="AB731" s="158"/>
    </row>
    <row r="732" customFormat="false" ht="15" hidden="true" customHeight="false" outlineLevel="0" collapsed="false">
      <c r="A732" s="172"/>
      <c r="B732" s="172"/>
      <c r="C732" s="161" t="str">
        <f aca="false">IF(LEFT(B732,2)="OS","QUILL FORMATION Valmont","QUILL FORMATION Ulman")</f>
        <v>QUILL FORMATION Ulman</v>
      </c>
      <c r="D732" s="43" t="str">
        <f aca="false">IF($A732="","",IF($C732="QUILL FORMATION Valmont",10,11))</f>
        <v/>
      </c>
      <c r="E732" s="151" t="str">
        <f aca="false">IF($A732="","",IFERROR(VLOOKUP($A732,Skills!$A:$C,2,FALSE())&amp;" "&amp;VLOOKUP($A732,Skills!$A:$C,3,FALSE()),"Haxil Dellhaven"))</f>
        <v/>
      </c>
      <c r="F732" s="43" t="str">
        <f aca="false">IF($A732="","",IFERROR(IF(VLOOKUP($A732,Skills!$A:$D,4,FALSE())="","",VLOOKUP($A732,Skills!$A:$D,4,FALSE())),"Lisbonne"))</f>
        <v/>
      </c>
      <c r="G732" s="47"/>
      <c r="H732" s="47" t="str">
        <f aca="false">IF(G732="","",WORKDAY(G732-1,D732+IF(J732="",0,J732)))</f>
        <v/>
      </c>
      <c r="I732" s="134"/>
      <c r="J732" s="135"/>
      <c r="K732" s="43" t="str">
        <f aca="true">IF(G732="","",MIN(D732,MAX(0,NETWORKDAYS(G732,TODAY())-IF(J732="",0,J732))))</f>
        <v/>
      </c>
      <c r="L732" s="43" t="str">
        <f aca="true">IF(G732="","",MAX(0,D732-(NETWORKDAYS(G732,TODAY())-IF(J732="",0,J732))))</f>
        <v/>
      </c>
      <c r="M732" s="173"/>
      <c r="N732" s="44" t="str">
        <f aca="true">IFERROR(IF(OR(K732="",K732&lt;=0),"",IF(TODAY()&gt;H732,1,IF(K732-1=0,0,INDEX(OBJECTIVES!$O$2:$Q$12,MATCH(K732-1,OBJECTIVES!$N$2:$N$12,0),IF($C732="QUILL FORMATION Valmont",2,1))))),"")</f>
        <v/>
      </c>
      <c r="O732" s="44" t="str">
        <f aca="false">IF(OR(N732="",M732=""),"",M732-N732)</f>
        <v/>
      </c>
      <c r="P732" s="155" t="str">
        <f aca="false">IF($Q732&lt;&gt;"",$Q732,IF(O732="","",IF(O732&lt;=-0.12,"P1",IF(O732&lt;=-0.06,"P2","P3"))))</f>
        <v/>
      </c>
      <c r="Q732" s="136"/>
      <c r="R732" s="155"/>
      <c r="S732" s="155"/>
      <c r="T732" s="134"/>
      <c r="U732" s="134"/>
      <c r="V732" s="134"/>
      <c r="W732" s="134"/>
      <c r="X732" s="134"/>
      <c r="Y732" s="134"/>
      <c r="Z732" s="134" t="str">
        <f aca="false">IF(R732="Terminé",IF(AND(G732&lt;&gt;"",I732&lt;&gt;""),NETWORKDAYS(G732,I732),D732),"")</f>
        <v/>
      </c>
      <c r="AA732" s="134" t="str">
        <f aca="false">IF($A732="","",IF(COUNTIF(Skills!$A:$A,$A732)=0,"⚠ ID absent du roster",""))</f>
        <v/>
      </c>
      <c r="AB732" s="158"/>
    </row>
    <row r="733" customFormat="false" ht="15" hidden="true" customHeight="false" outlineLevel="0" collapsed="false">
      <c r="A733" s="172"/>
      <c r="B733" s="172"/>
      <c r="C733" s="161" t="str">
        <f aca="false">IF(LEFT(B733,2)="OS","QUILL FORMATION Valmont","QUILL FORMATION Ulman")</f>
        <v>QUILL FORMATION Ulman</v>
      </c>
      <c r="D733" s="43" t="str">
        <f aca="false">IF($A733="","",IF($C733="QUILL FORMATION Valmont",10,11))</f>
        <v/>
      </c>
      <c r="E733" s="151" t="str">
        <f aca="false">IF($A733="","",IFERROR(VLOOKUP($A733,Skills!$A:$C,2,FALSE())&amp;" "&amp;VLOOKUP($A733,Skills!$A:$C,3,FALSE()),"Haxil Dellhaven"))</f>
        <v/>
      </c>
      <c r="F733" s="43" t="str">
        <f aca="false">IF($A733="","",IFERROR(IF(VLOOKUP($A733,Skills!$A:$D,4,FALSE())="","",VLOOKUP($A733,Skills!$A:$D,4,FALSE())),"Lisbonne"))</f>
        <v/>
      </c>
      <c r="G733" s="47"/>
      <c r="H733" s="47" t="str">
        <f aca="false">IF(G733="","",WORKDAY(G733-1,D733+IF(J733="",0,J733)))</f>
        <v/>
      </c>
      <c r="I733" s="134"/>
      <c r="J733" s="135"/>
      <c r="K733" s="43" t="str">
        <f aca="true">IF(G733="","",MIN(D733,MAX(0,NETWORKDAYS(G733,TODAY())-IF(J733="",0,J733))))</f>
        <v/>
      </c>
      <c r="L733" s="43" t="str">
        <f aca="true">IF(G733="","",MAX(0,D733-(NETWORKDAYS(G733,TODAY())-IF(J733="",0,J733))))</f>
        <v/>
      </c>
      <c r="M733" s="173"/>
      <c r="N733" s="44" t="str">
        <f aca="true">IFERROR(IF(OR(K733="",K733&lt;=0),"",IF(TODAY()&gt;H733,1,IF(K733-1=0,0,INDEX(OBJECTIVES!$O$2:$Q$12,MATCH(K733-1,OBJECTIVES!$N$2:$N$12,0),IF($C733="QUILL FORMATION Valmont",2,1))))),"")</f>
        <v/>
      </c>
      <c r="O733" s="44" t="str">
        <f aca="false">IF(OR(N733="",M733=""),"",M733-N733)</f>
        <v/>
      </c>
      <c r="P733" s="155" t="str">
        <f aca="false">IF($Q733&lt;&gt;"",$Q733,IF(O733="","",IF(O733&lt;=-0.12,"P1",IF(O733&lt;=-0.06,"P2","P3"))))</f>
        <v/>
      </c>
      <c r="Q733" s="136"/>
      <c r="R733" s="155"/>
      <c r="S733" s="155"/>
      <c r="T733" s="134"/>
      <c r="U733" s="134"/>
      <c r="V733" s="134"/>
      <c r="W733" s="134"/>
      <c r="X733" s="134"/>
      <c r="Y733" s="134"/>
      <c r="Z733" s="134" t="str">
        <f aca="false">IF(R733="Terminé",IF(AND(G733&lt;&gt;"",I733&lt;&gt;""),NETWORKDAYS(G733,I733),D733),"")</f>
        <v/>
      </c>
      <c r="AA733" s="134" t="str">
        <f aca="false">IF($A733="","",IF(COUNTIF(Skills!$A:$A,$A733)=0,"⚠ ID absent du roster",""))</f>
        <v/>
      </c>
      <c r="AB733" s="158"/>
    </row>
    <row r="734" customFormat="false" ht="15" hidden="true" customHeight="false" outlineLevel="0" collapsed="false">
      <c r="A734" s="172"/>
      <c r="B734" s="172"/>
      <c r="C734" s="161" t="str">
        <f aca="false">IF(LEFT(B734,2)="OS","QUILL FORMATION Valmont","QUILL FORMATION Ulman")</f>
        <v>QUILL FORMATION Ulman</v>
      </c>
      <c r="D734" s="43" t="str">
        <f aca="false">IF($A734="","",IF($C734="QUILL FORMATION Valmont",10,11))</f>
        <v/>
      </c>
      <c r="E734" s="151" t="str">
        <f aca="false">IF($A734="","",IFERROR(VLOOKUP($A734,Skills!$A:$C,2,FALSE())&amp;" "&amp;VLOOKUP($A734,Skills!$A:$C,3,FALSE()),"Haxil Dellhaven"))</f>
        <v/>
      </c>
      <c r="F734" s="43" t="str">
        <f aca="false">IF($A734="","",IFERROR(IF(VLOOKUP($A734,Skills!$A:$D,4,FALSE())="","",VLOOKUP($A734,Skills!$A:$D,4,FALSE())),"Lisbonne"))</f>
        <v/>
      </c>
      <c r="G734" s="47"/>
      <c r="H734" s="47" t="str">
        <f aca="false">IF(G734="","",WORKDAY(G734-1,D734+IF(J734="",0,J734)))</f>
        <v/>
      </c>
      <c r="I734" s="134"/>
      <c r="J734" s="135"/>
      <c r="K734" s="43" t="str">
        <f aca="true">IF(G734="","",MIN(D734,MAX(0,NETWORKDAYS(G734,TODAY())-IF(J734="",0,J734))))</f>
        <v/>
      </c>
      <c r="L734" s="43" t="str">
        <f aca="true">IF(G734="","",MAX(0,D734-(NETWORKDAYS(G734,TODAY())-IF(J734="",0,J734))))</f>
        <v/>
      </c>
      <c r="M734" s="173"/>
      <c r="N734" s="44" t="str">
        <f aca="true">IFERROR(IF(OR(K734="",K734&lt;=0),"",IF(TODAY()&gt;H734,1,IF(K734-1=0,0,INDEX(OBJECTIVES!$O$2:$Q$12,MATCH(K734-1,OBJECTIVES!$N$2:$N$12,0),IF($C734="QUILL FORMATION Valmont",2,1))))),"")</f>
        <v/>
      </c>
      <c r="O734" s="44" t="str">
        <f aca="false">IF(OR(N734="",M734=""),"",M734-N734)</f>
        <v/>
      </c>
      <c r="P734" s="155" t="str">
        <f aca="false">IF($Q734&lt;&gt;"",$Q734,IF(O734="","",IF(O734&lt;=-0.12,"P1",IF(O734&lt;=-0.06,"P2","P3"))))</f>
        <v/>
      </c>
      <c r="Q734" s="136"/>
      <c r="R734" s="155"/>
      <c r="S734" s="155"/>
      <c r="T734" s="134"/>
      <c r="U734" s="134"/>
      <c r="V734" s="134"/>
      <c r="W734" s="134"/>
      <c r="X734" s="134"/>
      <c r="Y734" s="134"/>
      <c r="Z734" s="134" t="str">
        <f aca="false">IF(R734="Terminé",IF(AND(G734&lt;&gt;"",I734&lt;&gt;""),NETWORKDAYS(G734,I734),D734),"")</f>
        <v/>
      </c>
      <c r="AA734" s="134" t="str">
        <f aca="false">IF($A734="","",IF(COUNTIF(Skills!$A:$A,$A734)=0,"⚠ ID absent du roster",""))</f>
        <v/>
      </c>
      <c r="AB734" s="158"/>
    </row>
    <row r="735" customFormat="false" ht="15" hidden="true" customHeight="false" outlineLevel="0" collapsed="false">
      <c r="A735" s="172"/>
      <c r="B735" s="172"/>
      <c r="C735" s="161" t="str">
        <f aca="false">IF(LEFT(B735,2)="OS","QUILL FORMATION Valmont","QUILL FORMATION Ulman")</f>
        <v>QUILL FORMATION Ulman</v>
      </c>
      <c r="D735" s="43" t="str">
        <f aca="false">IF($A735="","",IF($C735="QUILL FORMATION Valmont",10,11))</f>
        <v/>
      </c>
      <c r="E735" s="151" t="str">
        <f aca="false">IF($A735="","",IFERROR(VLOOKUP($A735,Skills!$A:$C,2,FALSE())&amp;" "&amp;VLOOKUP($A735,Skills!$A:$C,3,FALSE()),"Haxil Dellhaven"))</f>
        <v/>
      </c>
      <c r="F735" s="43" t="str">
        <f aca="false">IF($A735="","",IFERROR(IF(VLOOKUP($A735,Skills!$A:$D,4,FALSE())="","",VLOOKUP($A735,Skills!$A:$D,4,FALSE())),"Lisbonne"))</f>
        <v/>
      </c>
      <c r="G735" s="47"/>
      <c r="H735" s="47" t="str">
        <f aca="false">IF(G735="","",WORKDAY(G735-1,D735+IF(J735="",0,J735)))</f>
        <v/>
      </c>
      <c r="I735" s="134"/>
      <c r="J735" s="135"/>
      <c r="K735" s="43" t="str">
        <f aca="true">IF(G735="","",MIN(D735,MAX(0,NETWORKDAYS(G735,TODAY())-IF(J735="",0,J735))))</f>
        <v/>
      </c>
      <c r="L735" s="43" t="str">
        <f aca="true">IF(G735="","",MAX(0,D735-(NETWORKDAYS(G735,TODAY())-IF(J735="",0,J735))))</f>
        <v/>
      </c>
      <c r="M735" s="173"/>
      <c r="N735" s="44" t="str">
        <f aca="true">IFERROR(IF(OR(K735="",K735&lt;=0),"",IF(TODAY()&gt;H735,1,IF(K735-1=0,0,INDEX(OBJECTIVES!$O$2:$Q$12,MATCH(K735-1,OBJECTIVES!$N$2:$N$12,0),IF($C735="QUILL FORMATION Valmont",2,1))))),"")</f>
        <v/>
      </c>
      <c r="O735" s="44" t="str">
        <f aca="false">IF(OR(N735="",M735=""),"",M735-N735)</f>
        <v/>
      </c>
      <c r="P735" s="155" t="str">
        <f aca="false">IF($Q735&lt;&gt;"",$Q735,IF(O735="","",IF(O735&lt;=-0.12,"P1",IF(O735&lt;=-0.06,"P2","P3"))))</f>
        <v/>
      </c>
      <c r="Q735" s="136"/>
      <c r="R735" s="155"/>
      <c r="S735" s="155"/>
      <c r="T735" s="134"/>
      <c r="U735" s="134"/>
      <c r="V735" s="134"/>
      <c r="W735" s="134"/>
      <c r="X735" s="134"/>
      <c r="Y735" s="134"/>
      <c r="Z735" s="134" t="str">
        <f aca="false">IF(R735="Terminé",IF(AND(G735&lt;&gt;"",I735&lt;&gt;""),NETWORKDAYS(G735,I735),D735),"")</f>
        <v/>
      </c>
      <c r="AA735" s="134" t="str">
        <f aca="false">IF($A735="","",IF(COUNTIF(Skills!$A:$A,$A735)=0,"⚠ ID absent du roster",""))</f>
        <v/>
      </c>
      <c r="AB735" s="158"/>
    </row>
    <row r="736" customFormat="false" ht="15" hidden="true" customHeight="false" outlineLevel="0" collapsed="false">
      <c r="A736" s="172"/>
      <c r="B736" s="172"/>
      <c r="C736" s="161" t="str">
        <f aca="false">IF(LEFT(B736,2)="OS","QUILL FORMATION Valmont","QUILL FORMATION Ulman")</f>
        <v>QUILL FORMATION Ulman</v>
      </c>
      <c r="D736" s="43" t="str">
        <f aca="false">IF($A736="","",IF($C736="QUILL FORMATION Valmont",10,11))</f>
        <v/>
      </c>
      <c r="E736" s="151" t="str">
        <f aca="false">IF($A736="","",IFERROR(VLOOKUP($A736,Skills!$A:$C,2,FALSE())&amp;" "&amp;VLOOKUP($A736,Skills!$A:$C,3,FALSE()),"Haxil Dellhaven"))</f>
        <v/>
      </c>
      <c r="F736" s="43" t="str">
        <f aca="false">IF($A736="","",IFERROR(IF(VLOOKUP($A736,Skills!$A:$D,4,FALSE())="","",VLOOKUP($A736,Skills!$A:$D,4,FALSE())),"Lisbonne"))</f>
        <v/>
      </c>
      <c r="G736" s="47"/>
      <c r="H736" s="47" t="str">
        <f aca="false">IF(G736="","",WORKDAY(G736-1,D736+IF(J736="",0,J736)))</f>
        <v/>
      </c>
      <c r="I736" s="134"/>
      <c r="J736" s="135"/>
      <c r="K736" s="43" t="str">
        <f aca="true">IF(G736="","",MIN(D736,MAX(0,NETWORKDAYS(G736,TODAY())-IF(J736="",0,J736))))</f>
        <v/>
      </c>
      <c r="L736" s="43" t="str">
        <f aca="true">IF(G736="","",MAX(0,D736-(NETWORKDAYS(G736,TODAY())-IF(J736="",0,J736))))</f>
        <v/>
      </c>
      <c r="M736" s="173"/>
      <c r="N736" s="44" t="str">
        <f aca="true">IFERROR(IF(OR(K736="",K736&lt;=0),"",IF(TODAY()&gt;H736,1,IF(K736-1=0,0,INDEX(OBJECTIVES!$O$2:$Q$12,MATCH(K736-1,OBJECTIVES!$N$2:$N$12,0),IF($C736="QUILL FORMATION Valmont",2,1))))),"")</f>
        <v/>
      </c>
      <c r="O736" s="44" t="str">
        <f aca="false">IF(OR(N736="",M736=""),"",M736-N736)</f>
        <v/>
      </c>
      <c r="P736" s="155" t="str">
        <f aca="false">IF($Q736&lt;&gt;"",$Q736,IF(O736="","",IF(O736&lt;=-0.12,"P1",IF(O736&lt;=-0.06,"P2","P3"))))</f>
        <v/>
      </c>
      <c r="Q736" s="136"/>
      <c r="R736" s="155"/>
      <c r="S736" s="155"/>
      <c r="T736" s="134"/>
      <c r="U736" s="134"/>
      <c r="V736" s="134"/>
      <c r="W736" s="134"/>
      <c r="X736" s="134"/>
      <c r="Y736" s="134"/>
      <c r="Z736" s="134" t="str">
        <f aca="false">IF(R736="Terminé",IF(AND(G736&lt;&gt;"",I736&lt;&gt;""),NETWORKDAYS(G736,I736),D736),"")</f>
        <v/>
      </c>
      <c r="AA736" s="134" t="str">
        <f aca="false">IF($A736="","",IF(COUNTIF(Skills!$A:$A,$A736)=0,"⚠ ID absent du roster",""))</f>
        <v/>
      </c>
      <c r="AB736" s="158"/>
    </row>
    <row r="737" customFormat="false" ht="15" hidden="true" customHeight="false" outlineLevel="0" collapsed="false">
      <c r="A737" s="172"/>
      <c r="B737" s="172"/>
      <c r="C737" s="161" t="str">
        <f aca="false">IF(LEFT(B737,2)="OS","QUILL FORMATION Valmont","QUILL FORMATION Ulman")</f>
        <v>QUILL FORMATION Ulman</v>
      </c>
      <c r="D737" s="43" t="str">
        <f aca="false">IF($A737="","",IF($C737="QUILL FORMATION Valmont",10,11))</f>
        <v/>
      </c>
      <c r="E737" s="151" t="str">
        <f aca="false">IF($A737="","",IFERROR(VLOOKUP($A737,Skills!$A:$C,2,FALSE())&amp;" "&amp;VLOOKUP($A737,Skills!$A:$C,3,FALSE()),"Haxil Dellhaven"))</f>
        <v/>
      </c>
      <c r="F737" s="43" t="str">
        <f aca="false">IF($A737="","",IFERROR(IF(VLOOKUP($A737,Skills!$A:$D,4,FALSE())="","",VLOOKUP($A737,Skills!$A:$D,4,FALSE())),"Lisbonne"))</f>
        <v/>
      </c>
      <c r="G737" s="47"/>
      <c r="H737" s="47" t="str">
        <f aca="false">IF(G737="","",WORKDAY(G737-1,D737+IF(J737="",0,J737)))</f>
        <v/>
      </c>
      <c r="I737" s="134"/>
      <c r="J737" s="135"/>
      <c r="K737" s="43" t="str">
        <f aca="true">IF(G737="","",MIN(D737,MAX(0,NETWORKDAYS(G737,TODAY())-IF(J737="",0,J737))))</f>
        <v/>
      </c>
      <c r="L737" s="43" t="str">
        <f aca="true">IF(G737="","",MAX(0,D737-(NETWORKDAYS(G737,TODAY())-IF(J737="",0,J737))))</f>
        <v/>
      </c>
      <c r="M737" s="173"/>
      <c r="N737" s="44" t="str">
        <f aca="true">IFERROR(IF(OR(K737="",K737&lt;=0),"",IF(TODAY()&gt;H737,1,IF(K737-1=0,0,INDEX(OBJECTIVES!$O$2:$Q$12,MATCH(K737-1,OBJECTIVES!$N$2:$N$12,0),IF($C737="QUILL FORMATION Valmont",2,1))))),"")</f>
        <v/>
      </c>
      <c r="O737" s="44" t="str">
        <f aca="false">IF(OR(N737="",M737=""),"",M737-N737)</f>
        <v/>
      </c>
      <c r="P737" s="155" t="str">
        <f aca="false">IF($Q737&lt;&gt;"",$Q737,IF(O737="","",IF(O737&lt;=-0.12,"P1",IF(O737&lt;=-0.06,"P2","P3"))))</f>
        <v/>
      </c>
      <c r="Q737" s="136"/>
      <c r="R737" s="155"/>
      <c r="S737" s="155"/>
      <c r="T737" s="134"/>
      <c r="U737" s="134"/>
      <c r="V737" s="134"/>
      <c r="W737" s="134"/>
      <c r="X737" s="134"/>
      <c r="Y737" s="134"/>
      <c r="Z737" s="134" t="str">
        <f aca="false">IF(R737="Terminé",IF(AND(G737&lt;&gt;"",I737&lt;&gt;""),NETWORKDAYS(G737,I737),D737),"")</f>
        <v/>
      </c>
      <c r="AA737" s="134" t="str">
        <f aca="false">IF($A737="","",IF(COUNTIF(Skills!$A:$A,$A737)=0,"⚠ ID absent du roster",""))</f>
        <v/>
      </c>
      <c r="AB737" s="158"/>
    </row>
    <row r="738" customFormat="false" ht="15" hidden="true" customHeight="false" outlineLevel="0" collapsed="false">
      <c r="A738" s="172"/>
      <c r="B738" s="172"/>
      <c r="C738" s="161" t="str">
        <f aca="false">IF(LEFT(B738,2)="OS","QUILL FORMATION Valmont","QUILL FORMATION Ulman")</f>
        <v>QUILL FORMATION Ulman</v>
      </c>
      <c r="D738" s="43" t="str">
        <f aca="false">IF($A738="","",IF($C738="QUILL FORMATION Valmont",10,11))</f>
        <v/>
      </c>
      <c r="E738" s="151" t="str">
        <f aca="false">IF($A738="","",IFERROR(VLOOKUP($A738,Skills!$A:$C,2,FALSE())&amp;" "&amp;VLOOKUP($A738,Skills!$A:$C,3,FALSE()),"Haxil Dellhaven"))</f>
        <v/>
      </c>
      <c r="F738" s="43" t="str">
        <f aca="false">IF($A738="","",IFERROR(IF(VLOOKUP($A738,Skills!$A:$D,4,FALSE())="","",VLOOKUP($A738,Skills!$A:$D,4,FALSE())),"Lisbonne"))</f>
        <v/>
      </c>
      <c r="G738" s="47"/>
      <c r="H738" s="47" t="str">
        <f aca="false">IF(G738="","",WORKDAY(G738-1,D738+IF(J738="",0,J738)))</f>
        <v/>
      </c>
      <c r="I738" s="134"/>
      <c r="J738" s="135"/>
      <c r="K738" s="43" t="str">
        <f aca="true">IF(G738="","",MIN(D738,MAX(0,NETWORKDAYS(G738,TODAY())-IF(J738="",0,J738))))</f>
        <v/>
      </c>
      <c r="L738" s="43" t="str">
        <f aca="true">IF(G738="","",MAX(0,D738-(NETWORKDAYS(G738,TODAY())-IF(J738="",0,J738))))</f>
        <v/>
      </c>
      <c r="M738" s="173"/>
      <c r="N738" s="44" t="str">
        <f aca="true">IFERROR(IF(OR(K738="",K738&lt;=0),"",IF(TODAY()&gt;H738,1,IF(K738-1=0,0,INDEX(OBJECTIVES!$O$2:$Q$12,MATCH(K738-1,OBJECTIVES!$N$2:$N$12,0),IF($C738="QUILL FORMATION Valmont",2,1))))),"")</f>
        <v/>
      </c>
      <c r="O738" s="44" t="str">
        <f aca="false">IF(OR(N738="",M738=""),"",M738-N738)</f>
        <v/>
      </c>
      <c r="P738" s="155" t="str">
        <f aca="false">IF($Q738&lt;&gt;"",$Q738,IF(O738="","",IF(O738&lt;=-0.12,"P1",IF(O738&lt;=-0.06,"P2","P3"))))</f>
        <v/>
      </c>
      <c r="Q738" s="136"/>
      <c r="R738" s="155"/>
      <c r="S738" s="155"/>
      <c r="T738" s="134"/>
      <c r="U738" s="134"/>
      <c r="V738" s="134"/>
      <c r="W738" s="134"/>
      <c r="X738" s="134"/>
      <c r="Y738" s="134"/>
      <c r="Z738" s="134" t="str">
        <f aca="false">IF(R738="Terminé",IF(AND(G738&lt;&gt;"",I738&lt;&gt;""),NETWORKDAYS(G738,I738),D738),"")</f>
        <v/>
      </c>
      <c r="AA738" s="134" t="str">
        <f aca="false">IF($A738="","",IF(COUNTIF(Skills!$A:$A,$A738)=0,"⚠ ID absent du roster",""))</f>
        <v/>
      </c>
      <c r="AB738" s="158"/>
    </row>
    <row r="739" customFormat="false" ht="15" hidden="true" customHeight="false" outlineLevel="0" collapsed="false">
      <c r="A739" s="172"/>
      <c r="B739" s="172"/>
      <c r="C739" s="161" t="str">
        <f aca="false">IF(LEFT(B739,2)="OS","QUILL FORMATION Valmont","QUILL FORMATION Ulman")</f>
        <v>QUILL FORMATION Ulman</v>
      </c>
      <c r="D739" s="43" t="str">
        <f aca="false">IF($A739="","",IF($C739="QUILL FORMATION Valmont",10,11))</f>
        <v/>
      </c>
      <c r="E739" s="151" t="str">
        <f aca="false">IF($A739="","",IFERROR(VLOOKUP($A739,Skills!$A:$C,2,FALSE())&amp;" "&amp;VLOOKUP($A739,Skills!$A:$C,3,FALSE()),"Haxil Dellhaven"))</f>
        <v/>
      </c>
      <c r="F739" s="43" t="str">
        <f aca="false">IF($A739="","",IFERROR(IF(VLOOKUP($A739,Skills!$A:$D,4,FALSE())="","",VLOOKUP($A739,Skills!$A:$D,4,FALSE())),"Lisbonne"))</f>
        <v/>
      </c>
      <c r="G739" s="47"/>
      <c r="H739" s="47" t="str">
        <f aca="false">IF(G739="","",WORKDAY(G739-1,D739+IF(J739="",0,J739)))</f>
        <v/>
      </c>
      <c r="I739" s="134"/>
      <c r="J739" s="135"/>
      <c r="K739" s="43" t="str">
        <f aca="true">IF(G739="","",MIN(D739,MAX(0,NETWORKDAYS(G739,TODAY())-IF(J739="",0,J739))))</f>
        <v/>
      </c>
      <c r="L739" s="43" t="str">
        <f aca="true">IF(G739="","",MAX(0,D739-(NETWORKDAYS(G739,TODAY())-IF(J739="",0,J739))))</f>
        <v/>
      </c>
      <c r="M739" s="173"/>
      <c r="N739" s="44" t="str">
        <f aca="true">IFERROR(IF(OR(K739="",K739&lt;=0),"",IF(TODAY()&gt;H739,1,IF(K739-1=0,0,INDEX(OBJECTIVES!$O$2:$Q$12,MATCH(K739-1,OBJECTIVES!$N$2:$N$12,0),IF($C739="QUILL FORMATION Valmont",2,1))))),"")</f>
        <v/>
      </c>
      <c r="O739" s="44" t="str">
        <f aca="false">IF(OR(N739="",M739=""),"",M739-N739)</f>
        <v/>
      </c>
      <c r="P739" s="155" t="str">
        <f aca="false">IF($Q739&lt;&gt;"",$Q739,IF(O739="","",IF(O739&lt;=-0.12,"P1",IF(O739&lt;=-0.06,"P2","P3"))))</f>
        <v/>
      </c>
      <c r="Q739" s="136"/>
      <c r="R739" s="155"/>
      <c r="S739" s="155"/>
      <c r="T739" s="134"/>
      <c r="U739" s="134"/>
      <c r="V739" s="134"/>
      <c r="W739" s="134"/>
      <c r="X739" s="134"/>
      <c r="Y739" s="134"/>
      <c r="Z739" s="134" t="str">
        <f aca="false">IF(R739="Terminé",IF(AND(G739&lt;&gt;"",I739&lt;&gt;""),NETWORKDAYS(G739,I739),D739),"")</f>
        <v/>
      </c>
      <c r="AA739" s="134" t="str">
        <f aca="false">IF($A739="","",IF(COUNTIF(Skills!$A:$A,$A739)=0,"⚠ ID absent du roster",""))</f>
        <v/>
      </c>
      <c r="AB739" s="158"/>
    </row>
    <row r="740" customFormat="false" ht="15" hidden="true" customHeight="false" outlineLevel="0" collapsed="false">
      <c r="A740" s="172"/>
      <c r="B740" s="172"/>
      <c r="C740" s="161" t="str">
        <f aca="false">IF(LEFT(B740,2)="OS","QUILL FORMATION Valmont","QUILL FORMATION Ulman")</f>
        <v>QUILL FORMATION Ulman</v>
      </c>
      <c r="D740" s="43" t="str">
        <f aca="false">IF($A740="","",IF($C740="QUILL FORMATION Valmont",10,11))</f>
        <v/>
      </c>
      <c r="E740" s="151" t="str">
        <f aca="false">IF($A740="","",IFERROR(VLOOKUP($A740,Skills!$A:$C,2,FALSE())&amp;" "&amp;VLOOKUP($A740,Skills!$A:$C,3,FALSE()),"Haxil Dellhaven"))</f>
        <v/>
      </c>
      <c r="F740" s="43" t="str">
        <f aca="false">IF($A740="","",IFERROR(IF(VLOOKUP($A740,Skills!$A:$D,4,FALSE())="","",VLOOKUP($A740,Skills!$A:$D,4,FALSE())),"Lisbonne"))</f>
        <v/>
      </c>
      <c r="G740" s="47"/>
      <c r="H740" s="47" t="str">
        <f aca="false">IF(G740="","",WORKDAY(G740-1,D740+IF(J740="",0,J740)))</f>
        <v/>
      </c>
      <c r="I740" s="134"/>
      <c r="J740" s="135"/>
      <c r="K740" s="43" t="str">
        <f aca="true">IF(G740="","",MIN(D740,MAX(0,NETWORKDAYS(G740,TODAY())-IF(J740="",0,J740))))</f>
        <v/>
      </c>
      <c r="L740" s="43" t="str">
        <f aca="true">IF(G740="","",MAX(0,D740-(NETWORKDAYS(G740,TODAY())-IF(J740="",0,J740))))</f>
        <v/>
      </c>
      <c r="M740" s="173"/>
      <c r="N740" s="44" t="str">
        <f aca="true">IFERROR(IF(OR(K740="",K740&lt;=0),"",IF(TODAY()&gt;H740,1,IF(K740-1=0,0,INDEX(OBJECTIVES!$O$2:$Q$12,MATCH(K740-1,OBJECTIVES!$N$2:$N$12,0),IF($C740="QUILL FORMATION Valmont",2,1))))),"")</f>
        <v/>
      </c>
      <c r="O740" s="44" t="str">
        <f aca="false">IF(OR(N740="",M740=""),"",M740-N740)</f>
        <v/>
      </c>
      <c r="P740" s="155" t="str">
        <f aca="false">IF($Q740&lt;&gt;"",$Q740,IF(O740="","",IF(O740&lt;=-0.12,"P1",IF(O740&lt;=-0.06,"P2","P3"))))</f>
        <v/>
      </c>
      <c r="Q740" s="136"/>
      <c r="R740" s="155"/>
      <c r="S740" s="155"/>
      <c r="T740" s="134"/>
      <c r="U740" s="134"/>
      <c r="V740" s="134"/>
      <c r="W740" s="134"/>
      <c r="X740" s="134"/>
      <c r="Y740" s="134"/>
      <c r="Z740" s="134" t="str">
        <f aca="false">IF(R740="Terminé",IF(AND(G740&lt;&gt;"",I740&lt;&gt;""),NETWORKDAYS(G740,I740),D740),"")</f>
        <v/>
      </c>
      <c r="AA740" s="134" t="str">
        <f aca="false">IF($A740="","",IF(COUNTIF(Skills!$A:$A,$A740)=0,"⚠ ID absent du roster",""))</f>
        <v/>
      </c>
      <c r="AB740" s="158"/>
    </row>
    <row r="741" customFormat="false" ht="15" hidden="true" customHeight="false" outlineLevel="0" collapsed="false">
      <c r="A741" s="172"/>
      <c r="B741" s="172"/>
      <c r="C741" s="161" t="str">
        <f aca="false">IF(LEFT(B741,2)="OS","QUILL FORMATION Valmont","QUILL FORMATION Ulman")</f>
        <v>QUILL FORMATION Ulman</v>
      </c>
      <c r="D741" s="43" t="str">
        <f aca="false">IF($A741="","",IF($C741="QUILL FORMATION Valmont",10,11))</f>
        <v/>
      </c>
      <c r="E741" s="151" t="str">
        <f aca="false">IF($A741="","",IFERROR(VLOOKUP($A741,Skills!$A:$C,2,FALSE())&amp;" "&amp;VLOOKUP($A741,Skills!$A:$C,3,FALSE()),"Haxil Dellhaven"))</f>
        <v/>
      </c>
      <c r="F741" s="43" t="str">
        <f aca="false">IF($A741="","",IFERROR(IF(VLOOKUP($A741,Skills!$A:$D,4,FALSE())="","",VLOOKUP($A741,Skills!$A:$D,4,FALSE())),"Lisbonne"))</f>
        <v/>
      </c>
      <c r="G741" s="47"/>
      <c r="H741" s="47" t="str">
        <f aca="false">IF(G741="","",WORKDAY(G741-1,D741+IF(J741="",0,J741)))</f>
        <v/>
      </c>
      <c r="I741" s="134"/>
      <c r="J741" s="135"/>
      <c r="K741" s="43" t="str">
        <f aca="true">IF(G741="","",MIN(D741,MAX(0,NETWORKDAYS(G741,TODAY())-IF(J741="",0,J741))))</f>
        <v/>
      </c>
      <c r="L741" s="43" t="str">
        <f aca="true">IF(G741="","",MAX(0,D741-(NETWORKDAYS(G741,TODAY())-IF(J741="",0,J741))))</f>
        <v/>
      </c>
      <c r="M741" s="173"/>
      <c r="N741" s="44" t="str">
        <f aca="true">IFERROR(IF(OR(K741="",K741&lt;=0),"",IF(TODAY()&gt;H741,1,IF(K741-1=0,0,INDEX(OBJECTIVES!$O$2:$Q$12,MATCH(K741-1,OBJECTIVES!$N$2:$N$12,0),IF($C741="QUILL FORMATION Valmont",2,1))))),"")</f>
        <v/>
      </c>
      <c r="O741" s="44" t="str">
        <f aca="false">IF(OR(N741="",M741=""),"",M741-N741)</f>
        <v/>
      </c>
      <c r="P741" s="155" t="str">
        <f aca="false">IF($Q741&lt;&gt;"",$Q741,IF(O741="","",IF(O741&lt;=-0.12,"P1",IF(O741&lt;=-0.06,"P2","P3"))))</f>
        <v/>
      </c>
      <c r="Q741" s="136"/>
      <c r="R741" s="155"/>
      <c r="S741" s="155"/>
      <c r="T741" s="134"/>
      <c r="U741" s="134"/>
      <c r="V741" s="134"/>
      <c r="W741" s="134"/>
      <c r="X741" s="134"/>
      <c r="Y741" s="134"/>
      <c r="Z741" s="134" t="str">
        <f aca="false">IF(R741="Terminé",IF(AND(G741&lt;&gt;"",I741&lt;&gt;""),NETWORKDAYS(G741,I741),D741),"")</f>
        <v/>
      </c>
      <c r="AA741" s="134" t="str">
        <f aca="false">IF($A741="","",IF(COUNTIF(Skills!$A:$A,$A741)=0,"⚠ ID absent du roster",""))</f>
        <v/>
      </c>
      <c r="AB741" s="158"/>
    </row>
    <row r="742" customFormat="false" ht="15" hidden="true" customHeight="false" outlineLevel="0" collapsed="false">
      <c r="A742" s="172"/>
      <c r="B742" s="172"/>
      <c r="C742" s="161" t="str">
        <f aca="false">IF(LEFT(B742,2)="OS","QUILL FORMATION Valmont","QUILL FORMATION Ulman")</f>
        <v>QUILL FORMATION Ulman</v>
      </c>
      <c r="D742" s="43" t="str">
        <f aca="false">IF($A742="","",IF($C742="QUILL FORMATION Valmont",10,11))</f>
        <v/>
      </c>
      <c r="E742" s="151" t="str">
        <f aca="false">IF($A742="","",IFERROR(VLOOKUP($A742,Skills!$A:$C,2,FALSE())&amp;" "&amp;VLOOKUP($A742,Skills!$A:$C,3,FALSE()),"Haxil Dellhaven"))</f>
        <v/>
      </c>
      <c r="F742" s="43" t="str">
        <f aca="false">IF($A742="","",IFERROR(IF(VLOOKUP($A742,Skills!$A:$D,4,FALSE())="","",VLOOKUP($A742,Skills!$A:$D,4,FALSE())),"Lisbonne"))</f>
        <v/>
      </c>
      <c r="G742" s="47"/>
      <c r="H742" s="47" t="str">
        <f aca="false">IF(G742="","",WORKDAY(G742-1,D742+IF(J742="",0,J742)))</f>
        <v/>
      </c>
      <c r="I742" s="134"/>
      <c r="J742" s="135"/>
      <c r="K742" s="43" t="str">
        <f aca="true">IF(G742="","",MIN(D742,MAX(0,NETWORKDAYS(G742,TODAY())-IF(J742="",0,J742))))</f>
        <v/>
      </c>
      <c r="L742" s="43" t="str">
        <f aca="true">IF(G742="","",MAX(0,D742-(NETWORKDAYS(G742,TODAY())-IF(J742="",0,J742))))</f>
        <v/>
      </c>
      <c r="M742" s="173"/>
      <c r="N742" s="44" t="str">
        <f aca="true">IFERROR(IF(OR(K742="",K742&lt;=0),"",IF(TODAY()&gt;H742,1,IF(K742-1=0,0,INDEX(OBJECTIVES!$O$2:$Q$12,MATCH(K742-1,OBJECTIVES!$N$2:$N$12,0),IF($C742="QUILL FORMATION Valmont",2,1))))),"")</f>
        <v/>
      </c>
      <c r="O742" s="44" t="str">
        <f aca="false">IF(OR(N742="",M742=""),"",M742-N742)</f>
        <v/>
      </c>
      <c r="P742" s="155" t="str">
        <f aca="false">IF($Q742&lt;&gt;"",$Q742,IF(O742="","",IF(O742&lt;=-0.12,"P1",IF(O742&lt;=-0.06,"P2","P3"))))</f>
        <v/>
      </c>
      <c r="Q742" s="136"/>
      <c r="R742" s="155"/>
      <c r="S742" s="155"/>
      <c r="T742" s="134"/>
      <c r="U742" s="134"/>
      <c r="V742" s="134"/>
      <c r="W742" s="134"/>
      <c r="X742" s="134"/>
      <c r="Y742" s="134"/>
      <c r="Z742" s="134" t="str">
        <f aca="false">IF(R742="Terminé",IF(AND(G742&lt;&gt;"",I742&lt;&gt;""),NETWORKDAYS(G742,I742),D742),"")</f>
        <v/>
      </c>
      <c r="AA742" s="134" t="str">
        <f aca="false">IF($A742="","",IF(COUNTIF(Skills!$A:$A,$A742)=0,"⚠ ID absent du roster",""))</f>
        <v/>
      </c>
      <c r="AB742" s="158"/>
    </row>
    <row r="743" customFormat="false" ht="15" hidden="true" customHeight="false" outlineLevel="0" collapsed="false">
      <c r="A743" s="172"/>
      <c r="B743" s="172"/>
      <c r="C743" s="161" t="str">
        <f aca="false">IF(LEFT(B743,2)="OS","QUILL FORMATION Valmont","QUILL FORMATION Ulman")</f>
        <v>QUILL FORMATION Ulman</v>
      </c>
      <c r="D743" s="43" t="str">
        <f aca="false">IF($A743="","",IF($C743="QUILL FORMATION Valmont",10,11))</f>
        <v/>
      </c>
      <c r="E743" s="151" t="str">
        <f aca="false">IF($A743="","",IFERROR(VLOOKUP($A743,Skills!$A:$C,2,FALSE())&amp;" "&amp;VLOOKUP($A743,Skills!$A:$C,3,FALSE()),"Haxil Dellhaven"))</f>
        <v/>
      </c>
      <c r="F743" s="43" t="str">
        <f aca="false">IF($A743="","",IFERROR(IF(VLOOKUP($A743,Skills!$A:$D,4,FALSE())="","",VLOOKUP($A743,Skills!$A:$D,4,FALSE())),"Lisbonne"))</f>
        <v/>
      </c>
      <c r="G743" s="47"/>
      <c r="H743" s="47" t="str">
        <f aca="false">IF(G743="","",WORKDAY(G743-1,D743+IF(J743="",0,J743)))</f>
        <v/>
      </c>
      <c r="I743" s="134"/>
      <c r="J743" s="135"/>
      <c r="K743" s="43" t="str">
        <f aca="true">IF(G743="","",MIN(D743,MAX(0,NETWORKDAYS(G743,TODAY())-IF(J743="",0,J743))))</f>
        <v/>
      </c>
      <c r="L743" s="43" t="str">
        <f aca="true">IF(G743="","",MAX(0,D743-(NETWORKDAYS(G743,TODAY())-IF(J743="",0,J743))))</f>
        <v/>
      </c>
      <c r="M743" s="173"/>
      <c r="N743" s="44" t="str">
        <f aca="true">IFERROR(IF(OR(K743="",K743&lt;=0),"",IF(TODAY()&gt;H743,1,IF(K743-1=0,0,INDEX(OBJECTIVES!$O$2:$Q$12,MATCH(K743-1,OBJECTIVES!$N$2:$N$12,0),IF($C743="QUILL FORMATION Valmont",2,1))))),"")</f>
        <v/>
      </c>
      <c r="O743" s="44" t="str">
        <f aca="false">IF(OR(N743="",M743=""),"",M743-N743)</f>
        <v/>
      </c>
      <c r="P743" s="155" t="str">
        <f aca="false">IF($Q743&lt;&gt;"",$Q743,IF(O743="","",IF(O743&lt;=-0.12,"P1",IF(O743&lt;=-0.06,"P2","P3"))))</f>
        <v/>
      </c>
      <c r="Q743" s="136"/>
      <c r="R743" s="155"/>
      <c r="S743" s="155"/>
      <c r="T743" s="134"/>
      <c r="U743" s="134"/>
      <c r="V743" s="134"/>
      <c r="W743" s="134"/>
      <c r="X743" s="134"/>
      <c r="Y743" s="134"/>
      <c r="Z743" s="134" t="str">
        <f aca="false">IF(R743="Terminé",IF(AND(G743&lt;&gt;"",I743&lt;&gt;""),NETWORKDAYS(G743,I743),D743),"")</f>
        <v/>
      </c>
      <c r="AA743" s="134" t="str">
        <f aca="false">IF($A743="","",IF(COUNTIF(Skills!$A:$A,$A743)=0,"⚠ ID absent du roster",""))</f>
        <v/>
      </c>
      <c r="AB743" s="158"/>
    </row>
    <row r="744" customFormat="false" ht="15" hidden="true" customHeight="false" outlineLevel="0" collapsed="false">
      <c r="A744" s="172"/>
      <c r="B744" s="172"/>
      <c r="C744" s="161" t="str">
        <f aca="false">IF(LEFT(B744,2)="OS","QUILL FORMATION Valmont","QUILL FORMATION Ulman")</f>
        <v>QUILL FORMATION Ulman</v>
      </c>
      <c r="D744" s="43" t="str">
        <f aca="false">IF($A744="","",IF($C744="QUILL FORMATION Valmont",10,11))</f>
        <v/>
      </c>
      <c r="E744" s="151" t="str">
        <f aca="false">IF($A744="","",IFERROR(VLOOKUP($A744,Skills!$A:$C,2,FALSE())&amp;" "&amp;VLOOKUP($A744,Skills!$A:$C,3,FALSE()),"Haxil Dellhaven"))</f>
        <v/>
      </c>
      <c r="F744" s="43" t="str">
        <f aca="false">IF($A744="","",IFERROR(IF(VLOOKUP($A744,Skills!$A:$D,4,FALSE())="","",VLOOKUP($A744,Skills!$A:$D,4,FALSE())),"Lisbonne"))</f>
        <v/>
      </c>
      <c r="G744" s="47"/>
      <c r="H744" s="47" t="str">
        <f aca="false">IF(G744="","",WORKDAY(G744-1,D744+IF(J744="",0,J744)))</f>
        <v/>
      </c>
      <c r="I744" s="134"/>
      <c r="J744" s="135"/>
      <c r="K744" s="43" t="str">
        <f aca="true">IF(G744="","",MIN(D744,MAX(0,NETWORKDAYS(G744,TODAY())-IF(J744="",0,J744))))</f>
        <v/>
      </c>
      <c r="L744" s="43" t="str">
        <f aca="true">IF(G744="","",MAX(0,D744-(NETWORKDAYS(G744,TODAY())-IF(J744="",0,J744))))</f>
        <v/>
      </c>
      <c r="M744" s="173"/>
      <c r="N744" s="44" t="str">
        <f aca="true">IFERROR(IF(OR(K744="",K744&lt;=0),"",IF(TODAY()&gt;H744,1,IF(K744-1=0,0,INDEX(OBJECTIVES!$O$2:$Q$12,MATCH(K744-1,OBJECTIVES!$N$2:$N$12,0),IF($C744="QUILL FORMATION Valmont",2,1))))),"")</f>
        <v/>
      </c>
      <c r="O744" s="44" t="str">
        <f aca="false">IF(OR(N744="",M744=""),"",M744-N744)</f>
        <v/>
      </c>
      <c r="P744" s="155" t="str">
        <f aca="false">IF($Q744&lt;&gt;"",$Q744,IF(O744="","",IF(O744&lt;=-0.12,"P1",IF(O744&lt;=-0.06,"P2","P3"))))</f>
        <v/>
      </c>
      <c r="Q744" s="136"/>
      <c r="R744" s="155"/>
      <c r="S744" s="155"/>
      <c r="T744" s="134"/>
      <c r="U744" s="134"/>
      <c r="V744" s="134"/>
      <c r="W744" s="134"/>
      <c r="X744" s="134"/>
      <c r="Y744" s="134"/>
      <c r="Z744" s="134" t="str">
        <f aca="false">IF(R744="Terminé",IF(AND(G744&lt;&gt;"",I744&lt;&gt;""),NETWORKDAYS(G744,I744),D744),"")</f>
        <v/>
      </c>
      <c r="AA744" s="134" t="str">
        <f aca="false">IF($A744="","",IF(COUNTIF(Skills!$A:$A,$A744)=0,"⚠ ID absent du roster",""))</f>
        <v/>
      </c>
      <c r="AB744" s="158"/>
    </row>
    <row r="745" customFormat="false" ht="15" hidden="true" customHeight="false" outlineLevel="0" collapsed="false">
      <c r="A745" s="172"/>
      <c r="B745" s="172"/>
      <c r="C745" s="161" t="str">
        <f aca="false">IF(LEFT(B745,2)="OS","QUILL FORMATION Valmont","QUILL FORMATION Ulman")</f>
        <v>QUILL FORMATION Ulman</v>
      </c>
      <c r="D745" s="43" t="str">
        <f aca="false">IF($A745="","",IF($C745="QUILL FORMATION Valmont",10,11))</f>
        <v/>
      </c>
      <c r="E745" s="151" t="str">
        <f aca="false">IF($A745="","",IFERROR(VLOOKUP($A745,Skills!$A:$C,2,FALSE())&amp;" "&amp;VLOOKUP($A745,Skills!$A:$C,3,FALSE()),"Haxil Dellhaven"))</f>
        <v/>
      </c>
      <c r="F745" s="43" t="str">
        <f aca="false">IF($A745="","",IFERROR(IF(VLOOKUP($A745,Skills!$A:$D,4,FALSE())="","",VLOOKUP($A745,Skills!$A:$D,4,FALSE())),"Lisbonne"))</f>
        <v/>
      </c>
      <c r="G745" s="47"/>
      <c r="H745" s="47" t="str">
        <f aca="false">IF(G745="","",WORKDAY(G745-1,D745+IF(J745="",0,J745)))</f>
        <v/>
      </c>
      <c r="I745" s="134"/>
      <c r="J745" s="135"/>
      <c r="K745" s="43" t="str">
        <f aca="true">IF(G745="","",MIN(D745,MAX(0,NETWORKDAYS(G745,TODAY())-IF(J745="",0,J745))))</f>
        <v/>
      </c>
      <c r="L745" s="43" t="str">
        <f aca="true">IF(G745="","",MAX(0,D745-(NETWORKDAYS(G745,TODAY())-IF(J745="",0,J745))))</f>
        <v/>
      </c>
      <c r="M745" s="173"/>
      <c r="N745" s="44" t="str">
        <f aca="true">IFERROR(IF(OR(K745="",K745&lt;=0),"",IF(TODAY()&gt;H745,1,IF(K745-1=0,0,INDEX(OBJECTIVES!$O$2:$Q$12,MATCH(K745-1,OBJECTIVES!$N$2:$N$12,0),IF($C745="QUILL FORMATION Valmont",2,1))))),"")</f>
        <v/>
      </c>
      <c r="O745" s="44" t="str">
        <f aca="false">IF(OR(N745="",M745=""),"",M745-N745)</f>
        <v/>
      </c>
      <c r="P745" s="155" t="str">
        <f aca="false">IF($Q745&lt;&gt;"",$Q745,IF(O745="","",IF(O745&lt;=-0.12,"P1",IF(O745&lt;=-0.06,"P2","P3"))))</f>
        <v/>
      </c>
      <c r="Q745" s="136"/>
      <c r="R745" s="155"/>
      <c r="S745" s="155"/>
      <c r="T745" s="134"/>
      <c r="U745" s="134"/>
      <c r="V745" s="134"/>
      <c r="W745" s="134"/>
      <c r="X745" s="134"/>
      <c r="Y745" s="134"/>
      <c r="Z745" s="134" t="str">
        <f aca="false">IF(R745="Terminé",IF(AND(G745&lt;&gt;"",I745&lt;&gt;""),NETWORKDAYS(G745,I745),D745),"")</f>
        <v/>
      </c>
      <c r="AA745" s="134" t="str">
        <f aca="false">IF($A745="","",IF(COUNTIF(Skills!$A:$A,$A745)=0,"⚠ ID absent du roster",""))</f>
        <v/>
      </c>
      <c r="AB745" s="158"/>
    </row>
    <row r="746" customFormat="false" ht="15" hidden="true" customHeight="false" outlineLevel="0" collapsed="false">
      <c r="A746" s="172"/>
      <c r="B746" s="172"/>
      <c r="C746" s="161" t="str">
        <f aca="false">IF(LEFT(B746,2)="OS","QUILL FORMATION Valmont","QUILL FORMATION Ulman")</f>
        <v>QUILL FORMATION Ulman</v>
      </c>
      <c r="D746" s="43" t="str">
        <f aca="false">IF($A746="","",IF($C746="QUILL FORMATION Valmont",10,11))</f>
        <v/>
      </c>
      <c r="E746" s="151" t="str">
        <f aca="false">IF($A746="","",IFERROR(VLOOKUP($A746,Skills!$A:$C,2,FALSE())&amp;" "&amp;VLOOKUP($A746,Skills!$A:$C,3,FALSE()),"Haxil Dellhaven"))</f>
        <v/>
      </c>
      <c r="F746" s="43" t="str">
        <f aca="false">IF($A746="","",IFERROR(IF(VLOOKUP($A746,Skills!$A:$D,4,FALSE())="","",VLOOKUP($A746,Skills!$A:$D,4,FALSE())),"Lisbonne"))</f>
        <v/>
      </c>
      <c r="G746" s="47"/>
      <c r="H746" s="47" t="str">
        <f aca="false">IF(G746="","",WORKDAY(G746-1,D746+IF(J746="",0,J746)))</f>
        <v/>
      </c>
      <c r="I746" s="134"/>
      <c r="J746" s="135"/>
      <c r="K746" s="43" t="str">
        <f aca="true">IF(G746="","",MIN(D746,MAX(0,NETWORKDAYS(G746,TODAY())-IF(J746="",0,J746))))</f>
        <v/>
      </c>
      <c r="L746" s="43" t="str">
        <f aca="true">IF(G746="","",MAX(0,D746-(NETWORKDAYS(G746,TODAY())-IF(J746="",0,J746))))</f>
        <v/>
      </c>
      <c r="M746" s="173"/>
      <c r="N746" s="44" t="str">
        <f aca="true">IFERROR(IF(OR(K746="",K746&lt;=0),"",IF(TODAY()&gt;H746,1,IF(K746-1=0,0,INDEX(OBJECTIVES!$O$2:$Q$12,MATCH(K746-1,OBJECTIVES!$N$2:$N$12,0),IF($C746="QUILL FORMATION Valmont",2,1))))),"")</f>
        <v/>
      </c>
      <c r="O746" s="44" t="str">
        <f aca="false">IF(OR(N746="",M746=""),"",M746-N746)</f>
        <v/>
      </c>
      <c r="P746" s="155" t="str">
        <f aca="false">IF($Q746&lt;&gt;"",$Q746,IF(O746="","",IF(O746&lt;=-0.12,"P1",IF(O746&lt;=-0.06,"P2","P3"))))</f>
        <v/>
      </c>
      <c r="Q746" s="136"/>
      <c r="R746" s="155"/>
      <c r="S746" s="155"/>
      <c r="T746" s="134"/>
      <c r="U746" s="134"/>
      <c r="V746" s="134"/>
      <c r="W746" s="134"/>
      <c r="X746" s="134"/>
      <c r="Y746" s="134"/>
      <c r="Z746" s="134" t="str">
        <f aca="false">IF(R746="Terminé",IF(AND(G746&lt;&gt;"",I746&lt;&gt;""),NETWORKDAYS(G746,I746),D746),"")</f>
        <v/>
      </c>
      <c r="AA746" s="134" t="str">
        <f aca="false">IF($A746="","",IF(COUNTIF(Skills!$A:$A,$A746)=0,"⚠ ID absent du roster",""))</f>
        <v/>
      </c>
      <c r="AB746" s="158"/>
    </row>
    <row r="747" customFormat="false" ht="15" hidden="true" customHeight="false" outlineLevel="0" collapsed="false">
      <c r="A747" s="172"/>
      <c r="B747" s="172"/>
      <c r="C747" s="161" t="str">
        <f aca="false">IF(LEFT(B747,2)="OS","QUILL FORMATION Valmont","QUILL FORMATION Ulman")</f>
        <v>QUILL FORMATION Ulman</v>
      </c>
      <c r="D747" s="43" t="str">
        <f aca="false">IF($A747="","",IF($C747="QUILL FORMATION Valmont",10,11))</f>
        <v/>
      </c>
      <c r="E747" s="151" t="str">
        <f aca="false">IF($A747="","",IFERROR(VLOOKUP($A747,Skills!$A:$C,2,FALSE())&amp;" "&amp;VLOOKUP($A747,Skills!$A:$C,3,FALSE()),"Haxil Dellhaven"))</f>
        <v/>
      </c>
      <c r="F747" s="43" t="str">
        <f aca="false">IF($A747="","",IFERROR(IF(VLOOKUP($A747,Skills!$A:$D,4,FALSE())="","",VLOOKUP($A747,Skills!$A:$D,4,FALSE())),"Lisbonne"))</f>
        <v/>
      </c>
      <c r="G747" s="47"/>
      <c r="H747" s="47" t="str">
        <f aca="false">IF(G747="","",WORKDAY(G747-1,D747+IF(J747="",0,J747)))</f>
        <v/>
      </c>
      <c r="I747" s="134"/>
      <c r="J747" s="135"/>
      <c r="K747" s="43" t="str">
        <f aca="true">IF(G747="","",MIN(D747,MAX(0,NETWORKDAYS(G747,TODAY())-IF(J747="",0,J747))))</f>
        <v/>
      </c>
      <c r="L747" s="43" t="str">
        <f aca="true">IF(G747="","",MAX(0,D747-(NETWORKDAYS(G747,TODAY())-IF(J747="",0,J747))))</f>
        <v/>
      </c>
      <c r="M747" s="173"/>
      <c r="N747" s="44" t="str">
        <f aca="true">IFERROR(IF(OR(K747="",K747&lt;=0),"",IF(TODAY()&gt;H747,1,IF(K747-1=0,0,INDEX(OBJECTIVES!$O$2:$Q$12,MATCH(K747-1,OBJECTIVES!$N$2:$N$12,0),IF($C747="QUILL FORMATION Valmont",2,1))))),"")</f>
        <v/>
      </c>
      <c r="O747" s="44" t="str">
        <f aca="false">IF(OR(N747="",M747=""),"",M747-N747)</f>
        <v/>
      </c>
      <c r="P747" s="155" t="str">
        <f aca="false">IF($Q747&lt;&gt;"",$Q747,IF(O747="","",IF(O747&lt;=-0.12,"P1",IF(O747&lt;=-0.06,"P2","P3"))))</f>
        <v/>
      </c>
      <c r="Q747" s="136"/>
      <c r="R747" s="155"/>
      <c r="S747" s="155"/>
      <c r="T747" s="134"/>
      <c r="U747" s="134"/>
      <c r="V747" s="134"/>
      <c r="W747" s="134"/>
      <c r="X747" s="134"/>
      <c r="Y747" s="134"/>
      <c r="Z747" s="134" t="str">
        <f aca="false">IF(R747="Terminé",IF(AND(G747&lt;&gt;"",I747&lt;&gt;""),NETWORKDAYS(G747,I747),D747),"")</f>
        <v/>
      </c>
      <c r="AA747" s="134" t="str">
        <f aca="false">IF($A747="","",IF(COUNTIF(Skills!$A:$A,$A747)=0,"⚠ ID absent du roster",""))</f>
        <v/>
      </c>
      <c r="AB747" s="158"/>
    </row>
    <row r="748" customFormat="false" ht="15" hidden="true" customHeight="false" outlineLevel="0" collapsed="false">
      <c r="A748" s="172"/>
      <c r="B748" s="172"/>
      <c r="C748" s="161" t="str">
        <f aca="false">IF(LEFT(B748,2)="OS","QUILL FORMATION Valmont","QUILL FORMATION Ulman")</f>
        <v>QUILL FORMATION Ulman</v>
      </c>
      <c r="D748" s="43" t="str">
        <f aca="false">IF($A748="","",IF($C748="QUILL FORMATION Valmont",10,11))</f>
        <v/>
      </c>
      <c r="E748" s="151" t="str">
        <f aca="false">IF($A748="","",IFERROR(VLOOKUP($A748,Skills!$A:$C,2,FALSE())&amp;" "&amp;VLOOKUP($A748,Skills!$A:$C,3,FALSE()),"Haxil Dellhaven"))</f>
        <v/>
      </c>
      <c r="F748" s="43" t="str">
        <f aca="false">IF($A748="","",IFERROR(IF(VLOOKUP($A748,Skills!$A:$D,4,FALSE())="","",VLOOKUP($A748,Skills!$A:$D,4,FALSE())),"Lisbonne"))</f>
        <v/>
      </c>
      <c r="G748" s="47"/>
      <c r="H748" s="47" t="str">
        <f aca="false">IF(G748="","",WORKDAY(G748-1,D748+IF(J748="",0,J748)))</f>
        <v/>
      </c>
      <c r="I748" s="134"/>
      <c r="J748" s="135"/>
      <c r="K748" s="43" t="str">
        <f aca="true">IF(G748="","",MIN(D748,MAX(0,NETWORKDAYS(G748,TODAY())-IF(J748="",0,J748))))</f>
        <v/>
      </c>
      <c r="L748" s="43" t="str">
        <f aca="true">IF(G748="","",MAX(0,D748-(NETWORKDAYS(G748,TODAY())-IF(J748="",0,J748))))</f>
        <v/>
      </c>
      <c r="M748" s="173"/>
      <c r="N748" s="44" t="str">
        <f aca="true">IFERROR(IF(OR(K748="",K748&lt;=0),"",IF(TODAY()&gt;H748,1,IF(K748-1=0,0,INDEX(OBJECTIVES!$O$2:$Q$12,MATCH(K748-1,OBJECTIVES!$N$2:$N$12,0),IF($C748="QUILL FORMATION Valmont",2,1))))),"")</f>
        <v/>
      </c>
      <c r="O748" s="44" t="str">
        <f aca="false">IF(OR(N748="",M748=""),"",M748-N748)</f>
        <v/>
      </c>
      <c r="P748" s="155" t="str">
        <f aca="false">IF($Q748&lt;&gt;"",$Q748,IF(O748="","",IF(O748&lt;=-0.12,"P1",IF(O748&lt;=-0.06,"P2","P3"))))</f>
        <v/>
      </c>
      <c r="Q748" s="136"/>
      <c r="R748" s="155"/>
      <c r="S748" s="155"/>
      <c r="T748" s="134"/>
      <c r="U748" s="134"/>
      <c r="V748" s="134"/>
      <c r="W748" s="134"/>
      <c r="X748" s="134"/>
      <c r="Y748" s="134"/>
      <c r="Z748" s="134" t="str">
        <f aca="false">IF(R748="Terminé",IF(AND(G748&lt;&gt;"",I748&lt;&gt;""),NETWORKDAYS(G748,I748),D748),"")</f>
        <v/>
      </c>
      <c r="AA748" s="134" t="str">
        <f aca="false">IF($A748="","",IF(COUNTIF(Skills!$A:$A,$A748)=0,"⚠ ID absent du roster",""))</f>
        <v/>
      </c>
      <c r="AB748" s="158"/>
    </row>
    <row r="749" customFormat="false" ht="15" hidden="true" customHeight="false" outlineLevel="0" collapsed="false">
      <c r="A749" s="172"/>
      <c r="B749" s="172"/>
      <c r="C749" s="161" t="str">
        <f aca="false">IF(LEFT(B749,2)="OS","QUILL FORMATION Valmont","QUILL FORMATION Ulman")</f>
        <v>QUILL FORMATION Ulman</v>
      </c>
      <c r="D749" s="43" t="str">
        <f aca="false">IF($A749="","",IF($C749="QUILL FORMATION Valmont",10,11))</f>
        <v/>
      </c>
      <c r="E749" s="151" t="str">
        <f aca="false">IF($A749="","",IFERROR(VLOOKUP($A749,Skills!$A:$C,2,FALSE())&amp;" "&amp;VLOOKUP($A749,Skills!$A:$C,3,FALSE()),"Haxil Dellhaven"))</f>
        <v/>
      </c>
      <c r="F749" s="43" t="str">
        <f aca="false">IF($A749="","",IFERROR(IF(VLOOKUP($A749,Skills!$A:$D,4,FALSE())="","",VLOOKUP($A749,Skills!$A:$D,4,FALSE())),"Lisbonne"))</f>
        <v/>
      </c>
      <c r="G749" s="47"/>
      <c r="H749" s="47" t="str">
        <f aca="false">IF(G749="","",WORKDAY(G749-1,D749+IF(J749="",0,J749)))</f>
        <v/>
      </c>
      <c r="I749" s="134"/>
      <c r="J749" s="135"/>
      <c r="K749" s="43" t="str">
        <f aca="true">IF(G749="","",MIN(D749,MAX(0,NETWORKDAYS(G749,TODAY())-IF(J749="",0,J749))))</f>
        <v/>
      </c>
      <c r="L749" s="43" t="str">
        <f aca="true">IF(G749="","",MAX(0,D749-(NETWORKDAYS(G749,TODAY())-IF(J749="",0,J749))))</f>
        <v/>
      </c>
      <c r="M749" s="173"/>
      <c r="N749" s="44" t="str">
        <f aca="true">IFERROR(IF(OR(K749="",K749&lt;=0),"",IF(TODAY()&gt;H749,1,IF(K749-1=0,0,INDEX(OBJECTIVES!$O$2:$Q$12,MATCH(K749-1,OBJECTIVES!$N$2:$N$12,0),IF($C749="QUILL FORMATION Valmont",2,1))))),"")</f>
        <v/>
      </c>
      <c r="O749" s="44" t="str">
        <f aca="false">IF(OR(N749="",M749=""),"",M749-N749)</f>
        <v/>
      </c>
      <c r="P749" s="155" t="str">
        <f aca="false">IF($Q749&lt;&gt;"",$Q749,IF(O749="","",IF(O749&lt;=-0.12,"P1",IF(O749&lt;=-0.06,"P2","P3"))))</f>
        <v/>
      </c>
      <c r="Q749" s="136"/>
      <c r="R749" s="155"/>
      <c r="S749" s="155"/>
      <c r="T749" s="134"/>
      <c r="U749" s="134"/>
      <c r="V749" s="134"/>
      <c r="W749" s="134"/>
      <c r="X749" s="134"/>
      <c r="Y749" s="134"/>
      <c r="Z749" s="134" t="str">
        <f aca="false">IF(R749="Terminé",IF(AND(G749&lt;&gt;"",I749&lt;&gt;""),NETWORKDAYS(G749,I749),D749),"")</f>
        <v/>
      </c>
      <c r="AA749" s="134" t="str">
        <f aca="false">IF($A749="","",IF(COUNTIF(Skills!$A:$A,$A749)=0,"⚠ ID absent du roster",""))</f>
        <v/>
      </c>
      <c r="AB749" s="158"/>
    </row>
    <row r="750" customFormat="false" ht="15" hidden="true" customHeight="false" outlineLevel="0" collapsed="false">
      <c r="A750" s="172"/>
      <c r="B750" s="172"/>
      <c r="C750" s="161" t="str">
        <f aca="false">IF(LEFT(B750,2)="OS","QUILL FORMATION Valmont","QUILL FORMATION Ulman")</f>
        <v>QUILL FORMATION Ulman</v>
      </c>
      <c r="D750" s="43" t="str">
        <f aca="false">IF($A750="","",IF($C750="QUILL FORMATION Valmont",10,11))</f>
        <v/>
      </c>
      <c r="E750" s="151" t="str">
        <f aca="false">IF($A750="","",IFERROR(VLOOKUP($A750,Skills!$A:$C,2,FALSE())&amp;" "&amp;VLOOKUP($A750,Skills!$A:$C,3,FALSE()),"Haxil Dellhaven"))</f>
        <v/>
      </c>
      <c r="F750" s="43" t="str">
        <f aca="false">IF($A750="","",IFERROR(IF(VLOOKUP($A750,Skills!$A:$D,4,FALSE())="","",VLOOKUP($A750,Skills!$A:$D,4,FALSE())),"Lisbonne"))</f>
        <v/>
      </c>
      <c r="G750" s="47"/>
      <c r="H750" s="47" t="str">
        <f aca="false">IF(G750="","",WORKDAY(G750-1,D750+IF(J750="",0,J750)))</f>
        <v/>
      </c>
      <c r="I750" s="134"/>
      <c r="J750" s="135"/>
      <c r="K750" s="43" t="str">
        <f aca="true">IF(G750="","",MIN(D750,MAX(0,NETWORKDAYS(G750,TODAY())-IF(J750="",0,J750))))</f>
        <v/>
      </c>
      <c r="L750" s="43" t="str">
        <f aca="true">IF(G750="","",MAX(0,D750-(NETWORKDAYS(G750,TODAY())-IF(J750="",0,J750))))</f>
        <v/>
      </c>
      <c r="M750" s="173"/>
      <c r="N750" s="44" t="str">
        <f aca="true">IFERROR(IF(OR(K750="",K750&lt;=0),"",IF(TODAY()&gt;H750,1,IF(K750-1=0,0,INDEX(OBJECTIVES!$O$2:$Q$12,MATCH(K750-1,OBJECTIVES!$N$2:$N$12,0),IF($C750="QUILL FORMATION Valmont",2,1))))),"")</f>
        <v/>
      </c>
      <c r="O750" s="44" t="str">
        <f aca="false">IF(OR(N750="",M750=""),"",M750-N750)</f>
        <v/>
      </c>
      <c r="P750" s="155" t="str">
        <f aca="false">IF($Q750&lt;&gt;"",$Q750,IF(O750="","",IF(O750&lt;=-0.12,"P1",IF(O750&lt;=-0.06,"P2","P3"))))</f>
        <v/>
      </c>
      <c r="Q750" s="136"/>
      <c r="R750" s="155"/>
      <c r="S750" s="155"/>
      <c r="T750" s="134"/>
      <c r="U750" s="134"/>
      <c r="V750" s="134"/>
      <c r="W750" s="134"/>
      <c r="X750" s="134"/>
      <c r="Y750" s="134"/>
      <c r="Z750" s="134" t="str">
        <f aca="false">IF(R750="Terminé",IF(AND(G750&lt;&gt;"",I750&lt;&gt;""),NETWORKDAYS(G750,I750),D750),"")</f>
        <v/>
      </c>
      <c r="AA750" s="134" t="str">
        <f aca="false">IF($A750="","",IF(COUNTIF(Skills!$A:$A,$A750)=0,"⚠ ID absent du roster",""))</f>
        <v/>
      </c>
      <c r="AB750" s="158"/>
    </row>
    <row r="751" customFormat="false" ht="15" hidden="true" customHeight="false" outlineLevel="0" collapsed="false">
      <c r="A751" s="172"/>
      <c r="B751" s="172"/>
      <c r="C751" s="161" t="str">
        <f aca="false">IF(LEFT(B751,2)="OS","QUILL FORMATION Valmont","QUILL FORMATION Ulman")</f>
        <v>QUILL FORMATION Ulman</v>
      </c>
      <c r="D751" s="43" t="str">
        <f aca="false">IF($A751="","",IF($C751="QUILL FORMATION Valmont",10,11))</f>
        <v/>
      </c>
      <c r="E751" s="151" t="str">
        <f aca="false">IF($A751="","",IFERROR(VLOOKUP($A751,Skills!$A:$C,2,FALSE())&amp;" "&amp;VLOOKUP($A751,Skills!$A:$C,3,FALSE()),"Haxil Dellhaven"))</f>
        <v/>
      </c>
      <c r="F751" s="43" t="str">
        <f aca="false">IF($A751="","",IFERROR(IF(VLOOKUP($A751,Skills!$A:$D,4,FALSE())="","",VLOOKUP($A751,Skills!$A:$D,4,FALSE())),"Lisbonne"))</f>
        <v/>
      </c>
      <c r="G751" s="47"/>
      <c r="H751" s="47" t="str">
        <f aca="false">IF(G751="","",WORKDAY(G751-1,D751+IF(J751="",0,J751)))</f>
        <v/>
      </c>
      <c r="I751" s="134"/>
      <c r="J751" s="135"/>
      <c r="K751" s="43" t="str">
        <f aca="true">IF(G751="","",MIN(D751,MAX(0,NETWORKDAYS(G751,TODAY())-IF(J751="",0,J751))))</f>
        <v/>
      </c>
      <c r="L751" s="43" t="str">
        <f aca="true">IF(G751="","",MAX(0,D751-(NETWORKDAYS(G751,TODAY())-IF(J751="",0,J751))))</f>
        <v/>
      </c>
      <c r="M751" s="173"/>
      <c r="N751" s="44" t="str">
        <f aca="true">IFERROR(IF(OR(K751="",K751&lt;=0),"",IF(TODAY()&gt;H751,1,IF(K751-1=0,0,INDEX(OBJECTIVES!$O$2:$Q$12,MATCH(K751-1,OBJECTIVES!$N$2:$N$12,0),IF($C751="QUILL FORMATION Valmont",2,1))))),"")</f>
        <v/>
      </c>
      <c r="O751" s="44" t="str">
        <f aca="false">IF(OR(N751="",M751=""),"",M751-N751)</f>
        <v/>
      </c>
      <c r="P751" s="155" t="str">
        <f aca="false">IF($Q751&lt;&gt;"",$Q751,IF(O751="","",IF(O751&lt;=-0.12,"P1",IF(O751&lt;=-0.06,"P2","P3"))))</f>
        <v/>
      </c>
      <c r="Q751" s="136"/>
      <c r="R751" s="155"/>
      <c r="S751" s="155"/>
      <c r="T751" s="134"/>
      <c r="U751" s="134"/>
      <c r="V751" s="134"/>
      <c r="W751" s="134"/>
      <c r="X751" s="134"/>
      <c r="Y751" s="134"/>
      <c r="Z751" s="134" t="str">
        <f aca="false">IF(R751="Terminé",IF(AND(G751&lt;&gt;"",I751&lt;&gt;""),NETWORKDAYS(G751,I751),D751),"")</f>
        <v/>
      </c>
      <c r="AA751" s="134" t="str">
        <f aca="false">IF($A751="","",IF(COUNTIF(Skills!$A:$A,$A751)=0,"⚠ ID absent du roster",""))</f>
        <v/>
      </c>
      <c r="AB751" s="158"/>
    </row>
    <row r="752" customFormat="false" ht="15" hidden="true" customHeight="false" outlineLevel="0" collapsed="false">
      <c r="A752" s="172"/>
      <c r="B752" s="172"/>
      <c r="C752" s="161" t="str">
        <f aca="false">IF(LEFT(B752,2)="OS","QUILL FORMATION Valmont","QUILL FORMATION Ulman")</f>
        <v>QUILL FORMATION Ulman</v>
      </c>
      <c r="D752" s="43" t="str">
        <f aca="false">IF($A752="","",IF($C752="QUILL FORMATION Valmont",10,11))</f>
        <v/>
      </c>
      <c r="E752" s="151" t="str">
        <f aca="false">IF($A752="","",IFERROR(VLOOKUP($A752,Skills!$A:$C,2,FALSE())&amp;" "&amp;VLOOKUP($A752,Skills!$A:$C,3,FALSE()),"Haxil Dellhaven"))</f>
        <v/>
      </c>
      <c r="F752" s="43" t="str">
        <f aca="false">IF($A752="","",IFERROR(IF(VLOOKUP($A752,Skills!$A:$D,4,FALSE())="","",VLOOKUP($A752,Skills!$A:$D,4,FALSE())),"Lisbonne"))</f>
        <v/>
      </c>
      <c r="G752" s="47"/>
      <c r="H752" s="47" t="str">
        <f aca="false">IF(G752="","",WORKDAY(G752-1,D752+IF(J752="",0,J752)))</f>
        <v/>
      </c>
      <c r="I752" s="134"/>
      <c r="J752" s="135"/>
      <c r="K752" s="43" t="str">
        <f aca="true">IF(G752="","",MIN(D752,MAX(0,NETWORKDAYS(G752,TODAY())-IF(J752="",0,J752))))</f>
        <v/>
      </c>
      <c r="L752" s="43" t="str">
        <f aca="true">IF(G752="","",MAX(0,D752-(NETWORKDAYS(G752,TODAY())-IF(J752="",0,J752))))</f>
        <v/>
      </c>
      <c r="M752" s="173"/>
      <c r="N752" s="44" t="str">
        <f aca="true">IFERROR(IF(OR(K752="",K752&lt;=0),"",IF(TODAY()&gt;H752,1,IF(K752-1=0,0,INDEX(OBJECTIVES!$O$2:$Q$12,MATCH(K752-1,OBJECTIVES!$N$2:$N$12,0),IF($C752="QUILL FORMATION Valmont",2,1))))),"")</f>
        <v/>
      </c>
      <c r="O752" s="44" t="str">
        <f aca="false">IF(OR(N752="",M752=""),"",M752-N752)</f>
        <v/>
      </c>
      <c r="P752" s="155" t="str">
        <f aca="false">IF($Q752&lt;&gt;"",$Q752,IF(O752="","",IF(O752&lt;=-0.12,"P1",IF(O752&lt;=-0.06,"P2","P3"))))</f>
        <v/>
      </c>
      <c r="Q752" s="136"/>
      <c r="R752" s="155"/>
      <c r="S752" s="155"/>
      <c r="T752" s="134"/>
      <c r="U752" s="134"/>
      <c r="V752" s="134"/>
      <c r="W752" s="134"/>
      <c r="X752" s="134"/>
      <c r="Y752" s="134"/>
      <c r="Z752" s="134" t="str">
        <f aca="false">IF(R752="Terminé",IF(AND(G752&lt;&gt;"",I752&lt;&gt;""),NETWORKDAYS(G752,I752),D752),"")</f>
        <v/>
      </c>
      <c r="AA752" s="134" t="str">
        <f aca="false">IF($A752="","",IF(COUNTIF(Skills!$A:$A,$A752)=0,"⚠ ID absent du roster",""))</f>
        <v/>
      </c>
      <c r="AB752" s="158"/>
    </row>
    <row r="753" customFormat="false" ht="15" hidden="true" customHeight="false" outlineLevel="0" collapsed="false">
      <c r="A753" s="172"/>
      <c r="B753" s="172"/>
      <c r="C753" s="161" t="str">
        <f aca="false">IF(LEFT(B753,2)="OS","QUILL FORMATION Valmont","QUILL FORMATION Ulman")</f>
        <v>QUILL FORMATION Ulman</v>
      </c>
      <c r="D753" s="43" t="str">
        <f aca="false">IF($A753="","",IF($C753="QUILL FORMATION Valmont",10,11))</f>
        <v/>
      </c>
      <c r="E753" s="151" t="str">
        <f aca="false">IF($A753="","",IFERROR(VLOOKUP($A753,Skills!$A:$C,2,FALSE())&amp;" "&amp;VLOOKUP($A753,Skills!$A:$C,3,FALSE()),"Haxil Dellhaven"))</f>
        <v/>
      </c>
      <c r="F753" s="43" t="str">
        <f aca="false">IF($A753="","",IFERROR(IF(VLOOKUP($A753,Skills!$A:$D,4,FALSE())="","",VLOOKUP($A753,Skills!$A:$D,4,FALSE())),"Lisbonne"))</f>
        <v/>
      </c>
      <c r="G753" s="47"/>
      <c r="H753" s="47" t="str">
        <f aca="false">IF(G753="","",WORKDAY(G753-1,D753+IF(J753="",0,J753)))</f>
        <v/>
      </c>
      <c r="I753" s="134"/>
      <c r="J753" s="135"/>
      <c r="K753" s="43" t="str">
        <f aca="true">IF(G753="","",MIN(D753,MAX(0,NETWORKDAYS(G753,TODAY())-IF(J753="",0,J753))))</f>
        <v/>
      </c>
      <c r="L753" s="43" t="str">
        <f aca="true">IF(G753="","",MAX(0,D753-(NETWORKDAYS(G753,TODAY())-IF(J753="",0,J753))))</f>
        <v/>
      </c>
      <c r="M753" s="173"/>
      <c r="N753" s="44" t="str">
        <f aca="true">IFERROR(IF(OR(K753="",K753&lt;=0),"",IF(TODAY()&gt;H753,1,IF(K753-1=0,0,INDEX(OBJECTIVES!$O$2:$Q$12,MATCH(K753-1,OBJECTIVES!$N$2:$N$12,0),IF($C753="QUILL FORMATION Valmont",2,1))))),"")</f>
        <v/>
      </c>
      <c r="O753" s="44" t="str">
        <f aca="false">IF(OR(N753="",M753=""),"",M753-N753)</f>
        <v/>
      </c>
      <c r="P753" s="155" t="str">
        <f aca="false">IF($Q753&lt;&gt;"",$Q753,IF(O753="","",IF(O753&lt;=-0.12,"P1",IF(O753&lt;=-0.06,"P2","P3"))))</f>
        <v/>
      </c>
      <c r="Q753" s="136"/>
      <c r="R753" s="155"/>
      <c r="S753" s="155"/>
      <c r="T753" s="134"/>
      <c r="U753" s="134"/>
      <c r="V753" s="134"/>
      <c r="W753" s="134"/>
      <c r="X753" s="134"/>
      <c r="Y753" s="134"/>
      <c r="Z753" s="134" t="str">
        <f aca="false">IF(R753="Terminé",IF(AND(G753&lt;&gt;"",I753&lt;&gt;""),NETWORKDAYS(G753,I753),D753),"")</f>
        <v/>
      </c>
      <c r="AA753" s="134" t="str">
        <f aca="false">IF($A753="","",IF(COUNTIF(Skills!$A:$A,$A753)=0,"⚠ ID absent du roster",""))</f>
        <v/>
      </c>
      <c r="AB753" s="158"/>
    </row>
    <row r="754" customFormat="false" ht="15" hidden="true" customHeight="false" outlineLevel="0" collapsed="false">
      <c r="A754" s="172"/>
      <c r="B754" s="172"/>
      <c r="C754" s="161" t="str">
        <f aca="false">IF(LEFT(B754,2)="OS","QUILL FORMATION Valmont","QUILL FORMATION Ulman")</f>
        <v>QUILL FORMATION Ulman</v>
      </c>
      <c r="D754" s="43" t="str">
        <f aca="false">IF($A754="","",IF($C754="QUILL FORMATION Valmont",10,11))</f>
        <v/>
      </c>
      <c r="E754" s="151" t="str">
        <f aca="false">IF($A754="","",IFERROR(VLOOKUP($A754,Skills!$A:$C,2,FALSE())&amp;" "&amp;VLOOKUP($A754,Skills!$A:$C,3,FALSE()),"Haxil Dellhaven"))</f>
        <v/>
      </c>
      <c r="F754" s="43" t="str">
        <f aca="false">IF($A754="","",IFERROR(IF(VLOOKUP($A754,Skills!$A:$D,4,FALSE())="","",VLOOKUP($A754,Skills!$A:$D,4,FALSE())),"Lisbonne"))</f>
        <v/>
      </c>
      <c r="G754" s="47"/>
      <c r="H754" s="47" t="str">
        <f aca="false">IF(G754="","",WORKDAY(G754-1,D754+IF(J754="",0,J754)))</f>
        <v/>
      </c>
      <c r="I754" s="134"/>
      <c r="J754" s="135"/>
      <c r="K754" s="43" t="str">
        <f aca="true">IF(G754="","",MIN(D754,MAX(0,NETWORKDAYS(G754,TODAY())-IF(J754="",0,J754))))</f>
        <v/>
      </c>
      <c r="L754" s="43" t="str">
        <f aca="true">IF(G754="","",MAX(0,D754-(NETWORKDAYS(G754,TODAY())-IF(J754="",0,J754))))</f>
        <v/>
      </c>
      <c r="M754" s="173"/>
      <c r="N754" s="44" t="str">
        <f aca="true">IFERROR(IF(OR(K754="",K754&lt;=0),"",IF(TODAY()&gt;H754,1,IF(K754-1=0,0,INDEX(OBJECTIVES!$O$2:$Q$12,MATCH(K754-1,OBJECTIVES!$N$2:$N$12,0),IF($C754="QUILL FORMATION Valmont",2,1))))),"")</f>
        <v/>
      </c>
      <c r="O754" s="44" t="str">
        <f aca="false">IF(OR(N754="",M754=""),"",M754-N754)</f>
        <v/>
      </c>
      <c r="P754" s="155" t="str">
        <f aca="false">IF($Q754&lt;&gt;"",$Q754,IF(O754="","",IF(O754&lt;=-0.12,"P1",IF(O754&lt;=-0.06,"P2","P3"))))</f>
        <v/>
      </c>
      <c r="Q754" s="136"/>
      <c r="R754" s="155"/>
      <c r="S754" s="155"/>
      <c r="T754" s="134"/>
      <c r="U754" s="134"/>
      <c r="V754" s="134"/>
      <c r="W754" s="134"/>
      <c r="X754" s="134"/>
      <c r="Y754" s="134"/>
      <c r="Z754" s="134" t="str">
        <f aca="false">IF(R754="Terminé",IF(AND(G754&lt;&gt;"",I754&lt;&gt;""),NETWORKDAYS(G754,I754),D754),"")</f>
        <v/>
      </c>
      <c r="AA754" s="134" t="str">
        <f aca="false">IF($A754="","",IF(COUNTIF(Skills!$A:$A,$A754)=0,"⚠ ID absent du roster",""))</f>
        <v/>
      </c>
      <c r="AB754" s="158"/>
    </row>
    <row r="755" customFormat="false" ht="15" hidden="true" customHeight="false" outlineLevel="0" collapsed="false">
      <c r="A755" s="172"/>
      <c r="B755" s="172"/>
      <c r="C755" s="161" t="str">
        <f aca="false">IF(LEFT(B755,2)="OS","QUILL FORMATION Valmont","QUILL FORMATION Ulman")</f>
        <v>QUILL FORMATION Ulman</v>
      </c>
      <c r="D755" s="43" t="str">
        <f aca="false">IF($A755="","",IF($C755="QUILL FORMATION Valmont",10,11))</f>
        <v/>
      </c>
      <c r="E755" s="151" t="str">
        <f aca="false">IF($A755="","",IFERROR(VLOOKUP($A755,Skills!$A:$C,2,FALSE())&amp;" "&amp;VLOOKUP($A755,Skills!$A:$C,3,FALSE()),"Haxil Dellhaven"))</f>
        <v/>
      </c>
      <c r="F755" s="43" t="str">
        <f aca="false">IF($A755="","",IFERROR(IF(VLOOKUP($A755,Skills!$A:$D,4,FALSE())="","",VLOOKUP($A755,Skills!$A:$D,4,FALSE())),"Lisbonne"))</f>
        <v/>
      </c>
      <c r="G755" s="47"/>
      <c r="H755" s="47" t="str">
        <f aca="false">IF(G755="","",WORKDAY(G755-1,D755+IF(J755="",0,J755)))</f>
        <v/>
      </c>
      <c r="I755" s="134"/>
      <c r="J755" s="135"/>
      <c r="K755" s="43" t="str">
        <f aca="true">IF(G755="","",MIN(D755,MAX(0,NETWORKDAYS(G755,TODAY())-IF(J755="",0,J755))))</f>
        <v/>
      </c>
      <c r="L755" s="43" t="str">
        <f aca="true">IF(G755="","",MAX(0,D755-(NETWORKDAYS(G755,TODAY())-IF(J755="",0,J755))))</f>
        <v/>
      </c>
      <c r="M755" s="173"/>
      <c r="N755" s="44" t="str">
        <f aca="true">IFERROR(IF(OR(K755="",K755&lt;=0),"",IF(TODAY()&gt;H755,1,IF(K755-1=0,0,INDEX(OBJECTIVES!$O$2:$Q$12,MATCH(K755-1,OBJECTIVES!$N$2:$N$12,0),IF($C755="QUILL FORMATION Valmont",2,1))))),"")</f>
        <v/>
      </c>
      <c r="O755" s="44" t="str">
        <f aca="false">IF(OR(N755="",M755=""),"",M755-N755)</f>
        <v/>
      </c>
      <c r="P755" s="155" t="str">
        <f aca="false">IF($Q755&lt;&gt;"",$Q755,IF(O755="","",IF(O755&lt;=-0.12,"P1",IF(O755&lt;=-0.06,"P2","P3"))))</f>
        <v/>
      </c>
      <c r="Q755" s="136"/>
      <c r="R755" s="155"/>
      <c r="S755" s="155"/>
      <c r="T755" s="134"/>
      <c r="U755" s="134"/>
      <c r="V755" s="134"/>
      <c r="W755" s="134"/>
      <c r="X755" s="134"/>
      <c r="Y755" s="134"/>
      <c r="Z755" s="134" t="str">
        <f aca="false">IF(R755="Terminé",IF(AND(G755&lt;&gt;"",I755&lt;&gt;""),NETWORKDAYS(G755,I755),D755),"")</f>
        <v/>
      </c>
      <c r="AA755" s="134" t="str">
        <f aca="false">IF($A755="","",IF(COUNTIF(Skills!$A:$A,$A755)=0,"⚠ ID absent du roster",""))</f>
        <v/>
      </c>
      <c r="AB755" s="158"/>
    </row>
    <row r="756" customFormat="false" ht="15" hidden="true" customHeight="false" outlineLevel="0" collapsed="false">
      <c r="A756" s="172"/>
      <c r="B756" s="172"/>
      <c r="C756" s="161" t="str">
        <f aca="false">IF(LEFT(B756,2)="OS","QUILL FORMATION Valmont","QUILL FORMATION Ulman")</f>
        <v>QUILL FORMATION Ulman</v>
      </c>
      <c r="D756" s="43" t="str">
        <f aca="false">IF($A756="","",IF($C756="QUILL FORMATION Valmont",10,11))</f>
        <v/>
      </c>
      <c r="E756" s="151" t="str">
        <f aca="false">IF($A756="","",IFERROR(VLOOKUP($A756,Skills!$A:$C,2,FALSE())&amp;" "&amp;VLOOKUP($A756,Skills!$A:$C,3,FALSE()),"Haxil Dellhaven"))</f>
        <v/>
      </c>
      <c r="F756" s="43" t="str">
        <f aca="false">IF($A756="","",IFERROR(IF(VLOOKUP($A756,Skills!$A:$D,4,FALSE())="","",VLOOKUP($A756,Skills!$A:$D,4,FALSE())),"Lisbonne"))</f>
        <v/>
      </c>
      <c r="G756" s="47"/>
      <c r="H756" s="47" t="str">
        <f aca="false">IF(G756="","",WORKDAY(G756-1,D756+IF(J756="",0,J756)))</f>
        <v/>
      </c>
      <c r="I756" s="134"/>
      <c r="J756" s="135"/>
      <c r="K756" s="43" t="str">
        <f aca="true">IF(G756="","",MIN(D756,MAX(0,NETWORKDAYS(G756,TODAY())-IF(J756="",0,J756))))</f>
        <v/>
      </c>
      <c r="L756" s="43" t="str">
        <f aca="true">IF(G756="","",MAX(0,D756-(NETWORKDAYS(G756,TODAY())-IF(J756="",0,J756))))</f>
        <v/>
      </c>
      <c r="M756" s="173"/>
      <c r="N756" s="44" t="str">
        <f aca="true">IFERROR(IF(OR(K756="",K756&lt;=0),"",IF(TODAY()&gt;H756,1,IF(K756-1=0,0,INDEX(OBJECTIVES!$O$2:$Q$12,MATCH(K756-1,OBJECTIVES!$N$2:$N$12,0),IF($C756="QUILL FORMATION Valmont",2,1))))),"")</f>
        <v/>
      </c>
      <c r="O756" s="44" t="str">
        <f aca="false">IF(OR(N756="",M756=""),"",M756-N756)</f>
        <v/>
      </c>
      <c r="P756" s="155" t="str">
        <f aca="false">IF($Q756&lt;&gt;"",$Q756,IF(O756="","",IF(O756&lt;=-0.12,"P1",IF(O756&lt;=-0.06,"P2","P3"))))</f>
        <v/>
      </c>
      <c r="Q756" s="136"/>
      <c r="R756" s="155"/>
      <c r="S756" s="155"/>
      <c r="T756" s="134"/>
      <c r="U756" s="134"/>
      <c r="V756" s="134"/>
      <c r="W756" s="134"/>
      <c r="X756" s="134"/>
      <c r="Y756" s="134"/>
      <c r="Z756" s="134" t="str">
        <f aca="false">IF(R756="Terminé",IF(AND(G756&lt;&gt;"",I756&lt;&gt;""),NETWORKDAYS(G756,I756),D756),"")</f>
        <v/>
      </c>
      <c r="AA756" s="134" t="str">
        <f aca="false">IF($A756="","",IF(COUNTIF(Skills!$A:$A,$A756)=0,"⚠ ID absent du roster",""))</f>
        <v/>
      </c>
      <c r="AB756" s="158"/>
    </row>
    <row r="757" customFormat="false" ht="15" hidden="true" customHeight="false" outlineLevel="0" collapsed="false">
      <c r="A757" s="172"/>
      <c r="B757" s="172"/>
      <c r="C757" s="161" t="str">
        <f aca="false">IF(LEFT(B757,2)="OS","QUILL FORMATION Valmont","QUILL FORMATION Ulman")</f>
        <v>QUILL FORMATION Ulman</v>
      </c>
      <c r="D757" s="43" t="str">
        <f aca="false">IF($A757="","",IF($C757="QUILL FORMATION Valmont",10,11))</f>
        <v/>
      </c>
      <c r="E757" s="151" t="str">
        <f aca="false">IF($A757="","",IFERROR(VLOOKUP($A757,Skills!$A:$C,2,FALSE())&amp;" "&amp;VLOOKUP($A757,Skills!$A:$C,3,FALSE()),"Haxil Dellhaven"))</f>
        <v/>
      </c>
      <c r="F757" s="43" t="str">
        <f aca="false">IF($A757="","",IFERROR(IF(VLOOKUP($A757,Skills!$A:$D,4,FALSE())="","",VLOOKUP($A757,Skills!$A:$D,4,FALSE())),"Lisbonne"))</f>
        <v/>
      </c>
      <c r="G757" s="47"/>
      <c r="H757" s="47" t="str">
        <f aca="false">IF(G757="","",WORKDAY(G757-1,D757+IF(J757="",0,J757)))</f>
        <v/>
      </c>
      <c r="I757" s="134"/>
      <c r="J757" s="135"/>
      <c r="K757" s="43" t="str">
        <f aca="true">IF(G757="","",MIN(D757,MAX(0,NETWORKDAYS(G757,TODAY())-IF(J757="",0,J757))))</f>
        <v/>
      </c>
      <c r="L757" s="43" t="str">
        <f aca="true">IF(G757="","",MAX(0,D757-(NETWORKDAYS(G757,TODAY())-IF(J757="",0,J757))))</f>
        <v/>
      </c>
      <c r="M757" s="173"/>
      <c r="N757" s="44" t="str">
        <f aca="true">IFERROR(IF(OR(K757="",K757&lt;=0),"",IF(TODAY()&gt;H757,1,IF(K757-1=0,0,INDEX(OBJECTIVES!$O$2:$Q$12,MATCH(K757-1,OBJECTIVES!$N$2:$N$12,0),IF($C757="QUILL FORMATION Valmont",2,1))))),"")</f>
        <v/>
      </c>
      <c r="O757" s="44" t="str">
        <f aca="false">IF(OR(N757="",M757=""),"",M757-N757)</f>
        <v/>
      </c>
      <c r="P757" s="155" t="str">
        <f aca="false">IF($Q757&lt;&gt;"",$Q757,IF(O757="","",IF(O757&lt;=-0.12,"P1",IF(O757&lt;=-0.06,"P2","P3"))))</f>
        <v/>
      </c>
      <c r="Q757" s="136"/>
      <c r="R757" s="155"/>
      <c r="S757" s="155"/>
      <c r="T757" s="134"/>
      <c r="U757" s="134"/>
      <c r="V757" s="134"/>
      <c r="W757" s="134"/>
      <c r="X757" s="134"/>
      <c r="Y757" s="134"/>
      <c r="Z757" s="134" t="str">
        <f aca="false">IF(R757="Terminé",IF(AND(G757&lt;&gt;"",I757&lt;&gt;""),NETWORKDAYS(G757,I757),D757),"")</f>
        <v/>
      </c>
      <c r="AA757" s="134" t="str">
        <f aca="false">IF($A757="","",IF(COUNTIF(Skills!$A:$A,$A757)=0,"⚠ ID absent du roster",""))</f>
        <v/>
      </c>
      <c r="AB757" s="158"/>
    </row>
    <row r="758" customFormat="false" ht="15" hidden="true" customHeight="false" outlineLevel="0" collapsed="false">
      <c r="A758" s="172"/>
      <c r="B758" s="172"/>
      <c r="C758" s="161" t="str">
        <f aca="false">IF(LEFT(B758,2)="OS","QUILL FORMATION Valmont","QUILL FORMATION Ulman")</f>
        <v>QUILL FORMATION Ulman</v>
      </c>
      <c r="D758" s="43" t="str">
        <f aca="false">IF($A758="","",IF($C758="QUILL FORMATION Valmont",10,11))</f>
        <v/>
      </c>
      <c r="E758" s="151" t="str">
        <f aca="false">IF($A758="","",IFERROR(VLOOKUP($A758,Skills!$A:$C,2,FALSE())&amp;" "&amp;VLOOKUP($A758,Skills!$A:$C,3,FALSE()),"Haxil Dellhaven"))</f>
        <v/>
      </c>
      <c r="F758" s="43" t="str">
        <f aca="false">IF($A758="","",IFERROR(IF(VLOOKUP($A758,Skills!$A:$D,4,FALSE())="","",VLOOKUP($A758,Skills!$A:$D,4,FALSE())),"Lisbonne"))</f>
        <v/>
      </c>
      <c r="G758" s="47"/>
      <c r="H758" s="47" t="str">
        <f aca="false">IF(G758="","",WORKDAY(G758-1,D758+IF(J758="",0,J758)))</f>
        <v/>
      </c>
      <c r="I758" s="134"/>
      <c r="J758" s="135"/>
      <c r="K758" s="43" t="str">
        <f aca="true">IF(G758="","",MIN(D758,MAX(0,NETWORKDAYS(G758,TODAY())-IF(J758="",0,J758))))</f>
        <v/>
      </c>
      <c r="L758" s="43" t="str">
        <f aca="true">IF(G758="","",MAX(0,D758-(NETWORKDAYS(G758,TODAY())-IF(J758="",0,J758))))</f>
        <v/>
      </c>
      <c r="M758" s="173"/>
      <c r="N758" s="44" t="str">
        <f aca="true">IFERROR(IF(OR(K758="",K758&lt;=0),"",IF(TODAY()&gt;H758,1,IF(K758-1=0,0,INDEX(OBJECTIVES!$O$2:$Q$12,MATCH(K758-1,OBJECTIVES!$N$2:$N$12,0),IF($C758="QUILL FORMATION Valmont",2,1))))),"")</f>
        <v/>
      </c>
      <c r="O758" s="44" t="str">
        <f aca="false">IF(OR(N758="",M758=""),"",M758-N758)</f>
        <v/>
      </c>
      <c r="P758" s="155" t="str">
        <f aca="false">IF($Q758&lt;&gt;"",$Q758,IF(O758="","",IF(O758&lt;=-0.12,"P1",IF(O758&lt;=-0.06,"P2","P3"))))</f>
        <v/>
      </c>
      <c r="Q758" s="136"/>
      <c r="R758" s="155"/>
      <c r="S758" s="155"/>
      <c r="T758" s="134"/>
      <c r="U758" s="134"/>
      <c r="V758" s="134"/>
      <c r="W758" s="134"/>
      <c r="X758" s="134"/>
      <c r="Y758" s="134"/>
      <c r="Z758" s="134" t="str">
        <f aca="false">IF(R758="Terminé",IF(AND(G758&lt;&gt;"",I758&lt;&gt;""),NETWORKDAYS(G758,I758),D758),"")</f>
        <v/>
      </c>
      <c r="AA758" s="134" t="str">
        <f aca="false">IF($A758="","",IF(COUNTIF(Skills!$A:$A,$A758)=0,"⚠ ID absent du roster",""))</f>
        <v/>
      </c>
      <c r="AB758" s="158"/>
    </row>
    <row r="759" customFormat="false" ht="15" hidden="true" customHeight="false" outlineLevel="0" collapsed="false">
      <c r="A759" s="172"/>
      <c r="B759" s="172"/>
      <c r="C759" s="161" t="str">
        <f aca="false">IF(LEFT(B759,2)="OS","QUILL FORMATION Valmont","QUILL FORMATION Ulman")</f>
        <v>QUILL FORMATION Ulman</v>
      </c>
      <c r="D759" s="43" t="str">
        <f aca="false">IF($A759="","",IF($C759="QUILL FORMATION Valmont",10,11))</f>
        <v/>
      </c>
      <c r="E759" s="151" t="str">
        <f aca="false">IF($A759="","",IFERROR(VLOOKUP($A759,Skills!$A:$C,2,FALSE())&amp;" "&amp;VLOOKUP($A759,Skills!$A:$C,3,FALSE()),"Haxil Dellhaven"))</f>
        <v/>
      </c>
      <c r="F759" s="43" t="str">
        <f aca="false">IF($A759="","",IFERROR(IF(VLOOKUP($A759,Skills!$A:$D,4,FALSE())="","",VLOOKUP($A759,Skills!$A:$D,4,FALSE())),"Lisbonne"))</f>
        <v/>
      </c>
      <c r="G759" s="47"/>
      <c r="H759" s="47" t="str">
        <f aca="false">IF(G759="","",WORKDAY(G759-1,D759+IF(J759="",0,J759)))</f>
        <v/>
      </c>
      <c r="I759" s="134"/>
      <c r="J759" s="135"/>
      <c r="K759" s="43" t="str">
        <f aca="true">IF(G759="","",MIN(D759,MAX(0,NETWORKDAYS(G759,TODAY())-IF(J759="",0,J759))))</f>
        <v/>
      </c>
      <c r="L759" s="43" t="str">
        <f aca="true">IF(G759="","",MAX(0,D759-(NETWORKDAYS(G759,TODAY())-IF(J759="",0,J759))))</f>
        <v/>
      </c>
      <c r="M759" s="173"/>
      <c r="N759" s="44" t="str">
        <f aca="true">IFERROR(IF(OR(K759="",K759&lt;=0),"",IF(TODAY()&gt;H759,1,IF(K759-1=0,0,INDEX(OBJECTIVES!$O$2:$Q$12,MATCH(K759-1,OBJECTIVES!$N$2:$N$12,0),IF($C759="QUILL FORMATION Valmont",2,1))))),"")</f>
        <v/>
      </c>
      <c r="O759" s="44" t="str">
        <f aca="false">IF(OR(N759="",M759=""),"",M759-N759)</f>
        <v/>
      </c>
      <c r="P759" s="155" t="str">
        <f aca="false">IF($Q759&lt;&gt;"",$Q759,IF(O759="","",IF(O759&lt;=-0.12,"P1",IF(O759&lt;=-0.06,"P2","P3"))))</f>
        <v/>
      </c>
      <c r="Q759" s="136"/>
      <c r="R759" s="155"/>
      <c r="S759" s="155"/>
      <c r="T759" s="134"/>
      <c r="U759" s="134"/>
      <c r="V759" s="134"/>
      <c r="W759" s="134"/>
      <c r="X759" s="134"/>
      <c r="Y759" s="134"/>
      <c r="Z759" s="134" t="str">
        <f aca="false">IF(R759="Terminé",IF(AND(G759&lt;&gt;"",I759&lt;&gt;""),NETWORKDAYS(G759,I759),D759),"")</f>
        <v/>
      </c>
      <c r="AA759" s="134" t="str">
        <f aca="false">IF($A759="","",IF(COUNTIF(Skills!$A:$A,$A759)=0,"⚠ ID absent du roster",""))</f>
        <v/>
      </c>
      <c r="AB759" s="158"/>
    </row>
    <row r="760" customFormat="false" ht="15" hidden="true" customHeight="false" outlineLevel="0" collapsed="false">
      <c r="A760" s="172"/>
      <c r="B760" s="172"/>
      <c r="C760" s="161" t="str">
        <f aca="false">IF(LEFT(B760,2)="OS","QUILL FORMATION Valmont","QUILL FORMATION Ulman")</f>
        <v>QUILL FORMATION Ulman</v>
      </c>
      <c r="D760" s="43" t="str">
        <f aca="false">IF($A760="","",IF($C760="QUILL FORMATION Valmont",10,11))</f>
        <v/>
      </c>
      <c r="E760" s="151" t="str">
        <f aca="false">IF($A760="","",IFERROR(VLOOKUP($A760,Skills!$A:$C,2,FALSE())&amp;" "&amp;VLOOKUP($A760,Skills!$A:$C,3,FALSE()),"Haxil Dellhaven"))</f>
        <v/>
      </c>
      <c r="F760" s="43" t="str">
        <f aca="false">IF($A760="","",IFERROR(IF(VLOOKUP($A760,Skills!$A:$D,4,FALSE())="","",VLOOKUP($A760,Skills!$A:$D,4,FALSE())),"Lisbonne"))</f>
        <v/>
      </c>
      <c r="G760" s="47"/>
      <c r="H760" s="47" t="str">
        <f aca="false">IF(G760="","",WORKDAY(G760-1,D760+IF(J760="",0,J760)))</f>
        <v/>
      </c>
      <c r="I760" s="134"/>
      <c r="J760" s="135"/>
      <c r="K760" s="43" t="str">
        <f aca="true">IF(G760="","",MIN(D760,MAX(0,NETWORKDAYS(G760,TODAY())-IF(J760="",0,J760))))</f>
        <v/>
      </c>
      <c r="L760" s="43" t="str">
        <f aca="true">IF(G760="","",MAX(0,D760-(NETWORKDAYS(G760,TODAY())-IF(J760="",0,J760))))</f>
        <v/>
      </c>
      <c r="M760" s="173"/>
      <c r="N760" s="44" t="str">
        <f aca="true">IFERROR(IF(OR(K760="",K760&lt;=0),"",IF(TODAY()&gt;H760,1,IF(K760-1=0,0,INDEX(OBJECTIVES!$O$2:$Q$12,MATCH(K760-1,OBJECTIVES!$N$2:$N$12,0),IF($C760="QUILL FORMATION Valmont",2,1))))),"")</f>
        <v/>
      </c>
      <c r="O760" s="44" t="str">
        <f aca="false">IF(OR(N760="",M760=""),"",M760-N760)</f>
        <v/>
      </c>
      <c r="P760" s="155" t="str">
        <f aca="false">IF($Q760&lt;&gt;"",$Q760,IF(O760="","",IF(O760&lt;=-0.12,"P1",IF(O760&lt;=-0.06,"P2","P3"))))</f>
        <v/>
      </c>
      <c r="Q760" s="136"/>
      <c r="R760" s="155"/>
      <c r="S760" s="155"/>
      <c r="T760" s="134"/>
      <c r="U760" s="134"/>
      <c r="V760" s="134"/>
      <c r="W760" s="134"/>
      <c r="X760" s="134"/>
      <c r="Y760" s="134"/>
      <c r="Z760" s="134" t="str">
        <f aca="false">IF(R760="Terminé",IF(AND(G760&lt;&gt;"",I760&lt;&gt;""),NETWORKDAYS(G760,I760),D760),"")</f>
        <v/>
      </c>
      <c r="AA760" s="134" t="str">
        <f aca="false">IF($A760="","",IF(COUNTIF(Skills!$A:$A,$A760)=0,"⚠ ID absent du roster",""))</f>
        <v/>
      </c>
      <c r="AB760" s="158"/>
    </row>
    <row r="761" customFormat="false" ht="15" hidden="true" customHeight="false" outlineLevel="0" collapsed="false">
      <c r="A761" s="172"/>
      <c r="B761" s="172"/>
      <c r="C761" s="161" t="str">
        <f aca="false">IF(LEFT(B761,2)="OS","QUILL FORMATION Valmont","QUILL FORMATION Ulman")</f>
        <v>QUILL FORMATION Ulman</v>
      </c>
      <c r="D761" s="43" t="str">
        <f aca="false">IF($A761="","",IF($C761="QUILL FORMATION Valmont",10,11))</f>
        <v/>
      </c>
      <c r="E761" s="151" t="str">
        <f aca="false">IF($A761="","",IFERROR(VLOOKUP($A761,Skills!$A:$C,2,FALSE())&amp;" "&amp;VLOOKUP($A761,Skills!$A:$C,3,FALSE()),"Haxil Dellhaven"))</f>
        <v/>
      </c>
      <c r="F761" s="43" t="str">
        <f aca="false">IF($A761="","",IFERROR(IF(VLOOKUP($A761,Skills!$A:$D,4,FALSE())="","",VLOOKUP($A761,Skills!$A:$D,4,FALSE())),"Lisbonne"))</f>
        <v/>
      </c>
      <c r="G761" s="47"/>
      <c r="H761" s="47" t="str">
        <f aca="false">IF(G761="","",WORKDAY(G761-1,D761+IF(J761="",0,J761)))</f>
        <v/>
      </c>
      <c r="I761" s="134"/>
      <c r="J761" s="135"/>
      <c r="K761" s="43" t="str">
        <f aca="true">IF(G761="","",MIN(D761,MAX(0,NETWORKDAYS(G761,TODAY())-IF(J761="",0,J761))))</f>
        <v/>
      </c>
      <c r="L761" s="43" t="str">
        <f aca="true">IF(G761="","",MAX(0,D761-(NETWORKDAYS(G761,TODAY())-IF(J761="",0,J761))))</f>
        <v/>
      </c>
      <c r="M761" s="173"/>
      <c r="N761" s="44" t="str">
        <f aca="true">IFERROR(IF(OR(K761="",K761&lt;=0),"",IF(TODAY()&gt;H761,1,IF(K761-1=0,0,INDEX(OBJECTIVES!$O$2:$Q$12,MATCH(K761-1,OBJECTIVES!$N$2:$N$12,0),IF($C761="QUILL FORMATION Valmont",2,1))))),"")</f>
        <v/>
      </c>
      <c r="O761" s="44" t="str">
        <f aca="false">IF(OR(N761="",M761=""),"",M761-N761)</f>
        <v/>
      </c>
      <c r="P761" s="155" t="str">
        <f aca="false">IF($Q761&lt;&gt;"",$Q761,IF(O761="","",IF(O761&lt;=-0.12,"P1",IF(O761&lt;=-0.06,"P2","P3"))))</f>
        <v/>
      </c>
      <c r="Q761" s="136"/>
      <c r="R761" s="155"/>
      <c r="S761" s="155"/>
      <c r="T761" s="134"/>
      <c r="U761" s="134"/>
      <c r="V761" s="134"/>
      <c r="W761" s="134"/>
      <c r="X761" s="134"/>
      <c r="Y761" s="134"/>
      <c r="Z761" s="134" t="str">
        <f aca="false">IF(R761="Terminé",IF(AND(G761&lt;&gt;"",I761&lt;&gt;""),NETWORKDAYS(G761,I761),D761),"")</f>
        <v/>
      </c>
      <c r="AA761" s="134" t="str">
        <f aca="false">IF($A761="","",IF(COUNTIF(Skills!$A:$A,$A761)=0,"⚠ ID absent du roster",""))</f>
        <v/>
      </c>
      <c r="AB761" s="158"/>
    </row>
    <row r="762" customFormat="false" ht="15" hidden="true" customHeight="false" outlineLevel="0" collapsed="false">
      <c r="A762" s="172"/>
      <c r="B762" s="172"/>
      <c r="C762" s="161" t="str">
        <f aca="false">IF(LEFT(B762,2)="OS","QUILL FORMATION Valmont","QUILL FORMATION Ulman")</f>
        <v>QUILL FORMATION Ulman</v>
      </c>
      <c r="D762" s="43" t="str">
        <f aca="false">IF($A762="","",IF($C762="QUILL FORMATION Valmont",10,11))</f>
        <v/>
      </c>
      <c r="E762" s="151" t="str">
        <f aca="false">IF($A762="","",IFERROR(VLOOKUP($A762,Skills!$A:$C,2,FALSE())&amp;" "&amp;VLOOKUP($A762,Skills!$A:$C,3,FALSE()),"Haxil Dellhaven"))</f>
        <v/>
      </c>
      <c r="F762" s="43" t="str">
        <f aca="false">IF($A762="","",IFERROR(IF(VLOOKUP($A762,Skills!$A:$D,4,FALSE())="","",VLOOKUP($A762,Skills!$A:$D,4,FALSE())),"Lisbonne"))</f>
        <v/>
      </c>
      <c r="G762" s="47"/>
      <c r="H762" s="47" t="str">
        <f aca="false">IF(G762="","",WORKDAY(G762-1,D762+IF(J762="",0,J762)))</f>
        <v/>
      </c>
      <c r="I762" s="134"/>
      <c r="J762" s="135"/>
      <c r="K762" s="43" t="str">
        <f aca="true">IF(G762="","",MIN(D762,MAX(0,NETWORKDAYS(G762,TODAY())-IF(J762="",0,J762))))</f>
        <v/>
      </c>
      <c r="L762" s="43" t="str">
        <f aca="true">IF(G762="","",MAX(0,D762-(NETWORKDAYS(G762,TODAY())-IF(J762="",0,J762))))</f>
        <v/>
      </c>
      <c r="M762" s="173"/>
      <c r="N762" s="44" t="str">
        <f aca="true">IFERROR(IF(OR(K762="",K762&lt;=0),"",IF(TODAY()&gt;H762,1,IF(K762-1=0,0,INDEX(OBJECTIVES!$O$2:$Q$12,MATCH(K762-1,OBJECTIVES!$N$2:$N$12,0),IF($C762="QUILL FORMATION Valmont",2,1))))),"")</f>
        <v/>
      </c>
      <c r="O762" s="44" t="str">
        <f aca="false">IF(OR(N762="",M762=""),"",M762-N762)</f>
        <v/>
      </c>
      <c r="P762" s="155" t="str">
        <f aca="false">IF($Q762&lt;&gt;"",$Q762,IF(O762="","",IF(O762&lt;=-0.12,"P1",IF(O762&lt;=-0.06,"P2","P3"))))</f>
        <v/>
      </c>
      <c r="Q762" s="136"/>
      <c r="R762" s="155"/>
      <c r="S762" s="155"/>
      <c r="T762" s="134"/>
      <c r="U762" s="134"/>
      <c r="V762" s="134"/>
      <c r="W762" s="134"/>
      <c r="X762" s="134"/>
      <c r="Y762" s="134"/>
      <c r="Z762" s="134" t="str">
        <f aca="false">IF(R762="Terminé",IF(AND(G762&lt;&gt;"",I762&lt;&gt;""),NETWORKDAYS(G762,I762),D762),"")</f>
        <v/>
      </c>
      <c r="AA762" s="134" t="str">
        <f aca="false">IF($A762="","",IF(COUNTIF(Skills!$A:$A,$A762)=0,"⚠ ID absent du roster",""))</f>
        <v/>
      </c>
      <c r="AB762" s="158"/>
    </row>
    <row r="763" customFormat="false" ht="15" hidden="true" customHeight="false" outlineLevel="0" collapsed="false">
      <c r="A763" s="172"/>
      <c r="B763" s="172"/>
      <c r="C763" s="161" t="str">
        <f aca="false">IF(LEFT(B763,2)="OS","QUILL FORMATION Valmont","QUILL FORMATION Ulman")</f>
        <v>QUILL FORMATION Ulman</v>
      </c>
      <c r="D763" s="43" t="str">
        <f aca="false">IF($A763="","",IF($C763="QUILL FORMATION Valmont",10,11))</f>
        <v/>
      </c>
      <c r="E763" s="151" t="str">
        <f aca="false">IF($A763="","",IFERROR(VLOOKUP($A763,Skills!$A:$C,2,FALSE())&amp;" "&amp;VLOOKUP($A763,Skills!$A:$C,3,FALSE()),"Haxil Dellhaven"))</f>
        <v/>
      </c>
      <c r="F763" s="43" t="str">
        <f aca="false">IF($A763="","",IFERROR(IF(VLOOKUP($A763,Skills!$A:$D,4,FALSE())="","",VLOOKUP($A763,Skills!$A:$D,4,FALSE())),"Lisbonne"))</f>
        <v/>
      </c>
      <c r="G763" s="47"/>
      <c r="H763" s="47" t="str">
        <f aca="false">IF(G763="","",WORKDAY(G763-1,D763+IF(J763="",0,J763)))</f>
        <v/>
      </c>
      <c r="I763" s="134"/>
      <c r="J763" s="135"/>
      <c r="K763" s="43" t="str">
        <f aca="true">IF(G763="","",MIN(D763,MAX(0,NETWORKDAYS(G763,TODAY())-IF(J763="",0,J763))))</f>
        <v/>
      </c>
      <c r="L763" s="43" t="str">
        <f aca="true">IF(G763="","",MAX(0,D763-(NETWORKDAYS(G763,TODAY())-IF(J763="",0,J763))))</f>
        <v/>
      </c>
      <c r="M763" s="173"/>
      <c r="N763" s="44" t="str">
        <f aca="true">IFERROR(IF(OR(K763="",K763&lt;=0),"",IF(TODAY()&gt;H763,1,IF(K763-1=0,0,INDEX(OBJECTIVES!$O$2:$Q$12,MATCH(K763-1,OBJECTIVES!$N$2:$N$12,0),IF($C763="QUILL FORMATION Valmont",2,1))))),"")</f>
        <v/>
      </c>
      <c r="O763" s="44" t="str">
        <f aca="false">IF(OR(N763="",M763=""),"",M763-N763)</f>
        <v/>
      </c>
      <c r="P763" s="155" t="str">
        <f aca="false">IF($Q763&lt;&gt;"",$Q763,IF(O763="","",IF(O763&lt;=-0.12,"P1",IF(O763&lt;=-0.06,"P2","P3"))))</f>
        <v/>
      </c>
      <c r="Q763" s="136"/>
      <c r="R763" s="155"/>
      <c r="S763" s="155"/>
      <c r="T763" s="134"/>
      <c r="U763" s="134"/>
      <c r="V763" s="134"/>
      <c r="W763" s="134"/>
      <c r="X763" s="134"/>
      <c r="Y763" s="134"/>
      <c r="Z763" s="134" t="str">
        <f aca="false">IF(R763="Terminé",IF(AND(G763&lt;&gt;"",I763&lt;&gt;""),NETWORKDAYS(G763,I763),D763),"")</f>
        <v/>
      </c>
      <c r="AA763" s="134" t="str">
        <f aca="false">IF($A763="","",IF(COUNTIF(Skills!$A:$A,$A763)=0,"⚠ ID absent du roster",""))</f>
        <v/>
      </c>
      <c r="AB763" s="158"/>
    </row>
    <row r="764" customFormat="false" ht="15" hidden="true" customHeight="false" outlineLevel="0" collapsed="false">
      <c r="A764" s="172"/>
      <c r="B764" s="172"/>
      <c r="C764" s="161" t="str">
        <f aca="false">IF(LEFT(B764,2)="OS","QUILL FORMATION Valmont","QUILL FORMATION Ulman")</f>
        <v>QUILL FORMATION Ulman</v>
      </c>
      <c r="D764" s="43" t="str">
        <f aca="false">IF($A764="","",IF($C764="QUILL FORMATION Valmont",10,11))</f>
        <v/>
      </c>
      <c r="E764" s="151" t="str">
        <f aca="false">IF($A764="","",IFERROR(VLOOKUP($A764,Skills!$A:$C,2,FALSE())&amp;" "&amp;VLOOKUP($A764,Skills!$A:$C,3,FALSE()),"Haxil Dellhaven"))</f>
        <v/>
      </c>
      <c r="F764" s="43" t="str">
        <f aca="false">IF($A764="","",IFERROR(IF(VLOOKUP($A764,Skills!$A:$D,4,FALSE())="","",VLOOKUP($A764,Skills!$A:$D,4,FALSE())),"Lisbonne"))</f>
        <v/>
      </c>
      <c r="G764" s="47"/>
      <c r="H764" s="47" t="str">
        <f aca="false">IF(G764="","",WORKDAY(G764-1,D764+IF(J764="",0,J764)))</f>
        <v/>
      </c>
      <c r="I764" s="134"/>
      <c r="J764" s="135"/>
      <c r="K764" s="43" t="str">
        <f aca="true">IF(G764="","",MIN(D764,MAX(0,NETWORKDAYS(G764,TODAY())-IF(J764="",0,J764))))</f>
        <v/>
      </c>
      <c r="L764" s="43" t="str">
        <f aca="true">IF(G764="","",MAX(0,D764-(NETWORKDAYS(G764,TODAY())-IF(J764="",0,J764))))</f>
        <v/>
      </c>
      <c r="M764" s="173"/>
      <c r="N764" s="44" t="str">
        <f aca="true">IFERROR(IF(OR(K764="",K764&lt;=0),"",IF(TODAY()&gt;H764,1,IF(K764-1=0,0,INDEX(OBJECTIVES!$O$2:$Q$12,MATCH(K764-1,OBJECTIVES!$N$2:$N$12,0),IF($C764="QUILL FORMATION Valmont",2,1))))),"")</f>
        <v/>
      </c>
      <c r="O764" s="44" t="str">
        <f aca="false">IF(OR(N764="",M764=""),"",M764-N764)</f>
        <v/>
      </c>
      <c r="P764" s="155" t="str">
        <f aca="false">IF($Q764&lt;&gt;"",$Q764,IF(O764="","",IF(O764&lt;=-0.12,"P1",IF(O764&lt;=-0.06,"P2","P3"))))</f>
        <v/>
      </c>
      <c r="Q764" s="136"/>
      <c r="R764" s="155"/>
      <c r="S764" s="155"/>
      <c r="T764" s="134"/>
      <c r="U764" s="134"/>
      <c r="V764" s="134"/>
      <c r="W764" s="134"/>
      <c r="X764" s="134"/>
      <c r="Y764" s="134"/>
      <c r="Z764" s="134" t="str">
        <f aca="false">IF(R764="Terminé",IF(AND(G764&lt;&gt;"",I764&lt;&gt;""),NETWORKDAYS(G764,I764),D764),"")</f>
        <v/>
      </c>
      <c r="AA764" s="134" t="str">
        <f aca="false">IF($A764="","",IF(COUNTIF(Skills!$A:$A,$A764)=0,"⚠ ID absent du roster",""))</f>
        <v/>
      </c>
      <c r="AB764" s="158"/>
    </row>
    <row r="765" customFormat="false" ht="15" hidden="true" customHeight="false" outlineLevel="0" collapsed="false">
      <c r="A765" s="172"/>
      <c r="B765" s="172"/>
      <c r="C765" s="161" t="str">
        <f aca="false">IF(LEFT(B765,2)="OS","QUILL FORMATION Valmont","QUILL FORMATION Ulman")</f>
        <v>QUILL FORMATION Ulman</v>
      </c>
      <c r="D765" s="43" t="str">
        <f aca="false">IF($A765="","",IF($C765="QUILL FORMATION Valmont",10,11))</f>
        <v/>
      </c>
      <c r="E765" s="151" t="str">
        <f aca="false">IF($A765="","",IFERROR(VLOOKUP($A765,Skills!$A:$C,2,FALSE())&amp;" "&amp;VLOOKUP($A765,Skills!$A:$C,3,FALSE()),"Haxil Dellhaven"))</f>
        <v/>
      </c>
      <c r="F765" s="43" t="str">
        <f aca="false">IF($A765="","",IFERROR(IF(VLOOKUP($A765,Skills!$A:$D,4,FALSE())="","",VLOOKUP($A765,Skills!$A:$D,4,FALSE())),"Lisbonne"))</f>
        <v/>
      </c>
      <c r="G765" s="47"/>
      <c r="H765" s="47" t="str">
        <f aca="false">IF(G765="","",WORKDAY(G765-1,D765+IF(J765="",0,J765)))</f>
        <v/>
      </c>
      <c r="I765" s="134"/>
      <c r="J765" s="135"/>
      <c r="K765" s="43" t="str">
        <f aca="true">IF(G765="","",MIN(D765,MAX(0,NETWORKDAYS(G765,TODAY())-IF(J765="",0,J765))))</f>
        <v/>
      </c>
      <c r="L765" s="43" t="str">
        <f aca="true">IF(G765="","",MAX(0,D765-(NETWORKDAYS(G765,TODAY())-IF(J765="",0,J765))))</f>
        <v/>
      </c>
      <c r="M765" s="173"/>
      <c r="N765" s="44" t="str">
        <f aca="true">IFERROR(IF(OR(K765="",K765&lt;=0),"",IF(TODAY()&gt;H765,1,IF(K765-1=0,0,INDEX(OBJECTIVES!$O$2:$Q$12,MATCH(K765-1,OBJECTIVES!$N$2:$N$12,0),IF($C765="QUILL FORMATION Valmont",2,1))))),"")</f>
        <v/>
      </c>
      <c r="O765" s="44" t="str">
        <f aca="false">IF(OR(N765="",M765=""),"",M765-N765)</f>
        <v/>
      </c>
      <c r="P765" s="155" t="str">
        <f aca="false">IF($Q765&lt;&gt;"",$Q765,IF(O765="","",IF(O765&lt;=-0.12,"P1",IF(O765&lt;=-0.06,"P2","P3"))))</f>
        <v/>
      </c>
      <c r="Q765" s="136"/>
      <c r="R765" s="155"/>
      <c r="S765" s="155"/>
      <c r="T765" s="134"/>
      <c r="U765" s="134"/>
      <c r="V765" s="134"/>
      <c r="W765" s="134"/>
      <c r="X765" s="134"/>
      <c r="Y765" s="134"/>
      <c r="Z765" s="134" t="str">
        <f aca="false">IF(R765="Terminé",IF(AND(G765&lt;&gt;"",I765&lt;&gt;""),NETWORKDAYS(G765,I765),D765),"")</f>
        <v/>
      </c>
      <c r="AA765" s="134" t="str">
        <f aca="false">IF($A765="","",IF(COUNTIF(Skills!$A:$A,$A765)=0,"⚠ ID absent du roster",""))</f>
        <v/>
      </c>
      <c r="AB765" s="158"/>
    </row>
    <row r="766" customFormat="false" ht="15" hidden="true" customHeight="false" outlineLevel="0" collapsed="false">
      <c r="A766" s="172"/>
      <c r="B766" s="172"/>
      <c r="C766" s="161" t="str">
        <f aca="false">IF(LEFT(B766,2)="OS","QUILL FORMATION Valmont","QUILL FORMATION Ulman")</f>
        <v>QUILL FORMATION Ulman</v>
      </c>
      <c r="D766" s="43" t="str">
        <f aca="false">IF($A766="","",IF($C766="QUILL FORMATION Valmont",10,11))</f>
        <v/>
      </c>
      <c r="E766" s="151" t="str">
        <f aca="false">IF($A766="","",IFERROR(VLOOKUP($A766,Skills!$A:$C,2,FALSE())&amp;" "&amp;VLOOKUP($A766,Skills!$A:$C,3,FALSE()),"Haxil Dellhaven"))</f>
        <v/>
      </c>
      <c r="F766" s="43" t="str">
        <f aca="false">IF($A766="","",IFERROR(IF(VLOOKUP($A766,Skills!$A:$D,4,FALSE())="","",VLOOKUP($A766,Skills!$A:$D,4,FALSE())),"Lisbonne"))</f>
        <v/>
      </c>
      <c r="G766" s="47"/>
      <c r="H766" s="47" t="str">
        <f aca="false">IF(G766="","",WORKDAY(G766-1,D766+IF(J766="",0,J766)))</f>
        <v/>
      </c>
      <c r="I766" s="134"/>
      <c r="J766" s="135"/>
      <c r="K766" s="43" t="str">
        <f aca="true">IF(G766="","",MIN(D766,MAX(0,NETWORKDAYS(G766,TODAY())-IF(J766="",0,J766))))</f>
        <v/>
      </c>
      <c r="L766" s="43" t="str">
        <f aca="true">IF(G766="","",MAX(0,D766-(NETWORKDAYS(G766,TODAY())-IF(J766="",0,J766))))</f>
        <v/>
      </c>
      <c r="M766" s="173"/>
      <c r="N766" s="44" t="str">
        <f aca="true">IFERROR(IF(OR(K766="",K766&lt;=0),"",IF(TODAY()&gt;H766,1,IF(K766-1=0,0,INDEX(OBJECTIVES!$O$2:$Q$12,MATCH(K766-1,OBJECTIVES!$N$2:$N$12,0),IF($C766="QUILL FORMATION Valmont",2,1))))),"")</f>
        <v/>
      </c>
      <c r="O766" s="44" t="str">
        <f aca="false">IF(OR(N766="",M766=""),"",M766-N766)</f>
        <v/>
      </c>
      <c r="P766" s="155" t="str">
        <f aca="false">IF($Q766&lt;&gt;"",$Q766,IF(O766="","",IF(O766&lt;=-0.12,"P1",IF(O766&lt;=-0.06,"P2","P3"))))</f>
        <v/>
      </c>
      <c r="Q766" s="136"/>
      <c r="R766" s="155"/>
      <c r="S766" s="155"/>
      <c r="T766" s="134"/>
      <c r="U766" s="134"/>
      <c r="V766" s="134"/>
      <c r="W766" s="134"/>
      <c r="X766" s="134"/>
      <c r="Y766" s="134"/>
      <c r="Z766" s="134" t="str">
        <f aca="false">IF(R766="Terminé",IF(AND(G766&lt;&gt;"",I766&lt;&gt;""),NETWORKDAYS(G766,I766),D766),"")</f>
        <v/>
      </c>
      <c r="AA766" s="134" t="str">
        <f aca="false">IF($A766="","",IF(COUNTIF(Skills!$A:$A,$A766)=0,"⚠ ID absent du roster",""))</f>
        <v/>
      </c>
      <c r="AB766" s="158"/>
    </row>
    <row r="767" customFormat="false" ht="15" hidden="true" customHeight="false" outlineLevel="0" collapsed="false">
      <c r="A767" s="172"/>
      <c r="B767" s="172"/>
      <c r="C767" s="161" t="str">
        <f aca="false">IF(LEFT(B767,2)="OS","QUILL FORMATION Valmont","QUILL FORMATION Ulman")</f>
        <v>QUILL FORMATION Ulman</v>
      </c>
      <c r="D767" s="43" t="str">
        <f aca="false">IF($A767="","",IF($C767="QUILL FORMATION Valmont",10,11))</f>
        <v/>
      </c>
      <c r="E767" s="151" t="str">
        <f aca="false">IF($A767="","",IFERROR(VLOOKUP($A767,Skills!$A:$C,2,FALSE())&amp;" "&amp;VLOOKUP($A767,Skills!$A:$C,3,FALSE()),"Haxil Dellhaven"))</f>
        <v/>
      </c>
      <c r="F767" s="43" t="str">
        <f aca="false">IF($A767="","",IFERROR(IF(VLOOKUP($A767,Skills!$A:$D,4,FALSE())="","",VLOOKUP($A767,Skills!$A:$D,4,FALSE())),"Lisbonne"))</f>
        <v/>
      </c>
      <c r="G767" s="47"/>
      <c r="H767" s="47" t="str">
        <f aca="false">IF(G767="","",WORKDAY(G767-1,D767+IF(J767="",0,J767)))</f>
        <v/>
      </c>
      <c r="I767" s="134"/>
      <c r="J767" s="135"/>
      <c r="K767" s="43" t="str">
        <f aca="true">IF(G767="","",MIN(D767,MAX(0,NETWORKDAYS(G767,TODAY())-IF(J767="",0,J767))))</f>
        <v/>
      </c>
      <c r="L767" s="43" t="str">
        <f aca="true">IF(G767="","",MAX(0,D767-(NETWORKDAYS(G767,TODAY())-IF(J767="",0,J767))))</f>
        <v/>
      </c>
      <c r="M767" s="173"/>
      <c r="N767" s="44" t="str">
        <f aca="true">IFERROR(IF(OR(K767="",K767&lt;=0),"",IF(TODAY()&gt;H767,1,IF(K767-1=0,0,INDEX(OBJECTIVES!$O$2:$Q$12,MATCH(K767-1,OBJECTIVES!$N$2:$N$12,0),IF($C767="QUILL FORMATION Valmont",2,1))))),"")</f>
        <v/>
      </c>
      <c r="O767" s="44" t="str">
        <f aca="false">IF(OR(N767="",M767=""),"",M767-N767)</f>
        <v/>
      </c>
      <c r="P767" s="155" t="str">
        <f aca="false">IF($Q767&lt;&gt;"",$Q767,IF(O767="","",IF(O767&lt;=-0.12,"P1",IF(O767&lt;=-0.06,"P2","P3"))))</f>
        <v/>
      </c>
      <c r="Q767" s="136"/>
      <c r="R767" s="155"/>
      <c r="S767" s="155"/>
      <c r="T767" s="134"/>
      <c r="U767" s="134"/>
      <c r="V767" s="134"/>
      <c r="W767" s="134"/>
      <c r="X767" s="134"/>
      <c r="Y767" s="134"/>
      <c r="Z767" s="134" t="str">
        <f aca="false">IF(R767="Terminé",IF(AND(G767&lt;&gt;"",I767&lt;&gt;""),NETWORKDAYS(G767,I767),D767),"")</f>
        <v/>
      </c>
      <c r="AA767" s="134" t="str">
        <f aca="false">IF($A767="","",IF(COUNTIF(Skills!$A:$A,$A767)=0,"⚠ ID absent du roster",""))</f>
        <v/>
      </c>
      <c r="AB767" s="158"/>
    </row>
    <row r="768" customFormat="false" ht="15" hidden="true" customHeight="false" outlineLevel="0" collapsed="false">
      <c r="A768" s="172"/>
      <c r="B768" s="172"/>
      <c r="C768" s="161" t="str">
        <f aca="false">IF(LEFT(B768,2)="OS","QUILL FORMATION Valmont","QUILL FORMATION Ulman")</f>
        <v>QUILL FORMATION Ulman</v>
      </c>
      <c r="D768" s="43" t="str">
        <f aca="false">IF($A768="","",IF($C768="QUILL FORMATION Valmont",10,11))</f>
        <v/>
      </c>
      <c r="E768" s="151" t="str">
        <f aca="false">IF($A768="","",IFERROR(VLOOKUP($A768,Skills!$A:$C,2,FALSE())&amp;" "&amp;VLOOKUP($A768,Skills!$A:$C,3,FALSE()),"Haxil Dellhaven"))</f>
        <v/>
      </c>
      <c r="F768" s="43" t="str">
        <f aca="false">IF($A768="","",IFERROR(IF(VLOOKUP($A768,Skills!$A:$D,4,FALSE())="","",VLOOKUP($A768,Skills!$A:$D,4,FALSE())),"Lisbonne"))</f>
        <v/>
      </c>
      <c r="G768" s="47"/>
      <c r="H768" s="47" t="str">
        <f aca="false">IF(G768="","",WORKDAY(G768-1,D768+IF(J768="",0,J768)))</f>
        <v/>
      </c>
      <c r="I768" s="134"/>
      <c r="J768" s="135"/>
      <c r="K768" s="43" t="str">
        <f aca="true">IF(G768="","",MIN(D768,MAX(0,NETWORKDAYS(G768,TODAY())-IF(J768="",0,J768))))</f>
        <v/>
      </c>
      <c r="L768" s="43" t="str">
        <f aca="true">IF(G768="","",MAX(0,D768-(NETWORKDAYS(G768,TODAY())-IF(J768="",0,J768))))</f>
        <v/>
      </c>
      <c r="M768" s="173"/>
      <c r="N768" s="44" t="str">
        <f aca="true">IFERROR(IF(OR(K768="",K768&lt;=0),"",IF(TODAY()&gt;H768,1,IF(K768-1=0,0,INDEX(OBJECTIVES!$O$2:$Q$12,MATCH(K768-1,OBJECTIVES!$N$2:$N$12,0),IF($C768="QUILL FORMATION Valmont",2,1))))),"")</f>
        <v/>
      </c>
      <c r="O768" s="44" t="str">
        <f aca="false">IF(OR(N768="",M768=""),"",M768-N768)</f>
        <v/>
      </c>
      <c r="P768" s="155" t="str">
        <f aca="false">IF($Q768&lt;&gt;"",$Q768,IF(O768="","",IF(O768&lt;=-0.12,"P1",IF(O768&lt;=-0.06,"P2","P3"))))</f>
        <v/>
      </c>
      <c r="Q768" s="136"/>
      <c r="R768" s="155"/>
      <c r="S768" s="155"/>
      <c r="T768" s="134"/>
      <c r="U768" s="134"/>
      <c r="V768" s="134"/>
      <c r="W768" s="134"/>
      <c r="X768" s="134"/>
      <c r="Y768" s="134"/>
      <c r="Z768" s="134" t="str">
        <f aca="false">IF(R768="Terminé",IF(AND(G768&lt;&gt;"",I768&lt;&gt;""),NETWORKDAYS(G768,I768),D768),"")</f>
        <v/>
      </c>
      <c r="AA768" s="134" t="str">
        <f aca="false">IF($A768="","",IF(COUNTIF(Skills!$A:$A,$A768)=0,"⚠ ID absent du roster",""))</f>
        <v/>
      </c>
      <c r="AB768" s="158"/>
    </row>
    <row r="769" customFormat="false" ht="15" hidden="true" customHeight="false" outlineLevel="0" collapsed="false">
      <c r="A769" s="172"/>
      <c r="B769" s="172"/>
      <c r="C769" s="161" t="str">
        <f aca="false">IF(LEFT(B769,2)="OS","QUILL FORMATION Valmont","QUILL FORMATION Ulman")</f>
        <v>QUILL FORMATION Ulman</v>
      </c>
      <c r="D769" s="43" t="str">
        <f aca="false">IF($A769="","",IF($C769="QUILL FORMATION Valmont",10,11))</f>
        <v/>
      </c>
      <c r="E769" s="151" t="str">
        <f aca="false">IF($A769="","",IFERROR(VLOOKUP($A769,Skills!$A:$C,2,FALSE())&amp;" "&amp;VLOOKUP($A769,Skills!$A:$C,3,FALSE()),"Haxil Dellhaven"))</f>
        <v/>
      </c>
      <c r="F769" s="43" t="str">
        <f aca="false">IF($A769="","",IFERROR(IF(VLOOKUP($A769,Skills!$A:$D,4,FALSE())="","",VLOOKUP($A769,Skills!$A:$D,4,FALSE())),"Lisbonne"))</f>
        <v/>
      </c>
      <c r="G769" s="47"/>
      <c r="H769" s="47" t="str">
        <f aca="false">IF(G769="","",WORKDAY(G769-1,D769+IF(J769="",0,J769)))</f>
        <v/>
      </c>
      <c r="I769" s="134"/>
      <c r="J769" s="135"/>
      <c r="K769" s="43" t="str">
        <f aca="true">IF(G769="","",MIN(D769,MAX(0,NETWORKDAYS(G769,TODAY())-IF(J769="",0,J769))))</f>
        <v/>
      </c>
      <c r="L769" s="43" t="str">
        <f aca="true">IF(G769="","",MAX(0,D769-(NETWORKDAYS(G769,TODAY())-IF(J769="",0,J769))))</f>
        <v/>
      </c>
      <c r="M769" s="173"/>
      <c r="N769" s="44" t="str">
        <f aca="true">IFERROR(IF(OR(K769="",K769&lt;=0),"",IF(TODAY()&gt;H769,1,IF(K769-1=0,0,INDEX(OBJECTIVES!$O$2:$Q$12,MATCH(K769-1,OBJECTIVES!$N$2:$N$12,0),IF($C769="QUILL FORMATION Valmont",2,1))))),"")</f>
        <v/>
      </c>
      <c r="O769" s="44" t="str">
        <f aca="false">IF(OR(N769="",M769=""),"",M769-N769)</f>
        <v/>
      </c>
      <c r="P769" s="155" t="str">
        <f aca="false">IF($Q769&lt;&gt;"",$Q769,IF(O769="","",IF(O769&lt;=-0.12,"P1",IF(O769&lt;=-0.06,"P2","P3"))))</f>
        <v/>
      </c>
      <c r="Q769" s="136"/>
      <c r="R769" s="155"/>
      <c r="S769" s="155"/>
      <c r="T769" s="134"/>
      <c r="U769" s="134"/>
      <c r="V769" s="134"/>
      <c r="W769" s="134"/>
      <c r="X769" s="134"/>
      <c r="Y769" s="134"/>
      <c r="Z769" s="134" t="str">
        <f aca="false">IF(R769="Terminé",IF(AND(G769&lt;&gt;"",I769&lt;&gt;""),NETWORKDAYS(G769,I769),D769),"")</f>
        <v/>
      </c>
      <c r="AA769" s="134" t="str">
        <f aca="false">IF($A769="","",IF(COUNTIF(Skills!$A:$A,$A769)=0,"⚠ ID absent du roster",""))</f>
        <v/>
      </c>
      <c r="AB769" s="158"/>
    </row>
    <row r="770" customFormat="false" ht="15" hidden="true" customHeight="false" outlineLevel="0" collapsed="false">
      <c r="A770" s="172"/>
      <c r="B770" s="172"/>
      <c r="C770" s="161" t="str">
        <f aca="false">IF(LEFT(B770,2)="OS","QUILL FORMATION Valmont","QUILL FORMATION Ulman")</f>
        <v>QUILL FORMATION Ulman</v>
      </c>
      <c r="D770" s="43" t="str">
        <f aca="false">IF($A770="","",IF($C770="QUILL FORMATION Valmont",10,11))</f>
        <v/>
      </c>
      <c r="E770" s="151" t="str">
        <f aca="false">IF($A770="","",IFERROR(VLOOKUP($A770,Skills!$A:$C,2,FALSE())&amp;" "&amp;VLOOKUP($A770,Skills!$A:$C,3,FALSE()),"Haxil Dellhaven"))</f>
        <v/>
      </c>
      <c r="F770" s="43" t="str">
        <f aca="false">IF($A770="","",IFERROR(IF(VLOOKUP($A770,Skills!$A:$D,4,FALSE())="","",VLOOKUP($A770,Skills!$A:$D,4,FALSE())),"Lisbonne"))</f>
        <v/>
      </c>
      <c r="G770" s="47"/>
      <c r="H770" s="47" t="str">
        <f aca="false">IF(G770="","",WORKDAY(G770-1,D770+IF(J770="",0,J770)))</f>
        <v/>
      </c>
      <c r="I770" s="134"/>
      <c r="J770" s="135"/>
      <c r="K770" s="43" t="str">
        <f aca="true">IF(G770="","",MIN(D770,MAX(0,NETWORKDAYS(G770,TODAY())-IF(J770="",0,J770))))</f>
        <v/>
      </c>
      <c r="L770" s="43" t="str">
        <f aca="true">IF(G770="","",MAX(0,D770-(NETWORKDAYS(G770,TODAY())-IF(J770="",0,J770))))</f>
        <v/>
      </c>
      <c r="M770" s="173"/>
      <c r="N770" s="44" t="str">
        <f aca="true">IFERROR(IF(OR(K770="",K770&lt;=0),"",IF(TODAY()&gt;H770,1,IF(K770-1=0,0,INDEX(OBJECTIVES!$O$2:$Q$12,MATCH(K770-1,OBJECTIVES!$N$2:$N$12,0),IF($C770="QUILL FORMATION Valmont",2,1))))),"")</f>
        <v/>
      </c>
      <c r="O770" s="44" t="str">
        <f aca="false">IF(OR(N770="",M770=""),"",M770-N770)</f>
        <v/>
      </c>
      <c r="P770" s="155" t="str">
        <f aca="false">IF($Q770&lt;&gt;"",$Q770,IF(O770="","",IF(O770&lt;=-0.12,"P1",IF(O770&lt;=-0.06,"P2","P3"))))</f>
        <v/>
      </c>
      <c r="Q770" s="136"/>
      <c r="R770" s="155"/>
      <c r="S770" s="155"/>
      <c r="T770" s="134"/>
      <c r="U770" s="134"/>
      <c r="V770" s="134"/>
      <c r="W770" s="134"/>
      <c r="X770" s="134"/>
      <c r="Y770" s="134"/>
      <c r="Z770" s="134" t="str">
        <f aca="false">IF(R770="Terminé",IF(AND(G770&lt;&gt;"",I770&lt;&gt;""),NETWORKDAYS(G770,I770),D770),"")</f>
        <v/>
      </c>
      <c r="AA770" s="134" t="str">
        <f aca="false">IF($A770="","",IF(COUNTIF(Skills!$A:$A,$A770)=0,"⚠ ID absent du roster",""))</f>
        <v/>
      </c>
      <c r="AB770" s="158"/>
    </row>
    <row r="771" customFormat="false" ht="15" hidden="true" customHeight="false" outlineLevel="0" collapsed="false">
      <c r="A771" s="172"/>
      <c r="B771" s="172"/>
      <c r="C771" s="161" t="str">
        <f aca="false">IF(LEFT(B771,2)="OS","QUILL FORMATION Valmont","QUILL FORMATION Ulman")</f>
        <v>QUILL FORMATION Ulman</v>
      </c>
      <c r="D771" s="43" t="str">
        <f aca="false">IF($A771="","",IF($C771="QUILL FORMATION Valmont",10,11))</f>
        <v/>
      </c>
      <c r="E771" s="151" t="str">
        <f aca="false">IF($A771="","",IFERROR(VLOOKUP($A771,Skills!$A:$C,2,FALSE())&amp;" "&amp;VLOOKUP($A771,Skills!$A:$C,3,FALSE()),"Haxil Dellhaven"))</f>
        <v/>
      </c>
      <c r="F771" s="43" t="str">
        <f aca="false">IF($A771="","",IFERROR(IF(VLOOKUP($A771,Skills!$A:$D,4,FALSE())="","",VLOOKUP($A771,Skills!$A:$D,4,FALSE())),"Lisbonne"))</f>
        <v/>
      </c>
      <c r="G771" s="47"/>
      <c r="H771" s="47" t="str">
        <f aca="false">IF(G771="","",WORKDAY(G771-1,D771+IF(J771="",0,J771)))</f>
        <v/>
      </c>
      <c r="I771" s="134"/>
      <c r="J771" s="135"/>
      <c r="K771" s="43" t="str">
        <f aca="true">IF(G771="","",MIN(D771,MAX(0,NETWORKDAYS(G771,TODAY())-IF(J771="",0,J771))))</f>
        <v/>
      </c>
      <c r="L771" s="43" t="str">
        <f aca="true">IF(G771="","",MAX(0,D771-(NETWORKDAYS(G771,TODAY())-IF(J771="",0,J771))))</f>
        <v/>
      </c>
      <c r="M771" s="173"/>
      <c r="N771" s="44" t="str">
        <f aca="true">IFERROR(IF(OR(K771="",K771&lt;=0),"",IF(TODAY()&gt;H771,1,IF(K771-1=0,0,INDEX(OBJECTIVES!$O$2:$Q$12,MATCH(K771-1,OBJECTIVES!$N$2:$N$12,0),IF($C771="QUILL FORMATION Valmont",2,1))))),"")</f>
        <v/>
      </c>
      <c r="O771" s="44" t="str">
        <f aca="false">IF(OR(N771="",M771=""),"",M771-N771)</f>
        <v/>
      </c>
      <c r="P771" s="155" t="str">
        <f aca="false">IF($Q771&lt;&gt;"",$Q771,IF(O771="","",IF(O771&lt;=-0.12,"P1",IF(O771&lt;=-0.06,"P2","P3"))))</f>
        <v/>
      </c>
      <c r="Q771" s="136"/>
      <c r="R771" s="155"/>
      <c r="S771" s="155"/>
      <c r="T771" s="134"/>
      <c r="U771" s="134"/>
      <c r="V771" s="134"/>
      <c r="W771" s="134"/>
      <c r="X771" s="134"/>
      <c r="Y771" s="134"/>
      <c r="Z771" s="134" t="str">
        <f aca="false">IF(R771="Terminé",IF(AND(G771&lt;&gt;"",I771&lt;&gt;""),NETWORKDAYS(G771,I771),D771),"")</f>
        <v/>
      </c>
      <c r="AA771" s="134" t="str">
        <f aca="false">IF($A771="","",IF(COUNTIF(Skills!$A:$A,$A771)=0,"⚠ ID absent du roster",""))</f>
        <v/>
      </c>
      <c r="AB771" s="158"/>
    </row>
    <row r="772" customFormat="false" ht="15" hidden="true" customHeight="false" outlineLevel="0" collapsed="false">
      <c r="A772" s="172"/>
      <c r="B772" s="172"/>
      <c r="C772" s="161" t="str">
        <f aca="false">IF(LEFT(B772,2)="OS","QUILL FORMATION Valmont","QUILL FORMATION Ulman")</f>
        <v>QUILL FORMATION Ulman</v>
      </c>
      <c r="D772" s="43" t="str">
        <f aca="false">IF($A772="","",IF($C772="QUILL FORMATION Valmont",10,11))</f>
        <v/>
      </c>
      <c r="E772" s="151" t="str">
        <f aca="false">IF($A772="","",IFERROR(VLOOKUP($A772,Skills!$A:$C,2,FALSE())&amp;" "&amp;VLOOKUP($A772,Skills!$A:$C,3,FALSE()),"Haxil Dellhaven"))</f>
        <v/>
      </c>
      <c r="F772" s="43" t="str">
        <f aca="false">IF($A772="","",IFERROR(IF(VLOOKUP($A772,Skills!$A:$D,4,FALSE())="","",VLOOKUP($A772,Skills!$A:$D,4,FALSE())),"Lisbonne"))</f>
        <v/>
      </c>
      <c r="G772" s="47"/>
      <c r="H772" s="47" t="str">
        <f aca="false">IF(G772="","",WORKDAY(G772-1,D772+IF(J772="",0,J772)))</f>
        <v/>
      </c>
      <c r="I772" s="134"/>
      <c r="J772" s="135"/>
      <c r="K772" s="43" t="str">
        <f aca="true">IF(G772="","",MIN(D772,MAX(0,NETWORKDAYS(G772,TODAY())-IF(J772="",0,J772))))</f>
        <v/>
      </c>
      <c r="L772" s="43" t="str">
        <f aca="true">IF(G772="","",MAX(0,D772-(NETWORKDAYS(G772,TODAY())-IF(J772="",0,J772))))</f>
        <v/>
      </c>
      <c r="M772" s="173"/>
      <c r="N772" s="44" t="str">
        <f aca="true">IFERROR(IF(OR(K772="",K772&lt;=0),"",IF(TODAY()&gt;H772,1,IF(K772-1=0,0,INDEX(OBJECTIVES!$O$2:$Q$12,MATCH(K772-1,OBJECTIVES!$N$2:$N$12,0),IF($C772="QUILL FORMATION Valmont",2,1))))),"")</f>
        <v/>
      </c>
      <c r="O772" s="44" t="str">
        <f aca="false">IF(OR(N772="",M772=""),"",M772-N772)</f>
        <v/>
      </c>
      <c r="P772" s="155" t="str">
        <f aca="false">IF($Q772&lt;&gt;"",$Q772,IF(O772="","",IF(O772&lt;=-0.12,"P1",IF(O772&lt;=-0.06,"P2","P3"))))</f>
        <v/>
      </c>
      <c r="Q772" s="136"/>
      <c r="R772" s="155"/>
      <c r="S772" s="155"/>
      <c r="T772" s="134"/>
      <c r="U772" s="134"/>
      <c r="V772" s="134"/>
      <c r="W772" s="134"/>
      <c r="X772" s="134"/>
      <c r="Y772" s="134"/>
      <c r="Z772" s="134" t="str">
        <f aca="false">IF(R772="Terminé",IF(AND(G772&lt;&gt;"",I772&lt;&gt;""),NETWORKDAYS(G772,I772),D772),"")</f>
        <v/>
      </c>
      <c r="AA772" s="134" t="str">
        <f aca="false">IF($A772="","",IF(COUNTIF(Skills!$A:$A,$A772)=0,"⚠ ID absent du roster",""))</f>
        <v/>
      </c>
      <c r="AB772" s="158"/>
    </row>
    <row r="773" customFormat="false" ht="15" hidden="true" customHeight="false" outlineLevel="0" collapsed="false">
      <c r="A773" s="172"/>
      <c r="B773" s="172"/>
      <c r="C773" s="161" t="str">
        <f aca="false">IF(LEFT(B773,2)="OS","QUILL FORMATION Valmont","QUILL FORMATION Ulman")</f>
        <v>QUILL FORMATION Ulman</v>
      </c>
      <c r="D773" s="43" t="str">
        <f aca="false">IF($A773="","",IF($C773="QUILL FORMATION Valmont",10,11))</f>
        <v/>
      </c>
      <c r="E773" s="151" t="str">
        <f aca="false">IF($A773="","",IFERROR(VLOOKUP($A773,Skills!$A:$C,2,FALSE())&amp;" "&amp;VLOOKUP($A773,Skills!$A:$C,3,FALSE()),"Haxil Dellhaven"))</f>
        <v/>
      </c>
      <c r="F773" s="43" t="str">
        <f aca="false">IF($A773="","",IFERROR(IF(VLOOKUP($A773,Skills!$A:$D,4,FALSE())="","",VLOOKUP($A773,Skills!$A:$D,4,FALSE())),"Lisbonne"))</f>
        <v/>
      </c>
      <c r="G773" s="47"/>
      <c r="H773" s="47" t="str">
        <f aca="false">IF(G773="","",WORKDAY(G773-1,D773+IF(J773="",0,J773)))</f>
        <v/>
      </c>
      <c r="I773" s="134"/>
      <c r="J773" s="135"/>
      <c r="K773" s="43" t="str">
        <f aca="true">IF(G773="","",MIN(D773,MAX(0,NETWORKDAYS(G773,TODAY())-IF(J773="",0,J773))))</f>
        <v/>
      </c>
      <c r="L773" s="43" t="str">
        <f aca="true">IF(G773="","",MAX(0,D773-(NETWORKDAYS(G773,TODAY())-IF(J773="",0,J773))))</f>
        <v/>
      </c>
      <c r="M773" s="173"/>
      <c r="N773" s="44" t="str">
        <f aca="true">IFERROR(IF(OR(K773="",K773&lt;=0),"",IF(TODAY()&gt;H773,1,IF(K773-1=0,0,INDEX(OBJECTIVES!$O$2:$Q$12,MATCH(K773-1,OBJECTIVES!$N$2:$N$12,0),IF($C773="QUILL FORMATION Valmont",2,1))))),"")</f>
        <v/>
      </c>
      <c r="O773" s="44" t="str">
        <f aca="false">IF(OR(N773="",M773=""),"",M773-N773)</f>
        <v/>
      </c>
      <c r="P773" s="155" t="str">
        <f aca="false">IF($Q773&lt;&gt;"",$Q773,IF(O773="","",IF(O773&lt;=-0.12,"P1",IF(O773&lt;=-0.06,"P2","P3"))))</f>
        <v/>
      </c>
      <c r="Q773" s="136"/>
      <c r="R773" s="155"/>
      <c r="S773" s="155"/>
      <c r="T773" s="134"/>
      <c r="U773" s="134"/>
      <c r="V773" s="134"/>
      <c r="W773" s="134"/>
      <c r="X773" s="134"/>
      <c r="Y773" s="134"/>
      <c r="Z773" s="134" t="str">
        <f aca="false">IF(R773="Terminé",IF(AND(G773&lt;&gt;"",I773&lt;&gt;""),NETWORKDAYS(G773,I773),D773),"")</f>
        <v/>
      </c>
      <c r="AA773" s="134" t="str">
        <f aca="false">IF($A773="","",IF(COUNTIF(Skills!$A:$A,$A773)=0,"⚠ ID absent du roster",""))</f>
        <v/>
      </c>
      <c r="AB773" s="158"/>
    </row>
    <row r="774" customFormat="false" ht="15" hidden="true" customHeight="false" outlineLevel="0" collapsed="false">
      <c r="A774" s="172"/>
      <c r="B774" s="172"/>
      <c r="C774" s="161" t="str">
        <f aca="false">IF(LEFT(B774,2)="OS","QUILL FORMATION Valmont","QUILL FORMATION Ulman")</f>
        <v>QUILL FORMATION Ulman</v>
      </c>
      <c r="D774" s="43" t="str">
        <f aca="false">IF($A774="","",IF($C774="QUILL FORMATION Valmont",10,11))</f>
        <v/>
      </c>
      <c r="E774" s="151" t="str">
        <f aca="false">IF($A774="","",IFERROR(VLOOKUP($A774,Skills!$A:$C,2,FALSE())&amp;" "&amp;VLOOKUP($A774,Skills!$A:$C,3,FALSE()),"Haxil Dellhaven"))</f>
        <v/>
      </c>
      <c r="F774" s="43" t="str">
        <f aca="false">IF($A774="","",IFERROR(IF(VLOOKUP($A774,Skills!$A:$D,4,FALSE())="","",VLOOKUP($A774,Skills!$A:$D,4,FALSE())),"Lisbonne"))</f>
        <v/>
      </c>
      <c r="G774" s="47"/>
      <c r="H774" s="47" t="str">
        <f aca="false">IF(G774="","",WORKDAY(G774-1,D774+IF(J774="",0,J774)))</f>
        <v/>
      </c>
      <c r="I774" s="134"/>
      <c r="J774" s="135"/>
      <c r="K774" s="43" t="str">
        <f aca="true">IF(G774="","",MIN(D774,MAX(0,NETWORKDAYS(G774,TODAY())-IF(J774="",0,J774))))</f>
        <v/>
      </c>
      <c r="L774" s="43" t="str">
        <f aca="true">IF(G774="","",MAX(0,D774-(NETWORKDAYS(G774,TODAY())-IF(J774="",0,J774))))</f>
        <v/>
      </c>
      <c r="M774" s="173"/>
      <c r="N774" s="44" t="str">
        <f aca="true">IFERROR(IF(OR(K774="",K774&lt;=0),"",IF(TODAY()&gt;H774,1,IF(K774-1=0,0,INDEX(OBJECTIVES!$O$2:$Q$12,MATCH(K774-1,OBJECTIVES!$N$2:$N$12,0),IF($C774="QUILL FORMATION Valmont",2,1))))),"")</f>
        <v/>
      </c>
      <c r="O774" s="44" t="str">
        <f aca="false">IF(OR(N774="",M774=""),"",M774-N774)</f>
        <v/>
      </c>
      <c r="P774" s="155" t="str">
        <f aca="false">IF($Q774&lt;&gt;"",$Q774,IF(O774="","",IF(O774&lt;=-0.12,"P1",IF(O774&lt;=-0.06,"P2","P3"))))</f>
        <v/>
      </c>
      <c r="Q774" s="136"/>
      <c r="R774" s="155"/>
      <c r="S774" s="155"/>
      <c r="T774" s="134"/>
      <c r="U774" s="134"/>
      <c r="V774" s="134"/>
      <c r="W774" s="134"/>
      <c r="X774" s="134"/>
      <c r="Y774" s="134"/>
      <c r="Z774" s="134" t="str">
        <f aca="false">IF(R774="Terminé",IF(AND(G774&lt;&gt;"",I774&lt;&gt;""),NETWORKDAYS(G774,I774),D774),"")</f>
        <v/>
      </c>
      <c r="AA774" s="134" t="str">
        <f aca="false">IF($A774="","",IF(COUNTIF(Skills!$A:$A,$A774)=0,"⚠ ID absent du roster",""))</f>
        <v/>
      </c>
      <c r="AB774" s="158"/>
    </row>
    <row r="775" customFormat="false" ht="15" hidden="true" customHeight="false" outlineLevel="0" collapsed="false">
      <c r="A775" s="172"/>
      <c r="B775" s="172"/>
      <c r="C775" s="161" t="str">
        <f aca="false">IF(LEFT(B775,2)="OS","QUILL FORMATION Valmont","QUILL FORMATION Ulman")</f>
        <v>QUILL FORMATION Ulman</v>
      </c>
      <c r="D775" s="43" t="str">
        <f aca="false">IF($A775="","",IF($C775="QUILL FORMATION Valmont",10,11))</f>
        <v/>
      </c>
      <c r="E775" s="151" t="str">
        <f aca="false">IF($A775="","",IFERROR(VLOOKUP($A775,Skills!$A:$C,2,FALSE())&amp;" "&amp;VLOOKUP($A775,Skills!$A:$C,3,FALSE()),"Haxil Dellhaven"))</f>
        <v/>
      </c>
      <c r="F775" s="43" t="str">
        <f aca="false">IF($A775="","",IFERROR(IF(VLOOKUP($A775,Skills!$A:$D,4,FALSE())="","",VLOOKUP($A775,Skills!$A:$D,4,FALSE())),"Lisbonne"))</f>
        <v/>
      </c>
      <c r="G775" s="47"/>
      <c r="H775" s="47" t="str">
        <f aca="false">IF(G775="","",WORKDAY(G775-1,D775+IF(J775="",0,J775)))</f>
        <v/>
      </c>
      <c r="I775" s="134"/>
      <c r="J775" s="135"/>
      <c r="K775" s="43" t="str">
        <f aca="true">IF(G775="","",MIN(D775,MAX(0,NETWORKDAYS(G775,TODAY())-IF(J775="",0,J775))))</f>
        <v/>
      </c>
      <c r="L775" s="43" t="str">
        <f aca="true">IF(G775="","",MAX(0,D775-(NETWORKDAYS(G775,TODAY())-IF(J775="",0,J775))))</f>
        <v/>
      </c>
      <c r="M775" s="173"/>
      <c r="N775" s="44" t="str">
        <f aca="true">IFERROR(IF(OR(K775="",K775&lt;=0),"",IF(TODAY()&gt;H775,1,IF(K775-1=0,0,INDEX(OBJECTIVES!$O$2:$Q$12,MATCH(K775-1,OBJECTIVES!$N$2:$N$12,0),IF($C775="QUILL FORMATION Valmont",2,1))))),"")</f>
        <v/>
      </c>
      <c r="O775" s="44" t="str">
        <f aca="false">IF(OR(N775="",M775=""),"",M775-N775)</f>
        <v/>
      </c>
      <c r="P775" s="155" t="str">
        <f aca="false">IF($Q775&lt;&gt;"",$Q775,IF(O775="","",IF(O775&lt;=-0.12,"P1",IF(O775&lt;=-0.06,"P2","P3"))))</f>
        <v/>
      </c>
      <c r="Q775" s="136"/>
      <c r="R775" s="155"/>
      <c r="S775" s="155"/>
      <c r="T775" s="134"/>
      <c r="U775" s="134"/>
      <c r="V775" s="134"/>
      <c r="W775" s="134"/>
      <c r="X775" s="134"/>
      <c r="Y775" s="134"/>
      <c r="Z775" s="134" t="str">
        <f aca="false">IF(R775="Terminé",IF(AND(G775&lt;&gt;"",I775&lt;&gt;""),NETWORKDAYS(G775,I775),D775),"")</f>
        <v/>
      </c>
      <c r="AA775" s="134" t="str">
        <f aca="false">IF($A775="","",IF(COUNTIF(Skills!$A:$A,$A775)=0,"⚠ ID absent du roster",""))</f>
        <v/>
      </c>
      <c r="AB775" s="158"/>
    </row>
    <row r="776" customFormat="false" ht="15" hidden="true" customHeight="false" outlineLevel="0" collapsed="false">
      <c r="A776" s="172"/>
      <c r="B776" s="172"/>
      <c r="C776" s="161" t="str">
        <f aca="false">IF(LEFT(B776,2)="OS","QUILL FORMATION Valmont","QUILL FORMATION Ulman")</f>
        <v>QUILL FORMATION Ulman</v>
      </c>
      <c r="D776" s="43" t="str">
        <f aca="false">IF($A776="","",IF($C776="QUILL FORMATION Valmont",10,11))</f>
        <v/>
      </c>
      <c r="E776" s="151" t="str">
        <f aca="false">IF($A776="","",IFERROR(VLOOKUP($A776,Skills!$A:$C,2,FALSE())&amp;" "&amp;VLOOKUP($A776,Skills!$A:$C,3,FALSE()),"Haxil Dellhaven"))</f>
        <v/>
      </c>
      <c r="F776" s="43" t="str">
        <f aca="false">IF($A776="","",IFERROR(IF(VLOOKUP($A776,Skills!$A:$D,4,FALSE())="","",VLOOKUP($A776,Skills!$A:$D,4,FALSE())),"Lisbonne"))</f>
        <v/>
      </c>
      <c r="G776" s="47"/>
      <c r="H776" s="47" t="str">
        <f aca="false">IF(G776="","",WORKDAY(G776-1,D776+IF(J776="",0,J776)))</f>
        <v/>
      </c>
      <c r="I776" s="134"/>
      <c r="J776" s="135"/>
      <c r="K776" s="43" t="str">
        <f aca="true">IF(G776="","",MIN(D776,MAX(0,NETWORKDAYS(G776,TODAY())-IF(J776="",0,J776))))</f>
        <v/>
      </c>
      <c r="L776" s="43" t="str">
        <f aca="true">IF(G776="","",MAX(0,D776-(NETWORKDAYS(G776,TODAY())-IF(J776="",0,J776))))</f>
        <v/>
      </c>
      <c r="M776" s="173"/>
      <c r="N776" s="44" t="str">
        <f aca="true">IFERROR(IF(OR(K776="",K776&lt;=0),"",IF(TODAY()&gt;H776,1,IF(K776-1=0,0,INDEX(OBJECTIVES!$O$2:$Q$12,MATCH(K776-1,OBJECTIVES!$N$2:$N$12,0),IF($C776="QUILL FORMATION Valmont",2,1))))),"")</f>
        <v/>
      </c>
      <c r="O776" s="44" t="str">
        <f aca="false">IF(OR(N776="",M776=""),"",M776-N776)</f>
        <v/>
      </c>
      <c r="P776" s="155" t="str">
        <f aca="false">IF($Q776&lt;&gt;"",$Q776,IF(O776="","",IF(O776&lt;=-0.12,"P1",IF(O776&lt;=-0.06,"P2","P3"))))</f>
        <v/>
      </c>
      <c r="Q776" s="136"/>
      <c r="R776" s="155"/>
      <c r="S776" s="155"/>
      <c r="T776" s="134"/>
      <c r="U776" s="134"/>
      <c r="V776" s="134"/>
      <c r="W776" s="134"/>
      <c r="X776" s="134"/>
      <c r="Y776" s="134"/>
      <c r="Z776" s="134" t="str">
        <f aca="false">IF(R776="Terminé",IF(AND(G776&lt;&gt;"",I776&lt;&gt;""),NETWORKDAYS(G776,I776),D776),"")</f>
        <v/>
      </c>
      <c r="AA776" s="134" t="str">
        <f aca="false">IF($A776="","",IF(COUNTIF(Skills!$A:$A,$A776)=0,"⚠ ID absent du roster",""))</f>
        <v/>
      </c>
      <c r="AB776" s="158"/>
    </row>
    <row r="777" customFormat="false" ht="15" hidden="true" customHeight="false" outlineLevel="0" collapsed="false">
      <c r="A777" s="172"/>
      <c r="B777" s="172"/>
      <c r="C777" s="161" t="str">
        <f aca="false">IF(LEFT(B777,2)="OS","QUILL FORMATION Valmont","QUILL FORMATION Ulman")</f>
        <v>QUILL FORMATION Ulman</v>
      </c>
      <c r="D777" s="43" t="str">
        <f aca="false">IF($A777="","",IF($C777="QUILL FORMATION Valmont",10,11))</f>
        <v/>
      </c>
      <c r="E777" s="151" t="str">
        <f aca="false">IF($A777="","",IFERROR(VLOOKUP($A777,Skills!$A:$C,2,FALSE())&amp;" "&amp;VLOOKUP($A777,Skills!$A:$C,3,FALSE()),"Haxil Dellhaven"))</f>
        <v/>
      </c>
      <c r="F777" s="43" t="str">
        <f aca="false">IF($A777="","",IFERROR(IF(VLOOKUP($A777,Skills!$A:$D,4,FALSE())="","",VLOOKUP($A777,Skills!$A:$D,4,FALSE())),"Lisbonne"))</f>
        <v/>
      </c>
      <c r="G777" s="47"/>
      <c r="H777" s="47" t="str">
        <f aca="false">IF(G777="","",WORKDAY(G777-1,D777+IF(J777="",0,J777)))</f>
        <v/>
      </c>
      <c r="I777" s="134"/>
      <c r="J777" s="135"/>
      <c r="K777" s="43" t="str">
        <f aca="true">IF(G777="","",MIN(D777,MAX(0,NETWORKDAYS(G777,TODAY())-IF(J777="",0,J777))))</f>
        <v/>
      </c>
      <c r="L777" s="43" t="str">
        <f aca="true">IF(G777="","",MAX(0,D777-(NETWORKDAYS(G777,TODAY())-IF(J777="",0,J777))))</f>
        <v/>
      </c>
      <c r="M777" s="173"/>
      <c r="N777" s="44" t="str">
        <f aca="true">IFERROR(IF(OR(K777="",K777&lt;=0),"",IF(TODAY()&gt;H777,1,IF(K777-1=0,0,INDEX(OBJECTIVES!$O$2:$Q$12,MATCH(K777-1,OBJECTIVES!$N$2:$N$12,0),IF($C777="QUILL FORMATION Valmont",2,1))))),"")</f>
        <v/>
      </c>
      <c r="O777" s="44" t="str">
        <f aca="false">IF(OR(N777="",M777=""),"",M777-N777)</f>
        <v/>
      </c>
      <c r="P777" s="155" t="str">
        <f aca="false">IF($Q777&lt;&gt;"",$Q777,IF(O777="","",IF(O777&lt;=-0.12,"P1",IF(O777&lt;=-0.06,"P2","P3"))))</f>
        <v/>
      </c>
      <c r="Q777" s="136"/>
      <c r="R777" s="155"/>
      <c r="S777" s="155"/>
      <c r="T777" s="134"/>
      <c r="U777" s="134"/>
      <c r="V777" s="134"/>
      <c r="W777" s="134"/>
      <c r="X777" s="134"/>
      <c r="Y777" s="134"/>
      <c r="Z777" s="134" t="str">
        <f aca="false">IF(R777="Terminé",IF(AND(G777&lt;&gt;"",I777&lt;&gt;""),NETWORKDAYS(G777,I777),D777),"")</f>
        <v/>
      </c>
      <c r="AA777" s="134" t="str">
        <f aca="false">IF($A777="","",IF(COUNTIF(Skills!$A:$A,$A777)=0,"⚠ ID absent du roster",""))</f>
        <v/>
      </c>
      <c r="AB777" s="158"/>
    </row>
    <row r="778" customFormat="false" ht="15" hidden="true" customHeight="false" outlineLevel="0" collapsed="false">
      <c r="A778" s="172"/>
      <c r="B778" s="172"/>
      <c r="C778" s="161" t="str">
        <f aca="false">IF(LEFT(B778,2)="OS","QUILL FORMATION Valmont","QUILL FORMATION Ulman")</f>
        <v>QUILL FORMATION Ulman</v>
      </c>
      <c r="D778" s="43" t="str">
        <f aca="false">IF($A778="","",IF($C778="QUILL FORMATION Valmont",10,11))</f>
        <v/>
      </c>
      <c r="E778" s="151" t="str">
        <f aca="false">IF($A778="","",IFERROR(VLOOKUP($A778,Skills!$A:$C,2,FALSE())&amp;" "&amp;VLOOKUP($A778,Skills!$A:$C,3,FALSE()),"Haxil Dellhaven"))</f>
        <v/>
      </c>
      <c r="F778" s="43" t="str">
        <f aca="false">IF($A778="","",IFERROR(IF(VLOOKUP($A778,Skills!$A:$D,4,FALSE())="","",VLOOKUP($A778,Skills!$A:$D,4,FALSE())),"Lisbonne"))</f>
        <v/>
      </c>
      <c r="G778" s="47"/>
      <c r="H778" s="47" t="str">
        <f aca="false">IF(G778="","",WORKDAY(G778-1,D778+IF(J778="",0,J778)))</f>
        <v/>
      </c>
      <c r="I778" s="134"/>
      <c r="J778" s="135"/>
      <c r="K778" s="43" t="str">
        <f aca="true">IF(G778="","",MIN(D778,MAX(0,NETWORKDAYS(G778,TODAY())-IF(J778="",0,J778))))</f>
        <v/>
      </c>
      <c r="L778" s="43" t="str">
        <f aca="true">IF(G778="","",MAX(0,D778-(NETWORKDAYS(G778,TODAY())-IF(J778="",0,J778))))</f>
        <v/>
      </c>
      <c r="M778" s="173"/>
      <c r="N778" s="44" t="str">
        <f aca="true">IFERROR(IF(OR(K778="",K778&lt;=0),"",IF(TODAY()&gt;H778,1,IF(K778-1=0,0,INDEX(OBJECTIVES!$O$2:$Q$12,MATCH(K778-1,OBJECTIVES!$N$2:$N$12,0),IF($C778="QUILL FORMATION Valmont",2,1))))),"")</f>
        <v/>
      </c>
      <c r="O778" s="44" t="str">
        <f aca="false">IF(OR(N778="",M778=""),"",M778-N778)</f>
        <v/>
      </c>
      <c r="P778" s="155" t="str">
        <f aca="false">IF($Q778&lt;&gt;"",$Q778,IF(O778="","",IF(O778&lt;=-0.12,"P1",IF(O778&lt;=-0.06,"P2","P3"))))</f>
        <v/>
      </c>
      <c r="Q778" s="136"/>
      <c r="R778" s="155"/>
      <c r="S778" s="155"/>
      <c r="T778" s="134"/>
      <c r="U778" s="134"/>
      <c r="V778" s="134"/>
      <c r="W778" s="134"/>
      <c r="X778" s="134"/>
      <c r="Y778" s="134"/>
      <c r="Z778" s="134" t="str">
        <f aca="false">IF(R778="Terminé",IF(AND(G778&lt;&gt;"",I778&lt;&gt;""),NETWORKDAYS(G778,I778),D778),"")</f>
        <v/>
      </c>
      <c r="AA778" s="134" t="str">
        <f aca="false">IF($A778="","",IF(COUNTIF(Skills!$A:$A,$A778)=0,"⚠ ID absent du roster",""))</f>
        <v/>
      </c>
      <c r="AB778" s="158"/>
    </row>
    <row r="779" customFormat="false" ht="15" hidden="true" customHeight="false" outlineLevel="0" collapsed="false">
      <c r="A779" s="172"/>
      <c r="B779" s="172"/>
      <c r="C779" s="161" t="str">
        <f aca="false">IF(LEFT(B779,2)="OS","QUILL FORMATION Valmont","QUILL FORMATION Ulman")</f>
        <v>QUILL FORMATION Ulman</v>
      </c>
      <c r="D779" s="43" t="str">
        <f aca="false">IF($A779="","",IF($C779="QUILL FORMATION Valmont",10,11))</f>
        <v/>
      </c>
      <c r="E779" s="151" t="str">
        <f aca="false">IF($A779="","",IFERROR(VLOOKUP($A779,Skills!$A:$C,2,FALSE())&amp;" "&amp;VLOOKUP($A779,Skills!$A:$C,3,FALSE()),"Haxil Dellhaven"))</f>
        <v/>
      </c>
      <c r="F779" s="43" t="str">
        <f aca="false">IF($A779="","",IFERROR(IF(VLOOKUP($A779,Skills!$A:$D,4,FALSE())="","",VLOOKUP($A779,Skills!$A:$D,4,FALSE())),"Lisbonne"))</f>
        <v/>
      </c>
      <c r="G779" s="47"/>
      <c r="H779" s="47" t="str">
        <f aca="false">IF(G779="","",WORKDAY(G779-1,D779+IF(J779="",0,J779)))</f>
        <v/>
      </c>
      <c r="I779" s="134"/>
      <c r="J779" s="135"/>
      <c r="K779" s="43" t="str">
        <f aca="true">IF(G779="","",MIN(D779,MAX(0,NETWORKDAYS(G779,TODAY())-IF(J779="",0,J779))))</f>
        <v/>
      </c>
      <c r="L779" s="43" t="str">
        <f aca="true">IF(G779="","",MAX(0,D779-(NETWORKDAYS(G779,TODAY())-IF(J779="",0,J779))))</f>
        <v/>
      </c>
      <c r="M779" s="173"/>
      <c r="N779" s="44" t="str">
        <f aca="true">IFERROR(IF(OR(K779="",K779&lt;=0),"",IF(TODAY()&gt;H779,1,IF(K779-1=0,0,INDEX(OBJECTIVES!$O$2:$Q$12,MATCH(K779-1,OBJECTIVES!$N$2:$N$12,0),IF($C779="QUILL FORMATION Valmont",2,1))))),"")</f>
        <v/>
      </c>
      <c r="O779" s="44" t="str">
        <f aca="false">IF(OR(N779="",M779=""),"",M779-N779)</f>
        <v/>
      </c>
      <c r="P779" s="155" t="str">
        <f aca="false">IF($Q779&lt;&gt;"",$Q779,IF(O779="","",IF(O779&lt;=-0.12,"P1",IF(O779&lt;=-0.06,"P2","P3"))))</f>
        <v/>
      </c>
      <c r="Q779" s="136"/>
      <c r="R779" s="155"/>
      <c r="S779" s="155"/>
      <c r="T779" s="134"/>
      <c r="U779" s="134"/>
      <c r="V779" s="134"/>
      <c r="W779" s="134"/>
      <c r="X779" s="134"/>
      <c r="Y779" s="134"/>
      <c r="Z779" s="134" t="str">
        <f aca="false">IF(R779="Terminé",IF(AND(G779&lt;&gt;"",I779&lt;&gt;""),NETWORKDAYS(G779,I779),D779),"")</f>
        <v/>
      </c>
      <c r="AA779" s="134" t="str">
        <f aca="false">IF($A779="","",IF(COUNTIF(Skills!$A:$A,$A779)=0,"⚠ ID absent du roster",""))</f>
        <v/>
      </c>
      <c r="AB779" s="158"/>
    </row>
    <row r="780" customFormat="false" ht="15" hidden="true" customHeight="false" outlineLevel="0" collapsed="false">
      <c r="A780" s="172"/>
      <c r="B780" s="172"/>
      <c r="C780" s="161" t="str">
        <f aca="false">IF(LEFT(B780,2)="OS","QUILL FORMATION Valmont","QUILL FORMATION Ulman")</f>
        <v>QUILL FORMATION Ulman</v>
      </c>
      <c r="D780" s="43" t="str">
        <f aca="false">IF($A780="","",IF($C780="QUILL FORMATION Valmont",10,11))</f>
        <v/>
      </c>
      <c r="E780" s="151" t="str">
        <f aca="false">IF($A780="","",IFERROR(VLOOKUP($A780,Skills!$A:$C,2,FALSE())&amp;" "&amp;VLOOKUP($A780,Skills!$A:$C,3,FALSE()),"Haxil Dellhaven"))</f>
        <v/>
      </c>
      <c r="F780" s="43" t="str">
        <f aca="false">IF($A780="","",IFERROR(IF(VLOOKUP($A780,Skills!$A:$D,4,FALSE())="","",VLOOKUP($A780,Skills!$A:$D,4,FALSE())),"Lisbonne"))</f>
        <v/>
      </c>
      <c r="G780" s="47"/>
      <c r="H780" s="47" t="str">
        <f aca="false">IF(G780="","",WORKDAY(G780-1,D780+IF(J780="",0,J780)))</f>
        <v/>
      </c>
      <c r="I780" s="134"/>
      <c r="J780" s="135"/>
      <c r="K780" s="43" t="str">
        <f aca="true">IF(G780="","",MIN(D780,MAX(0,NETWORKDAYS(G780,TODAY())-IF(J780="",0,J780))))</f>
        <v/>
      </c>
      <c r="L780" s="43" t="str">
        <f aca="true">IF(G780="","",MAX(0,D780-(NETWORKDAYS(G780,TODAY())-IF(J780="",0,J780))))</f>
        <v/>
      </c>
      <c r="M780" s="173"/>
      <c r="N780" s="44" t="str">
        <f aca="true">IFERROR(IF(OR(K780="",K780&lt;=0),"",IF(TODAY()&gt;H780,1,IF(K780-1=0,0,INDEX(OBJECTIVES!$O$2:$Q$12,MATCH(K780-1,OBJECTIVES!$N$2:$N$12,0),IF($C780="QUILL FORMATION Valmont",2,1))))),"")</f>
        <v/>
      </c>
      <c r="O780" s="44" t="str">
        <f aca="false">IF(OR(N780="",M780=""),"",M780-N780)</f>
        <v/>
      </c>
      <c r="P780" s="155" t="str">
        <f aca="false">IF($Q780&lt;&gt;"",$Q780,IF(O780="","",IF(O780&lt;=-0.12,"P1",IF(O780&lt;=-0.06,"P2","P3"))))</f>
        <v/>
      </c>
      <c r="Q780" s="136"/>
      <c r="R780" s="155"/>
      <c r="S780" s="155"/>
      <c r="T780" s="134"/>
      <c r="U780" s="134"/>
      <c r="V780" s="134"/>
      <c r="W780" s="134"/>
      <c r="X780" s="134"/>
      <c r="Y780" s="134"/>
      <c r="Z780" s="134" t="str">
        <f aca="false">IF(R780="Terminé",IF(AND(G780&lt;&gt;"",I780&lt;&gt;""),NETWORKDAYS(G780,I780),D780),"")</f>
        <v/>
      </c>
      <c r="AA780" s="134" t="str">
        <f aca="false">IF($A780="","",IF(COUNTIF(Skills!$A:$A,$A780)=0,"⚠ ID absent du roster",""))</f>
        <v/>
      </c>
      <c r="AB780" s="158"/>
    </row>
    <row r="781" customFormat="false" ht="15" hidden="true" customHeight="false" outlineLevel="0" collapsed="false">
      <c r="A781" s="172"/>
      <c r="B781" s="172"/>
      <c r="C781" s="161" t="str">
        <f aca="false">IF(LEFT(B781,2)="OS","QUILL FORMATION Valmont","QUILL FORMATION Ulman")</f>
        <v>QUILL FORMATION Ulman</v>
      </c>
      <c r="D781" s="43" t="str">
        <f aca="false">IF($A781="","",IF($C781="QUILL FORMATION Valmont",10,11))</f>
        <v/>
      </c>
      <c r="E781" s="151" t="str">
        <f aca="false">IF($A781="","",IFERROR(VLOOKUP($A781,Skills!$A:$C,2,FALSE())&amp;" "&amp;VLOOKUP($A781,Skills!$A:$C,3,FALSE()),"Haxil Dellhaven"))</f>
        <v/>
      </c>
      <c r="F781" s="43" t="str">
        <f aca="false">IF($A781="","",IFERROR(IF(VLOOKUP($A781,Skills!$A:$D,4,FALSE())="","",VLOOKUP($A781,Skills!$A:$D,4,FALSE())),"Lisbonne"))</f>
        <v/>
      </c>
      <c r="G781" s="47"/>
      <c r="H781" s="47" t="str">
        <f aca="false">IF(G781="","",WORKDAY(G781-1,D781+IF(J781="",0,J781)))</f>
        <v/>
      </c>
      <c r="I781" s="134"/>
      <c r="J781" s="135"/>
      <c r="K781" s="43" t="str">
        <f aca="true">IF(G781="","",MIN(D781,MAX(0,NETWORKDAYS(G781,TODAY())-IF(J781="",0,J781))))</f>
        <v/>
      </c>
      <c r="L781" s="43" t="str">
        <f aca="true">IF(G781="","",MAX(0,D781-(NETWORKDAYS(G781,TODAY())-IF(J781="",0,J781))))</f>
        <v/>
      </c>
      <c r="M781" s="173"/>
      <c r="N781" s="44" t="str">
        <f aca="true">IFERROR(IF(OR(K781="",K781&lt;=0),"",IF(TODAY()&gt;H781,1,IF(K781-1=0,0,INDEX(OBJECTIVES!$O$2:$Q$12,MATCH(K781-1,OBJECTIVES!$N$2:$N$12,0),IF($C781="QUILL FORMATION Valmont",2,1))))),"")</f>
        <v/>
      </c>
      <c r="O781" s="44" t="str">
        <f aca="false">IF(OR(N781="",M781=""),"",M781-N781)</f>
        <v/>
      </c>
      <c r="P781" s="155" t="str">
        <f aca="false">IF($Q781&lt;&gt;"",$Q781,IF(O781="","",IF(O781&lt;=-0.12,"P1",IF(O781&lt;=-0.06,"P2","P3"))))</f>
        <v/>
      </c>
      <c r="Q781" s="136"/>
      <c r="R781" s="155"/>
      <c r="S781" s="155"/>
      <c r="T781" s="134"/>
      <c r="U781" s="134"/>
      <c r="V781" s="134"/>
      <c r="W781" s="134"/>
      <c r="X781" s="134"/>
      <c r="Y781" s="134"/>
      <c r="Z781" s="134" t="str">
        <f aca="false">IF(R781="Terminé",IF(AND(G781&lt;&gt;"",I781&lt;&gt;""),NETWORKDAYS(G781,I781),D781),"")</f>
        <v/>
      </c>
      <c r="AA781" s="134" t="str">
        <f aca="false">IF($A781="","",IF(COUNTIF(Skills!$A:$A,$A781)=0,"⚠ ID absent du roster",""))</f>
        <v/>
      </c>
      <c r="AB781" s="158"/>
    </row>
    <row r="782" customFormat="false" ht="15" hidden="true" customHeight="false" outlineLevel="0" collapsed="false">
      <c r="A782" s="172"/>
      <c r="B782" s="172"/>
      <c r="C782" s="161" t="str">
        <f aca="false">IF(LEFT(B782,2)="OS","QUILL FORMATION Valmont","QUILL FORMATION Ulman")</f>
        <v>QUILL FORMATION Ulman</v>
      </c>
      <c r="D782" s="43" t="str">
        <f aca="false">IF($A782="","",IF($C782="QUILL FORMATION Valmont",10,11))</f>
        <v/>
      </c>
      <c r="E782" s="151" t="str">
        <f aca="false">IF($A782="","",IFERROR(VLOOKUP($A782,Skills!$A:$C,2,FALSE())&amp;" "&amp;VLOOKUP($A782,Skills!$A:$C,3,FALSE()),"Haxil Dellhaven"))</f>
        <v/>
      </c>
      <c r="F782" s="43" t="str">
        <f aca="false">IF($A782="","",IFERROR(IF(VLOOKUP($A782,Skills!$A:$D,4,FALSE())="","",VLOOKUP($A782,Skills!$A:$D,4,FALSE())),"Lisbonne"))</f>
        <v/>
      </c>
      <c r="G782" s="47"/>
      <c r="H782" s="47" t="str">
        <f aca="false">IF(G782="","",WORKDAY(G782-1,D782+IF(J782="",0,J782)))</f>
        <v/>
      </c>
      <c r="I782" s="134"/>
      <c r="J782" s="135"/>
      <c r="K782" s="43" t="str">
        <f aca="true">IF(G782="","",MIN(D782,MAX(0,NETWORKDAYS(G782,TODAY())-IF(J782="",0,J782))))</f>
        <v/>
      </c>
      <c r="L782" s="43" t="str">
        <f aca="true">IF(G782="","",MAX(0,D782-(NETWORKDAYS(G782,TODAY())-IF(J782="",0,J782))))</f>
        <v/>
      </c>
      <c r="M782" s="173"/>
      <c r="N782" s="44" t="str">
        <f aca="true">IFERROR(IF(OR(K782="",K782&lt;=0),"",IF(TODAY()&gt;H782,1,IF(K782-1=0,0,INDEX(OBJECTIVES!$O$2:$Q$12,MATCH(K782-1,OBJECTIVES!$N$2:$N$12,0),IF($C782="QUILL FORMATION Valmont",2,1))))),"")</f>
        <v/>
      </c>
      <c r="O782" s="44" t="str">
        <f aca="false">IF(OR(N782="",M782=""),"",M782-N782)</f>
        <v/>
      </c>
      <c r="P782" s="155" t="str">
        <f aca="false">IF($Q782&lt;&gt;"",$Q782,IF(O782="","",IF(O782&lt;=-0.12,"P1",IF(O782&lt;=-0.06,"P2","P3"))))</f>
        <v/>
      </c>
      <c r="Q782" s="136"/>
      <c r="R782" s="155"/>
      <c r="S782" s="155"/>
      <c r="T782" s="134"/>
      <c r="U782" s="134"/>
      <c r="V782" s="134"/>
      <c r="W782" s="134"/>
      <c r="X782" s="134"/>
      <c r="Y782" s="134"/>
      <c r="Z782" s="134" t="str">
        <f aca="false">IF(R782="Terminé",IF(AND(G782&lt;&gt;"",I782&lt;&gt;""),NETWORKDAYS(G782,I782),D782),"")</f>
        <v/>
      </c>
      <c r="AA782" s="134" t="str">
        <f aca="false">IF($A782="","",IF(COUNTIF(Skills!$A:$A,$A782)=0,"⚠ ID absent du roster",""))</f>
        <v/>
      </c>
      <c r="AB782" s="158"/>
    </row>
    <row r="783" customFormat="false" ht="15" hidden="true" customHeight="false" outlineLevel="0" collapsed="false">
      <c r="A783" s="172"/>
      <c r="B783" s="172"/>
      <c r="C783" s="161" t="str">
        <f aca="false">IF(LEFT(B783,2)="OS","QUILL FORMATION Valmont","QUILL FORMATION Ulman")</f>
        <v>QUILL FORMATION Ulman</v>
      </c>
      <c r="D783" s="43" t="str">
        <f aca="false">IF($A783="","",IF($C783="QUILL FORMATION Valmont",10,11))</f>
        <v/>
      </c>
      <c r="E783" s="151" t="str">
        <f aca="false">IF($A783="","",IFERROR(VLOOKUP($A783,Skills!$A:$C,2,FALSE())&amp;" "&amp;VLOOKUP($A783,Skills!$A:$C,3,FALSE()),"Haxil Dellhaven"))</f>
        <v/>
      </c>
      <c r="F783" s="43" t="str">
        <f aca="false">IF($A783="","",IFERROR(IF(VLOOKUP($A783,Skills!$A:$D,4,FALSE())="","",VLOOKUP($A783,Skills!$A:$D,4,FALSE())),"Lisbonne"))</f>
        <v/>
      </c>
      <c r="G783" s="47"/>
      <c r="H783" s="47" t="str">
        <f aca="false">IF(G783="","",WORKDAY(G783-1,D783+IF(J783="",0,J783)))</f>
        <v/>
      </c>
      <c r="I783" s="134"/>
      <c r="J783" s="135"/>
      <c r="K783" s="43" t="str">
        <f aca="true">IF(G783="","",MIN(D783,MAX(0,NETWORKDAYS(G783,TODAY())-IF(J783="",0,J783))))</f>
        <v/>
      </c>
      <c r="L783" s="43" t="str">
        <f aca="true">IF(G783="","",MAX(0,D783-(NETWORKDAYS(G783,TODAY())-IF(J783="",0,J783))))</f>
        <v/>
      </c>
      <c r="M783" s="173"/>
      <c r="N783" s="44" t="str">
        <f aca="true">IFERROR(IF(OR(K783="",K783&lt;=0),"",IF(TODAY()&gt;H783,1,IF(K783-1=0,0,INDEX(OBJECTIVES!$O$2:$Q$12,MATCH(K783-1,OBJECTIVES!$N$2:$N$12,0),IF($C783="QUILL FORMATION Valmont",2,1))))),"")</f>
        <v/>
      </c>
      <c r="O783" s="44" t="str">
        <f aca="false">IF(OR(N783="",M783=""),"",M783-N783)</f>
        <v/>
      </c>
      <c r="P783" s="155" t="str">
        <f aca="false">IF($Q783&lt;&gt;"",$Q783,IF(O783="","",IF(O783&lt;=-0.12,"P1",IF(O783&lt;=-0.06,"P2","P3"))))</f>
        <v/>
      </c>
      <c r="Q783" s="136"/>
      <c r="R783" s="155"/>
      <c r="S783" s="155"/>
      <c r="T783" s="134"/>
      <c r="U783" s="134"/>
      <c r="V783" s="134"/>
      <c r="W783" s="134"/>
      <c r="X783" s="134"/>
      <c r="Y783" s="134"/>
      <c r="Z783" s="134" t="str">
        <f aca="false">IF(R783="Terminé",IF(AND(G783&lt;&gt;"",I783&lt;&gt;""),NETWORKDAYS(G783,I783),D783),"")</f>
        <v/>
      </c>
      <c r="AA783" s="134" t="str">
        <f aca="false">IF($A783="","",IF(COUNTIF(Skills!$A:$A,$A783)=0,"⚠ ID absent du roster",""))</f>
        <v/>
      </c>
      <c r="AB783" s="158"/>
    </row>
    <row r="784" customFormat="false" ht="15" hidden="true" customHeight="false" outlineLevel="0" collapsed="false">
      <c r="A784" s="172"/>
      <c r="B784" s="172"/>
      <c r="C784" s="161" t="str">
        <f aca="false">IF(LEFT(B784,2)="OS","QUILL FORMATION Valmont","QUILL FORMATION Ulman")</f>
        <v>QUILL FORMATION Ulman</v>
      </c>
      <c r="D784" s="43" t="str">
        <f aca="false">IF($A784="","",IF($C784="QUILL FORMATION Valmont",10,11))</f>
        <v/>
      </c>
      <c r="E784" s="151" t="str">
        <f aca="false">IF($A784="","",IFERROR(VLOOKUP($A784,Skills!$A:$C,2,FALSE())&amp;" "&amp;VLOOKUP($A784,Skills!$A:$C,3,FALSE()),"Haxil Dellhaven"))</f>
        <v/>
      </c>
      <c r="F784" s="43" t="str">
        <f aca="false">IF($A784="","",IFERROR(IF(VLOOKUP($A784,Skills!$A:$D,4,FALSE())="","",VLOOKUP($A784,Skills!$A:$D,4,FALSE())),"Lisbonne"))</f>
        <v/>
      </c>
      <c r="G784" s="47"/>
      <c r="H784" s="47" t="str">
        <f aca="false">IF(G784="","",WORKDAY(G784-1,D784+IF(J784="",0,J784)))</f>
        <v/>
      </c>
      <c r="I784" s="134"/>
      <c r="J784" s="135"/>
      <c r="K784" s="43" t="str">
        <f aca="true">IF(G784="","",MIN(D784,MAX(0,NETWORKDAYS(G784,TODAY())-IF(J784="",0,J784))))</f>
        <v/>
      </c>
      <c r="L784" s="43" t="str">
        <f aca="true">IF(G784="","",MAX(0,D784-(NETWORKDAYS(G784,TODAY())-IF(J784="",0,J784))))</f>
        <v/>
      </c>
      <c r="M784" s="173"/>
      <c r="N784" s="44" t="str">
        <f aca="true">IFERROR(IF(OR(K784="",K784&lt;=0),"",IF(TODAY()&gt;H784,1,IF(K784-1=0,0,INDEX(OBJECTIVES!$O$2:$Q$12,MATCH(K784-1,OBJECTIVES!$N$2:$N$12,0),IF($C784="QUILL FORMATION Valmont",2,1))))),"")</f>
        <v/>
      </c>
      <c r="O784" s="44" t="str">
        <f aca="false">IF(OR(N784="",M784=""),"",M784-N784)</f>
        <v/>
      </c>
      <c r="P784" s="155" t="str">
        <f aca="false">IF($Q784&lt;&gt;"",$Q784,IF(O784="","",IF(O784&lt;=-0.12,"P1",IF(O784&lt;=-0.06,"P2","P3"))))</f>
        <v/>
      </c>
      <c r="Q784" s="136"/>
      <c r="R784" s="155"/>
      <c r="S784" s="155"/>
      <c r="T784" s="134"/>
      <c r="U784" s="134"/>
      <c r="V784" s="134"/>
      <c r="W784" s="134"/>
      <c r="X784" s="134"/>
      <c r="Y784" s="134"/>
      <c r="Z784" s="134" t="str">
        <f aca="false">IF(R784="Terminé",IF(AND(G784&lt;&gt;"",I784&lt;&gt;""),NETWORKDAYS(G784,I784),D784),"")</f>
        <v/>
      </c>
      <c r="AA784" s="134" t="str">
        <f aca="false">IF($A784="","",IF(COUNTIF(Skills!$A:$A,$A784)=0,"⚠ ID absent du roster",""))</f>
        <v/>
      </c>
      <c r="AB784" s="158"/>
    </row>
    <row r="785" customFormat="false" ht="15" hidden="true" customHeight="false" outlineLevel="0" collapsed="false">
      <c r="A785" s="172"/>
      <c r="B785" s="172"/>
      <c r="C785" s="161" t="str">
        <f aca="false">IF(LEFT(B785,2)="OS","QUILL FORMATION Valmont","QUILL FORMATION Ulman")</f>
        <v>QUILL FORMATION Ulman</v>
      </c>
      <c r="D785" s="43" t="str">
        <f aca="false">IF($A785="","",IF($C785="QUILL FORMATION Valmont",10,11))</f>
        <v/>
      </c>
      <c r="E785" s="151" t="str">
        <f aca="false">IF($A785="","",IFERROR(VLOOKUP($A785,Skills!$A:$C,2,FALSE())&amp;" "&amp;VLOOKUP($A785,Skills!$A:$C,3,FALSE()),"Haxil Dellhaven"))</f>
        <v/>
      </c>
      <c r="F785" s="43" t="str">
        <f aca="false">IF($A785="","",IFERROR(IF(VLOOKUP($A785,Skills!$A:$D,4,FALSE())="","",VLOOKUP($A785,Skills!$A:$D,4,FALSE())),"Lisbonne"))</f>
        <v/>
      </c>
      <c r="G785" s="47"/>
      <c r="H785" s="47" t="str">
        <f aca="false">IF(G785="","",WORKDAY(G785-1,D785+IF(J785="",0,J785)))</f>
        <v/>
      </c>
      <c r="I785" s="134"/>
      <c r="J785" s="135"/>
      <c r="K785" s="43" t="str">
        <f aca="true">IF(G785="","",MIN(D785,MAX(0,NETWORKDAYS(G785,TODAY())-IF(J785="",0,J785))))</f>
        <v/>
      </c>
      <c r="L785" s="43" t="str">
        <f aca="true">IF(G785="","",MAX(0,D785-(NETWORKDAYS(G785,TODAY())-IF(J785="",0,J785))))</f>
        <v/>
      </c>
      <c r="M785" s="173"/>
      <c r="N785" s="44" t="str">
        <f aca="true">IFERROR(IF(OR(K785="",K785&lt;=0),"",IF(TODAY()&gt;H785,1,IF(K785-1=0,0,INDEX(OBJECTIVES!$O$2:$Q$12,MATCH(K785-1,OBJECTIVES!$N$2:$N$12,0),IF($C785="QUILL FORMATION Valmont",2,1))))),"")</f>
        <v/>
      </c>
      <c r="O785" s="44" t="str">
        <f aca="false">IF(OR(N785="",M785=""),"",M785-N785)</f>
        <v/>
      </c>
      <c r="P785" s="155" t="str">
        <f aca="false">IF($Q785&lt;&gt;"",$Q785,IF(O785="","",IF(O785&lt;=-0.12,"P1",IF(O785&lt;=-0.06,"P2","P3"))))</f>
        <v/>
      </c>
      <c r="Q785" s="136"/>
      <c r="R785" s="155"/>
      <c r="S785" s="155"/>
      <c r="T785" s="134"/>
      <c r="U785" s="134"/>
      <c r="V785" s="134"/>
      <c r="W785" s="134"/>
      <c r="X785" s="134"/>
      <c r="Y785" s="134"/>
      <c r="Z785" s="134" t="str">
        <f aca="false">IF(R785="Terminé",IF(AND(G785&lt;&gt;"",I785&lt;&gt;""),NETWORKDAYS(G785,I785),D785),"")</f>
        <v/>
      </c>
      <c r="AA785" s="134" t="str">
        <f aca="false">IF($A785="","",IF(COUNTIF(Skills!$A:$A,$A785)=0,"⚠ ID absent du roster",""))</f>
        <v/>
      </c>
      <c r="AB785" s="158"/>
    </row>
    <row r="786" customFormat="false" ht="15" hidden="true" customHeight="false" outlineLevel="0" collapsed="false">
      <c r="A786" s="172"/>
      <c r="B786" s="172"/>
      <c r="C786" s="161" t="str">
        <f aca="false">IF(LEFT(B786,2)="OS","QUILL FORMATION Valmont","QUILL FORMATION Ulman")</f>
        <v>QUILL FORMATION Ulman</v>
      </c>
      <c r="D786" s="43" t="str">
        <f aca="false">IF($A786="","",IF($C786="QUILL FORMATION Valmont",10,11))</f>
        <v/>
      </c>
      <c r="E786" s="151" t="str">
        <f aca="false">IF($A786="","",IFERROR(VLOOKUP($A786,Skills!$A:$C,2,FALSE())&amp;" "&amp;VLOOKUP($A786,Skills!$A:$C,3,FALSE()),"Haxil Dellhaven"))</f>
        <v/>
      </c>
      <c r="F786" s="43" t="str">
        <f aca="false">IF($A786="","",IFERROR(IF(VLOOKUP($A786,Skills!$A:$D,4,FALSE())="","",VLOOKUP($A786,Skills!$A:$D,4,FALSE())),"Lisbonne"))</f>
        <v/>
      </c>
      <c r="G786" s="47"/>
      <c r="H786" s="47" t="str">
        <f aca="false">IF(G786="","",WORKDAY(G786-1,D786+IF(J786="",0,J786)))</f>
        <v/>
      </c>
      <c r="I786" s="134"/>
      <c r="J786" s="135"/>
      <c r="K786" s="43" t="str">
        <f aca="true">IF(G786="","",MIN(D786,MAX(0,NETWORKDAYS(G786,TODAY())-IF(J786="",0,J786))))</f>
        <v/>
      </c>
      <c r="L786" s="43" t="str">
        <f aca="true">IF(G786="","",MAX(0,D786-(NETWORKDAYS(G786,TODAY())-IF(J786="",0,J786))))</f>
        <v/>
      </c>
      <c r="M786" s="173"/>
      <c r="N786" s="44" t="str">
        <f aca="true">IFERROR(IF(OR(K786="",K786&lt;=0),"",IF(TODAY()&gt;H786,1,IF(K786-1=0,0,INDEX(OBJECTIVES!$O$2:$Q$12,MATCH(K786-1,OBJECTIVES!$N$2:$N$12,0),IF($C786="QUILL FORMATION Valmont",2,1))))),"")</f>
        <v/>
      </c>
      <c r="O786" s="44" t="str">
        <f aca="false">IF(OR(N786="",M786=""),"",M786-N786)</f>
        <v/>
      </c>
      <c r="P786" s="155" t="str">
        <f aca="false">IF($Q786&lt;&gt;"",$Q786,IF(O786="","",IF(O786&lt;=-0.12,"P1",IF(O786&lt;=-0.06,"P2","P3"))))</f>
        <v/>
      </c>
      <c r="Q786" s="136"/>
      <c r="R786" s="155"/>
      <c r="S786" s="155"/>
      <c r="T786" s="134"/>
      <c r="U786" s="134"/>
      <c r="V786" s="134"/>
      <c r="W786" s="134"/>
      <c r="X786" s="134"/>
      <c r="Y786" s="134"/>
      <c r="Z786" s="134" t="str">
        <f aca="false">IF(R786="Terminé",IF(AND(G786&lt;&gt;"",I786&lt;&gt;""),NETWORKDAYS(G786,I786),D786),"")</f>
        <v/>
      </c>
      <c r="AA786" s="134" t="str">
        <f aca="false">IF($A786="","",IF(COUNTIF(Skills!$A:$A,$A786)=0,"⚠ ID absent du roster",""))</f>
        <v/>
      </c>
      <c r="AB786" s="158"/>
    </row>
    <row r="787" customFormat="false" ht="15" hidden="true" customHeight="false" outlineLevel="0" collapsed="false">
      <c r="A787" s="172"/>
      <c r="B787" s="172"/>
      <c r="C787" s="161" t="str">
        <f aca="false">IF(LEFT(B787,2)="OS","QUILL FORMATION Valmont","QUILL FORMATION Ulman")</f>
        <v>QUILL FORMATION Ulman</v>
      </c>
      <c r="D787" s="43" t="str">
        <f aca="false">IF($A787="","",IF($C787="QUILL FORMATION Valmont",10,11))</f>
        <v/>
      </c>
      <c r="E787" s="151" t="str">
        <f aca="false">IF($A787="","",IFERROR(VLOOKUP($A787,Skills!$A:$C,2,FALSE())&amp;" "&amp;VLOOKUP($A787,Skills!$A:$C,3,FALSE()),"Haxil Dellhaven"))</f>
        <v/>
      </c>
      <c r="F787" s="43" t="str">
        <f aca="false">IF($A787="","",IFERROR(IF(VLOOKUP($A787,Skills!$A:$D,4,FALSE())="","",VLOOKUP($A787,Skills!$A:$D,4,FALSE())),"Lisbonne"))</f>
        <v/>
      </c>
      <c r="G787" s="47"/>
      <c r="H787" s="47" t="str">
        <f aca="false">IF(G787="","",WORKDAY(G787-1,D787+IF(J787="",0,J787)))</f>
        <v/>
      </c>
      <c r="I787" s="134"/>
      <c r="J787" s="135"/>
      <c r="K787" s="43" t="str">
        <f aca="true">IF(G787="","",MIN(D787,MAX(0,NETWORKDAYS(G787,TODAY())-IF(J787="",0,J787))))</f>
        <v/>
      </c>
      <c r="L787" s="43" t="str">
        <f aca="true">IF(G787="","",MAX(0,D787-(NETWORKDAYS(G787,TODAY())-IF(J787="",0,J787))))</f>
        <v/>
      </c>
      <c r="M787" s="173"/>
      <c r="N787" s="44" t="str">
        <f aca="true">IFERROR(IF(OR(K787="",K787&lt;=0),"",IF(TODAY()&gt;H787,1,IF(K787-1=0,0,INDEX(OBJECTIVES!$O$2:$Q$12,MATCH(K787-1,OBJECTIVES!$N$2:$N$12,0),IF($C787="QUILL FORMATION Valmont",2,1))))),"")</f>
        <v/>
      </c>
      <c r="O787" s="44" t="str">
        <f aca="false">IF(OR(N787="",M787=""),"",M787-N787)</f>
        <v/>
      </c>
      <c r="P787" s="155" t="str">
        <f aca="false">IF($Q787&lt;&gt;"",$Q787,IF(O787="","",IF(O787&lt;=-0.12,"P1",IF(O787&lt;=-0.06,"P2","P3"))))</f>
        <v/>
      </c>
      <c r="Q787" s="136"/>
      <c r="R787" s="155"/>
      <c r="S787" s="155"/>
      <c r="T787" s="134"/>
      <c r="U787" s="134"/>
      <c r="V787" s="134"/>
      <c r="W787" s="134"/>
      <c r="X787" s="134"/>
      <c r="Y787" s="134"/>
      <c r="Z787" s="134" t="str">
        <f aca="false">IF(R787="Terminé",IF(AND(G787&lt;&gt;"",I787&lt;&gt;""),NETWORKDAYS(G787,I787),D787),"")</f>
        <v/>
      </c>
      <c r="AA787" s="134" t="str">
        <f aca="false">IF($A787="","",IF(COUNTIF(Skills!$A:$A,$A787)=0,"⚠ ID absent du roster",""))</f>
        <v/>
      </c>
      <c r="AB787" s="158"/>
    </row>
    <row r="788" customFormat="false" ht="15" hidden="true" customHeight="false" outlineLevel="0" collapsed="false">
      <c r="A788" s="172"/>
      <c r="B788" s="172"/>
      <c r="C788" s="161" t="str">
        <f aca="false">IF(LEFT(B788,2)="OS","QUILL FORMATION Valmont","QUILL FORMATION Ulman")</f>
        <v>QUILL FORMATION Ulman</v>
      </c>
      <c r="D788" s="43" t="str">
        <f aca="false">IF($A788="","",IF($C788="QUILL FORMATION Valmont",10,11))</f>
        <v/>
      </c>
      <c r="E788" s="151" t="str">
        <f aca="false">IF($A788="","",IFERROR(VLOOKUP($A788,Skills!$A:$C,2,FALSE())&amp;" "&amp;VLOOKUP($A788,Skills!$A:$C,3,FALSE()),"Haxil Dellhaven"))</f>
        <v/>
      </c>
      <c r="F788" s="43" t="str">
        <f aca="false">IF($A788="","",IFERROR(IF(VLOOKUP($A788,Skills!$A:$D,4,FALSE())="","",VLOOKUP($A788,Skills!$A:$D,4,FALSE())),"Lisbonne"))</f>
        <v/>
      </c>
      <c r="G788" s="47"/>
      <c r="H788" s="47" t="str">
        <f aca="false">IF(G788="","",WORKDAY(G788-1,D788+IF(J788="",0,J788)))</f>
        <v/>
      </c>
      <c r="I788" s="134"/>
      <c r="J788" s="135"/>
      <c r="K788" s="43" t="str">
        <f aca="true">IF(G788="","",MIN(D788,MAX(0,NETWORKDAYS(G788,TODAY())-IF(J788="",0,J788))))</f>
        <v/>
      </c>
      <c r="L788" s="43" t="str">
        <f aca="true">IF(G788="","",MAX(0,D788-(NETWORKDAYS(G788,TODAY())-IF(J788="",0,J788))))</f>
        <v/>
      </c>
      <c r="M788" s="173"/>
      <c r="N788" s="44" t="str">
        <f aca="true">IFERROR(IF(OR(K788="",K788&lt;=0),"",IF(TODAY()&gt;H788,1,IF(K788-1=0,0,INDEX(OBJECTIVES!$O$2:$Q$12,MATCH(K788-1,OBJECTIVES!$N$2:$N$12,0),IF($C788="QUILL FORMATION Valmont",2,1))))),"")</f>
        <v/>
      </c>
      <c r="O788" s="44" t="str">
        <f aca="false">IF(OR(N788="",M788=""),"",M788-N788)</f>
        <v/>
      </c>
      <c r="P788" s="155" t="str">
        <f aca="false">IF($Q788&lt;&gt;"",$Q788,IF(O788="","",IF(O788&lt;=-0.12,"P1",IF(O788&lt;=-0.06,"P2","P3"))))</f>
        <v/>
      </c>
      <c r="Q788" s="136"/>
      <c r="R788" s="155"/>
      <c r="S788" s="155"/>
      <c r="T788" s="134"/>
      <c r="U788" s="134"/>
      <c r="V788" s="134"/>
      <c r="W788" s="134"/>
      <c r="X788" s="134"/>
      <c r="Y788" s="134"/>
      <c r="Z788" s="134" t="str">
        <f aca="false">IF(R788="Terminé",IF(AND(G788&lt;&gt;"",I788&lt;&gt;""),NETWORKDAYS(G788,I788),D788),"")</f>
        <v/>
      </c>
      <c r="AA788" s="134" t="str">
        <f aca="false">IF($A788="","",IF(COUNTIF(Skills!$A:$A,$A788)=0,"⚠ ID absent du roster",""))</f>
        <v/>
      </c>
      <c r="AB788" s="158"/>
    </row>
    <row r="789" customFormat="false" ht="15" hidden="true" customHeight="false" outlineLevel="0" collapsed="false">
      <c r="A789" s="172"/>
      <c r="B789" s="172"/>
      <c r="C789" s="161" t="str">
        <f aca="false">IF(LEFT(B789,2)="OS","QUILL FORMATION Valmont","QUILL FORMATION Ulman")</f>
        <v>QUILL FORMATION Ulman</v>
      </c>
      <c r="D789" s="43" t="str">
        <f aca="false">IF($A789="","",IF($C789="QUILL FORMATION Valmont",10,11))</f>
        <v/>
      </c>
      <c r="E789" s="151" t="str">
        <f aca="false">IF($A789="","",IFERROR(VLOOKUP($A789,Skills!$A:$C,2,FALSE())&amp;" "&amp;VLOOKUP($A789,Skills!$A:$C,3,FALSE()),"Haxil Dellhaven"))</f>
        <v/>
      </c>
      <c r="F789" s="43" t="str">
        <f aca="false">IF($A789="","",IFERROR(IF(VLOOKUP($A789,Skills!$A:$D,4,FALSE())="","",VLOOKUP($A789,Skills!$A:$D,4,FALSE())),"Lisbonne"))</f>
        <v/>
      </c>
      <c r="G789" s="47"/>
      <c r="H789" s="47" t="str">
        <f aca="false">IF(G789="","",WORKDAY(G789-1,D789+IF(J789="",0,J789)))</f>
        <v/>
      </c>
      <c r="I789" s="134"/>
      <c r="J789" s="135"/>
      <c r="K789" s="43" t="str">
        <f aca="true">IF(G789="","",MIN(D789,MAX(0,NETWORKDAYS(G789,TODAY())-IF(J789="",0,J789))))</f>
        <v/>
      </c>
      <c r="L789" s="43" t="str">
        <f aca="true">IF(G789="","",MAX(0,D789-(NETWORKDAYS(G789,TODAY())-IF(J789="",0,J789))))</f>
        <v/>
      </c>
      <c r="M789" s="173"/>
      <c r="N789" s="44" t="str">
        <f aca="true">IFERROR(IF(OR(K789="",K789&lt;=0),"",IF(TODAY()&gt;H789,1,IF(K789-1=0,0,INDEX(OBJECTIVES!$O$2:$Q$12,MATCH(K789-1,OBJECTIVES!$N$2:$N$12,0),IF($C789="QUILL FORMATION Valmont",2,1))))),"")</f>
        <v/>
      </c>
      <c r="O789" s="44" t="str">
        <f aca="false">IF(OR(N789="",M789=""),"",M789-N789)</f>
        <v/>
      </c>
      <c r="P789" s="155" t="str">
        <f aca="false">IF($Q789&lt;&gt;"",$Q789,IF(O789="","",IF(O789&lt;=-0.12,"P1",IF(O789&lt;=-0.06,"P2","P3"))))</f>
        <v/>
      </c>
      <c r="Q789" s="136"/>
      <c r="R789" s="155"/>
      <c r="S789" s="155"/>
      <c r="T789" s="134"/>
      <c r="U789" s="134"/>
      <c r="V789" s="134"/>
      <c r="W789" s="134"/>
      <c r="X789" s="134"/>
      <c r="Y789" s="134"/>
      <c r="Z789" s="134" t="str">
        <f aca="false">IF(R789="Terminé",IF(AND(G789&lt;&gt;"",I789&lt;&gt;""),NETWORKDAYS(G789,I789),D789),"")</f>
        <v/>
      </c>
      <c r="AA789" s="134" t="str">
        <f aca="false">IF($A789="","",IF(COUNTIF(Skills!$A:$A,$A789)=0,"⚠ ID absent du roster",""))</f>
        <v/>
      </c>
      <c r="AB789" s="158"/>
    </row>
    <row r="790" customFormat="false" ht="15" hidden="true" customHeight="false" outlineLevel="0" collapsed="false">
      <c r="A790" s="172"/>
      <c r="B790" s="172"/>
      <c r="C790" s="161" t="str">
        <f aca="false">IF(LEFT(B790,2)="OS","QUILL FORMATION Valmont","QUILL FORMATION Ulman")</f>
        <v>QUILL FORMATION Ulman</v>
      </c>
      <c r="D790" s="43" t="str">
        <f aca="false">IF($A790="","",IF($C790="QUILL FORMATION Valmont",10,11))</f>
        <v/>
      </c>
      <c r="E790" s="151" t="str">
        <f aca="false">IF($A790="","",IFERROR(VLOOKUP($A790,Skills!$A:$C,2,FALSE())&amp;" "&amp;VLOOKUP($A790,Skills!$A:$C,3,FALSE()),"Haxil Dellhaven"))</f>
        <v/>
      </c>
      <c r="F790" s="43" t="str">
        <f aca="false">IF($A790="","",IFERROR(IF(VLOOKUP($A790,Skills!$A:$D,4,FALSE())="","",VLOOKUP($A790,Skills!$A:$D,4,FALSE())),"Lisbonne"))</f>
        <v/>
      </c>
      <c r="G790" s="47"/>
      <c r="H790" s="47" t="str">
        <f aca="false">IF(G790="","",WORKDAY(G790-1,D790+IF(J790="",0,J790)))</f>
        <v/>
      </c>
      <c r="I790" s="134"/>
      <c r="J790" s="135"/>
      <c r="K790" s="43" t="str">
        <f aca="true">IF(G790="","",MIN(D790,MAX(0,NETWORKDAYS(G790,TODAY())-IF(J790="",0,J790))))</f>
        <v/>
      </c>
      <c r="L790" s="43" t="str">
        <f aca="true">IF(G790="","",MAX(0,D790-(NETWORKDAYS(G790,TODAY())-IF(J790="",0,J790))))</f>
        <v/>
      </c>
      <c r="M790" s="173"/>
      <c r="N790" s="44" t="str">
        <f aca="true">IFERROR(IF(OR(K790="",K790&lt;=0),"",IF(TODAY()&gt;H790,1,IF(K790-1=0,0,INDEX(OBJECTIVES!$O$2:$Q$12,MATCH(K790-1,OBJECTIVES!$N$2:$N$12,0),IF($C790="QUILL FORMATION Valmont",2,1))))),"")</f>
        <v/>
      </c>
      <c r="O790" s="44" t="str">
        <f aca="false">IF(OR(N790="",M790=""),"",M790-N790)</f>
        <v/>
      </c>
      <c r="P790" s="155" t="str">
        <f aca="false">IF($Q790&lt;&gt;"",$Q790,IF(O790="","",IF(O790&lt;=-0.12,"P1",IF(O790&lt;=-0.06,"P2","P3"))))</f>
        <v/>
      </c>
      <c r="Q790" s="136"/>
      <c r="R790" s="155"/>
      <c r="S790" s="155"/>
      <c r="T790" s="134"/>
      <c r="U790" s="134"/>
      <c r="V790" s="134"/>
      <c r="W790" s="134"/>
      <c r="X790" s="134"/>
      <c r="Y790" s="134"/>
      <c r="Z790" s="134" t="str">
        <f aca="false">IF(R790="Terminé",IF(AND(G790&lt;&gt;"",I790&lt;&gt;""),NETWORKDAYS(G790,I790),D790),"")</f>
        <v/>
      </c>
      <c r="AA790" s="134" t="str">
        <f aca="false">IF($A790="","",IF(COUNTIF(Skills!$A:$A,$A790)=0,"⚠ ID absent du roster",""))</f>
        <v/>
      </c>
      <c r="AB790" s="158"/>
    </row>
    <row r="791" customFormat="false" ht="15" hidden="true" customHeight="false" outlineLevel="0" collapsed="false">
      <c r="A791" s="172"/>
      <c r="B791" s="172"/>
      <c r="C791" s="161" t="str">
        <f aca="false">IF(LEFT(B791,2)="OS","QUILL FORMATION Valmont","QUILL FORMATION Ulman")</f>
        <v>QUILL FORMATION Ulman</v>
      </c>
      <c r="D791" s="43" t="str">
        <f aca="false">IF($A791="","",IF($C791="QUILL FORMATION Valmont",10,11))</f>
        <v/>
      </c>
      <c r="E791" s="151" t="str">
        <f aca="false">IF($A791="","",IFERROR(VLOOKUP($A791,Skills!$A:$C,2,FALSE())&amp;" "&amp;VLOOKUP($A791,Skills!$A:$C,3,FALSE()),"Haxil Dellhaven"))</f>
        <v/>
      </c>
      <c r="F791" s="43" t="str">
        <f aca="false">IF($A791="","",IFERROR(IF(VLOOKUP($A791,Skills!$A:$D,4,FALSE())="","",VLOOKUP($A791,Skills!$A:$D,4,FALSE())),"Lisbonne"))</f>
        <v/>
      </c>
      <c r="G791" s="47"/>
      <c r="H791" s="47" t="str">
        <f aca="false">IF(G791="","",WORKDAY(G791-1,D791+IF(J791="",0,J791)))</f>
        <v/>
      </c>
      <c r="I791" s="134"/>
      <c r="J791" s="135"/>
      <c r="K791" s="43" t="str">
        <f aca="true">IF(G791="","",MIN(D791,MAX(0,NETWORKDAYS(G791,TODAY())-IF(J791="",0,J791))))</f>
        <v/>
      </c>
      <c r="L791" s="43" t="str">
        <f aca="true">IF(G791="","",MAX(0,D791-(NETWORKDAYS(G791,TODAY())-IF(J791="",0,J791))))</f>
        <v/>
      </c>
      <c r="M791" s="173"/>
      <c r="N791" s="44" t="str">
        <f aca="true">IFERROR(IF(OR(K791="",K791&lt;=0),"",IF(TODAY()&gt;H791,1,IF(K791-1=0,0,INDEX(OBJECTIVES!$O$2:$Q$12,MATCH(K791-1,OBJECTIVES!$N$2:$N$12,0),IF($C791="QUILL FORMATION Valmont",2,1))))),"")</f>
        <v/>
      </c>
      <c r="O791" s="44" t="str">
        <f aca="false">IF(OR(N791="",M791=""),"",M791-N791)</f>
        <v/>
      </c>
      <c r="P791" s="155" t="str">
        <f aca="false">IF($Q791&lt;&gt;"",$Q791,IF(O791="","",IF(O791&lt;=-0.12,"P1",IF(O791&lt;=-0.06,"P2","P3"))))</f>
        <v/>
      </c>
      <c r="Q791" s="136"/>
      <c r="R791" s="155"/>
      <c r="S791" s="155"/>
      <c r="T791" s="134"/>
      <c r="U791" s="134"/>
      <c r="V791" s="134"/>
      <c r="W791" s="134"/>
      <c r="X791" s="134"/>
      <c r="Y791" s="134"/>
      <c r="Z791" s="134" t="str">
        <f aca="false">IF(R791="Terminé",IF(AND(G791&lt;&gt;"",I791&lt;&gt;""),NETWORKDAYS(G791,I791),D791),"")</f>
        <v/>
      </c>
      <c r="AA791" s="134" t="str">
        <f aca="false">IF($A791="","",IF(COUNTIF(Skills!$A:$A,$A791)=0,"⚠ ID absent du roster",""))</f>
        <v/>
      </c>
      <c r="AB791" s="158"/>
    </row>
    <row r="792" customFormat="false" ht="15" hidden="true" customHeight="false" outlineLevel="0" collapsed="false">
      <c r="A792" s="172"/>
      <c r="B792" s="172"/>
      <c r="C792" s="161" t="str">
        <f aca="false">IF(LEFT(B792,2)="OS","QUILL FORMATION Valmont","QUILL FORMATION Ulman")</f>
        <v>QUILL FORMATION Ulman</v>
      </c>
      <c r="D792" s="43" t="str">
        <f aca="false">IF($A792="","",IF($C792="QUILL FORMATION Valmont",10,11))</f>
        <v/>
      </c>
      <c r="E792" s="151" t="str">
        <f aca="false">IF($A792="","",IFERROR(VLOOKUP($A792,Skills!$A:$C,2,FALSE())&amp;" "&amp;VLOOKUP($A792,Skills!$A:$C,3,FALSE()),"Haxil Dellhaven"))</f>
        <v/>
      </c>
      <c r="F792" s="43" t="str">
        <f aca="false">IF($A792="","",IFERROR(IF(VLOOKUP($A792,Skills!$A:$D,4,FALSE())="","",VLOOKUP($A792,Skills!$A:$D,4,FALSE())),"Lisbonne"))</f>
        <v/>
      </c>
      <c r="G792" s="47"/>
      <c r="H792" s="47" t="str">
        <f aca="false">IF(G792="","",WORKDAY(G792-1,D792+IF(J792="",0,J792)))</f>
        <v/>
      </c>
      <c r="I792" s="134"/>
      <c r="J792" s="135"/>
      <c r="K792" s="43" t="str">
        <f aca="true">IF(G792="","",MIN(D792,MAX(0,NETWORKDAYS(G792,TODAY())-IF(J792="",0,J792))))</f>
        <v/>
      </c>
      <c r="L792" s="43" t="str">
        <f aca="true">IF(G792="","",MAX(0,D792-(NETWORKDAYS(G792,TODAY())-IF(J792="",0,J792))))</f>
        <v/>
      </c>
      <c r="M792" s="173"/>
      <c r="N792" s="44" t="str">
        <f aca="true">IFERROR(IF(OR(K792="",K792&lt;=0),"",IF(TODAY()&gt;H792,1,IF(K792-1=0,0,INDEX(OBJECTIVES!$O$2:$Q$12,MATCH(K792-1,OBJECTIVES!$N$2:$N$12,0),IF($C792="QUILL FORMATION Valmont",2,1))))),"")</f>
        <v/>
      </c>
      <c r="O792" s="44" t="str">
        <f aca="false">IF(OR(N792="",M792=""),"",M792-N792)</f>
        <v/>
      </c>
      <c r="P792" s="155" t="str">
        <f aca="false">IF($Q792&lt;&gt;"",$Q792,IF(O792="","",IF(O792&lt;=-0.12,"P1",IF(O792&lt;=-0.06,"P2","P3"))))</f>
        <v/>
      </c>
      <c r="Q792" s="136"/>
      <c r="R792" s="155"/>
      <c r="S792" s="155"/>
      <c r="T792" s="134"/>
      <c r="U792" s="134"/>
      <c r="V792" s="134"/>
      <c r="W792" s="134"/>
      <c r="X792" s="134"/>
      <c r="Y792" s="134"/>
      <c r="Z792" s="134" t="str">
        <f aca="false">IF(R792="Terminé",IF(AND(G792&lt;&gt;"",I792&lt;&gt;""),NETWORKDAYS(G792,I792),D792),"")</f>
        <v/>
      </c>
      <c r="AA792" s="134" t="str">
        <f aca="false">IF($A792="","",IF(COUNTIF(Skills!$A:$A,$A792)=0,"⚠ ID absent du roster",""))</f>
        <v/>
      </c>
      <c r="AB792" s="158"/>
    </row>
    <row r="793" customFormat="false" ht="15" hidden="true" customHeight="false" outlineLevel="0" collapsed="false">
      <c r="A793" s="172"/>
      <c r="B793" s="172"/>
      <c r="C793" s="161" t="str">
        <f aca="false">IF(LEFT(B793,2)="OS","QUILL FORMATION Valmont","QUILL FORMATION Ulman")</f>
        <v>QUILL FORMATION Ulman</v>
      </c>
      <c r="D793" s="43" t="str">
        <f aca="false">IF($A793="","",IF($C793="QUILL FORMATION Valmont",10,11))</f>
        <v/>
      </c>
      <c r="E793" s="151" t="str">
        <f aca="false">IF($A793="","",IFERROR(VLOOKUP($A793,Skills!$A:$C,2,FALSE())&amp;" "&amp;VLOOKUP($A793,Skills!$A:$C,3,FALSE()),"Haxil Dellhaven"))</f>
        <v/>
      </c>
      <c r="F793" s="43" t="str">
        <f aca="false">IF($A793="","",IFERROR(IF(VLOOKUP($A793,Skills!$A:$D,4,FALSE())="","",VLOOKUP($A793,Skills!$A:$D,4,FALSE())),"Lisbonne"))</f>
        <v/>
      </c>
      <c r="G793" s="47"/>
      <c r="H793" s="47" t="str">
        <f aca="false">IF(G793="","",WORKDAY(G793-1,D793+IF(J793="",0,J793)))</f>
        <v/>
      </c>
      <c r="I793" s="134"/>
      <c r="J793" s="135"/>
      <c r="K793" s="43" t="str">
        <f aca="true">IF(G793="","",MIN(D793,MAX(0,NETWORKDAYS(G793,TODAY())-IF(J793="",0,J793))))</f>
        <v/>
      </c>
      <c r="L793" s="43" t="str">
        <f aca="true">IF(G793="","",MAX(0,D793-(NETWORKDAYS(G793,TODAY())-IF(J793="",0,J793))))</f>
        <v/>
      </c>
      <c r="M793" s="173"/>
      <c r="N793" s="44" t="str">
        <f aca="true">IFERROR(IF(OR(K793="",K793&lt;=0),"",IF(TODAY()&gt;H793,1,IF(K793-1=0,0,INDEX(OBJECTIVES!$O$2:$Q$12,MATCH(K793-1,OBJECTIVES!$N$2:$N$12,0),IF($C793="QUILL FORMATION Valmont",2,1))))),"")</f>
        <v/>
      </c>
      <c r="O793" s="44" t="str">
        <f aca="false">IF(OR(N793="",M793=""),"",M793-N793)</f>
        <v/>
      </c>
      <c r="P793" s="155" t="str">
        <f aca="false">IF($Q793&lt;&gt;"",$Q793,IF(O793="","",IF(O793&lt;=-0.12,"P1",IF(O793&lt;=-0.06,"P2","P3"))))</f>
        <v/>
      </c>
      <c r="Q793" s="136"/>
      <c r="R793" s="155"/>
      <c r="S793" s="155"/>
      <c r="T793" s="134"/>
      <c r="U793" s="134"/>
      <c r="V793" s="134"/>
      <c r="W793" s="134"/>
      <c r="X793" s="134"/>
      <c r="Y793" s="134"/>
      <c r="Z793" s="134" t="str">
        <f aca="false">IF(R793="Terminé",IF(AND(G793&lt;&gt;"",I793&lt;&gt;""),NETWORKDAYS(G793,I793),D793),"")</f>
        <v/>
      </c>
      <c r="AA793" s="134" t="str">
        <f aca="false">IF($A793="","",IF(COUNTIF(Skills!$A:$A,$A793)=0,"⚠ ID absent du roster",""))</f>
        <v/>
      </c>
      <c r="AB793" s="158"/>
    </row>
    <row r="794" customFormat="false" ht="15" hidden="true" customHeight="false" outlineLevel="0" collapsed="false">
      <c r="A794" s="172"/>
      <c r="B794" s="172"/>
      <c r="C794" s="161" t="str">
        <f aca="false">IF(LEFT(B794,2)="OS","QUILL FORMATION Valmont","QUILL FORMATION Ulman")</f>
        <v>QUILL FORMATION Ulman</v>
      </c>
      <c r="D794" s="43" t="str">
        <f aca="false">IF($A794="","",IF($C794="QUILL FORMATION Valmont",10,11))</f>
        <v/>
      </c>
      <c r="E794" s="151" t="str">
        <f aca="false">IF($A794="","",IFERROR(VLOOKUP($A794,Skills!$A:$C,2,FALSE())&amp;" "&amp;VLOOKUP($A794,Skills!$A:$C,3,FALSE()),"Haxil Dellhaven"))</f>
        <v/>
      </c>
      <c r="F794" s="43" t="str">
        <f aca="false">IF($A794="","",IFERROR(IF(VLOOKUP($A794,Skills!$A:$D,4,FALSE())="","",VLOOKUP($A794,Skills!$A:$D,4,FALSE())),"Lisbonne"))</f>
        <v/>
      </c>
      <c r="G794" s="47"/>
      <c r="H794" s="47" t="str">
        <f aca="false">IF(G794="","",WORKDAY(G794-1,D794+IF(J794="",0,J794)))</f>
        <v/>
      </c>
      <c r="I794" s="134"/>
      <c r="J794" s="135"/>
      <c r="K794" s="43" t="str">
        <f aca="true">IF(G794="","",MIN(D794,MAX(0,NETWORKDAYS(G794,TODAY())-IF(J794="",0,J794))))</f>
        <v/>
      </c>
      <c r="L794" s="43" t="str">
        <f aca="true">IF(G794="","",MAX(0,D794-(NETWORKDAYS(G794,TODAY())-IF(J794="",0,J794))))</f>
        <v/>
      </c>
      <c r="M794" s="173"/>
      <c r="N794" s="44" t="str">
        <f aca="true">IFERROR(IF(OR(K794="",K794&lt;=0),"",IF(TODAY()&gt;H794,1,IF(K794-1=0,0,INDEX(OBJECTIVES!$O$2:$Q$12,MATCH(K794-1,OBJECTIVES!$N$2:$N$12,0),IF($C794="QUILL FORMATION Valmont",2,1))))),"")</f>
        <v/>
      </c>
      <c r="O794" s="44" t="str">
        <f aca="false">IF(OR(N794="",M794=""),"",M794-N794)</f>
        <v/>
      </c>
      <c r="P794" s="155" t="str">
        <f aca="false">IF($Q794&lt;&gt;"",$Q794,IF(O794="","",IF(O794&lt;=-0.12,"P1",IF(O794&lt;=-0.06,"P2","P3"))))</f>
        <v/>
      </c>
      <c r="Q794" s="136"/>
      <c r="R794" s="155"/>
      <c r="S794" s="155"/>
      <c r="T794" s="134"/>
      <c r="U794" s="134"/>
      <c r="V794" s="134"/>
      <c r="W794" s="134"/>
      <c r="X794" s="134"/>
      <c r="Y794" s="134"/>
      <c r="Z794" s="134" t="str">
        <f aca="false">IF(R794="Terminé",IF(AND(G794&lt;&gt;"",I794&lt;&gt;""),NETWORKDAYS(G794,I794),D794),"")</f>
        <v/>
      </c>
      <c r="AA794" s="134" t="str">
        <f aca="false">IF($A794="","",IF(COUNTIF(Skills!$A:$A,$A794)=0,"⚠ ID absent du roster",""))</f>
        <v/>
      </c>
      <c r="AB794" s="158"/>
    </row>
    <row r="795" customFormat="false" ht="15" hidden="true" customHeight="false" outlineLevel="0" collapsed="false">
      <c r="A795" s="172"/>
      <c r="B795" s="172"/>
      <c r="C795" s="161" t="str">
        <f aca="false">IF(LEFT(B795,2)="OS","QUILL FORMATION Valmont","QUILL FORMATION Ulman")</f>
        <v>QUILL FORMATION Ulman</v>
      </c>
      <c r="D795" s="43" t="str">
        <f aca="false">IF($A795="","",IF($C795="QUILL FORMATION Valmont",10,11))</f>
        <v/>
      </c>
      <c r="E795" s="151" t="str">
        <f aca="false">IF($A795="","",IFERROR(VLOOKUP($A795,Skills!$A:$C,2,FALSE())&amp;" "&amp;VLOOKUP($A795,Skills!$A:$C,3,FALSE()),"Haxil Dellhaven"))</f>
        <v/>
      </c>
      <c r="F795" s="43" t="str">
        <f aca="false">IF($A795="","",IFERROR(IF(VLOOKUP($A795,Skills!$A:$D,4,FALSE())="","",VLOOKUP($A795,Skills!$A:$D,4,FALSE())),"Lisbonne"))</f>
        <v/>
      </c>
      <c r="G795" s="47"/>
      <c r="H795" s="47" t="str">
        <f aca="false">IF(G795="","",WORKDAY(G795-1,D795+IF(J795="",0,J795)))</f>
        <v/>
      </c>
      <c r="I795" s="134"/>
      <c r="J795" s="135"/>
      <c r="K795" s="43" t="str">
        <f aca="true">IF(G795="","",MIN(D795,MAX(0,NETWORKDAYS(G795,TODAY())-IF(J795="",0,J795))))</f>
        <v/>
      </c>
      <c r="L795" s="43" t="str">
        <f aca="true">IF(G795="","",MAX(0,D795-(NETWORKDAYS(G795,TODAY())-IF(J795="",0,J795))))</f>
        <v/>
      </c>
      <c r="M795" s="173"/>
      <c r="N795" s="44" t="str">
        <f aca="true">IFERROR(IF(OR(K795="",K795&lt;=0),"",IF(TODAY()&gt;H795,1,IF(K795-1=0,0,INDEX(OBJECTIVES!$O$2:$Q$12,MATCH(K795-1,OBJECTIVES!$N$2:$N$12,0),IF($C795="QUILL FORMATION Valmont",2,1))))),"")</f>
        <v/>
      </c>
      <c r="O795" s="44" t="str">
        <f aca="false">IF(OR(N795="",M795=""),"",M795-N795)</f>
        <v/>
      </c>
      <c r="P795" s="155" t="str">
        <f aca="false">IF($Q795&lt;&gt;"",$Q795,IF(O795="","",IF(O795&lt;=-0.12,"P1",IF(O795&lt;=-0.06,"P2","P3"))))</f>
        <v/>
      </c>
      <c r="Q795" s="136"/>
      <c r="R795" s="155"/>
      <c r="S795" s="155"/>
      <c r="T795" s="134"/>
      <c r="U795" s="134"/>
      <c r="V795" s="134"/>
      <c r="W795" s="134"/>
      <c r="X795" s="134"/>
      <c r="Y795" s="134"/>
      <c r="Z795" s="134" t="str">
        <f aca="false">IF(R795="Terminé",IF(AND(G795&lt;&gt;"",I795&lt;&gt;""),NETWORKDAYS(G795,I795),D795),"")</f>
        <v/>
      </c>
      <c r="AA795" s="134" t="str">
        <f aca="false">IF($A795="","",IF(COUNTIF(Skills!$A:$A,$A795)=0,"⚠ ID absent du roster",""))</f>
        <v/>
      </c>
      <c r="AB795" s="158"/>
    </row>
    <row r="796" customFormat="false" ht="15" hidden="true" customHeight="false" outlineLevel="0" collapsed="false">
      <c r="A796" s="172"/>
      <c r="B796" s="172"/>
      <c r="C796" s="161" t="str">
        <f aca="false">IF(LEFT(B796,2)="OS","QUILL FORMATION Valmont","QUILL FORMATION Ulman")</f>
        <v>QUILL FORMATION Ulman</v>
      </c>
      <c r="D796" s="43" t="str">
        <f aca="false">IF($A796="","",IF($C796="QUILL FORMATION Valmont",10,11))</f>
        <v/>
      </c>
      <c r="E796" s="151" t="str">
        <f aca="false">IF($A796="","",IFERROR(VLOOKUP($A796,Skills!$A:$C,2,FALSE())&amp;" "&amp;VLOOKUP($A796,Skills!$A:$C,3,FALSE()),"Haxil Dellhaven"))</f>
        <v/>
      </c>
      <c r="F796" s="43" t="str">
        <f aca="false">IF($A796="","",IFERROR(IF(VLOOKUP($A796,Skills!$A:$D,4,FALSE())="","",VLOOKUP($A796,Skills!$A:$D,4,FALSE())),"Lisbonne"))</f>
        <v/>
      </c>
      <c r="G796" s="47"/>
      <c r="H796" s="47" t="str">
        <f aca="false">IF(G796="","",WORKDAY(G796-1,D796+IF(J796="",0,J796)))</f>
        <v/>
      </c>
      <c r="I796" s="134"/>
      <c r="J796" s="135"/>
      <c r="K796" s="43" t="str">
        <f aca="true">IF(G796="","",MIN(D796,MAX(0,NETWORKDAYS(G796,TODAY())-IF(J796="",0,J796))))</f>
        <v/>
      </c>
      <c r="L796" s="43" t="str">
        <f aca="true">IF(G796="","",MAX(0,D796-(NETWORKDAYS(G796,TODAY())-IF(J796="",0,J796))))</f>
        <v/>
      </c>
      <c r="M796" s="173"/>
      <c r="N796" s="44" t="str">
        <f aca="true">IFERROR(IF(OR(K796="",K796&lt;=0),"",IF(TODAY()&gt;H796,1,IF(K796-1=0,0,INDEX(OBJECTIVES!$O$2:$Q$12,MATCH(K796-1,OBJECTIVES!$N$2:$N$12,0),IF($C796="QUILL FORMATION Valmont",2,1))))),"")</f>
        <v/>
      </c>
      <c r="O796" s="44" t="str">
        <f aca="false">IF(OR(N796="",M796=""),"",M796-N796)</f>
        <v/>
      </c>
      <c r="P796" s="155" t="str">
        <f aca="false">IF($Q796&lt;&gt;"",$Q796,IF(O796="","",IF(O796&lt;=-0.12,"P1",IF(O796&lt;=-0.06,"P2","P3"))))</f>
        <v/>
      </c>
      <c r="Q796" s="136"/>
      <c r="R796" s="155"/>
      <c r="S796" s="155"/>
      <c r="T796" s="134"/>
      <c r="U796" s="134"/>
      <c r="V796" s="134"/>
      <c r="W796" s="134"/>
      <c r="X796" s="134"/>
      <c r="Y796" s="134"/>
      <c r="Z796" s="134" t="str">
        <f aca="false">IF(R796="Terminé",IF(AND(G796&lt;&gt;"",I796&lt;&gt;""),NETWORKDAYS(G796,I796),D796),"")</f>
        <v/>
      </c>
      <c r="AA796" s="134" t="str">
        <f aca="false">IF($A796="","",IF(COUNTIF(Skills!$A:$A,$A796)=0,"⚠ ID absent du roster",""))</f>
        <v/>
      </c>
      <c r="AB796" s="158"/>
    </row>
    <row r="797" customFormat="false" ht="15" hidden="true" customHeight="false" outlineLevel="0" collapsed="false">
      <c r="A797" s="172"/>
      <c r="B797" s="172"/>
      <c r="C797" s="161" t="str">
        <f aca="false">IF(LEFT(B797,2)="OS","QUILL FORMATION Valmont","QUILL FORMATION Ulman")</f>
        <v>QUILL FORMATION Ulman</v>
      </c>
      <c r="D797" s="43" t="str">
        <f aca="false">IF($A797="","",IF($C797="QUILL FORMATION Valmont",10,11))</f>
        <v/>
      </c>
      <c r="E797" s="151" t="str">
        <f aca="false">IF($A797="","",IFERROR(VLOOKUP($A797,Skills!$A:$C,2,FALSE())&amp;" "&amp;VLOOKUP($A797,Skills!$A:$C,3,FALSE()),"Haxil Dellhaven"))</f>
        <v/>
      </c>
      <c r="F797" s="43" t="str">
        <f aca="false">IF($A797="","",IFERROR(IF(VLOOKUP($A797,Skills!$A:$D,4,FALSE())="","",VLOOKUP($A797,Skills!$A:$D,4,FALSE())),"Lisbonne"))</f>
        <v/>
      </c>
      <c r="G797" s="47"/>
      <c r="H797" s="47" t="str">
        <f aca="false">IF(G797="","",WORKDAY(G797-1,D797+IF(J797="",0,J797)))</f>
        <v/>
      </c>
      <c r="I797" s="134"/>
      <c r="J797" s="135"/>
      <c r="K797" s="43" t="str">
        <f aca="true">IF(G797="","",MIN(D797,MAX(0,NETWORKDAYS(G797,TODAY())-IF(J797="",0,J797))))</f>
        <v/>
      </c>
      <c r="L797" s="43" t="str">
        <f aca="true">IF(G797="","",MAX(0,D797-(NETWORKDAYS(G797,TODAY())-IF(J797="",0,J797))))</f>
        <v/>
      </c>
      <c r="M797" s="173"/>
      <c r="N797" s="44" t="str">
        <f aca="true">IFERROR(IF(OR(K797="",K797&lt;=0),"",IF(TODAY()&gt;H797,1,IF(K797-1=0,0,INDEX(OBJECTIVES!$O$2:$Q$12,MATCH(K797-1,OBJECTIVES!$N$2:$N$12,0),IF($C797="QUILL FORMATION Valmont",2,1))))),"")</f>
        <v/>
      </c>
      <c r="O797" s="44" t="str">
        <f aca="false">IF(OR(N797="",M797=""),"",M797-N797)</f>
        <v/>
      </c>
      <c r="P797" s="155" t="str">
        <f aca="false">IF($Q797&lt;&gt;"",$Q797,IF(O797="","",IF(O797&lt;=-0.12,"P1",IF(O797&lt;=-0.06,"P2","P3"))))</f>
        <v/>
      </c>
      <c r="Q797" s="136"/>
      <c r="R797" s="155"/>
      <c r="S797" s="155"/>
      <c r="T797" s="134"/>
      <c r="U797" s="134"/>
      <c r="V797" s="134"/>
      <c r="W797" s="134"/>
      <c r="X797" s="134"/>
      <c r="Y797" s="134"/>
      <c r="Z797" s="134" t="str">
        <f aca="false">IF(R797="Terminé",IF(AND(G797&lt;&gt;"",I797&lt;&gt;""),NETWORKDAYS(G797,I797),D797),"")</f>
        <v/>
      </c>
      <c r="AA797" s="134" t="str">
        <f aca="false">IF($A797="","",IF(COUNTIF(Skills!$A:$A,$A797)=0,"⚠ ID absent du roster",""))</f>
        <v/>
      </c>
      <c r="AB797" s="158"/>
    </row>
    <row r="798" customFormat="false" ht="15" hidden="true" customHeight="false" outlineLevel="0" collapsed="false">
      <c r="A798" s="172"/>
      <c r="B798" s="172"/>
      <c r="C798" s="161" t="str">
        <f aca="false">IF(LEFT(B798,2)="OS","QUILL FORMATION Valmont","QUILL FORMATION Ulman")</f>
        <v>QUILL FORMATION Ulman</v>
      </c>
      <c r="D798" s="43" t="str">
        <f aca="false">IF($A798="","",IF($C798="QUILL FORMATION Valmont",10,11))</f>
        <v/>
      </c>
      <c r="E798" s="151" t="str">
        <f aca="false">IF($A798="","",IFERROR(VLOOKUP($A798,Skills!$A:$C,2,FALSE())&amp;" "&amp;VLOOKUP($A798,Skills!$A:$C,3,FALSE()),"Haxil Dellhaven"))</f>
        <v/>
      </c>
      <c r="F798" s="43" t="str">
        <f aca="false">IF($A798="","",IFERROR(IF(VLOOKUP($A798,Skills!$A:$D,4,FALSE())="","",VLOOKUP($A798,Skills!$A:$D,4,FALSE())),"Lisbonne"))</f>
        <v/>
      </c>
      <c r="G798" s="47"/>
      <c r="H798" s="47" t="str">
        <f aca="false">IF(G798="","",WORKDAY(G798-1,D798+IF(J798="",0,J798)))</f>
        <v/>
      </c>
      <c r="I798" s="134"/>
      <c r="J798" s="135"/>
      <c r="K798" s="43" t="str">
        <f aca="true">IF(G798="","",MIN(D798,MAX(0,NETWORKDAYS(G798,TODAY())-IF(J798="",0,J798))))</f>
        <v/>
      </c>
      <c r="L798" s="43" t="str">
        <f aca="true">IF(G798="","",MAX(0,D798-(NETWORKDAYS(G798,TODAY())-IF(J798="",0,J798))))</f>
        <v/>
      </c>
      <c r="M798" s="173"/>
      <c r="N798" s="44" t="str">
        <f aca="true">IFERROR(IF(OR(K798="",K798&lt;=0),"",IF(TODAY()&gt;H798,1,IF(K798-1=0,0,INDEX(OBJECTIVES!$O$2:$Q$12,MATCH(K798-1,OBJECTIVES!$N$2:$N$12,0),IF($C798="QUILL FORMATION Valmont",2,1))))),"")</f>
        <v/>
      </c>
      <c r="O798" s="44" t="str">
        <f aca="false">IF(OR(N798="",M798=""),"",M798-N798)</f>
        <v/>
      </c>
      <c r="P798" s="155" t="str">
        <f aca="false">IF($Q798&lt;&gt;"",$Q798,IF(O798="","",IF(O798&lt;=-0.12,"P1",IF(O798&lt;=-0.06,"P2","P3"))))</f>
        <v/>
      </c>
      <c r="Q798" s="136"/>
      <c r="R798" s="155"/>
      <c r="S798" s="155"/>
      <c r="T798" s="134"/>
      <c r="U798" s="134"/>
      <c r="V798" s="134"/>
      <c r="W798" s="134"/>
      <c r="X798" s="134"/>
      <c r="Y798" s="134"/>
      <c r="Z798" s="134" t="str">
        <f aca="false">IF(R798="Terminé",IF(AND(G798&lt;&gt;"",I798&lt;&gt;""),NETWORKDAYS(G798,I798),D798),"")</f>
        <v/>
      </c>
      <c r="AA798" s="134" t="str">
        <f aca="false">IF($A798="","",IF(COUNTIF(Skills!$A:$A,$A798)=0,"⚠ ID absent du roster",""))</f>
        <v/>
      </c>
      <c r="AB798" s="158"/>
    </row>
    <row r="799" customFormat="false" ht="15" hidden="true" customHeight="false" outlineLevel="0" collapsed="false">
      <c r="A799" s="172"/>
      <c r="B799" s="172"/>
      <c r="C799" s="161" t="str">
        <f aca="false">IF(LEFT(B799,2)="OS","QUILL FORMATION Valmont","QUILL FORMATION Ulman")</f>
        <v>QUILL FORMATION Ulman</v>
      </c>
      <c r="D799" s="43" t="str">
        <f aca="false">IF($A799="","",IF($C799="QUILL FORMATION Valmont",10,11))</f>
        <v/>
      </c>
      <c r="E799" s="151" t="str">
        <f aca="false">IF($A799="","",IFERROR(VLOOKUP($A799,Skills!$A:$C,2,FALSE())&amp;" "&amp;VLOOKUP($A799,Skills!$A:$C,3,FALSE()),"Haxil Dellhaven"))</f>
        <v/>
      </c>
      <c r="F799" s="43" t="str">
        <f aca="false">IF($A799="","",IFERROR(IF(VLOOKUP($A799,Skills!$A:$D,4,FALSE())="","",VLOOKUP($A799,Skills!$A:$D,4,FALSE())),"Lisbonne"))</f>
        <v/>
      </c>
      <c r="G799" s="47"/>
      <c r="H799" s="47" t="str">
        <f aca="false">IF(G799="","",WORKDAY(G799-1,D799+IF(J799="",0,J799)))</f>
        <v/>
      </c>
      <c r="I799" s="134"/>
      <c r="J799" s="135"/>
      <c r="K799" s="43" t="str">
        <f aca="true">IF(G799="","",MIN(D799,MAX(0,NETWORKDAYS(G799,TODAY())-IF(J799="",0,J799))))</f>
        <v/>
      </c>
      <c r="L799" s="43" t="str">
        <f aca="true">IF(G799="","",MAX(0,D799-(NETWORKDAYS(G799,TODAY())-IF(J799="",0,J799))))</f>
        <v/>
      </c>
      <c r="M799" s="173"/>
      <c r="N799" s="44" t="str">
        <f aca="true">IFERROR(IF(OR(K799="",K799&lt;=0),"",IF(TODAY()&gt;H799,1,IF(K799-1=0,0,INDEX(OBJECTIVES!$O$2:$Q$12,MATCH(K799-1,OBJECTIVES!$N$2:$N$12,0),IF($C799="QUILL FORMATION Valmont",2,1))))),"")</f>
        <v/>
      </c>
      <c r="O799" s="44" t="str">
        <f aca="false">IF(OR(N799="",M799=""),"",M799-N799)</f>
        <v/>
      </c>
      <c r="P799" s="155" t="str">
        <f aca="false">IF($Q799&lt;&gt;"",$Q799,IF(O799="","",IF(O799&lt;=-0.12,"P1",IF(O799&lt;=-0.06,"P2","P3"))))</f>
        <v/>
      </c>
      <c r="Q799" s="136"/>
      <c r="R799" s="155"/>
      <c r="S799" s="155"/>
      <c r="T799" s="134"/>
      <c r="U799" s="134"/>
      <c r="V799" s="134"/>
      <c r="W799" s="134"/>
      <c r="X799" s="134"/>
      <c r="Y799" s="134"/>
      <c r="Z799" s="134" t="str">
        <f aca="false">IF(R799="Terminé",IF(AND(G799&lt;&gt;"",I799&lt;&gt;""),NETWORKDAYS(G799,I799),D799),"")</f>
        <v/>
      </c>
      <c r="AA799" s="134" t="str">
        <f aca="false">IF($A799="","",IF(COUNTIF(Skills!$A:$A,$A799)=0,"⚠ ID absent du roster",""))</f>
        <v/>
      </c>
      <c r="AB799" s="158"/>
    </row>
    <row r="800" customFormat="false" ht="15" hidden="true" customHeight="false" outlineLevel="0" collapsed="false">
      <c r="A800" s="172"/>
      <c r="B800" s="172"/>
      <c r="C800" s="161" t="str">
        <f aca="false">IF(LEFT(B800,2)="OS","QUILL FORMATION Valmont","QUILL FORMATION Ulman")</f>
        <v>QUILL FORMATION Ulman</v>
      </c>
      <c r="D800" s="43" t="str">
        <f aca="false">IF($A800="","",IF($C800="QUILL FORMATION Valmont",10,11))</f>
        <v/>
      </c>
      <c r="E800" s="151" t="str">
        <f aca="false">IF($A800="","",IFERROR(VLOOKUP($A800,Skills!$A:$C,2,FALSE())&amp;" "&amp;VLOOKUP($A800,Skills!$A:$C,3,FALSE()),"Haxil Dellhaven"))</f>
        <v/>
      </c>
      <c r="F800" s="43" t="str">
        <f aca="false">IF($A800="","",IFERROR(IF(VLOOKUP($A800,Skills!$A:$D,4,FALSE())="","",VLOOKUP($A800,Skills!$A:$D,4,FALSE())),"Lisbonne"))</f>
        <v/>
      </c>
      <c r="G800" s="47"/>
      <c r="H800" s="47" t="str">
        <f aca="false">IF(G800="","",WORKDAY(G800-1,D800+IF(J800="",0,J800)))</f>
        <v/>
      </c>
      <c r="I800" s="134"/>
      <c r="J800" s="135"/>
      <c r="K800" s="43" t="str">
        <f aca="true">IF(G800="","",MIN(D800,MAX(0,NETWORKDAYS(G800,TODAY())-IF(J800="",0,J800))))</f>
        <v/>
      </c>
      <c r="L800" s="43" t="str">
        <f aca="true">IF(G800="","",MAX(0,D800-(NETWORKDAYS(G800,TODAY())-IF(J800="",0,J800))))</f>
        <v/>
      </c>
      <c r="M800" s="173"/>
      <c r="N800" s="44" t="str">
        <f aca="true">IFERROR(IF(OR(K800="",K800&lt;=0),"",IF(TODAY()&gt;H800,1,IF(K800-1=0,0,INDEX(OBJECTIVES!$O$2:$Q$12,MATCH(K800-1,OBJECTIVES!$N$2:$N$12,0),IF($C800="QUILL FORMATION Valmont",2,1))))),"")</f>
        <v/>
      </c>
      <c r="O800" s="44" t="str">
        <f aca="false">IF(OR(N800="",M800=""),"",M800-N800)</f>
        <v/>
      </c>
      <c r="P800" s="155" t="str">
        <f aca="false">IF($Q800&lt;&gt;"",$Q800,IF(O800="","",IF(O800&lt;=-0.12,"P1",IF(O800&lt;=-0.06,"P2","P3"))))</f>
        <v/>
      </c>
      <c r="Q800" s="136"/>
      <c r="R800" s="155"/>
      <c r="S800" s="155"/>
      <c r="T800" s="134"/>
      <c r="U800" s="134"/>
      <c r="V800" s="134"/>
      <c r="W800" s="134"/>
      <c r="X800" s="134"/>
      <c r="Y800" s="134"/>
      <c r="Z800" s="134" t="str">
        <f aca="false">IF(R800="Terminé",IF(AND(G800&lt;&gt;"",I800&lt;&gt;""),NETWORKDAYS(G800,I800),D800),"")</f>
        <v/>
      </c>
      <c r="AA800" s="134" t="str">
        <f aca="false">IF($A800="","",IF(COUNTIF(Skills!$A:$A,$A800)=0,"⚠ ID absent du roster",""))</f>
        <v/>
      </c>
      <c r="AB800" s="158"/>
    </row>
    <row r="801" customFormat="false" ht="15" hidden="true" customHeight="false" outlineLevel="0" collapsed="false">
      <c r="A801" s="172"/>
      <c r="B801" s="172"/>
      <c r="C801" s="161" t="str">
        <f aca="false">IF(LEFT(B801,2)="OS","QUILL FORMATION Valmont","QUILL FORMATION Ulman")</f>
        <v>QUILL FORMATION Ulman</v>
      </c>
      <c r="D801" s="43" t="str">
        <f aca="false">IF($A801="","",IF($C801="QUILL FORMATION Valmont",10,11))</f>
        <v/>
      </c>
      <c r="E801" s="151" t="str">
        <f aca="false">IF($A801="","",IFERROR(VLOOKUP($A801,Skills!$A:$C,2,FALSE())&amp;" "&amp;VLOOKUP($A801,Skills!$A:$C,3,FALSE()),"Haxil Dellhaven"))</f>
        <v/>
      </c>
      <c r="F801" s="43" t="str">
        <f aca="false">IF($A801="","",IFERROR(IF(VLOOKUP($A801,Skills!$A:$D,4,FALSE())="","",VLOOKUP($A801,Skills!$A:$D,4,FALSE())),"Lisbonne"))</f>
        <v/>
      </c>
      <c r="G801" s="47"/>
      <c r="H801" s="47" t="str">
        <f aca="false">IF(G801="","",WORKDAY(G801-1,D801+IF(J801="",0,J801)))</f>
        <v/>
      </c>
      <c r="I801" s="134"/>
      <c r="J801" s="135"/>
      <c r="K801" s="43" t="str">
        <f aca="true">IF(G801="","",MIN(D801,MAX(0,NETWORKDAYS(G801,TODAY())-IF(J801="",0,J801))))</f>
        <v/>
      </c>
      <c r="L801" s="43" t="str">
        <f aca="true">IF(G801="","",MAX(0,D801-(NETWORKDAYS(G801,TODAY())-IF(J801="",0,J801))))</f>
        <v/>
      </c>
      <c r="M801" s="173"/>
      <c r="N801" s="44" t="str">
        <f aca="true">IFERROR(IF(OR(K801="",K801&lt;=0),"",IF(TODAY()&gt;H801,1,IF(K801-1=0,0,INDEX(OBJECTIVES!$O$2:$Q$12,MATCH(K801-1,OBJECTIVES!$N$2:$N$12,0),IF($C801="QUILL FORMATION Valmont",2,1))))),"")</f>
        <v/>
      </c>
      <c r="O801" s="44" t="str">
        <f aca="false">IF(OR(N801="",M801=""),"",M801-N801)</f>
        <v/>
      </c>
      <c r="P801" s="155" t="str">
        <f aca="false">IF($Q801&lt;&gt;"",$Q801,IF(O801="","",IF(O801&lt;=-0.12,"P1",IF(O801&lt;=-0.06,"P2","P3"))))</f>
        <v/>
      </c>
      <c r="Q801" s="136"/>
      <c r="R801" s="155"/>
      <c r="S801" s="155"/>
      <c r="T801" s="134"/>
      <c r="U801" s="134"/>
      <c r="V801" s="134"/>
      <c r="W801" s="134"/>
      <c r="X801" s="134"/>
      <c r="Y801" s="134"/>
      <c r="Z801" s="134" t="str">
        <f aca="false">IF(R801="Terminé",IF(AND(G801&lt;&gt;"",I801&lt;&gt;""),NETWORKDAYS(G801,I801),D801),"")</f>
        <v/>
      </c>
      <c r="AA801" s="134" t="str">
        <f aca="false">IF($A801="","",IF(COUNTIF(Skills!$A:$A,$A801)=0,"⚠ ID absent du roster",""))</f>
        <v/>
      </c>
      <c r="AB801" s="158"/>
    </row>
    <row r="802" customFormat="false" ht="15" hidden="true" customHeight="false" outlineLevel="0" collapsed="false">
      <c r="A802" s="172"/>
      <c r="B802" s="172"/>
      <c r="C802" s="161" t="str">
        <f aca="false">IF(LEFT(B802,2)="OS","QUILL FORMATION Valmont","QUILL FORMATION Ulman")</f>
        <v>QUILL FORMATION Ulman</v>
      </c>
      <c r="D802" s="43" t="str">
        <f aca="false">IF($A802="","",IF($C802="QUILL FORMATION Valmont",10,11))</f>
        <v/>
      </c>
      <c r="E802" s="151" t="str">
        <f aca="false">IF($A802="","",IFERROR(VLOOKUP($A802,Skills!$A:$C,2,FALSE())&amp;" "&amp;VLOOKUP($A802,Skills!$A:$C,3,FALSE()),"Haxil Dellhaven"))</f>
        <v/>
      </c>
      <c r="F802" s="43" t="str">
        <f aca="false">IF($A802="","",IFERROR(IF(VLOOKUP($A802,Skills!$A:$D,4,FALSE())="","",VLOOKUP($A802,Skills!$A:$D,4,FALSE())),"Lisbonne"))</f>
        <v/>
      </c>
      <c r="G802" s="47"/>
      <c r="H802" s="47" t="str">
        <f aca="false">IF(G802="","",WORKDAY(G802-1,D802+IF(J802="",0,J802)))</f>
        <v/>
      </c>
      <c r="I802" s="134"/>
      <c r="J802" s="135"/>
      <c r="K802" s="43" t="str">
        <f aca="true">IF(G802="","",MIN(D802,MAX(0,NETWORKDAYS(G802,TODAY())-IF(J802="",0,J802))))</f>
        <v/>
      </c>
      <c r="L802" s="43" t="str">
        <f aca="true">IF(G802="","",MAX(0,D802-(NETWORKDAYS(G802,TODAY())-IF(J802="",0,J802))))</f>
        <v/>
      </c>
      <c r="M802" s="173"/>
      <c r="N802" s="44" t="str">
        <f aca="true">IFERROR(IF(OR(K802="",K802&lt;=0),"",IF(TODAY()&gt;H802,1,IF(K802-1=0,0,INDEX(OBJECTIVES!$O$2:$Q$12,MATCH(K802-1,OBJECTIVES!$N$2:$N$12,0),IF($C802="QUILL FORMATION Valmont",2,1))))),"")</f>
        <v/>
      </c>
      <c r="O802" s="44" t="str">
        <f aca="false">IF(OR(N802="",M802=""),"",M802-N802)</f>
        <v/>
      </c>
      <c r="P802" s="155" t="str">
        <f aca="false">IF($Q802&lt;&gt;"",$Q802,IF(O802="","",IF(O802&lt;=-0.12,"P1",IF(O802&lt;=-0.06,"P2","P3"))))</f>
        <v/>
      </c>
      <c r="Q802" s="136"/>
      <c r="R802" s="155"/>
      <c r="S802" s="155"/>
      <c r="T802" s="134"/>
      <c r="U802" s="134"/>
      <c r="V802" s="134"/>
      <c r="W802" s="134"/>
      <c r="X802" s="134"/>
      <c r="Y802" s="134"/>
      <c r="Z802" s="134" t="str">
        <f aca="false">IF(R802="Terminé",IF(AND(G802&lt;&gt;"",I802&lt;&gt;""),NETWORKDAYS(G802,I802),D802),"")</f>
        <v/>
      </c>
      <c r="AA802" s="134" t="str">
        <f aca="false">IF($A802="","",IF(COUNTIF(Skills!$A:$A,$A802)=0,"⚠ ID absent du roster",""))</f>
        <v/>
      </c>
      <c r="AB802" s="158"/>
    </row>
    <row r="803" customFormat="false" ht="15" hidden="true" customHeight="false" outlineLevel="0" collapsed="false">
      <c r="A803" s="172"/>
      <c r="B803" s="172"/>
      <c r="C803" s="161" t="str">
        <f aca="false">IF(LEFT(B803,2)="OS","QUILL FORMATION Valmont","QUILL FORMATION Ulman")</f>
        <v>QUILL FORMATION Ulman</v>
      </c>
      <c r="D803" s="43" t="str">
        <f aca="false">IF($A803="","",IF($C803="QUILL FORMATION Valmont",10,11))</f>
        <v/>
      </c>
      <c r="E803" s="151" t="str">
        <f aca="false">IF($A803="","",IFERROR(VLOOKUP($A803,Skills!$A:$C,2,FALSE())&amp;" "&amp;VLOOKUP($A803,Skills!$A:$C,3,FALSE()),"Haxil Dellhaven"))</f>
        <v/>
      </c>
      <c r="F803" s="43" t="str">
        <f aca="false">IF($A803="","",IFERROR(IF(VLOOKUP($A803,Skills!$A:$D,4,FALSE())="","",VLOOKUP($A803,Skills!$A:$D,4,FALSE())),"Lisbonne"))</f>
        <v/>
      </c>
      <c r="G803" s="47"/>
      <c r="H803" s="47" t="str">
        <f aca="false">IF(G803="","",WORKDAY(G803-1,D803+IF(J803="",0,J803)))</f>
        <v/>
      </c>
      <c r="I803" s="134"/>
      <c r="J803" s="135"/>
      <c r="K803" s="43" t="str">
        <f aca="true">IF(G803="","",MIN(D803,MAX(0,NETWORKDAYS(G803,TODAY())-IF(J803="",0,J803))))</f>
        <v/>
      </c>
      <c r="L803" s="43" t="str">
        <f aca="true">IF(G803="","",MAX(0,D803-(NETWORKDAYS(G803,TODAY())-IF(J803="",0,J803))))</f>
        <v/>
      </c>
      <c r="M803" s="173"/>
      <c r="N803" s="44" t="str">
        <f aca="true">IFERROR(IF(OR(K803="",K803&lt;=0),"",IF(TODAY()&gt;H803,1,IF(K803-1=0,0,INDEX(OBJECTIVES!$O$2:$Q$12,MATCH(K803-1,OBJECTIVES!$N$2:$N$12,0),IF($C803="QUILL FORMATION Valmont",2,1))))),"")</f>
        <v/>
      </c>
      <c r="O803" s="44" t="str">
        <f aca="false">IF(OR(N803="",M803=""),"",M803-N803)</f>
        <v/>
      </c>
      <c r="P803" s="155" t="str">
        <f aca="false">IF($Q803&lt;&gt;"",$Q803,IF(O803="","",IF(O803&lt;=-0.12,"P1",IF(O803&lt;=-0.06,"P2","P3"))))</f>
        <v/>
      </c>
      <c r="Q803" s="136"/>
      <c r="R803" s="155"/>
      <c r="S803" s="155"/>
      <c r="T803" s="134"/>
      <c r="U803" s="134"/>
      <c r="V803" s="134"/>
      <c r="W803" s="134"/>
      <c r="X803" s="134"/>
      <c r="Y803" s="134"/>
      <c r="Z803" s="134" t="str">
        <f aca="false">IF(R803="Terminé",IF(AND(G803&lt;&gt;"",I803&lt;&gt;""),NETWORKDAYS(G803,I803),D803),"")</f>
        <v/>
      </c>
      <c r="AA803" s="134" t="str">
        <f aca="false">IF($A803="","",IF(COUNTIF(Skills!$A:$A,$A803)=0,"⚠ ID absent du roster",""))</f>
        <v/>
      </c>
      <c r="AB803" s="158"/>
    </row>
    <row r="804" customFormat="false" ht="15" hidden="true" customHeight="false" outlineLevel="0" collapsed="false">
      <c r="A804" s="172"/>
      <c r="B804" s="172"/>
      <c r="C804" s="161" t="str">
        <f aca="false">IF(LEFT(B804,2)="OS","QUILL FORMATION Valmont","QUILL FORMATION Ulman")</f>
        <v>QUILL FORMATION Ulman</v>
      </c>
      <c r="D804" s="43" t="str">
        <f aca="false">IF($A804="","",IF($C804="QUILL FORMATION Valmont",10,11))</f>
        <v/>
      </c>
      <c r="E804" s="151" t="str">
        <f aca="false">IF($A804="","",IFERROR(VLOOKUP($A804,Skills!$A:$C,2,FALSE())&amp;" "&amp;VLOOKUP($A804,Skills!$A:$C,3,FALSE()),"Haxil Dellhaven"))</f>
        <v/>
      </c>
      <c r="F804" s="43" t="str">
        <f aca="false">IF($A804="","",IFERROR(IF(VLOOKUP($A804,Skills!$A:$D,4,FALSE())="","",VLOOKUP($A804,Skills!$A:$D,4,FALSE())),"Lisbonne"))</f>
        <v/>
      </c>
      <c r="G804" s="47"/>
      <c r="H804" s="47" t="str">
        <f aca="false">IF(G804="","",WORKDAY(G804-1,D804+IF(J804="",0,J804)))</f>
        <v/>
      </c>
      <c r="I804" s="134"/>
      <c r="J804" s="135"/>
      <c r="K804" s="43" t="str">
        <f aca="true">IF(G804="","",MIN(D804,MAX(0,NETWORKDAYS(G804,TODAY())-IF(J804="",0,J804))))</f>
        <v/>
      </c>
      <c r="L804" s="43" t="str">
        <f aca="true">IF(G804="","",MAX(0,D804-(NETWORKDAYS(G804,TODAY())-IF(J804="",0,J804))))</f>
        <v/>
      </c>
      <c r="M804" s="173"/>
      <c r="N804" s="44" t="str">
        <f aca="true">IFERROR(IF(OR(K804="",K804&lt;=0),"",IF(TODAY()&gt;H804,1,IF(K804-1=0,0,INDEX(OBJECTIVES!$O$2:$Q$12,MATCH(K804-1,OBJECTIVES!$N$2:$N$12,0),IF($C804="QUILL FORMATION Valmont",2,1))))),"")</f>
        <v/>
      </c>
      <c r="O804" s="44" t="str">
        <f aca="false">IF(OR(N804="",M804=""),"",M804-N804)</f>
        <v/>
      </c>
      <c r="P804" s="155" t="str">
        <f aca="false">IF($Q804&lt;&gt;"",$Q804,IF(O804="","",IF(O804&lt;=-0.12,"P1",IF(O804&lt;=-0.06,"P2","P3"))))</f>
        <v/>
      </c>
      <c r="Q804" s="136"/>
      <c r="R804" s="155"/>
      <c r="S804" s="155"/>
      <c r="T804" s="134"/>
      <c r="U804" s="134"/>
      <c r="V804" s="134"/>
      <c r="W804" s="134"/>
      <c r="X804" s="134"/>
      <c r="Y804" s="134"/>
      <c r="Z804" s="134" t="str">
        <f aca="false">IF(R804="Terminé",IF(AND(G804&lt;&gt;"",I804&lt;&gt;""),NETWORKDAYS(G804,I804),D804),"")</f>
        <v/>
      </c>
      <c r="AA804" s="134" t="str">
        <f aca="false">IF($A804="","",IF(COUNTIF(Skills!$A:$A,$A804)=0,"⚠ ID absent du roster",""))</f>
        <v/>
      </c>
      <c r="AB804" s="158"/>
    </row>
    <row r="805" customFormat="false" ht="15" hidden="true" customHeight="false" outlineLevel="0" collapsed="false">
      <c r="A805" s="172"/>
      <c r="B805" s="172"/>
      <c r="C805" s="161" t="str">
        <f aca="false">IF(LEFT(B805,2)="OS","QUILL FORMATION Valmont","QUILL FORMATION Ulman")</f>
        <v>QUILL FORMATION Ulman</v>
      </c>
      <c r="D805" s="43" t="str">
        <f aca="false">IF($A805="","",IF($C805="QUILL FORMATION Valmont",10,11))</f>
        <v/>
      </c>
      <c r="E805" s="151" t="str">
        <f aca="false">IF($A805="","",IFERROR(VLOOKUP($A805,Skills!$A:$C,2,FALSE())&amp;" "&amp;VLOOKUP($A805,Skills!$A:$C,3,FALSE()),"Haxil Dellhaven"))</f>
        <v/>
      </c>
      <c r="F805" s="43" t="str">
        <f aca="false">IF($A805="","",IFERROR(IF(VLOOKUP($A805,Skills!$A:$D,4,FALSE())="","",VLOOKUP($A805,Skills!$A:$D,4,FALSE())),"Lisbonne"))</f>
        <v/>
      </c>
      <c r="G805" s="47"/>
      <c r="H805" s="47" t="str">
        <f aca="false">IF(G805="","",WORKDAY(G805-1,D805+IF(J805="",0,J805)))</f>
        <v/>
      </c>
      <c r="I805" s="134"/>
      <c r="J805" s="135"/>
      <c r="K805" s="43" t="str">
        <f aca="true">IF(G805="","",MIN(D805,MAX(0,NETWORKDAYS(G805,TODAY())-IF(J805="",0,J805))))</f>
        <v/>
      </c>
      <c r="L805" s="43" t="str">
        <f aca="true">IF(G805="","",MAX(0,D805-(NETWORKDAYS(G805,TODAY())-IF(J805="",0,J805))))</f>
        <v/>
      </c>
      <c r="M805" s="173"/>
      <c r="N805" s="44" t="str">
        <f aca="true">IFERROR(IF(OR(K805="",K805&lt;=0),"",IF(TODAY()&gt;H805,1,IF(K805-1=0,0,INDEX(OBJECTIVES!$O$2:$Q$12,MATCH(K805-1,OBJECTIVES!$N$2:$N$12,0),IF($C805="QUILL FORMATION Valmont",2,1))))),"")</f>
        <v/>
      </c>
      <c r="O805" s="44" t="str">
        <f aca="false">IF(OR(N805="",M805=""),"",M805-N805)</f>
        <v/>
      </c>
      <c r="P805" s="155" t="str">
        <f aca="false">IF($Q805&lt;&gt;"",$Q805,IF(O805="","",IF(O805&lt;=-0.12,"P1",IF(O805&lt;=-0.06,"P2","P3"))))</f>
        <v/>
      </c>
      <c r="Q805" s="136"/>
      <c r="R805" s="155"/>
      <c r="S805" s="155"/>
      <c r="T805" s="134"/>
      <c r="U805" s="134"/>
      <c r="V805" s="134"/>
      <c r="W805" s="134"/>
      <c r="X805" s="134"/>
      <c r="Y805" s="134"/>
      <c r="Z805" s="134" t="str">
        <f aca="false">IF(R805="Terminé",IF(AND(G805&lt;&gt;"",I805&lt;&gt;""),NETWORKDAYS(G805,I805),D805),"")</f>
        <v/>
      </c>
      <c r="AA805" s="134" t="str">
        <f aca="false">IF($A805="","",IF(COUNTIF(Skills!$A:$A,$A805)=0,"⚠ ID absent du roster",""))</f>
        <v/>
      </c>
      <c r="AB805" s="158"/>
    </row>
    <row r="806" customFormat="false" ht="15" hidden="true" customHeight="false" outlineLevel="0" collapsed="false">
      <c r="A806" s="172"/>
      <c r="B806" s="172"/>
      <c r="C806" s="161" t="str">
        <f aca="false">IF(LEFT(B806,2)="OS","QUILL FORMATION Valmont","QUILL FORMATION Ulman")</f>
        <v>QUILL FORMATION Ulman</v>
      </c>
      <c r="D806" s="43" t="str">
        <f aca="false">IF($A806="","",IF($C806="QUILL FORMATION Valmont",10,11))</f>
        <v/>
      </c>
      <c r="E806" s="151" t="str">
        <f aca="false">IF($A806="","",IFERROR(VLOOKUP($A806,Skills!$A:$C,2,FALSE())&amp;" "&amp;VLOOKUP($A806,Skills!$A:$C,3,FALSE()),"Haxil Dellhaven"))</f>
        <v/>
      </c>
      <c r="F806" s="43" t="str">
        <f aca="false">IF($A806="","",IFERROR(IF(VLOOKUP($A806,Skills!$A:$D,4,FALSE())="","",VLOOKUP($A806,Skills!$A:$D,4,FALSE())),"Lisbonne"))</f>
        <v/>
      </c>
      <c r="G806" s="47"/>
      <c r="H806" s="47" t="str">
        <f aca="false">IF(G806="","",WORKDAY(G806-1,D806+IF(J806="",0,J806)))</f>
        <v/>
      </c>
      <c r="I806" s="134"/>
      <c r="J806" s="135"/>
      <c r="K806" s="43" t="str">
        <f aca="true">IF(G806="","",MIN(D806,MAX(0,NETWORKDAYS(G806,TODAY())-IF(J806="",0,J806))))</f>
        <v/>
      </c>
      <c r="L806" s="43" t="str">
        <f aca="true">IF(G806="","",MAX(0,D806-(NETWORKDAYS(G806,TODAY())-IF(J806="",0,J806))))</f>
        <v/>
      </c>
      <c r="M806" s="173"/>
      <c r="N806" s="44" t="str">
        <f aca="true">IFERROR(IF(OR(K806="",K806&lt;=0),"",IF(TODAY()&gt;H806,1,IF(K806-1=0,0,INDEX(OBJECTIVES!$O$2:$Q$12,MATCH(K806-1,OBJECTIVES!$N$2:$N$12,0),IF($C806="QUILL FORMATION Valmont",2,1))))),"")</f>
        <v/>
      </c>
      <c r="O806" s="44" t="str">
        <f aca="false">IF(OR(N806="",M806=""),"",M806-N806)</f>
        <v/>
      </c>
      <c r="P806" s="155" t="str">
        <f aca="false">IF($Q806&lt;&gt;"",$Q806,IF(O806="","",IF(O806&lt;=-0.12,"P1",IF(O806&lt;=-0.06,"P2","P3"))))</f>
        <v/>
      </c>
      <c r="Q806" s="136"/>
      <c r="R806" s="155"/>
      <c r="S806" s="155"/>
      <c r="T806" s="134"/>
      <c r="U806" s="134"/>
      <c r="V806" s="134"/>
      <c r="W806" s="134"/>
      <c r="X806" s="134"/>
      <c r="Y806" s="134"/>
      <c r="Z806" s="134" t="str">
        <f aca="false">IF(R806="Terminé",IF(AND(G806&lt;&gt;"",I806&lt;&gt;""),NETWORKDAYS(G806,I806),D806),"")</f>
        <v/>
      </c>
      <c r="AA806" s="134" t="str">
        <f aca="false">IF($A806="","",IF(COUNTIF(Skills!$A:$A,$A806)=0,"⚠ ID absent du roster",""))</f>
        <v/>
      </c>
      <c r="AB806" s="158"/>
    </row>
    <row r="807" customFormat="false" ht="15" hidden="true" customHeight="false" outlineLevel="0" collapsed="false">
      <c r="A807" s="172"/>
      <c r="B807" s="172"/>
      <c r="C807" s="161" t="str">
        <f aca="false">IF(LEFT(B807,2)="OS","QUILL FORMATION Valmont","QUILL FORMATION Ulman")</f>
        <v>QUILL FORMATION Ulman</v>
      </c>
      <c r="D807" s="43" t="str">
        <f aca="false">IF($A807="","",IF($C807="QUILL FORMATION Valmont",10,11))</f>
        <v/>
      </c>
      <c r="E807" s="151" t="str">
        <f aca="false">IF($A807="","",IFERROR(VLOOKUP($A807,Skills!$A:$C,2,FALSE())&amp;" "&amp;VLOOKUP($A807,Skills!$A:$C,3,FALSE()),"Haxil Dellhaven"))</f>
        <v/>
      </c>
      <c r="F807" s="43" t="str">
        <f aca="false">IF($A807="","",IFERROR(IF(VLOOKUP($A807,Skills!$A:$D,4,FALSE())="","",VLOOKUP($A807,Skills!$A:$D,4,FALSE())),"Lisbonne"))</f>
        <v/>
      </c>
      <c r="G807" s="47"/>
      <c r="H807" s="47" t="str">
        <f aca="false">IF(G807="","",WORKDAY(G807-1,D807+IF(J807="",0,J807)))</f>
        <v/>
      </c>
      <c r="I807" s="134"/>
      <c r="J807" s="135"/>
      <c r="K807" s="43" t="str">
        <f aca="true">IF(G807="","",MIN(D807,MAX(0,NETWORKDAYS(G807,TODAY())-IF(J807="",0,J807))))</f>
        <v/>
      </c>
      <c r="L807" s="43" t="str">
        <f aca="true">IF(G807="","",MAX(0,D807-(NETWORKDAYS(G807,TODAY())-IF(J807="",0,J807))))</f>
        <v/>
      </c>
      <c r="M807" s="173"/>
      <c r="N807" s="44" t="str">
        <f aca="true">IFERROR(IF(OR(K807="",K807&lt;=0),"",IF(TODAY()&gt;H807,1,IF(K807-1=0,0,INDEX(OBJECTIVES!$O$2:$Q$12,MATCH(K807-1,OBJECTIVES!$N$2:$N$12,0),IF($C807="QUILL FORMATION Valmont",2,1))))),"")</f>
        <v/>
      </c>
      <c r="O807" s="44" t="str">
        <f aca="false">IF(OR(N807="",M807=""),"",M807-N807)</f>
        <v/>
      </c>
      <c r="P807" s="155" t="str">
        <f aca="false">IF($Q807&lt;&gt;"",$Q807,IF(O807="","",IF(O807&lt;=-0.12,"P1",IF(O807&lt;=-0.06,"P2","P3"))))</f>
        <v/>
      </c>
      <c r="Q807" s="136"/>
      <c r="R807" s="155"/>
      <c r="S807" s="155"/>
      <c r="T807" s="134"/>
      <c r="U807" s="134"/>
      <c r="V807" s="134"/>
      <c r="W807" s="134"/>
      <c r="X807" s="134"/>
      <c r="Y807" s="134"/>
      <c r="Z807" s="134" t="str">
        <f aca="false">IF(R807="Terminé",IF(AND(G807&lt;&gt;"",I807&lt;&gt;""),NETWORKDAYS(G807,I807),D807),"")</f>
        <v/>
      </c>
      <c r="AA807" s="134" t="str">
        <f aca="false">IF($A807="","",IF(COUNTIF(Skills!$A:$A,$A807)=0,"⚠ ID absent du roster",""))</f>
        <v/>
      </c>
      <c r="AB807" s="158"/>
    </row>
    <row r="808" customFormat="false" ht="15" hidden="true" customHeight="false" outlineLevel="0" collapsed="false">
      <c r="A808" s="172"/>
      <c r="B808" s="172"/>
      <c r="C808" s="161" t="str">
        <f aca="false">IF(LEFT(B808,2)="OS","QUILL FORMATION Valmont","QUILL FORMATION Ulman")</f>
        <v>QUILL FORMATION Ulman</v>
      </c>
      <c r="D808" s="43" t="str">
        <f aca="false">IF($A808="","",IF($C808="QUILL FORMATION Valmont",10,11))</f>
        <v/>
      </c>
      <c r="E808" s="151" t="str">
        <f aca="false">IF($A808="","",IFERROR(VLOOKUP($A808,Skills!$A:$C,2,FALSE())&amp;" "&amp;VLOOKUP($A808,Skills!$A:$C,3,FALSE()),"Haxil Dellhaven"))</f>
        <v/>
      </c>
      <c r="F808" s="43" t="str">
        <f aca="false">IF($A808="","",IFERROR(IF(VLOOKUP($A808,Skills!$A:$D,4,FALSE())="","",VLOOKUP($A808,Skills!$A:$D,4,FALSE())),"Lisbonne"))</f>
        <v/>
      </c>
      <c r="G808" s="47"/>
      <c r="H808" s="47" t="str">
        <f aca="false">IF(G808="","",WORKDAY(G808-1,D808+IF(J808="",0,J808)))</f>
        <v/>
      </c>
      <c r="I808" s="134"/>
      <c r="J808" s="135"/>
      <c r="K808" s="43" t="str">
        <f aca="true">IF(G808="","",MIN(D808,MAX(0,NETWORKDAYS(G808,TODAY())-IF(J808="",0,J808))))</f>
        <v/>
      </c>
      <c r="L808" s="43" t="str">
        <f aca="true">IF(G808="","",MAX(0,D808-(NETWORKDAYS(G808,TODAY())-IF(J808="",0,J808))))</f>
        <v/>
      </c>
      <c r="M808" s="173"/>
      <c r="N808" s="44" t="str">
        <f aca="true">IFERROR(IF(OR(K808="",K808&lt;=0),"",IF(TODAY()&gt;H808,1,IF(K808-1=0,0,INDEX(OBJECTIVES!$O$2:$Q$12,MATCH(K808-1,OBJECTIVES!$N$2:$N$12,0),IF($C808="QUILL FORMATION Valmont",2,1))))),"")</f>
        <v/>
      </c>
      <c r="O808" s="44" t="str">
        <f aca="false">IF(OR(N808="",M808=""),"",M808-N808)</f>
        <v/>
      </c>
      <c r="P808" s="155" t="str">
        <f aca="false">IF($Q808&lt;&gt;"",$Q808,IF(O808="","",IF(O808&lt;=-0.12,"P1",IF(O808&lt;=-0.06,"P2","P3"))))</f>
        <v/>
      </c>
      <c r="Q808" s="136"/>
      <c r="R808" s="155"/>
      <c r="S808" s="155"/>
      <c r="T808" s="134"/>
      <c r="U808" s="134"/>
      <c r="V808" s="134"/>
      <c r="W808" s="134"/>
      <c r="X808" s="134"/>
      <c r="Y808" s="134"/>
      <c r="Z808" s="134" t="str">
        <f aca="false">IF(R808="Terminé",IF(AND(G808&lt;&gt;"",I808&lt;&gt;""),NETWORKDAYS(G808,I808),D808),"")</f>
        <v/>
      </c>
      <c r="AA808" s="134" t="str">
        <f aca="false">IF($A808="","",IF(COUNTIF(Skills!$A:$A,$A808)=0,"⚠ ID absent du roster",""))</f>
        <v/>
      </c>
      <c r="AB808" s="158"/>
    </row>
    <row r="809" customFormat="false" ht="15" hidden="true" customHeight="false" outlineLevel="0" collapsed="false">
      <c r="A809" s="172"/>
      <c r="B809" s="172"/>
      <c r="C809" s="161" t="str">
        <f aca="false">IF(LEFT(B809,2)="OS","QUILL FORMATION Valmont","QUILL FORMATION Ulman")</f>
        <v>QUILL FORMATION Ulman</v>
      </c>
      <c r="D809" s="43" t="str">
        <f aca="false">IF($A809="","",IF($C809="QUILL FORMATION Valmont",10,11))</f>
        <v/>
      </c>
      <c r="E809" s="151" t="str">
        <f aca="false">IF($A809="","",IFERROR(VLOOKUP($A809,Skills!$A:$C,2,FALSE())&amp;" "&amp;VLOOKUP($A809,Skills!$A:$C,3,FALSE()),"Haxil Dellhaven"))</f>
        <v/>
      </c>
      <c r="F809" s="43" t="str">
        <f aca="false">IF($A809="","",IFERROR(IF(VLOOKUP($A809,Skills!$A:$D,4,FALSE())="","",VLOOKUP($A809,Skills!$A:$D,4,FALSE())),"Lisbonne"))</f>
        <v/>
      </c>
      <c r="G809" s="47"/>
      <c r="H809" s="47" t="str">
        <f aca="false">IF(G809="","",WORKDAY(G809-1,D809+IF(J809="",0,J809)))</f>
        <v/>
      </c>
      <c r="I809" s="134"/>
      <c r="J809" s="135"/>
      <c r="K809" s="43" t="str">
        <f aca="true">IF(G809="","",MIN(D809,MAX(0,NETWORKDAYS(G809,TODAY())-IF(J809="",0,J809))))</f>
        <v/>
      </c>
      <c r="L809" s="43" t="str">
        <f aca="true">IF(G809="","",MAX(0,D809-(NETWORKDAYS(G809,TODAY())-IF(J809="",0,J809))))</f>
        <v/>
      </c>
      <c r="M809" s="173"/>
      <c r="N809" s="44" t="str">
        <f aca="true">IFERROR(IF(OR(K809="",K809&lt;=0),"",IF(TODAY()&gt;H809,1,IF(K809-1=0,0,INDEX(OBJECTIVES!$O$2:$Q$12,MATCH(K809-1,OBJECTIVES!$N$2:$N$12,0),IF($C809="QUILL FORMATION Valmont",2,1))))),"")</f>
        <v/>
      </c>
      <c r="O809" s="44" t="str">
        <f aca="false">IF(OR(N809="",M809=""),"",M809-N809)</f>
        <v/>
      </c>
      <c r="P809" s="155" t="str">
        <f aca="false">IF($Q809&lt;&gt;"",$Q809,IF(O809="","",IF(O809&lt;=-0.12,"P1",IF(O809&lt;=-0.06,"P2","P3"))))</f>
        <v/>
      </c>
      <c r="Q809" s="136"/>
      <c r="R809" s="155"/>
      <c r="S809" s="155"/>
      <c r="T809" s="134"/>
      <c r="U809" s="134"/>
      <c r="V809" s="134"/>
      <c r="W809" s="134"/>
      <c r="X809" s="134"/>
      <c r="Y809" s="134"/>
      <c r="Z809" s="134" t="str">
        <f aca="false">IF(R809="Terminé",IF(AND(G809&lt;&gt;"",I809&lt;&gt;""),NETWORKDAYS(G809,I809),D809),"")</f>
        <v/>
      </c>
      <c r="AA809" s="134" t="str">
        <f aca="false">IF($A809="","",IF(COUNTIF(Skills!$A:$A,$A809)=0,"⚠ ID absent du roster",""))</f>
        <v/>
      </c>
      <c r="AB809" s="158"/>
    </row>
    <row r="810" customFormat="false" ht="15" hidden="true" customHeight="false" outlineLevel="0" collapsed="false">
      <c r="A810" s="172"/>
      <c r="B810" s="172"/>
      <c r="C810" s="161" t="str">
        <f aca="false">IF(LEFT(B810,2)="OS","QUILL FORMATION Valmont","QUILL FORMATION Ulman")</f>
        <v>QUILL FORMATION Ulman</v>
      </c>
      <c r="D810" s="43" t="str">
        <f aca="false">IF($A810="","",IF($C810="QUILL FORMATION Valmont",10,11))</f>
        <v/>
      </c>
      <c r="E810" s="151" t="str">
        <f aca="false">IF($A810="","",IFERROR(VLOOKUP($A810,Skills!$A:$C,2,FALSE())&amp;" "&amp;VLOOKUP($A810,Skills!$A:$C,3,FALSE()),"Haxil Dellhaven"))</f>
        <v/>
      </c>
      <c r="F810" s="43" t="str">
        <f aca="false">IF($A810="","",IFERROR(IF(VLOOKUP($A810,Skills!$A:$D,4,FALSE())="","",VLOOKUP($A810,Skills!$A:$D,4,FALSE())),"Lisbonne"))</f>
        <v/>
      </c>
      <c r="G810" s="47"/>
      <c r="H810" s="47" t="str">
        <f aca="false">IF(G810="","",WORKDAY(G810-1,D810+IF(J810="",0,J810)))</f>
        <v/>
      </c>
      <c r="I810" s="134"/>
      <c r="J810" s="135"/>
      <c r="K810" s="43" t="str">
        <f aca="true">IF(G810="","",MIN(D810,MAX(0,NETWORKDAYS(G810,TODAY())-IF(J810="",0,J810))))</f>
        <v/>
      </c>
      <c r="L810" s="43" t="str">
        <f aca="true">IF(G810="","",MAX(0,D810-(NETWORKDAYS(G810,TODAY())-IF(J810="",0,J810))))</f>
        <v/>
      </c>
      <c r="M810" s="173"/>
      <c r="N810" s="44" t="str">
        <f aca="true">IFERROR(IF(OR(K810="",K810&lt;=0),"",IF(TODAY()&gt;H810,1,IF(K810-1=0,0,INDEX(OBJECTIVES!$O$2:$Q$12,MATCH(K810-1,OBJECTIVES!$N$2:$N$12,0),IF($C810="QUILL FORMATION Valmont",2,1))))),"")</f>
        <v/>
      </c>
      <c r="O810" s="44" t="str">
        <f aca="false">IF(OR(N810="",M810=""),"",M810-N810)</f>
        <v/>
      </c>
      <c r="P810" s="155" t="str">
        <f aca="false">IF($Q810&lt;&gt;"",$Q810,IF(O810="","",IF(O810&lt;=-0.12,"P1",IF(O810&lt;=-0.06,"P2","P3"))))</f>
        <v/>
      </c>
      <c r="Q810" s="136"/>
      <c r="R810" s="155"/>
      <c r="S810" s="155"/>
      <c r="T810" s="134"/>
      <c r="U810" s="134"/>
      <c r="V810" s="134"/>
      <c r="W810" s="134"/>
      <c r="X810" s="134"/>
      <c r="Y810" s="134"/>
      <c r="Z810" s="134" t="str">
        <f aca="false">IF(R810="Terminé",IF(AND(G810&lt;&gt;"",I810&lt;&gt;""),NETWORKDAYS(G810,I810),D810),"")</f>
        <v/>
      </c>
      <c r="AA810" s="134" t="str">
        <f aca="false">IF($A810="","",IF(COUNTIF(Skills!$A:$A,$A810)=0,"⚠ ID absent du roster",""))</f>
        <v/>
      </c>
      <c r="AB810" s="158"/>
    </row>
    <row r="811" customFormat="false" ht="15" hidden="true" customHeight="false" outlineLevel="0" collapsed="false">
      <c r="A811" s="172"/>
      <c r="B811" s="172"/>
      <c r="C811" s="161" t="str">
        <f aca="false">IF(LEFT(B811,2)="OS","QUILL FORMATION Valmont","QUILL FORMATION Ulman")</f>
        <v>QUILL FORMATION Ulman</v>
      </c>
      <c r="D811" s="43" t="str">
        <f aca="false">IF($A811="","",IF($C811="QUILL FORMATION Valmont",10,11))</f>
        <v/>
      </c>
      <c r="E811" s="151" t="str">
        <f aca="false">IF($A811="","",IFERROR(VLOOKUP($A811,Skills!$A:$C,2,FALSE())&amp;" "&amp;VLOOKUP($A811,Skills!$A:$C,3,FALSE()),"Haxil Dellhaven"))</f>
        <v/>
      </c>
      <c r="F811" s="43" t="str">
        <f aca="false">IF($A811="","",IFERROR(IF(VLOOKUP($A811,Skills!$A:$D,4,FALSE())="","",VLOOKUP($A811,Skills!$A:$D,4,FALSE())),"Lisbonne"))</f>
        <v/>
      </c>
      <c r="G811" s="47"/>
      <c r="H811" s="47" t="str">
        <f aca="false">IF(G811="","",WORKDAY(G811-1,D811+IF(J811="",0,J811)))</f>
        <v/>
      </c>
      <c r="I811" s="134"/>
      <c r="J811" s="135"/>
      <c r="K811" s="43" t="str">
        <f aca="true">IF(G811="","",MIN(D811,MAX(0,NETWORKDAYS(G811,TODAY())-IF(J811="",0,J811))))</f>
        <v/>
      </c>
      <c r="L811" s="43" t="str">
        <f aca="true">IF(G811="","",MAX(0,D811-(NETWORKDAYS(G811,TODAY())-IF(J811="",0,J811))))</f>
        <v/>
      </c>
      <c r="M811" s="173"/>
      <c r="N811" s="44" t="str">
        <f aca="true">IFERROR(IF(OR(K811="",K811&lt;=0),"",IF(TODAY()&gt;H811,1,IF(K811-1=0,0,INDEX(OBJECTIVES!$O$2:$Q$12,MATCH(K811-1,OBJECTIVES!$N$2:$N$12,0),IF($C811="QUILL FORMATION Valmont",2,1))))),"")</f>
        <v/>
      </c>
      <c r="O811" s="44" t="str">
        <f aca="false">IF(OR(N811="",M811=""),"",M811-N811)</f>
        <v/>
      </c>
      <c r="P811" s="155" t="str">
        <f aca="false">IF($Q811&lt;&gt;"",$Q811,IF(O811="","",IF(O811&lt;=-0.12,"P1",IF(O811&lt;=-0.06,"P2","P3"))))</f>
        <v/>
      </c>
      <c r="Q811" s="136"/>
      <c r="R811" s="155"/>
      <c r="S811" s="155"/>
      <c r="T811" s="134"/>
      <c r="U811" s="134"/>
      <c r="V811" s="134"/>
      <c r="W811" s="134"/>
      <c r="X811" s="134"/>
      <c r="Y811" s="134"/>
      <c r="Z811" s="134" t="str">
        <f aca="false">IF(R811="Terminé",IF(AND(G811&lt;&gt;"",I811&lt;&gt;""),NETWORKDAYS(G811,I811),D811),"")</f>
        <v/>
      </c>
      <c r="AA811" s="134" t="str">
        <f aca="false">IF($A811="","",IF(COUNTIF(Skills!$A:$A,$A811)=0,"⚠ ID absent du roster",""))</f>
        <v/>
      </c>
      <c r="AB811" s="158"/>
    </row>
    <row r="812" customFormat="false" ht="15" hidden="true" customHeight="false" outlineLevel="0" collapsed="false">
      <c r="A812" s="172"/>
      <c r="B812" s="172"/>
      <c r="C812" s="161" t="str">
        <f aca="false">IF(LEFT(B812,2)="OS","QUILL FORMATION Valmont","QUILL FORMATION Ulman")</f>
        <v>QUILL FORMATION Ulman</v>
      </c>
      <c r="D812" s="43" t="str">
        <f aca="false">IF($A812="","",IF($C812="QUILL FORMATION Valmont",10,11))</f>
        <v/>
      </c>
      <c r="E812" s="151" t="str">
        <f aca="false">IF($A812="","",IFERROR(VLOOKUP($A812,Skills!$A:$C,2,FALSE())&amp;" "&amp;VLOOKUP($A812,Skills!$A:$C,3,FALSE()),"Haxil Dellhaven"))</f>
        <v/>
      </c>
      <c r="F812" s="43" t="str">
        <f aca="false">IF($A812="","",IFERROR(IF(VLOOKUP($A812,Skills!$A:$D,4,FALSE())="","",VLOOKUP($A812,Skills!$A:$D,4,FALSE())),"Lisbonne"))</f>
        <v/>
      </c>
      <c r="G812" s="47"/>
      <c r="H812" s="47" t="str">
        <f aca="false">IF(G812="","",WORKDAY(G812-1,D812+IF(J812="",0,J812)))</f>
        <v/>
      </c>
      <c r="I812" s="134"/>
      <c r="J812" s="135"/>
      <c r="K812" s="43" t="str">
        <f aca="true">IF(G812="","",MIN(D812,MAX(0,NETWORKDAYS(G812,TODAY())-IF(J812="",0,J812))))</f>
        <v/>
      </c>
      <c r="L812" s="43" t="str">
        <f aca="true">IF(G812="","",MAX(0,D812-(NETWORKDAYS(G812,TODAY())-IF(J812="",0,J812))))</f>
        <v/>
      </c>
      <c r="M812" s="173"/>
      <c r="N812" s="44" t="str">
        <f aca="true">IFERROR(IF(OR(K812="",K812&lt;=0),"",IF(TODAY()&gt;H812,1,IF(K812-1=0,0,INDEX(OBJECTIVES!$O$2:$Q$12,MATCH(K812-1,OBJECTIVES!$N$2:$N$12,0),IF($C812="QUILL FORMATION Valmont",2,1))))),"")</f>
        <v/>
      </c>
      <c r="O812" s="44" t="str">
        <f aca="false">IF(OR(N812="",M812=""),"",M812-N812)</f>
        <v/>
      </c>
      <c r="P812" s="155" t="str">
        <f aca="false">IF($Q812&lt;&gt;"",$Q812,IF(O812="","",IF(O812&lt;=-0.12,"P1",IF(O812&lt;=-0.06,"P2","P3"))))</f>
        <v/>
      </c>
      <c r="Q812" s="136"/>
      <c r="R812" s="155"/>
      <c r="S812" s="155"/>
      <c r="T812" s="134"/>
      <c r="U812" s="134"/>
      <c r="V812" s="134"/>
      <c r="W812" s="134"/>
      <c r="X812" s="134"/>
      <c r="Y812" s="134"/>
      <c r="Z812" s="134" t="str">
        <f aca="false">IF(R812="Terminé",IF(AND(G812&lt;&gt;"",I812&lt;&gt;""),NETWORKDAYS(G812,I812),D812),"")</f>
        <v/>
      </c>
      <c r="AA812" s="134" t="str">
        <f aca="false">IF($A812="","",IF(COUNTIF(Skills!$A:$A,$A812)=0,"⚠ ID absent du roster",""))</f>
        <v/>
      </c>
      <c r="AB812" s="158"/>
    </row>
    <row r="813" customFormat="false" ht="15" hidden="true" customHeight="false" outlineLevel="0" collapsed="false">
      <c r="A813" s="172"/>
      <c r="B813" s="172"/>
      <c r="C813" s="161" t="str">
        <f aca="false">IF(LEFT(B813,2)="OS","QUILL FORMATION Valmont","QUILL FORMATION Ulman")</f>
        <v>QUILL FORMATION Ulman</v>
      </c>
      <c r="D813" s="43" t="str">
        <f aca="false">IF($A813="","",IF($C813="QUILL FORMATION Valmont",10,11))</f>
        <v/>
      </c>
      <c r="E813" s="151" t="str">
        <f aca="false">IF($A813="","",IFERROR(VLOOKUP($A813,Skills!$A:$C,2,FALSE())&amp;" "&amp;VLOOKUP($A813,Skills!$A:$C,3,FALSE()),"Haxil Dellhaven"))</f>
        <v/>
      </c>
      <c r="F813" s="43" t="str">
        <f aca="false">IF($A813="","",IFERROR(IF(VLOOKUP($A813,Skills!$A:$D,4,FALSE())="","",VLOOKUP($A813,Skills!$A:$D,4,FALSE())),"Lisbonne"))</f>
        <v/>
      </c>
      <c r="G813" s="47"/>
      <c r="H813" s="47" t="str">
        <f aca="false">IF(G813="","",WORKDAY(G813-1,D813+IF(J813="",0,J813)))</f>
        <v/>
      </c>
      <c r="I813" s="134"/>
      <c r="J813" s="135"/>
      <c r="K813" s="43" t="str">
        <f aca="true">IF(G813="","",MIN(D813,MAX(0,NETWORKDAYS(G813,TODAY())-IF(J813="",0,J813))))</f>
        <v/>
      </c>
      <c r="L813" s="43" t="str">
        <f aca="true">IF(G813="","",MAX(0,D813-(NETWORKDAYS(G813,TODAY())-IF(J813="",0,J813))))</f>
        <v/>
      </c>
      <c r="M813" s="173"/>
      <c r="N813" s="44" t="str">
        <f aca="true">IFERROR(IF(OR(K813="",K813&lt;=0),"",IF(TODAY()&gt;H813,1,IF(K813-1=0,0,INDEX(OBJECTIVES!$O$2:$Q$12,MATCH(K813-1,OBJECTIVES!$N$2:$N$12,0),IF($C813="QUILL FORMATION Valmont",2,1))))),"")</f>
        <v/>
      </c>
      <c r="O813" s="44" t="str">
        <f aca="false">IF(OR(N813="",M813=""),"",M813-N813)</f>
        <v/>
      </c>
      <c r="P813" s="155" t="str">
        <f aca="false">IF($Q813&lt;&gt;"",$Q813,IF(O813="","",IF(O813&lt;=-0.12,"P1",IF(O813&lt;=-0.06,"P2","P3"))))</f>
        <v/>
      </c>
      <c r="Q813" s="136"/>
      <c r="R813" s="155"/>
      <c r="S813" s="155"/>
      <c r="T813" s="134"/>
      <c r="U813" s="134"/>
      <c r="V813" s="134"/>
      <c r="W813" s="134"/>
      <c r="X813" s="134"/>
      <c r="Y813" s="134"/>
      <c r="Z813" s="134" t="str">
        <f aca="false">IF(R813="Terminé",IF(AND(G813&lt;&gt;"",I813&lt;&gt;""),NETWORKDAYS(G813,I813),D813),"")</f>
        <v/>
      </c>
      <c r="AA813" s="134" t="str">
        <f aca="false">IF($A813="","",IF(COUNTIF(Skills!$A:$A,$A813)=0,"⚠ ID absent du roster",""))</f>
        <v/>
      </c>
      <c r="AB813" s="158"/>
    </row>
    <row r="814" customFormat="false" ht="15" hidden="true" customHeight="false" outlineLevel="0" collapsed="false">
      <c r="A814" s="172"/>
      <c r="B814" s="172"/>
      <c r="C814" s="161" t="str">
        <f aca="false">IF(LEFT(B814,2)="OS","QUILL FORMATION Valmont","QUILL FORMATION Ulman")</f>
        <v>QUILL FORMATION Ulman</v>
      </c>
      <c r="D814" s="43" t="str">
        <f aca="false">IF($A814="","",IF($C814="QUILL FORMATION Valmont",10,11))</f>
        <v/>
      </c>
      <c r="E814" s="151" t="str">
        <f aca="false">IF($A814="","",IFERROR(VLOOKUP($A814,Skills!$A:$C,2,FALSE())&amp;" "&amp;VLOOKUP($A814,Skills!$A:$C,3,FALSE()),"Haxil Dellhaven"))</f>
        <v/>
      </c>
      <c r="F814" s="43" t="str">
        <f aca="false">IF($A814="","",IFERROR(IF(VLOOKUP($A814,Skills!$A:$D,4,FALSE())="","",VLOOKUP($A814,Skills!$A:$D,4,FALSE())),"Lisbonne"))</f>
        <v/>
      </c>
      <c r="G814" s="47"/>
      <c r="H814" s="47" t="str">
        <f aca="false">IF(G814="","",WORKDAY(G814-1,D814+IF(J814="",0,J814)))</f>
        <v/>
      </c>
      <c r="I814" s="134"/>
      <c r="J814" s="135"/>
      <c r="K814" s="43" t="str">
        <f aca="true">IF(G814="","",MIN(D814,MAX(0,NETWORKDAYS(G814,TODAY())-IF(J814="",0,J814))))</f>
        <v/>
      </c>
      <c r="L814" s="43" t="str">
        <f aca="true">IF(G814="","",MAX(0,D814-(NETWORKDAYS(G814,TODAY())-IF(J814="",0,J814))))</f>
        <v/>
      </c>
      <c r="M814" s="173"/>
      <c r="N814" s="44" t="str">
        <f aca="true">IFERROR(IF(OR(K814="",K814&lt;=0),"",IF(TODAY()&gt;H814,1,IF(K814-1=0,0,INDEX(OBJECTIVES!$O$2:$Q$12,MATCH(K814-1,OBJECTIVES!$N$2:$N$12,0),IF($C814="QUILL FORMATION Valmont",2,1))))),"")</f>
        <v/>
      </c>
      <c r="O814" s="44" t="str">
        <f aca="false">IF(OR(N814="",M814=""),"",M814-N814)</f>
        <v/>
      </c>
      <c r="P814" s="155" t="str">
        <f aca="false">IF($Q814&lt;&gt;"",$Q814,IF(O814="","",IF(O814&lt;=-0.12,"P1",IF(O814&lt;=-0.06,"P2","P3"))))</f>
        <v/>
      </c>
      <c r="Q814" s="136"/>
      <c r="R814" s="155"/>
      <c r="S814" s="155"/>
      <c r="T814" s="134"/>
      <c r="U814" s="134"/>
      <c r="V814" s="134"/>
      <c r="W814" s="134"/>
      <c r="X814" s="134"/>
      <c r="Y814" s="134"/>
      <c r="Z814" s="134" t="str">
        <f aca="false">IF(R814="Terminé",IF(AND(G814&lt;&gt;"",I814&lt;&gt;""),NETWORKDAYS(G814,I814),D814),"")</f>
        <v/>
      </c>
      <c r="AA814" s="134" t="str">
        <f aca="false">IF($A814="","",IF(COUNTIF(Skills!$A:$A,$A814)=0,"⚠ ID absent du roster",""))</f>
        <v/>
      </c>
      <c r="AB814" s="158"/>
    </row>
    <row r="815" customFormat="false" ht="15" hidden="true" customHeight="false" outlineLevel="0" collapsed="false">
      <c r="A815" s="172"/>
      <c r="B815" s="172"/>
      <c r="C815" s="161" t="str">
        <f aca="false">IF(LEFT(B815,2)="OS","QUILL FORMATION Valmont","QUILL FORMATION Ulman")</f>
        <v>QUILL FORMATION Ulman</v>
      </c>
      <c r="D815" s="43" t="str">
        <f aca="false">IF($A815="","",IF($C815="QUILL FORMATION Valmont",10,11))</f>
        <v/>
      </c>
      <c r="E815" s="151" t="str">
        <f aca="false">IF($A815="","",IFERROR(VLOOKUP($A815,Skills!$A:$C,2,FALSE())&amp;" "&amp;VLOOKUP($A815,Skills!$A:$C,3,FALSE()),"Haxil Dellhaven"))</f>
        <v/>
      </c>
      <c r="F815" s="43" t="str">
        <f aca="false">IF($A815="","",IFERROR(IF(VLOOKUP($A815,Skills!$A:$D,4,FALSE())="","",VLOOKUP($A815,Skills!$A:$D,4,FALSE())),"Lisbonne"))</f>
        <v/>
      </c>
      <c r="G815" s="47"/>
      <c r="H815" s="47" t="str">
        <f aca="false">IF(G815="","",WORKDAY(G815-1,D815+IF(J815="",0,J815)))</f>
        <v/>
      </c>
      <c r="I815" s="134"/>
      <c r="J815" s="135"/>
      <c r="K815" s="43" t="str">
        <f aca="true">IF(G815="","",MIN(D815,MAX(0,NETWORKDAYS(G815,TODAY())-IF(J815="",0,J815))))</f>
        <v/>
      </c>
      <c r="L815" s="43" t="str">
        <f aca="true">IF(G815="","",MAX(0,D815-(NETWORKDAYS(G815,TODAY())-IF(J815="",0,J815))))</f>
        <v/>
      </c>
      <c r="M815" s="173"/>
      <c r="N815" s="44" t="str">
        <f aca="true">IFERROR(IF(OR(K815="",K815&lt;=0),"",IF(TODAY()&gt;H815,1,IF(K815-1=0,0,INDEX(OBJECTIVES!$O$2:$Q$12,MATCH(K815-1,OBJECTIVES!$N$2:$N$12,0),IF($C815="QUILL FORMATION Valmont",2,1))))),"")</f>
        <v/>
      </c>
      <c r="O815" s="44" t="str">
        <f aca="false">IF(OR(N815="",M815=""),"",M815-N815)</f>
        <v/>
      </c>
      <c r="P815" s="155" t="str">
        <f aca="false">IF($Q815&lt;&gt;"",$Q815,IF(O815="","",IF(O815&lt;=-0.12,"P1",IF(O815&lt;=-0.06,"P2","P3"))))</f>
        <v/>
      </c>
      <c r="Q815" s="136"/>
      <c r="R815" s="155"/>
      <c r="S815" s="155"/>
      <c r="T815" s="134"/>
      <c r="U815" s="134"/>
      <c r="V815" s="134"/>
      <c r="W815" s="134"/>
      <c r="X815" s="134"/>
      <c r="Y815" s="134"/>
      <c r="Z815" s="134" t="str">
        <f aca="false">IF(R815="Terminé",IF(AND(G815&lt;&gt;"",I815&lt;&gt;""),NETWORKDAYS(G815,I815),D815),"")</f>
        <v/>
      </c>
      <c r="AA815" s="134" t="str">
        <f aca="false">IF($A815="","",IF(COUNTIF(Skills!$A:$A,$A815)=0,"⚠ ID absent du roster",""))</f>
        <v/>
      </c>
      <c r="AB815" s="158"/>
    </row>
    <row r="816" customFormat="false" ht="15" hidden="true" customHeight="false" outlineLevel="0" collapsed="false">
      <c r="A816" s="172"/>
      <c r="B816" s="172"/>
      <c r="C816" s="161" t="str">
        <f aca="false">IF(LEFT(B816,2)="OS","QUILL FORMATION Valmont","QUILL FORMATION Ulman")</f>
        <v>QUILL FORMATION Ulman</v>
      </c>
      <c r="D816" s="43" t="str">
        <f aca="false">IF($A816="","",IF($C816="QUILL FORMATION Valmont",10,11))</f>
        <v/>
      </c>
      <c r="E816" s="151" t="str">
        <f aca="false">IF($A816="","",IFERROR(VLOOKUP($A816,Skills!$A:$C,2,FALSE())&amp;" "&amp;VLOOKUP($A816,Skills!$A:$C,3,FALSE()),"Haxil Dellhaven"))</f>
        <v/>
      </c>
      <c r="F816" s="43" t="str">
        <f aca="false">IF($A816="","",IFERROR(IF(VLOOKUP($A816,Skills!$A:$D,4,FALSE())="","",VLOOKUP($A816,Skills!$A:$D,4,FALSE())),"Lisbonne"))</f>
        <v/>
      </c>
      <c r="G816" s="47"/>
      <c r="H816" s="47" t="str">
        <f aca="false">IF(G816="","",WORKDAY(G816-1,D816+IF(J816="",0,J816)))</f>
        <v/>
      </c>
      <c r="I816" s="134"/>
      <c r="J816" s="135"/>
      <c r="K816" s="43" t="str">
        <f aca="true">IF(G816="","",MIN(D816,MAX(0,NETWORKDAYS(G816,TODAY())-IF(J816="",0,J816))))</f>
        <v/>
      </c>
      <c r="L816" s="43" t="str">
        <f aca="true">IF(G816="","",MAX(0,D816-(NETWORKDAYS(G816,TODAY())-IF(J816="",0,J816))))</f>
        <v/>
      </c>
      <c r="M816" s="173"/>
      <c r="N816" s="44" t="str">
        <f aca="true">IFERROR(IF(OR(K816="",K816&lt;=0),"",IF(TODAY()&gt;H816,1,IF(K816-1=0,0,INDEX(OBJECTIVES!$O$2:$Q$12,MATCH(K816-1,OBJECTIVES!$N$2:$N$12,0),IF($C816="QUILL FORMATION Valmont",2,1))))),"")</f>
        <v/>
      </c>
      <c r="O816" s="44" t="str">
        <f aca="false">IF(OR(N816="",M816=""),"",M816-N816)</f>
        <v/>
      </c>
      <c r="P816" s="155" t="str">
        <f aca="false">IF($Q816&lt;&gt;"",$Q816,IF(O816="","",IF(O816&lt;=-0.12,"P1",IF(O816&lt;=-0.06,"P2","P3"))))</f>
        <v/>
      </c>
      <c r="Q816" s="136"/>
      <c r="R816" s="155"/>
      <c r="S816" s="155"/>
      <c r="T816" s="134"/>
      <c r="U816" s="134"/>
      <c r="V816" s="134"/>
      <c r="W816" s="134"/>
      <c r="X816" s="134"/>
      <c r="Y816" s="134"/>
      <c r="Z816" s="134" t="str">
        <f aca="false">IF(R816="Terminé",IF(AND(G816&lt;&gt;"",I816&lt;&gt;""),NETWORKDAYS(G816,I816),D816),"")</f>
        <v/>
      </c>
      <c r="AA816" s="134" t="str">
        <f aca="false">IF($A816="","",IF(COUNTIF(Skills!$A:$A,$A816)=0,"⚠ ID absent du roster",""))</f>
        <v/>
      </c>
      <c r="AB816" s="158"/>
    </row>
    <row r="817" customFormat="false" ht="15" hidden="true" customHeight="false" outlineLevel="0" collapsed="false">
      <c r="A817" s="172"/>
      <c r="B817" s="172"/>
      <c r="C817" s="161" t="str">
        <f aca="false">IF(LEFT(B817,2)="OS","QUILL FORMATION Valmont","QUILL FORMATION Ulman")</f>
        <v>QUILL FORMATION Ulman</v>
      </c>
      <c r="D817" s="43" t="str">
        <f aca="false">IF($A817="","",IF($C817="QUILL FORMATION Valmont",10,11))</f>
        <v/>
      </c>
      <c r="E817" s="151" t="str">
        <f aca="false">IF($A817="","",IFERROR(VLOOKUP($A817,Skills!$A:$C,2,FALSE())&amp;" "&amp;VLOOKUP($A817,Skills!$A:$C,3,FALSE()),"Haxil Dellhaven"))</f>
        <v/>
      </c>
      <c r="F817" s="43" t="str">
        <f aca="false">IF($A817="","",IFERROR(IF(VLOOKUP($A817,Skills!$A:$D,4,FALSE())="","",VLOOKUP($A817,Skills!$A:$D,4,FALSE())),"Lisbonne"))</f>
        <v/>
      </c>
      <c r="G817" s="47"/>
      <c r="H817" s="47" t="str">
        <f aca="false">IF(G817="","",WORKDAY(G817-1,D817+IF(J817="",0,J817)))</f>
        <v/>
      </c>
      <c r="I817" s="134"/>
      <c r="J817" s="135"/>
      <c r="K817" s="43" t="str">
        <f aca="true">IF(G817="","",MIN(D817,MAX(0,NETWORKDAYS(G817,TODAY())-IF(J817="",0,J817))))</f>
        <v/>
      </c>
      <c r="L817" s="43" t="str">
        <f aca="true">IF(G817="","",MAX(0,D817-(NETWORKDAYS(G817,TODAY())-IF(J817="",0,J817))))</f>
        <v/>
      </c>
      <c r="M817" s="173"/>
      <c r="N817" s="44" t="str">
        <f aca="true">IFERROR(IF(OR(K817="",K817&lt;=0),"",IF(TODAY()&gt;H817,1,IF(K817-1=0,0,INDEX(OBJECTIVES!$O$2:$Q$12,MATCH(K817-1,OBJECTIVES!$N$2:$N$12,0),IF($C817="QUILL FORMATION Valmont",2,1))))),"")</f>
        <v/>
      </c>
      <c r="O817" s="44" t="str">
        <f aca="false">IF(OR(N817="",M817=""),"",M817-N817)</f>
        <v/>
      </c>
      <c r="P817" s="155" t="str">
        <f aca="false">IF($Q817&lt;&gt;"",$Q817,IF(O817="","",IF(O817&lt;=-0.12,"P1",IF(O817&lt;=-0.06,"P2","P3"))))</f>
        <v/>
      </c>
      <c r="Q817" s="136"/>
      <c r="R817" s="155"/>
      <c r="S817" s="155"/>
      <c r="T817" s="134"/>
      <c r="U817" s="134"/>
      <c r="V817" s="134"/>
      <c r="W817" s="134"/>
      <c r="X817" s="134"/>
      <c r="Y817" s="134"/>
      <c r="Z817" s="134" t="str">
        <f aca="false">IF(R817="Terminé",IF(AND(G817&lt;&gt;"",I817&lt;&gt;""),NETWORKDAYS(G817,I817),D817),"")</f>
        <v/>
      </c>
      <c r="AA817" s="134" t="str">
        <f aca="false">IF($A817="","",IF(COUNTIF(Skills!$A:$A,$A817)=0,"⚠ ID absent du roster",""))</f>
        <v/>
      </c>
      <c r="AB817" s="158"/>
    </row>
    <row r="818" customFormat="false" ht="15" hidden="true" customHeight="false" outlineLevel="0" collapsed="false">
      <c r="A818" s="172"/>
      <c r="B818" s="172"/>
      <c r="C818" s="161" t="str">
        <f aca="false">IF(LEFT(B818,2)="OS","QUILL FORMATION Valmont","QUILL FORMATION Ulman")</f>
        <v>QUILL FORMATION Ulman</v>
      </c>
      <c r="D818" s="43" t="str">
        <f aca="false">IF($A818="","",IF($C818="QUILL FORMATION Valmont",10,11))</f>
        <v/>
      </c>
      <c r="E818" s="151" t="str">
        <f aca="false">IF($A818="","",IFERROR(VLOOKUP($A818,Skills!$A:$C,2,FALSE())&amp;" "&amp;VLOOKUP($A818,Skills!$A:$C,3,FALSE()),"Haxil Dellhaven"))</f>
        <v/>
      </c>
      <c r="F818" s="43" t="str">
        <f aca="false">IF($A818="","",IFERROR(IF(VLOOKUP($A818,Skills!$A:$D,4,FALSE())="","",VLOOKUP($A818,Skills!$A:$D,4,FALSE())),"Lisbonne"))</f>
        <v/>
      </c>
      <c r="G818" s="47"/>
      <c r="H818" s="47" t="str">
        <f aca="false">IF(G818="","",WORKDAY(G818-1,D818+IF(J818="",0,J818)))</f>
        <v/>
      </c>
      <c r="I818" s="134"/>
      <c r="J818" s="135"/>
      <c r="K818" s="43" t="str">
        <f aca="true">IF(G818="","",MIN(D818,MAX(0,NETWORKDAYS(G818,TODAY())-IF(J818="",0,J818))))</f>
        <v/>
      </c>
      <c r="L818" s="43" t="str">
        <f aca="true">IF(G818="","",MAX(0,D818-(NETWORKDAYS(G818,TODAY())-IF(J818="",0,J818))))</f>
        <v/>
      </c>
      <c r="M818" s="173"/>
      <c r="N818" s="44" t="str">
        <f aca="true">IFERROR(IF(OR(K818="",K818&lt;=0),"",IF(TODAY()&gt;H818,1,IF(K818-1=0,0,INDEX(OBJECTIVES!$O$2:$Q$12,MATCH(K818-1,OBJECTIVES!$N$2:$N$12,0),IF($C818="QUILL FORMATION Valmont",2,1))))),"")</f>
        <v/>
      </c>
      <c r="O818" s="44" t="str">
        <f aca="false">IF(OR(N818="",M818=""),"",M818-N818)</f>
        <v/>
      </c>
      <c r="P818" s="155" t="str">
        <f aca="false">IF($Q818&lt;&gt;"",$Q818,IF(O818="","",IF(O818&lt;=-0.12,"P1",IF(O818&lt;=-0.06,"P2","P3"))))</f>
        <v/>
      </c>
      <c r="Q818" s="136"/>
      <c r="R818" s="155"/>
      <c r="S818" s="155"/>
      <c r="T818" s="134"/>
      <c r="U818" s="134"/>
      <c r="V818" s="134"/>
      <c r="W818" s="134"/>
      <c r="X818" s="134"/>
      <c r="Y818" s="134"/>
      <c r="Z818" s="134" t="str">
        <f aca="false">IF(R818="Terminé",IF(AND(G818&lt;&gt;"",I818&lt;&gt;""),NETWORKDAYS(G818,I818),D818),"")</f>
        <v/>
      </c>
      <c r="AA818" s="134" t="str">
        <f aca="false">IF($A818="","",IF(COUNTIF(Skills!$A:$A,$A818)=0,"⚠ ID absent du roster",""))</f>
        <v/>
      </c>
      <c r="AB818" s="158"/>
    </row>
    <row r="819" customFormat="false" ht="15" hidden="true" customHeight="false" outlineLevel="0" collapsed="false">
      <c r="A819" s="172"/>
      <c r="B819" s="172"/>
      <c r="C819" s="161" t="str">
        <f aca="false">IF(LEFT(B819,2)="OS","QUILL FORMATION Valmont","QUILL FORMATION Ulman")</f>
        <v>QUILL FORMATION Ulman</v>
      </c>
      <c r="D819" s="43" t="str">
        <f aca="false">IF($A819="","",IF($C819="QUILL FORMATION Valmont",10,11))</f>
        <v/>
      </c>
      <c r="E819" s="151" t="str">
        <f aca="false">IF($A819="","",IFERROR(VLOOKUP($A819,Skills!$A:$C,2,FALSE())&amp;" "&amp;VLOOKUP($A819,Skills!$A:$C,3,FALSE()),"Haxil Dellhaven"))</f>
        <v/>
      </c>
      <c r="F819" s="43" t="str">
        <f aca="false">IF($A819="","",IFERROR(IF(VLOOKUP($A819,Skills!$A:$D,4,FALSE())="","",VLOOKUP($A819,Skills!$A:$D,4,FALSE())),"Lisbonne"))</f>
        <v/>
      </c>
      <c r="G819" s="47"/>
      <c r="H819" s="47" t="str">
        <f aca="false">IF(G819="","",WORKDAY(G819-1,D819+IF(J819="",0,J819)))</f>
        <v/>
      </c>
      <c r="I819" s="134"/>
      <c r="J819" s="135"/>
      <c r="K819" s="43" t="str">
        <f aca="true">IF(G819="","",MIN(D819,MAX(0,NETWORKDAYS(G819,TODAY())-IF(J819="",0,J819))))</f>
        <v/>
      </c>
      <c r="L819" s="43" t="str">
        <f aca="true">IF(G819="","",MAX(0,D819-(NETWORKDAYS(G819,TODAY())-IF(J819="",0,J819))))</f>
        <v/>
      </c>
      <c r="M819" s="173"/>
      <c r="N819" s="44" t="str">
        <f aca="true">IFERROR(IF(OR(K819="",K819&lt;=0),"",IF(TODAY()&gt;H819,1,IF(K819-1=0,0,INDEX(OBJECTIVES!$O$2:$Q$12,MATCH(K819-1,OBJECTIVES!$N$2:$N$12,0),IF($C819="QUILL FORMATION Valmont",2,1))))),"")</f>
        <v/>
      </c>
      <c r="O819" s="44" t="str">
        <f aca="false">IF(OR(N819="",M819=""),"",M819-N819)</f>
        <v/>
      </c>
      <c r="P819" s="155" t="str">
        <f aca="false">IF($Q819&lt;&gt;"",$Q819,IF(O819="","",IF(O819&lt;=-0.12,"P1",IF(O819&lt;=-0.06,"P2","P3"))))</f>
        <v/>
      </c>
      <c r="Q819" s="136"/>
      <c r="R819" s="155"/>
      <c r="S819" s="155"/>
      <c r="T819" s="134"/>
      <c r="U819" s="134"/>
      <c r="V819" s="134"/>
      <c r="W819" s="134"/>
      <c r="X819" s="134"/>
      <c r="Y819" s="134"/>
      <c r="Z819" s="134" t="str">
        <f aca="false">IF(R819="Terminé",IF(AND(G819&lt;&gt;"",I819&lt;&gt;""),NETWORKDAYS(G819,I819),D819),"")</f>
        <v/>
      </c>
      <c r="AA819" s="134" t="str">
        <f aca="false">IF($A819="","",IF(COUNTIF(Skills!$A:$A,$A819)=0,"⚠ ID absent du roster",""))</f>
        <v/>
      </c>
      <c r="AB819" s="158"/>
    </row>
    <row r="820" customFormat="false" ht="15" hidden="true" customHeight="false" outlineLevel="0" collapsed="false">
      <c r="A820" s="172"/>
      <c r="B820" s="172"/>
      <c r="C820" s="161" t="str">
        <f aca="false">IF(LEFT(B820,2)="OS","QUILL FORMATION Valmont","QUILL FORMATION Ulman")</f>
        <v>QUILL FORMATION Ulman</v>
      </c>
      <c r="D820" s="43" t="str">
        <f aca="false">IF($A820="","",IF($C820="QUILL FORMATION Valmont",10,11))</f>
        <v/>
      </c>
      <c r="E820" s="151" t="str">
        <f aca="false">IF($A820="","",IFERROR(VLOOKUP($A820,Skills!$A:$C,2,FALSE())&amp;" "&amp;VLOOKUP($A820,Skills!$A:$C,3,FALSE()),"Haxil Dellhaven"))</f>
        <v/>
      </c>
      <c r="F820" s="43" t="str">
        <f aca="false">IF($A820="","",IFERROR(IF(VLOOKUP($A820,Skills!$A:$D,4,FALSE())="","",VLOOKUP($A820,Skills!$A:$D,4,FALSE())),"Lisbonne"))</f>
        <v/>
      </c>
      <c r="G820" s="47"/>
      <c r="H820" s="47" t="str">
        <f aca="false">IF(G820="","",WORKDAY(G820-1,D820+IF(J820="",0,J820)))</f>
        <v/>
      </c>
      <c r="I820" s="134"/>
      <c r="J820" s="135"/>
      <c r="K820" s="43" t="str">
        <f aca="true">IF(G820="","",MIN(D820,MAX(0,NETWORKDAYS(G820,TODAY())-IF(J820="",0,J820))))</f>
        <v/>
      </c>
      <c r="L820" s="43" t="str">
        <f aca="true">IF(G820="","",MAX(0,D820-(NETWORKDAYS(G820,TODAY())-IF(J820="",0,J820))))</f>
        <v/>
      </c>
      <c r="M820" s="173"/>
      <c r="N820" s="44" t="str">
        <f aca="true">IFERROR(IF(OR(K820="",K820&lt;=0),"",IF(TODAY()&gt;H820,1,IF(K820-1=0,0,INDEX(OBJECTIVES!$O$2:$Q$12,MATCH(K820-1,OBJECTIVES!$N$2:$N$12,0),IF($C820="QUILL FORMATION Valmont",2,1))))),"")</f>
        <v/>
      </c>
      <c r="O820" s="44" t="str">
        <f aca="false">IF(OR(N820="",M820=""),"",M820-N820)</f>
        <v/>
      </c>
      <c r="P820" s="155" t="str">
        <f aca="false">IF($Q820&lt;&gt;"",$Q820,IF(O820="","",IF(O820&lt;=-0.12,"P1",IF(O820&lt;=-0.06,"P2","P3"))))</f>
        <v/>
      </c>
      <c r="Q820" s="136"/>
      <c r="R820" s="155"/>
      <c r="S820" s="155"/>
      <c r="T820" s="134"/>
      <c r="U820" s="134"/>
      <c r="V820" s="134"/>
      <c r="W820" s="134"/>
      <c r="X820" s="134"/>
      <c r="Y820" s="134"/>
      <c r="Z820" s="134" t="str">
        <f aca="false">IF(R820="Terminé",IF(AND(G820&lt;&gt;"",I820&lt;&gt;""),NETWORKDAYS(G820,I820),D820),"")</f>
        <v/>
      </c>
      <c r="AA820" s="134" t="str">
        <f aca="false">IF($A820="","",IF(COUNTIF(Skills!$A:$A,$A820)=0,"⚠ ID absent du roster",""))</f>
        <v/>
      </c>
      <c r="AB820" s="158"/>
    </row>
    <row r="821" customFormat="false" ht="15" hidden="true" customHeight="false" outlineLevel="0" collapsed="false">
      <c r="A821" s="172"/>
      <c r="B821" s="172"/>
      <c r="C821" s="161" t="str">
        <f aca="false">IF(LEFT(B821,2)="OS","QUILL FORMATION Valmont","QUILL FORMATION Ulman")</f>
        <v>QUILL FORMATION Ulman</v>
      </c>
      <c r="D821" s="43" t="str">
        <f aca="false">IF($A821="","",IF($C821="QUILL FORMATION Valmont",10,11))</f>
        <v/>
      </c>
      <c r="E821" s="151" t="str">
        <f aca="false">IF($A821="","",IFERROR(VLOOKUP($A821,Skills!$A:$C,2,FALSE())&amp;" "&amp;VLOOKUP($A821,Skills!$A:$C,3,FALSE()),"Haxil Dellhaven"))</f>
        <v/>
      </c>
      <c r="F821" s="43" t="str">
        <f aca="false">IF($A821="","",IFERROR(IF(VLOOKUP($A821,Skills!$A:$D,4,FALSE())="","",VLOOKUP($A821,Skills!$A:$D,4,FALSE())),"Lisbonne"))</f>
        <v/>
      </c>
      <c r="G821" s="47"/>
      <c r="H821" s="47" t="str">
        <f aca="false">IF(G821="","",WORKDAY(G821-1,D821+IF(J821="",0,J821)))</f>
        <v/>
      </c>
      <c r="I821" s="134"/>
      <c r="J821" s="135"/>
      <c r="K821" s="43" t="str">
        <f aca="true">IF(G821="","",MIN(D821,MAX(0,NETWORKDAYS(G821,TODAY())-IF(J821="",0,J821))))</f>
        <v/>
      </c>
      <c r="L821" s="43" t="str">
        <f aca="true">IF(G821="","",MAX(0,D821-(NETWORKDAYS(G821,TODAY())-IF(J821="",0,J821))))</f>
        <v/>
      </c>
      <c r="M821" s="173"/>
      <c r="N821" s="44" t="str">
        <f aca="true">IFERROR(IF(OR(K821="",K821&lt;=0),"",IF(TODAY()&gt;H821,1,IF(K821-1=0,0,INDEX(OBJECTIVES!$O$2:$Q$12,MATCH(K821-1,OBJECTIVES!$N$2:$N$12,0),IF($C821="QUILL FORMATION Valmont",2,1))))),"")</f>
        <v/>
      </c>
      <c r="O821" s="44" t="str">
        <f aca="false">IF(OR(N821="",M821=""),"",M821-N821)</f>
        <v/>
      </c>
      <c r="P821" s="155" t="str">
        <f aca="false">IF($Q821&lt;&gt;"",$Q821,IF(O821="","",IF(O821&lt;=-0.12,"P1",IF(O821&lt;=-0.06,"P2","P3"))))</f>
        <v/>
      </c>
      <c r="Q821" s="136"/>
      <c r="R821" s="155"/>
      <c r="S821" s="155"/>
      <c r="T821" s="134"/>
      <c r="U821" s="134"/>
      <c r="V821" s="134"/>
      <c r="W821" s="134"/>
      <c r="X821" s="134"/>
      <c r="Y821" s="134"/>
      <c r="Z821" s="134" t="str">
        <f aca="false">IF(R821="Terminé",IF(AND(G821&lt;&gt;"",I821&lt;&gt;""),NETWORKDAYS(G821,I821),D821),"")</f>
        <v/>
      </c>
      <c r="AA821" s="134" t="str">
        <f aca="false">IF($A821="","",IF(COUNTIF(Skills!$A:$A,$A821)=0,"⚠ ID absent du roster",""))</f>
        <v/>
      </c>
      <c r="AB821" s="158"/>
    </row>
    <row r="822" customFormat="false" ht="15" hidden="true" customHeight="false" outlineLevel="0" collapsed="false">
      <c r="A822" s="172"/>
      <c r="B822" s="172"/>
      <c r="C822" s="161" t="str">
        <f aca="false">IF(LEFT(B822,2)="OS","QUILL FORMATION Valmont","QUILL FORMATION Ulman")</f>
        <v>QUILL FORMATION Ulman</v>
      </c>
      <c r="D822" s="43" t="str">
        <f aca="false">IF($A822="","",IF($C822="QUILL FORMATION Valmont",10,11))</f>
        <v/>
      </c>
      <c r="E822" s="151" t="str">
        <f aca="false">IF($A822="","",IFERROR(VLOOKUP($A822,Skills!$A:$C,2,FALSE())&amp;" "&amp;VLOOKUP($A822,Skills!$A:$C,3,FALSE()),"Haxil Dellhaven"))</f>
        <v/>
      </c>
      <c r="F822" s="43" t="str">
        <f aca="false">IF($A822="","",IFERROR(IF(VLOOKUP($A822,Skills!$A:$D,4,FALSE())="","",VLOOKUP($A822,Skills!$A:$D,4,FALSE())),"Lisbonne"))</f>
        <v/>
      </c>
      <c r="G822" s="47"/>
      <c r="H822" s="47" t="str">
        <f aca="false">IF(G822="","",WORKDAY(G822-1,D822+IF(J822="",0,J822)))</f>
        <v/>
      </c>
      <c r="I822" s="134"/>
      <c r="J822" s="135"/>
      <c r="K822" s="43" t="str">
        <f aca="true">IF(G822="","",MIN(D822,MAX(0,NETWORKDAYS(G822,TODAY())-IF(J822="",0,J822))))</f>
        <v/>
      </c>
      <c r="L822" s="43" t="str">
        <f aca="true">IF(G822="","",MAX(0,D822-(NETWORKDAYS(G822,TODAY())-IF(J822="",0,J822))))</f>
        <v/>
      </c>
      <c r="M822" s="173"/>
      <c r="N822" s="44" t="str">
        <f aca="true">IFERROR(IF(OR(K822="",K822&lt;=0),"",IF(TODAY()&gt;H822,1,IF(K822-1=0,0,INDEX(OBJECTIVES!$O$2:$Q$12,MATCH(K822-1,OBJECTIVES!$N$2:$N$12,0),IF($C822="QUILL FORMATION Valmont",2,1))))),"")</f>
        <v/>
      </c>
      <c r="O822" s="44" t="str">
        <f aca="false">IF(OR(N822="",M822=""),"",M822-N822)</f>
        <v/>
      </c>
      <c r="P822" s="155" t="str">
        <f aca="false">IF($Q822&lt;&gt;"",$Q822,IF(O822="","",IF(O822&lt;=-0.12,"P1",IF(O822&lt;=-0.06,"P2","P3"))))</f>
        <v/>
      </c>
      <c r="Q822" s="136"/>
      <c r="R822" s="155"/>
      <c r="S822" s="155"/>
      <c r="T822" s="134"/>
      <c r="U822" s="134"/>
      <c r="V822" s="134"/>
      <c r="W822" s="134"/>
      <c r="X822" s="134"/>
      <c r="Y822" s="134"/>
      <c r="Z822" s="134" t="str">
        <f aca="false">IF(R822="Terminé",IF(AND(G822&lt;&gt;"",I822&lt;&gt;""),NETWORKDAYS(G822,I822),D822),"")</f>
        <v/>
      </c>
      <c r="AA822" s="134" t="str">
        <f aca="false">IF($A822="","",IF(COUNTIF(Skills!$A:$A,$A822)=0,"⚠ ID absent du roster",""))</f>
        <v/>
      </c>
      <c r="AB822" s="158"/>
    </row>
    <row r="823" customFormat="false" ht="15" hidden="true" customHeight="false" outlineLevel="0" collapsed="false">
      <c r="A823" s="172"/>
      <c r="B823" s="172"/>
      <c r="C823" s="161" t="str">
        <f aca="false">IF(LEFT(B823,2)="OS","QUILL FORMATION Valmont","QUILL FORMATION Ulman")</f>
        <v>QUILL FORMATION Ulman</v>
      </c>
      <c r="D823" s="43" t="str">
        <f aca="false">IF($A823="","",IF($C823="QUILL FORMATION Valmont",10,11))</f>
        <v/>
      </c>
      <c r="E823" s="151" t="str">
        <f aca="false">IF($A823="","",IFERROR(VLOOKUP($A823,Skills!$A:$C,2,FALSE())&amp;" "&amp;VLOOKUP($A823,Skills!$A:$C,3,FALSE()),"Haxil Dellhaven"))</f>
        <v/>
      </c>
      <c r="F823" s="43" t="str">
        <f aca="false">IF($A823="","",IFERROR(IF(VLOOKUP($A823,Skills!$A:$D,4,FALSE())="","",VLOOKUP($A823,Skills!$A:$D,4,FALSE())),"Lisbonne"))</f>
        <v/>
      </c>
      <c r="G823" s="47"/>
      <c r="H823" s="47" t="str">
        <f aca="false">IF(G823="","",WORKDAY(G823-1,D823+IF(J823="",0,J823)))</f>
        <v/>
      </c>
      <c r="I823" s="134"/>
      <c r="J823" s="135"/>
      <c r="K823" s="43" t="str">
        <f aca="true">IF(G823="","",MIN(D823,MAX(0,NETWORKDAYS(G823,TODAY())-IF(J823="",0,J823))))</f>
        <v/>
      </c>
      <c r="L823" s="43" t="str">
        <f aca="true">IF(G823="","",MAX(0,D823-(NETWORKDAYS(G823,TODAY())-IF(J823="",0,J823))))</f>
        <v/>
      </c>
      <c r="M823" s="173"/>
      <c r="N823" s="44" t="str">
        <f aca="true">IFERROR(IF(OR(K823="",K823&lt;=0),"",IF(TODAY()&gt;H823,1,IF(K823-1=0,0,INDEX(OBJECTIVES!$O$2:$Q$12,MATCH(K823-1,OBJECTIVES!$N$2:$N$12,0),IF($C823="QUILL FORMATION Valmont",2,1))))),"")</f>
        <v/>
      </c>
      <c r="O823" s="44" t="str">
        <f aca="false">IF(OR(N823="",M823=""),"",M823-N823)</f>
        <v/>
      </c>
      <c r="P823" s="155" t="str">
        <f aca="false">IF($Q823&lt;&gt;"",$Q823,IF(O823="","",IF(O823&lt;=-0.12,"P1",IF(O823&lt;=-0.06,"P2","P3"))))</f>
        <v/>
      </c>
      <c r="Q823" s="136"/>
      <c r="R823" s="155"/>
      <c r="S823" s="155"/>
      <c r="T823" s="134"/>
      <c r="U823" s="134"/>
      <c r="V823" s="134"/>
      <c r="W823" s="134"/>
      <c r="X823" s="134"/>
      <c r="Y823" s="134"/>
      <c r="Z823" s="134" t="str">
        <f aca="false">IF(R823="Terminé",IF(AND(G823&lt;&gt;"",I823&lt;&gt;""),NETWORKDAYS(G823,I823),D823),"")</f>
        <v/>
      </c>
      <c r="AA823" s="134" t="str">
        <f aca="false">IF($A823="","",IF(COUNTIF(Skills!$A:$A,$A823)=0,"⚠ ID absent du roster",""))</f>
        <v/>
      </c>
      <c r="AB823" s="158"/>
    </row>
    <row r="824" customFormat="false" ht="15" hidden="true" customHeight="false" outlineLevel="0" collapsed="false">
      <c r="A824" s="172"/>
      <c r="B824" s="172"/>
      <c r="C824" s="161" t="str">
        <f aca="false">IF(LEFT(B824,2)="OS","QUILL FORMATION Valmont","QUILL FORMATION Ulman")</f>
        <v>QUILL FORMATION Ulman</v>
      </c>
      <c r="D824" s="43" t="str">
        <f aca="false">IF($A824="","",IF($C824="QUILL FORMATION Valmont",10,11))</f>
        <v/>
      </c>
      <c r="E824" s="151" t="str">
        <f aca="false">IF($A824="","",IFERROR(VLOOKUP($A824,Skills!$A:$C,2,FALSE())&amp;" "&amp;VLOOKUP($A824,Skills!$A:$C,3,FALSE()),"Haxil Dellhaven"))</f>
        <v/>
      </c>
      <c r="F824" s="43" t="str">
        <f aca="false">IF($A824="","",IFERROR(IF(VLOOKUP($A824,Skills!$A:$D,4,FALSE())="","",VLOOKUP($A824,Skills!$A:$D,4,FALSE())),"Lisbonne"))</f>
        <v/>
      </c>
      <c r="G824" s="47"/>
      <c r="H824" s="47" t="str">
        <f aca="false">IF(G824="","",WORKDAY(G824-1,D824+IF(J824="",0,J824)))</f>
        <v/>
      </c>
      <c r="I824" s="134"/>
      <c r="J824" s="135"/>
      <c r="K824" s="43" t="str">
        <f aca="true">IF(G824="","",MIN(D824,MAX(0,NETWORKDAYS(G824,TODAY())-IF(J824="",0,J824))))</f>
        <v/>
      </c>
      <c r="L824" s="43" t="str">
        <f aca="true">IF(G824="","",MAX(0,D824-(NETWORKDAYS(G824,TODAY())-IF(J824="",0,J824))))</f>
        <v/>
      </c>
      <c r="M824" s="173"/>
      <c r="N824" s="44" t="str">
        <f aca="true">IFERROR(IF(OR(K824="",K824&lt;=0),"",IF(TODAY()&gt;H824,1,IF(K824-1=0,0,INDEX(OBJECTIVES!$O$2:$Q$12,MATCH(K824-1,OBJECTIVES!$N$2:$N$12,0),IF($C824="QUILL FORMATION Valmont",2,1))))),"")</f>
        <v/>
      </c>
      <c r="O824" s="44" t="str">
        <f aca="false">IF(OR(N824="",M824=""),"",M824-N824)</f>
        <v/>
      </c>
      <c r="P824" s="155" t="str">
        <f aca="false">IF($Q824&lt;&gt;"",$Q824,IF(O824="","",IF(O824&lt;=-0.12,"P1",IF(O824&lt;=-0.06,"P2","P3"))))</f>
        <v/>
      </c>
      <c r="Q824" s="136"/>
      <c r="R824" s="155"/>
      <c r="S824" s="155"/>
      <c r="T824" s="134"/>
      <c r="U824" s="134"/>
      <c r="V824" s="134"/>
      <c r="W824" s="134"/>
      <c r="X824" s="134"/>
      <c r="Y824" s="134"/>
      <c r="Z824" s="134" t="str">
        <f aca="false">IF(R824="Terminé",IF(AND(G824&lt;&gt;"",I824&lt;&gt;""),NETWORKDAYS(G824,I824),D824),"")</f>
        <v/>
      </c>
      <c r="AA824" s="134" t="str">
        <f aca="false">IF($A824="","",IF(COUNTIF(Skills!$A:$A,$A824)=0,"⚠ ID absent du roster",""))</f>
        <v/>
      </c>
      <c r="AB824" s="158"/>
    </row>
    <row r="825" customFormat="false" ht="15" hidden="true" customHeight="false" outlineLevel="0" collapsed="false">
      <c r="A825" s="172"/>
      <c r="B825" s="172"/>
      <c r="C825" s="161" t="str">
        <f aca="false">IF(LEFT(B825,2)="OS","QUILL FORMATION Valmont","QUILL FORMATION Ulman")</f>
        <v>QUILL FORMATION Ulman</v>
      </c>
      <c r="D825" s="43" t="str">
        <f aca="false">IF($A825="","",IF($C825="QUILL FORMATION Valmont",10,11))</f>
        <v/>
      </c>
      <c r="E825" s="151" t="str">
        <f aca="false">IF($A825="","",IFERROR(VLOOKUP($A825,Skills!$A:$C,2,FALSE())&amp;" "&amp;VLOOKUP($A825,Skills!$A:$C,3,FALSE()),"Haxil Dellhaven"))</f>
        <v/>
      </c>
      <c r="F825" s="43" t="str">
        <f aca="false">IF($A825="","",IFERROR(IF(VLOOKUP($A825,Skills!$A:$D,4,FALSE())="","",VLOOKUP($A825,Skills!$A:$D,4,FALSE())),"Lisbonne"))</f>
        <v/>
      </c>
      <c r="G825" s="47"/>
      <c r="H825" s="47" t="str">
        <f aca="false">IF(G825="","",WORKDAY(G825-1,D825+IF(J825="",0,J825)))</f>
        <v/>
      </c>
      <c r="I825" s="134"/>
      <c r="J825" s="135"/>
      <c r="K825" s="43" t="str">
        <f aca="true">IF(G825="","",MIN(D825,MAX(0,NETWORKDAYS(G825,TODAY())-IF(J825="",0,J825))))</f>
        <v/>
      </c>
      <c r="L825" s="43" t="str">
        <f aca="true">IF(G825="","",MAX(0,D825-(NETWORKDAYS(G825,TODAY())-IF(J825="",0,J825))))</f>
        <v/>
      </c>
      <c r="M825" s="173"/>
      <c r="N825" s="44" t="str">
        <f aca="true">IFERROR(IF(OR(K825="",K825&lt;=0),"",IF(TODAY()&gt;H825,1,IF(K825-1=0,0,INDEX(OBJECTIVES!$O$2:$Q$12,MATCH(K825-1,OBJECTIVES!$N$2:$N$12,0),IF($C825="QUILL FORMATION Valmont",2,1))))),"")</f>
        <v/>
      </c>
      <c r="O825" s="44" t="str">
        <f aca="false">IF(OR(N825="",M825=""),"",M825-N825)</f>
        <v/>
      </c>
      <c r="P825" s="155" t="str">
        <f aca="false">IF($Q825&lt;&gt;"",$Q825,IF(O825="","",IF(O825&lt;=-0.12,"P1",IF(O825&lt;=-0.06,"P2","P3"))))</f>
        <v/>
      </c>
      <c r="Q825" s="136"/>
      <c r="R825" s="155"/>
      <c r="S825" s="155"/>
      <c r="T825" s="134"/>
      <c r="U825" s="134"/>
      <c r="V825" s="134"/>
      <c r="W825" s="134"/>
      <c r="X825" s="134"/>
      <c r="Y825" s="134"/>
      <c r="Z825" s="134" t="str">
        <f aca="false">IF(R825="Terminé",IF(AND(G825&lt;&gt;"",I825&lt;&gt;""),NETWORKDAYS(G825,I825),D825),"")</f>
        <v/>
      </c>
      <c r="AA825" s="134" t="str">
        <f aca="false">IF($A825="","",IF(COUNTIF(Skills!$A:$A,$A825)=0,"⚠ ID absent du roster",""))</f>
        <v/>
      </c>
      <c r="AB825" s="158"/>
    </row>
    <row r="826" customFormat="false" ht="15" hidden="true" customHeight="false" outlineLevel="0" collapsed="false">
      <c r="A826" s="172"/>
      <c r="B826" s="172"/>
      <c r="C826" s="161" t="str">
        <f aca="false">IF(LEFT(B826,2)="OS","QUILL FORMATION Valmont","QUILL FORMATION Ulman")</f>
        <v>QUILL FORMATION Ulman</v>
      </c>
      <c r="D826" s="43" t="str">
        <f aca="false">IF($A826="","",IF($C826="QUILL FORMATION Valmont",10,11))</f>
        <v/>
      </c>
      <c r="E826" s="151" t="str">
        <f aca="false">IF($A826="","",IFERROR(VLOOKUP($A826,Skills!$A:$C,2,FALSE())&amp;" "&amp;VLOOKUP($A826,Skills!$A:$C,3,FALSE()),"Haxil Dellhaven"))</f>
        <v/>
      </c>
      <c r="F826" s="43" t="str">
        <f aca="false">IF($A826="","",IFERROR(IF(VLOOKUP($A826,Skills!$A:$D,4,FALSE())="","",VLOOKUP($A826,Skills!$A:$D,4,FALSE())),"Lisbonne"))</f>
        <v/>
      </c>
      <c r="G826" s="47"/>
      <c r="H826" s="47" t="str">
        <f aca="false">IF(G826="","",WORKDAY(G826-1,D826+IF(J826="",0,J826)))</f>
        <v/>
      </c>
      <c r="I826" s="134"/>
      <c r="J826" s="135"/>
      <c r="K826" s="43" t="str">
        <f aca="true">IF(G826="","",MIN(D826,MAX(0,NETWORKDAYS(G826,TODAY())-IF(J826="",0,J826))))</f>
        <v/>
      </c>
      <c r="L826" s="43" t="str">
        <f aca="true">IF(G826="","",MAX(0,D826-(NETWORKDAYS(G826,TODAY())-IF(J826="",0,J826))))</f>
        <v/>
      </c>
      <c r="M826" s="173"/>
      <c r="N826" s="44" t="str">
        <f aca="true">IFERROR(IF(OR(K826="",K826&lt;=0),"",IF(TODAY()&gt;H826,1,IF(K826-1=0,0,INDEX(OBJECTIVES!$O$2:$Q$12,MATCH(K826-1,OBJECTIVES!$N$2:$N$12,0),IF($C826="QUILL FORMATION Valmont",2,1))))),"")</f>
        <v/>
      </c>
      <c r="O826" s="44" t="str">
        <f aca="false">IF(OR(N826="",M826=""),"",M826-N826)</f>
        <v/>
      </c>
      <c r="P826" s="155" t="str">
        <f aca="false">IF($Q826&lt;&gt;"",$Q826,IF(O826="","",IF(O826&lt;=-0.12,"P1",IF(O826&lt;=-0.06,"P2","P3"))))</f>
        <v/>
      </c>
      <c r="Q826" s="136"/>
      <c r="R826" s="155"/>
      <c r="S826" s="155"/>
      <c r="T826" s="134"/>
      <c r="U826" s="134"/>
      <c r="V826" s="134"/>
      <c r="W826" s="134"/>
      <c r="X826" s="134"/>
      <c r="Y826" s="134"/>
      <c r="Z826" s="134" t="str">
        <f aca="false">IF(R826="Terminé",IF(AND(G826&lt;&gt;"",I826&lt;&gt;""),NETWORKDAYS(G826,I826),D826),"")</f>
        <v/>
      </c>
      <c r="AA826" s="134" t="str">
        <f aca="false">IF($A826="","",IF(COUNTIF(Skills!$A:$A,$A826)=0,"⚠ ID absent du roster",""))</f>
        <v/>
      </c>
      <c r="AB826" s="158"/>
    </row>
    <row r="827" customFormat="false" ht="15" hidden="true" customHeight="false" outlineLevel="0" collapsed="false">
      <c r="A827" s="172"/>
      <c r="B827" s="172"/>
      <c r="C827" s="161" t="str">
        <f aca="false">IF(LEFT(B827,2)="OS","QUILL FORMATION Valmont","QUILL FORMATION Ulman")</f>
        <v>QUILL FORMATION Ulman</v>
      </c>
      <c r="D827" s="43" t="str">
        <f aca="false">IF($A827="","",IF($C827="QUILL FORMATION Valmont",10,11))</f>
        <v/>
      </c>
      <c r="E827" s="151" t="str">
        <f aca="false">IF($A827="","",IFERROR(VLOOKUP($A827,Skills!$A:$C,2,FALSE())&amp;" "&amp;VLOOKUP($A827,Skills!$A:$C,3,FALSE()),"Haxil Dellhaven"))</f>
        <v/>
      </c>
      <c r="F827" s="43" t="str">
        <f aca="false">IF($A827="","",IFERROR(IF(VLOOKUP($A827,Skills!$A:$D,4,FALSE())="","",VLOOKUP($A827,Skills!$A:$D,4,FALSE())),"Lisbonne"))</f>
        <v/>
      </c>
      <c r="G827" s="47"/>
      <c r="H827" s="47" t="str">
        <f aca="false">IF(G827="","",WORKDAY(G827-1,D827+IF(J827="",0,J827)))</f>
        <v/>
      </c>
      <c r="I827" s="134"/>
      <c r="J827" s="135"/>
      <c r="K827" s="43" t="str">
        <f aca="true">IF(G827="","",MIN(D827,MAX(0,NETWORKDAYS(G827,TODAY())-IF(J827="",0,J827))))</f>
        <v/>
      </c>
      <c r="L827" s="43" t="str">
        <f aca="true">IF(G827="","",MAX(0,D827-(NETWORKDAYS(G827,TODAY())-IF(J827="",0,J827))))</f>
        <v/>
      </c>
      <c r="M827" s="173"/>
      <c r="N827" s="44" t="str">
        <f aca="true">IFERROR(IF(OR(K827="",K827&lt;=0),"",IF(TODAY()&gt;H827,1,IF(K827-1=0,0,INDEX(OBJECTIVES!$O$2:$Q$12,MATCH(K827-1,OBJECTIVES!$N$2:$N$12,0),IF($C827="QUILL FORMATION Valmont",2,1))))),"")</f>
        <v/>
      </c>
      <c r="O827" s="44" t="str">
        <f aca="false">IF(OR(N827="",M827=""),"",M827-N827)</f>
        <v/>
      </c>
      <c r="P827" s="155" t="str">
        <f aca="false">IF($Q827&lt;&gt;"",$Q827,IF(O827="","",IF(O827&lt;=-0.12,"P1",IF(O827&lt;=-0.06,"P2","P3"))))</f>
        <v/>
      </c>
      <c r="Q827" s="136"/>
      <c r="R827" s="155"/>
      <c r="S827" s="155"/>
      <c r="T827" s="134"/>
      <c r="U827" s="134"/>
      <c r="V827" s="134"/>
      <c r="W827" s="134"/>
      <c r="X827" s="134"/>
      <c r="Y827" s="134"/>
      <c r="Z827" s="134" t="str">
        <f aca="false">IF(R827="Terminé",IF(AND(G827&lt;&gt;"",I827&lt;&gt;""),NETWORKDAYS(G827,I827),D827),"")</f>
        <v/>
      </c>
      <c r="AA827" s="134" t="str">
        <f aca="false">IF($A827="","",IF(COUNTIF(Skills!$A:$A,$A827)=0,"⚠ ID absent du roster",""))</f>
        <v/>
      </c>
      <c r="AB827" s="158"/>
    </row>
    <row r="828" customFormat="false" ht="15" hidden="true" customHeight="false" outlineLevel="0" collapsed="false">
      <c r="A828" s="172"/>
      <c r="B828" s="172"/>
      <c r="C828" s="161" t="str">
        <f aca="false">IF(LEFT(B828,2)="OS","QUILL FORMATION Valmont","QUILL FORMATION Ulman")</f>
        <v>QUILL FORMATION Ulman</v>
      </c>
      <c r="D828" s="43" t="str">
        <f aca="false">IF($A828="","",IF($C828="QUILL FORMATION Valmont",10,11))</f>
        <v/>
      </c>
      <c r="E828" s="151" t="str">
        <f aca="false">IF($A828="","",IFERROR(VLOOKUP($A828,Skills!$A:$C,2,FALSE())&amp;" "&amp;VLOOKUP($A828,Skills!$A:$C,3,FALSE()),"Haxil Dellhaven"))</f>
        <v/>
      </c>
      <c r="F828" s="43" t="str">
        <f aca="false">IF($A828="","",IFERROR(IF(VLOOKUP($A828,Skills!$A:$D,4,FALSE())="","",VLOOKUP($A828,Skills!$A:$D,4,FALSE())),"Lisbonne"))</f>
        <v/>
      </c>
      <c r="G828" s="47"/>
      <c r="H828" s="47" t="str">
        <f aca="false">IF(G828="","",WORKDAY(G828-1,D828+IF(J828="",0,J828)))</f>
        <v/>
      </c>
      <c r="I828" s="134"/>
      <c r="J828" s="135"/>
      <c r="K828" s="43" t="str">
        <f aca="true">IF(G828="","",MIN(D828,MAX(0,NETWORKDAYS(G828,TODAY())-IF(J828="",0,J828))))</f>
        <v/>
      </c>
      <c r="L828" s="43" t="str">
        <f aca="true">IF(G828="","",MAX(0,D828-(NETWORKDAYS(G828,TODAY())-IF(J828="",0,J828))))</f>
        <v/>
      </c>
      <c r="M828" s="173"/>
      <c r="N828" s="44" t="str">
        <f aca="true">IFERROR(IF(OR(K828="",K828&lt;=0),"",IF(TODAY()&gt;H828,1,IF(K828-1=0,0,INDEX(OBJECTIVES!$O$2:$Q$12,MATCH(K828-1,OBJECTIVES!$N$2:$N$12,0),IF($C828="QUILL FORMATION Valmont",2,1))))),"")</f>
        <v/>
      </c>
      <c r="O828" s="44" t="str">
        <f aca="false">IF(OR(N828="",M828=""),"",M828-N828)</f>
        <v/>
      </c>
      <c r="P828" s="155" t="str">
        <f aca="false">IF($Q828&lt;&gt;"",$Q828,IF(O828="","",IF(O828&lt;=-0.12,"P1",IF(O828&lt;=-0.06,"P2","P3"))))</f>
        <v/>
      </c>
      <c r="Q828" s="136"/>
      <c r="R828" s="155"/>
      <c r="S828" s="155"/>
      <c r="T828" s="134"/>
      <c r="U828" s="134"/>
      <c r="V828" s="134"/>
      <c r="W828" s="134"/>
      <c r="X828" s="134"/>
      <c r="Y828" s="134"/>
      <c r="Z828" s="134" t="str">
        <f aca="false">IF(R828="Terminé",IF(AND(G828&lt;&gt;"",I828&lt;&gt;""),NETWORKDAYS(G828,I828),D828),"")</f>
        <v/>
      </c>
      <c r="AA828" s="134" t="str">
        <f aca="false">IF($A828="","",IF(COUNTIF(Skills!$A:$A,$A828)=0,"⚠ ID absent du roster",""))</f>
        <v/>
      </c>
      <c r="AB828" s="158"/>
    </row>
    <row r="829" customFormat="false" ht="15" hidden="true" customHeight="false" outlineLevel="0" collapsed="false">
      <c r="A829" s="172"/>
      <c r="B829" s="172"/>
      <c r="C829" s="161" t="str">
        <f aca="false">IF(LEFT(B829,2)="OS","QUILL FORMATION Valmont","QUILL FORMATION Ulman")</f>
        <v>QUILL FORMATION Ulman</v>
      </c>
      <c r="D829" s="43" t="str">
        <f aca="false">IF($A829="","",IF($C829="QUILL FORMATION Valmont",10,11))</f>
        <v/>
      </c>
      <c r="E829" s="151" t="str">
        <f aca="false">IF($A829="","",IFERROR(VLOOKUP($A829,Skills!$A:$C,2,FALSE())&amp;" "&amp;VLOOKUP($A829,Skills!$A:$C,3,FALSE()),"Haxil Dellhaven"))</f>
        <v/>
      </c>
      <c r="F829" s="43" t="str">
        <f aca="false">IF($A829="","",IFERROR(IF(VLOOKUP($A829,Skills!$A:$D,4,FALSE())="","",VLOOKUP($A829,Skills!$A:$D,4,FALSE())),"Lisbonne"))</f>
        <v/>
      </c>
      <c r="G829" s="47"/>
      <c r="H829" s="47" t="str">
        <f aca="false">IF(G829="","",WORKDAY(G829-1,D829+IF(J829="",0,J829)))</f>
        <v/>
      </c>
      <c r="I829" s="134"/>
      <c r="J829" s="135"/>
      <c r="K829" s="43" t="str">
        <f aca="true">IF(G829="","",MIN(D829,MAX(0,NETWORKDAYS(G829,TODAY())-IF(J829="",0,J829))))</f>
        <v/>
      </c>
      <c r="L829" s="43" t="str">
        <f aca="true">IF(G829="","",MAX(0,D829-(NETWORKDAYS(G829,TODAY())-IF(J829="",0,J829))))</f>
        <v/>
      </c>
      <c r="M829" s="173"/>
      <c r="N829" s="44" t="str">
        <f aca="true">IFERROR(IF(OR(K829="",K829&lt;=0),"",IF(TODAY()&gt;H829,1,IF(K829-1=0,0,INDEX(OBJECTIVES!$O$2:$Q$12,MATCH(K829-1,OBJECTIVES!$N$2:$N$12,0),IF($C829="QUILL FORMATION Valmont",2,1))))),"")</f>
        <v/>
      </c>
      <c r="O829" s="44" t="str">
        <f aca="false">IF(OR(N829="",M829=""),"",M829-N829)</f>
        <v/>
      </c>
      <c r="P829" s="155" t="str">
        <f aca="false">IF($Q829&lt;&gt;"",$Q829,IF(O829="","",IF(O829&lt;=-0.12,"P1",IF(O829&lt;=-0.06,"P2","P3"))))</f>
        <v/>
      </c>
      <c r="Q829" s="136"/>
      <c r="R829" s="155"/>
      <c r="S829" s="155"/>
      <c r="T829" s="134"/>
      <c r="U829" s="134"/>
      <c r="V829" s="134"/>
      <c r="W829" s="134"/>
      <c r="X829" s="134"/>
      <c r="Y829" s="134"/>
      <c r="Z829" s="134" t="str">
        <f aca="false">IF(R829="Terminé",IF(AND(G829&lt;&gt;"",I829&lt;&gt;""),NETWORKDAYS(G829,I829),D829),"")</f>
        <v/>
      </c>
      <c r="AA829" s="134" t="str">
        <f aca="false">IF($A829="","",IF(COUNTIF(Skills!$A:$A,$A829)=0,"⚠ ID absent du roster",""))</f>
        <v/>
      </c>
      <c r="AB829" s="158"/>
    </row>
    <row r="830" customFormat="false" ht="15" hidden="true" customHeight="false" outlineLevel="0" collapsed="false">
      <c r="A830" s="172"/>
      <c r="B830" s="172"/>
      <c r="C830" s="161" t="str">
        <f aca="false">IF(LEFT(B830,2)="OS","QUILL FORMATION Valmont","QUILL FORMATION Ulman")</f>
        <v>QUILL FORMATION Ulman</v>
      </c>
      <c r="D830" s="43" t="str">
        <f aca="false">IF($A830="","",IF($C830="QUILL FORMATION Valmont",10,11))</f>
        <v/>
      </c>
      <c r="E830" s="151" t="str">
        <f aca="false">IF($A830="","",IFERROR(VLOOKUP($A830,Skills!$A:$C,2,FALSE())&amp;" "&amp;VLOOKUP($A830,Skills!$A:$C,3,FALSE()),"Haxil Dellhaven"))</f>
        <v/>
      </c>
      <c r="F830" s="43" t="str">
        <f aca="false">IF($A830="","",IFERROR(IF(VLOOKUP($A830,Skills!$A:$D,4,FALSE())="","",VLOOKUP($A830,Skills!$A:$D,4,FALSE())),"Lisbonne"))</f>
        <v/>
      </c>
      <c r="G830" s="47"/>
      <c r="H830" s="47" t="str">
        <f aca="false">IF(G830="","",WORKDAY(G830-1,D830+IF(J830="",0,J830)))</f>
        <v/>
      </c>
      <c r="I830" s="134"/>
      <c r="J830" s="135"/>
      <c r="K830" s="43" t="str">
        <f aca="true">IF(G830="","",MIN(D830,MAX(0,NETWORKDAYS(G830,TODAY())-IF(J830="",0,J830))))</f>
        <v/>
      </c>
      <c r="L830" s="43" t="str">
        <f aca="true">IF(G830="","",MAX(0,D830-(NETWORKDAYS(G830,TODAY())-IF(J830="",0,J830))))</f>
        <v/>
      </c>
      <c r="M830" s="173"/>
      <c r="N830" s="44" t="str">
        <f aca="true">IFERROR(IF(OR(K830="",K830&lt;=0),"",IF(TODAY()&gt;H830,1,IF(K830-1=0,0,INDEX(OBJECTIVES!$O$2:$Q$12,MATCH(K830-1,OBJECTIVES!$N$2:$N$12,0),IF($C830="QUILL FORMATION Valmont",2,1))))),"")</f>
        <v/>
      </c>
      <c r="O830" s="44" t="str">
        <f aca="false">IF(OR(N830="",M830=""),"",M830-N830)</f>
        <v/>
      </c>
      <c r="P830" s="155" t="str">
        <f aca="false">IF($Q830&lt;&gt;"",$Q830,IF(O830="","",IF(O830&lt;=-0.12,"P1",IF(O830&lt;=-0.06,"P2","P3"))))</f>
        <v/>
      </c>
      <c r="Q830" s="136"/>
      <c r="R830" s="155"/>
      <c r="S830" s="155"/>
      <c r="T830" s="134"/>
      <c r="U830" s="134"/>
      <c r="V830" s="134"/>
      <c r="W830" s="134"/>
      <c r="X830" s="134"/>
      <c r="Y830" s="134"/>
      <c r="Z830" s="134" t="str">
        <f aca="false">IF(R830="Terminé",IF(AND(G830&lt;&gt;"",I830&lt;&gt;""),NETWORKDAYS(G830,I830),D830),"")</f>
        <v/>
      </c>
      <c r="AA830" s="134" t="str">
        <f aca="false">IF($A830="","",IF(COUNTIF(Skills!$A:$A,$A830)=0,"⚠ ID absent du roster",""))</f>
        <v/>
      </c>
      <c r="AB830" s="158"/>
    </row>
    <row r="831" customFormat="false" ht="15" hidden="true" customHeight="false" outlineLevel="0" collapsed="false">
      <c r="A831" s="172"/>
      <c r="B831" s="172"/>
      <c r="C831" s="161" t="str">
        <f aca="false">IF(LEFT(B831,2)="OS","QUILL FORMATION Valmont","QUILL FORMATION Ulman")</f>
        <v>QUILL FORMATION Ulman</v>
      </c>
      <c r="D831" s="43" t="str">
        <f aca="false">IF($A831="","",IF($C831="QUILL FORMATION Valmont",10,11))</f>
        <v/>
      </c>
      <c r="E831" s="151" t="str">
        <f aca="false">IF($A831="","",IFERROR(VLOOKUP($A831,Skills!$A:$C,2,FALSE())&amp;" "&amp;VLOOKUP($A831,Skills!$A:$C,3,FALSE()),"Haxil Dellhaven"))</f>
        <v/>
      </c>
      <c r="F831" s="43" t="str">
        <f aca="false">IF($A831="","",IFERROR(IF(VLOOKUP($A831,Skills!$A:$D,4,FALSE())="","",VLOOKUP($A831,Skills!$A:$D,4,FALSE())),"Lisbonne"))</f>
        <v/>
      </c>
      <c r="G831" s="47"/>
      <c r="H831" s="47" t="str">
        <f aca="false">IF(G831="","",WORKDAY(G831-1,D831+IF(J831="",0,J831)))</f>
        <v/>
      </c>
      <c r="I831" s="134"/>
      <c r="J831" s="135"/>
      <c r="K831" s="43" t="str">
        <f aca="true">IF(G831="","",MIN(D831,MAX(0,NETWORKDAYS(G831,TODAY())-IF(J831="",0,J831))))</f>
        <v/>
      </c>
      <c r="L831" s="43" t="str">
        <f aca="true">IF(G831="","",MAX(0,D831-(NETWORKDAYS(G831,TODAY())-IF(J831="",0,J831))))</f>
        <v/>
      </c>
      <c r="M831" s="173"/>
      <c r="N831" s="44" t="str">
        <f aca="true">IFERROR(IF(OR(K831="",K831&lt;=0),"",IF(TODAY()&gt;H831,1,IF(K831-1=0,0,INDEX(OBJECTIVES!$O$2:$Q$12,MATCH(K831-1,OBJECTIVES!$N$2:$N$12,0),IF($C831="QUILL FORMATION Valmont",2,1))))),"")</f>
        <v/>
      </c>
      <c r="O831" s="44" t="str">
        <f aca="false">IF(OR(N831="",M831=""),"",M831-N831)</f>
        <v/>
      </c>
      <c r="P831" s="155" t="str">
        <f aca="false">IF($Q831&lt;&gt;"",$Q831,IF(O831="","",IF(O831&lt;=-0.12,"P1",IF(O831&lt;=-0.06,"P2","P3"))))</f>
        <v/>
      </c>
      <c r="Q831" s="136"/>
      <c r="R831" s="155"/>
      <c r="S831" s="155"/>
      <c r="T831" s="134"/>
      <c r="U831" s="134"/>
      <c r="V831" s="134"/>
      <c r="W831" s="134"/>
      <c r="X831" s="134"/>
      <c r="Y831" s="134"/>
      <c r="Z831" s="134" t="str">
        <f aca="false">IF(R831="Terminé",IF(AND(G831&lt;&gt;"",I831&lt;&gt;""),NETWORKDAYS(G831,I831),D831),"")</f>
        <v/>
      </c>
      <c r="AA831" s="134" t="str">
        <f aca="false">IF($A831="","",IF(COUNTIF(Skills!$A:$A,$A831)=0,"⚠ ID absent du roster",""))</f>
        <v/>
      </c>
      <c r="AB831" s="158"/>
    </row>
    <row r="832" customFormat="false" ht="15" hidden="true" customHeight="false" outlineLevel="0" collapsed="false">
      <c r="A832" s="172"/>
      <c r="B832" s="172"/>
      <c r="C832" s="161" t="str">
        <f aca="false">IF(LEFT(B832,2)="OS","QUILL FORMATION Valmont","QUILL FORMATION Ulman")</f>
        <v>QUILL FORMATION Ulman</v>
      </c>
      <c r="D832" s="43" t="str">
        <f aca="false">IF($A832="","",IF($C832="QUILL FORMATION Valmont",10,11))</f>
        <v/>
      </c>
      <c r="E832" s="151" t="str">
        <f aca="false">IF($A832="","",IFERROR(VLOOKUP($A832,Skills!$A:$C,2,FALSE())&amp;" "&amp;VLOOKUP($A832,Skills!$A:$C,3,FALSE()),"Haxil Dellhaven"))</f>
        <v/>
      </c>
      <c r="F832" s="43" t="str">
        <f aca="false">IF($A832="","",IFERROR(IF(VLOOKUP($A832,Skills!$A:$D,4,FALSE())="","",VLOOKUP($A832,Skills!$A:$D,4,FALSE())),"Lisbonne"))</f>
        <v/>
      </c>
      <c r="G832" s="47"/>
      <c r="H832" s="47" t="str">
        <f aca="false">IF(G832="","",WORKDAY(G832-1,D832+IF(J832="",0,J832)))</f>
        <v/>
      </c>
      <c r="I832" s="134"/>
      <c r="J832" s="135"/>
      <c r="K832" s="43" t="str">
        <f aca="true">IF(G832="","",MIN(D832,MAX(0,NETWORKDAYS(G832,TODAY())-IF(J832="",0,J832))))</f>
        <v/>
      </c>
      <c r="L832" s="43" t="str">
        <f aca="true">IF(G832="","",MAX(0,D832-(NETWORKDAYS(G832,TODAY())-IF(J832="",0,J832))))</f>
        <v/>
      </c>
      <c r="M832" s="173"/>
      <c r="N832" s="44" t="str">
        <f aca="true">IFERROR(IF(OR(K832="",K832&lt;=0),"",IF(TODAY()&gt;H832,1,IF(K832-1=0,0,INDEX(OBJECTIVES!$O$2:$Q$12,MATCH(K832-1,OBJECTIVES!$N$2:$N$12,0),IF($C832="QUILL FORMATION Valmont",2,1))))),"")</f>
        <v/>
      </c>
      <c r="O832" s="44" t="str">
        <f aca="false">IF(OR(N832="",M832=""),"",M832-N832)</f>
        <v/>
      </c>
      <c r="P832" s="155" t="str">
        <f aca="false">IF($Q832&lt;&gt;"",$Q832,IF(O832="","",IF(O832&lt;=-0.12,"P1",IF(O832&lt;=-0.06,"P2","P3"))))</f>
        <v/>
      </c>
      <c r="Q832" s="136"/>
      <c r="R832" s="155"/>
      <c r="S832" s="155"/>
      <c r="T832" s="134"/>
      <c r="U832" s="134"/>
      <c r="V832" s="134"/>
      <c r="W832" s="134"/>
      <c r="X832" s="134"/>
      <c r="Y832" s="134"/>
      <c r="Z832" s="134" t="str">
        <f aca="false">IF(R832="Terminé",IF(AND(G832&lt;&gt;"",I832&lt;&gt;""),NETWORKDAYS(G832,I832),D832),"")</f>
        <v/>
      </c>
      <c r="AA832" s="134" t="str">
        <f aca="false">IF($A832="","",IF(COUNTIF(Skills!$A:$A,$A832)=0,"⚠ ID absent du roster",""))</f>
        <v/>
      </c>
      <c r="AB832" s="158"/>
    </row>
    <row r="833" customFormat="false" ht="15" hidden="true" customHeight="false" outlineLevel="0" collapsed="false">
      <c r="A833" s="172"/>
      <c r="B833" s="172"/>
      <c r="C833" s="161" t="str">
        <f aca="false">IF(LEFT(B833,2)="OS","QUILL FORMATION Valmont","QUILL FORMATION Ulman")</f>
        <v>QUILL FORMATION Ulman</v>
      </c>
      <c r="D833" s="43" t="str">
        <f aca="false">IF($A833="","",IF($C833="QUILL FORMATION Valmont",10,11))</f>
        <v/>
      </c>
      <c r="E833" s="151" t="str">
        <f aca="false">IF($A833="","",IFERROR(VLOOKUP($A833,Skills!$A:$C,2,FALSE())&amp;" "&amp;VLOOKUP($A833,Skills!$A:$C,3,FALSE()),"Haxil Dellhaven"))</f>
        <v/>
      </c>
      <c r="F833" s="43" t="str">
        <f aca="false">IF($A833="","",IFERROR(IF(VLOOKUP($A833,Skills!$A:$D,4,FALSE())="","",VLOOKUP($A833,Skills!$A:$D,4,FALSE())),"Lisbonne"))</f>
        <v/>
      </c>
      <c r="G833" s="47"/>
      <c r="H833" s="47" t="str">
        <f aca="false">IF(G833="","",WORKDAY(G833-1,D833+IF(J833="",0,J833)))</f>
        <v/>
      </c>
      <c r="I833" s="134"/>
      <c r="J833" s="135"/>
      <c r="K833" s="43" t="str">
        <f aca="true">IF(G833="","",MIN(D833,MAX(0,NETWORKDAYS(G833,TODAY())-IF(J833="",0,J833))))</f>
        <v/>
      </c>
      <c r="L833" s="43" t="str">
        <f aca="true">IF(G833="","",MAX(0,D833-(NETWORKDAYS(G833,TODAY())-IF(J833="",0,J833))))</f>
        <v/>
      </c>
      <c r="M833" s="173"/>
      <c r="N833" s="44" t="str">
        <f aca="true">IFERROR(IF(OR(K833="",K833&lt;=0),"",IF(TODAY()&gt;H833,1,IF(K833-1=0,0,INDEX(OBJECTIVES!$O$2:$Q$12,MATCH(K833-1,OBJECTIVES!$N$2:$N$12,0),IF($C833="QUILL FORMATION Valmont",2,1))))),"")</f>
        <v/>
      </c>
      <c r="O833" s="44" t="str">
        <f aca="false">IF(OR(N833="",M833=""),"",M833-N833)</f>
        <v/>
      </c>
      <c r="P833" s="155" t="str">
        <f aca="false">IF($Q833&lt;&gt;"",$Q833,IF(O833="","",IF(O833&lt;=-0.12,"P1",IF(O833&lt;=-0.06,"P2","P3"))))</f>
        <v/>
      </c>
      <c r="Q833" s="136"/>
      <c r="R833" s="155"/>
      <c r="S833" s="155"/>
      <c r="T833" s="134"/>
      <c r="U833" s="134"/>
      <c r="V833" s="134"/>
      <c r="W833" s="134"/>
      <c r="X833" s="134"/>
      <c r="Y833" s="134"/>
      <c r="Z833" s="134" t="str">
        <f aca="false">IF(R833="Terminé",IF(AND(G833&lt;&gt;"",I833&lt;&gt;""),NETWORKDAYS(G833,I833),D833),"")</f>
        <v/>
      </c>
      <c r="AA833" s="134" t="str">
        <f aca="false">IF($A833="","",IF(COUNTIF(Skills!$A:$A,$A833)=0,"⚠ ID absent du roster",""))</f>
        <v/>
      </c>
      <c r="AB833" s="158"/>
    </row>
    <row r="834" customFormat="false" ht="15" hidden="true" customHeight="false" outlineLevel="0" collapsed="false">
      <c r="A834" s="172"/>
      <c r="B834" s="172"/>
      <c r="C834" s="161" t="str">
        <f aca="false">IF(LEFT(B834,2)="OS","QUILL FORMATION Valmont","QUILL FORMATION Ulman")</f>
        <v>QUILL FORMATION Ulman</v>
      </c>
      <c r="D834" s="43" t="str">
        <f aca="false">IF($A834="","",IF($C834="QUILL FORMATION Valmont",10,11))</f>
        <v/>
      </c>
      <c r="E834" s="151" t="str">
        <f aca="false">IF($A834="","",IFERROR(VLOOKUP($A834,Skills!$A:$C,2,FALSE())&amp;" "&amp;VLOOKUP($A834,Skills!$A:$C,3,FALSE()),"Haxil Dellhaven"))</f>
        <v/>
      </c>
      <c r="F834" s="43" t="str">
        <f aca="false">IF($A834="","",IFERROR(IF(VLOOKUP($A834,Skills!$A:$D,4,FALSE())="","",VLOOKUP($A834,Skills!$A:$D,4,FALSE())),"Lisbonne"))</f>
        <v/>
      </c>
      <c r="G834" s="47"/>
      <c r="H834" s="47" t="str">
        <f aca="false">IF(G834="","",WORKDAY(G834-1,D834+IF(J834="",0,J834)))</f>
        <v/>
      </c>
      <c r="I834" s="134"/>
      <c r="J834" s="135"/>
      <c r="K834" s="43" t="str">
        <f aca="true">IF(G834="","",MIN(D834,MAX(0,NETWORKDAYS(G834,TODAY())-IF(J834="",0,J834))))</f>
        <v/>
      </c>
      <c r="L834" s="43" t="str">
        <f aca="true">IF(G834="","",MAX(0,D834-(NETWORKDAYS(G834,TODAY())-IF(J834="",0,J834))))</f>
        <v/>
      </c>
      <c r="M834" s="173"/>
      <c r="N834" s="44" t="str">
        <f aca="true">IFERROR(IF(OR(K834="",K834&lt;=0),"",IF(TODAY()&gt;H834,1,IF(K834-1=0,0,INDEX(OBJECTIVES!$O$2:$Q$12,MATCH(K834-1,OBJECTIVES!$N$2:$N$12,0),IF($C834="QUILL FORMATION Valmont",2,1))))),"")</f>
        <v/>
      </c>
      <c r="O834" s="44" t="str">
        <f aca="false">IF(OR(N834="",M834=""),"",M834-N834)</f>
        <v/>
      </c>
      <c r="P834" s="155" t="str">
        <f aca="false">IF($Q834&lt;&gt;"",$Q834,IF(O834="","",IF(O834&lt;=-0.12,"P1",IF(O834&lt;=-0.06,"P2","P3"))))</f>
        <v/>
      </c>
      <c r="Q834" s="136"/>
      <c r="R834" s="155"/>
      <c r="S834" s="155"/>
      <c r="T834" s="134"/>
      <c r="U834" s="134"/>
      <c r="V834" s="134"/>
      <c r="W834" s="134"/>
      <c r="X834" s="134"/>
      <c r="Y834" s="134"/>
      <c r="Z834" s="134" t="str">
        <f aca="false">IF(R834="Terminé",IF(AND(G834&lt;&gt;"",I834&lt;&gt;""),NETWORKDAYS(G834,I834),D834),"")</f>
        <v/>
      </c>
      <c r="AA834" s="134" t="str">
        <f aca="false">IF($A834="","",IF(COUNTIF(Skills!$A:$A,$A834)=0,"⚠ ID absent du roster",""))</f>
        <v/>
      </c>
      <c r="AB834" s="158"/>
    </row>
    <row r="835" customFormat="false" ht="15" hidden="true" customHeight="false" outlineLevel="0" collapsed="false">
      <c r="A835" s="172"/>
      <c r="B835" s="172"/>
      <c r="C835" s="161" t="str">
        <f aca="false">IF(LEFT(B835,2)="OS","QUILL FORMATION Valmont","QUILL FORMATION Ulman")</f>
        <v>QUILL FORMATION Ulman</v>
      </c>
      <c r="D835" s="43" t="str">
        <f aca="false">IF($A835="","",IF($C835="QUILL FORMATION Valmont",10,11))</f>
        <v/>
      </c>
      <c r="E835" s="151" t="str">
        <f aca="false">IF($A835="","",IFERROR(VLOOKUP($A835,Skills!$A:$C,2,FALSE())&amp;" "&amp;VLOOKUP($A835,Skills!$A:$C,3,FALSE()),"Haxil Dellhaven"))</f>
        <v/>
      </c>
      <c r="F835" s="43" t="str">
        <f aca="false">IF($A835="","",IFERROR(IF(VLOOKUP($A835,Skills!$A:$D,4,FALSE())="","",VLOOKUP($A835,Skills!$A:$D,4,FALSE())),"Lisbonne"))</f>
        <v/>
      </c>
      <c r="G835" s="47"/>
      <c r="H835" s="47" t="str">
        <f aca="false">IF(G835="","",WORKDAY(G835-1,D835+IF(J835="",0,J835)))</f>
        <v/>
      </c>
      <c r="I835" s="134"/>
      <c r="J835" s="135"/>
      <c r="K835" s="43" t="str">
        <f aca="true">IF(G835="","",MIN(D835,MAX(0,NETWORKDAYS(G835,TODAY())-IF(J835="",0,J835))))</f>
        <v/>
      </c>
      <c r="L835" s="43" t="str">
        <f aca="true">IF(G835="","",MAX(0,D835-(NETWORKDAYS(G835,TODAY())-IF(J835="",0,J835))))</f>
        <v/>
      </c>
      <c r="M835" s="173"/>
      <c r="N835" s="44" t="str">
        <f aca="true">IFERROR(IF(OR(K835="",K835&lt;=0),"",IF(TODAY()&gt;H835,1,IF(K835-1=0,0,INDEX(OBJECTIVES!$O$2:$Q$12,MATCH(K835-1,OBJECTIVES!$N$2:$N$12,0),IF($C835="QUILL FORMATION Valmont",2,1))))),"")</f>
        <v/>
      </c>
      <c r="O835" s="44" t="str">
        <f aca="false">IF(OR(N835="",M835=""),"",M835-N835)</f>
        <v/>
      </c>
      <c r="P835" s="155" t="str">
        <f aca="false">IF($Q835&lt;&gt;"",$Q835,IF(O835="","",IF(O835&lt;=-0.12,"P1",IF(O835&lt;=-0.06,"P2","P3"))))</f>
        <v/>
      </c>
      <c r="Q835" s="136"/>
      <c r="R835" s="155"/>
      <c r="S835" s="155"/>
      <c r="T835" s="134"/>
      <c r="U835" s="134"/>
      <c r="V835" s="134"/>
      <c r="W835" s="134"/>
      <c r="X835" s="134"/>
      <c r="Y835" s="134"/>
      <c r="Z835" s="134" t="str">
        <f aca="false">IF(R835="Terminé",IF(AND(G835&lt;&gt;"",I835&lt;&gt;""),NETWORKDAYS(G835,I835),D835),"")</f>
        <v/>
      </c>
      <c r="AA835" s="134" t="str">
        <f aca="false">IF($A835="","",IF(COUNTIF(Skills!$A:$A,$A835)=0,"⚠ ID absent du roster",""))</f>
        <v/>
      </c>
      <c r="AB835" s="158"/>
    </row>
    <row r="836" customFormat="false" ht="15" hidden="true" customHeight="false" outlineLevel="0" collapsed="false">
      <c r="A836" s="172"/>
      <c r="B836" s="172"/>
      <c r="C836" s="161" t="str">
        <f aca="false">IF(LEFT(B836,2)="OS","QUILL FORMATION Valmont","QUILL FORMATION Ulman")</f>
        <v>QUILL FORMATION Ulman</v>
      </c>
      <c r="D836" s="43" t="str">
        <f aca="false">IF($A836="","",IF($C836="QUILL FORMATION Valmont",10,11))</f>
        <v/>
      </c>
      <c r="E836" s="151" t="str">
        <f aca="false">IF($A836="","",IFERROR(VLOOKUP($A836,Skills!$A:$C,2,FALSE())&amp;" "&amp;VLOOKUP($A836,Skills!$A:$C,3,FALSE()),"Haxil Dellhaven"))</f>
        <v/>
      </c>
      <c r="F836" s="43" t="str">
        <f aca="false">IF($A836="","",IFERROR(IF(VLOOKUP($A836,Skills!$A:$D,4,FALSE())="","",VLOOKUP($A836,Skills!$A:$D,4,FALSE())),"Lisbonne"))</f>
        <v/>
      </c>
      <c r="G836" s="47"/>
      <c r="H836" s="47" t="str">
        <f aca="false">IF(G836="","",WORKDAY(G836-1,D836+IF(J836="",0,J836)))</f>
        <v/>
      </c>
      <c r="I836" s="134"/>
      <c r="J836" s="135"/>
      <c r="K836" s="43" t="str">
        <f aca="true">IF(G836="","",MIN(D836,MAX(0,NETWORKDAYS(G836,TODAY())-IF(J836="",0,J836))))</f>
        <v/>
      </c>
      <c r="L836" s="43" t="str">
        <f aca="true">IF(G836="","",MAX(0,D836-(NETWORKDAYS(G836,TODAY())-IF(J836="",0,J836))))</f>
        <v/>
      </c>
      <c r="M836" s="173"/>
      <c r="N836" s="44" t="str">
        <f aca="true">IFERROR(IF(OR(K836="",K836&lt;=0),"",IF(TODAY()&gt;H836,1,IF(K836-1=0,0,INDEX(OBJECTIVES!$O$2:$Q$12,MATCH(K836-1,OBJECTIVES!$N$2:$N$12,0),IF($C836="QUILL FORMATION Valmont",2,1))))),"")</f>
        <v/>
      </c>
      <c r="O836" s="44" t="str">
        <f aca="false">IF(OR(N836="",M836=""),"",M836-N836)</f>
        <v/>
      </c>
      <c r="P836" s="155" t="str">
        <f aca="false">IF($Q836&lt;&gt;"",$Q836,IF(O836="","",IF(O836&lt;=-0.12,"P1",IF(O836&lt;=-0.06,"P2","P3"))))</f>
        <v/>
      </c>
      <c r="Q836" s="136"/>
      <c r="R836" s="155"/>
      <c r="S836" s="155"/>
      <c r="T836" s="134"/>
      <c r="U836" s="134"/>
      <c r="V836" s="134"/>
      <c r="W836" s="134"/>
      <c r="X836" s="134"/>
      <c r="Y836" s="134"/>
      <c r="Z836" s="134" t="str">
        <f aca="false">IF(R836="Terminé",IF(AND(G836&lt;&gt;"",I836&lt;&gt;""),NETWORKDAYS(G836,I836),D836),"")</f>
        <v/>
      </c>
      <c r="AA836" s="134" t="str">
        <f aca="false">IF($A836="","",IF(COUNTIF(Skills!$A:$A,$A836)=0,"⚠ ID absent du roster",""))</f>
        <v/>
      </c>
      <c r="AB836" s="158"/>
    </row>
    <row r="837" customFormat="false" ht="15" hidden="true" customHeight="false" outlineLevel="0" collapsed="false">
      <c r="A837" s="172"/>
      <c r="B837" s="172"/>
      <c r="C837" s="161" t="str">
        <f aca="false">IF(LEFT(B837,2)="OS","QUILL FORMATION Valmont","QUILL FORMATION Ulman")</f>
        <v>QUILL FORMATION Ulman</v>
      </c>
      <c r="D837" s="43" t="str">
        <f aca="false">IF($A837="","",IF($C837="QUILL FORMATION Valmont",10,11))</f>
        <v/>
      </c>
      <c r="E837" s="151" t="str">
        <f aca="false">IF($A837="","",IFERROR(VLOOKUP($A837,Skills!$A:$C,2,FALSE())&amp;" "&amp;VLOOKUP($A837,Skills!$A:$C,3,FALSE()),"Haxil Dellhaven"))</f>
        <v/>
      </c>
      <c r="F837" s="43" t="str">
        <f aca="false">IF($A837="","",IFERROR(IF(VLOOKUP($A837,Skills!$A:$D,4,FALSE())="","",VLOOKUP($A837,Skills!$A:$D,4,FALSE())),"Lisbonne"))</f>
        <v/>
      </c>
      <c r="G837" s="47"/>
      <c r="H837" s="47" t="str">
        <f aca="false">IF(G837="","",WORKDAY(G837-1,D837+IF(J837="",0,J837)))</f>
        <v/>
      </c>
      <c r="I837" s="134"/>
      <c r="J837" s="135"/>
      <c r="K837" s="43" t="str">
        <f aca="true">IF(G837="","",MIN(D837,MAX(0,NETWORKDAYS(G837,TODAY())-IF(J837="",0,J837))))</f>
        <v/>
      </c>
      <c r="L837" s="43" t="str">
        <f aca="true">IF(G837="","",MAX(0,D837-(NETWORKDAYS(G837,TODAY())-IF(J837="",0,J837))))</f>
        <v/>
      </c>
      <c r="M837" s="173"/>
      <c r="N837" s="44" t="str">
        <f aca="true">IFERROR(IF(OR(K837="",K837&lt;=0),"",IF(TODAY()&gt;H837,1,IF(K837-1=0,0,INDEX(OBJECTIVES!$O$2:$Q$12,MATCH(K837-1,OBJECTIVES!$N$2:$N$12,0),IF($C837="QUILL FORMATION Valmont",2,1))))),"")</f>
        <v/>
      </c>
      <c r="O837" s="44" t="str">
        <f aca="false">IF(OR(N837="",M837=""),"",M837-N837)</f>
        <v/>
      </c>
      <c r="P837" s="155" t="str">
        <f aca="false">IF($Q837&lt;&gt;"",$Q837,IF(O837="","",IF(O837&lt;=-0.12,"P1",IF(O837&lt;=-0.06,"P2","P3"))))</f>
        <v/>
      </c>
      <c r="Q837" s="136"/>
      <c r="R837" s="155"/>
      <c r="S837" s="155"/>
      <c r="T837" s="134"/>
      <c r="U837" s="134"/>
      <c r="V837" s="134"/>
      <c r="W837" s="134"/>
      <c r="X837" s="134"/>
      <c r="Y837" s="134"/>
      <c r="Z837" s="134" t="str">
        <f aca="false">IF(R837="Terminé",IF(AND(G837&lt;&gt;"",I837&lt;&gt;""),NETWORKDAYS(G837,I837),D837),"")</f>
        <v/>
      </c>
      <c r="AA837" s="134" t="str">
        <f aca="false">IF($A837="","",IF(COUNTIF(Skills!$A:$A,$A837)=0,"⚠ ID absent du roster",""))</f>
        <v/>
      </c>
      <c r="AB837" s="158"/>
    </row>
    <row r="838" customFormat="false" ht="15" hidden="true" customHeight="false" outlineLevel="0" collapsed="false">
      <c r="A838" s="172"/>
      <c r="B838" s="172"/>
      <c r="C838" s="161" t="str">
        <f aca="false">IF(LEFT(B838,2)="OS","QUILL FORMATION Valmont","QUILL FORMATION Ulman")</f>
        <v>QUILL FORMATION Ulman</v>
      </c>
      <c r="D838" s="43" t="str">
        <f aca="false">IF($A838="","",IF($C838="QUILL FORMATION Valmont",10,11))</f>
        <v/>
      </c>
      <c r="E838" s="151" t="str">
        <f aca="false">IF($A838="","",IFERROR(VLOOKUP($A838,Skills!$A:$C,2,FALSE())&amp;" "&amp;VLOOKUP($A838,Skills!$A:$C,3,FALSE()),"Haxil Dellhaven"))</f>
        <v/>
      </c>
      <c r="F838" s="43" t="str">
        <f aca="false">IF($A838="","",IFERROR(IF(VLOOKUP($A838,Skills!$A:$D,4,FALSE())="","",VLOOKUP($A838,Skills!$A:$D,4,FALSE())),"Lisbonne"))</f>
        <v/>
      </c>
      <c r="G838" s="47"/>
      <c r="H838" s="47" t="str">
        <f aca="false">IF(G838="","",WORKDAY(G838-1,D838+IF(J838="",0,J838)))</f>
        <v/>
      </c>
      <c r="I838" s="134"/>
      <c r="J838" s="135"/>
      <c r="K838" s="43" t="str">
        <f aca="true">IF(G838="","",MIN(D838,MAX(0,NETWORKDAYS(G838,TODAY())-IF(J838="",0,J838))))</f>
        <v/>
      </c>
      <c r="L838" s="43" t="str">
        <f aca="true">IF(G838="","",MAX(0,D838-(NETWORKDAYS(G838,TODAY())-IF(J838="",0,J838))))</f>
        <v/>
      </c>
      <c r="M838" s="173"/>
      <c r="N838" s="44" t="str">
        <f aca="true">IFERROR(IF(OR(K838="",K838&lt;=0),"",IF(TODAY()&gt;H838,1,IF(K838-1=0,0,INDEX(OBJECTIVES!$O$2:$Q$12,MATCH(K838-1,OBJECTIVES!$N$2:$N$12,0),IF($C838="QUILL FORMATION Valmont",2,1))))),"")</f>
        <v/>
      </c>
      <c r="O838" s="44" t="str">
        <f aca="false">IF(OR(N838="",M838=""),"",M838-N838)</f>
        <v/>
      </c>
      <c r="P838" s="155" t="str">
        <f aca="false">IF($Q838&lt;&gt;"",$Q838,IF(O838="","",IF(O838&lt;=-0.12,"P1",IF(O838&lt;=-0.06,"P2","P3"))))</f>
        <v/>
      </c>
      <c r="Q838" s="136"/>
      <c r="R838" s="155"/>
      <c r="S838" s="155"/>
      <c r="T838" s="134"/>
      <c r="U838" s="134"/>
      <c r="V838" s="134"/>
      <c r="W838" s="134"/>
      <c r="X838" s="134"/>
      <c r="Y838" s="134"/>
      <c r="Z838" s="134" t="str">
        <f aca="false">IF(R838="Terminé",IF(AND(G838&lt;&gt;"",I838&lt;&gt;""),NETWORKDAYS(G838,I838),D838),"")</f>
        <v/>
      </c>
      <c r="AA838" s="134" t="str">
        <f aca="false">IF($A838="","",IF(COUNTIF(Skills!$A:$A,$A838)=0,"⚠ ID absent du roster",""))</f>
        <v/>
      </c>
      <c r="AB838" s="158"/>
    </row>
    <row r="839" customFormat="false" ht="15" hidden="true" customHeight="false" outlineLevel="0" collapsed="false">
      <c r="A839" s="172"/>
      <c r="B839" s="172"/>
      <c r="C839" s="161" t="str">
        <f aca="false">IF(LEFT(B839,2)="OS","QUILL FORMATION Valmont","QUILL FORMATION Ulman")</f>
        <v>QUILL FORMATION Ulman</v>
      </c>
      <c r="D839" s="43" t="str">
        <f aca="false">IF($A839="","",IF($C839="QUILL FORMATION Valmont",10,11))</f>
        <v/>
      </c>
      <c r="E839" s="151" t="str">
        <f aca="false">IF($A839="","",IFERROR(VLOOKUP($A839,Skills!$A:$C,2,FALSE())&amp;" "&amp;VLOOKUP($A839,Skills!$A:$C,3,FALSE()),"Haxil Dellhaven"))</f>
        <v/>
      </c>
      <c r="F839" s="43" t="str">
        <f aca="false">IF($A839="","",IFERROR(IF(VLOOKUP($A839,Skills!$A:$D,4,FALSE())="","",VLOOKUP($A839,Skills!$A:$D,4,FALSE())),"Lisbonne"))</f>
        <v/>
      </c>
      <c r="G839" s="47"/>
      <c r="H839" s="47" t="str">
        <f aca="false">IF(G839="","",WORKDAY(G839-1,D839+IF(J839="",0,J839)))</f>
        <v/>
      </c>
      <c r="I839" s="134"/>
      <c r="J839" s="135"/>
      <c r="K839" s="43" t="str">
        <f aca="true">IF(G839="","",MIN(D839,MAX(0,NETWORKDAYS(G839,TODAY())-IF(J839="",0,J839))))</f>
        <v/>
      </c>
      <c r="L839" s="43" t="str">
        <f aca="true">IF(G839="","",MAX(0,D839-(NETWORKDAYS(G839,TODAY())-IF(J839="",0,J839))))</f>
        <v/>
      </c>
      <c r="M839" s="173"/>
      <c r="N839" s="44" t="str">
        <f aca="true">IFERROR(IF(OR(K839="",K839&lt;=0),"",IF(TODAY()&gt;H839,1,IF(K839-1=0,0,INDEX(OBJECTIVES!$O$2:$Q$12,MATCH(K839-1,OBJECTIVES!$N$2:$N$12,0),IF($C839="QUILL FORMATION Valmont",2,1))))),"")</f>
        <v/>
      </c>
      <c r="O839" s="44" t="str">
        <f aca="false">IF(OR(N839="",M839=""),"",M839-N839)</f>
        <v/>
      </c>
      <c r="P839" s="155" t="str">
        <f aca="false">IF($Q839&lt;&gt;"",$Q839,IF(O839="","",IF(O839&lt;=-0.12,"P1",IF(O839&lt;=-0.06,"P2","P3"))))</f>
        <v/>
      </c>
      <c r="Q839" s="136"/>
      <c r="R839" s="155"/>
      <c r="S839" s="155"/>
      <c r="T839" s="134"/>
      <c r="U839" s="134"/>
      <c r="V839" s="134"/>
      <c r="W839" s="134"/>
      <c r="X839" s="134"/>
      <c r="Y839" s="134"/>
      <c r="Z839" s="134" t="str">
        <f aca="false">IF(R839="Terminé",IF(AND(G839&lt;&gt;"",I839&lt;&gt;""),NETWORKDAYS(G839,I839),D839),"")</f>
        <v/>
      </c>
      <c r="AA839" s="134" t="str">
        <f aca="false">IF($A839="","",IF(COUNTIF(Skills!$A:$A,$A839)=0,"⚠ ID absent du roster",""))</f>
        <v/>
      </c>
      <c r="AB839" s="158"/>
    </row>
    <row r="840" customFormat="false" ht="15" hidden="true" customHeight="false" outlineLevel="0" collapsed="false">
      <c r="A840" s="172"/>
      <c r="B840" s="172"/>
      <c r="C840" s="161" t="str">
        <f aca="false">IF(LEFT(B840,2)="OS","QUILL FORMATION Valmont","QUILL FORMATION Ulman")</f>
        <v>QUILL FORMATION Ulman</v>
      </c>
      <c r="D840" s="43" t="str">
        <f aca="false">IF($A840="","",IF($C840="QUILL FORMATION Valmont",10,11))</f>
        <v/>
      </c>
      <c r="E840" s="151" t="str">
        <f aca="false">IF($A840="","",IFERROR(VLOOKUP($A840,Skills!$A:$C,2,FALSE())&amp;" "&amp;VLOOKUP($A840,Skills!$A:$C,3,FALSE()),"Haxil Dellhaven"))</f>
        <v/>
      </c>
      <c r="F840" s="43" t="str">
        <f aca="false">IF($A840="","",IFERROR(IF(VLOOKUP($A840,Skills!$A:$D,4,FALSE())="","",VLOOKUP($A840,Skills!$A:$D,4,FALSE())),"Lisbonne"))</f>
        <v/>
      </c>
      <c r="G840" s="47"/>
      <c r="H840" s="47" t="str">
        <f aca="false">IF(G840="","",WORKDAY(G840-1,D840+IF(J840="",0,J840)))</f>
        <v/>
      </c>
      <c r="I840" s="134"/>
      <c r="J840" s="135"/>
      <c r="K840" s="43" t="str">
        <f aca="true">IF(G840="","",MIN(D840,MAX(0,NETWORKDAYS(G840,TODAY())-IF(J840="",0,J840))))</f>
        <v/>
      </c>
      <c r="L840" s="43" t="str">
        <f aca="true">IF(G840="","",MAX(0,D840-(NETWORKDAYS(G840,TODAY())-IF(J840="",0,J840))))</f>
        <v/>
      </c>
      <c r="M840" s="173"/>
      <c r="N840" s="44" t="str">
        <f aca="true">IFERROR(IF(OR(K840="",K840&lt;=0),"",IF(TODAY()&gt;H840,1,IF(K840-1=0,0,INDEX(OBJECTIVES!$O$2:$Q$12,MATCH(K840-1,OBJECTIVES!$N$2:$N$12,0),IF($C840="QUILL FORMATION Valmont",2,1))))),"")</f>
        <v/>
      </c>
      <c r="O840" s="44" t="str">
        <f aca="false">IF(OR(N840="",M840=""),"",M840-N840)</f>
        <v/>
      </c>
      <c r="P840" s="155" t="str">
        <f aca="false">IF($Q840&lt;&gt;"",$Q840,IF(O840="","",IF(O840&lt;=-0.12,"P1",IF(O840&lt;=-0.06,"P2","P3"))))</f>
        <v/>
      </c>
      <c r="Q840" s="136"/>
      <c r="R840" s="155"/>
      <c r="S840" s="155"/>
      <c r="T840" s="134"/>
      <c r="U840" s="134"/>
      <c r="V840" s="134"/>
      <c r="W840" s="134"/>
      <c r="X840" s="134"/>
      <c r="Y840" s="134"/>
      <c r="Z840" s="134" t="str">
        <f aca="false">IF(R840="Terminé",IF(AND(G840&lt;&gt;"",I840&lt;&gt;""),NETWORKDAYS(G840,I840),D840),"")</f>
        <v/>
      </c>
      <c r="AA840" s="134" t="str">
        <f aca="false">IF($A840="","",IF(COUNTIF(Skills!$A:$A,$A840)=0,"⚠ ID absent du roster",""))</f>
        <v/>
      </c>
      <c r="AB840" s="158"/>
    </row>
    <row r="841" customFormat="false" ht="15" hidden="true" customHeight="false" outlineLevel="0" collapsed="false">
      <c r="A841" s="172"/>
      <c r="B841" s="172"/>
      <c r="C841" s="161" t="str">
        <f aca="false">IF(LEFT(B841,2)="OS","QUILL FORMATION Valmont","QUILL FORMATION Ulman")</f>
        <v>QUILL FORMATION Ulman</v>
      </c>
      <c r="D841" s="43" t="str">
        <f aca="false">IF($A841="","",IF($C841="QUILL FORMATION Valmont",10,11))</f>
        <v/>
      </c>
      <c r="E841" s="151" t="str">
        <f aca="false">IF($A841="","",IFERROR(VLOOKUP($A841,Skills!$A:$C,2,FALSE())&amp;" "&amp;VLOOKUP($A841,Skills!$A:$C,3,FALSE()),"Haxil Dellhaven"))</f>
        <v/>
      </c>
      <c r="F841" s="43" t="str">
        <f aca="false">IF($A841="","",IFERROR(IF(VLOOKUP($A841,Skills!$A:$D,4,FALSE())="","",VLOOKUP($A841,Skills!$A:$D,4,FALSE())),"Lisbonne"))</f>
        <v/>
      </c>
      <c r="G841" s="47"/>
      <c r="H841" s="47" t="str">
        <f aca="false">IF(G841="","",WORKDAY(G841-1,D841+IF(J841="",0,J841)))</f>
        <v/>
      </c>
      <c r="I841" s="134"/>
      <c r="J841" s="135"/>
      <c r="K841" s="43" t="str">
        <f aca="true">IF(G841="","",MIN(D841,MAX(0,NETWORKDAYS(G841,TODAY())-IF(J841="",0,J841))))</f>
        <v/>
      </c>
      <c r="L841" s="43" t="str">
        <f aca="true">IF(G841="","",MAX(0,D841-(NETWORKDAYS(G841,TODAY())-IF(J841="",0,J841))))</f>
        <v/>
      </c>
      <c r="M841" s="173"/>
      <c r="N841" s="44" t="str">
        <f aca="true">IFERROR(IF(OR(K841="",K841&lt;=0),"",IF(TODAY()&gt;H841,1,IF(K841-1=0,0,INDEX(OBJECTIVES!$O$2:$Q$12,MATCH(K841-1,OBJECTIVES!$N$2:$N$12,0),IF($C841="QUILL FORMATION Valmont",2,1))))),"")</f>
        <v/>
      </c>
      <c r="O841" s="44" t="str">
        <f aca="false">IF(OR(N841="",M841=""),"",M841-N841)</f>
        <v/>
      </c>
      <c r="P841" s="155" t="str">
        <f aca="false">IF($Q841&lt;&gt;"",$Q841,IF(O841="","",IF(O841&lt;=-0.12,"P1",IF(O841&lt;=-0.06,"P2","P3"))))</f>
        <v/>
      </c>
      <c r="Q841" s="136"/>
      <c r="R841" s="155"/>
      <c r="S841" s="155"/>
      <c r="T841" s="134"/>
      <c r="U841" s="134"/>
      <c r="V841" s="134"/>
      <c r="W841" s="134"/>
      <c r="X841" s="134"/>
      <c r="Y841" s="134"/>
      <c r="Z841" s="134" t="str">
        <f aca="false">IF(R841="Terminé",IF(AND(G841&lt;&gt;"",I841&lt;&gt;""),NETWORKDAYS(G841,I841),D841),"")</f>
        <v/>
      </c>
      <c r="AA841" s="134" t="str">
        <f aca="false">IF($A841="","",IF(COUNTIF(Skills!$A:$A,$A841)=0,"⚠ ID absent du roster",""))</f>
        <v/>
      </c>
      <c r="AB841" s="158"/>
    </row>
    <row r="842" customFormat="false" ht="15" hidden="true" customHeight="false" outlineLevel="0" collapsed="false">
      <c r="A842" s="172"/>
      <c r="B842" s="172"/>
      <c r="C842" s="161" t="str">
        <f aca="false">IF(LEFT(B842,2)="OS","QUILL FORMATION Valmont","QUILL FORMATION Ulman")</f>
        <v>QUILL FORMATION Ulman</v>
      </c>
      <c r="D842" s="43" t="str">
        <f aca="false">IF($A842="","",IF($C842="QUILL FORMATION Valmont",10,11))</f>
        <v/>
      </c>
      <c r="E842" s="151" t="str">
        <f aca="false">IF($A842="","",IFERROR(VLOOKUP($A842,Skills!$A:$C,2,FALSE())&amp;" "&amp;VLOOKUP($A842,Skills!$A:$C,3,FALSE()),"Haxil Dellhaven"))</f>
        <v/>
      </c>
      <c r="F842" s="43" t="str">
        <f aca="false">IF($A842="","",IFERROR(IF(VLOOKUP($A842,Skills!$A:$D,4,FALSE())="","",VLOOKUP($A842,Skills!$A:$D,4,FALSE())),"Lisbonne"))</f>
        <v/>
      </c>
      <c r="G842" s="47"/>
      <c r="H842" s="47" t="str">
        <f aca="false">IF(G842="","",WORKDAY(G842-1,D842+IF(J842="",0,J842)))</f>
        <v/>
      </c>
      <c r="I842" s="134"/>
      <c r="J842" s="135"/>
      <c r="K842" s="43" t="str">
        <f aca="true">IF(G842="","",MIN(D842,MAX(0,NETWORKDAYS(G842,TODAY())-IF(J842="",0,J842))))</f>
        <v/>
      </c>
      <c r="L842" s="43" t="str">
        <f aca="true">IF(G842="","",MAX(0,D842-(NETWORKDAYS(G842,TODAY())-IF(J842="",0,J842))))</f>
        <v/>
      </c>
      <c r="M842" s="173"/>
      <c r="N842" s="44" t="str">
        <f aca="true">IFERROR(IF(OR(K842="",K842&lt;=0),"",IF(TODAY()&gt;H842,1,IF(K842-1=0,0,INDEX(OBJECTIVES!$O$2:$Q$12,MATCH(K842-1,OBJECTIVES!$N$2:$N$12,0),IF($C842="QUILL FORMATION Valmont",2,1))))),"")</f>
        <v/>
      </c>
      <c r="O842" s="44" t="str">
        <f aca="false">IF(OR(N842="",M842=""),"",M842-N842)</f>
        <v/>
      </c>
      <c r="P842" s="155" t="str">
        <f aca="false">IF($Q842&lt;&gt;"",$Q842,IF(O842="","",IF(O842&lt;=-0.12,"P1",IF(O842&lt;=-0.06,"P2","P3"))))</f>
        <v/>
      </c>
      <c r="Q842" s="136"/>
      <c r="R842" s="155"/>
      <c r="S842" s="155"/>
      <c r="T842" s="134"/>
      <c r="U842" s="134"/>
      <c r="V842" s="134"/>
      <c r="W842" s="134"/>
      <c r="X842" s="134"/>
      <c r="Y842" s="134"/>
      <c r="Z842" s="134" t="str">
        <f aca="false">IF(R842="Terminé",IF(AND(G842&lt;&gt;"",I842&lt;&gt;""),NETWORKDAYS(G842,I842),D842),"")</f>
        <v/>
      </c>
      <c r="AA842" s="134" t="str">
        <f aca="false">IF($A842="","",IF(COUNTIF(Skills!$A:$A,$A842)=0,"⚠ ID absent du roster",""))</f>
        <v/>
      </c>
      <c r="AB842" s="158"/>
    </row>
    <row r="843" customFormat="false" ht="15" hidden="true" customHeight="false" outlineLevel="0" collapsed="false">
      <c r="A843" s="172"/>
      <c r="B843" s="172"/>
      <c r="C843" s="161" t="str">
        <f aca="false">IF(LEFT(B843,2)="OS","QUILL FORMATION Valmont","QUILL FORMATION Ulman")</f>
        <v>QUILL FORMATION Ulman</v>
      </c>
      <c r="D843" s="43" t="str">
        <f aca="false">IF($A843="","",IF($C843="QUILL FORMATION Valmont",10,11))</f>
        <v/>
      </c>
      <c r="E843" s="151" t="str">
        <f aca="false">IF($A843="","",IFERROR(VLOOKUP($A843,Skills!$A:$C,2,FALSE())&amp;" "&amp;VLOOKUP($A843,Skills!$A:$C,3,FALSE()),"Haxil Dellhaven"))</f>
        <v/>
      </c>
      <c r="F843" s="43" t="str">
        <f aca="false">IF($A843="","",IFERROR(IF(VLOOKUP($A843,Skills!$A:$D,4,FALSE())="","",VLOOKUP($A843,Skills!$A:$D,4,FALSE())),"Lisbonne"))</f>
        <v/>
      </c>
      <c r="G843" s="47"/>
      <c r="H843" s="47" t="str">
        <f aca="false">IF(G843="","",WORKDAY(G843-1,D843+IF(J843="",0,J843)))</f>
        <v/>
      </c>
      <c r="I843" s="134"/>
      <c r="J843" s="135"/>
      <c r="K843" s="43" t="str">
        <f aca="true">IF(G843="","",MIN(D843,MAX(0,NETWORKDAYS(G843,TODAY())-IF(J843="",0,J843))))</f>
        <v/>
      </c>
      <c r="L843" s="43" t="str">
        <f aca="true">IF(G843="","",MAX(0,D843-(NETWORKDAYS(G843,TODAY())-IF(J843="",0,J843))))</f>
        <v/>
      </c>
      <c r="M843" s="173"/>
      <c r="N843" s="44" t="str">
        <f aca="true">IFERROR(IF(OR(K843="",K843&lt;=0),"",IF(TODAY()&gt;H843,1,IF(K843-1=0,0,INDEX(OBJECTIVES!$O$2:$Q$12,MATCH(K843-1,OBJECTIVES!$N$2:$N$12,0),IF($C843="QUILL FORMATION Valmont",2,1))))),"")</f>
        <v/>
      </c>
      <c r="O843" s="44" t="str">
        <f aca="false">IF(OR(N843="",M843=""),"",M843-N843)</f>
        <v/>
      </c>
      <c r="P843" s="155" t="str">
        <f aca="false">IF($Q843&lt;&gt;"",$Q843,IF(O843="","",IF(O843&lt;=-0.12,"P1",IF(O843&lt;=-0.06,"P2","P3"))))</f>
        <v/>
      </c>
      <c r="Q843" s="136"/>
      <c r="R843" s="155"/>
      <c r="S843" s="155"/>
      <c r="T843" s="134"/>
      <c r="U843" s="134"/>
      <c r="V843" s="134"/>
      <c r="W843" s="134"/>
      <c r="X843" s="134"/>
      <c r="Y843" s="134"/>
      <c r="Z843" s="134" t="str">
        <f aca="false">IF(R843="Terminé",IF(AND(G843&lt;&gt;"",I843&lt;&gt;""),NETWORKDAYS(G843,I843),D843),"")</f>
        <v/>
      </c>
      <c r="AA843" s="134" t="str">
        <f aca="false">IF($A843="","",IF(COUNTIF(Skills!$A:$A,$A843)=0,"⚠ ID absent du roster",""))</f>
        <v/>
      </c>
      <c r="AB843" s="158"/>
    </row>
    <row r="844" customFormat="false" ht="15" hidden="true" customHeight="false" outlineLevel="0" collapsed="false">
      <c r="A844" s="172"/>
      <c r="B844" s="172"/>
      <c r="C844" s="161" t="str">
        <f aca="false">IF(LEFT(B844,2)="OS","QUILL FORMATION Valmont","QUILL FORMATION Ulman")</f>
        <v>QUILL FORMATION Ulman</v>
      </c>
      <c r="D844" s="43" t="str">
        <f aca="false">IF($A844="","",IF($C844="QUILL FORMATION Valmont",10,11))</f>
        <v/>
      </c>
      <c r="E844" s="151" t="str">
        <f aca="false">IF($A844="","",IFERROR(VLOOKUP($A844,Skills!$A:$C,2,FALSE())&amp;" "&amp;VLOOKUP($A844,Skills!$A:$C,3,FALSE()),"Haxil Dellhaven"))</f>
        <v/>
      </c>
      <c r="F844" s="43" t="str">
        <f aca="false">IF($A844="","",IFERROR(IF(VLOOKUP($A844,Skills!$A:$D,4,FALSE())="","",VLOOKUP($A844,Skills!$A:$D,4,FALSE())),"Lisbonne"))</f>
        <v/>
      </c>
      <c r="G844" s="47"/>
      <c r="H844" s="47" t="str">
        <f aca="false">IF(G844="","",WORKDAY(G844-1,D844+IF(J844="",0,J844)))</f>
        <v/>
      </c>
      <c r="I844" s="134"/>
      <c r="J844" s="135"/>
      <c r="K844" s="43" t="str">
        <f aca="true">IF(G844="","",MIN(D844,MAX(0,NETWORKDAYS(G844,TODAY())-IF(J844="",0,J844))))</f>
        <v/>
      </c>
      <c r="L844" s="43" t="str">
        <f aca="true">IF(G844="","",MAX(0,D844-(NETWORKDAYS(G844,TODAY())-IF(J844="",0,J844))))</f>
        <v/>
      </c>
      <c r="M844" s="173"/>
      <c r="N844" s="44" t="str">
        <f aca="true">IFERROR(IF(OR(K844="",K844&lt;=0),"",IF(TODAY()&gt;H844,1,IF(K844-1=0,0,INDEX(OBJECTIVES!$O$2:$Q$12,MATCH(K844-1,OBJECTIVES!$N$2:$N$12,0),IF($C844="QUILL FORMATION Valmont",2,1))))),"")</f>
        <v/>
      </c>
      <c r="O844" s="44" t="str">
        <f aca="false">IF(OR(N844="",M844=""),"",M844-N844)</f>
        <v/>
      </c>
      <c r="P844" s="155" t="str">
        <f aca="false">IF($Q844&lt;&gt;"",$Q844,IF(O844="","",IF(O844&lt;=-0.12,"P1",IF(O844&lt;=-0.06,"P2","P3"))))</f>
        <v/>
      </c>
      <c r="Q844" s="136"/>
      <c r="R844" s="155"/>
      <c r="S844" s="155"/>
      <c r="T844" s="134"/>
      <c r="U844" s="134"/>
      <c r="V844" s="134"/>
      <c r="W844" s="134"/>
      <c r="X844" s="134"/>
      <c r="Y844" s="134"/>
      <c r="Z844" s="134" t="str">
        <f aca="false">IF(R844="Terminé",IF(AND(G844&lt;&gt;"",I844&lt;&gt;""),NETWORKDAYS(G844,I844),D844),"")</f>
        <v/>
      </c>
      <c r="AA844" s="134" t="str">
        <f aca="false">IF($A844="","",IF(COUNTIF(Skills!$A:$A,$A844)=0,"⚠ ID absent du roster",""))</f>
        <v/>
      </c>
      <c r="AB844" s="158"/>
    </row>
    <row r="845" customFormat="false" ht="15" hidden="true" customHeight="false" outlineLevel="0" collapsed="false">
      <c r="A845" s="172"/>
      <c r="B845" s="172"/>
      <c r="C845" s="161" t="str">
        <f aca="false">IF(LEFT(B845,2)="OS","QUILL FORMATION Valmont","QUILL FORMATION Ulman")</f>
        <v>QUILL FORMATION Ulman</v>
      </c>
      <c r="D845" s="43" t="str">
        <f aca="false">IF($A845="","",IF($C845="QUILL FORMATION Valmont",10,11))</f>
        <v/>
      </c>
      <c r="E845" s="151" t="str">
        <f aca="false">IF($A845="","",IFERROR(VLOOKUP($A845,Skills!$A:$C,2,FALSE())&amp;" "&amp;VLOOKUP($A845,Skills!$A:$C,3,FALSE()),"Haxil Dellhaven"))</f>
        <v/>
      </c>
      <c r="F845" s="43" t="str">
        <f aca="false">IF($A845="","",IFERROR(IF(VLOOKUP($A845,Skills!$A:$D,4,FALSE())="","",VLOOKUP($A845,Skills!$A:$D,4,FALSE())),"Lisbonne"))</f>
        <v/>
      </c>
      <c r="G845" s="47"/>
      <c r="H845" s="47" t="str">
        <f aca="false">IF(G845="","",WORKDAY(G845-1,D845+IF(J845="",0,J845)))</f>
        <v/>
      </c>
      <c r="I845" s="134"/>
      <c r="J845" s="135"/>
      <c r="K845" s="43" t="str">
        <f aca="true">IF(G845="","",MIN(D845,MAX(0,NETWORKDAYS(G845,TODAY())-IF(J845="",0,J845))))</f>
        <v/>
      </c>
      <c r="L845" s="43" t="str">
        <f aca="true">IF(G845="","",MAX(0,D845-(NETWORKDAYS(G845,TODAY())-IF(J845="",0,J845))))</f>
        <v/>
      </c>
      <c r="M845" s="173"/>
      <c r="N845" s="44" t="str">
        <f aca="true">IFERROR(IF(OR(K845="",K845&lt;=0),"",IF(TODAY()&gt;H845,1,IF(K845-1=0,0,INDEX(OBJECTIVES!$O$2:$Q$12,MATCH(K845-1,OBJECTIVES!$N$2:$N$12,0),IF($C845="QUILL FORMATION Valmont",2,1))))),"")</f>
        <v/>
      </c>
      <c r="O845" s="44" t="str">
        <f aca="false">IF(OR(N845="",M845=""),"",M845-N845)</f>
        <v/>
      </c>
      <c r="P845" s="155" t="str">
        <f aca="false">IF($Q845&lt;&gt;"",$Q845,IF(O845="","",IF(O845&lt;=-0.12,"P1",IF(O845&lt;=-0.06,"P2","P3"))))</f>
        <v/>
      </c>
      <c r="Q845" s="136"/>
      <c r="R845" s="155"/>
      <c r="S845" s="155"/>
      <c r="T845" s="134"/>
      <c r="U845" s="134"/>
      <c r="V845" s="134"/>
      <c r="W845" s="134"/>
      <c r="X845" s="134"/>
      <c r="Y845" s="134"/>
      <c r="Z845" s="134" t="str">
        <f aca="false">IF(R845="Terminé",IF(AND(G845&lt;&gt;"",I845&lt;&gt;""),NETWORKDAYS(G845,I845),D845),"")</f>
        <v/>
      </c>
      <c r="AA845" s="134" t="str">
        <f aca="false">IF($A845="","",IF(COUNTIF(Skills!$A:$A,$A845)=0,"⚠ ID absent du roster",""))</f>
        <v/>
      </c>
      <c r="AB845" s="158"/>
    </row>
    <row r="846" customFormat="false" ht="15" hidden="true" customHeight="false" outlineLevel="0" collapsed="false">
      <c r="A846" s="172"/>
      <c r="B846" s="172"/>
      <c r="C846" s="161" t="str">
        <f aca="false">IF(LEFT(B846,2)="OS","QUILL FORMATION Valmont","QUILL FORMATION Ulman")</f>
        <v>QUILL FORMATION Ulman</v>
      </c>
      <c r="D846" s="43" t="str">
        <f aca="false">IF($A846="","",IF($C846="QUILL FORMATION Valmont",10,11))</f>
        <v/>
      </c>
      <c r="E846" s="151" t="str">
        <f aca="false">IF($A846="","",IFERROR(VLOOKUP($A846,Skills!$A:$C,2,FALSE())&amp;" "&amp;VLOOKUP($A846,Skills!$A:$C,3,FALSE()),"Haxil Dellhaven"))</f>
        <v/>
      </c>
      <c r="F846" s="43" t="str">
        <f aca="false">IF($A846="","",IFERROR(IF(VLOOKUP($A846,Skills!$A:$D,4,FALSE())="","",VLOOKUP($A846,Skills!$A:$D,4,FALSE())),"Lisbonne"))</f>
        <v/>
      </c>
      <c r="G846" s="47"/>
      <c r="H846" s="47" t="str">
        <f aca="false">IF(G846="","",WORKDAY(G846-1,D846+IF(J846="",0,J846)))</f>
        <v/>
      </c>
      <c r="I846" s="134"/>
      <c r="J846" s="135"/>
      <c r="K846" s="43" t="str">
        <f aca="true">IF(G846="","",MIN(D846,MAX(0,NETWORKDAYS(G846,TODAY())-IF(J846="",0,J846))))</f>
        <v/>
      </c>
      <c r="L846" s="43" t="str">
        <f aca="true">IF(G846="","",MAX(0,D846-(NETWORKDAYS(G846,TODAY())-IF(J846="",0,J846))))</f>
        <v/>
      </c>
      <c r="M846" s="173"/>
      <c r="N846" s="44" t="str">
        <f aca="true">IFERROR(IF(OR(K846="",K846&lt;=0),"",IF(TODAY()&gt;H846,1,IF(K846-1=0,0,INDEX(OBJECTIVES!$O$2:$Q$12,MATCH(K846-1,OBJECTIVES!$N$2:$N$12,0),IF($C846="QUILL FORMATION Valmont",2,1))))),"")</f>
        <v/>
      </c>
      <c r="O846" s="44" t="str">
        <f aca="false">IF(OR(N846="",M846=""),"",M846-N846)</f>
        <v/>
      </c>
      <c r="P846" s="155" t="str">
        <f aca="false">IF($Q846&lt;&gt;"",$Q846,IF(O846="","",IF(O846&lt;=-0.12,"P1",IF(O846&lt;=-0.06,"P2","P3"))))</f>
        <v/>
      </c>
      <c r="Q846" s="136"/>
      <c r="R846" s="155"/>
      <c r="S846" s="155"/>
      <c r="T846" s="134"/>
      <c r="U846" s="134"/>
      <c r="V846" s="134"/>
      <c r="W846" s="134"/>
      <c r="X846" s="134"/>
      <c r="Y846" s="134"/>
      <c r="Z846" s="134" t="str">
        <f aca="false">IF(R846="Terminé",IF(AND(G846&lt;&gt;"",I846&lt;&gt;""),NETWORKDAYS(G846,I846),D846),"")</f>
        <v/>
      </c>
      <c r="AA846" s="134" t="str">
        <f aca="false">IF($A846="","",IF(COUNTIF(Skills!$A:$A,$A846)=0,"⚠ ID absent du roster",""))</f>
        <v/>
      </c>
      <c r="AB846" s="158"/>
    </row>
    <row r="847" customFormat="false" ht="15" hidden="true" customHeight="false" outlineLevel="0" collapsed="false">
      <c r="A847" s="172"/>
      <c r="B847" s="172"/>
      <c r="C847" s="161" t="str">
        <f aca="false">IF(LEFT(B847,2)="OS","QUILL FORMATION Valmont","QUILL FORMATION Ulman")</f>
        <v>QUILL FORMATION Ulman</v>
      </c>
      <c r="D847" s="43" t="str">
        <f aca="false">IF($A847="","",IF($C847="QUILL FORMATION Valmont",10,11))</f>
        <v/>
      </c>
      <c r="E847" s="151" t="str">
        <f aca="false">IF($A847="","",IFERROR(VLOOKUP($A847,Skills!$A:$C,2,FALSE())&amp;" "&amp;VLOOKUP($A847,Skills!$A:$C,3,FALSE()),"Haxil Dellhaven"))</f>
        <v/>
      </c>
      <c r="F847" s="43" t="str">
        <f aca="false">IF($A847="","",IFERROR(IF(VLOOKUP($A847,Skills!$A:$D,4,FALSE())="","",VLOOKUP($A847,Skills!$A:$D,4,FALSE())),"Lisbonne"))</f>
        <v/>
      </c>
      <c r="G847" s="47"/>
      <c r="H847" s="47" t="str">
        <f aca="false">IF(G847="","",WORKDAY(G847-1,D847+IF(J847="",0,J847)))</f>
        <v/>
      </c>
      <c r="I847" s="134"/>
      <c r="J847" s="135"/>
      <c r="K847" s="43" t="str">
        <f aca="true">IF(G847="","",MIN(D847,MAX(0,NETWORKDAYS(G847,TODAY())-IF(J847="",0,J847))))</f>
        <v/>
      </c>
      <c r="L847" s="43" t="str">
        <f aca="true">IF(G847="","",MAX(0,D847-(NETWORKDAYS(G847,TODAY())-IF(J847="",0,J847))))</f>
        <v/>
      </c>
      <c r="M847" s="173"/>
      <c r="N847" s="44" t="str">
        <f aca="true">IFERROR(IF(OR(K847="",K847&lt;=0),"",IF(TODAY()&gt;H847,1,IF(K847-1=0,0,INDEX(OBJECTIVES!$O$2:$Q$12,MATCH(K847-1,OBJECTIVES!$N$2:$N$12,0),IF($C847="QUILL FORMATION Valmont",2,1))))),"")</f>
        <v/>
      </c>
      <c r="O847" s="44" t="str">
        <f aca="false">IF(OR(N847="",M847=""),"",M847-N847)</f>
        <v/>
      </c>
      <c r="P847" s="155" t="str">
        <f aca="false">IF($Q847&lt;&gt;"",$Q847,IF(O847="","",IF(O847&lt;=-0.12,"P1",IF(O847&lt;=-0.06,"P2","P3"))))</f>
        <v/>
      </c>
      <c r="Q847" s="136"/>
      <c r="R847" s="155"/>
      <c r="S847" s="155"/>
      <c r="T847" s="134"/>
      <c r="U847" s="134"/>
      <c r="V847" s="134"/>
      <c r="W847" s="134"/>
      <c r="X847" s="134"/>
      <c r="Y847" s="134"/>
      <c r="Z847" s="134" t="str">
        <f aca="false">IF(R847="Terminé",IF(AND(G847&lt;&gt;"",I847&lt;&gt;""),NETWORKDAYS(G847,I847),D847),"")</f>
        <v/>
      </c>
      <c r="AA847" s="134" t="str">
        <f aca="false">IF($A847="","",IF(COUNTIF(Skills!$A:$A,$A847)=0,"⚠ ID absent du roster",""))</f>
        <v/>
      </c>
      <c r="AB847" s="158"/>
    </row>
    <row r="848" customFormat="false" ht="15" hidden="true" customHeight="false" outlineLevel="0" collapsed="false">
      <c r="A848" s="172"/>
      <c r="B848" s="172"/>
      <c r="C848" s="161" t="str">
        <f aca="false">IF(LEFT(B848,2)="OS","QUILL FORMATION Valmont","QUILL FORMATION Ulman")</f>
        <v>QUILL FORMATION Ulman</v>
      </c>
      <c r="D848" s="43" t="str">
        <f aca="false">IF($A848="","",IF($C848="QUILL FORMATION Valmont",10,11))</f>
        <v/>
      </c>
      <c r="E848" s="151" t="str">
        <f aca="false">IF($A848="","",IFERROR(VLOOKUP($A848,Skills!$A:$C,2,FALSE())&amp;" "&amp;VLOOKUP($A848,Skills!$A:$C,3,FALSE()),"Haxil Dellhaven"))</f>
        <v/>
      </c>
      <c r="F848" s="43" t="str">
        <f aca="false">IF($A848="","",IFERROR(IF(VLOOKUP($A848,Skills!$A:$D,4,FALSE())="","",VLOOKUP($A848,Skills!$A:$D,4,FALSE())),"Lisbonne"))</f>
        <v/>
      </c>
      <c r="G848" s="47"/>
      <c r="H848" s="47" t="str">
        <f aca="false">IF(G848="","",WORKDAY(G848-1,D848+IF(J848="",0,J848)))</f>
        <v/>
      </c>
      <c r="I848" s="134"/>
      <c r="J848" s="135"/>
      <c r="K848" s="43" t="str">
        <f aca="true">IF(G848="","",MIN(D848,MAX(0,NETWORKDAYS(G848,TODAY())-IF(J848="",0,J848))))</f>
        <v/>
      </c>
      <c r="L848" s="43" t="str">
        <f aca="true">IF(G848="","",MAX(0,D848-(NETWORKDAYS(G848,TODAY())-IF(J848="",0,J848))))</f>
        <v/>
      </c>
      <c r="M848" s="173"/>
      <c r="N848" s="44" t="str">
        <f aca="true">IFERROR(IF(OR(K848="",K848&lt;=0),"",IF(TODAY()&gt;H848,1,IF(K848-1=0,0,INDEX(OBJECTIVES!$O$2:$Q$12,MATCH(K848-1,OBJECTIVES!$N$2:$N$12,0),IF($C848="QUILL FORMATION Valmont",2,1))))),"")</f>
        <v/>
      </c>
      <c r="O848" s="44" t="str">
        <f aca="false">IF(OR(N848="",M848=""),"",M848-N848)</f>
        <v/>
      </c>
      <c r="P848" s="155" t="str">
        <f aca="false">IF($Q848&lt;&gt;"",$Q848,IF(O848="","",IF(O848&lt;=-0.12,"P1",IF(O848&lt;=-0.06,"P2","P3"))))</f>
        <v/>
      </c>
      <c r="Q848" s="136"/>
      <c r="R848" s="155"/>
      <c r="S848" s="155"/>
      <c r="T848" s="134"/>
      <c r="U848" s="134"/>
      <c r="V848" s="134"/>
      <c r="W848" s="134"/>
      <c r="X848" s="134"/>
      <c r="Y848" s="134"/>
      <c r="Z848" s="134" t="str">
        <f aca="false">IF(R848="Terminé",IF(AND(G848&lt;&gt;"",I848&lt;&gt;""),NETWORKDAYS(G848,I848),D848),"")</f>
        <v/>
      </c>
      <c r="AA848" s="134" t="str">
        <f aca="false">IF($A848="","",IF(COUNTIF(Skills!$A:$A,$A848)=0,"⚠ ID absent du roster",""))</f>
        <v/>
      </c>
      <c r="AB848" s="158"/>
    </row>
    <row r="849" customFormat="false" ht="15" hidden="true" customHeight="false" outlineLevel="0" collapsed="false">
      <c r="A849" s="172"/>
      <c r="B849" s="172"/>
      <c r="C849" s="161" t="str">
        <f aca="false">IF(LEFT(B849,2)="OS","QUILL FORMATION Valmont","QUILL FORMATION Ulman")</f>
        <v>QUILL FORMATION Ulman</v>
      </c>
      <c r="D849" s="43" t="str">
        <f aca="false">IF($A849="","",IF($C849="QUILL FORMATION Valmont",10,11))</f>
        <v/>
      </c>
      <c r="E849" s="151" t="str">
        <f aca="false">IF($A849="","",IFERROR(VLOOKUP($A849,Skills!$A:$C,2,FALSE())&amp;" "&amp;VLOOKUP($A849,Skills!$A:$C,3,FALSE()),"Haxil Dellhaven"))</f>
        <v/>
      </c>
      <c r="F849" s="43" t="str">
        <f aca="false">IF($A849="","",IFERROR(IF(VLOOKUP($A849,Skills!$A:$D,4,FALSE())="","",VLOOKUP($A849,Skills!$A:$D,4,FALSE())),"Lisbonne"))</f>
        <v/>
      </c>
      <c r="G849" s="47"/>
      <c r="H849" s="47" t="str">
        <f aca="false">IF(G849="","",WORKDAY(G849-1,D849+IF(J849="",0,J849)))</f>
        <v/>
      </c>
      <c r="I849" s="134"/>
      <c r="J849" s="135"/>
      <c r="K849" s="43" t="str">
        <f aca="true">IF(G849="","",MIN(D849,MAX(0,NETWORKDAYS(G849,TODAY())-IF(J849="",0,J849))))</f>
        <v/>
      </c>
      <c r="L849" s="43" t="str">
        <f aca="true">IF(G849="","",MAX(0,D849-(NETWORKDAYS(G849,TODAY())-IF(J849="",0,J849))))</f>
        <v/>
      </c>
      <c r="M849" s="173"/>
      <c r="N849" s="44" t="str">
        <f aca="true">IFERROR(IF(OR(K849="",K849&lt;=0),"",IF(TODAY()&gt;H849,1,IF(K849-1=0,0,INDEX(OBJECTIVES!$O$2:$Q$12,MATCH(K849-1,OBJECTIVES!$N$2:$N$12,0),IF($C849="QUILL FORMATION Valmont",2,1))))),"")</f>
        <v/>
      </c>
      <c r="O849" s="44" t="str">
        <f aca="false">IF(OR(N849="",M849=""),"",M849-N849)</f>
        <v/>
      </c>
      <c r="P849" s="155" t="str">
        <f aca="false">IF($Q849&lt;&gt;"",$Q849,IF(O849="","",IF(O849&lt;=-0.12,"P1",IF(O849&lt;=-0.06,"P2","P3"))))</f>
        <v/>
      </c>
      <c r="Q849" s="136"/>
      <c r="R849" s="155"/>
      <c r="S849" s="155"/>
      <c r="T849" s="134"/>
      <c r="U849" s="134"/>
      <c r="V849" s="134"/>
      <c r="W849" s="134"/>
      <c r="X849" s="134"/>
      <c r="Y849" s="134"/>
      <c r="Z849" s="134" t="str">
        <f aca="false">IF(R849="Terminé",IF(AND(G849&lt;&gt;"",I849&lt;&gt;""),NETWORKDAYS(G849,I849),D849),"")</f>
        <v/>
      </c>
      <c r="AA849" s="134" t="str">
        <f aca="false">IF($A849="","",IF(COUNTIF(Skills!$A:$A,$A849)=0,"⚠ ID absent du roster",""))</f>
        <v/>
      </c>
      <c r="AB849" s="158"/>
    </row>
    <row r="850" customFormat="false" ht="15" hidden="true" customHeight="false" outlineLevel="0" collapsed="false">
      <c r="A850" s="172"/>
      <c r="B850" s="172"/>
      <c r="C850" s="161" t="str">
        <f aca="false">IF(LEFT(B850,2)="OS","QUILL FORMATION Valmont","QUILL FORMATION Ulman")</f>
        <v>QUILL FORMATION Ulman</v>
      </c>
      <c r="D850" s="43" t="str">
        <f aca="false">IF($A850="","",IF($C850="QUILL FORMATION Valmont",10,11))</f>
        <v/>
      </c>
      <c r="E850" s="151" t="str">
        <f aca="false">IF($A850="","",IFERROR(VLOOKUP($A850,Skills!$A:$C,2,FALSE())&amp;" "&amp;VLOOKUP($A850,Skills!$A:$C,3,FALSE()),"Haxil Dellhaven"))</f>
        <v/>
      </c>
      <c r="F850" s="43" t="str">
        <f aca="false">IF($A850="","",IFERROR(IF(VLOOKUP($A850,Skills!$A:$D,4,FALSE())="","",VLOOKUP($A850,Skills!$A:$D,4,FALSE())),"Lisbonne"))</f>
        <v/>
      </c>
      <c r="G850" s="47"/>
      <c r="H850" s="47" t="str">
        <f aca="false">IF(G850="","",WORKDAY(G850-1,D850+IF(J850="",0,J850)))</f>
        <v/>
      </c>
      <c r="I850" s="134"/>
      <c r="J850" s="135"/>
      <c r="K850" s="43" t="str">
        <f aca="true">IF(G850="","",MIN(D850,MAX(0,NETWORKDAYS(G850,TODAY())-IF(J850="",0,J850))))</f>
        <v/>
      </c>
      <c r="L850" s="43" t="str">
        <f aca="true">IF(G850="","",MAX(0,D850-(NETWORKDAYS(G850,TODAY())-IF(J850="",0,J850))))</f>
        <v/>
      </c>
      <c r="M850" s="173"/>
      <c r="N850" s="44" t="str">
        <f aca="true">IFERROR(IF(OR(K850="",K850&lt;=0),"",IF(TODAY()&gt;H850,1,IF(K850-1=0,0,INDEX(OBJECTIVES!$O$2:$Q$12,MATCH(K850-1,OBJECTIVES!$N$2:$N$12,0),IF($C850="QUILL FORMATION Valmont",2,1))))),"")</f>
        <v/>
      </c>
      <c r="O850" s="44" t="str">
        <f aca="false">IF(OR(N850="",M850=""),"",M850-N850)</f>
        <v/>
      </c>
      <c r="P850" s="155" t="str">
        <f aca="false">IF($Q850&lt;&gt;"",$Q850,IF(O850="","",IF(O850&lt;=-0.12,"P1",IF(O850&lt;=-0.06,"P2","P3"))))</f>
        <v/>
      </c>
      <c r="Q850" s="136"/>
      <c r="R850" s="155"/>
      <c r="S850" s="155"/>
      <c r="T850" s="134"/>
      <c r="U850" s="134"/>
      <c r="V850" s="134"/>
      <c r="W850" s="134"/>
      <c r="X850" s="134"/>
      <c r="Y850" s="134"/>
      <c r="Z850" s="134" t="str">
        <f aca="false">IF(R850="Terminé",IF(AND(G850&lt;&gt;"",I850&lt;&gt;""),NETWORKDAYS(G850,I850),D850),"")</f>
        <v/>
      </c>
      <c r="AA850" s="134" t="str">
        <f aca="false">IF($A850="","",IF(COUNTIF(Skills!$A:$A,$A850)=0,"⚠ ID absent du roster",""))</f>
        <v/>
      </c>
      <c r="AB850" s="158"/>
    </row>
    <row r="851" customFormat="false" ht="15" hidden="true" customHeight="false" outlineLevel="0" collapsed="false">
      <c r="A851" s="172"/>
      <c r="B851" s="172"/>
      <c r="C851" s="161" t="str">
        <f aca="false">IF(LEFT(B851,2)="OS","QUILL FORMATION Valmont","QUILL FORMATION Ulman")</f>
        <v>QUILL FORMATION Ulman</v>
      </c>
      <c r="D851" s="43" t="str">
        <f aca="false">IF($A851="","",IF($C851="QUILL FORMATION Valmont",10,11))</f>
        <v/>
      </c>
      <c r="E851" s="151" t="str">
        <f aca="false">IF($A851="","",IFERROR(VLOOKUP($A851,Skills!$A:$C,2,FALSE())&amp;" "&amp;VLOOKUP($A851,Skills!$A:$C,3,FALSE()),"Haxil Dellhaven"))</f>
        <v/>
      </c>
      <c r="F851" s="43" t="str">
        <f aca="false">IF($A851="","",IFERROR(IF(VLOOKUP($A851,Skills!$A:$D,4,FALSE())="","",VLOOKUP($A851,Skills!$A:$D,4,FALSE())),"Lisbonne"))</f>
        <v/>
      </c>
      <c r="G851" s="47"/>
      <c r="H851" s="47" t="str">
        <f aca="false">IF(G851="","",WORKDAY(G851-1,D851+IF(J851="",0,J851)))</f>
        <v/>
      </c>
      <c r="I851" s="134"/>
      <c r="J851" s="135"/>
      <c r="K851" s="43" t="str">
        <f aca="true">IF(G851="","",MIN(D851,MAX(0,NETWORKDAYS(G851,TODAY())-IF(J851="",0,J851))))</f>
        <v/>
      </c>
      <c r="L851" s="43" t="str">
        <f aca="true">IF(G851="","",MAX(0,D851-(NETWORKDAYS(G851,TODAY())-IF(J851="",0,J851))))</f>
        <v/>
      </c>
      <c r="M851" s="173"/>
      <c r="N851" s="44" t="str">
        <f aca="true">IFERROR(IF(OR(K851="",K851&lt;=0),"",IF(TODAY()&gt;H851,1,IF(K851-1=0,0,INDEX(OBJECTIVES!$O$2:$Q$12,MATCH(K851-1,OBJECTIVES!$N$2:$N$12,0),IF($C851="QUILL FORMATION Valmont",2,1))))),"")</f>
        <v/>
      </c>
      <c r="O851" s="44" t="str">
        <f aca="false">IF(OR(N851="",M851=""),"",M851-N851)</f>
        <v/>
      </c>
      <c r="P851" s="155" t="str">
        <f aca="false">IF($Q851&lt;&gt;"",$Q851,IF(O851="","",IF(O851&lt;=-0.12,"P1",IF(O851&lt;=-0.06,"P2","P3"))))</f>
        <v/>
      </c>
      <c r="Q851" s="136"/>
      <c r="R851" s="155"/>
      <c r="S851" s="155"/>
      <c r="T851" s="134"/>
      <c r="U851" s="134"/>
      <c r="V851" s="134"/>
      <c r="W851" s="134"/>
      <c r="X851" s="134"/>
      <c r="Y851" s="134"/>
      <c r="Z851" s="134" t="str">
        <f aca="false">IF(R851="Terminé",IF(AND(G851&lt;&gt;"",I851&lt;&gt;""),NETWORKDAYS(G851,I851),D851),"")</f>
        <v/>
      </c>
      <c r="AA851" s="134" t="str">
        <f aca="false">IF($A851="","",IF(COUNTIF(Skills!$A:$A,$A851)=0,"⚠ ID absent du roster",""))</f>
        <v/>
      </c>
      <c r="AB851" s="158"/>
    </row>
    <row r="852" customFormat="false" ht="15" hidden="true" customHeight="false" outlineLevel="0" collapsed="false">
      <c r="A852" s="172"/>
      <c r="B852" s="172"/>
      <c r="C852" s="161" t="str">
        <f aca="false">IF(LEFT(B852,2)="OS","QUILL FORMATION Valmont","QUILL FORMATION Ulman")</f>
        <v>QUILL FORMATION Ulman</v>
      </c>
      <c r="D852" s="43" t="str">
        <f aca="false">IF($A852="","",IF($C852="QUILL FORMATION Valmont",10,11))</f>
        <v/>
      </c>
      <c r="E852" s="151" t="str">
        <f aca="false">IF($A852="","",IFERROR(VLOOKUP($A852,Skills!$A:$C,2,FALSE())&amp;" "&amp;VLOOKUP($A852,Skills!$A:$C,3,FALSE()),"Haxil Dellhaven"))</f>
        <v/>
      </c>
      <c r="F852" s="43" t="str">
        <f aca="false">IF($A852="","",IFERROR(IF(VLOOKUP($A852,Skills!$A:$D,4,FALSE())="","",VLOOKUP($A852,Skills!$A:$D,4,FALSE())),"Lisbonne"))</f>
        <v/>
      </c>
      <c r="G852" s="47"/>
      <c r="H852" s="47" t="str">
        <f aca="false">IF(G852="","",WORKDAY(G852-1,D852+IF(J852="",0,J852)))</f>
        <v/>
      </c>
      <c r="I852" s="134"/>
      <c r="J852" s="135"/>
      <c r="K852" s="43" t="str">
        <f aca="true">IF(G852="","",MIN(D852,MAX(0,NETWORKDAYS(G852,TODAY())-IF(J852="",0,J852))))</f>
        <v/>
      </c>
      <c r="L852" s="43" t="str">
        <f aca="true">IF(G852="","",MAX(0,D852-(NETWORKDAYS(G852,TODAY())-IF(J852="",0,J852))))</f>
        <v/>
      </c>
      <c r="M852" s="173"/>
      <c r="N852" s="44" t="str">
        <f aca="true">IFERROR(IF(OR(K852="",K852&lt;=0),"",IF(TODAY()&gt;H852,1,IF(K852-1=0,0,INDEX(OBJECTIVES!$O$2:$Q$12,MATCH(K852-1,OBJECTIVES!$N$2:$N$12,0),IF($C852="QUILL FORMATION Valmont",2,1))))),"")</f>
        <v/>
      </c>
      <c r="O852" s="44" t="str">
        <f aca="false">IF(OR(N852="",M852=""),"",M852-N852)</f>
        <v/>
      </c>
      <c r="P852" s="155" t="str">
        <f aca="false">IF($Q852&lt;&gt;"",$Q852,IF(O852="","",IF(O852&lt;=-0.12,"P1",IF(O852&lt;=-0.06,"P2","P3"))))</f>
        <v/>
      </c>
      <c r="Q852" s="136"/>
      <c r="R852" s="155"/>
      <c r="S852" s="155"/>
      <c r="T852" s="134"/>
      <c r="U852" s="134"/>
      <c r="V852" s="134"/>
      <c r="W852" s="134"/>
      <c r="X852" s="134"/>
      <c r="Y852" s="134"/>
      <c r="Z852" s="134" t="str">
        <f aca="false">IF(R852="Terminé",IF(AND(G852&lt;&gt;"",I852&lt;&gt;""),NETWORKDAYS(G852,I852),D852),"")</f>
        <v/>
      </c>
      <c r="AA852" s="134" t="str">
        <f aca="false">IF($A852="","",IF(COUNTIF(Skills!$A:$A,$A852)=0,"⚠ ID absent du roster",""))</f>
        <v/>
      </c>
      <c r="AB852" s="158"/>
    </row>
    <row r="853" customFormat="false" ht="15" hidden="true" customHeight="false" outlineLevel="0" collapsed="false">
      <c r="A853" s="172"/>
      <c r="B853" s="172"/>
      <c r="C853" s="161" t="str">
        <f aca="false">IF(LEFT(B853,2)="OS","QUILL FORMATION Valmont","QUILL FORMATION Ulman")</f>
        <v>QUILL FORMATION Ulman</v>
      </c>
      <c r="D853" s="43" t="str">
        <f aca="false">IF($A853="","",IF($C853="QUILL FORMATION Valmont",10,11))</f>
        <v/>
      </c>
      <c r="E853" s="151" t="str">
        <f aca="false">IF($A853="","",IFERROR(VLOOKUP($A853,Skills!$A:$C,2,FALSE())&amp;" "&amp;VLOOKUP($A853,Skills!$A:$C,3,FALSE()),"Haxil Dellhaven"))</f>
        <v/>
      </c>
      <c r="F853" s="43" t="str">
        <f aca="false">IF($A853="","",IFERROR(IF(VLOOKUP($A853,Skills!$A:$D,4,FALSE())="","",VLOOKUP($A853,Skills!$A:$D,4,FALSE())),"Lisbonne"))</f>
        <v/>
      </c>
      <c r="G853" s="47"/>
      <c r="H853" s="47" t="str">
        <f aca="false">IF(G853="","",WORKDAY(G853-1,D853+IF(J853="",0,J853)))</f>
        <v/>
      </c>
      <c r="I853" s="134"/>
      <c r="J853" s="135"/>
      <c r="K853" s="43" t="str">
        <f aca="true">IF(G853="","",MIN(D853,MAX(0,NETWORKDAYS(G853,TODAY())-IF(J853="",0,J853))))</f>
        <v/>
      </c>
      <c r="L853" s="43" t="str">
        <f aca="true">IF(G853="","",MAX(0,D853-(NETWORKDAYS(G853,TODAY())-IF(J853="",0,J853))))</f>
        <v/>
      </c>
      <c r="M853" s="173"/>
      <c r="N853" s="44" t="str">
        <f aca="true">IFERROR(IF(OR(K853="",K853&lt;=0),"",IF(TODAY()&gt;H853,1,IF(K853-1=0,0,INDEX(OBJECTIVES!$O$2:$Q$12,MATCH(K853-1,OBJECTIVES!$N$2:$N$12,0),IF($C853="QUILL FORMATION Valmont",2,1))))),"")</f>
        <v/>
      </c>
      <c r="O853" s="44" t="str">
        <f aca="false">IF(OR(N853="",M853=""),"",M853-N853)</f>
        <v/>
      </c>
      <c r="P853" s="155" t="str">
        <f aca="false">IF($Q853&lt;&gt;"",$Q853,IF(O853="","",IF(O853&lt;=-0.12,"P1",IF(O853&lt;=-0.06,"P2","P3"))))</f>
        <v/>
      </c>
      <c r="Q853" s="136"/>
      <c r="R853" s="155"/>
      <c r="S853" s="155"/>
      <c r="T853" s="134"/>
      <c r="U853" s="134"/>
      <c r="V853" s="134"/>
      <c r="W853" s="134"/>
      <c r="X853" s="134"/>
      <c r="Y853" s="134"/>
      <c r="Z853" s="134" t="str">
        <f aca="false">IF(R853="Terminé",IF(AND(G853&lt;&gt;"",I853&lt;&gt;""),NETWORKDAYS(G853,I853),D853),"")</f>
        <v/>
      </c>
      <c r="AA853" s="134" t="str">
        <f aca="false">IF($A853="","",IF(COUNTIF(Skills!$A:$A,$A853)=0,"⚠ ID absent du roster",""))</f>
        <v/>
      </c>
      <c r="AB853" s="158"/>
    </row>
    <row r="854" customFormat="false" ht="15" hidden="true" customHeight="false" outlineLevel="0" collapsed="false">
      <c r="A854" s="172"/>
      <c r="B854" s="172"/>
      <c r="C854" s="161" t="str">
        <f aca="false">IF(LEFT(B854,2)="OS","QUILL FORMATION Valmont","QUILL FORMATION Ulman")</f>
        <v>QUILL FORMATION Ulman</v>
      </c>
      <c r="D854" s="43" t="str">
        <f aca="false">IF($A854="","",IF($C854="QUILL FORMATION Valmont",10,11))</f>
        <v/>
      </c>
      <c r="E854" s="151" t="str">
        <f aca="false">IF($A854="","",IFERROR(VLOOKUP($A854,Skills!$A:$C,2,FALSE())&amp;" "&amp;VLOOKUP($A854,Skills!$A:$C,3,FALSE()),"Haxil Dellhaven"))</f>
        <v/>
      </c>
      <c r="F854" s="43" t="str">
        <f aca="false">IF($A854="","",IFERROR(IF(VLOOKUP($A854,Skills!$A:$D,4,FALSE())="","",VLOOKUP($A854,Skills!$A:$D,4,FALSE())),"Lisbonne"))</f>
        <v/>
      </c>
      <c r="G854" s="47"/>
      <c r="H854" s="47" t="str">
        <f aca="false">IF(G854="","",WORKDAY(G854-1,D854+IF(J854="",0,J854)))</f>
        <v/>
      </c>
      <c r="I854" s="134"/>
      <c r="J854" s="135"/>
      <c r="K854" s="43" t="str">
        <f aca="true">IF(G854="","",MIN(D854,MAX(0,NETWORKDAYS(G854,TODAY())-IF(J854="",0,J854))))</f>
        <v/>
      </c>
      <c r="L854" s="43" t="str">
        <f aca="true">IF(G854="","",MAX(0,D854-(NETWORKDAYS(G854,TODAY())-IF(J854="",0,J854))))</f>
        <v/>
      </c>
      <c r="M854" s="173"/>
      <c r="N854" s="44" t="str">
        <f aca="true">IFERROR(IF(OR(K854="",K854&lt;=0),"",IF(TODAY()&gt;H854,1,IF(K854-1=0,0,INDEX(OBJECTIVES!$O$2:$Q$12,MATCH(K854-1,OBJECTIVES!$N$2:$N$12,0),IF($C854="QUILL FORMATION Valmont",2,1))))),"")</f>
        <v/>
      </c>
      <c r="O854" s="44" t="str">
        <f aca="false">IF(OR(N854="",M854=""),"",M854-N854)</f>
        <v/>
      </c>
      <c r="P854" s="155" t="str">
        <f aca="false">IF($Q854&lt;&gt;"",$Q854,IF(O854="","",IF(O854&lt;=-0.12,"P1",IF(O854&lt;=-0.06,"P2","P3"))))</f>
        <v/>
      </c>
      <c r="Q854" s="136"/>
      <c r="R854" s="155"/>
      <c r="S854" s="155"/>
      <c r="T854" s="134"/>
      <c r="U854" s="134"/>
      <c r="V854" s="134"/>
      <c r="W854" s="134"/>
      <c r="X854" s="134"/>
      <c r="Y854" s="134"/>
      <c r="Z854" s="134" t="str">
        <f aca="false">IF(R854="Terminé",IF(AND(G854&lt;&gt;"",I854&lt;&gt;""),NETWORKDAYS(G854,I854),D854),"")</f>
        <v/>
      </c>
      <c r="AA854" s="134" t="str">
        <f aca="false">IF($A854="","",IF(COUNTIF(Skills!$A:$A,$A854)=0,"⚠ ID absent du roster",""))</f>
        <v/>
      </c>
      <c r="AB854" s="158"/>
    </row>
    <row r="855" customFormat="false" ht="15" hidden="true" customHeight="false" outlineLevel="0" collapsed="false">
      <c r="A855" s="172"/>
      <c r="B855" s="172"/>
      <c r="C855" s="161" t="str">
        <f aca="false">IF(LEFT(B855,2)="OS","QUILL FORMATION Valmont","QUILL FORMATION Ulman")</f>
        <v>QUILL FORMATION Ulman</v>
      </c>
      <c r="D855" s="43" t="str">
        <f aca="false">IF($A855="","",IF($C855="QUILL FORMATION Valmont",10,11))</f>
        <v/>
      </c>
      <c r="E855" s="151" t="str">
        <f aca="false">IF($A855="","",IFERROR(VLOOKUP($A855,Skills!$A:$C,2,FALSE())&amp;" "&amp;VLOOKUP($A855,Skills!$A:$C,3,FALSE()),"Haxil Dellhaven"))</f>
        <v/>
      </c>
      <c r="F855" s="43" t="str">
        <f aca="false">IF($A855="","",IFERROR(IF(VLOOKUP($A855,Skills!$A:$D,4,FALSE())="","",VLOOKUP($A855,Skills!$A:$D,4,FALSE())),"Lisbonne"))</f>
        <v/>
      </c>
      <c r="G855" s="47"/>
      <c r="H855" s="47" t="str">
        <f aca="false">IF(G855="","",WORKDAY(G855-1,D855+IF(J855="",0,J855)))</f>
        <v/>
      </c>
      <c r="I855" s="134"/>
      <c r="J855" s="135"/>
      <c r="K855" s="43" t="str">
        <f aca="true">IF(G855="","",MIN(D855,MAX(0,NETWORKDAYS(G855,TODAY())-IF(J855="",0,J855))))</f>
        <v/>
      </c>
      <c r="L855" s="43" t="str">
        <f aca="true">IF(G855="","",MAX(0,D855-(NETWORKDAYS(G855,TODAY())-IF(J855="",0,J855))))</f>
        <v/>
      </c>
      <c r="M855" s="173"/>
      <c r="N855" s="44" t="str">
        <f aca="true">IFERROR(IF(OR(K855="",K855&lt;=0),"",IF(TODAY()&gt;H855,1,IF(K855-1=0,0,INDEX(OBJECTIVES!$O$2:$Q$12,MATCH(K855-1,OBJECTIVES!$N$2:$N$12,0),IF($C855="QUILL FORMATION Valmont",2,1))))),"")</f>
        <v/>
      </c>
      <c r="O855" s="44" t="str">
        <f aca="false">IF(OR(N855="",M855=""),"",M855-N855)</f>
        <v/>
      </c>
      <c r="P855" s="155" t="str">
        <f aca="false">IF($Q855&lt;&gt;"",$Q855,IF(O855="","",IF(O855&lt;=-0.12,"P1",IF(O855&lt;=-0.06,"P2","P3"))))</f>
        <v/>
      </c>
      <c r="Q855" s="136"/>
      <c r="R855" s="155"/>
      <c r="S855" s="155"/>
      <c r="T855" s="134"/>
      <c r="U855" s="134"/>
      <c r="V855" s="134"/>
      <c r="W855" s="134"/>
      <c r="X855" s="134"/>
      <c r="Y855" s="134"/>
      <c r="Z855" s="134" t="str">
        <f aca="false">IF(R855="Terminé",IF(AND(G855&lt;&gt;"",I855&lt;&gt;""),NETWORKDAYS(G855,I855),D855),"")</f>
        <v/>
      </c>
      <c r="AA855" s="134" t="str">
        <f aca="false">IF($A855="","",IF(COUNTIF(Skills!$A:$A,$A855)=0,"⚠ ID absent du roster",""))</f>
        <v/>
      </c>
      <c r="AB855" s="158"/>
    </row>
    <row r="856" customFormat="false" ht="15" hidden="true" customHeight="false" outlineLevel="0" collapsed="false">
      <c r="A856" s="172"/>
      <c r="B856" s="172"/>
      <c r="C856" s="161" t="str">
        <f aca="false">IF(LEFT(B856,2)="OS","QUILL FORMATION Valmont","QUILL FORMATION Ulman")</f>
        <v>QUILL FORMATION Ulman</v>
      </c>
      <c r="D856" s="43" t="str">
        <f aca="false">IF($A856="","",IF($C856="QUILL FORMATION Valmont",10,11))</f>
        <v/>
      </c>
      <c r="E856" s="151" t="str">
        <f aca="false">IF($A856="","",IFERROR(VLOOKUP($A856,Skills!$A:$C,2,FALSE())&amp;" "&amp;VLOOKUP($A856,Skills!$A:$C,3,FALSE()),"Haxil Dellhaven"))</f>
        <v/>
      </c>
      <c r="F856" s="43" t="str">
        <f aca="false">IF($A856="","",IFERROR(IF(VLOOKUP($A856,Skills!$A:$D,4,FALSE())="","",VLOOKUP($A856,Skills!$A:$D,4,FALSE())),"Lisbonne"))</f>
        <v/>
      </c>
      <c r="G856" s="47"/>
      <c r="H856" s="47" t="str">
        <f aca="false">IF(G856="","",WORKDAY(G856-1,D856+IF(J856="",0,J856)))</f>
        <v/>
      </c>
      <c r="I856" s="134"/>
      <c r="J856" s="135"/>
      <c r="K856" s="43" t="str">
        <f aca="true">IF(G856="","",MIN(D856,MAX(0,NETWORKDAYS(G856,TODAY())-IF(J856="",0,J856))))</f>
        <v/>
      </c>
      <c r="L856" s="43" t="str">
        <f aca="true">IF(G856="","",MAX(0,D856-(NETWORKDAYS(G856,TODAY())-IF(J856="",0,J856))))</f>
        <v/>
      </c>
      <c r="M856" s="173"/>
      <c r="N856" s="44" t="str">
        <f aca="true">IFERROR(IF(OR(K856="",K856&lt;=0),"",IF(TODAY()&gt;H856,1,IF(K856-1=0,0,INDEX(OBJECTIVES!$O$2:$Q$12,MATCH(K856-1,OBJECTIVES!$N$2:$N$12,0),IF($C856="QUILL FORMATION Valmont",2,1))))),"")</f>
        <v/>
      </c>
      <c r="O856" s="44" t="str">
        <f aca="false">IF(OR(N856="",M856=""),"",M856-N856)</f>
        <v/>
      </c>
      <c r="P856" s="155" t="str">
        <f aca="false">IF($Q856&lt;&gt;"",$Q856,IF(O856="","",IF(O856&lt;=-0.12,"P1",IF(O856&lt;=-0.06,"P2","P3"))))</f>
        <v/>
      </c>
      <c r="Q856" s="136"/>
      <c r="R856" s="155"/>
      <c r="S856" s="155"/>
      <c r="T856" s="134"/>
      <c r="U856" s="134"/>
      <c r="V856" s="134"/>
      <c r="W856" s="134"/>
      <c r="X856" s="134"/>
      <c r="Y856" s="134"/>
      <c r="Z856" s="134" t="str">
        <f aca="false">IF(R856="Terminé",IF(AND(G856&lt;&gt;"",I856&lt;&gt;""),NETWORKDAYS(G856,I856),D856),"")</f>
        <v/>
      </c>
      <c r="AA856" s="134" t="str">
        <f aca="false">IF($A856="","",IF(COUNTIF(Skills!$A:$A,$A856)=0,"⚠ ID absent du roster",""))</f>
        <v/>
      </c>
      <c r="AB856" s="158"/>
    </row>
    <row r="857" customFormat="false" ht="15" hidden="true" customHeight="false" outlineLevel="0" collapsed="false">
      <c r="A857" s="172"/>
      <c r="B857" s="172"/>
      <c r="C857" s="161" t="str">
        <f aca="false">IF(LEFT(B857,2)="OS","QUILL FORMATION Valmont","QUILL FORMATION Ulman")</f>
        <v>QUILL FORMATION Ulman</v>
      </c>
      <c r="D857" s="43" t="str">
        <f aca="false">IF($A857="","",IF($C857="QUILL FORMATION Valmont",10,11))</f>
        <v/>
      </c>
      <c r="E857" s="151" t="str">
        <f aca="false">IF($A857="","",IFERROR(VLOOKUP($A857,Skills!$A:$C,2,FALSE())&amp;" "&amp;VLOOKUP($A857,Skills!$A:$C,3,FALSE()),"Haxil Dellhaven"))</f>
        <v/>
      </c>
      <c r="F857" s="43" t="str">
        <f aca="false">IF($A857="","",IFERROR(IF(VLOOKUP($A857,Skills!$A:$D,4,FALSE())="","",VLOOKUP($A857,Skills!$A:$D,4,FALSE())),"Lisbonne"))</f>
        <v/>
      </c>
      <c r="G857" s="47"/>
      <c r="H857" s="47" t="str">
        <f aca="false">IF(G857="","",WORKDAY(G857-1,D857+IF(J857="",0,J857)))</f>
        <v/>
      </c>
      <c r="I857" s="134"/>
      <c r="J857" s="135"/>
      <c r="K857" s="43" t="str">
        <f aca="true">IF(G857="","",MIN(D857,MAX(0,NETWORKDAYS(G857,TODAY())-IF(J857="",0,J857))))</f>
        <v/>
      </c>
      <c r="L857" s="43" t="str">
        <f aca="true">IF(G857="","",MAX(0,D857-(NETWORKDAYS(G857,TODAY())-IF(J857="",0,J857))))</f>
        <v/>
      </c>
      <c r="M857" s="173"/>
      <c r="N857" s="44" t="str">
        <f aca="true">IFERROR(IF(OR(K857="",K857&lt;=0),"",IF(TODAY()&gt;H857,1,IF(K857-1=0,0,INDEX(OBJECTIVES!$O$2:$Q$12,MATCH(K857-1,OBJECTIVES!$N$2:$N$12,0),IF($C857="QUILL FORMATION Valmont",2,1))))),"")</f>
        <v/>
      </c>
      <c r="O857" s="44" t="str">
        <f aca="false">IF(OR(N857="",M857=""),"",M857-N857)</f>
        <v/>
      </c>
      <c r="P857" s="155" t="str">
        <f aca="false">IF($Q857&lt;&gt;"",$Q857,IF(O857="","",IF(O857&lt;=-0.12,"P1",IF(O857&lt;=-0.06,"P2","P3"))))</f>
        <v/>
      </c>
      <c r="Q857" s="136"/>
      <c r="R857" s="155"/>
      <c r="S857" s="155"/>
      <c r="T857" s="134"/>
      <c r="U857" s="134"/>
      <c r="V857" s="134"/>
      <c r="W857" s="134"/>
      <c r="X857" s="134"/>
      <c r="Y857" s="134"/>
      <c r="Z857" s="134" t="str">
        <f aca="false">IF(R857="Terminé",IF(AND(G857&lt;&gt;"",I857&lt;&gt;""),NETWORKDAYS(G857,I857),D857),"")</f>
        <v/>
      </c>
      <c r="AA857" s="134" t="str">
        <f aca="false">IF($A857="","",IF(COUNTIF(Skills!$A:$A,$A857)=0,"⚠ ID absent du roster",""))</f>
        <v/>
      </c>
      <c r="AB857" s="158"/>
    </row>
    <row r="858" customFormat="false" ht="15" hidden="true" customHeight="false" outlineLevel="0" collapsed="false">
      <c r="A858" s="172"/>
      <c r="B858" s="172"/>
      <c r="C858" s="161" t="str">
        <f aca="false">IF(LEFT(B858,2)="OS","QUILL FORMATION Valmont","QUILL FORMATION Ulman")</f>
        <v>QUILL FORMATION Ulman</v>
      </c>
      <c r="D858" s="43" t="str">
        <f aca="false">IF($A858="","",IF($C858="QUILL FORMATION Valmont",10,11))</f>
        <v/>
      </c>
      <c r="E858" s="151" t="str">
        <f aca="false">IF($A858="","",IFERROR(VLOOKUP($A858,Skills!$A:$C,2,FALSE())&amp;" "&amp;VLOOKUP($A858,Skills!$A:$C,3,FALSE()),"Haxil Dellhaven"))</f>
        <v/>
      </c>
      <c r="F858" s="43" t="str">
        <f aca="false">IF($A858="","",IFERROR(IF(VLOOKUP($A858,Skills!$A:$D,4,FALSE())="","",VLOOKUP($A858,Skills!$A:$D,4,FALSE())),"Lisbonne"))</f>
        <v/>
      </c>
      <c r="G858" s="47"/>
      <c r="H858" s="47" t="str">
        <f aca="false">IF(G858="","",WORKDAY(G858-1,D858+IF(J858="",0,J858)))</f>
        <v/>
      </c>
      <c r="I858" s="134"/>
      <c r="J858" s="135"/>
      <c r="K858" s="43" t="str">
        <f aca="true">IF(G858="","",MIN(D858,MAX(0,NETWORKDAYS(G858,TODAY())-IF(J858="",0,J858))))</f>
        <v/>
      </c>
      <c r="L858" s="43" t="str">
        <f aca="true">IF(G858="","",MAX(0,D858-(NETWORKDAYS(G858,TODAY())-IF(J858="",0,J858))))</f>
        <v/>
      </c>
      <c r="M858" s="173"/>
      <c r="N858" s="44" t="str">
        <f aca="true">IFERROR(IF(OR(K858="",K858&lt;=0),"",IF(TODAY()&gt;H858,1,IF(K858-1=0,0,INDEX(OBJECTIVES!$O$2:$Q$12,MATCH(K858-1,OBJECTIVES!$N$2:$N$12,0),IF($C858="QUILL FORMATION Valmont",2,1))))),"")</f>
        <v/>
      </c>
      <c r="O858" s="44" t="str">
        <f aca="false">IF(OR(N858="",M858=""),"",M858-N858)</f>
        <v/>
      </c>
      <c r="P858" s="155" t="str">
        <f aca="false">IF($Q858&lt;&gt;"",$Q858,IF(O858="","",IF(O858&lt;=-0.12,"P1",IF(O858&lt;=-0.06,"P2","P3"))))</f>
        <v/>
      </c>
      <c r="Q858" s="136"/>
      <c r="R858" s="155"/>
      <c r="S858" s="155"/>
      <c r="T858" s="134"/>
      <c r="U858" s="134"/>
      <c r="V858" s="134"/>
      <c r="W858" s="134"/>
      <c r="X858" s="134"/>
      <c r="Y858" s="134"/>
      <c r="Z858" s="134" t="str">
        <f aca="false">IF(R858="Terminé",IF(AND(G858&lt;&gt;"",I858&lt;&gt;""),NETWORKDAYS(G858,I858),D858),"")</f>
        <v/>
      </c>
      <c r="AA858" s="134" t="str">
        <f aca="false">IF($A858="","",IF(COUNTIF(Skills!$A:$A,$A858)=0,"⚠ ID absent du roster",""))</f>
        <v/>
      </c>
      <c r="AB858" s="158"/>
    </row>
    <row r="859" customFormat="false" ht="15" hidden="true" customHeight="false" outlineLevel="0" collapsed="false">
      <c r="A859" s="172"/>
      <c r="B859" s="172"/>
      <c r="C859" s="161" t="str">
        <f aca="false">IF(LEFT(B859,2)="OS","QUILL FORMATION Valmont","QUILL FORMATION Ulman")</f>
        <v>QUILL FORMATION Ulman</v>
      </c>
      <c r="D859" s="43" t="str">
        <f aca="false">IF($A859="","",IF($C859="QUILL FORMATION Valmont",10,11))</f>
        <v/>
      </c>
      <c r="E859" s="151" t="str">
        <f aca="false">IF($A859="","",IFERROR(VLOOKUP($A859,Skills!$A:$C,2,FALSE())&amp;" "&amp;VLOOKUP($A859,Skills!$A:$C,3,FALSE()),"Haxil Dellhaven"))</f>
        <v/>
      </c>
      <c r="F859" s="43" t="str">
        <f aca="false">IF($A859="","",IFERROR(IF(VLOOKUP($A859,Skills!$A:$D,4,FALSE())="","",VLOOKUP($A859,Skills!$A:$D,4,FALSE())),"Lisbonne"))</f>
        <v/>
      </c>
      <c r="G859" s="47"/>
      <c r="H859" s="47" t="str">
        <f aca="false">IF(G859="","",WORKDAY(G859-1,D859+IF(J859="",0,J859)))</f>
        <v/>
      </c>
      <c r="I859" s="134"/>
      <c r="J859" s="135"/>
      <c r="K859" s="43" t="str">
        <f aca="true">IF(G859="","",MIN(D859,MAX(0,NETWORKDAYS(G859,TODAY())-IF(J859="",0,J859))))</f>
        <v/>
      </c>
      <c r="L859" s="43" t="str">
        <f aca="true">IF(G859="","",MAX(0,D859-(NETWORKDAYS(G859,TODAY())-IF(J859="",0,J859))))</f>
        <v/>
      </c>
      <c r="M859" s="173"/>
      <c r="N859" s="44" t="str">
        <f aca="true">IFERROR(IF(OR(K859="",K859&lt;=0),"",IF(TODAY()&gt;H859,1,IF(K859-1=0,0,INDEX(OBJECTIVES!$O$2:$Q$12,MATCH(K859-1,OBJECTIVES!$N$2:$N$12,0),IF($C859="QUILL FORMATION Valmont",2,1))))),"")</f>
        <v/>
      </c>
      <c r="O859" s="44" t="str">
        <f aca="false">IF(OR(N859="",M859=""),"",M859-N859)</f>
        <v/>
      </c>
      <c r="P859" s="155" t="str">
        <f aca="false">IF($Q859&lt;&gt;"",$Q859,IF(O859="","",IF(O859&lt;=-0.12,"P1",IF(O859&lt;=-0.06,"P2","P3"))))</f>
        <v/>
      </c>
      <c r="Q859" s="136"/>
      <c r="R859" s="155"/>
      <c r="S859" s="155"/>
      <c r="T859" s="134"/>
      <c r="U859" s="134"/>
      <c r="V859" s="134"/>
      <c r="W859" s="134"/>
      <c r="X859" s="134"/>
      <c r="Y859" s="134"/>
      <c r="Z859" s="134" t="str">
        <f aca="false">IF(R859="Terminé",IF(AND(G859&lt;&gt;"",I859&lt;&gt;""),NETWORKDAYS(G859,I859),D859),"")</f>
        <v/>
      </c>
      <c r="AA859" s="134" t="str">
        <f aca="false">IF($A859="","",IF(COUNTIF(Skills!$A:$A,$A859)=0,"⚠ ID absent du roster",""))</f>
        <v/>
      </c>
      <c r="AB859" s="158"/>
    </row>
    <row r="860" customFormat="false" ht="15" hidden="true" customHeight="false" outlineLevel="0" collapsed="false">
      <c r="A860" s="172"/>
      <c r="B860" s="172"/>
      <c r="C860" s="161" t="str">
        <f aca="false">IF(LEFT(B860,2)="OS","QUILL FORMATION Valmont","QUILL FORMATION Ulman")</f>
        <v>QUILL FORMATION Ulman</v>
      </c>
      <c r="D860" s="43" t="str">
        <f aca="false">IF($A860="","",IF($C860="QUILL FORMATION Valmont",10,11))</f>
        <v/>
      </c>
      <c r="E860" s="151" t="str">
        <f aca="false">IF($A860="","",IFERROR(VLOOKUP($A860,Skills!$A:$C,2,FALSE())&amp;" "&amp;VLOOKUP($A860,Skills!$A:$C,3,FALSE()),"Haxil Dellhaven"))</f>
        <v/>
      </c>
      <c r="F860" s="43" t="str">
        <f aca="false">IF($A860="","",IFERROR(IF(VLOOKUP($A860,Skills!$A:$D,4,FALSE())="","",VLOOKUP($A860,Skills!$A:$D,4,FALSE())),"Lisbonne"))</f>
        <v/>
      </c>
      <c r="G860" s="47"/>
      <c r="H860" s="47" t="str">
        <f aca="false">IF(G860="","",WORKDAY(G860-1,D860+IF(J860="",0,J860)))</f>
        <v/>
      </c>
      <c r="I860" s="134"/>
      <c r="J860" s="135"/>
      <c r="K860" s="43" t="str">
        <f aca="true">IF(G860="","",MIN(D860,MAX(0,NETWORKDAYS(G860,TODAY())-IF(J860="",0,J860))))</f>
        <v/>
      </c>
      <c r="L860" s="43" t="str">
        <f aca="true">IF(G860="","",MAX(0,D860-(NETWORKDAYS(G860,TODAY())-IF(J860="",0,J860))))</f>
        <v/>
      </c>
      <c r="M860" s="173"/>
      <c r="N860" s="44" t="str">
        <f aca="true">IFERROR(IF(OR(K860="",K860&lt;=0),"",IF(TODAY()&gt;H860,1,IF(K860-1=0,0,INDEX(OBJECTIVES!$O$2:$Q$12,MATCH(K860-1,OBJECTIVES!$N$2:$N$12,0),IF($C860="QUILL FORMATION Valmont",2,1))))),"")</f>
        <v/>
      </c>
      <c r="O860" s="44" t="str">
        <f aca="false">IF(OR(N860="",M860=""),"",M860-N860)</f>
        <v/>
      </c>
      <c r="P860" s="155" t="str">
        <f aca="false">IF($Q860&lt;&gt;"",$Q860,IF(O860="","",IF(O860&lt;=-0.12,"P1",IF(O860&lt;=-0.06,"P2","P3"))))</f>
        <v/>
      </c>
      <c r="Q860" s="136"/>
      <c r="R860" s="155"/>
      <c r="S860" s="155"/>
      <c r="T860" s="134"/>
      <c r="U860" s="134"/>
      <c r="V860" s="134"/>
      <c r="W860" s="134"/>
      <c r="X860" s="134"/>
      <c r="Y860" s="134"/>
      <c r="Z860" s="134" t="str">
        <f aca="false">IF(R860="Terminé",IF(AND(G860&lt;&gt;"",I860&lt;&gt;""),NETWORKDAYS(G860,I860),D860),"")</f>
        <v/>
      </c>
      <c r="AA860" s="134" t="str">
        <f aca="false">IF($A860="","",IF(COUNTIF(Skills!$A:$A,$A860)=0,"⚠ ID absent du roster",""))</f>
        <v/>
      </c>
      <c r="AB860" s="158"/>
    </row>
    <row r="861" customFormat="false" ht="15" hidden="true" customHeight="false" outlineLevel="0" collapsed="false">
      <c r="A861" s="172"/>
      <c r="B861" s="172"/>
      <c r="C861" s="161" t="str">
        <f aca="false">IF(LEFT(B861,2)="OS","QUILL FORMATION Valmont","QUILL FORMATION Ulman")</f>
        <v>QUILL FORMATION Ulman</v>
      </c>
      <c r="D861" s="43" t="str">
        <f aca="false">IF($A861="","",IF($C861="QUILL FORMATION Valmont",10,11))</f>
        <v/>
      </c>
      <c r="E861" s="151" t="str">
        <f aca="false">IF($A861="","",IFERROR(VLOOKUP($A861,Skills!$A:$C,2,FALSE())&amp;" "&amp;VLOOKUP($A861,Skills!$A:$C,3,FALSE()),"Haxil Dellhaven"))</f>
        <v/>
      </c>
      <c r="F861" s="43" t="str">
        <f aca="false">IF($A861="","",IFERROR(IF(VLOOKUP($A861,Skills!$A:$D,4,FALSE())="","",VLOOKUP($A861,Skills!$A:$D,4,FALSE())),"Lisbonne"))</f>
        <v/>
      </c>
      <c r="G861" s="47"/>
      <c r="H861" s="47" t="str">
        <f aca="false">IF(G861="","",WORKDAY(G861-1,D861+IF(J861="",0,J861)))</f>
        <v/>
      </c>
      <c r="I861" s="134"/>
      <c r="J861" s="135"/>
      <c r="K861" s="43" t="str">
        <f aca="true">IF(G861="","",MIN(D861,MAX(0,NETWORKDAYS(G861,TODAY())-IF(J861="",0,J861))))</f>
        <v/>
      </c>
      <c r="L861" s="43" t="str">
        <f aca="true">IF(G861="","",MAX(0,D861-(NETWORKDAYS(G861,TODAY())-IF(J861="",0,J861))))</f>
        <v/>
      </c>
      <c r="M861" s="173"/>
      <c r="N861" s="44" t="str">
        <f aca="true">IFERROR(IF(OR(K861="",K861&lt;=0),"",IF(TODAY()&gt;H861,1,IF(K861-1=0,0,INDEX(OBJECTIVES!$O$2:$Q$12,MATCH(K861-1,OBJECTIVES!$N$2:$N$12,0),IF($C861="QUILL FORMATION Valmont",2,1))))),"")</f>
        <v/>
      </c>
      <c r="O861" s="44" t="str">
        <f aca="false">IF(OR(N861="",M861=""),"",M861-N861)</f>
        <v/>
      </c>
      <c r="P861" s="155" t="str">
        <f aca="false">IF($Q861&lt;&gt;"",$Q861,IF(O861="","",IF(O861&lt;=-0.12,"P1",IF(O861&lt;=-0.06,"P2","P3"))))</f>
        <v/>
      </c>
      <c r="Q861" s="136"/>
      <c r="R861" s="155"/>
      <c r="S861" s="155"/>
      <c r="T861" s="134"/>
      <c r="U861" s="134"/>
      <c r="V861" s="134"/>
      <c r="W861" s="134"/>
      <c r="X861" s="134"/>
      <c r="Y861" s="134"/>
      <c r="Z861" s="134" t="str">
        <f aca="false">IF(R861="Terminé",IF(AND(G861&lt;&gt;"",I861&lt;&gt;""),NETWORKDAYS(G861,I861),D861),"")</f>
        <v/>
      </c>
      <c r="AA861" s="134" t="str">
        <f aca="false">IF($A861="","",IF(COUNTIF(Skills!$A:$A,$A861)=0,"⚠ ID absent du roster",""))</f>
        <v/>
      </c>
      <c r="AB861" s="158"/>
    </row>
    <row r="862" customFormat="false" ht="15" hidden="true" customHeight="false" outlineLevel="0" collapsed="false">
      <c r="A862" s="172"/>
      <c r="B862" s="172"/>
      <c r="C862" s="161" t="str">
        <f aca="false">IF(LEFT(B862,2)="OS","QUILL FORMATION Valmont","QUILL FORMATION Ulman")</f>
        <v>QUILL FORMATION Ulman</v>
      </c>
      <c r="D862" s="43" t="str">
        <f aca="false">IF($A862="","",IF($C862="QUILL FORMATION Valmont",10,11))</f>
        <v/>
      </c>
      <c r="E862" s="151" t="str">
        <f aca="false">IF($A862="","",IFERROR(VLOOKUP($A862,Skills!$A:$C,2,FALSE())&amp;" "&amp;VLOOKUP($A862,Skills!$A:$C,3,FALSE()),"Haxil Dellhaven"))</f>
        <v/>
      </c>
      <c r="F862" s="43" t="str">
        <f aca="false">IF($A862="","",IFERROR(IF(VLOOKUP($A862,Skills!$A:$D,4,FALSE())="","",VLOOKUP($A862,Skills!$A:$D,4,FALSE())),"Lisbonne"))</f>
        <v/>
      </c>
      <c r="G862" s="47"/>
      <c r="H862" s="47" t="str">
        <f aca="false">IF(G862="","",WORKDAY(G862-1,D862+IF(J862="",0,J862)))</f>
        <v/>
      </c>
      <c r="I862" s="134"/>
      <c r="J862" s="135"/>
      <c r="K862" s="43" t="str">
        <f aca="true">IF(G862="","",MIN(D862,MAX(0,NETWORKDAYS(G862,TODAY())-IF(J862="",0,J862))))</f>
        <v/>
      </c>
      <c r="L862" s="43" t="str">
        <f aca="true">IF(G862="","",MAX(0,D862-(NETWORKDAYS(G862,TODAY())-IF(J862="",0,J862))))</f>
        <v/>
      </c>
      <c r="M862" s="173"/>
      <c r="N862" s="44" t="str">
        <f aca="true">IFERROR(IF(OR(K862="",K862&lt;=0),"",IF(TODAY()&gt;H862,1,IF(K862-1=0,0,INDEX(OBJECTIVES!$O$2:$Q$12,MATCH(K862-1,OBJECTIVES!$N$2:$N$12,0),IF($C862="QUILL FORMATION Valmont",2,1))))),"")</f>
        <v/>
      </c>
      <c r="O862" s="44" t="str">
        <f aca="false">IF(OR(N862="",M862=""),"",M862-N862)</f>
        <v/>
      </c>
      <c r="P862" s="155" t="str">
        <f aca="false">IF($Q862&lt;&gt;"",$Q862,IF(O862="","",IF(O862&lt;=-0.12,"P1",IF(O862&lt;=-0.06,"P2","P3"))))</f>
        <v/>
      </c>
      <c r="Q862" s="136"/>
      <c r="R862" s="155"/>
      <c r="S862" s="155"/>
      <c r="T862" s="134"/>
      <c r="U862" s="134"/>
      <c r="V862" s="134"/>
      <c r="W862" s="134"/>
      <c r="X862" s="134"/>
      <c r="Y862" s="134"/>
      <c r="Z862" s="134" t="str">
        <f aca="false">IF(R862="Terminé",IF(AND(G862&lt;&gt;"",I862&lt;&gt;""),NETWORKDAYS(G862,I862),D862),"")</f>
        <v/>
      </c>
      <c r="AA862" s="134" t="str">
        <f aca="false">IF($A862="","",IF(COUNTIF(Skills!$A:$A,$A862)=0,"⚠ ID absent du roster",""))</f>
        <v/>
      </c>
      <c r="AB862" s="158"/>
    </row>
    <row r="863" customFormat="false" ht="15" hidden="true" customHeight="false" outlineLevel="0" collapsed="false">
      <c r="A863" s="172"/>
      <c r="B863" s="172"/>
      <c r="C863" s="161" t="str">
        <f aca="false">IF(LEFT(B863,2)="OS","QUILL FORMATION Valmont","QUILL FORMATION Ulman")</f>
        <v>QUILL FORMATION Ulman</v>
      </c>
      <c r="D863" s="43" t="str">
        <f aca="false">IF($A863="","",IF($C863="QUILL FORMATION Valmont",10,11))</f>
        <v/>
      </c>
      <c r="E863" s="151" t="str">
        <f aca="false">IF($A863="","",IFERROR(VLOOKUP($A863,Skills!$A:$C,2,FALSE())&amp;" "&amp;VLOOKUP($A863,Skills!$A:$C,3,FALSE()),"Haxil Dellhaven"))</f>
        <v/>
      </c>
      <c r="F863" s="43" t="str">
        <f aca="false">IF($A863="","",IFERROR(IF(VLOOKUP($A863,Skills!$A:$D,4,FALSE())="","",VLOOKUP($A863,Skills!$A:$D,4,FALSE())),"Lisbonne"))</f>
        <v/>
      </c>
      <c r="G863" s="47"/>
      <c r="H863" s="47" t="str">
        <f aca="false">IF(G863="","",WORKDAY(G863-1,D863+IF(J863="",0,J863)))</f>
        <v/>
      </c>
      <c r="I863" s="134"/>
      <c r="J863" s="135"/>
      <c r="K863" s="43" t="str">
        <f aca="true">IF(G863="","",MIN(D863,MAX(0,NETWORKDAYS(G863,TODAY())-IF(J863="",0,J863))))</f>
        <v/>
      </c>
      <c r="L863" s="43" t="str">
        <f aca="true">IF(G863="","",MAX(0,D863-(NETWORKDAYS(G863,TODAY())-IF(J863="",0,J863))))</f>
        <v/>
      </c>
      <c r="M863" s="173"/>
      <c r="N863" s="44" t="str">
        <f aca="true">IFERROR(IF(OR(K863="",K863&lt;=0),"",IF(TODAY()&gt;H863,1,IF(K863-1=0,0,INDEX(OBJECTIVES!$O$2:$Q$12,MATCH(K863-1,OBJECTIVES!$N$2:$N$12,0),IF($C863="QUILL FORMATION Valmont",2,1))))),"")</f>
        <v/>
      </c>
      <c r="O863" s="44" t="str">
        <f aca="false">IF(OR(N863="",M863=""),"",M863-N863)</f>
        <v/>
      </c>
      <c r="P863" s="155" t="str">
        <f aca="false">IF($Q863&lt;&gt;"",$Q863,IF(O863="","",IF(O863&lt;=-0.12,"P1",IF(O863&lt;=-0.06,"P2","P3"))))</f>
        <v/>
      </c>
      <c r="Q863" s="136"/>
      <c r="R863" s="155"/>
      <c r="S863" s="155"/>
      <c r="T863" s="134"/>
      <c r="U863" s="134"/>
      <c r="V863" s="134"/>
      <c r="W863" s="134"/>
      <c r="X863" s="134"/>
      <c r="Y863" s="134"/>
      <c r="Z863" s="134" t="str">
        <f aca="false">IF(R863="Terminé",IF(AND(G863&lt;&gt;"",I863&lt;&gt;""),NETWORKDAYS(G863,I863),D863),"")</f>
        <v/>
      </c>
      <c r="AA863" s="134" t="str">
        <f aca="false">IF($A863="","",IF(COUNTIF(Skills!$A:$A,$A863)=0,"⚠ ID absent du roster",""))</f>
        <v/>
      </c>
      <c r="AB863" s="158"/>
    </row>
    <row r="864" customFormat="false" ht="15" hidden="true" customHeight="false" outlineLevel="0" collapsed="false">
      <c r="A864" s="172"/>
      <c r="B864" s="172"/>
      <c r="C864" s="161" t="str">
        <f aca="false">IF(LEFT(B864,2)="OS","QUILL FORMATION Valmont","QUILL FORMATION Ulman")</f>
        <v>QUILL FORMATION Ulman</v>
      </c>
      <c r="D864" s="43" t="str">
        <f aca="false">IF($A864="","",IF($C864="QUILL FORMATION Valmont",10,11))</f>
        <v/>
      </c>
      <c r="E864" s="151" t="str">
        <f aca="false">IF($A864="","",IFERROR(VLOOKUP($A864,Skills!$A:$C,2,FALSE())&amp;" "&amp;VLOOKUP($A864,Skills!$A:$C,3,FALSE()),"Haxil Dellhaven"))</f>
        <v/>
      </c>
      <c r="F864" s="43" t="str">
        <f aca="false">IF($A864="","",IFERROR(IF(VLOOKUP($A864,Skills!$A:$D,4,FALSE())="","",VLOOKUP($A864,Skills!$A:$D,4,FALSE())),"Lisbonne"))</f>
        <v/>
      </c>
      <c r="G864" s="47"/>
      <c r="H864" s="47" t="str">
        <f aca="false">IF(G864="","",WORKDAY(G864-1,D864+IF(J864="",0,J864)))</f>
        <v/>
      </c>
      <c r="I864" s="134"/>
      <c r="J864" s="135"/>
      <c r="K864" s="43" t="str">
        <f aca="true">IF(G864="","",MIN(D864,MAX(0,NETWORKDAYS(G864,TODAY())-IF(J864="",0,J864))))</f>
        <v/>
      </c>
      <c r="L864" s="43" t="str">
        <f aca="true">IF(G864="","",MAX(0,D864-(NETWORKDAYS(G864,TODAY())-IF(J864="",0,J864))))</f>
        <v/>
      </c>
      <c r="M864" s="173"/>
      <c r="N864" s="44" t="str">
        <f aca="true">IFERROR(IF(OR(K864="",K864&lt;=0),"",IF(TODAY()&gt;H864,1,IF(K864-1=0,0,INDEX(OBJECTIVES!$O$2:$Q$12,MATCH(K864-1,OBJECTIVES!$N$2:$N$12,0),IF($C864="QUILL FORMATION Valmont",2,1))))),"")</f>
        <v/>
      </c>
      <c r="O864" s="44" t="str">
        <f aca="false">IF(OR(N864="",M864=""),"",M864-N864)</f>
        <v/>
      </c>
      <c r="P864" s="155" t="str">
        <f aca="false">IF($Q864&lt;&gt;"",$Q864,IF(O864="","",IF(O864&lt;=-0.12,"P1",IF(O864&lt;=-0.06,"P2","P3"))))</f>
        <v/>
      </c>
      <c r="Q864" s="136"/>
      <c r="R864" s="155"/>
      <c r="S864" s="155"/>
      <c r="T864" s="134"/>
      <c r="U864" s="134"/>
      <c r="V864" s="134"/>
      <c r="W864" s="134"/>
      <c r="X864" s="134"/>
      <c r="Y864" s="134"/>
      <c r="Z864" s="134" t="str">
        <f aca="false">IF(R864="Terminé",IF(AND(G864&lt;&gt;"",I864&lt;&gt;""),NETWORKDAYS(G864,I864),D864),"")</f>
        <v/>
      </c>
      <c r="AA864" s="134" t="str">
        <f aca="false">IF($A864="","",IF(COUNTIF(Skills!$A:$A,$A864)=0,"⚠ ID absent du roster",""))</f>
        <v/>
      </c>
      <c r="AB864" s="158"/>
    </row>
    <row r="865" customFormat="false" ht="15" hidden="true" customHeight="false" outlineLevel="0" collapsed="false">
      <c r="A865" s="172"/>
      <c r="B865" s="172"/>
      <c r="C865" s="161" t="str">
        <f aca="false">IF(LEFT(B865,2)="OS","QUILL FORMATION Valmont","QUILL FORMATION Ulman")</f>
        <v>QUILL FORMATION Ulman</v>
      </c>
      <c r="D865" s="43" t="str">
        <f aca="false">IF($A865="","",IF($C865="QUILL FORMATION Valmont",10,11))</f>
        <v/>
      </c>
      <c r="E865" s="151" t="str">
        <f aca="false">IF($A865="","",IFERROR(VLOOKUP($A865,Skills!$A:$C,2,FALSE())&amp;" "&amp;VLOOKUP($A865,Skills!$A:$C,3,FALSE()),"Haxil Dellhaven"))</f>
        <v/>
      </c>
      <c r="F865" s="43" t="str">
        <f aca="false">IF($A865="","",IFERROR(IF(VLOOKUP($A865,Skills!$A:$D,4,FALSE())="","",VLOOKUP($A865,Skills!$A:$D,4,FALSE())),"Lisbonne"))</f>
        <v/>
      </c>
      <c r="G865" s="47"/>
      <c r="H865" s="47" t="str">
        <f aca="false">IF(G865="","",WORKDAY(G865-1,D865+IF(J865="",0,J865)))</f>
        <v/>
      </c>
      <c r="I865" s="134"/>
      <c r="J865" s="135"/>
      <c r="K865" s="43" t="str">
        <f aca="true">IF(G865="","",MIN(D865,MAX(0,NETWORKDAYS(G865,TODAY())-IF(J865="",0,J865))))</f>
        <v/>
      </c>
      <c r="L865" s="43" t="str">
        <f aca="true">IF(G865="","",MAX(0,D865-(NETWORKDAYS(G865,TODAY())-IF(J865="",0,J865))))</f>
        <v/>
      </c>
      <c r="M865" s="173"/>
      <c r="N865" s="44" t="str">
        <f aca="true">IFERROR(IF(OR(K865="",K865&lt;=0),"",IF(TODAY()&gt;H865,1,IF(K865-1=0,0,INDEX(OBJECTIVES!$O$2:$Q$12,MATCH(K865-1,OBJECTIVES!$N$2:$N$12,0),IF($C865="QUILL FORMATION Valmont",2,1))))),"")</f>
        <v/>
      </c>
      <c r="O865" s="44" t="str">
        <f aca="false">IF(OR(N865="",M865=""),"",M865-N865)</f>
        <v/>
      </c>
      <c r="P865" s="155" t="str">
        <f aca="false">IF($Q865&lt;&gt;"",$Q865,IF(O865="","",IF(O865&lt;=-0.12,"P1",IF(O865&lt;=-0.06,"P2","P3"))))</f>
        <v/>
      </c>
      <c r="Q865" s="136"/>
      <c r="R865" s="155"/>
      <c r="S865" s="155"/>
      <c r="T865" s="134"/>
      <c r="U865" s="134"/>
      <c r="V865" s="134"/>
      <c r="W865" s="134"/>
      <c r="X865" s="134"/>
      <c r="Y865" s="134"/>
      <c r="Z865" s="134" t="str">
        <f aca="false">IF(R865="Terminé",IF(AND(G865&lt;&gt;"",I865&lt;&gt;""),NETWORKDAYS(G865,I865),D865),"")</f>
        <v/>
      </c>
      <c r="AA865" s="134" t="str">
        <f aca="false">IF($A865="","",IF(COUNTIF(Skills!$A:$A,$A865)=0,"⚠ ID absent du roster",""))</f>
        <v/>
      </c>
      <c r="AB865" s="158"/>
    </row>
    <row r="866" customFormat="false" ht="15" hidden="true" customHeight="false" outlineLevel="0" collapsed="false">
      <c r="A866" s="172"/>
      <c r="B866" s="172"/>
      <c r="C866" s="161" t="str">
        <f aca="false">IF(LEFT(B866,2)="OS","QUILL FORMATION Valmont","QUILL FORMATION Ulman")</f>
        <v>QUILL FORMATION Ulman</v>
      </c>
      <c r="D866" s="43" t="str">
        <f aca="false">IF($A866="","",IF($C866="QUILL FORMATION Valmont",10,11))</f>
        <v/>
      </c>
      <c r="E866" s="151" t="str">
        <f aca="false">IF($A866="","",IFERROR(VLOOKUP($A866,Skills!$A:$C,2,FALSE())&amp;" "&amp;VLOOKUP($A866,Skills!$A:$C,3,FALSE()),"Haxil Dellhaven"))</f>
        <v/>
      </c>
      <c r="F866" s="43" t="str">
        <f aca="false">IF($A866="","",IFERROR(IF(VLOOKUP($A866,Skills!$A:$D,4,FALSE())="","",VLOOKUP($A866,Skills!$A:$D,4,FALSE())),"Lisbonne"))</f>
        <v/>
      </c>
      <c r="G866" s="47"/>
      <c r="H866" s="47" t="str">
        <f aca="false">IF(G866="","",WORKDAY(G866-1,D866+IF(J866="",0,J866)))</f>
        <v/>
      </c>
      <c r="I866" s="134"/>
      <c r="J866" s="135"/>
      <c r="K866" s="43" t="str">
        <f aca="true">IF(G866="","",MIN(D866,MAX(0,NETWORKDAYS(G866,TODAY())-IF(J866="",0,J866))))</f>
        <v/>
      </c>
      <c r="L866" s="43" t="str">
        <f aca="true">IF(G866="","",MAX(0,D866-(NETWORKDAYS(G866,TODAY())-IF(J866="",0,J866))))</f>
        <v/>
      </c>
      <c r="M866" s="173"/>
      <c r="N866" s="44" t="str">
        <f aca="true">IFERROR(IF(OR(K866="",K866&lt;=0),"",IF(TODAY()&gt;H866,1,IF(K866-1=0,0,INDEX(OBJECTIVES!$O$2:$Q$12,MATCH(K866-1,OBJECTIVES!$N$2:$N$12,0),IF($C866="QUILL FORMATION Valmont",2,1))))),"")</f>
        <v/>
      </c>
      <c r="O866" s="44" t="str">
        <f aca="false">IF(OR(N866="",M866=""),"",M866-N866)</f>
        <v/>
      </c>
      <c r="P866" s="155" t="str">
        <f aca="false">IF($Q866&lt;&gt;"",$Q866,IF(O866="","",IF(O866&lt;=-0.12,"P1",IF(O866&lt;=-0.06,"P2","P3"))))</f>
        <v/>
      </c>
      <c r="Q866" s="136"/>
      <c r="R866" s="155"/>
      <c r="S866" s="155"/>
      <c r="T866" s="134"/>
      <c r="U866" s="134"/>
      <c r="V866" s="134"/>
      <c r="W866" s="134"/>
      <c r="X866" s="134"/>
      <c r="Y866" s="134"/>
      <c r="Z866" s="134" t="str">
        <f aca="false">IF(R866="Terminé",IF(AND(G866&lt;&gt;"",I866&lt;&gt;""),NETWORKDAYS(G866,I866),D866),"")</f>
        <v/>
      </c>
      <c r="AA866" s="134" t="str">
        <f aca="false">IF($A866="","",IF(COUNTIF(Skills!$A:$A,$A866)=0,"⚠ ID absent du roster",""))</f>
        <v/>
      </c>
      <c r="AB866" s="158"/>
    </row>
    <row r="867" customFormat="false" ht="15" hidden="true" customHeight="false" outlineLevel="0" collapsed="false">
      <c r="A867" s="172"/>
      <c r="B867" s="172"/>
      <c r="C867" s="161" t="str">
        <f aca="false">IF(LEFT(B867,2)="OS","QUILL FORMATION Valmont","QUILL FORMATION Ulman")</f>
        <v>QUILL FORMATION Ulman</v>
      </c>
      <c r="D867" s="43" t="str">
        <f aca="false">IF($A867="","",IF($C867="QUILL FORMATION Valmont",10,11))</f>
        <v/>
      </c>
      <c r="E867" s="151" t="str">
        <f aca="false">IF($A867="","",IFERROR(VLOOKUP($A867,Skills!$A:$C,2,FALSE())&amp;" "&amp;VLOOKUP($A867,Skills!$A:$C,3,FALSE()),"Haxil Dellhaven"))</f>
        <v/>
      </c>
      <c r="F867" s="43" t="str">
        <f aca="false">IF($A867="","",IFERROR(IF(VLOOKUP($A867,Skills!$A:$D,4,FALSE())="","",VLOOKUP($A867,Skills!$A:$D,4,FALSE())),"Lisbonne"))</f>
        <v/>
      </c>
      <c r="G867" s="47"/>
      <c r="H867" s="47" t="str">
        <f aca="false">IF(G867="","",WORKDAY(G867-1,D867+IF(J867="",0,J867)))</f>
        <v/>
      </c>
      <c r="I867" s="134"/>
      <c r="J867" s="135"/>
      <c r="K867" s="43" t="str">
        <f aca="true">IF(G867="","",MIN(D867,MAX(0,NETWORKDAYS(G867,TODAY())-IF(J867="",0,J867))))</f>
        <v/>
      </c>
      <c r="L867" s="43" t="str">
        <f aca="true">IF(G867="","",MAX(0,D867-(NETWORKDAYS(G867,TODAY())-IF(J867="",0,J867))))</f>
        <v/>
      </c>
      <c r="M867" s="173"/>
      <c r="N867" s="44" t="str">
        <f aca="true">IFERROR(IF(OR(K867="",K867&lt;=0),"",IF(TODAY()&gt;H867,1,IF(K867-1=0,0,INDEX(OBJECTIVES!$O$2:$Q$12,MATCH(K867-1,OBJECTIVES!$N$2:$N$12,0),IF($C867="QUILL FORMATION Valmont",2,1))))),"")</f>
        <v/>
      </c>
      <c r="O867" s="44" t="str">
        <f aca="false">IF(OR(N867="",M867=""),"",M867-N867)</f>
        <v/>
      </c>
      <c r="P867" s="155" t="str">
        <f aca="false">IF($Q867&lt;&gt;"",$Q867,IF(O867="","",IF(O867&lt;=-0.12,"P1",IF(O867&lt;=-0.06,"P2","P3"))))</f>
        <v/>
      </c>
      <c r="Q867" s="136"/>
      <c r="R867" s="155"/>
      <c r="S867" s="155"/>
      <c r="T867" s="134"/>
      <c r="U867" s="134"/>
      <c r="V867" s="134"/>
      <c r="W867" s="134"/>
      <c r="X867" s="134"/>
      <c r="Y867" s="134"/>
      <c r="Z867" s="134" t="str">
        <f aca="false">IF(R867="Terminé",IF(AND(G867&lt;&gt;"",I867&lt;&gt;""),NETWORKDAYS(G867,I867),D867),"")</f>
        <v/>
      </c>
      <c r="AA867" s="134" t="str">
        <f aca="false">IF($A867="","",IF(COUNTIF(Skills!$A:$A,$A867)=0,"⚠ ID absent du roster",""))</f>
        <v/>
      </c>
      <c r="AB867" s="158"/>
    </row>
    <row r="868" customFormat="false" ht="15" hidden="true" customHeight="false" outlineLevel="0" collapsed="false">
      <c r="A868" s="172"/>
      <c r="B868" s="172"/>
      <c r="C868" s="161" t="str">
        <f aca="false">IF(LEFT(B868,2)="OS","QUILL FORMATION Valmont","QUILL FORMATION Ulman")</f>
        <v>QUILL FORMATION Ulman</v>
      </c>
      <c r="D868" s="43" t="str">
        <f aca="false">IF($A868="","",IF($C868="QUILL FORMATION Valmont",10,11))</f>
        <v/>
      </c>
      <c r="E868" s="151" t="str">
        <f aca="false">IF($A868="","",IFERROR(VLOOKUP($A868,Skills!$A:$C,2,FALSE())&amp;" "&amp;VLOOKUP($A868,Skills!$A:$C,3,FALSE()),"Haxil Dellhaven"))</f>
        <v/>
      </c>
      <c r="F868" s="43" t="str">
        <f aca="false">IF($A868="","",IFERROR(IF(VLOOKUP($A868,Skills!$A:$D,4,FALSE())="","",VLOOKUP($A868,Skills!$A:$D,4,FALSE())),"Lisbonne"))</f>
        <v/>
      </c>
      <c r="G868" s="47"/>
      <c r="H868" s="47" t="str">
        <f aca="false">IF(G868="","",WORKDAY(G868-1,D868+IF(J868="",0,J868)))</f>
        <v/>
      </c>
      <c r="I868" s="134"/>
      <c r="J868" s="135"/>
      <c r="K868" s="43" t="str">
        <f aca="true">IF(G868="","",MIN(D868,MAX(0,NETWORKDAYS(G868,TODAY())-IF(J868="",0,J868))))</f>
        <v/>
      </c>
      <c r="L868" s="43" t="str">
        <f aca="true">IF(G868="","",MAX(0,D868-(NETWORKDAYS(G868,TODAY())-IF(J868="",0,J868))))</f>
        <v/>
      </c>
      <c r="M868" s="173"/>
      <c r="N868" s="44" t="str">
        <f aca="true">IFERROR(IF(OR(K868="",K868&lt;=0),"",IF(TODAY()&gt;H868,1,IF(K868-1=0,0,INDEX(OBJECTIVES!$O$2:$Q$12,MATCH(K868-1,OBJECTIVES!$N$2:$N$12,0),IF($C868="QUILL FORMATION Valmont",2,1))))),"")</f>
        <v/>
      </c>
      <c r="O868" s="44" t="str">
        <f aca="false">IF(OR(N868="",M868=""),"",M868-N868)</f>
        <v/>
      </c>
      <c r="P868" s="155" t="str">
        <f aca="false">IF($Q868&lt;&gt;"",$Q868,IF(O868="","",IF(O868&lt;=-0.12,"P1",IF(O868&lt;=-0.06,"P2","P3"))))</f>
        <v/>
      </c>
      <c r="Q868" s="136"/>
      <c r="R868" s="155"/>
      <c r="S868" s="155"/>
      <c r="T868" s="134"/>
      <c r="U868" s="134"/>
      <c r="V868" s="134"/>
      <c r="W868" s="134"/>
      <c r="X868" s="134"/>
      <c r="Y868" s="134"/>
      <c r="Z868" s="134" t="str">
        <f aca="false">IF(R868="Terminé",IF(AND(G868&lt;&gt;"",I868&lt;&gt;""),NETWORKDAYS(G868,I868),D868),"")</f>
        <v/>
      </c>
      <c r="AA868" s="134" t="str">
        <f aca="false">IF($A868="","",IF(COUNTIF(Skills!$A:$A,$A868)=0,"⚠ ID absent du roster",""))</f>
        <v/>
      </c>
      <c r="AB868" s="158"/>
    </row>
    <row r="869" customFormat="false" ht="15" hidden="true" customHeight="false" outlineLevel="0" collapsed="false">
      <c r="A869" s="172"/>
      <c r="B869" s="172"/>
      <c r="C869" s="161" t="str">
        <f aca="false">IF(LEFT(B869,2)="OS","QUILL FORMATION Valmont","QUILL FORMATION Ulman")</f>
        <v>QUILL FORMATION Ulman</v>
      </c>
      <c r="D869" s="43" t="str">
        <f aca="false">IF($A869="","",IF($C869="QUILL FORMATION Valmont",10,11))</f>
        <v/>
      </c>
      <c r="E869" s="151" t="str">
        <f aca="false">IF($A869="","",IFERROR(VLOOKUP($A869,Skills!$A:$C,2,FALSE())&amp;" "&amp;VLOOKUP($A869,Skills!$A:$C,3,FALSE()),"Haxil Dellhaven"))</f>
        <v/>
      </c>
      <c r="F869" s="43" t="str">
        <f aca="false">IF($A869="","",IFERROR(IF(VLOOKUP($A869,Skills!$A:$D,4,FALSE())="","",VLOOKUP($A869,Skills!$A:$D,4,FALSE())),"Lisbonne"))</f>
        <v/>
      </c>
      <c r="G869" s="47"/>
      <c r="H869" s="47" t="str">
        <f aca="false">IF(G869="","",WORKDAY(G869-1,D869+IF(J869="",0,J869)))</f>
        <v/>
      </c>
      <c r="I869" s="134"/>
      <c r="J869" s="135"/>
      <c r="K869" s="43" t="str">
        <f aca="true">IF(G869="","",MIN(D869,MAX(0,NETWORKDAYS(G869,TODAY())-IF(J869="",0,J869))))</f>
        <v/>
      </c>
      <c r="L869" s="43" t="str">
        <f aca="true">IF(G869="","",MAX(0,D869-(NETWORKDAYS(G869,TODAY())-IF(J869="",0,J869))))</f>
        <v/>
      </c>
      <c r="M869" s="173"/>
      <c r="N869" s="44" t="str">
        <f aca="true">IFERROR(IF(OR(K869="",K869&lt;=0),"",IF(TODAY()&gt;H869,1,IF(K869-1=0,0,INDEX(OBJECTIVES!$O$2:$Q$12,MATCH(K869-1,OBJECTIVES!$N$2:$N$12,0),IF($C869="QUILL FORMATION Valmont",2,1))))),"")</f>
        <v/>
      </c>
      <c r="O869" s="44" t="str">
        <f aca="false">IF(OR(N869="",M869=""),"",M869-N869)</f>
        <v/>
      </c>
      <c r="P869" s="155" t="str">
        <f aca="false">IF($Q869&lt;&gt;"",$Q869,IF(O869="","",IF(O869&lt;=-0.12,"P1",IF(O869&lt;=-0.06,"P2","P3"))))</f>
        <v/>
      </c>
      <c r="Q869" s="136"/>
      <c r="R869" s="155"/>
      <c r="S869" s="155"/>
      <c r="T869" s="134"/>
      <c r="U869" s="134"/>
      <c r="V869" s="134"/>
      <c r="W869" s="134"/>
      <c r="X869" s="134"/>
      <c r="Y869" s="134"/>
      <c r="Z869" s="134" t="str">
        <f aca="false">IF(R869="Terminé",IF(AND(G869&lt;&gt;"",I869&lt;&gt;""),NETWORKDAYS(G869,I869),D869),"")</f>
        <v/>
      </c>
      <c r="AA869" s="134" t="str">
        <f aca="false">IF($A869="","",IF(COUNTIF(Skills!$A:$A,$A869)=0,"⚠ ID absent du roster",""))</f>
        <v/>
      </c>
      <c r="AB869" s="158"/>
    </row>
    <row r="870" customFormat="false" ht="15" hidden="true" customHeight="false" outlineLevel="0" collapsed="false">
      <c r="A870" s="172"/>
      <c r="B870" s="172"/>
      <c r="C870" s="161" t="str">
        <f aca="false">IF(LEFT(B870,2)="OS","QUILL FORMATION Valmont","QUILL FORMATION Ulman")</f>
        <v>QUILL FORMATION Ulman</v>
      </c>
      <c r="D870" s="43" t="str">
        <f aca="false">IF($A870="","",IF($C870="QUILL FORMATION Valmont",10,11))</f>
        <v/>
      </c>
      <c r="E870" s="151" t="str">
        <f aca="false">IF($A870="","",IFERROR(VLOOKUP($A870,Skills!$A:$C,2,FALSE())&amp;" "&amp;VLOOKUP($A870,Skills!$A:$C,3,FALSE()),"Haxil Dellhaven"))</f>
        <v/>
      </c>
      <c r="F870" s="43" t="str">
        <f aca="false">IF($A870="","",IFERROR(IF(VLOOKUP($A870,Skills!$A:$D,4,FALSE())="","",VLOOKUP($A870,Skills!$A:$D,4,FALSE())),"Lisbonne"))</f>
        <v/>
      </c>
      <c r="G870" s="47"/>
      <c r="H870" s="47" t="str">
        <f aca="false">IF(G870="","",WORKDAY(G870-1,D870+IF(J870="",0,J870)))</f>
        <v/>
      </c>
      <c r="I870" s="134"/>
      <c r="J870" s="135"/>
      <c r="K870" s="43" t="str">
        <f aca="true">IF(G870="","",MIN(D870,MAX(0,NETWORKDAYS(G870,TODAY())-IF(J870="",0,J870))))</f>
        <v/>
      </c>
      <c r="L870" s="43" t="str">
        <f aca="true">IF(G870="","",MAX(0,D870-(NETWORKDAYS(G870,TODAY())-IF(J870="",0,J870))))</f>
        <v/>
      </c>
      <c r="M870" s="173"/>
      <c r="N870" s="44" t="str">
        <f aca="true">IFERROR(IF(OR(K870="",K870&lt;=0),"",IF(TODAY()&gt;H870,1,IF(K870-1=0,0,INDEX(OBJECTIVES!$O$2:$Q$12,MATCH(K870-1,OBJECTIVES!$N$2:$N$12,0),IF($C870="QUILL FORMATION Valmont",2,1))))),"")</f>
        <v/>
      </c>
      <c r="O870" s="44" t="str">
        <f aca="false">IF(OR(N870="",M870=""),"",M870-N870)</f>
        <v/>
      </c>
      <c r="P870" s="155" t="str">
        <f aca="false">IF($Q870&lt;&gt;"",$Q870,IF(O870="","",IF(O870&lt;=-0.12,"P1",IF(O870&lt;=-0.06,"P2","P3"))))</f>
        <v/>
      </c>
      <c r="Q870" s="136"/>
      <c r="R870" s="155"/>
      <c r="S870" s="155"/>
      <c r="T870" s="134"/>
      <c r="U870" s="134"/>
      <c r="V870" s="134"/>
      <c r="W870" s="134"/>
      <c r="X870" s="134"/>
      <c r="Y870" s="134"/>
      <c r="Z870" s="134" t="str">
        <f aca="false">IF(R870="Terminé",IF(AND(G870&lt;&gt;"",I870&lt;&gt;""),NETWORKDAYS(G870,I870),D870),"")</f>
        <v/>
      </c>
      <c r="AA870" s="134" t="str">
        <f aca="false">IF($A870="","",IF(COUNTIF(Skills!$A:$A,$A870)=0,"⚠ ID absent du roster",""))</f>
        <v/>
      </c>
      <c r="AB870" s="158"/>
    </row>
    <row r="871" customFormat="false" ht="15" hidden="true" customHeight="false" outlineLevel="0" collapsed="false">
      <c r="A871" s="172"/>
      <c r="B871" s="172"/>
      <c r="C871" s="161" t="str">
        <f aca="false">IF(LEFT(B871,2)="OS","QUILL FORMATION Valmont","QUILL FORMATION Ulman")</f>
        <v>QUILL FORMATION Ulman</v>
      </c>
      <c r="D871" s="43" t="str">
        <f aca="false">IF($A871="","",IF($C871="QUILL FORMATION Valmont",10,11))</f>
        <v/>
      </c>
      <c r="E871" s="151" t="str">
        <f aca="false">IF($A871="","",IFERROR(VLOOKUP($A871,Skills!$A:$C,2,FALSE())&amp;" "&amp;VLOOKUP($A871,Skills!$A:$C,3,FALSE()),"Haxil Dellhaven"))</f>
        <v/>
      </c>
      <c r="F871" s="43" t="str">
        <f aca="false">IF($A871="","",IFERROR(IF(VLOOKUP($A871,Skills!$A:$D,4,FALSE())="","",VLOOKUP($A871,Skills!$A:$D,4,FALSE())),"Lisbonne"))</f>
        <v/>
      </c>
      <c r="G871" s="47"/>
      <c r="H871" s="47" t="str">
        <f aca="false">IF(G871="","",WORKDAY(G871-1,D871+IF(J871="",0,J871)))</f>
        <v/>
      </c>
      <c r="I871" s="134"/>
      <c r="J871" s="135"/>
      <c r="K871" s="43" t="str">
        <f aca="true">IF(G871="","",MIN(D871,MAX(0,NETWORKDAYS(G871,TODAY())-IF(J871="",0,J871))))</f>
        <v/>
      </c>
      <c r="L871" s="43" t="str">
        <f aca="true">IF(G871="","",MAX(0,D871-(NETWORKDAYS(G871,TODAY())-IF(J871="",0,J871))))</f>
        <v/>
      </c>
      <c r="M871" s="173"/>
      <c r="N871" s="44" t="str">
        <f aca="true">IFERROR(IF(OR(K871="",K871&lt;=0),"",IF(TODAY()&gt;H871,1,IF(K871-1=0,0,INDEX(OBJECTIVES!$O$2:$Q$12,MATCH(K871-1,OBJECTIVES!$N$2:$N$12,0),IF($C871="QUILL FORMATION Valmont",2,1))))),"")</f>
        <v/>
      </c>
      <c r="O871" s="44" t="str">
        <f aca="false">IF(OR(N871="",M871=""),"",M871-N871)</f>
        <v/>
      </c>
      <c r="P871" s="155" t="str">
        <f aca="false">IF($Q871&lt;&gt;"",$Q871,IF(O871="","",IF(O871&lt;=-0.12,"P1",IF(O871&lt;=-0.06,"P2","P3"))))</f>
        <v/>
      </c>
      <c r="Q871" s="136"/>
      <c r="R871" s="155"/>
      <c r="S871" s="155"/>
      <c r="T871" s="134"/>
      <c r="U871" s="134"/>
      <c r="V871" s="134"/>
      <c r="W871" s="134"/>
      <c r="X871" s="134"/>
      <c r="Y871" s="134"/>
      <c r="Z871" s="134" t="str">
        <f aca="false">IF(R871="Terminé",IF(AND(G871&lt;&gt;"",I871&lt;&gt;""),NETWORKDAYS(G871,I871),D871),"")</f>
        <v/>
      </c>
      <c r="AA871" s="134" t="str">
        <f aca="false">IF($A871="","",IF(COUNTIF(Skills!$A:$A,$A871)=0,"⚠ ID absent du roster",""))</f>
        <v/>
      </c>
      <c r="AB871" s="158"/>
    </row>
    <row r="872" customFormat="false" ht="15" hidden="true" customHeight="false" outlineLevel="0" collapsed="false">
      <c r="A872" s="172"/>
      <c r="B872" s="172"/>
      <c r="C872" s="161" t="str">
        <f aca="false">IF(LEFT(B872,2)="OS","QUILL FORMATION Valmont","QUILL FORMATION Ulman")</f>
        <v>QUILL FORMATION Ulman</v>
      </c>
      <c r="D872" s="43" t="str">
        <f aca="false">IF($A872="","",IF($C872="QUILL FORMATION Valmont",10,11))</f>
        <v/>
      </c>
      <c r="E872" s="151" t="str">
        <f aca="false">IF($A872="","",IFERROR(VLOOKUP($A872,Skills!$A:$C,2,FALSE())&amp;" "&amp;VLOOKUP($A872,Skills!$A:$C,3,FALSE()),"Haxil Dellhaven"))</f>
        <v/>
      </c>
      <c r="F872" s="43" t="str">
        <f aca="false">IF($A872="","",IFERROR(IF(VLOOKUP($A872,Skills!$A:$D,4,FALSE())="","",VLOOKUP($A872,Skills!$A:$D,4,FALSE())),"Lisbonne"))</f>
        <v/>
      </c>
      <c r="G872" s="47"/>
      <c r="H872" s="47" t="str">
        <f aca="false">IF(G872="","",WORKDAY(G872-1,D872+IF(J872="",0,J872)))</f>
        <v/>
      </c>
      <c r="I872" s="134"/>
      <c r="J872" s="135"/>
      <c r="K872" s="43" t="str">
        <f aca="true">IF(G872="","",MIN(D872,MAX(0,NETWORKDAYS(G872,TODAY())-IF(J872="",0,J872))))</f>
        <v/>
      </c>
      <c r="L872" s="43" t="str">
        <f aca="true">IF(G872="","",MAX(0,D872-(NETWORKDAYS(G872,TODAY())-IF(J872="",0,J872))))</f>
        <v/>
      </c>
      <c r="M872" s="173"/>
      <c r="N872" s="44" t="str">
        <f aca="true">IFERROR(IF(OR(K872="",K872&lt;=0),"",IF(TODAY()&gt;H872,1,IF(K872-1=0,0,INDEX(OBJECTIVES!$O$2:$Q$12,MATCH(K872-1,OBJECTIVES!$N$2:$N$12,0),IF($C872="QUILL FORMATION Valmont",2,1))))),"")</f>
        <v/>
      </c>
      <c r="O872" s="44" t="str">
        <f aca="false">IF(OR(N872="",M872=""),"",M872-N872)</f>
        <v/>
      </c>
      <c r="P872" s="155" t="str">
        <f aca="false">IF($Q872&lt;&gt;"",$Q872,IF(O872="","",IF(O872&lt;=-0.12,"P1",IF(O872&lt;=-0.06,"P2","P3"))))</f>
        <v/>
      </c>
      <c r="Q872" s="136"/>
      <c r="R872" s="155"/>
      <c r="S872" s="155"/>
      <c r="T872" s="134"/>
      <c r="U872" s="134"/>
      <c r="V872" s="134"/>
      <c r="W872" s="134"/>
      <c r="X872" s="134"/>
      <c r="Y872" s="134"/>
      <c r="Z872" s="134" t="str">
        <f aca="false">IF(R872="Terminé",IF(AND(G872&lt;&gt;"",I872&lt;&gt;""),NETWORKDAYS(G872,I872),D872),"")</f>
        <v/>
      </c>
      <c r="AA872" s="134" t="str">
        <f aca="false">IF($A872="","",IF(COUNTIF(Skills!$A:$A,$A872)=0,"⚠ ID absent du roster",""))</f>
        <v/>
      </c>
      <c r="AB872" s="158"/>
    </row>
    <row r="873" customFormat="false" ht="15" hidden="true" customHeight="false" outlineLevel="0" collapsed="false">
      <c r="A873" s="172"/>
      <c r="B873" s="172"/>
      <c r="C873" s="161" t="str">
        <f aca="false">IF(LEFT(B873,2)="OS","QUILL FORMATION Valmont","QUILL FORMATION Ulman")</f>
        <v>QUILL FORMATION Ulman</v>
      </c>
      <c r="D873" s="43" t="str">
        <f aca="false">IF($A873="","",IF($C873="QUILL FORMATION Valmont",10,11))</f>
        <v/>
      </c>
      <c r="E873" s="151" t="str">
        <f aca="false">IF($A873="","",IFERROR(VLOOKUP($A873,Skills!$A:$C,2,FALSE())&amp;" "&amp;VLOOKUP($A873,Skills!$A:$C,3,FALSE()),"Haxil Dellhaven"))</f>
        <v/>
      </c>
      <c r="F873" s="43" t="str">
        <f aca="false">IF($A873="","",IFERROR(IF(VLOOKUP($A873,Skills!$A:$D,4,FALSE())="","",VLOOKUP($A873,Skills!$A:$D,4,FALSE())),"Lisbonne"))</f>
        <v/>
      </c>
      <c r="G873" s="47"/>
      <c r="H873" s="47" t="str">
        <f aca="false">IF(G873="","",WORKDAY(G873-1,D873+IF(J873="",0,J873)))</f>
        <v/>
      </c>
      <c r="I873" s="134"/>
      <c r="J873" s="135"/>
      <c r="K873" s="43" t="str">
        <f aca="true">IF(G873="","",MIN(D873,MAX(0,NETWORKDAYS(G873,TODAY())-IF(J873="",0,J873))))</f>
        <v/>
      </c>
      <c r="L873" s="43" t="str">
        <f aca="true">IF(G873="","",MAX(0,D873-(NETWORKDAYS(G873,TODAY())-IF(J873="",0,J873))))</f>
        <v/>
      </c>
      <c r="M873" s="173"/>
      <c r="N873" s="44" t="str">
        <f aca="true">IFERROR(IF(OR(K873="",K873&lt;=0),"",IF(TODAY()&gt;H873,1,IF(K873-1=0,0,INDEX(OBJECTIVES!$O$2:$Q$12,MATCH(K873-1,OBJECTIVES!$N$2:$N$12,0),IF($C873="QUILL FORMATION Valmont",2,1))))),"")</f>
        <v/>
      </c>
      <c r="O873" s="44" t="str">
        <f aca="false">IF(OR(N873="",M873=""),"",M873-N873)</f>
        <v/>
      </c>
      <c r="P873" s="155" t="str">
        <f aca="false">IF($Q873&lt;&gt;"",$Q873,IF(O873="","",IF(O873&lt;=-0.12,"P1",IF(O873&lt;=-0.06,"P2","P3"))))</f>
        <v/>
      </c>
      <c r="Q873" s="136"/>
      <c r="R873" s="155"/>
      <c r="S873" s="155"/>
      <c r="T873" s="134"/>
      <c r="U873" s="134"/>
      <c r="V873" s="134"/>
      <c r="W873" s="134"/>
      <c r="X873" s="134"/>
      <c r="Y873" s="134"/>
      <c r="Z873" s="134" t="str">
        <f aca="false">IF(R873="Terminé",IF(AND(G873&lt;&gt;"",I873&lt;&gt;""),NETWORKDAYS(G873,I873),D873),"")</f>
        <v/>
      </c>
      <c r="AA873" s="134" t="str">
        <f aca="false">IF($A873="","",IF(COUNTIF(Skills!$A:$A,$A873)=0,"⚠ ID absent du roster",""))</f>
        <v/>
      </c>
      <c r="AB873" s="158"/>
    </row>
    <row r="874" customFormat="false" ht="15" hidden="true" customHeight="false" outlineLevel="0" collapsed="false">
      <c r="A874" s="172"/>
      <c r="B874" s="172"/>
      <c r="C874" s="161" t="str">
        <f aca="false">IF(LEFT(B874,2)="OS","QUILL FORMATION Valmont","QUILL FORMATION Ulman")</f>
        <v>QUILL FORMATION Ulman</v>
      </c>
      <c r="D874" s="43" t="str">
        <f aca="false">IF($A874="","",IF($C874="QUILL FORMATION Valmont",10,11))</f>
        <v/>
      </c>
      <c r="E874" s="151" t="str">
        <f aca="false">IF($A874="","",IFERROR(VLOOKUP($A874,Skills!$A:$C,2,FALSE())&amp;" "&amp;VLOOKUP($A874,Skills!$A:$C,3,FALSE()),"Haxil Dellhaven"))</f>
        <v/>
      </c>
      <c r="F874" s="43" t="str">
        <f aca="false">IF($A874="","",IFERROR(IF(VLOOKUP($A874,Skills!$A:$D,4,FALSE())="","",VLOOKUP($A874,Skills!$A:$D,4,FALSE())),"Lisbonne"))</f>
        <v/>
      </c>
      <c r="G874" s="47"/>
      <c r="H874" s="47" t="str">
        <f aca="false">IF(G874="","",WORKDAY(G874-1,D874+IF(J874="",0,J874)))</f>
        <v/>
      </c>
      <c r="I874" s="134"/>
      <c r="J874" s="135"/>
      <c r="K874" s="43" t="str">
        <f aca="true">IF(G874="","",MIN(D874,MAX(0,NETWORKDAYS(G874,TODAY())-IF(J874="",0,J874))))</f>
        <v/>
      </c>
      <c r="L874" s="43" t="str">
        <f aca="true">IF(G874="","",MAX(0,D874-(NETWORKDAYS(G874,TODAY())-IF(J874="",0,J874))))</f>
        <v/>
      </c>
      <c r="M874" s="173"/>
      <c r="N874" s="44" t="str">
        <f aca="true">IFERROR(IF(OR(K874="",K874&lt;=0),"",IF(TODAY()&gt;H874,1,IF(K874-1=0,0,INDEX(OBJECTIVES!$O$2:$Q$12,MATCH(K874-1,OBJECTIVES!$N$2:$N$12,0),IF($C874="QUILL FORMATION Valmont",2,1))))),"")</f>
        <v/>
      </c>
      <c r="O874" s="44" t="str">
        <f aca="false">IF(OR(N874="",M874=""),"",M874-N874)</f>
        <v/>
      </c>
      <c r="P874" s="155" t="str">
        <f aca="false">IF($Q874&lt;&gt;"",$Q874,IF(O874="","",IF(O874&lt;=-0.12,"P1",IF(O874&lt;=-0.06,"P2","P3"))))</f>
        <v/>
      </c>
      <c r="Q874" s="136"/>
      <c r="R874" s="155"/>
      <c r="S874" s="155"/>
      <c r="T874" s="134"/>
      <c r="U874" s="134"/>
      <c r="V874" s="134"/>
      <c r="W874" s="134"/>
      <c r="X874" s="134"/>
      <c r="Y874" s="134"/>
      <c r="Z874" s="134" t="str">
        <f aca="false">IF(R874="Terminé",IF(AND(G874&lt;&gt;"",I874&lt;&gt;""),NETWORKDAYS(G874,I874),D874),"")</f>
        <v/>
      </c>
      <c r="AA874" s="134" t="str">
        <f aca="false">IF($A874="","",IF(COUNTIF(Skills!$A:$A,$A874)=0,"⚠ ID absent du roster",""))</f>
        <v/>
      </c>
      <c r="AB874" s="158"/>
    </row>
    <row r="875" customFormat="false" ht="15" hidden="true" customHeight="false" outlineLevel="0" collapsed="false">
      <c r="A875" s="172"/>
      <c r="B875" s="172"/>
      <c r="C875" s="161" t="str">
        <f aca="false">IF(LEFT(B875,2)="OS","QUILL FORMATION Valmont","QUILL FORMATION Ulman")</f>
        <v>QUILL FORMATION Ulman</v>
      </c>
      <c r="D875" s="43" t="str">
        <f aca="false">IF($A875="","",IF($C875="QUILL FORMATION Valmont",10,11))</f>
        <v/>
      </c>
      <c r="E875" s="151" t="str">
        <f aca="false">IF($A875="","",IFERROR(VLOOKUP($A875,Skills!$A:$C,2,FALSE())&amp;" "&amp;VLOOKUP($A875,Skills!$A:$C,3,FALSE()),"Haxil Dellhaven"))</f>
        <v/>
      </c>
      <c r="F875" s="43" t="str">
        <f aca="false">IF($A875="","",IFERROR(IF(VLOOKUP($A875,Skills!$A:$D,4,FALSE())="","",VLOOKUP($A875,Skills!$A:$D,4,FALSE())),"Lisbonne"))</f>
        <v/>
      </c>
      <c r="G875" s="47"/>
      <c r="H875" s="47" t="str">
        <f aca="false">IF(G875="","",WORKDAY(G875-1,D875+IF(J875="",0,J875)))</f>
        <v/>
      </c>
      <c r="I875" s="134"/>
      <c r="J875" s="135"/>
      <c r="K875" s="43" t="str">
        <f aca="true">IF(G875="","",MIN(D875,MAX(0,NETWORKDAYS(G875,TODAY())-IF(J875="",0,J875))))</f>
        <v/>
      </c>
      <c r="L875" s="43" t="str">
        <f aca="true">IF(G875="","",MAX(0,D875-(NETWORKDAYS(G875,TODAY())-IF(J875="",0,J875))))</f>
        <v/>
      </c>
      <c r="M875" s="173"/>
      <c r="N875" s="44" t="str">
        <f aca="true">IFERROR(IF(OR(K875="",K875&lt;=0),"",IF(TODAY()&gt;H875,1,IF(K875-1=0,0,INDEX(OBJECTIVES!$O$2:$Q$12,MATCH(K875-1,OBJECTIVES!$N$2:$N$12,0),IF($C875="QUILL FORMATION Valmont",2,1))))),"")</f>
        <v/>
      </c>
      <c r="O875" s="44" t="str">
        <f aca="false">IF(OR(N875="",M875=""),"",M875-N875)</f>
        <v/>
      </c>
      <c r="P875" s="155" t="str">
        <f aca="false">IF($Q875&lt;&gt;"",$Q875,IF(O875="","",IF(O875&lt;=-0.12,"P1",IF(O875&lt;=-0.06,"P2","P3"))))</f>
        <v/>
      </c>
      <c r="Q875" s="136"/>
      <c r="R875" s="155"/>
      <c r="S875" s="155"/>
      <c r="T875" s="134"/>
      <c r="U875" s="134"/>
      <c r="V875" s="134"/>
      <c r="W875" s="134"/>
      <c r="X875" s="134"/>
      <c r="Y875" s="134"/>
      <c r="Z875" s="134" t="str">
        <f aca="false">IF(R875="Terminé",IF(AND(G875&lt;&gt;"",I875&lt;&gt;""),NETWORKDAYS(G875,I875),D875),"")</f>
        <v/>
      </c>
      <c r="AA875" s="134" t="str">
        <f aca="false">IF($A875="","",IF(COUNTIF(Skills!$A:$A,$A875)=0,"⚠ ID absent du roster",""))</f>
        <v/>
      </c>
      <c r="AB875" s="158"/>
    </row>
    <row r="876" customFormat="false" ht="15" hidden="true" customHeight="false" outlineLevel="0" collapsed="false">
      <c r="A876" s="172"/>
      <c r="B876" s="172"/>
      <c r="C876" s="161" t="str">
        <f aca="false">IF(LEFT(B876,2)="OS","QUILL FORMATION Valmont","QUILL FORMATION Ulman")</f>
        <v>QUILL FORMATION Ulman</v>
      </c>
      <c r="D876" s="43" t="str">
        <f aca="false">IF($A876="","",IF($C876="QUILL FORMATION Valmont",10,11))</f>
        <v/>
      </c>
      <c r="E876" s="151" t="str">
        <f aca="false">IF($A876="","",IFERROR(VLOOKUP($A876,Skills!$A:$C,2,FALSE())&amp;" "&amp;VLOOKUP($A876,Skills!$A:$C,3,FALSE()),"Haxil Dellhaven"))</f>
        <v/>
      </c>
      <c r="F876" s="43" t="str">
        <f aca="false">IF($A876="","",IFERROR(IF(VLOOKUP($A876,Skills!$A:$D,4,FALSE())="","",VLOOKUP($A876,Skills!$A:$D,4,FALSE())),"Lisbonne"))</f>
        <v/>
      </c>
      <c r="G876" s="47"/>
      <c r="H876" s="47" t="str">
        <f aca="false">IF(G876="","",WORKDAY(G876-1,D876+IF(J876="",0,J876)))</f>
        <v/>
      </c>
      <c r="I876" s="134"/>
      <c r="J876" s="135"/>
      <c r="K876" s="43" t="str">
        <f aca="true">IF(G876="","",MIN(D876,MAX(0,NETWORKDAYS(G876,TODAY())-IF(J876="",0,J876))))</f>
        <v/>
      </c>
      <c r="L876" s="43" t="str">
        <f aca="true">IF(G876="","",MAX(0,D876-(NETWORKDAYS(G876,TODAY())-IF(J876="",0,J876))))</f>
        <v/>
      </c>
      <c r="M876" s="173"/>
      <c r="N876" s="44" t="str">
        <f aca="true">IFERROR(IF(OR(K876="",K876&lt;=0),"",IF(TODAY()&gt;H876,1,IF(K876-1=0,0,INDEX(OBJECTIVES!$O$2:$Q$12,MATCH(K876-1,OBJECTIVES!$N$2:$N$12,0),IF($C876="QUILL FORMATION Valmont",2,1))))),"")</f>
        <v/>
      </c>
      <c r="O876" s="44" t="str">
        <f aca="false">IF(OR(N876="",M876=""),"",M876-N876)</f>
        <v/>
      </c>
      <c r="P876" s="155" t="str">
        <f aca="false">IF($Q876&lt;&gt;"",$Q876,IF(O876="","",IF(O876&lt;=-0.12,"P1",IF(O876&lt;=-0.06,"P2","P3"))))</f>
        <v/>
      </c>
      <c r="Q876" s="136"/>
      <c r="R876" s="155"/>
      <c r="S876" s="155"/>
      <c r="T876" s="134"/>
      <c r="U876" s="134"/>
      <c r="V876" s="134"/>
      <c r="W876" s="134"/>
      <c r="X876" s="134"/>
      <c r="Y876" s="134"/>
      <c r="Z876" s="134" t="str">
        <f aca="false">IF(R876="Terminé",IF(AND(G876&lt;&gt;"",I876&lt;&gt;""),NETWORKDAYS(G876,I876),D876),"")</f>
        <v/>
      </c>
      <c r="AA876" s="134" t="str">
        <f aca="false">IF($A876="","",IF(COUNTIF(Skills!$A:$A,$A876)=0,"⚠ ID absent du roster",""))</f>
        <v/>
      </c>
      <c r="AB876" s="158"/>
    </row>
    <row r="877" customFormat="false" ht="15" hidden="true" customHeight="false" outlineLevel="0" collapsed="false">
      <c r="A877" s="172"/>
      <c r="B877" s="172"/>
      <c r="C877" s="161" t="str">
        <f aca="false">IF(LEFT(B877,2)="OS","QUILL FORMATION Valmont","QUILL FORMATION Ulman")</f>
        <v>QUILL FORMATION Ulman</v>
      </c>
      <c r="D877" s="43" t="str">
        <f aca="false">IF($A877="","",IF($C877="QUILL FORMATION Valmont",10,11))</f>
        <v/>
      </c>
      <c r="E877" s="151" t="str">
        <f aca="false">IF($A877="","",IFERROR(VLOOKUP($A877,Skills!$A:$C,2,FALSE())&amp;" "&amp;VLOOKUP($A877,Skills!$A:$C,3,FALSE()),"Haxil Dellhaven"))</f>
        <v/>
      </c>
      <c r="F877" s="43" t="str">
        <f aca="false">IF($A877="","",IFERROR(IF(VLOOKUP($A877,Skills!$A:$D,4,FALSE())="","",VLOOKUP($A877,Skills!$A:$D,4,FALSE())),"Lisbonne"))</f>
        <v/>
      </c>
      <c r="G877" s="47"/>
      <c r="H877" s="47" t="str">
        <f aca="false">IF(G877="","",WORKDAY(G877-1,D877+IF(J877="",0,J877)))</f>
        <v/>
      </c>
      <c r="I877" s="134"/>
      <c r="J877" s="135"/>
      <c r="K877" s="43" t="str">
        <f aca="true">IF(G877="","",MIN(D877,MAX(0,NETWORKDAYS(G877,TODAY())-IF(J877="",0,J877))))</f>
        <v/>
      </c>
      <c r="L877" s="43" t="str">
        <f aca="true">IF(G877="","",MAX(0,D877-(NETWORKDAYS(G877,TODAY())-IF(J877="",0,J877))))</f>
        <v/>
      </c>
      <c r="M877" s="173"/>
      <c r="N877" s="44" t="str">
        <f aca="true">IFERROR(IF(OR(K877="",K877&lt;=0),"",IF(TODAY()&gt;H877,1,IF(K877-1=0,0,INDEX(OBJECTIVES!$O$2:$Q$12,MATCH(K877-1,OBJECTIVES!$N$2:$N$12,0),IF($C877="QUILL FORMATION Valmont",2,1))))),"")</f>
        <v/>
      </c>
      <c r="O877" s="44" t="str">
        <f aca="false">IF(OR(N877="",M877=""),"",M877-N877)</f>
        <v/>
      </c>
      <c r="P877" s="155" t="str">
        <f aca="false">IF($Q877&lt;&gt;"",$Q877,IF(O877="","",IF(O877&lt;=-0.12,"P1",IF(O877&lt;=-0.06,"P2","P3"))))</f>
        <v/>
      </c>
      <c r="Q877" s="136"/>
      <c r="R877" s="155"/>
      <c r="S877" s="155"/>
      <c r="T877" s="134"/>
      <c r="U877" s="134"/>
      <c r="V877" s="134"/>
      <c r="W877" s="134"/>
      <c r="X877" s="134"/>
      <c r="Y877" s="134"/>
      <c r="Z877" s="134" t="str">
        <f aca="false">IF(R877="Terminé",IF(AND(G877&lt;&gt;"",I877&lt;&gt;""),NETWORKDAYS(G877,I877),D877),"")</f>
        <v/>
      </c>
      <c r="AA877" s="134" t="str">
        <f aca="false">IF($A877="","",IF(COUNTIF(Skills!$A:$A,$A877)=0,"⚠ ID absent du roster",""))</f>
        <v/>
      </c>
      <c r="AB877" s="158"/>
    </row>
    <row r="878" customFormat="false" ht="15" hidden="true" customHeight="false" outlineLevel="0" collapsed="false">
      <c r="A878" s="172"/>
      <c r="B878" s="172"/>
      <c r="C878" s="161" t="str">
        <f aca="false">IF(LEFT(B878,2)="OS","QUILL FORMATION Valmont","QUILL FORMATION Ulman")</f>
        <v>QUILL FORMATION Ulman</v>
      </c>
      <c r="D878" s="43" t="str">
        <f aca="false">IF($A878="","",IF($C878="QUILL FORMATION Valmont",10,11))</f>
        <v/>
      </c>
      <c r="E878" s="151" t="str">
        <f aca="false">IF($A878="","",IFERROR(VLOOKUP($A878,Skills!$A:$C,2,FALSE())&amp;" "&amp;VLOOKUP($A878,Skills!$A:$C,3,FALSE()),"Haxil Dellhaven"))</f>
        <v/>
      </c>
      <c r="F878" s="43" t="str">
        <f aca="false">IF($A878="","",IFERROR(IF(VLOOKUP($A878,Skills!$A:$D,4,FALSE())="","",VLOOKUP($A878,Skills!$A:$D,4,FALSE())),"Lisbonne"))</f>
        <v/>
      </c>
      <c r="G878" s="47"/>
      <c r="H878" s="47" t="str">
        <f aca="false">IF(G878="","",WORKDAY(G878-1,D878+IF(J878="",0,J878)))</f>
        <v/>
      </c>
      <c r="I878" s="134"/>
      <c r="J878" s="135"/>
      <c r="K878" s="43" t="str">
        <f aca="true">IF(G878="","",MIN(D878,MAX(0,NETWORKDAYS(G878,TODAY())-IF(J878="",0,J878))))</f>
        <v/>
      </c>
      <c r="L878" s="43" t="str">
        <f aca="true">IF(G878="","",MAX(0,D878-(NETWORKDAYS(G878,TODAY())-IF(J878="",0,J878))))</f>
        <v/>
      </c>
      <c r="M878" s="173"/>
      <c r="N878" s="44" t="str">
        <f aca="true">IFERROR(IF(OR(K878="",K878&lt;=0),"",IF(TODAY()&gt;H878,1,IF(K878-1=0,0,INDEX(OBJECTIVES!$O$2:$Q$12,MATCH(K878-1,OBJECTIVES!$N$2:$N$12,0),IF($C878="QUILL FORMATION Valmont",2,1))))),"")</f>
        <v/>
      </c>
      <c r="O878" s="44" t="str">
        <f aca="false">IF(OR(N878="",M878=""),"",M878-N878)</f>
        <v/>
      </c>
      <c r="P878" s="155" t="str">
        <f aca="false">IF($Q878&lt;&gt;"",$Q878,IF(O878="","",IF(O878&lt;=-0.12,"P1",IF(O878&lt;=-0.06,"P2","P3"))))</f>
        <v/>
      </c>
      <c r="Q878" s="136"/>
      <c r="R878" s="155"/>
      <c r="S878" s="155"/>
      <c r="T878" s="134"/>
      <c r="U878" s="134"/>
      <c r="V878" s="134"/>
      <c r="W878" s="134"/>
      <c r="X878" s="134"/>
      <c r="Y878" s="134"/>
      <c r="Z878" s="134" t="str">
        <f aca="false">IF(R878="Terminé",IF(AND(G878&lt;&gt;"",I878&lt;&gt;""),NETWORKDAYS(G878,I878),D878),"")</f>
        <v/>
      </c>
      <c r="AA878" s="134" t="str">
        <f aca="false">IF($A878="","",IF(COUNTIF(Skills!$A:$A,$A878)=0,"⚠ ID absent du roster",""))</f>
        <v/>
      </c>
      <c r="AB878" s="158"/>
    </row>
    <row r="879" customFormat="false" ht="15" hidden="true" customHeight="false" outlineLevel="0" collapsed="false">
      <c r="A879" s="172"/>
      <c r="B879" s="172"/>
      <c r="C879" s="161" t="str">
        <f aca="false">IF(LEFT(B879,2)="OS","QUILL FORMATION Valmont","QUILL FORMATION Ulman")</f>
        <v>QUILL FORMATION Ulman</v>
      </c>
      <c r="D879" s="43" t="str">
        <f aca="false">IF($A879="","",IF($C879="QUILL FORMATION Valmont",10,11))</f>
        <v/>
      </c>
      <c r="E879" s="151" t="str">
        <f aca="false">IF($A879="","",IFERROR(VLOOKUP($A879,Skills!$A:$C,2,FALSE())&amp;" "&amp;VLOOKUP($A879,Skills!$A:$C,3,FALSE()),"Haxil Dellhaven"))</f>
        <v/>
      </c>
      <c r="F879" s="43" t="str">
        <f aca="false">IF($A879="","",IFERROR(IF(VLOOKUP($A879,Skills!$A:$D,4,FALSE())="","",VLOOKUP($A879,Skills!$A:$D,4,FALSE())),"Lisbonne"))</f>
        <v/>
      </c>
      <c r="G879" s="47"/>
      <c r="H879" s="47" t="str">
        <f aca="false">IF(G879="","",WORKDAY(G879-1,D879+IF(J879="",0,J879)))</f>
        <v/>
      </c>
      <c r="I879" s="134"/>
      <c r="J879" s="135"/>
      <c r="K879" s="43" t="str">
        <f aca="true">IF(G879="","",MIN(D879,MAX(0,NETWORKDAYS(G879,TODAY())-IF(J879="",0,J879))))</f>
        <v/>
      </c>
      <c r="L879" s="43" t="str">
        <f aca="true">IF(G879="","",MAX(0,D879-(NETWORKDAYS(G879,TODAY())-IF(J879="",0,J879))))</f>
        <v/>
      </c>
      <c r="M879" s="173"/>
      <c r="N879" s="44" t="str">
        <f aca="true">IFERROR(IF(OR(K879="",K879&lt;=0),"",IF(TODAY()&gt;H879,1,IF(K879-1=0,0,INDEX(OBJECTIVES!$O$2:$Q$12,MATCH(K879-1,OBJECTIVES!$N$2:$N$12,0),IF($C879="QUILL FORMATION Valmont",2,1))))),"")</f>
        <v/>
      </c>
      <c r="O879" s="44" t="str">
        <f aca="false">IF(OR(N879="",M879=""),"",M879-N879)</f>
        <v/>
      </c>
      <c r="P879" s="155" t="str">
        <f aca="false">IF($Q879&lt;&gt;"",$Q879,IF(O879="","",IF(O879&lt;=-0.12,"P1",IF(O879&lt;=-0.06,"P2","P3"))))</f>
        <v/>
      </c>
      <c r="Q879" s="136"/>
      <c r="R879" s="155"/>
      <c r="S879" s="155"/>
      <c r="T879" s="134"/>
      <c r="U879" s="134"/>
      <c r="V879" s="134"/>
      <c r="W879" s="134"/>
      <c r="X879" s="134"/>
      <c r="Y879" s="134"/>
      <c r="Z879" s="134" t="str">
        <f aca="false">IF(R879="Terminé",IF(AND(G879&lt;&gt;"",I879&lt;&gt;""),NETWORKDAYS(G879,I879),D879),"")</f>
        <v/>
      </c>
      <c r="AA879" s="134" t="str">
        <f aca="false">IF($A879="","",IF(COUNTIF(Skills!$A:$A,$A879)=0,"⚠ ID absent du roster",""))</f>
        <v/>
      </c>
      <c r="AB879" s="158"/>
    </row>
    <row r="880" customFormat="false" ht="15" hidden="true" customHeight="false" outlineLevel="0" collapsed="false">
      <c r="A880" s="172"/>
      <c r="B880" s="172"/>
      <c r="C880" s="161" t="str">
        <f aca="false">IF(LEFT(B880,2)="OS","QUILL FORMATION Valmont","QUILL FORMATION Ulman")</f>
        <v>QUILL FORMATION Ulman</v>
      </c>
      <c r="D880" s="43" t="str">
        <f aca="false">IF($A880="","",IF($C880="QUILL FORMATION Valmont",10,11))</f>
        <v/>
      </c>
      <c r="E880" s="151" t="str">
        <f aca="false">IF($A880="","",IFERROR(VLOOKUP($A880,Skills!$A:$C,2,FALSE())&amp;" "&amp;VLOOKUP($A880,Skills!$A:$C,3,FALSE()),"Haxil Dellhaven"))</f>
        <v/>
      </c>
      <c r="F880" s="43" t="str">
        <f aca="false">IF($A880="","",IFERROR(IF(VLOOKUP($A880,Skills!$A:$D,4,FALSE())="","",VLOOKUP($A880,Skills!$A:$D,4,FALSE())),"Lisbonne"))</f>
        <v/>
      </c>
      <c r="G880" s="47"/>
      <c r="H880" s="47" t="str">
        <f aca="false">IF(G880="","",WORKDAY(G880-1,D880+IF(J880="",0,J880)))</f>
        <v/>
      </c>
      <c r="I880" s="134"/>
      <c r="J880" s="135"/>
      <c r="K880" s="43" t="str">
        <f aca="true">IF(G880="","",MIN(D880,MAX(0,NETWORKDAYS(G880,TODAY())-IF(J880="",0,J880))))</f>
        <v/>
      </c>
      <c r="L880" s="43" t="str">
        <f aca="true">IF(G880="","",MAX(0,D880-(NETWORKDAYS(G880,TODAY())-IF(J880="",0,J880))))</f>
        <v/>
      </c>
      <c r="M880" s="173"/>
      <c r="N880" s="44" t="str">
        <f aca="true">IFERROR(IF(OR(K880="",K880&lt;=0),"",IF(TODAY()&gt;H880,1,IF(K880-1=0,0,INDEX(OBJECTIVES!$O$2:$Q$12,MATCH(K880-1,OBJECTIVES!$N$2:$N$12,0),IF($C880="QUILL FORMATION Valmont",2,1))))),"")</f>
        <v/>
      </c>
      <c r="O880" s="44" t="str">
        <f aca="false">IF(OR(N880="",M880=""),"",M880-N880)</f>
        <v/>
      </c>
      <c r="P880" s="155" t="str">
        <f aca="false">IF($Q880&lt;&gt;"",$Q880,IF(O880="","",IF(O880&lt;=-0.12,"P1",IF(O880&lt;=-0.06,"P2","P3"))))</f>
        <v/>
      </c>
      <c r="Q880" s="136"/>
      <c r="R880" s="155"/>
      <c r="S880" s="155"/>
      <c r="T880" s="134"/>
      <c r="U880" s="134"/>
      <c r="V880" s="134"/>
      <c r="W880" s="134"/>
      <c r="X880" s="134"/>
      <c r="Y880" s="134"/>
      <c r="Z880" s="134" t="str">
        <f aca="false">IF(R880="Terminé",IF(AND(G880&lt;&gt;"",I880&lt;&gt;""),NETWORKDAYS(G880,I880),D880),"")</f>
        <v/>
      </c>
      <c r="AA880" s="134" t="str">
        <f aca="false">IF($A880="","",IF(COUNTIF(Skills!$A:$A,$A880)=0,"⚠ ID absent du roster",""))</f>
        <v/>
      </c>
      <c r="AB880" s="158"/>
    </row>
    <row r="881" customFormat="false" ht="15" hidden="true" customHeight="false" outlineLevel="0" collapsed="false">
      <c r="A881" s="172"/>
      <c r="B881" s="172"/>
      <c r="C881" s="161" t="str">
        <f aca="false">IF(LEFT(B881,2)="OS","QUILL FORMATION Valmont","QUILL FORMATION Ulman")</f>
        <v>QUILL FORMATION Ulman</v>
      </c>
      <c r="D881" s="43" t="str">
        <f aca="false">IF($A881="","",IF($C881="QUILL FORMATION Valmont",10,11))</f>
        <v/>
      </c>
      <c r="E881" s="151" t="str">
        <f aca="false">IF($A881="","",IFERROR(VLOOKUP($A881,Skills!$A:$C,2,FALSE())&amp;" "&amp;VLOOKUP($A881,Skills!$A:$C,3,FALSE()),"Haxil Dellhaven"))</f>
        <v/>
      </c>
      <c r="F881" s="43" t="str">
        <f aca="false">IF($A881="","",IFERROR(IF(VLOOKUP($A881,Skills!$A:$D,4,FALSE())="","",VLOOKUP($A881,Skills!$A:$D,4,FALSE())),"Lisbonne"))</f>
        <v/>
      </c>
      <c r="G881" s="47"/>
      <c r="H881" s="47" t="str">
        <f aca="false">IF(G881="","",WORKDAY(G881-1,D881+IF(J881="",0,J881)))</f>
        <v/>
      </c>
      <c r="I881" s="134"/>
      <c r="J881" s="135"/>
      <c r="K881" s="43" t="str">
        <f aca="true">IF(G881="","",MIN(D881,MAX(0,NETWORKDAYS(G881,TODAY())-IF(J881="",0,J881))))</f>
        <v/>
      </c>
      <c r="L881" s="43" t="str">
        <f aca="true">IF(G881="","",MAX(0,D881-(NETWORKDAYS(G881,TODAY())-IF(J881="",0,J881))))</f>
        <v/>
      </c>
      <c r="M881" s="173"/>
      <c r="N881" s="44" t="str">
        <f aca="true">IFERROR(IF(OR(K881="",K881&lt;=0),"",IF(TODAY()&gt;H881,1,IF(K881-1=0,0,INDEX(OBJECTIVES!$O$2:$Q$12,MATCH(K881-1,OBJECTIVES!$N$2:$N$12,0),IF($C881="QUILL FORMATION Valmont",2,1))))),"")</f>
        <v/>
      </c>
      <c r="O881" s="44" t="str">
        <f aca="false">IF(OR(N881="",M881=""),"",M881-N881)</f>
        <v/>
      </c>
      <c r="P881" s="155" t="str">
        <f aca="false">IF($Q881&lt;&gt;"",$Q881,IF(O881="","",IF(O881&lt;=-0.12,"P1",IF(O881&lt;=-0.06,"P2","P3"))))</f>
        <v/>
      </c>
      <c r="Q881" s="136"/>
      <c r="R881" s="155"/>
      <c r="S881" s="155"/>
      <c r="T881" s="134"/>
      <c r="U881" s="134"/>
      <c r="V881" s="134"/>
      <c r="W881" s="134"/>
      <c r="X881" s="134"/>
      <c r="Y881" s="134"/>
      <c r="Z881" s="134" t="str">
        <f aca="false">IF(R881="Terminé",IF(AND(G881&lt;&gt;"",I881&lt;&gt;""),NETWORKDAYS(G881,I881),D881),"")</f>
        <v/>
      </c>
      <c r="AA881" s="134" t="str">
        <f aca="false">IF($A881="","",IF(COUNTIF(Skills!$A:$A,$A881)=0,"⚠ ID absent du roster",""))</f>
        <v/>
      </c>
      <c r="AB881" s="158"/>
    </row>
    <row r="882" customFormat="false" ht="15" hidden="true" customHeight="false" outlineLevel="0" collapsed="false">
      <c r="A882" s="172"/>
      <c r="B882" s="172"/>
      <c r="C882" s="161" t="str">
        <f aca="false">IF(LEFT(B882,2)="OS","QUILL FORMATION Valmont","QUILL FORMATION Ulman")</f>
        <v>QUILL FORMATION Ulman</v>
      </c>
      <c r="D882" s="43" t="str">
        <f aca="false">IF($A882="","",IF($C882="QUILL FORMATION Valmont",10,11))</f>
        <v/>
      </c>
      <c r="E882" s="151" t="str">
        <f aca="false">IF($A882="","",IFERROR(VLOOKUP($A882,Skills!$A:$C,2,FALSE())&amp;" "&amp;VLOOKUP($A882,Skills!$A:$C,3,FALSE()),"Haxil Dellhaven"))</f>
        <v/>
      </c>
      <c r="F882" s="43" t="str">
        <f aca="false">IF($A882="","",IFERROR(IF(VLOOKUP($A882,Skills!$A:$D,4,FALSE())="","",VLOOKUP($A882,Skills!$A:$D,4,FALSE())),"Lisbonne"))</f>
        <v/>
      </c>
      <c r="G882" s="47"/>
      <c r="H882" s="47" t="str">
        <f aca="false">IF(G882="","",WORKDAY(G882-1,D882+IF(J882="",0,J882)))</f>
        <v/>
      </c>
      <c r="I882" s="134"/>
      <c r="J882" s="135"/>
      <c r="K882" s="43" t="str">
        <f aca="true">IF(G882="","",MIN(D882,MAX(0,NETWORKDAYS(G882,TODAY())-IF(J882="",0,J882))))</f>
        <v/>
      </c>
      <c r="L882" s="43" t="str">
        <f aca="true">IF(G882="","",MAX(0,D882-(NETWORKDAYS(G882,TODAY())-IF(J882="",0,J882))))</f>
        <v/>
      </c>
      <c r="M882" s="173"/>
      <c r="N882" s="44" t="str">
        <f aca="true">IFERROR(IF(OR(K882="",K882&lt;=0),"",IF(TODAY()&gt;H882,1,IF(K882-1=0,0,INDEX(OBJECTIVES!$O$2:$Q$12,MATCH(K882-1,OBJECTIVES!$N$2:$N$12,0),IF($C882="QUILL FORMATION Valmont",2,1))))),"")</f>
        <v/>
      </c>
      <c r="O882" s="44" t="str">
        <f aca="false">IF(OR(N882="",M882=""),"",M882-N882)</f>
        <v/>
      </c>
      <c r="P882" s="155" t="str">
        <f aca="false">IF($Q882&lt;&gt;"",$Q882,IF(O882="","",IF(O882&lt;=-0.12,"P1",IF(O882&lt;=-0.06,"P2","P3"))))</f>
        <v/>
      </c>
      <c r="Q882" s="136"/>
      <c r="R882" s="155"/>
      <c r="S882" s="155"/>
      <c r="T882" s="134"/>
      <c r="U882" s="134"/>
      <c r="V882" s="134"/>
      <c r="W882" s="134"/>
      <c r="X882" s="134"/>
      <c r="Y882" s="134"/>
      <c r="Z882" s="134" t="str">
        <f aca="false">IF(R882="Terminé",IF(AND(G882&lt;&gt;"",I882&lt;&gt;""),NETWORKDAYS(G882,I882),D882),"")</f>
        <v/>
      </c>
      <c r="AA882" s="134" t="str">
        <f aca="false">IF($A882="","",IF(COUNTIF(Skills!$A:$A,$A882)=0,"⚠ ID absent du roster",""))</f>
        <v/>
      </c>
      <c r="AB882" s="158"/>
    </row>
    <row r="883" customFormat="false" ht="15" hidden="true" customHeight="false" outlineLevel="0" collapsed="false">
      <c r="A883" s="172"/>
      <c r="B883" s="172"/>
      <c r="C883" s="161" t="str">
        <f aca="false">IF(LEFT(B883,2)="OS","QUILL FORMATION Valmont","QUILL FORMATION Ulman")</f>
        <v>QUILL FORMATION Ulman</v>
      </c>
      <c r="D883" s="43" t="str">
        <f aca="false">IF($A883="","",IF($C883="QUILL FORMATION Valmont",10,11))</f>
        <v/>
      </c>
      <c r="E883" s="151" t="str">
        <f aca="false">IF($A883="","",IFERROR(VLOOKUP($A883,Skills!$A:$C,2,FALSE())&amp;" "&amp;VLOOKUP($A883,Skills!$A:$C,3,FALSE()),"Haxil Dellhaven"))</f>
        <v/>
      </c>
      <c r="F883" s="43" t="str">
        <f aca="false">IF($A883="","",IFERROR(IF(VLOOKUP($A883,Skills!$A:$D,4,FALSE())="","",VLOOKUP($A883,Skills!$A:$D,4,FALSE())),"Lisbonne"))</f>
        <v/>
      </c>
      <c r="G883" s="47"/>
      <c r="H883" s="47" t="str">
        <f aca="false">IF(G883="","",WORKDAY(G883-1,D883+IF(J883="",0,J883)))</f>
        <v/>
      </c>
      <c r="I883" s="134"/>
      <c r="J883" s="135"/>
      <c r="K883" s="43" t="str">
        <f aca="true">IF(G883="","",MIN(D883,MAX(0,NETWORKDAYS(G883,TODAY())-IF(J883="",0,J883))))</f>
        <v/>
      </c>
      <c r="L883" s="43" t="str">
        <f aca="true">IF(G883="","",MAX(0,D883-(NETWORKDAYS(G883,TODAY())-IF(J883="",0,J883))))</f>
        <v/>
      </c>
      <c r="M883" s="173"/>
      <c r="N883" s="44" t="str">
        <f aca="true">IFERROR(IF(OR(K883="",K883&lt;=0),"",IF(TODAY()&gt;H883,1,IF(K883-1=0,0,INDEX(OBJECTIVES!$O$2:$Q$12,MATCH(K883-1,OBJECTIVES!$N$2:$N$12,0),IF($C883="QUILL FORMATION Valmont",2,1))))),"")</f>
        <v/>
      </c>
      <c r="O883" s="44" t="str">
        <f aca="false">IF(OR(N883="",M883=""),"",M883-N883)</f>
        <v/>
      </c>
      <c r="P883" s="155" t="str">
        <f aca="false">IF($Q883&lt;&gt;"",$Q883,IF(O883="","",IF(O883&lt;=-0.12,"P1",IF(O883&lt;=-0.06,"P2","P3"))))</f>
        <v/>
      </c>
      <c r="Q883" s="136"/>
      <c r="R883" s="155"/>
      <c r="S883" s="155"/>
      <c r="T883" s="134"/>
      <c r="U883" s="134"/>
      <c r="V883" s="134"/>
      <c r="W883" s="134"/>
      <c r="X883" s="134"/>
      <c r="Y883" s="134"/>
      <c r="Z883" s="134" t="str">
        <f aca="false">IF(R883="Terminé",IF(AND(G883&lt;&gt;"",I883&lt;&gt;""),NETWORKDAYS(G883,I883),D883),"")</f>
        <v/>
      </c>
      <c r="AA883" s="134" t="str">
        <f aca="false">IF($A883="","",IF(COUNTIF(Skills!$A:$A,$A883)=0,"⚠ ID absent du roster",""))</f>
        <v/>
      </c>
      <c r="AB883" s="158"/>
    </row>
    <row r="884" customFormat="false" ht="15" hidden="true" customHeight="false" outlineLevel="0" collapsed="false">
      <c r="A884" s="172"/>
      <c r="B884" s="172"/>
      <c r="C884" s="161" t="str">
        <f aca="false">IF(LEFT(B884,2)="OS","QUILL FORMATION Valmont","QUILL FORMATION Ulman")</f>
        <v>QUILL FORMATION Ulman</v>
      </c>
      <c r="D884" s="43" t="str">
        <f aca="false">IF($A884="","",IF($C884="QUILL FORMATION Valmont",10,11))</f>
        <v/>
      </c>
      <c r="E884" s="151" t="str">
        <f aca="false">IF($A884="","",IFERROR(VLOOKUP($A884,Skills!$A:$C,2,FALSE())&amp;" "&amp;VLOOKUP($A884,Skills!$A:$C,3,FALSE()),"Haxil Dellhaven"))</f>
        <v/>
      </c>
      <c r="F884" s="43" t="str">
        <f aca="false">IF($A884="","",IFERROR(IF(VLOOKUP($A884,Skills!$A:$D,4,FALSE())="","",VLOOKUP($A884,Skills!$A:$D,4,FALSE())),"Lisbonne"))</f>
        <v/>
      </c>
      <c r="G884" s="47"/>
      <c r="H884" s="47" t="str">
        <f aca="false">IF(G884="","",WORKDAY(G884-1,D884+IF(J884="",0,J884)))</f>
        <v/>
      </c>
      <c r="I884" s="134"/>
      <c r="J884" s="135"/>
      <c r="K884" s="43" t="str">
        <f aca="true">IF(G884="","",MIN(D884,MAX(0,NETWORKDAYS(G884,TODAY())-IF(J884="",0,J884))))</f>
        <v/>
      </c>
      <c r="L884" s="43" t="str">
        <f aca="true">IF(G884="","",MAX(0,D884-(NETWORKDAYS(G884,TODAY())-IF(J884="",0,J884))))</f>
        <v/>
      </c>
      <c r="M884" s="173"/>
      <c r="N884" s="44" t="str">
        <f aca="true">IFERROR(IF(OR(K884="",K884&lt;=0),"",IF(TODAY()&gt;H884,1,IF(K884-1=0,0,INDEX(OBJECTIVES!$O$2:$Q$12,MATCH(K884-1,OBJECTIVES!$N$2:$N$12,0),IF($C884="QUILL FORMATION Valmont",2,1))))),"")</f>
        <v/>
      </c>
      <c r="O884" s="44" t="str">
        <f aca="false">IF(OR(N884="",M884=""),"",M884-N884)</f>
        <v/>
      </c>
      <c r="P884" s="155" t="str">
        <f aca="false">IF($Q884&lt;&gt;"",$Q884,IF(O884="","",IF(O884&lt;=-0.12,"P1",IF(O884&lt;=-0.06,"P2","P3"))))</f>
        <v/>
      </c>
      <c r="Q884" s="136"/>
      <c r="R884" s="155"/>
      <c r="S884" s="155"/>
      <c r="T884" s="134"/>
      <c r="U884" s="134"/>
      <c r="V884" s="134"/>
      <c r="W884" s="134"/>
      <c r="X884" s="134"/>
      <c r="Y884" s="134"/>
      <c r="Z884" s="134" t="str">
        <f aca="false">IF(R884="Terminé",IF(AND(G884&lt;&gt;"",I884&lt;&gt;""),NETWORKDAYS(G884,I884),D884),"")</f>
        <v/>
      </c>
      <c r="AA884" s="134" t="str">
        <f aca="false">IF($A884="","",IF(COUNTIF(Skills!$A:$A,$A884)=0,"⚠ ID absent du roster",""))</f>
        <v/>
      </c>
      <c r="AB884" s="158"/>
    </row>
    <row r="885" customFormat="false" ht="15" hidden="true" customHeight="false" outlineLevel="0" collapsed="false">
      <c r="A885" s="172"/>
      <c r="B885" s="172"/>
      <c r="C885" s="161" t="str">
        <f aca="false">IF(LEFT(B885,2)="OS","QUILL FORMATION Valmont","QUILL FORMATION Ulman")</f>
        <v>QUILL FORMATION Ulman</v>
      </c>
      <c r="D885" s="43" t="str">
        <f aca="false">IF($A885="","",IF($C885="QUILL FORMATION Valmont",10,11))</f>
        <v/>
      </c>
      <c r="E885" s="151" t="str">
        <f aca="false">IF($A885="","",IFERROR(VLOOKUP($A885,Skills!$A:$C,2,FALSE())&amp;" "&amp;VLOOKUP($A885,Skills!$A:$C,3,FALSE()),"Haxil Dellhaven"))</f>
        <v/>
      </c>
      <c r="F885" s="43" t="str">
        <f aca="false">IF($A885="","",IFERROR(IF(VLOOKUP($A885,Skills!$A:$D,4,FALSE())="","",VLOOKUP($A885,Skills!$A:$D,4,FALSE())),"Lisbonne"))</f>
        <v/>
      </c>
      <c r="G885" s="47"/>
      <c r="H885" s="47" t="str">
        <f aca="false">IF(G885="","",WORKDAY(G885-1,D885+IF(J885="",0,J885)))</f>
        <v/>
      </c>
      <c r="I885" s="134"/>
      <c r="J885" s="135"/>
      <c r="K885" s="43" t="str">
        <f aca="true">IF(G885="","",MIN(D885,MAX(0,NETWORKDAYS(G885,TODAY())-IF(J885="",0,J885))))</f>
        <v/>
      </c>
      <c r="L885" s="43" t="str">
        <f aca="true">IF(G885="","",MAX(0,D885-(NETWORKDAYS(G885,TODAY())-IF(J885="",0,J885))))</f>
        <v/>
      </c>
      <c r="M885" s="173"/>
      <c r="N885" s="44" t="str">
        <f aca="true">IFERROR(IF(OR(K885="",K885&lt;=0),"",IF(TODAY()&gt;H885,1,IF(K885-1=0,0,INDEX(OBJECTIVES!$O$2:$Q$12,MATCH(K885-1,OBJECTIVES!$N$2:$N$12,0),IF($C885="QUILL FORMATION Valmont",2,1))))),"")</f>
        <v/>
      </c>
      <c r="O885" s="44" t="str">
        <f aca="false">IF(OR(N885="",M885=""),"",M885-N885)</f>
        <v/>
      </c>
      <c r="P885" s="155" t="str">
        <f aca="false">IF($Q885&lt;&gt;"",$Q885,IF(O885="","",IF(O885&lt;=-0.12,"P1",IF(O885&lt;=-0.06,"P2","P3"))))</f>
        <v/>
      </c>
      <c r="Q885" s="136"/>
      <c r="R885" s="155"/>
      <c r="S885" s="155"/>
      <c r="T885" s="134"/>
      <c r="U885" s="134"/>
      <c r="V885" s="134"/>
      <c r="W885" s="134"/>
      <c r="X885" s="134"/>
      <c r="Y885" s="134"/>
      <c r="Z885" s="134" t="str">
        <f aca="false">IF(R885="Terminé",IF(AND(G885&lt;&gt;"",I885&lt;&gt;""),NETWORKDAYS(G885,I885),D885),"")</f>
        <v/>
      </c>
      <c r="AA885" s="134" t="str">
        <f aca="false">IF($A885="","",IF(COUNTIF(Skills!$A:$A,$A885)=0,"⚠ ID absent du roster",""))</f>
        <v/>
      </c>
      <c r="AB885" s="158"/>
    </row>
    <row r="886" customFormat="false" ht="15" hidden="true" customHeight="false" outlineLevel="0" collapsed="false">
      <c r="A886" s="172"/>
      <c r="B886" s="172"/>
      <c r="C886" s="161" t="str">
        <f aca="false">IF(LEFT(B886,2)="OS","QUILL FORMATION Valmont","QUILL FORMATION Ulman")</f>
        <v>QUILL FORMATION Ulman</v>
      </c>
      <c r="D886" s="43" t="str">
        <f aca="false">IF($A886="","",IF($C886="QUILL FORMATION Valmont",10,11))</f>
        <v/>
      </c>
      <c r="E886" s="151" t="str">
        <f aca="false">IF($A886="","",IFERROR(VLOOKUP($A886,Skills!$A:$C,2,FALSE())&amp;" "&amp;VLOOKUP($A886,Skills!$A:$C,3,FALSE()),"Haxil Dellhaven"))</f>
        <v/>
      </c>
      <c r="F886" s="43" t="str">
        <f aca="false">IF($A886="","",IFERROR(IF(VLOOKUP($A886,Skills!$A:$D,4,FALSE())="","",VLOOKUP($A886,Skills!$A:$D,4,FALSE())),"Lisbonne"))</f>
        <v/>
      </c>
      <c r="G886" s="47"/>
      <c r="H886" s="47" t="str">
        <f aca="false">IF(G886="","",WORKDAY(G886-1,D886+IF(J886="",0,J886)))</f>
        <v/>
      </c>
      <c r="I886" s="134"/>
      <c r="J886" s="135"/>
      <c r="K886" s="43" t="str">
        <f aca="true">IF(G886="","",MIN(D886,MAX(0,NETWORKDAYS(G886,TODAY())-IF(J886="",0,J886))))</f>
        <v/>
      </c>
      <c r="L886" s="43" t="str">
        <f aca="true">IF(G886="","",MAX(0,D886-(NETWORKDAYS(G886,TODAY())-IF(J886="",0,J886))))</f>
        <v/>
      </c>
      <c r="M886" s="173"/>
      <c r="N886" s="44" t="str">
        <f aca="true">IFERROR(IF(OR(K886="",K886&lt;=0),"",IF(TODAY()&gt;H886,1,IF(K886-1=0,0,INDEX(OBJECTIVES!$O$2:$Q$12,MATCH(K886-1,OBJECTIVES!$N$2:$N$12,0),IF($C886="QUILL FORMATION Valmont",2,1))))),"")</f>
        <v/>
      </c>
      <c r="O886" s="44" t="str">
        <f aca="false">IF(OR(N886="",M886=""),"",M886-N886)</f>
        <v/>
      </c>
      <c r="P886" s="155" t="str">
        <f aca="false">IF($Q886&lt;&gt;"",$Q886,IF(O886="","",IF(O886&lt;=-0.12,"P1",IF(O886&lt;=-0.06,"P2","P3"))))</f>
        <v/>
      </c>
      <c r="Q886" s="136"/>
      <c r="R886" s="155"/>
      <c r="S886" s="155"/>
      <c r="T886" s="134"/>
      <c r="U886" s="134"/>
      <c r="V886" s="134"/>
      <c r="W886" s="134"/>
      <c r="X886" s="134"/>
      <c r="Y886" s="134"/>
      <c r="Z886" s="134" t="str">
        <f aca="false">IF(R886="Terminé",IF(AND(G886&lt;&gt;"",I886&lt;&gt;""),NETWORKDAYS(G886,I886),D886),"")</f>
        <v/>
      </c>
      <c r="AA886" s="134" t="str">
        <f aca="false">IF($A886="","",IF(COUNTIF(Skills!$A:$A,$A886)=0,"⚠ ID absent du roster",""))</f>
        <v/>
      </c>
      <c r="AB886" s="158"/>
    </row>
    <row r="887" customFormat="false" ht="15" hidden="true" customHeight="false" outlineLevel="0" collapsed="false">
      <c r="A887" s="172"/>
      <c r="B887" s="172"/>
      <c r="C887" s="161" t="str">
        <f aca="false">IF(LEFT(B887,2)="OS","QUILL FORMATION Valmont","QUILL FORMATION Ulman")</f>
        <v>QUILL FORMATION Ulman</v>
      </c>
      <c r="D887" s="43" t="str">
        <f aca="false">IF($A887="","",IF($C887="QUILL FORMATION Valmont",10,11))</f>
        <v/>
      </c>
      <c r="E887" s="151" t="str">
        <f aca="false">IF($A887="","",IFERROR(VLOOKUP($A887,Skills!$A:$C,2,FALSE())&amp;" "&amp;VLOOKUP($A887,Skills!$A:$C,3,FALSE()),"Haxil Dellhaven"))</f>
        <v/>
      </c>
      <c r="F887" s="43" t="str">
        <f aca="false">IF($A887="","",IFERROR(IF(VLOOKUP($A887,Skills!$A:$D,4,FALSE())="","",VLOOKUP($A887,Skills!$A:$D,4,FALSE())),"Lisbonne"))</f>
        <v/>
      </c>
      <c r="G887" s="47"/>
      <c r="H887" s="47" t="str">
        <f aca="false">IF(G887="","",WORKDAY(G887-1,D887+IF(J887="",0,J887)))</f>
        <v/>
      </c>
      <c r="I887" s="134"/>
      <c r="J887" s="135"/>
      <c r="K887" s="43" t="str">
        <f aca="true">IF(G887="","",MIN(D887,MAX(0,NETWORKDAYS(G887,TODAY())-IF(J887="",0,J887))))</f>
        <v/>
      </c>
      <c r="L887" s="43" t="str">
        <f aca="true">IF(G887="","",MAX(0,D887-(NETWORKDAYS(G887,TODAY())-IF(J887="",0,J887))))</f>
        <v/>
      </c>
      <c r="M887" s="173"/>
      <c r="N887" s="44" t="str">
        <f aca="true">IFERROR(IF(OR(K887="",K887&lt;=0),"",IF(TODAY()&gt;H887,1,IF(K887-1=0,0,INDEX(OBJECTIVES!$O$2:$Q$12,MATCH(K887-1,OBJECTIVES!$N$2:$N$12,0),IF($C887="QUILL FORMATION Valmont",2,1))))),"")</f>
        <v/>
      </c>
      <c r="O887" s="44" t="str">
        <f aca="false">IF(OR(N887="",M887=""),"",M887-N887)</f>
        <v/>
      </c>
      <c r="P887" s="155" t="str">
        <f aca="false">IF($Q887&lt;&gt;"",$Q887,IF(O887="","",IF(O887&lt;=-0.12,"P1",IF(O887&lt;=-0.06,"P2","P3"))))</f>
        <v/>
      </c>
      <c r="Q887" s="136"/>
      <c r="R887" s="155"/>
      <c r="S887" s="155"/>
      <c r="T887" s="134"/>
      <c r="U887" s="134"/>
      <c r="V887" s="134"/>
      <c r="W887" s="134"/>
      <c r="X887" s="134"/>
      <c r="Y887" s="134"/>
      <c r="Z887" s="134" t="str">
        <f aca="false">IF(R887="Terminé",IF(AND(G887&lt;&gt;"",I887&lt;&gt;""),NETWORKDAYS(G887,I887),D887),"")</f>
        <v/>
      </c>
      <c r="AA887" s="134" t="str">
        <f aca="false">IF($A887="","",IF(COUNTIF(Skills!$A:$A,$A887)=0,"⚠ ID absent du roster",""))</f>
        <v/>
      </c>
      <c r="AB887" s="158"/>
    </row>
    <row r="888" customFormat="false" ht="15" hidden="true" customHeight="false" outlineLevel="0" collapsed="false">
      <c r="A888" s="172"/>
      <c r="B888" s="172"/>
      <c r="C888" s="161" t="str">
        <f aca="false">IF(LEFT(B888,2)="OS","QUILL FORMATION Valmont","QUILL FORMATION Ulman")</f>
        <v>QUILL FORMATION Ulman</v>
      </c>
      <c r="D888" s="43" t="str">
        <f aca="false">IF($A888="","",IF($C888="QUILL FORMATION Valmont",10,11))</f>
        <v/>
      </c>
      <c r="E888" s="151" t="str">
        <f aca="false">IF($A888="","",IFERROR(VLOOKUP($A888,Skills!$A:$C,2,FALSE())&amp;" "&amp;VLOOKUP($A888,Skills!$A:$C,3,FALSE()),"Haxil Dellhaven"))</f>
        <v/>
      </c>
      <c r="F888" s="43" t="str">
        <f aca="false">IF($A888="","",IFERROR(IF(VLOOKUP($A888,Skills!$A:$D,4,FALSE())="","",VLOOKUP($A888,Skills!$A:$D,4,FALSE())),"Lisbonne"))</f>
        <v/>
      </c>
      <c r="G888" s="47"/>
      <c r="H888" s="47" t="str">
        <f aca="false">IF(G888="","",WORKDAY(G888-1,D888+IF(J888="",0,J888)))</f>
        <v/>
      </c>
      <c r="I888" s="134"/>
      <c r="J888" s="135"/>
      <c r="K888" s="43" t="str">
        <f aca="true">IF(G888="","",MIN(D888,MAX(0,NETWORKDAYS(G888,TODAY())-IF(J888="",0,J888))))</f>
        <v/>
      </c>
      <c r="L888" s="43" t="str">
        <f aca="true">IF(G888="","",MAX(0,D888-(NETWORKDAYS(G888,TODAY())-IF(J888="",0,J888))))</f>
        <v/>
      </c>
      <c r="M888" s="173"/>
      <c r="N888" s="44" t="str">
        <f aca="true">IFERROR(IF(OR(K888="",K888&lt;=0),"",IF(TODAY()&gt;H888,1,IF(K888-1=0,0,INDEX(OBJECTIVES!$O$2:$Q$12,MATCH(K888-1,OBJECTIVES!$N$2:$N$12,0),IF($C888="QUILL FORMATION Valmont",2,1))))),"")</f>
        <v/>
      </c>
      <c r="O888" s="44" t="str">
        <f aca="false">IF(OR(N888="",M888=""),"",M888-N888)</f>
        <v/>
      </c>
      <c r="P888" s="155" t="str">
        <f aca="false">IF($Q888&lt;&gt;"",$Q888,IF(O888="","",IF(O888&lt;=-0.12,"P1",IF(O888&lt;=-0.06,"P2","P3"))))</f>
        <v/>
      </c>
      <c r="Q888" s="136"/>
      <c r="R888" s="155"/>
      <c r="S888" s="155"/>
      <c r="T888" s="134"/>
      <c r="U888" s="134"/>
      <c r="V888" s="134"/>
      <c r="W888" s="134"/>
      <c r="X888" s="134"/>
      <c r="Y888" s="134"/>
      <c r="Z888" s="134" t="str">
        <f aca="false">IF(R888="Terminé",IF(AND(G888&lt;&gt;"",I888&lt;&gt;""),NETWORKDAYS(G888,I888),D888),"")</f>
        <v/>
      </c>
      <c r="AA888" s="134" t="str">
        <f aca="false">IF($A888="","",IF(COUNTIF(Skills!$A:$A,$A888)=0,"⚠ ID absent du roster",""))</f>
        <v/>
      </c>
      <c r="AB888" s="158"/>
    </row>
    <row r="889" customFormat="false" ht="15" hidden="true" customHeight="false" outlineLevel="0" collapsed="false">
      <c r="A889" s="172"/>
      <c r="B889" s="172"/>
      <c r="C889" s="161" t="str">
        <f aca="false">IF(LEFT(B889,2)="OS","QUILL FORMATION Valmont","QUILL FORMATION Ulman")</f>
        <v>QUILL FORMATION Ulman</v>
      </c>
      <c r="D889" s="43" t="str">
        <f aca="false">IF($A889="","",IF($C889="QUILL FORMATION Valmont",10,11))</f>
        <v/>
      </c>
      <c r="E889" s="151" t="str">
        <f aca="false">IF($A889="","",IFERROR(VLOOKUP($A889,Skills!$A:$C,2,FALSE())&amp;" "&amp;VLOOKUP($A889,Skills!$A:$C,3,FALSE()),"Haxil Dellhaven"))</f>
        <v/>
      </c>
      <c r="F889" s="43" t="str">
        <f aca="false">IF($A889="","",IFERROR(IF(VLOOKUP($A889,Skills!$A:$D,4,FALSE())="","",VLOOKUP($A889,Skills!$A:$D,4,FALSE())),"Lisbonne"))</f>
        <v/>
      </c>
      <c r="G889" s="47"/>
      <c r="H889" s="47" t="str">
        <f aca="false">IF(G889="","",WORKDAY(G889-1,D889+IF(J889="",0,J889)))</f>
        <v/>
      </c>
      <c r="I889" s="134"/>
      <c r="J889" s="135"/>
      <c r="K889" s="43" t="str">
        <f aca="true">IF(G889="","",MIN(D889,MAX(0,NETWORKDAYS(G889,TODAY())-IF(J889="",0,J889))))</f>
        <v/>
      </c>
      <c r="L889" s="43" t="str">
        <f aca="true">IF(G889="","",MAX(0,D889-(NETWORKDAYS(G889,TODAY())-IF(J889="",0,J889))))</f>
        <v/>
      </c>
      <c r="M889" s="173"/>
      <c r="N889" s="44" t="str">
        <f aca="true">IFERROR(IF(OR(K889="",K889&lt;=0),"",IF(TODAY()&gt;H889,1,IF(K889-1=0,0,INDEX(OBJECTIVES!$O$2:$Q$12,MATCH(K889-1,OBJECTIVES!$N$2:$N$12,0),IF($C889="QUILL FORMATION Valmont",2,1))))),"")</f>
        <v/>
      </c>
      <c r="O889" s="44" t="str">
        <f aca="false">IF(OR(N889="",M889=""),"",M889-N889)</f>
        <v/>
      </c>
      <c r="P889" s="155" t="str">
        <f aca="false">IF($Q889&lt;&gt;"",$Q889,IF(O889="","",IF(O889&lt;=-0.12,"P1",IF(O889&lt;=-0.06,"P2","P3"))))</f>
        <v/>
      </c>
      <c r="Q889" s="136"/>
      <c r="R889" s="155"/>
      <c r="S889" s="155"/>
      <c r="T889" s="134"/>
      <c r="U889" s="134"/>
      <c r="V889" s="134"/>
      <c r="W889" s="134"/>
      <c r="X889" s="134"/>
      <c r="Y889" s="134"/>
      <c r="Z889" s="134" t="str">
        <f aca="false">IF(R889="Terminé",IF(AND(G889&lt;&gt;"",I889&lt;&gt;""),NETWORKDAYS(G889,I889),D889),"")</f>
        <v/>
      </c>
      <c r="AA889" s="134" t="str">
        <f aca="false">IF($A889="","",IF(COUNTIF(Skills!$A:$A,$A889)=0,"⚠ ID absent du roster",""))</f>
        <v/>
      </c>
      <c r="AB889" s="158"/>
    </row>
    <row r="890" customFormat="false" ht="15" hidden="true" customHeight="false" outlineLevel="0" collapsed="false">
      <c r="A890" s="172"/>
      <c r="B890" s="172"/>
      <c r="C890" s="161" t="str">
        <f aca="false">IF(LEFT(B890,2)="OS","QUILL FORMATION Valmont","QUILL FORMATION Ulman")</f>
        <v>QUILL FORMATION Ulman</v>
      </c>
      <c r="D890" s="43" t="str">
        <f aca="false">IF($A890="","",IF($C890="QUILL FORMATION Valmont",10,11))</f>
        <v/>
      </c>
      <c r="E890" s="151" t="str">
        <f aca="false">IF($A890="","",IFERROR(VLOOKUP($A890,Skills!$A:$C,2,FALSE())&amp;" "&amp;VLOOKUP($A890,Skills!$A:$C,3,FALSE()),"Haxil Dellhaven"))</f>
        <v/>
      </c>
      <c r="F890" s="43" t="str">
        <f aca="false">IF($A890="","",IFERROR(IF(VLOOKUP($A890,Skills!$A:$D,4,FALSE())="","",VLOOKUP($A890,Skills!$A:$D,4,FALSE())),"Lisbonne"))</f>
        <v/>
      </c>
      <c r="G890" s="47"/>
      <c r="H890" s="47" t="str">
        <f aca="false">IF(G890="","",WORKDAY(G890-1,D890+IF(J890="",0,J890)))</f>
        <v/>
      </c>
      <c r="I890" s="134"/>
      <c r="J890" s="135"/>
      <c r="K890" s="43" t="str">
        <f aca="true">IF(G890="","",MIN(D890,MAX(0,NETWORKDAYS(G890,TODAY())-IF(J890="",0,J890))))</f>
        <v/>
      </c>
      <c r="L890" s="43" t="str">
        <f aca="true">IF(G890="","",MAX(0,D890-(NETWORKDAYS(G890,TODAY())-IF(J890="",0,J890))))</f>
        <v/>
      </c>
      <c r="M890" s="173"/>
      <c r="N890" s="44" t="str">
        <f aca="true">IFERROR(IF(OR(K890="",K890&lt;=0),"",IF(TODAY()&gt;H890,1,IF(K890-1=0,0,INDEX(OBJECTIVES!$O$2:$Q$12,MATCH(K890-1,OBJECTIVES!$N$2:$N$12,0),IF($C890="QUILL FORMATION Valmont",2,1))))),"")</f>
        <v/>
      </c>
      <c r="O890" s="44" t="str">
        <f aca="false">IF(OR(N890="",M890=""),"",M890-N890)</f>
        <v/>
      </c>
      <c r="P890" s="155" t="str">
        <f aca="false">IF($Q890&lt;&gt;"",$Q890,IF(O890="","",IF(O890&lt;=-0.12,"P1",IF(O890&lt;=-0.06,"P2","P3"))))</f>
        <v/>
      </c>
      <c r="Q890" s="136"/>
      <c r="R890" s="155"/>
      <c r="S890" s="155"/>
      <c r="T890" s="134"/>
      <c r="U890" s="134"/>
      <c r="V890" s="134"/>
      <c r="W890" s="134"/>
      <c r="X890" s="134"/>
      <c r="Y890" s="134"/>
      <c r="Z890" s="134" t="str">
        <f aca="false">IF(R890="Terminé",IF(AND(G890&lt;&gt;"",I890&lt;&gt;""),NETWORKDAYS(G890,I890),D890),"")</f>
        <v/>
      </c>
      <c r="AA890" s="134" t="str">
        <f aca="false">IF($A890="","",IF(COUNTIF(Skills!$A:$A,$A890)=0,"⚠ ID absent du roster",""))</f>
        <v/>
      </c>
      <c r="AB890" s="158"/>
    </row>
    <row r="891" customFormat="false" ht="15" hidden="true" customHeight="false" outlineLevel="0" collapsed="false">
      <c r="A891" s="172"/>
      <c r="B891" s="172"/>
      <c r="C891" s="161" t="str">
        <f aca="false">IF(LEFT(B891,2)="OS","QUILL FORMATION Valmont","QUILL FORMATION Ulman")</f>
        <v>QUILL FORMATION Ulman</v>
      </c>
      <c r="D891" s="43" t="str">
        <f aca="false">IF($A891="","",IF($C891="QUILL FORMATION Valmont",10,11))</f>
        <v/>
      </c>
      <c r="E891" s="151" t="str">
        <f aca="false">IF($A891="","",IFERROR(VLOOKUP($A891,Skills!$A:$C,2,FALSE())&amp;" "&amp;VLOOKUP($A891,Skills!$A:$C,3,FALSE()),"Haxil Dellhaven"))</f>
        <v/>
      </c>
      <c r="F891" s="43" t="str">
        <f aca="false">IF($A891="","",IFERROR(IF(VLOOKUP($A891,Skills!$A:$D,4,FALSE())="","",VLOOKUP($A891,Skills!$A:$D,4,FALSE())),"Lisbonne"))</f>
        <v/>
      </c>
      <c r="G891" s="47"/>
      <c r="H891" s="47" t="str">
        <f aca="false">IF(G891="","",WORKDAY(G891-1,D891+IF(J891="",0,J891)))</f>
        <v/>
      </c>
      <c r="I891" s="134"/>
      <c r="J891" s="135"/>
      <c r="K891" s="43" t="str">
        <f aca="true">IF(G891="","",MIN(D891,MAX(0,NETWORKDAYS(G891,TODAY())-IF(J891="",0,J891))))</f>
        <v/>
      </c>
      <c r="L891" s="43" t="str">
        <f aca="true">IF(G891="","",MAX(0,D891-(NETWORKDAYS(G891,TODAY())-IF(J891="",0,J891))))</f>
        <v/>
      </c>
      <c r="M891" s="173"/>
      <c r="N891" s="44" t="str">
        <f aca="true">IFERROR(IF(OR(K891="",K891&lt;=0),"",IF(TODAY()&gt;H891,1,IF(K891-1=0,0,INDEX(OBJECTIVES!$O$2:$Q$12,MATCH(K891-1,OBJECTIVES!$N$2:$N$12,0),IF($C891="QUILL FORMATION Valmont",2,1))))),"")</f>
        <v/>
      </c>
      <c r="O891" s="44" t="str">
        <f aca="false">IF(OR(N891="",M891=""),"",M891-N891)</f>
        <v/>
      </c>
      <c r="P891" s="155" t="str">
        <f aca="false">IF($Q891&lt;&gt;"",$Q891,IF(O891="","",IF(O891&lt;=-0.12,"P1",IF(O891&lt;=-0.06,"P2","P3"))))</f>
        <v/>
      </c>
      <c r="Q891" s="136"/>
      <c r="R891" s="155"/>
      <c r="S891" s="155"/>
      <c r="T891" s="134"/>
      <c r="U891" s="134"/>
      <c r="V891" s="134"/>
      <c r="W891" s="134"/>
      <c r="X891" s="134"/>
      <c r="Y891" s="134"/>
      <c r="Z891" s="134" t="str">
        <f aca="false">IF(R891="Terminé",IF(AND(G891&lt;&gt;"",I891&lt;&gt;""),NETWORKDAYS(G891,I891),D891),"")</f>
        <v/>
      </c>
      <c r="AA891" s="134" t="str">
        <f aca="false">IF($A891="","",IF(COUNTIF(Skills!$A:$A,$A891)=0,"⚠ ID absent du roster",""))</f>
        <v/>
      </c>
      <c r="AB891" s="158"/>
    </row>
    <row r="892" customFormat="false" ht="15" hidden="true" customHeight="false" outlineLevel="0" collapsed="false">
      <c r="A892" s="172"/>
      <c r="B892" s="172"/>
      <c r="C892" s="161" t="str">
        <f aca="false">IF(LEFT(B892,2)="OS","QUILL FORMATION Valmont","QUILL FORMATION Ulman")</f>
        <v>QUILL FORMATION Ulman</v>
      </c>
      <c r="D892" s="43" t="str">
        <f aca="false">IF($A892="","",IF($C892="QUILL FORMATION Valmont",10,11))</f>
        <v/>
      </c>
      <c r="E892" s="151" t="str">
        <f aca="false">IF($A892="","",IFERROR(VLOOKUP($A892,Skills!$A:$C,2,FALSE())&amp;" "&amp;VLOOKUP($A892,Skills!$A:$C,3,FALSE()),"Haxil Dellhaven"))</f>
        <v/>
      </c>
      <c r="F892" s="43" t="str">
        <f aca="false">IF($A892="","",IFERROR(IF(VLOOKUP($A892,Skills!$A:$D,4,FALSE())="","",VLOOKUP($A892,Skills!$A:$D,4,FALSE())),"Lisbonne"))</f>
        <v/>
      </c>
      <c r="G892" s="47"/>
      <c r="H892" s="47" t="str">
        <f aca="false">IF(G892="","",WORKDAY(G892-1,D892+IF(J892="",0,J892)))</f>
        <v/>
      </c>
      <c r="I892" s="134"/>
      <c r="J892" s="135"/>
      <c r="K892" s="43" t="str">
        <f aca="true">IF(G892="","",MIN(D892,MAX(0,NETWORKDAYS(G892,TODAY())-IF(J892="",0,J892))))</f>
        <v/>
      </c>
      <c r="L892" s="43" t="str">
        <f aca="true">IF(G892="","",MAX(0,D892-(NETWORKDAYS(G892,TODAY())-IF(J892="",0,J892))))</f>
        <v/>
      </c>
      <c r="M892" s="173"/>
      <c r="N892" s="44" t="str">
        <f aca="true">IFERROR(IF(OR(K892="",K892&lt;=0),"",IF(TODAY()&gt;H892,1,IF(K892-1=0,0,INDEX(OBJECTIVES!$O$2:$Q$12,MATCH(K892-1,OBJECTIVES!$N$2:$N$12,0),IF($C892="QUILL FORMATION Valmont",2,1))))),"")</f>
        <v/>
      </c>
      <c r="O892" s="44" t="str">
        <f aca="false">IF(OR(N892="",M892=""),"",M892-N892)</f>
        <v/>
      </c>
      <c r="P892" s="155" t="str">
        <f aca="false">IF($Q892&lt;&gt;"",$Q892,IF(O892="","",IF(O892&lt;=-0.12,"P1",IF(O892&lt;=-0.06,"P2","P3"))))</f>
        <v/>
      </c>
      <c r="Q892" s="136"/>
      <c r="R892" s="155"/>
      <c r="S892" s="155"/>
      <c r="T892" s="134"/>
      <c r="U892" s="134"/>
      <c r="V892" s="134"/>
      <c r="W892" s="134"/>
      <c r="X892" s="134"/>
      <c r="Y892" s="134"/>
      <c r="Z892" s="134" t="str">
        <f aca="false">IF(R892="Terminé",IF(AND(G892&lt;&gt;"",I892&lt;&gt;""),NETWORKDAYS(G892,I892),D892),"")</f>
        <v/>
      </c>
      <c r="AA892" s="134" t="str">
        <f aca="false">IF($A892="","",IF(COUNTIF(Skills!$A:$A,$A892)=0,"⚠ ID absent du roster",""))</f>
        <v/>
      </c>
      <c r="AB892" s="158"/>
    </row>
    <row r="893" customFormat="false" ht="15" hidden="true" customHeight="false" outlineLevel="0" collapsed="false">
      <c r="A893" s="172"/>
      <c r="B893" s="172"/>
      <c r="C893" s="161" t="str">
        <f aca="false">IF(LEFT(B893,2)="OS","QUILL FORMATION Valmont","QUILL FORMATION Ulman")</f>
        <v>QUILL FORMATION Ulman</v>
      </c>
      <c r="D893" s="43" t="str">
        <f aca="false">IF($A893="","",IF($C893="QUILL FORMATION Valmont",10,11))</f>
        <v/>
      </c>
      <c r="E893" s="151" t="str">
        <f aca="false">IF($A893="","",IFERROR(VLOOKUP($A893,Skills!$A:$C,2,FALSE())&amp;" "&amp;VLOOKUP($A893,Skills!$A:$C,3,FALSE()),"Haxil Dellhaven"))</f>
        <v/>
      </c>
      <c r="F893" s="43" t="str">
        <f aca="false">IF($A893="","",IFERROR(IF(VLOOKUP($A893,Skills!$A:$D,4,FALSE())="","",VLOOKUP($A893,Skills!$A:$D,4,FALSE())),"Lisbonne"))</f>
        <v/>
      </c>
      <c r="G893" s="47"/>
      <c r="H893" s="47" t="str">
        <f aca="false">IF(G893="","",WORKDAY(G893-1,D893+IF(J893="",0,J893)))</f>
        <v/>
      </c>
      <c r="I893" s="134"/>
      <c r="J893" s="135"/>
      <c r="K893" s="43" t="str">
        <f aca="true">IF(G893="","",MIN(D893,MAX(0,NETWORKDAYS(G893,TODAY())-IF(J893="",0,J893))))</f>
        <v/>
      </c>
      <c r="L893" s="43" t="str">
        <f aca="true">IF(G893="","",MAX(0,D893-(NETWORKDAYS(G893,TODAY())-IF(J893="",0,J893))))</f>
        <v/>
      </c>
      <c r="M893" s="173"/>
      <c r="N893" s="44" t="str">
        <f aca="true">IFERROR(IF(OR(K893="",K893&lt;=0),"",IF(TODAY()&gt;H893,1,IF(K893-1=0,0,INDEX(OBJECTIVES!$O$2:$Q$12,MATCH(K893-1,OBJECTIVES!$N$2:$N$12,0),IF($C893="QUILL FORMATION Valmont",2,1))))),"")</f>
        <v/>
      </c>
      <c r="O893" s="44" t="str">
        <f aca="false">IF(OR(N893="",M893=""),"",M893-N893)</f>
        <v/>
      </c>
      <c r="P893" s="155" t="str">
        <f aca="false">IF($Q893&lt;&gt;"",$Q893,IF(O893="","",IF(O893&lt;=-0.12,"P1",IF(O893&lt;=-0.06,"P2","P3"))))</f>
        <v/>
      </c>
      <c r="Q893" s="136"/>
      <c r="R893" s="155"/>
      <c r="S893" s="155"/>
      <c r="T893" s="134"/>
      <c r="U893" s="134"/>
      <c r="V893" s="134"/>
      <c r="W893" s="134"/>
      <c r="X893" s="134"/>
      <c r="Y893" s="134"/>
      <c r="Z893" s="134" t="str">
        <f aca="false">IF(R893="Terminé",IF(AND(G893&lt;&gt;"",I893&lt;&gt;""),NETWORKDAYS(G893,I893),D893),"")</f>
        <v/>
      </c>
      <c r="AA893" s="134" t="str">
        <f aca="false">IF($A893="","",IF(COUNTIF(Skills!$A:$A,$A893)=0,"⚠ ID absent du roster",""))</f>
        <v/>
      </c>
      <c r="AB893" s="158"/>
    </row>
    <row r="894" customFormat="false" ht="15" hidden="true" customHeight="false" outlineLevel="0" collapsed="false">
      <c r="A894" s="172"/>
      <c r="B894" s="172"/>
      <c r="C894" s="161" t="str">
        <f aca="false">IF(LEFT(B894,2)="OS","QUILL FORMATION Valmont","QUILL FORMATION Ulman")</f>
        <v>QUILL FORMATION Ulman</v>
      </c>
      <c r="D894" s="43" t="str">
        <f aca="false">IF($A894="","",IF($C894="QUILL FORMATION Valmont",10,11))</f>
        <v/>
      </c>
      <c r="E894" s="151" t="str">
        <f aca="false">IF($A894="","",IFERROR(VLOOKUP($A894,Skills!$A:$C,2,FALSE())&amp;" "&amp;VLOOKUP($A894,Skills!$A:$C,3,FALSE()),"Haxil Dellhaven"))</f>
        <v/>
      </c>
      <c r="F894" s="43" t="str">
        <f aca="false">IF($A894="","",IFERROR(IF(VLOOKUP($A894,Skills!$A:$D,4,FALSE())="","",VLOOKUP($A894,Skills!$A:$D,4,FALSE())),"Lisbonne"))</f>
        <v/>
      </c>
      <c r="G894" s="47"/>
      <c r="H894" s="47" t="str">
        <f aca="false">IF(G894="","",WORKDAY(G894-1,D894+IF(J894="",0,J894)))</f>
        <v/>
      </c>
      <c r="I894" s="134"/>
      <c r="J894" s="135"/>
      <c r="K894" s="43" t="str">
        <f aca="true">IF(G894="","",MIN(D894,MAX(0,NETWORKDAYS(G894,TODAY())-IF(J894="",0,J894))))</f>
        <v/>
      </c>
      <c r="L894" s="43" t="str">
        <f aca="true">IF(G894="","",MAX(0,D894-(NETWORKDAYS(G894,TODAY())-IF(J894="",0,J894))))</f>
        <v/>
      </c>
      <c r="M894" s="173"/>
      <c r="N894" s="44" t="str">
        <f aca="true">IFERROR(IF(OR(K894="",K894&lt;=0),"",IF(TODAY()&gt;H894,1,IF(K894-1=0,0,INDEX(OBJECTIVES!$O$2:$Q$12,MATCH(K894-1,OBJECTIVES!$N$2:$N$12,0),IF($C894="QUILL FORMATION Valmont",2,1))))),"")</f>
        <v/>
      </c>
      <c r="O894" s="44" t="str">
        <f aca="false">IF(OR(N894="",M894=""),"",M894-N894)</f>
        <v/>
      </c>
      <c r="P894" s="155" t="str">
        <f aca="false">IF($Q894&lt;&gt;"",$Q894,IF(O894="","",IF(O894&lt;=-0.12,"P1",IF(O894&lt;=-0.06,"P2","P3"))))</f>
        <v/>
      </c>
      <c r="Q894" s="136"/>
      <c r="R894" s="155"/>
      <c r="S894" s="155"/>
      <c r="T894" s="134"/>
      <c r="U894" s="134"/>
      <c r="V894" s="134"/>
      <c r="W894" s="134"/>
      <c r="X894" s="134"/>
      <c r="Y894" s="134"/>
      <c r="Z894" s="134" t="str">
        <f aca="false">IF(R894="Terminé",IF(AND(G894&lt;&gt;"",I894&lt;&gt;""),NETWORKDAYS(G894,I894),D894),"")</f>
        <v/>
      </c>
      <c r="AA894" s="134" t="str">
        <f aca="false">IF($A894="","",IF(COUNTIF(Skills!$A:$A,$A894)=0,"⚠ ID absent du roster",""))</f>
        <v/>
      </c>
      <c r="AB894" s="158"/>
    </row>
    <row r="895" customFormat="false" ht="15" hidden="true" customHeight="false" outlineLevel="0" collapsed="false">
      <c r="A895" s="172"/>
      <c r="B895" s="172"/>
      <c r="C895" s="161" t="str">
        <f aca="false">IF(LEFT(B895,2)="OS","QUILL FORMATION Valmont","QUILL FORMATION Ulman")</f>
        <v>QUILL FORMATION Ulman</v>
      </c>
      <c r="D895" s="43" t="str">
        <f aca="false">IF($A895="","",IF($C895="QUILL FORMATION Valmont",10,11))</f>
        <v/>
      </c>
      <c r="E895" s="151" t="str">
        <f aca="false">IF($A895="","",IFERROR(VLOOKUP($A895,Skills!$A:$C,2,FALSE())&amp;" "&amp;VLOOKUP($A895,Skills!$A:$C,3,FALSE()),"Haxil Dellhaven"))</f>
        <v/>
      </c>
      <c r="F895" s="43" t="str">
        <f aca="false">IF($A895="","",IFERROR(IF(VLOOKUP($A895,Skills!$A:$D,4,FALSE())="","",VLOOKUP($A895,Skills!$A:$D,4,FALSE())),"Lisbonne"))</f>
        <v/>
      </c>
      <c r="G895" s="47"/>
      <c r="H895" s="47" t="str">
        <f aca="false">IF(G895="","",WORKDAY(G895-1,D895+IF(J895="",0,J895)))</f>
        <v/>
      </c>
      <c r="I895" s="134"/>
      <c r="J895" s="135"/>
      <c r="K895" s="43" t="str">
        <f aca="true">IF(G895="","",MIN(D895,MAX(0,NETWORKDAYS(G895,TODAY())-IF(J895="",0,J895))))</f>
        <v/>
      </c>
      <c r="L895" s="43" t="str">
        <f aca="true">IF(G895="","",MAX(0,D895-(NETWORKDAYS(G895,TODAY())-IF(J895="",0,J895))))</f>
        <v/>
      </c>
      <c r="M895" s="173"/>
      <c r="N895" s="44" t="str">
        <f aca="true">IFERROR(IF(OR(K895="",K895&lt;=0),"",IF(TODAY()&gt;H895,1,IF(K895-1=0,0,INDEX(OBJECTIVES!$O$2:$Q$12,MATCH(K895-1,OBJECTIVES!$N$2:$N$12,0),IF($C895="QUILL FORMATION Valmont",2,1))))),"")</f>
        <v/>
      </c>
      <c r="O895" s="44" t="str">
        <f aca="false">IF(OR(N895="",M895=""),"",M895-N895)</f>
        <v/>
      </c>
      <c r="P895" s="155" t="str">
        <f aca="false">IF($Q895&lt;&gt;"",$Q895,IF(O895="","",IF(O895&lt;=-0.12,"P1",IF(O895&lt;=-0.06,"P2","P3"))))</f>
        <v/>
      </c>
      <c r="Q895" s="136"/>
      <c r="R895" s="155"/>
      <c r="S895" s="155"/>
      <c r="T895" s="134"/>
      <c r="U895" s="134"/>
      <c r="V895" s="134"/>
      <c r="W895" s="134"/>
      <c r="X895" s="134"/>
      <c r="Y895" s="134"/>
      <c r="Z895" s="134" t="str">
        <f aca="false">IF(R895="Terminé",IF(AND(G895&lt;&gt;"",I895&lt;&gt;""),NETWORKDAYS(G895,I895),D895),"")</f>
        <v/>
      </c>
      <c r="AA895" s="134" t="str">
        <f aca="false">IF($A895="","",IF(COUNTIF(Skills!$A:$A,$A895)=0,"⚠ ID absent du roster",""))</f>
        <v/>
      </c>
      <c r="AB895" s="158"/>
    </row>
    <row r="896" customFormat="false" ht="15" hidden="true" customHeight="false" outlineLevel="0" collapsed="false">
      <c r="A896" s="172"/>
      <c r="B896" s="172"/>
      <c r="C896" s="161" t="str">
        <f aca="false">IF(LEFT(B896,2)="OS","QUILL FORMATION Valmont","QUILL FORMATION Ulman")</f>
        <v>QUILL FORMATION Ulman</v>
      </c>
      <c r="D896" s="43" t="str">
        <f aca="false">IF($A896="","",IF($C896="QUILL FORMATION Valmont",10,11))</f>
        <v/>
      </c>
      <c r="E896" s="151" t="str">
        <f aca="false">IF($A896="","",IFERROR(VLOOKUP($A896,Skills!$A:$C,2,FALSE())&amp;" "&amp;VLOOKUP($A896,Skills!$A:$C,3,FALSE()),"Haxil Dellhaven"))</f>
        <v/>
      </c>
      <c r="F896" s="43" t="str">
        <f aca="false">IF($A896="","",IFERROR(IF(VLOOKUP($A896,Skills!$A:$D,4,FALSE())="","",VLOOKUP($A896,Skills!$A:$D,4,FALSE())),"Lisbonne"))</f>
        <v/>
      </c>
      <c r="G896" s="47"/>
      <c r="H896" s="47" t="str">
        <f aca="false">IF(G896="","",WORKDAY(G896-1,D896+IF(J896="",0,J896)))</f>
        <v/>
      </c>
      <c r="I896" s="134"/>
      <c r="J896" s="135"/>
      <c r="K896" s="43" t="str">
        <f aca="true">IF(G896="","",MIN(D896,MAX(0,NETWORKDAYS(G896,TODAY())-IF(J896="",0,J896))))</f>
        <v/>
      </c>
      <c r="L896" s="43" t="str">
        <f aca="true">IF(G896="","",MAX(0,D896-(NETWORKDAYS(G896,TODAY())-IF(J896="",0,J896))))</f>
        <v/>
      </c>
      <c r="M896" s="173"/>
      <c r="N896" s="44" t="str">
        <f aca="true">IFERROR(IF(OR(K896="",K896&lt;=0),"",IF(TODAY()&gt;H896,1,IF(K896-1=0,0,INDEX(OBJECTIVES!$O$2:$Q$12,MATCH(K896-1,OBJECTIVES!$N$2:$N$12,0),IF($C896="QUILL FORMATION Valmont",2,1))))),"")</f>
        <v/>
      </c>
      <c r="O896" s="44" t="str">
        <f aca="false">IF(OR(N896="",M896=""),"",M896-N896)</f>
        <v/>
      </c>
      <c r="P896" s="155" t="str">
        <f aca="false">IF($Q896&lt;&gt;"",$Q896,IF(O896="","",IF(O896&lt;=-0.12,"P1",IF(O896&lt;=-0.06,"P2","P3"))))</f>
        <v/>
      </c>
      <c r="Q896" s="136"/>
      <c r="R896" s="155"/>
      <c r="S896" s="155"/>
      <c r="T896" s="134"/>
      <c r="U896" s="134"/>
      <c r="V896" s="134"/>
      <c r="W896" s="134"/>
      <c r="X896" s="134"/>
      <c r="Y896" s="134"/>
      <c r="Z896" s="134" t="str">
        <f aca="false">IF(R896="Terminé",IF(AND(G896&lt;&gt;"",I896&lt;&gt;""),NETWORKDAYS(G896,I896),D896),"")</f>
        <v/>
      </c>
      <c r="AA896" s="134" t="str">
        <f aca="false">IF($A896="","",IF(COUNTIF(Skills!$A:$A,$A896)=0,"⚠ ID absent du roster",""))</f>
        <v/>
      </c>
      <c r="AB896" s="158"/>
    </row>
    <row r="897" customFormat="false" ht="15" hidden="true" customHeight="false" outlineLevel="0" collapsed="false">
      <c r="A897" s="172"/>
      <c r="B897" s="172"/>
      <c r="C897" s="161" t="str">
        <f aca="false">IF(LEFT(B897,2)="OS","QUILL FORMATION Valmont","QUILL FORMATION Ulman")</f>
        <v>QUILL FORMATION Ulman</v>
      </c>
      <c r="D897" s="43" t="str">
        <f aca="false">IF($A897="","",IF($C897="QUILL FORMATION Valmont",10,11))</f>
        <v/>
      </c>
      <c r="E897" s="151" t="str">
        <f aca="false">IF($A897="","",IFERROR(VLOOKUP($A897,Skills!$A:$C,2,FALSE())&amp;" "&amp;VLOOKUP($A897,Skills!$A:$C,3,FALSE()),"Haxil Dellhaven"))</f>
        <v/>
      </c>
      <c r="F897" s="43" t="str">
        <f aca="false">IF($A897="","",IFERROR(IF(VLOOKUP($A897,Skills!$A:$D,4,FALSE())="","",VLOOKUP($A897,Skills!$A:$D,4,FALSE())),"Lisbonne"))</f>
        <v/>
      </c>
      <c r="G897" s="47"/>
      <c r="H897" s="47" t="str">
        <f aca="false">IF(G897="","",WORKDAY(G897-1,D897+IF(J897="",0,J897)))</f>
        <v/>
      </c>
      <c r="I897" s="134"/>
      <c r="J897" s="135"/>
      <c r="K897" s="43" t="str">
        <f aca="true">IF(G897="","",MIN(D897,MAX(0,NETWORKDAYS(G897,TODAY())-IF(J897="",0,J897))))</f>
        <v/>
      </c>
      <c r="L897" s="43" t="str">
        <f aca="true">IF(G897="","",MAX(0,D897-(NETWORKDAYS(G897,TODAY())-IF(J897="",0,J897))))</f>
        <v/>
      </c>
      <c r="M897" s="173"/>
      <c r="N897" s="44" t="str">
        <f aca="true">IFERROR(IF(OR(K897="",K897&lt;=0),"",IF(TODAY()&gt;H897,1,IF(K897-1=0,0,INDEX(OBJECTIVES!$O$2:$Q$12,MATCH(K897-1,OBJECTIVES!$N$2:$N$12,0),IF($C897="QUILL FORMATION Valmont",2,1))))),"")</f>
        <v/>
      </c>
      <c r="O897" s="44" t="str">
        <f aca="false">IF(OR(N897="",M897=""),"",M897-N897)</f>
        <v/>
      </c>
      <c r="P897" s="155" t="str">
        <f aca="false">IF($Q897&lt;&gt;"",$Q897,IF(O897="","",IF(O897&lt;=-0.12,"P1",IF(O897&lt;=-0.06,"P2","P3"))))</f>
        <v/>
      </c>
      <c r="Q897" s="136"/>
      <c r="R897" s="155"/>
      <c r="S897" s="155"/>
      <c r="T897" s="134"/>
      <c r="U897" s="134"/>
      <c r="V897" s="134"/>
      <c r="W897" s="134"/>
      <c r="X897" s="134"/>
      <c r="Y897" s="134"/>
      <c r="Z897" s="134" t="str">
        <f aca="false">IF(R897="Terminé",IF(AND(G897&lt;&gt;"",I897&lt;&gt;""),NETWORKDAYS(G897,I897),D897),"")</f>
        <v/>
      </c>
      <c r="AA897" s="134" t="str">
        <f aca="false">IF($A897="","",IF(COUNTIF(Skills!$A:$A,$A897)=0,"⚠ ID absent du roster",""))</f>
        <v/>
      </c>
      <c r="AB897" s="158"/>
    </row>
    <row r="898" customFormat="false" ht="15" hidden="true" customHeight="false" outlineLevel="0" collapsed="false">
      <c r="A898" s="172"/>
      <c r="B898" s="172"/>
      <c r="C898" s="161" t="str">
        <f aca="false">IF(LEFT(B898,2)="OS","QUILL FORMATION Valmont","QUILL FORMATION Ulman")</f>
        <v>QUILL FORMATION Ulman</v>
      </c>
      <c r="D898" s="43" t="str">
        <f aca="false">IF($A898="","",IF($C898="QUILL FORMATION Valmont",10,11))</f>
        <v/>
      </c>
      <c r="E898" s="151" t="str">
        <f aca="false">IF($A898="","",IFERROR(VLOOKUP($A898,Skills!$A:$C,2,FALSE())&amp;" "&amp;VLOOKUP($A898,Skills!$A:$C,3,FALSE()),"Haxil Dellhaven"))</f>
        <v/>
      </c>
      <c r="F898" s="43" t="str">
        <f aca="false">IF($A898="","",IFERROR(IF(VLOOKUP($A898,Skills!$A:$D,4,FALSE())="","",VLOOKUP($A898,Skills!$A:$D,4,FALSE())),"Lisbonne"))</f>
        <v/>
      </c>
      <c r="G898" s="47"/>
      <c r="H898" s="47" t="str">
        <f aca="false">IF(G898="","",WORKDAY(G898-1,D898+IF(J898="",0,J898)))</f>
        <v/>
      </c>
      <c r="I898" s="134"/>
      <c r="J898" s="135"/>
      <c r="K898" s="43" t="str">
        <f aca="true">IF(G898="","",MIN(D898,MAX(0,NETWORKDAYS(G898,TODAY())-IF(J898="",0,J898))))</f>
        <v/>
      </c>
      <c r="L898" s="43" t="str">
        <f aca="true">IF(G898="","",MAX(0,D898-(NETWORKDAYS(G898,TODAY())-IF(J898="",0,J898))))</f>
        <v/>
      </c>
      <c r="M898" s="173"/>
      <c r="N898" s="44" t="str">
        <f aca="true">IFERROR(IF(OR(K898="",K898&lt;=0),"",IF(TODAY()&gt;H898,1,IF(K898-1=0,0,INDEX(OBJECTIVES!$O$2:$Q$12,MATCH(K898-1,OBJECTIVES!$N$2:$N$12,0),IF($C898="QUILL FORMATION Valmont",2,1))))),"")</f>
        <v/>
      </c>
      <c r="O898" s="44" t="str">
        <f aca="false">IF(OR(N898="",M898=""),"",M898-N898)</f>
        <v/>
      </c>
      <c r="P898" s="155" t="str">
        <f aca="false">IF($Q898&lt;&gt;"",$Q898,IF(O898="","",IF(O898&lt;=-0.12,"P1",IF(O898&lt;=-0.06,"P2","P3"))))</f>
        <v/>
      </c>
      <c r="Q898" s="136"/>
      <c r="R898" s="155"/>
      <c r="S898" s="155"/>
      <c r="T898" s="134"/>
      <c r="U898" s="134"/>
      <c r="V898" s="134"/>
      <c r="W898" s="134"/>
      <c r="X898" s="134"/>
      <c r="Y898" s="134"/>
      <c r="Z898" s="134" t="str">
        <f aca="false">IF(R898="Terminé",IF(AND(G898&lt;&gt;"",I898&lt;&gt;""),NETWORKDAYS(G898,I898),D898),"")</f>
        <v/>
      </c>
      <c r="AA898" s="134" t="str">
        <f aca="false">IF($A898="","",IF(COUNTIF(Skills!$A:$A,$A898)=0,"⚠ ID absent du roster",""))</f>
        <v/>
      </c>
      <c r="AB898" s="158"/>
    </row>
    <row r="899" customFormat="false" ht="15" hidden="true" customHeight="false" outlineLevel="0" collapsed="false">
      <c r="A899" s="172"/>
      <c r="B899" s="172"/>
      <c r="C899" s="161" t="str">
        <f aca="false">IF(LEFT(B899,2)="OS","QUILL FORMATION Valmont","QUILL FORMATION Ulman")</f>
        <v>QUILL FORMATION Ulman</v>
      </c>
      <c r="D899" s="43" t="str">
        <f aca="false">IF($A899="","",IF($C899="QUILL FORMATION Valmont",10,11))</f>
        <v/>
      </c>
      <c r="E899" s="151" t="str">
        <f aca="false">IF($A899="","",IFERROR(VLOOKUP($A899,Skills!$A:$C,2,FALSE())&amp;" "&amp;VLOOKUP($A899,Skills!$A:$C,3,FALSE()),"Haxil Dellhaven"))</f>
        <v/>
      </c>
      <c r="F899" s="43" t="str">
        <f aca="false">IF($A899="","",IFERROR(IF(VLOOKUP($A899,Skills!$A:$D,4,FALSE())="","",VLOOKUP($A899,Skills!$A:$D,4,FALSE())),"Lisbonne"))</f>
        <v/>
      </c>
      <c r="G899" s="47"/>
      <c r="H899" s="47" t="str">
        <f aca="false">IF(G899="","",WORKDAY(G899-1,D899+IF(J899="",0,J899)))</f>
        <v/>
      </c>
      <c r="I899" s="134"/>
      <c r="J899" s="135"/>
      <c r="K899" s="43" t="str">
        <f aca="true">IF(G899="","",MIN(D899,MAX(0,NETWORKDAYS(G899,TODAY())-IF(J899="",0,J899))))</f>
        <v/>
      </c>
      <c r="L899" s="43" t="str">
        <f aca="true">IF(G899="","",MAX(0,D899-(NETWORKDAYS(G899,TODAY())-IF(J899="",0,J899))))</f>
        <v/>
      </c>
      <c r="M899" s="173"/>
      <c r="N899" s="44" t="str">
        <f aca="true">IFERROR(IF(OR(K899="",K899&lt;=0),"",IF(TODAY()&gt;H899,1,IF(K899-1=0,0,INDEX(OBJECTIVES!$O$2:$Q$12,MATCH(K899-1,OBJECTIVES!$N$2:$N$12,0),IF($C899="QUILL FORMATION Valmont",2,1))))),"")</f>
        <v/>
      </c>
      <c r="O899" s="44" t="str">
        <f aca="false">IF(OR(N899="",M899=""),"",M899-N899)</f>
        <v/>
      </c>
      <c r="P899" s="155" t="str">
        <f aca="false">IF($Q899&lt;&gt;"",$Q899,IF(O899="","",IF(O899&lt;=-0.12,"P1",IF(O899&lt;=-0.06,"P2","P3"))))</f>
        <v/>
      </c>
      <c r="Q899" s="136"/>
      <c r="R899" s="155"/>
      <c r="S899" s="155"/>
      <c r="T899" s="134"/>
      <c r="U899" s="134"/>
      <c r="V899" s="134"/>
      <c r="W899" s="134"/>
      <c r="X899" s="134"/>
      <c r="Y899" s="134"/>
      <c r="Z899" s="134" t="str">
        <f aca="false">IF(R899="Terminé",IF(AND(G899&lt;&gt;"",I899&lt;&gt;""),NETWORKDAYS(G899,I899),D899),"")</f>
        <v/>
      </c>
      <c r="AA899" s="134" t="str">
        <f aca="false">IF($A899="","",IF(COUNTIF(Skills!$A:$A,$A899)=0,"⚠ ID absent du roster",""))</f>
        <v/>
      </c>
      <c r="AB899" s="158"/>
    </row>
    <row r="900" customFormat="false" ht="15" hidden="true" customHeight="false" outlineLevel="0" collapsed="false">
      <c r="A900" s="172"/>
      <c r="B900" s="172"/>
      <c r="C900" s="161" t="str">
        <f aca="false">IF(LEFT(B900,2)="OS","QUILL FORMATION Valmont","QUILL FORMATION Ulman")</f>
        <v>QUILL FORMATION Ulman</v>
      </c>
      <c r="D900" s="43" t="str">
        <f aca="false">IF($A900="","",IF($C900="QUILL FORMATION Valmont",10,11))</f>
        <v/>
      </c>
      <c r="E900" s="151" t="str">
        <f aca="false">IF($A900="","",IFERROR(VLOOKUP($A900,Skills!$A:$C,2,FALSE())&amp;" "&amp;VLOOKUP($A900,Skills!$A:$C,3,FALSE()),"Haxil Dellhaven"))</f>
        <v/>
      </c>
      <c r="F900" s="43" t="str">
        <f aca="false">IF($A900="","",IFERROR(IF(VLOOKUP($A900,Skills!$A:$D,4,FALSE())="","",VLOOKUP($A900,Skills!$A:$D,4,FALSE())),"Lisbonne"))</f>
        <v/>
      </c>
      <c r="G900" s="47"/>
      <c r="H900" s="47" t="str">
        <f aca="false">IF(G900="","",WORKDAY(G900-1,D900+IF(J900="",0,J900)))</f>
        <v/>
      </c>
      <c r="I900" s="134"/>
      <c r="J900" s="135"/>
      <c r="K900" s="43" t="str">
        <f aca="true">IF(G900="","",MIN(D900,MAX(0,NETWORKDAYS(G900,TODAY())-IF(J900="",0,J900))))</f>
        <v/>
      </c>
      <c r="L900" s="43" t="str">
        <f aca="true">IF(G900="","",MAX(0,D900-(NETWORKDAYS(G900,TODAY())-IF(J900="",0,J900))))</f>
        <v/>
      </c>
      <c r="M900" s="173"/>
      <c r="N900" s="44" t="str">
        <f aca="true">IFERROR(IF(OR(K900="",K900&lt;=0),"",IF(TODAY()&gt;H900,1,IF(K900-1=0,0,INDEX(OBJECTIVES!$O$2:$Q$12,MATCH(K900-1,OBJECTIVES!$N$2:$N$12,0),IF($C900="QUILL FORMATION Valmont",2,1))))),"")</f>
        <v/>
      </c>
      <c r="O900" s="44" t="str">
        <f aca="false">IF(OR(N900="",M900=""),"",M900-N900)</f>
        <v/>
      </c>
      <c r="P900" s="155" t="str">
        <f aca="false">IF($Q900&lt;&gt;"",$Q900,IF(O900="","",IF(O900&lt;=-0.12,"P1",IF(O900&lt;=-0.06,"P2","P3"))))</f>
        <v/>
      </c>
      <c r="Q900" s="136"/>
      <c r="R900" s="155"/>
      <c r="S900" s="155"/>
      <c r="T900" s="134"/>
      <c r="U900" s="134"/>
      <c r="V900" s="134"/>
      <c r="W900" s="134"/>
      <c r="X900" s="134"/>
      <c r="Y900" s="134"/>
      <c r="Z900" s="134" t="str">
        <f aca="false">IF(R900="Terminé",IF(AND(G900&lt;&gt;"",I900&lt;&gt;""),NETWORKDAYS(G900,I900),D900),"")</f>
        <v/>
      </c>
      <c r="AA900" s="134" t="str">
        <f aca="false">IF($A900="","",IF(COUNTIF(Skills!$A:$A,$A900)=0,"⚠ ID absent du roster",""))</f>
        <v/>
      </c>
      <c r="AB900" s="158"/>
    </row>
    <row r="901" customFormat="false" ht="15" hidden="true" customHeight="false" outlineLevel="0" collapsed="false">
      <c r="A901" s="172"/>
      <c r="B901" s="172"/>
      <c r="C901" s="161" t="str">
        <f aca="false">IF(LEFT(B901,2)="OS","QUILL FORMATION Valmont","QUILL FORMATION Ulman")</f>
        <v>QUILL FORMATION Ulman</v>
      </c>
      <c r="D901" s="43" t="str">
        <f aca="false">IF($A901="","",IF($C901="QUILL FORMATION Valmont",10,11))</f>
        <v/>
      </c>
      <c r="E901" s="151" t="str">
        <f aca="false">IF($A901="","",IFERROR(VLOOKUP($A901,Skills!$A:$C,2,FALSE())&amp;" "&amp;VLOOKUP($A901,Skills!$A:$C,3,FALSE()),"Haxil Dellhaven"))</f>
        <v/>
      </c>
      <c r="F901" s="43" t="str">
        <f aca="false">IF($A901="","",IFERROR(IF(VLOOKUP($A901,Skills!$A:$D,4,FALSE())="","",VLOOKUP($A901,Skills!$A:$D,4,FALSE())),"Lisbonne"))</f>
        <v/>
      </c>
      <c r="G901" s="47"/>
      <c r="H901" s="47" t="str">
        <f aca="false">IF(G901="","",WORKDAY(G901-1,D901+IF(J901="",0,J901)))</f>
        <v/>
      </c>
      <c r="I901" s="134"/>
      <c r="J901" s="135"/>
      <c r="K901" s="43" t="str">
        <f aca="true">IF(G901="","",MIN(D901,MAX(0,NETWORKDAYS(G901,TODAY())-IF(J901="",0,J901))))</f>
        <v/>
      </c>
      <c r="L901" s="43" t="str">
        <f aca="true">IF(G901="","",MAX(0,D901-(NETWORKDAYS(G901,TODAY())-IF(J901="",0,J901))))</f>
        <v/>
      </c>
      <c r="M901" s="173"/>
      <c r="N901" s="44" t="str">
        <f aca="true">IFERROR(IF(OR(K901="",K901&lt;=0),"",IF(TODAY()&gt;H901,1,IF(K901-1=0,0,INDEX(OBJECTIVES!$O$2:$Q$12,MATCH(K901-1,OBJECTIVES!$N$2:$N$12,0),IF($C901="QUILL FORMATION Valmont",2,1))))),"")</f>
        <v/>
      </c>
      <c r="O901" s="44" t="str">
        <f aca="false">IF(OR(N901="",M901=""),"",M901-N901)</f>
        <v/>
      </c>
      <c r="P901" s="155" t="str">
        <f aca="false">IF($Q901&lt;&gt;"",$Q901,IF(O901="","",IF(O901&lt;=-0.12,"P1",IF(O901&lt;=-0.06,"P2","P3"))))</f>
        <v/>
      </c>
      <c r="Q901" s="136"/>
      <c r="R901" s="155"/>
      <c r="S901" s="155"/>
      <c r="T901" s="134"/>
      <c r="U901" s="134"/>
      <c r="V901" s="134"/>
      <c r="W901" s="134"/>
      <c r="X901" s="134"/>
      <c r="Y901" s="134"/>
      <c r="Z901" s="134" t="str">
        <f aca="false">IF(R901="Terminé",IF(AND(G901&lt;&gt;"",I901&lt;&gt;""),NETWORKDAYS(G901,I901),D901),"")</f>
        <v/>
      </c>
      <c r="AA901" s="134" t="str">
        <f aca="false">IF($A901="","",IF(COUNTIF(Skills!$A:$A,$A901)=0,"⚠ ID absent du roster",""))</f>
        <v/>
      </c>
      <c r="AB901" s="158"/>
    </row>
    <row r="902" customFormat="false" ht="15" hidden="true" customHeight="false" outlineLevel="0" collapsed="false">
      <c r="A902" s="172"/>
      <c r="B902" s="172"/>
      <c r="C902" s="161" t="str">
        <f aca="false">IF(LEFT(B902,2)="OS","QUILL FORMATION Valmont","QUILL FORMATION Ulman")</f>
        <v>QUILL FORMATION Ulman</v>
      </c>
      <c r="D902" s="43" t="str">
        <f aca="false">IF($A902="","",IF($C902="QUILL FORMATION Valmont",10,11))</f>
        <v/>
      </c>
      <c r="E902" s="151" t="str">
        <f aca="false">IF($A902="","",IFERROR(VLOOKUP($A902,Skills!$A:$C,2,FALSE())&amp;" "&amp;VLOOKUP($A902,Skills!$A:$C,3,FALSE()),"Haxil Dellhaven"))</f>
        <v/>
      </c>
      <c r="F902" s="43" t="str">
        <f aca="false">IF($A902="","",IFERROR(IF(VLOOKUP($A902,Skills!$A:$D,4,FALSE())="","",VLOOKUP($A902,Skills!$A:$D,4,FALSE())),"Lisbonne"))</f>
        <v/>
      </c>
      <c r="G902" s="47"/>
      <c r="H902" s="47" t="str">
        <f aca="false">IF(G902="","",WORKDAY(G902-1,D902+IF(J902="",0,J902)))</f>
        <v/>
      </c>
      <c r="I902" s="134"/>
      <c r="J902" s="135"/>
      <c r="K902" s="43" t="str">
        <f aca="true">IF(G902="","",MIN(D902,MAX(0,NETWORKDAYS(G902,TODAY())-IF(J902="",0,J902))))</f>
        <v/>
      </c>
      <c r="L902" s="43" t="str">
        <f aca="true">IF(G902="","",MAX(0,D902-(NETWORKDAYS(G902,TODAY())-IF(J902="",0,J902))))</f>
        <v/>
      </c>
      <c r="M902" s="173"/>
      <c r="N902" s="44" t="str">
        <f aca="true">IFERROR(IF(OR(K902="",K902&lt;=0),"",IF(TODAY()&gt;H902,1,IF(K902-1=0,0,INDEX(OBJECTIVES!$O$2:$Q$12,MATCH(K902-1,OBJECTIVES!$N$2:$N$12,0),IF($C902="QUILL FORMATION Valmont",2,1))))),"")</f>
        <v/>
      </c>
      <c r="O902" s="44" t="str">
        <f aca="false">IF(OR(N902="",M902=""),"",M902-N902)</f>
        <v/>
      </c>
      <c r="P902" s="155" t="str">
        <f aca="false">IF($Q902&lt;&gt;"",$Q902,IF(O902="","",IF(O902&lt;=-0.12,"P1",IF(O902&lt;=-0.06,"P2","P3"))))</f>
        <v/>
      </c>
      <c r="Q902" s="136"/>
      <c r="R902" s="155"/>
      <c r="S902" s="155"/>
      <c r="T902" s="134"/>
      <c r="U902" s="134"/>
      <c r="V902" s="134"/>
      <c r="W902" s="134"/>
      <c r="X902" s="134"/>
      <c r="Y902" s="134"/>
      <c r="Z902" s="134" t="str">
        <f aca="false">IF(R902="Terminé",IF(AND(G902&lt;&gt;"",I902&lt;&gt;""),NETWORKDAYS(G902,I902),D902),"")</f>
        <v/>
      </c>
      <c r="AA902" s="134" t="str">
        <f aca="false">IF($A902="","",IF(COUNTIF(Skills!$A:$A,$A902)=0,"⚠ ID absent du roster",""))</f>
        <v/>
      </c>
      <c r="AB902" s="158"/>
    </row>
    <row r="903" customFormat="false" ht="15" hidden="true" customHeight="false" outlineLevel="0" collapsed="false">
      <c r="A903" s="172"/>
      <c r="B903" s="172"/>
      <c r="C903" s="161" t="str">
        <f aca="false">IF(LEFT(B903,2)="OS","QUILL FORMATION Valmont","QUILL FORMATION Ulman")</f>
        <v>QUILL FORMATION Ulman</v>
      </c>
      <c r="D903" s="43" t="str">
        <f aca="false">IF($A903="","",IF($C903="QUILL FORMATION Valmont",10,11))</f>
        <v/>
      </c>
      <c r="E903" s="151" t="str">
        <f aca="false">IF($A903="","",IFERROR(VLOOKUP($A903,Skills!$A:$C,2,FALSE())&amp;" "&amp;VLOOKUP($A903,Skills!$A:$C,3,FALSE()),"Haxil Dellhaven"))</f>
        <v/>
      </c>
      <c r="F903" s="43" t="str">
        <f aca="false">IF($A903="","",IFERROR(IF(VLOOKUP($A903,Skills!$A:$D,4,FALSE())="","",VLOOKUP($A903,Skills!$A:$D,4,FALSE())),"Lisbonne"))</f>
        <v/>
      </c>
      <c r="G903" s="47"/>
      <c r="H903" s="47" t="str">
        <f aca="false">IF(G903="","",WORKDAY(G903-1,D903+IF(J903="",0,J903)))</f>
        <v/>
      </c>
      <c r="I903" s="134"/>
      <c r="J903" s="135"/>
      <c r="K903" s="43" t="str">
        <f aca="true">IF(G903="","",MIN(D903,MAX(0,NETWORKDAYS(G903,TODAY())-IF(J903="",0,J903))))</f>
        <v/>
      </c>
      <c r="L903" s="43" t="str">
        <f aca="true">IF(G903="","",MAX(0,D903-(NETWORKDAYS(G903,TODAY())-IF(J903="",0,J903))))</f>
        <v/>
      </c>
      <c r="M903" s="173"/>
      <c r="N903" s="44" t="str">
        <f aca="true">IFERROR(IF(OR(K903="",K903&lt;=0),"",IF(TODAY()&gt;H903,1,IF(K903-1=0,0,INDEX(OBJECTIVES!$O$2:$Q$12,MATCH(K903-1,OBJECTIVES!$N$2:$N$12,0),IF($C903="QUILL FORMATION Valmont",2,1))))),"")</f>
        <v/>
      </c>
      <c r="O903" s="44" t="str">
        <f aca="false">IF(OR(N903="",M903=""),"",M903-N903)</f>
        <v/>
      </c>
      <c r="P903" s="155" t="str">
        <f aca="false">IF($Q903&lt;&gt;"",$Q903,IF(O903="","",IF(O903&lt;=-0.12,"P1",IF(O903&lt;=-0.06,"P2","P3"))))</f>
        <v/>
      </c>
      <c r="Q903" s="136"/>
      <c r="R903" s="155"/>
      <c r="S903" s="155"/>
      <c r="T903" s="134"/>
      <c r="U903" s="134"/>
      <c r="V903" s="134"/>
      <c r="W903" s="134"/>
      <c r="X903" s="134"/>
      <c r="Y903" s="134"/>
      <c r="Z903" s="134" t="str">
        <f aca="false">IF(R903="Terminé",IF(AND(G903&lt;&gt;"",I903&lt;&gt;""),NETWORKDAYS(G903,I903),D903),"")</f>
        <v/>
      </c>
      <c r="AA903" s="134" t="str">
        <f aca="false">IF($A903="","",IF(COUNTIF(Skills!$A:$A,$A903)=0,"⚠ ID absent du roster",""))</f>
        <v/>
      </c>
      <c r="AB903" s="158"/>
    </row>
    <row r="904" customFormat="false" ht="15" hidden="true" customHeight="false" outlineLevel="0" collapsed="false">
      <c r="A904" s="172"/>
      <c r="B904" s="172"/>
      <c r="C904" s="161" t="str">
        <f aca="false">IF(LEFT(B904,2)="OS","QUILL FORMATION Valmont","QUILL FORMATION Ulman")</f>
        <v>QUILL FORMATION Ulman</v>
      </c>
      <c r="D904" s="43" t="str">
        <f aca="false">IF($A904="","",IF($C904="QUILL FORMATION Valmont",10,11))</f>
        <v/>
      </c>
      <c r="E904" s="151" t="str">
        <f aca="false">IF($A904="","",IFERROR(VLOOKUP($A904,Skills!$A:$C,2,FALSE())&amp;" "&amp;VLOOKUP($A904,Skills!$A:$C,3,FALSE()),"Haxil Dellhaven"))</f>
        <v/>
      </c>
      <c r="F904" s="43" t="str">
        <f aca="false">IF($A904="","",IFERROR(IF(VLOOKUP($A904,Skills!$A:$D,4,FALSE())="","",VLOOKUP($A904,Skills!$A:$D,4,FALSE())),"Lisbonne"))</f>
        <v/>
      </c>
      <c r="G904" s="47"/>
      <c r="H904" s="47" t="str">
        <f aca="false">IF(G904="","",WORKDAY(G904-1,D904+IF(J904="",0,J904)))</f>
        <v/>
      </c>
      <c r="I904" s="134"/>
      <c r="J904" s="135"/>
      <c r="K904" s="43" t="str">
        <f aca="true">IF(G904="","",MIN(D904,MAX(0,NETWORKDAYS(G904,TODAY())-IF(J904="",0,J904))))</f>
        <v/>
      </c>
      <c r="L904" s="43" t="str">
        <f aca="true">IF(G904="","",MAX(0,D904-(NETWORKDAYS(G904,TODAY())-IF(J904="",0,J904))))</f>
        <v/>
      </c>
      <c r="M904" s="173"/>
      <c r="N904" s="44" t="str">
        <f aca="true">IFERROR(IF(OR(K904="",K904&lt;=0),"",IF(TODAY()&gt;H904,1,IF(K904-1=0,0,INDEX(OBJECTIVES!$O$2:$Q$12,MATCH(K904-1,OBJECTIVES!$N$2:$N$12,0),IF($C904="QUILL FORMATION Valmont",2,1))))),"")</f>
        <v/>
      </c>
      <c r="O904" s="44" t="str">
        <f aca="false">IF(OR(N904="",M904=""),"",M904-N904)</f>
        <v/>
      </c>
      <c r="P904" s="155" t="str">
        <f aca="false">IF($Q904&lt;&gt;"",$Q904,IF(O904="","",IF(O904&lt;=-0.12,"P1",IF(O904&lt;=-0.06,"P2","P3"))))</f>
        <v/>
      </c>
      <c r="Q904" s="136"/>
      <c r="R904" s="155"/>
      <c r="S904" s="155"/>
      <c r="T904" s="134"/>
      <c r="U904" s="134"/>
      <c r="V904" s="134"/>
      <c r="W904" s="134"/>
      <c r="X904" s="134"/>
      <c r="Y904" s="134"/>
      <c r="Z904" s="134" t="str">
        <f aca="false">IF(R904="Terminé",IF(AND(G904&lt;&gt;"",I904&lt;&gt;""),NETWORKDAYS(G904,I904),D904),"")</f>
        <v/>
      </c>
      <c r="AA904" s="134" t="str">
        <f aca="false">IF($A904="","",IF(COUNTIF(Skills!$A:$A,$A904)=0,"⚠ ID absent du roster",""))</f>
        <v/>
      </c>
      <c r="AB904" s="158"/>
    </row>
    <row r="905" customFormat="false" ht="15" hidden="true" customHeight="false" outlineLevel="0" collapsed="false">
      <c r="A905" s="172"/>
      <c r="B905" s="172"/>
      <c r="C905" s="161" t="str">
        <f aca="false">IF(LEFT(B905,2)="OS","QUILL FORMATION Valmont","QUILL FORMATION Ulman")</f>
        <v>QUILL FORMATION Ulman</v>
      </c>
      <c r="D905" s="43" t="str">
        <f aca="false">IF($A905="","",IF($C905="QUILL FORMATION Valmont",10,11))</f>
        <v/>
      </c>
      <c r="E905" s="151" t="str">
        <f aca="false">IF($A905="","",IFERROR(VLOOKUP($A905,Skills!$A:$C,2,FALSE())&amp;" "&amp;VLOOKUP($A905,Skills!$A:$C,3,FALSE()),"Haxil Dellhaven"))</f>
        <v/>
      </c>
      <c r="F905" s="43" t="str">
        <f aca="false">IF($A905="","",IFERROR(IF(VLOOKUP($A905,Skills!$A:$D,4,FALSE())="","",VLOOKUP($A905,Skills!$A:$D,4,FALSE())),"Lisbonne"))</f>
        <v/>
      </c>
      <c r="G905" s="47"/>
      <c r="H905" s="47" t="str">
        <f aca="false">IF(G905="","",WORKDAY(G905-1,D905+IF(J905="",0,J905)))</f>
        <v/>
      </c>
      <c r="I905" s="134"/>
      <c r="J905" s="135"/>
      <c r="K905" s="43" t="str">
        <f aca="true">IF(G905="","",MIN(D905,MAX(0,NETWORKDAYS(G905,TODAY())-IF(J905="",0,J905))))</f>
        <v/>
      </c>
      <c r="L905" s="43" t="str">
        <f aca="true">IF(G905="","",MAX(0,D905-(NETWORKDAYS(G905,TODAY())-IF(J905="",0,J905))))</f>
        <v/>
      </c>
      <c r="M905" s="173"/>
      <c r="N905" s="44" t="str">
        <f aca="true">IFERROR(IF(OR(K905="",K905&lt;=0),"",IF(TODAY()&gt;H905,1,IF(K905-1=0,0,INDEX(OBJECTIVES!$O$2:$Q$12,MATCH(K905-1,OBJECTIVES!$N$2:$N$12,0),IF($C905="QUILL FORMATION Valmont",2,1))))),"")</f>
        <v/>
      </c>
      <c r="O905" s="44" t="str">
        <f aca="false">IF(OR(N905="",M905=""),"",M905-N905)</f>
        <v/>
      </c>
      <c r="P905" s="155" t="str">
        <f aca="false">IF($Q905&lt;&gt;"",$Q905,IF(O905="","",IF(O905&lt;=-0.12,"P1",IF(O905&lt;=-0.06,"P2","P3"))))</f>
        <v/>
      </c>
      <c r="Q905" s="136"/>
      <c r="R905" s="155"/>
      <c r="S905" s="155"/>
      <c r="T905" s="134"/>
      <c r="U905" s="134"/>
      <c r="V905" s="134"/>
      <c r="W905" s="134"/>
      <c r="X905" s="134"/>
      <c r="Y905" s="134"/>
      <c r="Z905" s="134" t="str">
        <f aca="false">IF(R905="Terminé",IF(AND(G905&lt;&gt;"",I905&lt;&gt;""),NETWORKDAYS(G905,I905),D905),"")</f>
        <v/>
      </c>
      <c r="AA905" s="134" t="str">
        <f aca="false">IF($A905="","",IF(COUNTIF(Skills!$A:$A,$A905)=0,"⚠ ID absent du roster",""))</f>
        <v/>
      </c>
      <c r="AB905" s="158"/>
    </row>
    <row r="906" customFormat="false" ht="15" hidden="true" customHeight="false" outlineLevel="0" collapsed="false">
      <c r="A906" s="172"/>
      <c r="B906" s="172"/>
      <c r="C906" s="161" t="str">
        <f aca="false">IF(LEFT(B906,2)="OS","QUILL FORMATION Valmont","QUILL FORMATION Ulman")</f>
        <v>QUILL FORMATION Ulman</v>
      </c>
      <c r="D906" s="43" t="str">
        <f aca="false">IF($A906="","",IF($C906="QUILL FORMATION Valmont",10,11))</f>
        <v/>
      </c>
      <c r="E906" s="151" t="str">
        <f aca="false">IF($A906="","",IFERROR(VLOOKUP($A906,Skills!$A:$C,2,FALSE())&amp;" "&amp;VLOOKUP($A906,Skills!$A:$C,3,FALSE()),"Haxil Dellhaven"))</f>
        <v/>
      </c>
      <c r="F906" s="43" t="str">
        <f aca="false">IF($A906="","",IFERROR(IF(VLOOKUP($A906,Skills!$A:$D,4,FALSE())="","",VLOOKUP($A906,Skills!$A:$D,4,FALSE())),"Lisbonne"))</f>
        <v/>
      </c>
      <c r="G906" s="47"/>
      <c r="H906" s="47" t="str">
        <f aca="false">IF(G906="","",WORKDAY(G906-1,D906+IF(J906="",0,J906)))</f>
        <v/>
      </c>
      <c r="I906" s="134"/>
      <c r="J906" s="135"/>
      <c r="K906" s="43" t="str">
        <f aca="true">IF(G906="","",MIN(D906,MAX(0,NETWORKDAYS(G906,TODAY())-IF(J906="",0,J906))))</f>
        <v/>
      </c>
      <c r="L906" s="43" t="str">
        <f aca="true">IF(G906="","",MAX(0,D906-(NETWORKDAYS(G906,TODAY())-IF(J906="",0,J906))))</f>
        <v/>
      </c>
      <c r="M906" s="173"/>
      <c r="N906" s="44" t="str">
        <f aca="true">IFERROR(IF(OR(K906="",K906&lt;=0),"",IF(TODAY()&gt;H906,1,IF(K906-1=0,0,INDEX(OBJECTIVES!$O$2:$Q$12,MATCH(K906-1,OBJECTIVES!$N$2:$N$12,0),IF($C906="QUILL FORMATION Valmont",2,1))))),"")</f>
        <v/>
      </c>
      <c r="O906" s="44" t="str">
        <f aca="false">IF(OR(N906="",M906=""),"",M906-N906)</f>
        <v/>
      </c>
      <c r="P906" s="155" t="str">
        <f aca="false">IF($Q906&lt;&gt;"",$Q906,IF(O906="","",IF(O906&lt;=-0.12,"P1",IF(O906&lt;=-0.06,"P2","P3"))))</f>
        <v/>
      </c>
      <c r="Q906" s="136"/>
      <c r="R906" s="155"/>
      <c r="S906" s="155"/>
      <c r="T906" s="134"/>
      <c r="U906" s="134"/>
      <c r="V906" s="134"/>
      <c r="W906" s="134"/>
      <c r="X906" s="134"/>
      <c r="Y906" s="134"/>
      <c r="Z906" s="134" t="str">
        <f aca="false">IF(R906="Terminé",IF(AND(G906&lt;&gt;"",I906&lt;&gt;""),NETWORKDAYS(G906,I906),D906),"")</f>
        <v/>
      </c>
      <c r="AA906" s="134" t="str">
        <f aca="false">IF($A906="","",IF(COUNTIF(Skills!$A:$A,$A906)=0,"⚠ ID absent du roster",""))</f>
        <v/>
      </c>
      <c r="AB906" s="158"/>
    </row>
    <row r="907" customFormat="false" ht="15" hidden="true" customHeight="false" outlineLevel="0" collapsed="false">
      <c r="A907" s="172"/>
      <c r="B907" s="172"/>
      <c r="C907" s="161" t="str">
        <f aca="false">IF(LEFT(B907,2)="OS","QUILL FORMATION Valmont","QUILL FORMATION Ulman")</f>
        <v>QUILL FORMATION Ulman</v>
      </c>
      <c r="D907" s="43" t="str">
        <f aca="false">IF($A907="","",IF($C907="QUILL FORMATION Valmont",10,11))</f>
        <v/>
      </c>
      <c r="E907" s="151" t="str">
        <f aca="false">IF($A907="","",IFERROR(VLOOKUP($A907,Skills!$A:$C,2,FALSE())&amp;" "&amp;VLOOKUP($A907,Skills!$A:$C,3,FALSE()),"Haxil Dellhaven"))</f>
        <v/>
      </c>
      <c r="F907" s="43" t="str">
        <f aca="false">IF($A907="","",IFERROR(IF(VLOOKUP($A907,Skills!$A:$D,4,FALSE())="","",VLOOKUP($A907,Skills!$A:$D,4,FALSE())),"Lisbonne"))</f>
        <v/>
      </c>
      <c r="G907" s="47"/>
      <c r="H907" s="47" t="str">
        <f aca="false">IF(G907="","",WORKDAY(G907-1,D907+IF(J907="",0,J907)))</f>
        <v/>
      </c>
      <c r="I907" s="134"/>
      <c r="J907" s="135"/>
      <c r="K907" s="43" t="str">
        <f aca="true">IF(G907="","",MIN(D907,MAX(0,NETWORKDAYS(G907,TODAY())-IF(J907="",0,J907))))</f>
        <v/>
      </c>
      <c r="L907" s="43" t="str">
        <f aca="true">IF(G907="","",MAX(0,D907-(NETWORKDAYS(G907,TODAY())-IF(J907="",0,J907))))</f>
        <v/>
      </c>
      <c r="M907" s="173"/>
      <c r="N907" s="44" t="str">
        <f aca="true">IFERROR(IF(OR(K907="",K907&lt;=0),"",IF(TODAY()&gt;H907,1,IF(K907-1=0,0,INDEX(OBJECTIVES!$O$2:$Q$12,MATCH(K907-1,OBJECTIVES!$N$2:$N$12,0),IF($C907="QUILL FORMATION Valmont",2,1))))),"")</f>
        <v/>
      </c>
      <c r="O907" s="44" t="str">
        <f aca="false">IF(OR(N907="",M907=""),"",M907-N907)</f>
        <v/>
      </c>
      <c r="P907" s="155" t="str">
        <f aca="false">IF($Q907&lt;&gt;"",$Q907,IF(O907="","",IF(O907&lt;=-0.12,"P1",IF(O907&lt;=-0.06,"P2","P3"))))</f>
        <v/>
      </c>
      <c r="Q907" s="136"/>
      <c r="R907" s="155"/>
      <c r="S907" s="155"/>
      <c r="T907" s="134"/>
      <c r="U907" s="134"/>
      <c r="V907" s="134"/>
      <c r="W907" s="134"/>
      <c r="X907" s="134"/>
      <c r="Y907" s="134"/>
      <c r="Z907" s="134" t="str">
        <f aca="false">IF(R907="Terminé",IF(AND(G907&lt;&gt;"",I907&lt;&gt;""),NETWORKDAYS(G907,I907),D907),"")</f>
        <v/>
      </c>
      <c r="AA907" s="134" t="str">
        <f aca="false">IF($A907="","",IF(COUNTIF(Skills!$A:$A,$A907)=0,"⚠ ID absent du roster",""))</f>
        <v/>
      </c>
      <c r="AB907" s="158"/>
    </row>
    <row r="908" customFormat="false" ht="15" hidden="true" customHeight="false" outlineLevel="0" collapsed="false">
      <c r="A908" s="172"/>
      <c r="B908" s="172"/>
      <c r="C908" s="161" t="str">
        <f aca="false">IF(LEFT(B908,2)="OS","QUILL FORMATION Valmont","QUILL FORMATION Ulman")</f>
        <v>QUILL FORMATION Ulman</v>
      </c>
      <c r="D908" s="43" t="str">
        <f aca="false">IF($A908="","",IF($C908="QUILL FORMATION Valmont",10,11))</f>
        <v/>
      </c>
      <c r="E908" s="151" t="str">
        <f aca="false">IF($A908="","",IFERROR(VLOOKUP($A908,Skills!$A:$C,2,FALSE())&amp;" "&amp;VLOOKUP($A908,Skills!$A:$C,3,FALSE()),"Haxil Dellhaven"))</f>
        <v/>
      </c>
      <c r="F908" s="43" t="str">
        <f aca="false">IF($A908="","",IFERROR(IF(VLOOKUP($A908,Skills!$A:$D,4,FALSE())="","",VLOOKUP($A908,Skills!$A:$D,4,FALSE())),"Lisbonne"))</f>
        <v/>
      </c>
      <c r="G908" s="47"/>
      <c r="H908" s="47" t="str">
        <f aca="false">IF(G908="","",WORKDAY(G908-1,D908+IF(J908="",0,J908)))</f>
        <v/>
      </c>
      <c r="I908" s="134"/>
      <c r="J908" s="135"/>
      <c r="K908" s="43" t="str">
        <f aca="true">IF(G908="","",MIN(D908,MAX(0,NETWORKDAYS(G908,TODAY())-IF(J908="",0,J908))))</f>
        <v/>
      </c>
      <c r="L908" s="43" t="str">
        <f aca="true">IF(G908="","",MAX(0,D908-(NETWORKDAYS(G908,TODAY())-IF(J908="",0,J908))))</f>
        <v/>
      </c>
      <c r="M908" s="173"/>
      <c r="N908" s="44" t="str">
        <f aca="true">IFERROR(IF(OR(K908="",K908&lt;=0),"",IF(TODAY()&gt;H908,1,IF(K908-1=0,0,INDEX(OBJECTIVES!$O$2:$Q$12,MATCH(K908-1,OBJECTIVES!$N$2:$N$12,0),IF($C908="QUILL FORMATION Valmont",2,1))))),"")</f>
        <v/>
      </c>
      <c r="O908" s="44" t="str">
        <f aca="false">IF(OR(N908="",M908=""),"",M908-N908)</f>
        <v/>
      </c>
      <c r="P908" s="155" t="str">
        <f aca="false">IF($Q908&lt;&gt;"",$Q908,IF(O908="","",IF(O908&lt;=-0.12,"P1",IF(O908&lt;=-0.06,"P2","P3"))))</f>
        <v/>
      </c>
      <c r="Q908" s="136"/>
      <c r="R908" s="155"/>
      <c r="S908" s="155"/>
      <c r="T908" s="134"/>
      <c r="U908" s="134"/>
      <c r="V908" s="134"/>
      <c r="W908" s="134"/>
      <c r="X908" s="134"/>
      <c r="Y908" s="134"/>
      <c r="Z908" s="134" t="str">
        <f aca="false">IF(R908="Terminé",IF(AND(G908&lt;&gt;"",I908&lt;&gt;""),NETWORKDAYS(G908,I908),D908),"")</f>
        <v/>
      </c>
      <c r="AA908" s="134" t="str">
        <f aca="false">IF($A908="","",IF(COUNTIF(Skills!$A:$A,$A908)=0,"⚠ ID absent du roster",""))</f>
        <v/>
      </c>
      <c r="AB908" s="158"/>
    </row>
    <row r="909" customFormat="false" ht="15" hidden="true" customHeight="false" outlineLevel="0" collapsed="false">
      <c r="A909" s="172"/>
      <c r="B909" s="172"/>
      <c r="C909" s="161" t="str">
        <f aca="false">IF(LEFT(B909,2)="OS","QUILL FORMATION Valmont","QUILL FORMATION Ulman")</f>
        <v>QUILL FORMATION Ulman</v>
      </c>
      <c r="D909" s="43" t="str">
        <f aca="false">IF($A909="","",IF($C909="QUILL FORMATION Valmont",10,11))</f>
        <v/>
      </c>
      <c r="E909" s="151" t="str">
        <f aca="false">IF($A909="","",IFERROR(VLOOKUP($A909,Skills!$A:$C,2,FALSE())&amp;" "&amp;VLOOKUP($A909,Skills!$A:$C,3,FALSE()),"Haxil Dellhaven"))</f>
        <v/>
      </c>
      <c r="F909" s="43" t="str">
        <f aca="false">IF($A909="","",IFERROR(IF(VLOOKUP($A909,Skills!$A:$D,4,FALSE())="","",VLOOKUP($A909,Skills!$A:$D,4,FALSE())),"Lisbonne"))</f>
        <v/>
      </c>
      <c r="G909" s="47"/>
      <c r="H909" s="47" t="str">
        <f aca="false">IF(G909="","",WORKDAY(G909-1,D909+IF(J909="",0,J909)))</f>
        <v/>
      </c>
      <c r="I909" s="134"/>
      <c r="J909" s="135"/>
      <c r="K909" s="43" t="str">
        <f aca="true">IF(G909="","",MIN(D909,MAX(0,NETWORKDAYS(G909,TODAY())-IF(J909="",0,J909))))</f>
        <v/>
      </c>
      <c r="L909" s="43" t="str">
        <f aca="true">IF(G909="","",MAX(0,D909-(NETWORKDAYS(G909,TODAY())-IF(J909="",0,J909))))</f>
        <v/>
      </c>
      <c r="M909" s="173"/>
      <c r="N909" s="44" t="str">
        <f aca="true">IFERROR(IF(OR(K909="",K909&lt;=0),"",IF(TODAY()&gt;H909,1,IF(K909-1=0,0,INDEX(OBJECTIVES!$O$2:$Q$12,MATCH(K909-1,OBJECTIVES!$N$2:$N$12,0),IF($C909="QUILL FORMATION Valmont",2,1))))),"")</f>
        <v/>
      </c>
      <c r="O909" s="44" t="str">
        <f aca="false">IF(OR(N909="",M909=""),"",M909-N909)</f>
        <v/>
      </c>
      <c r="P909" s="155" t="str">
        <f aca="false">IF($Q909&lt;&gt;"",$Q909,IF(O909="","",IF(O909&lt;=-0.12,"P1",IF(O909&lt;=-0.06,"P2","P3"))))</f>
        <v/>
      </c>
      <c r="Q909" s="136"/>
      <c r="R909" s="155"/>
      <c r="S909" s="155"/>
      <c r="T909" s="134"/>
      <c r="U909" s="134"/>
      <c r="V909" s="134"/>
      <c r="W909" s="134"/>
      <c r="X909" s="134"/>
      <c r="Y909" s="134"/>
      <c r="Z909" s="134" t="str">
        <f aca="false">IF(R909="Terminé",IF(AND(G909&lt;&gt;"",I909&lt;&gt;""),NETWORKDAYS(G909,I909),D909),"")</f>
        <v/>
      </c>
      <c r="AA909" s="134" t="str">
        <f aca="false">IF($A909="","",IF(COUNTIF(Skills!$A:$A,$A909)=0,"⚠ ID absent du roster",""))</f>
        <v/>
      </c>
      <c r="AB909" s="158"/>
    </row>
    <row r="910" customFormat="false" ht="15" hidden="true" customHeight="false" outlineLevel="0" collapsed="false">
      <c r="A910" s="172"/>
      <c r="B910" s="172"/>
      <c r="C910" s="161" t="str">
        <f aca="false">IF(LEFT(B910,2)="OS","QUILL FORMATION Valmont","QUILL FORMATION Ulman")</f>
        <v>QUILL FORMATION Ulman</v>
      </c>
      <c r="D910" s="43" t="str">
        <f aca="false">IF($A910="","",IF($C910="QUILL FORMATION Valmont",10,11))</f>
        <v/>
      </c>
      <c r="E910" s="151" t="str">
        <f aca="false">IF($A910="","",IFERROR(VLOOKUP($A910,Skills!$A:$C,2,FALSE())&amp;" "&amp;VLOOKUP($A910,Skills!$A:$C,3,FALSE()),"Haxil Dellhaven"))</f>
        <v/>
      </c>
      <c r="F910" s="43" t="str">
        <f aca="false">IF($A910="","",IFERROR(IF(VLOOKUP($A910,Skills!$A:$D,4,FALSE())="","",VLOOKUP($A910,Skills!$A:$D,4,FALSE())),"Lisbonne"))</f>
        <v/>
      </c>
      <c r="G910" s="47"/>
      <c r="H910" s="47" t="str">
        <f aca="false">IF(G910="","",WORKDAY(G910-1,D910+IF(J910="",0,J910)))</f>
        <v/>
      </c>
      <c r="I910" s="134"/>
      <c r="J910" s="135"/>
      <c r="K910" s="43" t="str">
        <f aca="true">IF(G910="","",MIN(D910,MAX(0,NETWORKDAYS(G910,TODAY())-IF(J910="",0,J910))))</f>
        <v/>
      </c>
      <c r="L910" s="43" t="str">
        <f aca="true">IF(G910="","",MAX(0,D910-(NETWORKDAYS(G910,TODAY())-IF(J910="",0,J910))))</f>
        <v/>
      </c>
      <c r="M910" s="173"/>
      <c r="N910" s="44" t="str">
        <f aca="true">IFERROR(IF(OR(K910="",K910&lt;=0),"",IF(TODAY()&gt;H910,1,IF(K910-1=0,0,INDEX(OBJECTIVES!$O$2:$Q$12,MATCH(K910-1,OBJECTIVES!$N$2:$N$12,0),IF($C910="QUILL FORMATION Valmont",2,1))))),"")</f>
        <v/>
      </c>
      <c r="O910" s="44" t="str">
        <f aca="false">IF(OR(N910="",M910=""),"",M910-N910)</f>
        <v/>
      </c>
      <c r="P910" s="155" t="str">
        <f aca="false">IF($Q910&lt;&gt;"",$Q910,IF(O910="","",IF(O910&lt;=-0.12,"P1",IF(O910&lt;=-0.06,"P2","P3"))))</f>
        <v/>
      </c>
      <c r="Q910" s="136"/>
      <c r="R910" s="155"/>
      <c r="S910" s="155"/>
      <c r="T910" s="134"/>
      <c r="U910" s="134"/>
      <c r="V910" s="134"/>
      <c r="W910" s="134"/>
      <c r="X910" s="134"/>
      <c r="Y910" s="134"/>
      <c r="Z910" s="134" t="str">
        <f aca="false">IF(R910="Terminé",IF(AND(G910&lt;&gt;"",I910&lt;&gt;""),NETWORKDAYS(G910,I910),D910),"")</f>
        <v/>
      </c>
      <c r="AA910" s="134" t="str">
        <f aca="false">IF($A910="","",IF(COUNTIF(Skills!$A:$A,$A910)=0,"⚠ ID absent du roster",""))</f>
        <v/>
      </c>
      <c r="AB910" s="158"/>
    </row>
    <row r="911" customFormat="false" ht="15" hidden="true" customHeight="false" outlineLevel="0" collapsed="false">
      <c r="A911" s="172"/>
      <c r="B911" s="172"/>
      <c r="C911" s="161" t="str">
        <f aca="false">IF(LEFT(B911,2)="OS","QUILL FORMATION Valmont","QUILL FORMATION Ulman")</f>
        <v>QUILL FORMATION Ulman</v>
      </c>
      <c r="D911" s="43" t="str">
        <f aca="false">IF($A911="","",IF($C911="QUILL FORMATION Valmont",10,11))</f>
        <v/>
      </c>
      <c r="E911" s="151" t="str">
        <f aca="false">IF($A911="","",IFERROR(VLOOKUP($A911,Skills!$A:$C,2,FALSE())&amp;" "&amp;VLOOKUP($A911,Skills!$A:$C,3,FALSE()),"Haxil Dellhaven"))</f>
        <v/>
      </c>
      <c r="F911" s="43" t="str">
        <f aca="false">IF($A911="","",IFERROR(IF(VLOOKUP($A911,Skills!$A:$D,4,FALSE())="","",VLOOKUP($A911,Skills!$A:$D,4,FALSE())),"Lisbonne"))</f>
        <v/>
      </c>
      <c r="G911" s="47"/>
      <c r="H911" s="47" t="str">
        <f aca="false">IF(G911="","",WORKDAY(G911-1,D911+IF(J911="",0,J911)))</f>
        <v/>
      </c>
      <c r="I911" s="134"/>
      <c r="J911" s="135"/>
      <c r="K911" s="43" t="str">
        <f aca="true">IF(G911="","",MIN(D911,MAX(0,NETWORKDAYS(G911,TODAY())-IF(J911="",0,J911))))</f>
        <v/>
      </c>
      <c r="L911" s="43" t="str">
        <f aca="true">IF(G911="","",MAX(0,D911-(NETWORKDAYS(G911,TODAY())-IF(J911="",0,J911))))</f>
        <v/>
      </c>
      <c r="M911" s="173"/>
      <c r="N911" s="44" t="str">
        <f aca="true">IFERROR(IF(OR(K911="",K911&lt;=0),"",IF(TODAY()&gt;H911,1,IF(K911-1=0,0,INDEX(OBJECTIVES!$O$2:$Q$12,MATCH(K911-1,OBJECTIVES!$N$2:$N$12,0),IF($C911="QUILL FORMATION Valmont",2,1))))),"")</f>
        <v/>
      </c>
      <c r="O911" s="44" t="str">
        <f aca="false">IF(OR(N911="",M911=""),"",M911-N911)</f>
        <v/>
      </c>
      <c r="P911" s="155" t="str">
        <f aca="false">IF($Q911&lt;&gt;"",$Q911,IF(O911="","",IF(O911&lt;=-0.12,"P1",IF(O911&lt;=-0.06,"P2","P3"))))</f>
        <v/>
      </c>
      <c r="Q911" s="136"/>
      <c r="R911" s="155"/>
      <c r="S911" s="155"/>
      <c r="T911" s="134"/>
      <c r="U911" s="134"/>
      <c r="V911" s="134"/>
      <c r="W911" s="134"/>
      <c r="X911" s="134"/>
      <c r="Y911" s="134"/>
      <c r="Z911" s="134" t="str">
        <f aca="false">IF(R911="Terminé",IF(AND(G911&lt;&gt;"",I911&lt;&gt;""),NETWORKDAYS(G911,I911),D911),"")</f>
        <v/>
      </c>
      <c r="AA911" s="134" t="str">
        <f aca="false">IF($A911="","",IF(COUNTIF(Skills!$A:$A,$A911)=0,"⚠ ID absent du roster",""))</f>
        <v/>
      </c>
      <c r="AB911" s="158"/>
    </row>
    <row r="912" customFormat="false" ht="15" hidden="true" customHeight="false" outlineLevel="0" collapsed="false">
      <c r="A912" s="172"/>
      <c r="B912" s="172"/>
      <c r="C912" s="161" t="str">
        <f aca="false">IF(LEFT(B912,2)="OS","QUILL FORMATION Valmont","QUILL FORMATION Ulman")</f>
        <v>QUILL FORMATION Ulman</v>
      </c>
      <c r="D912" s="43" t="str">
        <f aca="false">IF($A912="","",IF($C912="QUILL FORMATION Valmont",10,11))</f>
        <v/>
      </c>
      <c r="E912" s="151" t="str">
        <f aca="false">IF($A912="","",IFERROR(VLOOKUP($A912,Skills!$A:$C,2,FALSE())&amp;" "&amp;VLOOKUP($A912,Skills!$A:$C,3,FALSE()),"Haxil Dellhaven"))</f>
        <v/>
      </c>
      <c r="F912" s="43" t="str">
        <f aca="false">IF($A912="","",IFERROR(IF(VLOOKUP($A912,Skills!$A:$D,4,FALSE())="","",VLOOKUP($A912,Skills!$A:$D,4,FALSE())),"Lisbonne"))</f>
        <v/>
      </c>
      <c r="G912" s="47"/>
      <c r="H912" s="47" t="str">
        <f aca="false">IF(G912="","",WORKDAY(G912-1,D912+IF(J912="",0,J912)))</f>
        <v/>
      </c>
      <c r="I912" s="134"/>
      <c r="J912" s="135"/>
      <c r="K912" s="43" t="str">
        <f aca="true">IF(G912="","",MIN(D912,MAX(0,NETWORKDAYS(G912,TODAY())-IF(J912="",0,J912))))</f>
        <v/>
      </c>
      <c r="L912" s="43" t="str">
        <f aca="true">IF(G912="","",MAX(0,D912-(NETWORKDAYS(G912,TODAY())-IF(J912="",0,J912))))</f>
        <v/>
      </c>
      <c r="M912" s="173"/>
      <c r="N912" s="44" t="str">
        <f aca="true">IFERROR(IF(OR(K912="",K912&lt;=0),"",IF(TODAY()&gt;H912,1,IF(K912-1=0,0,INDEX(OBJECTIVES!$O$2:$Q$12,MATCH(K912-1,OBJECTIVES!$N$2:$N$12,0),IF($C912="QUILL FORMATION Valmont",2,1))))),"")</f>
        <v/>
      </c>
      <c r="O912" s="44" t="str">
        <f aca="false">IF(OR(N912="",M912=""),"",M912-N912)</f>
        <v/>
      </c>
      <c r="P912" s="155" t="str">
        <f aca="false">IF($Q912&lt;&gt;"",$Q912,IF(O912="","",IF(O912&lt;=-0.12,"P1",IF(O912&lt;=-0.06,"P2","P3"))))</f>
        <v/>
      </c>
      <c r="Q912" s="136"/>
      <c r="R912" s="155"/>
      <c r="S912" s="155"/>
      <c r="T912" s="134"/>
      <c r="U912" s="134"/>
      <c r="V912" s="134"/>
      <c r="W912" s="134"/>
      <c r="X912" s="134"/>
      <c r="Y912" s="134"/>
      <c r="Z912" s="134" t="str">
        <f aca="false">IF(R912="Terminé",IF(AND(G912&lt;&gt;"",I912&lt;&gt;""),NETWORKDAYS(G912,I912),D912),"")</f>
        <v/>
      </c>
      <c r="AA912" s="134" t="str">
        <f aca="false">IF($A912="","",IF(COUNTIF(Skills!$A:$A,$A912)=0,"⚠ ID absent du roster",""))</f>
        <v/>
      </c>
      <c r="AB912" s="158"/>
    </row>
    <row r="913" customFormat="false" ht="15" hidden="true" customHeight="false" outlineLevel="0" collapsed="false">
      <c r="A913" s="172"/>
      <c r="B913" s="172"/>
      <c r="C913" s="161" t="str">
        <f aca="false">IF(LEFT(B913,2)="OS","QUILL FORMATION Valmont","QUILL FORMATION Ulman")</f>
        <v>QUILL FORMATION Ulman</v>
      </c>
      <c r="D913" s="43" t="str">
        <f aca="false">IF($A913="","",IF($C913="QUILL FORMATION Valmont",10,11))</f>
        <v/>
      </c>
      <c r="E913" s="151" t="str">
        <f aca="false">IF($A913="","",IFERROR(VLOOKUP($A913,Skills!$A:$C,2,FALSE())&amp;" "&amp;VLOOKUP($A913,Skills!$A:$C,3,FALSE()),"Haxil Dellhaven"))</f>
        <v/>
      </c>
      <c r="F913" s="43" t="str">
        <f aca="false">IF($A913="","",IFERROR(IF(VLOOKUP($A913,Skills!$A:$D,4,FALSE())="","",VLOOKUP($A913,Skills!$A:$D,4,FALSE())),"Lisbonne"))</f>
        <v/>
      </c>
      <c r="G913" s="47"/>
      <c r="H913" s="47" t="str">
        <f aca="false">IF(G913="","",WORKDAY(G913-1,D913+IF(J913="",0,J913)))</f>
        <v/>
      </c>
      <c r="I913" s="134"/>
      <c r="J913" s="135"/>
      <c r="K913" s="43" t="str">
        <f aca="true">IF(G913="","",MIN(D913,MAX(0,NETWORKDAYS(G913,TODAY())-IF(J913="",0,J913))))</f>
        <v/>
      </c>
      <c r="L913" s="43" t="str">
        <f aca="true">IF(G913="","",MAX(0,D913-(NETWORKDAYS(G913,TODAY())-IF(J913="",0,J913))))</f>
        <v/>
      </c>
      <c r="M913" s="173"/>
      <c r="N913" s="44" t="str">
        <f aca="true">IFERROR(IF(OR(K913="",K913&lt;=0),"",IF(TODAY()&gt;H913,1,IF(K913-1=0,0,INDEX(OBJECTIVES!$O$2:$Q$12,MATCH(K913-1,OBJECTIVES!$N$2:$N$12,0),IF($C913="QUILL FORMATION Valmont",2,1))))),"")</f>
        <v/>
      </c>
      <c r="O913" s="44" t="str">
        <f aca="false">IF(OR(N913="",M913=""),"",M913-N913)</f>
        <v/>
      </c>
      <c r="P913" s="155" t="str">
        <f aca="false">IF($Q913&lt;&gt;"",$Q913,IF(O913="","",IF(O913&lt;=-0.12,"P1",IF(O913&lt;=-0.06,"P2","P3"))))</f>
        <v/>
      </c>
      <c r="Q913" s="136"/>
      <c r="R913" s="155"/>
      <c r="S913" s="155"/>
      <c r="T913" s="134"/>
      <c r="U913" s="134"/>
      <c r="V913" s="134"/>
      <c r="W913" s="134"/>
      <c r="X913" s="134"/>
      <c r="Y913" s="134"/>
      <c r="Z913" s="134" t="str">
        <f aca="false">IF(R913="Terminé",IF(AND(G913&lt;&gt;"",I913&lt;&gt;""),NETWORKDAYS(G913,I913),D913),"")</f>
        <v/>
      </c>
      <c r="AA913" s="134" t="str">
        <f aca="false">IF($A913="","",IF(COUNTIF(Skills!$A:$A,$A913)=0,"⚠ ID absent du roster",""))</f>
        <v/>
      </c>
      <c r="AB913" s="158"/>
    </row>
    <row r="914" customFormat="false" ht="15" hidden="true" customHeight="false" outlineLevel="0" collapsed="false">
      <c r="A914" s="172"/>
      <c r="B914" s="172"/>
      <c r="C914" s="161" t="str">
        <f aca="false">IF(LEFT(B914,2)="OS","QUILL FORMATION Valmont","QUILL FORMATION Ulman")</f>
        <v>QUILL FORMATION Ulman</v>
      </c>
      <c r="D914" s="43" t="str">
        <f aca="false">IF($A914="","",IF($C914="QUILL FORMATION Valmont",10,11))</f>
        <v/>
      </c>
      <c r="E914" s="151" t="str">
        <f aca="false">IF($A914="","",IFERROR(VLOOKUP($A914,Skills!$A:$C,2,FALSE())&amp;" "&amp;VLOOKUP($A914,Skills!$A:$C,3,FALSE()),"Haxil Dellhaven"))</f>
        <v/>
      </c>
      <c r="F914" s="43" t="str">
        <f aca="false">IF($A914="","",IFERROR(IF(VLOOKUP($A914,Skills!$A:$D,4,FALSE())="","",VLOOKUP($A914,Skills!$A:$D,4,FALSE())),"Lisbonne"))</f>
        <v/>
      </c>
      <c r="G914" s="47"/>
      <c r="H914" s="47" t="str">
        <f aca="false">IF(G914="","",WORKDAY(G914-1,D914+IF(J914="",0,J914)))</f>
        <v/>
      </c>
      <c r="I914" s="134"/>
      <c r="J914" s="135"/>
      <c r="K914" s="43" t="str">
        <f aca="true">IF(G914="","",MIN(D914,MAX(0,NETWORKDAYS(G914,TODAY())-IF(J914="",0,J914))))</f>
        <v/>
      </c>
      <c r="L914" s="43" t="str">
        <f aca="true">IF(G914="","",MAX(0,D914-(NETWORKDAYS(G914,TODAY())-IF(J914="",0,J914))))</f>
        <v/>
      </c>
      <c r="M914" s="173"/>
      <c r="N914" s="44" t="str">
        <f aca="true">IFERROR(IF(OR(K914="",K914&lt;=0),"",IF(TODAY()&gt;H914,1,IF(K914-1=0,0,INDEX(OBJECTIVES!$O$2:$Q$12,MATCH(K914-1,OBJECTIVES!$N$2:$N$12,0),IF($C914="QUILL FORMATION Valmont",2,1))))),"")</f>
        <v/>
      </c>
      <c r="O914" s="44" t="str">
        <f aca="false">IF(OR(N914="",M914=""),"",M914-N914)</f>
        <v/>
      </c>
      <c r="P914" s="155" t="str">
        <f aca="false">IF($Q914&lt;&gt;"",$Q914,IF(O914="","",IF(O914&lt;=-0.12,"P1",IF(O914&lt;=-0.06,"P2","P3"))))</f>
        <v/>
      </c>
      <c r="Q914" s="136"/>
      <c r="R914" s="155"/>
      <c r="S914" s="155"/>
      <c r="T914" s="134"/>
      <c r="U914" s="134"/>
      <c r="V914" s="134"/>
      <c r="W914" s="134"/>
      <c r="X914" s="134"/>
      <c r="Y914" s="134"/>
      <c r="Z914" s="134" t="str">
        <f aca="false">IF(R914="Terminé",IF(AND(G914&lt;&gt;"",I914&lt;&gt;""),NETWORKDAYS(G914,I914),D914),"")</f>
        <v/>
      </c>
      <c r="AA914" s="134" t="str">
        <f aca="false">IF($A914="","",IF(COUNTIF(Skills!$A:$A,$A914)=0,"⚠ ID absent du roster",""))</f>
        <v/>
      </c>
      <c r="AB914" s="158"/>
    </row>
    <row r="915" customFormat="false" ht="15" hidden="true" customHeight="false" outlineLevel="0" collapsed="false">
      <c r="A915" s="172"/>
      <c r="B915" s="172"/>
      <c r="C915" s="161" t="str">
        <f aca="false">IF(LEFT(B915,2)="OS","QUILL FORMATION Valmont","QUILL FORMATION Ulman")</f>
        <v>QUILL FORMATION Ulman</v>
      </c>
      <c r="D915" s="43" t="str">
        <f aca="false">IF($A915="","",IF($C915="QUILL FORMATION Valmont",10,11))</f>
        <v/>
      </c>
      <c r="E915" s="151" t="str">
        <f aca="false">IF($A915="","",IFERROR(VLOOKUP($A915,Skills!$A:$C,2,FALSE())&amp;" "&amp;VLOOKUP($A915,Skills!$A:$C,3,FALSE()),"Haxil Dellhaven"))</f>
        <v/>
      </c>
      <c r="F915" s="43" t="str">
        <f aca="false">IF($A915="","",IFERROR(IF(VLOOKUP($A915,Skills!$A:$D,4,FALSE())="","",VLOOKUP($A915,Skills!$A:$D,4,FALSE())),"Lisbonne"))</f>
        <v/>
      </c>
      <c r="G915" s="47"/>
      <c r="H915" s="47" t="str">
        <f aca="false">IF(G915="","",WORKDAY(G915-1,D915+IF(J915="",0,J915)))</f>
        <v/>
      </c>
      <c r="I915" s="134"/>
      <c r="J915" s="135"/>
      <c r="K915" s="43" t="str">
        <f aca="true">IF(G915="","",MIN(D915,MAX(0,NETWORKDAYS(G915,TODAY())-IF(J915="",0,J915))))</f>
        <v/>
      </c>
      <c r="L915" s="43" t="str">
        <f aca="true">IF(G915="","",MAX(0,D915-(NETWORKDAYS(G915,TODAY())-IF(J915="",0,J915))))</f>
        <v/>
      </c>
      <c r="M915" s="173"/>
      <c r="N915" s="44" t="str">
        <f aca="true">IFERROR(IF(OR(K915="",K915&lt;=0),"",IF(TODAY()&gt;H915,1,IF(K915-1=0,0,INDEX(OBJECTIVES!$O$2:$Q$12,MATCH(K915-1,OBJECTIVES!$N$2:$N$12,0),IF($C915="QUILL FORMATION Valmont",2,1))))),"")</f>
        <v/>
      </c>
      <c r="O915" s="44" t="str">
        <f aca="false">IF(OR(N915="",M915=""),"",M915-N915)</f>
        <v/>
      </c>
      <c r="P915" s="155" t="str">
        <f aca="false">IF($Q915&lt;&gt;"",$Q915,IF(O915="","",IF(O915&lt;=-0.12,"P1",IF(O915&lt;=-0.06,"P2","P3"))))</f>
        <v/>
      </c>
      <c r="Q915" s="136"/>
      <c r="R915" s="155"/>
      <c r="S915" s="155"/>
      <c r="T915" s="134"/>
      <c r="U915" s="134"/>
      <c r="V915" s="134"/>
      <c r="W915" s="134"/>
      <c r="X915" s="134"/>
      <c r="Y915" s="134"/>
      <c r="Z915" s="134" t="str">
        <f aca="false">IF(R915="Terminé",IF(AND(G915&lt;&gt;"",I915&lt;&gt;""),NETWORKDAYS(G915,I915),D915),"")</f>
        <v/>
      </c>
      <c r="AA915" s="134" t="str">
        <f aca="false">IF($A915="","",IF(COUNTIF(Skills!$A:$A,$A915)=0,"⚠ ID absent du roster",""))</f>
        <v/>
      </c>
      <c r="AB915" s="158"/>
    </row>
    <row r="916" customFormat="false" ht="15" hidden="true" customHeight="false" outlineLevel="0" collapsed="false">
      <c r="A916" s="172"/>
      <c r="B916" s="172"/>
      <c r="C916" s="161" t="str">
        <f aca="false">IF(LEFT(B916,2)="OS","QUILL FORMATION Valmont","QUILL FORMATION Ulman")</f>
        <v>QUILL FORMATION Ulman</v>
      </c>
      <c r="D916" s="43" t="str">
        <f aca="false">IF($A916="","",IF($C916="QUILL FORMATION Valmont",10,11))</f>
        <v/>
      </c>
      <c r="E916" s="151" t="str">
        <f aca="false">IF($A916="","",IFERROR(VLOOKUP($A916,Skills!$A:$C,2,FALSE())&amp;" "&amp;VLOOKUP($A916,Skills!$A:$C,3,FALSE()),"Haxil Dellhaven"))</f>
        <v/>
      </c>
      <c r="F916" s="43" t="str">
        <f aca="false">IF($A916="","",IFERROR(IF(VLOOKUP($A916,Skills!$A:$D,4,FALSE())="","",VLOOKUP($A916,Skills!$A:$D,4,FALSE())),"Lisbonne"))</f>
        <v/>
      </c>
      <c r="G916" s="47"/>
      <c r="H916" s="47" t="str">
        <f aca="false">IF(G916="","",WORKDAY(G916-1,D916+IF(J916="",0,J916)))</f>
        <v/>
      </c>
      <c r="I916" s="134"/>
      <c r="J916" s="135"/>
      <c r="K916" s="43" t="str">
        <f aca="true">IF(G916="","",MIN(D916,MAX(0,NETWORKDAYS(G916,TODAY())-IF(J916="",0,J916))))</f>
        <v/>
      </c>
      <c r="L916" s="43" t="str">
        <f aca="true">IF(G916="","",MAX(0,D916-(NETWORKDAYS(G916,TODAY())-IF(J916="",0,J916))))</f>
        <v/>
      </c>
      <c r="M916" s="173"/>
      <c r="N916" s="44" t="str">
        <f aca="true">IFERROR(IF(OR(K916="",K916&lt;=0),"",IF(TODAY()&gt;H916,1,IF(K916-1=0,0,INDEX(OBJECTIVES!$O$2:$Q$12,MATCH(K916-1,OBJECTIVES!$N$2:$N$12,0),IF($C916="QUILL FORMATION Valmont",2,1))))),"")</f>
        <v/>
      </c>
      <c r="O916" s="44" t="str">
        <f aca="false">IF(OR(N916="",M916=""),"",M916-N916)</f>
        <v/>
      </c>
      <c r="P916" s="155" t="str">
        <f aca="false">IF($Q916&lt;&gt;"",$Q916,IF(O916="","",IF(O916&lt;=-0.12,"P1",IF(O916&lt;=-0.06,"P2","P3"))))</f>
        <v/>
      </c>
      <c r="Q916" s="136"/>
      <c r="R916" s="155"/>
      <c r="S916" s="155"/>
      <c r="T916" s="134"/>
      <c r="U916" s="134"/>
      <c r="V916" s="134"/>
      <c r="W916" s="134"/>
      <c r="X916" s="134"/>
      <c r="Y916" s="134"/>
      <c r="Z916" s="134" t="str">
        <f aca="false">IF(R916="Terminé",IF(AND(G916&lt;&gt;"",I916&lt;&gt;""),NETWORKDAYS(G916,I916),D916),"")</f>
        <v/>
      </c>
      <c r="AA916" s="134" t="str">
        <f aca="false">IF($A916="","",IF(COUNTIF(Skills!$A:$A,$A916)=0,"⚠ ID absent du roster",""))</f>
        <v/>
      </c>
      <c r="AB916" s="158"/>
    </row>
    <row r="917" customFormat="false" ht="15" hidden="true" customHeight="false" outlineLevel="0" collapsed="false">
      <c r="A917" s="172"/>
      <c r="B917" s="172"/>
      <c r="C917" s="161" t="str">
        <f aca="false">IF(LEFT(B917,2)="OS","QUILL FORMATION Valmont","QUILL FORMATION Ulman")</f>
        <v>QUILL FORMATION Ulman</v>
      </c>
      <c r="D917" s="43" t="str">
        <f aca="false">IF($A917="","",IF($C917="QUILL FORMATION Valmont",10,11))</f>
        <v/>
      </c>
      <c r="E917" s="151" t="str">
        <f aca="false">IF($A917="","",IFERROR(VLOOKUP($A917,Skills!$A:$C,2,FALSE())&amp;" "&amp;VLOOKUP($A917,Skills!$A:$C,3,FALSE()),"Haxil Dellhaven"))</f>
        <v/>
      </c>
      <c r="F917" s="43" t="str">
        <f aca="false">IF($A917="","",IFERROR(IF(VLOOKUP($A917,Skills!$A:$D,4,FALSE())="","",VLOOKUP($A917,Skills!$A:$D,4,FALSE())),"Lisbonne"))</f>
        <v/>
      </c>
      <c r="G917" s="47"/>
      <c r="H917" s="47" t="str">
        <f aca="false">IF(G917="","",WORKDAY(G917-1,D917+IF(J917="",0,J917)))</f>
        <v/>
      </c>
      <c r="I917" s="134"/>
      <c r="J917" s="135"/>
      <c r="K917" s="43" t="str">
        <f aca="true">IF(G917="","",MIN(D917,MAX(0,NETWORKDAYS(G917,TODAY())-IF(J917="",0,J917))))</f>
        <v/>
      </c>
      <c r="L917" s="43" t="str">
        <f aca="true">IF(G917="","",MAX(0,D917-(NETWORKDAYS(G917,TODAY())-IF(J917="",0,J917))))</f>
        <v/>
      </c>
      <c r="M917" s="173"/>
      <c r="N917" s="44" t="str">
        <f aca="true">IFERROR(IF(OR(K917="",K917&lt;=0),"",IF(TODAY()&gt;H917,1,IF(K917-1=0,0,INDEX(OBJECTIVES!$O$2:$Q$12,MATCH(K917-1,OBJECTIVES!$N$2:$N$12,0),IF($C917="QUILL FORMATION Valmont",2,1))))),"")</f>
        <v/>
      </c>
      <c r="O917" s="44" t="str">
        <f aca="false">IF(OR(N917="",M917=""),"",M917-N917)</f>
        <v/>
      </c>
      <c r="P917" s="155" t="str">
        <f aca="false">IF($Q917&lt;&gt;"",$Q917,IF(O917="","",IF(O917&lt;=-0.12,"P1",IF(O917&lt;=-0.06,"P2","P3"))))</f>
        <v/>
      </c>
      <c r="Q917" s="136"/>
      <c r="R917" s="155"/>
      <c r="S917" s="155"/>
      <c r="T917" s="134"/>
      <c r="U917" s="134"/>
      <c r="V917" s="134"/>
      <c r="W917" s="134"/>
      <c r="X917" s="134"/>
      <c r="Y917" s="134"/>
      <c r="Z917" s="134" t="str">
        <f aca="false">IF(R917="Terminé",IF(AND(G917&lt;&gt;"",I917&lt;&gt;""),NETWORKDAYS(G917,I917),D917),"")</f>
        <v/>
      </c>
      <c r="AA917" s="134" t="str">
        <f aca="false">IF($A917="","",IF(COUNTIF(Skills!$A:$A,$A917)=0,"⚠ ID absent du roster",""))</f>
        <v/>
      </c>
      <c r="AB917" s="158"/>
    </row>
    <row r="918" customFormat="false" ht="15" hidden="true" customHeight="false" outlineLevel="0" collapsed="false">
      <c r="A918" s="172"/>
      <c r="B918" s="172"/>
      <c r="C918" s="161" t="str">
        <f aca="false">IF(LEFT(B918,2)="OS","QUILL FORMATION Valmont","QUILL FORMATION Ulman")</f>
        <v>QUILL FORMATION Ulman</v>
      </c>
      <c r="D918" s="43" t="str">
        <f aca="false">IF($A918="","",IF($C918="QUILL FORMATION Valmont",10,11))</f>
        <v/>
      </c>
      <c r="E918" s="151" t="str">
        <f aca="false">IF($A918="","",IFERROR(VLOOKUP($A918,Skills!$A:$C,2,FALSE())&amp;" "&amp;VLOOKUP($A918,Skills!$A:$C,3,FALSE()),"Haxil Dellhaven"))</f>
        <v/>
      </c>
      <c r="F918" s="43" t="str">
        <f aca="false">IF($A918="","",IFERROR(IF(VLOOKUP($A918,Skills!$A:$D,4,FALSE())="","",VLOOKUP($A918,Skills!$A:$D,4,FALSE())),"Lisbonne"))</f>
        <v/>
      </c>
      <c r="G918" s="47"/>
      <c r="H918" s="47" t="str">
        <f aca="false">IF(G918="","",WORKDAY(G918-1,D918+IF(J918="",0,J918)))</f>
        <v/>
      </c>
      <c r="I918" s="134"/>
      <c r="J918" s="135"/>
      <c r="K918" s="43" t="str">
        <f aca="true">IF(G918="","",MIN(D918,MAX(0,NETWORKDAYS(G918,TODAY())-IF(J918="",0,J918))))</f>
        <v/>
      </c>
      <c r="L918" s="43" t="str">
        <f aca="true">IF(G918="","",MAX(0,D918-(NETWORKDAYS(G918,TODAY())-IF(J918="",0,J918))))</f>
        <v/>
      </c>
      <c r="M918" s="173"/>
      <c r="N918" s="44" t="str">
        <f aca="true">IFERROR(IF(OR(K918="",K918&lt;=0),"",IF(TODAY()&gt;H918,1,IF(K918-1=0,0,INDEX(OBJECTIVES!$O$2:$Q$12,MATCH(K918-1,OBJECTIVES!$N$2:$N$12,0),IF($C918="QUILL FORMATION Valmont",2,1))))),"")</f>
        <v/>
      </c>
      <c r="O918" s="44" t="str">
        <f aca="false">IF(OR(N918="",M918=""),"",M918-N918)</f>
        <v/>
      </c>
      <c r="P918" s="155" t="str">
        <f aca="false">IF($Q918&lt;&gt;"",$Q918,IF(O918="","",IF(O918&lt;=-0.12,"P1",IF(O918&lt;=-0.06,"P2","P3"))))</f>
        <v/>
      </c>
      <c r="Q918" s="136"/>
      <c r="R918" s="155"/>
      <c r="S918" s="155"/>
      <c r="T918" s="134"/>
      <c r="U918" s="134"/>
      <c r="V918" s="134"/>
      <c r="W918" s="134"/>
      <c r="X918" s="134"/>
      <c r="Y918" s="134"/>
      <c r="Z918" s="134" t="str">
        <f aca="false">IF(R918="Terminé",IF(AND(G918&lt;&gt;"",I918&lt;&gt;""),NETWORKDAYS(G918,I918),D918),"")</f>
        <v/>
      </c>
      <c r="AA918" s="134" t="str">
        <f aca="false">IF($A918="","",IF(COUNTIF(Skills!$A:$A,$A918)=0,"⚠ ID absent du roster",""))</f>
        <v/>
      </c>
      <c r="AB918" s="158"/>
    </row>
    <row r="919" customFormat="false" ht="15" hidden="true" customHeight="false" outlineLevel="0" collapsed="false">
      <c r="A919" s="172"/>
      <c r="B919" s="172"/>
      <c r="C919" s="161" t="str">
        <f aca="false">IF(LEFT(B919,2)="OS","QUILL FORMATION Valmont","QUILL FORMATION Ulman")</f>
        <v>QUILL FORMATION Ulman</v>
      </c>
      <c r="D919" s="43" t="str">
        <f aca="false">IF($A919="","",IF($C919="QUILL FORMATION Valmont",10,11))</f>
        <v/>
      </c>
      <c r="E919" s="151" t="str">
        <f aca="false">IF($A919="","",IFERROR(VLOOKUP($A919,Skills!$A:$C,2,FALSE())&amp;" "&amp;VLOOKUP($A919,Skills!$A:$C,3,FALSE()),"Haxil Dellhaven"))</f>
        <v/>
      </c>
      <c r="F919" s="43" t="str">
        <f aca="false">IF($A919="","",IFERROR(IF(VLOOKUP($A919,Skills!$A:$D,4,FALSE())="","",VLOOKUP($A919,Skills!$A:$D,4,FALSE())),"Lisbonne"))</f>
        <v/>
      </c>
      <c r="G919" s="47"/>
      <c r="H919" s="47" t="str">
        <f aca="false">IF(G919="","",WORKDAY(G919-1,D919+IF(J919="",0,J919)))</f>
        <v/>
      </c>
      <c r="I919" s="134"/>
      <c r="J919" s="135"/>
      <c r="K919" s="43" t="str">
        <f aca="true">IF(G919="","",MIN(D919,MAX(0,NETWORKDAYS(G919,TODAY())-IF(J919="",0,J919))))</f>
        <v/>
      </c>
      <c r="L919" s="43" t="str">
        <f aca="true">IF(G919="","",MAX(0,D919-(NETWORKDAYS(G919,TODAY())-IF(J919="",0,J919))))</f>
        <v/>
      </c>
      <c r="M919" s="173"/>
      <c r="N919" s="44" t="str">
        <f aca="true">IFERROR(IF(OR(K919="",K919&lt;=0),"",IF(TODAY()&gt;H919,1,IF(K919-1=0,0,INDEX(OBJECTIVES!$O$2:$Q$12,MATCH(K919-1,OBJECTIVES!$N$2:$N$12,0),IF($C919="QUILL FORMATION Valmont",2,1))))),"")</f>
        <v/>
      </c>
      <c r="O919" s="44" t="str">
        <f aca="false">IF(OR(N919="",M919=""),"",M919-N919)</f>
        <v/>
      </c>
      <c r="P919" s="155" t="str">
        <f aca="false">IF($Q919&lt;&gt;"",$Q919,IF(O919="","",IF(O919&lt;=-0.12,"P1",IF(O919&lt;=-0.06,"P2","P3"))))</f>
        <v/>
      </c>
      <c r="Q919" s="136"/>
      <c r="R919" s="155"/>
      <c r="S919" s="155"/>
      <c r="T919" s="134"/>
      <c r="U919" s="134"/>
      <c r="V919" s="134"/>
      <c r="W919" s="134"/>
      <c r="X919" s="134"/>
      <c r="Y919" s="134"/>
      <c r="Z919" s="134" t="str">
        <f aca="false">IF(R919="Terminé",IF(AND(G919&lt;&gt;"",I919&lt;&gt;""),NETWORKDAYS(G919,I919),D919),"")</f>
        <v/>
      </c>
      <c r="AA919" s="134" t="str">
        <f aca="false">IF($A919="","",IF(COUNTIF(Skills!$A:$A,$A919)=0,"⚠ ID absent du roster",""))</f>
        <v/>
      </c>
      <c r="AB919" s="158"/>
    </row>
    <row r="920" customFormat="false" ht="15" hidden="true" customHeight="false" outlineLevel="0" collapsed="false">
      <c r="A920" s="172"/>
      <c r="B920" s="172"/>
      <c r="C920" s="161" t="str">
        <f aca="false">IF(LEFT(B920,2)="OS","QUILL FORMATION Valmont","QUILL FORMATION Ulman")</f>
        <v>QUILL FORMATION Ulman</v>
      </c>
      <c r="D920" s="43" t="str">
        <f aca="false">IF($A920="","",IF($C920="QUILL FORMATION Valmont",10,11))</f>
        <v/>
      </c>
      <c r="E920" s="151" t="str">
        <f aca="false">IF($A920="","",IFERROR(VLOOKUP($A920,Skills!$A:$C,2,FALSE())&amp;" "&amp;VLOOKUP($A920,Skills!$A:$C,3,FALSE()),"Haxil Dellhaven"))</f>
        <v/>
      </c>
      <c r="F920" s="43" t="str">
        <f aca="false">IF($A920="","",IFERROR(IF(VLOOKUP($A920,Skills!$A:$D,4,FALSE())="","",VLOOKUP($A920,Skills!$A:$D,4,FALSE())),"Lisbonne"))</f>
        <v/>
      </c>
      <c r="G920" s="47"/>
      <c r="H920" s="47" t="str">
        <f aca="false">IF(G920="","",WORKDAY(G920-1,D920+IF(J920="",0,J920)))</f>
        <v/>
      </c>
      <c r="I920" s="134"/>
      <c r="J920" s="135"/>
      <c r="K920" s="43" t="str">
        <f aca="true">IF(G920="","",MIN(D920,MAX(0,NETWORKDAYS(G920,TODAY())-IF(J920="",0,J920))))</f>
        <v/>
      </c>
      <c r="L920" s="43" t="str">
        <f aca="true">IF(G920="","",MAX(0,D920-(NETWORKDAYS(G920,TODAY())-IF(J920="",0,J920))))</f>
        <v/>
      </c>
      <c r="M920" s="173"/>
      <c r="N920" s="44" t="str">
        <f aca="true">IFERROR(IF(OR(K920="",K920&lt;=0),"",IF(TODAY()&gt;H920,1,IF(K920-1=0,0,INDEX(OBJECTIVES!$O$2:$Q$12,MATCH(K920-1,OBJECTIVES!$N$2:$N$12,0),IF($C920="QUILL FORMATION Valmont",2,1))))),"")</f>
        <v/>
      </c>
      <c r="O920" s="44" t="str">
        <f aca="false">IF(OR(N920="",M920=""),"",M920-N920)</f>
        <v/>
      </c>
      <c r="P920" s="155" t="str">
        <f aca="false">IF($Q920&lt;&gt;"",$Q920,IF(O920="","",IF(O920&lt;=-0.12,"P1",IF(O920&lt;=-0.06,"P2","P3"))))</f>
        <v/>
      </c>
      <c r="Q920" s="136"/>
      <c r="R920" s="155"/>
      <c r="S920" s="155"/>
      <c r="T920" s="134"/>
      <c r="U920" s="134"/>
      <c r="V920" s="134"/>
      <c r="W920" s="134"/>
      <c r="X920" s="134"/>
      <c r="Y920" s="134"/>
      <c r="Z920" s="134" t="str">
        <f aca="false">IF(R920="Terminé",IF(AND(G920&lt;&gt;"",I920&lt;&gt;""),NETWORKDAYS(G920,I920),D920),"")</f>
        <v/>
      </c>
      <c r="AA920" s="134" t="str">
        <f aca="false">IF($A920="","",IF(COUNTIF(Skills!$A:$A,$A920)=0,"⚠ ID absent du roster",""))</f>
        <v/>
      </c>
      <c r="AB920" s="158"/>
    </row>
    <row r="921" customFormat="false" ht="15" hidden="true" customHeight="false" outlineLevel="0" collapsed="false">
      <c r="A921" s="172"/>
      <c r="B921" s="172"/>
      <c r="C921" s="161" t="str">
        <f aca="false">IF(LEFT(B921,2)="OS","QUILL FORMATION Valmont","QUILL FORMATION Ulman")</f>
        <v>QUILL FORMATION Ulman</v>
      </c>
      <c r="D921" s="43" t="str">
        <f aca="false">IF($A921="","",IF($C921="QUILL FORMATION Valmont",10,11))</f>
        <v/>
      </c>
      <c r="E921" s="151" t="str">
        <f aca="false">IF($A921="","",IFERROR(VLOOKUP($A921,Skills!$A:$C,2,FALSE())&amp;" "&amp;VLOOKUP($A921,Skills!$A:$C,3,FALSE()),"Haxil Dellhaven"))</f>
        <v/>
      </c>
      <c r="F921" s="43" t="str">
        <f aca="false">IF($A921="","",IFERROR(IF(VLOOKUP($A921,Skills!$A:$D,4,FALSE())="","",VLOOKUP($A921,Skills!$A:$D,4,FALSE())),"Lisbonne"))</f>
        <v/>
      </c>
      <c r="G921" s="47"/>
      <c r="H921" s="47" t="str">
        <f aca="false">IF(G921="","",WORKDAY(G921-1,D921+IF(J921="",0,J921)))</f>
        <v/>
      </c>
      <c r="I921" s="134"/>
      <c r="J921" s="135"/>
      <c r="K921" s="43" t="str">
        <f aca="true">IF(G921="","",MIN(D921,MAX(0,NETWORKDAYS(G921,TODAY())-IF(J921="",0,J921))))</f>
        <v/>
      </c>
      <c r="L921" s="43" t="str">
        <f aca="true">IF(G921="","",MAX(0,D921-(NETWORKDAYS(G921,TODAY())-IF(J921="",0,J921))))</f>
        <v/>
      </c>
      <c r="M921" s="173"/>
      <c r="N921" s="44" t="str">
        <f aca="true">IFERROR(IF(OR(K921="",K921&lt;=0),"",IF(TODAY()&gt;H921,1,IF(K921-1=0,0,INDEX(OBJECTIVES!$O$2:$Q$12,MATCH(K921-1,OBJECTIVES!$N$2:$N$12,0),IF($C921="QUILL FORMATION Valmont",2,1))))),"")</f>
        <v/>
      </c>
      <c r="O921" s="44" t="str">
        <f aca="false">IF(OR(N921="",M921=""),"",M921-N921)</f>
        <v/>
      </c>
      <c r="P921" s="155" t="str">
        <f aca="false">IF($Q921&lt;&gt;"",$Q921,IF(O921="","",IF(O921&lt;=-0.12,"P1",IF(O921&lt;=-0.06,"P2","P3"))))</f>
        <v/>
      </c>
      <c r="Q921" s="136"/>
      <c r="R921" s="155"/>
      <c r="S921" s="155"/>
      <c r="T921" s="134"/>
      <c r="U921" s="134"/>
      <c r="V921" s="134"/>
      <c r="W921" s="134"/>
      <c r="X921" s="134"/>
      <c r="Y921" s="134"/>
      <c r="Z921" s="134" t="str">
        <f aca="false">IF(R921="Terminé",IF(AND(G921&lt;&gt;"",I921&lt;&gt;""),NETWORKDAYS(G921,I921),D921),"")</f>
        <v/>
      </c>
      <c r="AA921" s="134" t="str">
        <f aca="false">IF($A921="","",IF(COUNTIF(Skills!$A:$A,$A921)=0,"⚠ ID absent du roster",""))</f>
        <v/>
      </c>
      <c r="AB921" s="158"/>
    </row>
    <row r="922" customFormat="false" ht="15" hidden="true" customHeight="false" outlineLevel="0" collapsed="false">
      <c r="A922" s="172"/>
      <c r="B922" s="172"/>
      <c r="C922" s="161" t="str">
        <f aca="false">IF(LEFT(B922,2)="OS","QUILL FORMATION Valmont","QUILL FORMATION Ulman")</f>
        <v>QUILL FORMATION Ulman</v>
      </c>
      <c r="D922" s="43" t="str">
        <f aca="false">IF($A922="","",IF($C922="QUILL FORMATION Valmont",10,11))</f>
        <v/>
      </c>
      <c r="E922" s="151" t="str">
        <f aca="false">IF($A922="","",IFERROR(VLOOKUP($A922,Skills!$A:$C,2,FALSE())&amp;" "&amp;VLOOKUP($A922,Skills!$A:$C,3,FALSE()),"Haxil Dellhaven"))</f>
        <v/>
      </c>
      <c r="F922" s="43" t="str">
        <f aca="false">IF($A922="","",IFERROR(IF(VLOOKUP($A922,Skills!$A:$D,4,FALSE())="","",VLOOKUP($A922,Skills!$A:$D,4,FALSE())),"Lisbonne"))</f>
        <v/>
      </c>
      <c r="G922" s="47"/>
      <c r="H922" s="47" t="str">
        <f aca="false">IF(G922="","",WORKDAY(G922-1,D922+IF(J922="",0,J922)))</f>
        <v/>
      </c>
      <c r="I922" s="134"/>
      <c r="J922" s="135"/>
      <c r="K922" s="43" t="str">
        <f aca="true">IF(G922="","",MIN(D922,MAX(0,NETWORKDAYS(G922,TODAY())-IF(J922="",0,J922))))</f>
        <v/>
      </c>
      <c r="L922" s="43" t="str">
        <f aca="true">IF(G922="","",MAX(0,D922-(NETWORKDAYS(G922,TODAY())-IF(J922="",0,J922))))</f>
        <v/>
      </c>
      <c r="M922" s="173"/>
      <c r="N922" s="44" t="str">
        <f aca="true">IFERROR(IF(OR(K922="",K922&lt;=0),"",IF(TODAY()&gt;H922,1,IF(K922-1=0,0,INDEX(OBJECTIVES!$O$2:$Q$12,MATCH(K922-1,OBJECTIVES!$N$2:$N$12,0),IF($C922="QUILL FORMATION Valmont",2,1))))),"")</f>
        <v/>
      </c>
      <c r="O922" s="44" t="str">
        <f aca="false">IF(OR(N922="",M922=""),"",M922-N922)</f>
        <v/>
      </c>
      <c r="P922" s="155" t="str">
        <f aca="false">IF($Q922&lt;&gt;"",$Q922,IF(O922="","",IF(O922&lt;=-0.12,"P1",IF(O922&lt;=-0.06,"P2","P3"))))</f>
        <v/>
      </c>
      <c r="Q922" s="136"/>
      <c r="R922" s="155"/>
      <c r="S922" s="155"/>
      <c r="T922" s="134"/>
      <c r="U922" s="134"/>
      <c r="V922" s="134"/>
      <c r="W922" s="134"/>
      <c r="X922" s="134"/>
      <c r="Y922" s="134"/>
      <c r="Z922" s="134" t="str">
        <f aca="false">IF(R922="Terminé",IF(AND(G922&lt;&gt;"",I922&lt;&gt;""),NETWORKDAYS(G922,I922),D922),"")</f>
        <v/>
      </c>
      <c r="AA922" s="134" t="str">
        <f aca="false">IF($A922="","",IF(COUNTIF(Skills!$A:$A,$A922)=0,"⚠ ID absent du roster",""))</f>
        <v/>
      </c>
      <c r="AB922" s="158"/>
    </row>
    <row r="923" customFormat="false" ht="15" hidden="true" customHeight="false" outlineLevel="0" collapsed="false">
      <c r="A923" s="172"/>
      <c r="B923" s="172"/>
      <c r="C923" s="161" t="str">
        <f aca="false">IF(LEFT(B923,2)="OS","QUILL FORMATION Valmont","QUILL FORMATION Ulman")</f>
        <v>QUILL FORMATION Ulman</v>
      </c>
      <c r="D923" s="43" t="str">
        <f aca="false">IF($A923="","",IF($C923="QUILL FORMATION Valmont",10,11))</f>
        <v/>
      </c>
      <c r="E923" s="151" t="str">
        <f aca="false">IF($A923="","",IFERROR(VLOOKUP($A923,Skills!$A:$C,2,FALSE())&amp;" "&amp;VLOOKUP($A923,Skills!$A:$C,3,FALSE()),"Haxil Dellhaven"))</f>
        <v/>
      </c>
      <c r="F923" s="43" t="str">
        <f aca="false">IF($A923="","",IFERROR(IF(VLOOKUP($A923,Skills!$A:$D,4,FALSE())="","",VLOOKUP($A923,Skills!$A:$D,4,FALSE())),"Lisbonne"))</f>
        <v/>
      </c>
      <c r="G923" s="47"/>
      <c r="H923" s="47" t="str">
        <f aca="false">IF(G923="","",WORKDAY(G923-1,D923+IF(J923="",0,J923)))</f>
        <v/>
      </c>
      <c r="I923" s="134"/>
      <c r="J923" s="135"/>
      <c r="K923" s="43" t="str">
        <f aca="true">IF(G923="","",MIN(D923,MAX(0,NETWORKDAYS(G923,TODAY())-IF(J923="",0,J923))))</f>
        <v/>
      </c>
      <c r="L923" s="43" t="str">
        <f aca="true">IF(G923="","",MAX(0,D923-(NETWORKDAYS(G923,TODAY())-IF(J923="",0,J923))))</f>
        <v/>
      </c>
      <c r="M923" s="173"/>
      <c r="N923" s="44" t="str">
        <f aca="true">IFERROR(IF(OR(K923="",K923&lt;=0),"",IF(TODAY()&gt;H923,1,IF(K923-1=0,0,INDEX(OBJECTIVES!$O$2:$Q$12,MATCH(K923-1,OBJECTIVES!$N$2:$N$12,0),IF($C923="QUILL FORMATION Valmont",2,1))))),"")</f>
        <v/>
      </c>
      <c r="O923" s="44" t="str">
        <f aca="false">IF(OR(N923="",M923=""),"",M923-N923)</f>
        <v/>
      </c>
      <c r="P923" s="155" t="str">
        <f aca="false">IF($Q923&lt;&gt;"",$Q923,IF(O923="","",IF(O923&lt;=-0.12,"P1",IF(O923&lt;=-0.06,"P2","P3"))))</f>
        <v/>
      </c>
      <c r="Q923" s="136"/>
      <c r="R923" s="155"/>
      <c r="S923" s="155"/>
      <c r="T923" s="134"/>
      <c r="U923" s="134"/>
      <c r="V923" s="134"/>
      <c r="W923" s="134"/>
      <c r="X923" s="134"/>
      <c r="Y923" s="134"/>
      <c r="Z923" s="134" t="str">
        <f aca="false">IF(R923="Terminé",IF(AND(G923&lt;&gt;"",I923&lt;&gt;""),NETWORKDAYS(G923,I923),D923),"")</f>
        <v/>
      </c>
      <c r="AA923" s="134" t="str">
        <f aca="false">IF($A923="","",IF(COUNTIF(Skills!$A:$A,$A923)=0,"⚠ ID absent du roster",""))</f>
        <v/>
      </c>
      <c r="AB923" s="158"/>
    </row>
    <row r="924" customFormat="false" ht="15" hidden="true" customHeight="false" outlineLevel="0" collapsed="false">
      <c r="A924" s="172"/>
      <c r="B924" s="172"/>
      <c r="C924" s="161" t="str">
        <f aca="false">IF(LEFT(B924,2)="OS","QUILL FORMATION Valmont","QUILL FORMATION Ulman")</f>
        <v>QUILL FORMATION Ulman</v>
      </c>
      <c r="D924" s="43" t="str">
        <f aca="false">IF($A924="","",IF($C924="QUILL FORMATION Valmont",10,11))</f>
        <v/>
      </c>
      <c r="E924" s="151" t="str">
        <f aca="false">IF($A924="","",IFERROR(VLOOKUP($A924,Skills!$A:$C,2,FALSE())&amp;" "&amp;VLOOKUP($A924,Skills!$A:$C,3,FALSE()),"Haxil Dellhaven"))</f>
        <v/>
      </c>
      <c r="F924" s="43" t="str">
        <f aca="false">IF($A924="","",IFERROR(IF(VLOOKUP($A924,Skills!$A:$D,4,FALSE())="","",VLOOKUP($A924,Skills!$A:$D,4,FALSE())),"Lisbonne"))</f>
        <v/>
      </c>
      <c r="G924" s="47"/>
      <c r="H924" s="47" t="str">
        <f aca="false">IF(G924="","",WORKDAY(G924-1,D924+IF(J924="",0,J924)))</f>
        <v/>
      </c>
      <c r="I924" s="134"/>
      <c r="J924" s="135"/>
      <c r="K924" s="43" t="str">
        <f aca="true">IF(G924="","",MIN(D924,MAX(0,NETWORKDAYS(G924,TODAY())-IF(J924="",0,J924))))</f>
        <v/>
      </c>
      <c r="L924" s="43" t="str">
        <f aca="true">IF(G924="","",MAX(0,D924-(NETWORKDAYS(G924,TODAY())-IF(J924="",0,J924))))</f>
        <v/>
      </c>
      <c r="M924" s="173"/>
      <c r="N924" s="44" t="str">
        <f aca="true">IFERROR(IF(OR(K924="",K924&lt;=0),"",IF(TODAY()&gt;H924,1,IF(K924-1=0,0,INDEX(OBJECTIVES!$O$2:$Q$12,MATCH(K924-1,OBJECTIVES!$N$2:$N$12,0),IF($C924="QUILL FORMATION Valmont",2,1))))),"")</f>
        <v/>
      </c>
      <c r="O924" s="44" t="str">
        <f aca="false">IF(OR(N924="",M924=""),"",M924-N924)</f>
        <v/>
      </c>
      <c r="P924" s="155" t="str">
        <f aca="false">IF($Q924&lt;&gt;"",$Q924,IF(O924="","",IF(O924&lt;=-0.12,"P1",IF(O924&lt;=-0.06,"P2","P3"))))</f>
        <v/>
      </c>
      <c r="Q924" s="136"/>
      <c r="R924" s="155"/>
      <c r="S924" s="155"/>
      <c r="T924" s="134"/>
      <c r="U924" s="134"/>
      <c r="V924" s="134"/>
      <c r="W924" s="134"/>
      <c r="X924" s="134"/>
      <c r="Y924" s="134"/>
      <c r="Z924" s="134" t="str">
        <f aca="false">IF(R924="Terminé",IF(AND(G924&lt;&gt;"",I924&lt;&gt;""),NETWORKDAYS(G924,I924),D924),"")</f>
        <v/>
      </c>
      <c r="AA924" s="134" t="str">
        <f aca="false">IF($A924="","",IF(COUNTIF(Skills!$A:$A,$A924)=0,"⚠ ID absent du roster",""))</f>
        <v/>
      </c>
      <c r="AB924" s="158"/>
    </row>
    <row r="925" customFormat="false" ht="15" hidden="true" customHeight="false" outlineLevel="0" collapsed="false">
      <c r="A925" s="172"/>
      <c r="B925" s="172"/>
      <c r="C925" s="161" t="str">
        <f aca="false">IF(LEFT(B925,2)="OS","QUILL FORMATION Valmont","QUILL FORMATION Ulman")</f>
        <v>QUILL FORMATION Ulman</v>
      </c>
      <c r="D925" s="43" t="str">
        <f aca="false">IF($A925="","",IF($C925="QUILL FORMATION Valmont",10,11))</f>
        <v/>
      </c>
      <c r="E925" s="151" t="str">
        <f aca="false">IF($A925="","",IFERROR(VLOOKUP($A925,Skills!$A:$C,2,FALSE())&amp;" "&amp;VLOOKUP($A925,Skills!$A:$C,3,FALSE()),"Haxil Dellhaven"))</f>
        <v/>
      </c>
      <c r="F925" s="43" t="str">
        <f aca="false">IF($A925="","",IFERROR(IF(VLOOKUP($A925,Skills!$A:$D,4,FALSE())="","",VLOOKUP($A925,Skills!$A:$D,4,FALSE())),"Lisbonne"))</f>
        <v/>
      </c>
      <c r="G925" s="47"/>
      <c r="H925" s="47" t="str">
        <f aca="false">IF(G925="","",WORKDAY(G925-1,D925+IF(J925="",0,J925)))</f>
        <v/>
      </c>
      <c r="I925" s="134"/>
      <c r="J925" s="135"/>
      <c r="K925" s="43" t="str">
        <f aca="true">IF(G925="","",MIN(D925,MAX(0,NETWORKDAYS(G925,TODAY())-IF(J925="",0,J925))))</f>
        <v/>
      </c>
      <c r="L925" s="43" t="str">
        <f aca="true">IF(G925="","",MAX(0,D925-(NETWORKDAYS(G925,TODAY())-IF(J925="",0,J925))))</f>
        <v/>
      </c>
      <c r="M925" s="173"/>
      <c r="N925" s="44" t="str">
        <f aca="true">IFERROR(IF(OR(K925="",K925&lt;=0),"",IF(TODAY()&gt;H925,1,IF(K925-1=0,0,INDEX(OBJECTIVES!$O$2:$Q$12,MATCH(K925-1,OBJECTIVES!$N$2:$N$12,0),IF($C925="QUILL FORMATION Valmont",2,1))))),"")</f>
        <v/>
      </c>
      <c r="O925" s="44" t="str">
        <f aca="false">IF(OR(N925="",M925=""),"",M925-N925)</f>
        <v/>
      </c>
      <c r="P925" s="155" t="str">
        <f aca="false">IF($Q925&lt;&gt;"",$Q925,IF(O925="","",IF(O925&lt;=-0.12,"P1",IF(O925&lt;=-0.06,"P2","P3"))))</f>
        <v/>
      </c>
      <c r="Q925" s="136"/>
      <c r="R925" s="155"/>
      <c r="S925" s="155"/>
      <c r="T925" s="134"/>
      <c r="U925" s="134"/>
      <c r="V925" s="134"/>
      <c r="W925" s="134"/>
      <c r="X925" s="134"/>
      <c r="Y925" s="134"/>
      <c r="Z925" s="134" t="str">
        <f aca="false">IF(R925="Terminé",IF(AND(G925&lt;&gt;"",I925&lt;&gt;""),NETWORKDAYS(G925,I925),D925),"")</f>
        <v/>
      </c>
      <c r="AA925" s="134" t="str">
        <f aca="false">IF($A925="","",IF(COUNTIF(Skills!$A:$A,$A925)=0,"⚠ ID absent du roster",""))</f>
        <v/>
      </c>
      <c r="AB925" s="158"/>
    </row>
    <row r="926" customFormat="false" ht="15" hidden="true" customHeight="false" outlineLevel="0" collapsed="false">
      <c r="A926" s="172"/>
      <c r="B926" s="172"/>
      <c r="C926" s="161" t="str">
        <f aca="false">IF(LEFT(B926,2)="OS","QUILL FORMATION Valmont","QUILL FORMATION Ulman")</f>
        <v>QUILL FORMATION Ulman</v>
      </c>
      <c r="D926" s="43" t="str">
        <f aca="false">IF($A926="","",IF($C926="QUILL FORMATION Valmont",10,11))</f>
        <v/>
      </c>
      <c r="E926" s="151" t="str">
        <f aca="false">IF($A926="","",IFERROR(VLOOKUP($A926,Skills!$A:$C,2,FALSE())&amp;" "&amp;VLOOKUP($A926,Skills!$A:$C,3,FALSE()),"Haxil Dellhaven"))</f>
        <v/>
      </c>
      <c r="F926" s="43" t="str">
        <f aca="false">IF($A926="","",IFERROR(IF(VLOOKUP($A926,Skills!$A:$D,4,FALSE())="","",VLOOKUP($A926,Skills!$A:$D,4,FALSE())),"Lisbonne"))</f>
        <v/>
      </c>
      <c r="G926" s="47"/>
      <c r="H926" s="47" t="str">
        <f aca="false">IF(G926="","",WORKDAY(G926-1,D926+IF(J926="",0,J926)))</f>
        <v/>
      </c>
      <c r="I926" s="134"/>
      <c r="J926" s="135"/>
      <c r="K926" s="43" t="str">
        <f aca="true">IF(G926="","",MIN(D926,MAX(0,NETWORKDAYS(G926,TODAY())-IF(J926="",0,J926))))</f>
        <v/>
      </c>
      <c r="L926" s="43" t="str">
        <f aca="true">IF(G926="","",MAX(0,D926-(NETWORKDAYS(G926,TODAY())-IF(J926="",0,J926))))</f>
        <v/>
      </c>
      <c r="M926" s="173"/>
      <c r="N926" s="44" t="str">
        <f aca="true">IFERROR(IF(OR(K926="",K926&lt;=0),"",IF(TODAY()&gt;H926,1,IF(K926-1=0,0,INDEX(OBJECTIVES!$O$2:$Q$12,MATCH(K926-1,OBJECTIVES!$N$2:$N$12,0),IF($C926="QUILL FORMATION Valmont",2,1))))),"")</f>
        <v/>
      </c>
      <c r="O926" s="44" t="str">
        <f aca="false">IF(OR(N926="",M926=""),"",M926-N926)</f>
        <v/>
      </c>
      <c r="P926" s="155" t="str">
        <f aca="false">IF($Q926&lt;&gt;"",$Q926,IF(O926="","",IF(O926&lt;=-0.12,"P1",IF(O926&lt;=-0.06,"P2","P3"))))</f>
        <v/>
      </c>
      <c r="Q926" s="136"/>
      <c r="R926" s="155"/>
      <c r="S926" s="155"/>
      <c r="T926" s="134"/>
      <c r="U926" s="134"/>
      <c r="V926" s="134"/>
      <c r="W926" s="134"/>
      <c r="X926" s="134"/>
      <c r="Y926" s="134"/>
      <c r="Z926" s="134" t="str">
        <f aca="false">IF(R926="Terminé",IF(AND(G926&lt;&gt;"",I926&lt;&gt;""),NETWORKDAYS(G926,I926),D926),"")</f>
        <v/>
      </c>
      <c r="AA926" s="134" t="str">
        <f aca="false">IF($A926="","",IF(COUNTIF(Skills!$A:$A,$A926)=0,"⚠ ID absent du roster",""))</f>
        <v/>
      </c>
      <c r="AB926" s="158"/>
    </row>
    <row r="927" customFormat="false" ht="15" hidden="true" customHeight="false" outlineLevel="0" collapsed="false">
      <c r="A927" s="172"/>
      <c r="B927" s="172"/>
      <c r="C927" s="161" t="str">
        <f aca="false">IF(LEFT(B927,2)="OS","QUILL FORMATION Valmont","QUILL FORMATION Ulman")</f>
        <v>QUILL FORMATION Ulman</v>
      </c>
      <c r="D927" s="43" t="str">
        <f aca="false">IF($A927="","",IF($C927="QUILL FORMATION Valmont",10,11))</f>
        <v/>
      </c>
      <c r="E927" s="151" t="str">
        <f aca="false">IF($A927="","",IFERROR(VLOOKUP($A927,Skills!$A:$C,2,FALSE())&amp;" "&amp;VLOOKUP($A927,Skills!$A:$C,3,FALSE()),"Haxil Dellhaven"))</f>
        <v/>
      </c>
      <c r="F927" s="43" t="str">
        <f aca="false">IF($A927="","",IFERROR(IF(VLOOKUP($A927,Skills!$A:$D,4,FALSE())="","",VLOOKUP($A927,Skills!$A:$D,4,FALSE())),"Lisbonne"))</f>
        <v/>
      </c>
      <c r="G927" s="47"/>
      <c r="H927" s="47" t="str">
        <f aca="false">IF(G927="","",WORKDAY(G927-1,D927+IF(J927="",0,J927)))</f>
        <v/>
      </c>
      <c r="I927" s="134"/>
      <c r="J927" s="135"/>
      <c r="K927" s="43" t="str">
        <f aca="true">IF(G927="","",MIN(D927,MAX(0,NETWORKDAYS(G927,TODAY())-IF(J927="",0,J927))))</f>
        <v/>
      </c>
      <c r="L927" s="43" t="str">
        <f aca="true">IF(G927="","",MAX(0,D927-(NETWORKDAYS(G927,TODAY())-IF(J927="",0,J927))))</f>
        <v/>
      </c>
      <c r="M927" s="173"/>
      <c r="N927" s="44" t="str">
        <f aca="true">IFERROR(IF(OR(K927="",K927&lt;=0),"",IF(TODAY()&gt;H927,1,IF(K927-1=0,0,INDEX(OBJECTIVES!$O$2:$Q$12,MATCH(K927-1,OBJECTIVES!$N$2:$N$12,0),IF($C927="QUILL FORMATION Valmont",2,1))))),"")</f>
        <v/>
      </c>
      <c r="O927" s="44" t="str">
        <f aca="false">IF(OR(N927="",M927=""),"",M927-N927)</f>
        <v/>
      </c>
      <c r="P927" s="155" t="str">
        <f aca="false">IF($Q927&lt;&gt;"",$Q927,IF(O927="","",IF(O927&lt;=-0.12,"P1",IF(O927&lt;=-0.06,"P2","P3"))))</f>
        <v/>
      </c>
      <c r="Q927" s="136"/>
      <c r="R927" s="155"/>
      <c r="S927" s="155"/>
      <c r="T927" s="134"/>
      <c r="U927" s="134"/>
      <c r="V927" s="134"/>
      <c r="W927" s="134"/>
      <c r="X927" s="134"/>
      <c r="Y927" s="134"/>
      <c r="Z927" s="134" t="str">
        <f aca="false">IF(R927="Terminé",IF(AND(G927&lt;&gt;"",I927&lt;&gt;""),NETWORKDAYS(G927,I927),D927),"")</f>
        <v/>
      </c>
      <c r="AA927" s="134" t="str">
        <f aca="false">IF($A927="","",IF(COUNTIF(Skills!$A:$A,$A927)=0,"⚠ ID absent du roster",""))</f>
        <v/>
      </c>
      <c r="AB927" s="158"/>
    </row>
    <row r="928" customFormat="false" ht="15" hidden="true" customHeight="false" outlineLevel="0" collapsed="false">
      <c r="A928" s="172"/>
      <c r="B928" s="172"/>
      <c r="C928" s="161" t="str">
        <f aca="false">IF(LEFT(B928,2)="OS","QUILL FORMATION Valmont","QUILL FORMATION Ulman")</f>
        <v>QUILL FORMATION Ulman</v>
      </c>
      <c r="D928" s="43" t="str">
        <f aca="false">IF($A928="","",IF($C928="QUILL FORMATION Valmont",10,11))</f>
        <v/>
      </c>
      <c r="E928" s="151" t="str">
        <f aca="false">IF($A928="","",IFERROR(VLOOKUP($A928,Skills!$A:$C,2,FALSE())&amp;" "&amp;VLOOKUP($A928,Skills!$A:$C,3,FALSE()),"Haxil Dellhaven"))</f>
        <v/>
      </c>
      <c r="F928" s="43" t="str">
        <f aca="false">IF($A928="","",IFERROR(IF(VLOOKUP($A928,Skills!$A:$D,4,FALSE())="","",VLOOKUP($A928,Skills!$A:$D,4,FALSE())),"Lisbonne"))</f>
        <v/>
      </c>
      <c r="G928" s="47"/>
      <c r="H928" s="47" t="str">
        <f aca="false">IF(G928="","",WORKDAY(G928-1,D928+IF(J928="",0,J928)))</f>
        <v/>
      </c>
      <c r="I928" s="134"/>
      <c r="J928" s="135"/>
      <c r="K928" s="43" t="str">
        <f aca="true">IF(G928="","",MIN(D928,MAX(0,NETWORKDAYS(G928,TODAY())-IF(J928="",0,J928))))</f>
        <v/>
      </c>
      <c r="L928" s="43" t="str">
        <f aca="true">IF(G928="","",MAX(0,D928-(NETWORKDAYS(G928,TODAY())-IF(J928="",0,J928))))</f>
        <v/>
      </c>
      <c r="M928" s="173"/>
      <c r="N928" s="44" t="str">
        <f aca="true">IFERROR(IF(OR(K928="",K928&lt;=0),"",IF(TODAY()&gt;H928,1,IF(K928-1=0,0,INDEX(OBJECTIVES!$O$2:$Q$12,MATCH(K928-1,OBJECTIVES!$N$2:$N$12,0),IF($C928="QUILL FORMATION Valmont",2,1))))),"")</f>
        <v/>
      </c>
      <c r="O928" s="44" t="str">
        <f aca="false">IF(OR(N928="",M928=""),"",M928-N928)</f>
        <v/>
      </c>
      <c r="P928" s="155" t="str">
        <f aca="false">IF($Q928&lt;&gt;"",$Q928,IF(O928="","",IF(O928&lt;=-0.12,"P1",IF(O928&lt;=-0.06,"P2","P3"))))</f>
        <v/>
      </c>
      <c r="Q928" s="136"/>
      <c r="R928" s="155"/>
      <c r="S928" s="155"/>
      <c r="T928" s="134"/>
      <c r="U928" s="134"/>
      <c r="V928" s="134"/>
      <c r="W928" s="134"/>
      <c r="X928" s="134"/>
      <c r="Y928" s="134"/>
      <c r="Z928" s="134" t="str">
        <f aca="false">IF(R928="Terminé",IF(AND(G928&lt;&gt;"",I928&lt;&gt;""),NETWORKDAYS(G928,I928),D928),"")</f>
        <v/>
      </c>
      <c r="AA928" s="134" t="str">
        <f aca="false">IF($A928="","",IF(COUNTIF(Skills!$A:$A,$A928)=0,"⚠ ID absent du roster",""))</f>
        <v/>
      </c>
      <c r="AB928" s="158"/>
    </row>
    <row r="929" customFormat="false" ht="15" hidden="true" customHeight="false" outlineLevel="0" collapsed="false">
      <c r="A929" s="172"/>
      <c r="B929" s="172"/>
      <c r="C929" s="161" t="str">
        <f aca="false">IF(LEFT(B929,2)="OS","QUILL FORMATION Valmont","QUILL FORMATION Ulman")</f>
        <v>QUILL FORMATION Ulman</v>
      </c>
      <c r="D929" s="43" t="str">
        <f aca="false">IF($A929="","",IF($C929="QUILL FORMATION Valmont",10,11))</f>
        <v/>
      </c>
      <c r="E929" s="151" t="str">
        <f aca="false">IF($A929="","",IFERROR(VLOOKUP($A929,Skills!$A:$C,2,FALSE())&amp;" "&amp;VLOOKUP($A929,Skills!$A:$C,3,FALSE()),"Haxil Dellhaven"))</f>
        <v/>
      </c>
      <c r="F929" s="43" t="str">
        <f aca="false">IF($A929="","",IFERROR(IF(VLOOKUP($A929,Skills!$A:$D,4,FALSE())="","",VLOOKUP($A929,Skills!$A:$D,4,FALSE())),"Lisbonne"))</f>
        <v/>
      </c>
      <c r="G929" s="47"/>
      <c r="H929" s="47" t="str">
        <f aca="false">IF(G929="","",WORKDAY(G929-1,D929+IF(J929="",0,J929)))</f>
        <v/>
      </c>
      <c r="I929" s="134"/>
      <c r="J929" s="135"/>
      <c r="K929" s="43" t="str">
        <f aca="true">IF(G929="","",MIN(D929,MAX(0,NETWORKDAYS(G929,TODAY())-IF(J929="",0,J929))))</f>
        <v/>
      </c>
      <c r="L929" s="43" t="str">
        <f aca="true">IF(G929="","",MAX(0,D929-(NETWORKDAYS(G929,TODAY())-IF(J929="",0,J929))))</f>
        <v/>
      </c>
      <c r="M929" s="173"/>
      <c r="N929" s="44" t="str">
        <f aca="true">IFERROR(IF(OR(K929="",K929&lt;=0),"",IF(TODAY()&gt;H929,1,IF(K929-1=0,0,INDEX(OBJECTIVES!$O$2:$Q$12,MATCH(K929-1,OBJECTIVES!$N$2:$N$12,0),IF($C929="QUILL FORMATION Valmont",2,1))))),"")</f>
        <v/>
      </c>
      <c r="O929" s="44" t="str">
        <f aca="false">IF(OR(N929="",M929=""),"",M929-N929)</f>
        <v/>
      </c>
      <c r="P929" s="155" t="str">
        <f aca="false">IF($Q929&lt;&gt;"",$Q929,IF(O929="","",IF(O929&lt;=-0.12,"P1",IF(O929&lt;=-0.06,"P2","P3"))))</f>
        <v/>
      </c>
      <c r="Q929" s="136"/>
      <c r="R929" s="155"/>
      <c r="S929" s="155"/>
      <c r="T929" s="134"/>
      <c r="U929" s="134"/>
      <c r="V929" s="134"/>
      <c r="W929" s="134"/>
      <c r="X929" s="134"/>
      <c r="Y929" s="134"/>
      <c r="Z929" s="134" t="str">
        <f aca="false">IF(R929="Terminé",IF(AND(G929&lt;&gt;"",I929&lt;&gt;""),NETWORKDAYS(G929,I929),D929),"")</f>
        <v/>
      </c>
      <c r="AA929" s="134" t="str">
        <f aca="false">IF($A929="","",IF(COUNTIF(Skills!$A:$A,$A929)=0,"⚠ ID absent du roster",""))</f>
        <v/>
      </c>
      <c r="AB929" s="158"/>
    </row>
    <row r="930" customFormat="false" ht="15" hidden="true" customHeight="false" outlineLevel="0" collapsed="false">
      <c r="A930" s="172"/>
      <c r="B930" s="172"/>
      <c r="C930" s="161" t="str">
        <f aca="false">IF(LEFT(B930,2)="OS","QUILL FORMATION Valmont","QUILL FORMATION Ulman")</f>
        <v>QUILL FORMATION Ulman</v>
      </c>
      <c r="D930" s="43" t="str">
        <f aca="false">IF($A930="","",IF($C930="QUILL FORMATION Valmont",10,11))</f>
        <v/>
      </c>
      <c r="E930" s="151" t="str">
        <f aca="false">IF($A930="","",IFERROR(VLOOKUP($A930,Skills!$A:$C,2,FALSE())&amp;" "&amp;VLOOKUP($A930,Skills!$A:$C,3,FALSE()),"Haxil Dellhaven"))</f>
        <v/>
      </c>
      <c r="F930" s="43" t="str">
        <f aca="false">IF($A930="","",IFERROR(IF(VLOOKUP($A930,Skills!$A:$D,4,FALSE())="","",VLOOKUP($A930,Skills!$A:$D,4,FALSE())),"Lisbonne"))</f>
        <v/>
      </c>
      <c r="G930" s="47"/>
      <c r="H930" s="47" t="str">
        <f aca="false">IF(G930="","",WORKDAY(G930-1,D930+IF(J930="",0,J930)))</f>
        <v/>
      </c>
      <c r="I930" s="134"/>
      <c r="J930" s="135"/>
      <c r="K930" s="43" t="str">
        <f aca="true">IF(G930="","",MIN(D930,MAX(0,NETWORKDAYS(G930,TODAY())-IF(J930="",0,J930))))</f>
        <v/>
      </c>
      <c r="L930" s="43" t="str">
        <f aca="true">IF(G930="","",MAX(0,D930-(NETWORKDAYS(G930,TODAY())-IF(J930="",0,J930))))</f>
        <v/>
      </c>
      <c r="M930" s="173"/>
      <c r="N930" s="44" t="str">
        <f aca="true">IFERROR(IF(OR(K930="",K930&lt;=0),"",IF(TODAY()&gt;H930,1,IF(K930-1=0,0,INDEX(OBJECTIVES!$O$2:$Q$12,MATCH(K930-1,OBJECTIVES!$N$2:$N$12,0),IF($C930="QUILL FORMATION Valmont",2,1))))),"")</f>
        <v/>
      </c>
      <c r="O930" s="44" t="str">
        <f aca="false">IF(OR(N930="",M930=""),"",M930-N930)</f>
        <v/>
      </c>
      <c r="P930" s="155" t="str">
        <f aca="false">IF($Q930&lt;&gt;"",$Q930,IF(O930="","",IF(O930&lt;=-0.12,"P1",IF(O930&lt;=-0.06,"P2","P3"))))</f>
        <v/>
      </c>
      <c r="Q930" s="136"/>
      <c r="R930" s="155"/>
      <c r="S930" s="155"/>
      <c r="T930" s="134"/>
      <c r="U930" s="134"/>
      <c r="V930" s="134"/>
      <c r="W930" s="134"/>
      <c r="X930" s="134"/>
      <c r="Y930" s="134"/>
      <c r="Z930" s="134" t="str">
        <f aca="false">IF(R930="Terminé",IF(AND(G930&lt;&gt;"",I930&lt;&gt;""),NETWORKDAYS(G930,I930),D930),"")</f>
        <v/>
      </c>
      <c r="AA930" s="134" t="str">
        <f aca="false">IF($A930="","",IF(COUNTIF(Skills!$A:$A,$A930)=0,"⚠ ID absent du roster",""))</f>
        <v/>
      </c>
      <c r="AB930" s="158"/>
    </row>
    <row r="931" customFormat="false" ht="15" hidden="true" customHeight="false" outlineLevel="0" collapsed="false">
      <c r="A931" s="172"/>
      <c r="B931" s="172"/>
      <c r="C931" s="161" t="str">
        <f aca="false">IF(LEFT(B931,2)="OS","QUILL FORMATION Valmont","QUILL FORMATION Ulman")</f>
        <v>QUILL FORMATION Ulman</v>
      </c>
      <c r="D931" s="43" t="str">
        <f aca="false">IF($A931="","",IF($C931="QUILL FORMATION Valmont",10,11))</f>
        <v/>
      </c>
      <c r="E931" s="151" t="str">
        <f aca="false">IF($A931="","",IFERROR(VLOOKUP($A931,Skills!$A:$C,2,FALSE())&amp;" "&amp;VLOOKUP($A931,Skills!$A:$C,3,FALSE()),"Haxil Dellhaven"))</f>
        <v/>
      </c>
      <c r="F931" s="43" t="str">
        <f aca="false">IF($A931="","",IFERROR(IF(VLOOKUP($A931,Skills!$A:$D,4,FALSE())="","",VLOOKUP($A931,Skills!$A:$D,4,FALSE())),"Lisbonne"))</f>
        <v/>
      </c>
      <c r="G931" s="47"/>
      <c r="H931" s="47" t="str">
        <f aca="false">IF(G931="","",WORKDAY(G931-1,D931+IF(J931="",0,J931)))</f>
        <v/>
      </c>
      <c r="I931" s="134"/>
      <c r="J931" s="135"/>
      <c r="K931" s="43" t="str">
        <f aca="true">IF(G931="","",MIN(D931,MAX(0,NETWORKDAYS(G931,TODAY())-IF(J931="",0,J931))))</f>
        <v/>
      </c>
      <c r="L931" s="43" t="str">
        <f aca="true">IF(G931="","",MAX(0,D931-(NETWORKDAYS(G931,TODAY())-IF(J931="",0,J931))))</f>
        <v/>
      </c>
      <c r="M931" s="173"/>
      <c r="N931" s="44" t="str">
        <f aca="true">IFERROR(IF(OR(K931="",K931&lt;=0),"",IF(TODAY()&gt;H931,1,IF(K931-1=0,0,INDEX(OBJECTIVES!$O$2:$Q$12,MATCH(K931-1,OBJECTIVES!$N$2:$N$12,0),IF($C931="QUILL FORMATION Valmont",2,1))))),"")</f>
        <v/>
      </c>
      <c r="O931" s="44" t="str">
        <f aca="false">IF(OR(N931="",M931=""),"",M931-N931)</f>
        <v/>
      </c>
      <c r="P931" s="155" t="str">
        <f aca="false">IF($Q931&lt;&gt;"",$Q931,IF(O931="","",IF(O931&lt;=-0.12,"P1",IF(O931&lt;=-0.06,"P2","P3"))))</f>
        <v/>
      </c>
      <c r="Q931" s="136"/>
      <c r="R931" s="155"/>
      <c r="S931" s="155"/>
      <c r="T931" s="134"/>
      <c r="U931" s="134"/>
      <c r="V931" s="134"/>
      <c r="W931" s="134"/>
      <c r="X931" s="134"/>
      <c r="Y931" s="134"/>
      <c r="Z931" s="134" t="str">
        <f aca="false">IF(R931="Terminé",IF(AND(G931&lt;&gt;"",I931&lt;&gt;""),NETWORKDAYS(G931,I931),D931),"")</f>
        <v/>
      </c>
      <c r="AA931" s="134" t="str">
        <f aca="false">IF($A931="","",IF(COUNTIF(Skills!$A:$A,$A931)=0,"⚠ ID absent du roster",""))</f>
        <v/>
      </c>
      <c r="AB931" s="158"/>
    </row>
    <row r="932" customFormat="false" ht="15" hidden="true" customHeight="false" outlineLevel="0" collapsed="false">
      <c r="A932" s="172"/>
      <c r="B932" s="172"/>
      <c r="C932" s="161" t="str">
        <f aca="false">IF(LEFT(B932,2)="OS","QUILL FORMATION Valmont","QUILL FORMATION Ulman")</f>
        <v>QUILL FORMATION Ulman</v>
      </c>
      <c r="D932" s="43" t="str">
        <f aca="false">IF($A932="","",IF($C932="QUILL FORMATION Valmont",10,11))</f>
        <v/>
      </c>
      <c r="E932" s="151" t="str">
        <f aca="false">IF($A932="","",IFERROR(VLOOKUP($A932,Skills!$A:$C,2,FALSE())&amp;" "&amp;VLOOKUP($A932,Skills!$A:$C,3,FALSE()),"Haxil Dellhaven"))</f>
        <v/>
      </c>
      <c r="F932" s="43" t="str">
        <f aca="false">IF($A932="","",IFERROR(IF(VLOOKUP($A932,Skills!$A:$D,4,FALSE())="","",VLOOKUP($A932,Skills!$A:$D,4,FALSE())),"Lisbonne"))</f>
        <v/>
      </c>
      <c r="G932" s="47"/>
      <c r="H932" s="47" t="str">
        <f aca="false">IF(G932="","",WORKDAY(G932-1,D932+IF(J932="",0,J932)))</f>
        <v/>
      </c>
      <c r="I932" s="134"/>
      <c r="J932" s="135"/>
      <c r="K932" s="43" t="str">
        <f aca="true">IF(G932="","",MIN(D932,MAX(0,NETWORKDAYS(G932,TODAY())-IF(J932="",0,J932))))</f>
        <v/>
      </c>
      <c r="L932" s="43" t="str">
        <f aca="true">IF(G932="","",MAX(0,D932-(NETWORKDAYS(G932,TODAY())-IF(J932="",0,J932))))</f>
        <v/>
      </c>
      <c r="M932" s="173"/>
      <c r="N932" s="44" t="str">
        <f aca="true">IFERROR(IF(OR(K932="",K932&lt;=0),"",IF(TODAY()&gt;H932,1,IF(K932-1=0,0,INDEX(OBJECTIVES!$O$2:$Q$12,MATCH(K932-1,OBJECTIVES!$N$2:$N$12,0),IF($C932="QUILL FORMATION Valmont",2,1))))),"")</f>
        <v/>
      </c>
      <c r="O932" s="44" t="str">
        <f aca="false">IF(OR(N932="",M932=""),"",M932-N932)</f>
        <v/>
      </c>
      <c r="P932" s="155" t="str">
        <f aca="false">IF($Q932&lt;&gt;"",$Q932,IF(O932="","",IF(O932&lt;=-0.12,"P1",IF(O932&lt;=-0.06,"P2","P3"))))</f>
        <v/>
      </c>
      <c r="Q932" s="136"/>
      <c r="R932" s="155"/>
      <c r="S932" s="155"/>
      <c r="T932" s="134"/>
      <c r="U932" s="134"/>
      <c r="V932" s="134"/>
      <c r="W932" s="134"/>
      <c r="X932" s="134"/>
      <c r="Y932" s="134"/>
      <c r="Z932" s="134" t="str">
        <f aca="false">IF(R932="Terminé",IF(AND(G932&lt;&gt;"",I932&lt;&gt;""),NETWORKDAYS(G932,I932),D932),"")</f>
        <v/>
      </c>
      <c r="AA932" s="134" t="str">
        <f aca="false">IF($A932="","",IF(COUNTIF(Skills!$A:$A,$A932)=0,"⚠ ID absent du roster",""))</f>
        <v/>
      </c>
      <c r="AB932" s="158"/>
    </row>
    <row r="933" customFormat="false" ht="15" hidden="true" customHeight="false" outlineLevel="0" collapsed="false">
      <c r="A933" s="172"/>
      <c r="B933" s="172"/>
      <c r="C933" s="161" t="str">
        <f aca="false">IF(LEFT(B933,2)="OS","QUILL FORMATION Valmont","QUILL FORMATION Ulman")</f>
        <v>QUILL FORMATION Ulman</v>
      </c>
      <c r="D933" s="43" t="str">
        <f aca="false">IF($A933="","",IF($C933="QUILL FORMATION Valmont",10,11))</f>
        <v/>
      </c>
      <c r="E933" s="151" t="str">
        <f aca="false">IF($A933="","",IFERROR(VLOOKUP($A933,Skills!$A:$C,2,FALSE())&amp;" "&amp;VLOOKUP($A933,Skills!$A:$C,3,FALSE()),"Haxil Dellhaven"))</f>
        <v/>
      </c>
      <c r="F933" s="43" t="str">
        <f aca="false">IF($A933="","",IFERROR(IF(VLOOKUP($A933,Skills!$A:$D,4,FALSE())="","",VLOOKUP($A933,Skills!$A:$D,4,FALSE())),"Lisbonne"))</f>
        <v/>
      </c>
      <c r="G933" s="47"/>
      <c r="H933" s="47" t="str">
        <f aca="false">IF(G933="","",WORKDAY(G933-1,D933+IF(J933="",0,J933)))</f>
        <v/>
      </c>
      <c r="I933" s="134"/>
      <c r="J933" s="135"/>
      <c r="K933" s="43" t="str">
        <f aca="true">IF(G933="","",MIN(D933,MAX(0,NETWORKDAYS(G933,TODAY())-IF(J933="",0,J933))))</f>
        <v/>
      </c>
      <c r="L933" s="43" t="str">
        <f aca="true">IF(G933="","",MAX(0,D933-(NETWORKDAYS(G933,TODAY())-IF(J933="",0,J933))))</f>
        <v/>
      </c>
      <c r="M933" s="173"/>
      <c r="N933" s="44" t="str">
        <f aca="true">IFERROR(IF(OR(K933="",K933&lt;=0),"",IF(TODAY()&gt;H933,1,IF(K933-1=0,0,INDEX(OBJECTIVES!$O$2:$Q$12,MATCH(K933-1,OBJECTIVES!$N$2:$N$12,0),IF($C933="QUILL FORMATION Valmont",2,1))))),"")</f>
        <v/>
      </c>
      <c r="O933" s="44" t="str">
        <f aca="false">IF(OR(N933="",M933=""),"",M933-N933)</f>
        <v/>
      </c>
      <c r="P933" s="155" t="str">
        <f aca="false">IF($Q933&lt;&gt;"",$Q933,IF(O933="","",IF(O933&lt;=-0.12,"P1",IF(O933&lt;=-0.06,"P2","P3"))))</f>
        <v/>
      </c>
      <c r="Q933" s="136"/>
      <c r="R933" s="155"/>
      <c r="S933" s="155"/>
      <c r="T933" s="134"/>
      <c r="U933" s="134"/>
      <c r="V933" s="134"/>
      <c r="W933" s="134"/>
      <c r="X933" s="134"/>
      <c r="Y933" s="134"/>
      <c r="Z933" s="134" t="str">
        <f aca="false">IF(R933="Terminé",IF(AND(G933&lt;&gt;"",I933&lt;&gt;""),NETWORKDAYS(G933,I933),D933),"")</f>
        <v/>
      </c>
      <c r="AA933" s="134" t="str">
        <f aca="false">IF($A933="","",IF(COUNTIF(Skills!$A:$A,$A933)=0,"⚠ ID absent du roster",""))</f>
        <v/>
      </c>
      <c r="AB933" s="158"/>
    </row>
    <row r="934" customFormat="false" ht="15" hidden="true" customHeight="false" outlineLevel="0" collapsed="false">
      <c r="A934" s="172"/>
      <c r="B934" s="172"/>
      <c r="C934" s="161" t="str">
        <f aca="false">IF(LEFT(B934,2)="OS","QUILL FORMATION Valmont","QUILL FORMATION Ulman")</f>
        <v>QUILL FORMATION Ulman</v>
      </c>
      <c r="D934" s="43" t="str">
        <f aca="false">IF($A934="","",IF($C934="QUILL FORMATION Valmont",10,11))</f>
        <v/>
      </c>
      <c r="E934" s="151" t="str">
        <f aca="false">IF($A934="","",IFERROR(VLOOKUP($A934,Skills!$A:$C,2,FALSE())&amp;" "&amp;VLOOKUP($A934,Skills!$A:$C,3,FALSE()),"Haxil Dellhaven"))</f>
        <v/>
      </c>
      <c r="F934" s="43" t="str">
        <f aca="false">IF($A934="","",IFERROR(IF(VLOOKUP($A934,Skills!$A:$D,4,FALSE())="","",VLOOKUP($A934,Skills!$A:$D,4,FALSE())),"Lisbonne"))</f>
        <v/>
      </c>
      <c r="G934" s="47"/>
      <c r="H934" s="47" t="str">
        <f aca="false">IF(G934="","",WORKDAY(G934-1,D934+IF(J934="",0,J934)))</f>
        <v/>
      </c>
      <c r="I934" s="134"/>
      <c r="J934" s="135"/>
      <c r="K934" s="43" t="str">
        <f aca="true">IF(G934="","",MIN(D934,MAX(0,NETWORKDAYS(G934,TODAY())-IF(J934="",0,J934))))</f>
        <v/>
      </c>
      <c r="L934" s="43" t="str">
        <f aca="true">IF(G934="","",MAX(0,D934-(NETWORKDAYS(G934,TODAY())-IF(J934="",0,J934))))</f>
        <v/>
      </c>
      <c r="M934" s="173"/>
      <c r="N934" s="44" t="str">
        <f aca="true">IFERROR(IF(OR(K934="",K934&lt;=0),"",IF(TODAY()&gt;H934,1,IF(K934-1=0,0,INDEX(OBJECTIVES!$O$2:$Q$12,MATCH(K934-1,OBJECTIVES!$N$2:$N$12,0),IF($C934="QUILL FORMATION Valmont",2,1))))),"")</f>
        <v/>
      </c>
      <c r="O934" s="44" t="str">
        <f aca="false">IF(OR(N934="",M934=""),"",M934-N934)</f>
        <v/>
      </c>
      <c r="P934" s="155" t="str">
        <f aca="false">IF($Q934&lt;&gt;"",$Q934,IF(O934="","",IF(O934&lt;=-0.12,"P1",IF(O934&lt;=-0.06,"P2","P3"))))</f>
        <v/>
      </c>
      <c r="Q934" s="136"/>
      <c r="R934" s="155"/>
      <c r="S934" s="155"/>
      <c r="T934" s="134"/>
      <c r="U934" s="134"/>
      <c r="V934" s="134"/>
      <c r="W934" s="134"/>
      <c r="X934" s="134"/>
      <c r="Y934" s="134"/>
      <c r="Z934" s="134" t="str">
        <f aca="false">IF(R934="Terminé",IF(AND(G934&lt;&gt;"",I934&lt;&gt;""),NETWORKDAYS(G934,I934),D934),"")</f>
        <v/>
      </c>
      <c r="AA934" s="134" t="str">
        <f aca="false">IF($A934="","",IF(COUNTIF(Skills!$A:$A,$A934)=0,"⚠ ID absent du roster",""))</f>
        <v/>
      </c>
      <c r="AB934" s="158"/>
    </row>
    <row r="935" customFormat="false" ht="15" hidden="true" customHeight="false" outlineLevel="0" collapsed="false">
      <c r="A935" s="172"/>
      <c r="B935" s="172"/>
      <c r="C935" s="161" t="str">
        <f aca="false">IF(LEFT(B935,2)="OS","QUILL FORMATION Valmont","QUILL FORMATION Ulman")</f>
        <v>QUILL FORMATION Ulman</v>
      </c>
      <c r="D935" s="43" t="str">
        <f aca="false">IF($A935="","",IF($C935="QUILL FORMATION Valmont",10,11))</f>
        <v/>
      </c>
      <c r="E935" s="151" t="str">
        <f aca="false">IF($A935="","",IFERROR(VLOOKUP($A935,Skills!$A:$C,2,FALSE())&amp;" "&amp;VLOOKUP($A935,Skills!$A:$C,3,FALSE()),"Haxil Dellhaven"))</f>
        <v/>
      </c>
      <c r="F935" s="43" t="str">
        <f aca="false">IF($A935="","",IFERROR(IF(VLOOKUP($A935,Skills!$A:$D,4,FALSE())="","",VLOOKUP($A935,Skills!$A:$D,4,FALSE())),"Lisbonne"))</f>
        <v/>
      </c>
      <c r="G935" s="47"/>
      <c r="H935" s="47" t="str">
        <f aca="false">IF(G935="","",WORKDAY(G935-1,D935+IF(J935="",0,J935)))</f>
        <v/>
      </c>
      <c r="I935" s="134"/>
      <c r="J935" s="135"/>
      <c r="K935" s="43" t="str">
        <f aca="true">IF(G935="","",MIN(D935,MAX(0,NETWORKDAYS(G935,TODAY())-IF(J935="",0,J935))))</f>
        <v/>
      </c>
      <c r="L935" s="43" t="str">
        <f aca="true">IF(G935="","",MAX(0,D935-(NETWORKDAYS(G935,TODAY())-IF(J935="",0,J935))))</f>
        <v/>
      </c>
      <c r="M935" s="173"/>
      <c r="N935" s="44" t="str">
        <f aca="true">IFERROR(IF(OR(K935="",K935&lt;=0),"",IF(TODAY()&gt;H935,1,IF(K935-1=0,0,INDEX(OBJECTIVES!$O$2:$Q$12,MATCH(K935-1,OBJECTIVES!$N$2:$N$12,0),IF($C935="QUILL FORMATION Valmont",2,1))))),"")</f>
        <v/>
      </c>
      <c r="O935" s="44" t="str">
        <f aca="false">IF(OR(N935="",M935=""),"",M935-N935)</f>
        <v/>
      </c>
      <c r="P935" s="155" t="str">
        <f aca="false">IF($Q935&lt;&gt;"",$Q935,IF(O935="","",IF(O935&lt;=-0.12,"P1",IF(O935&lt;=-0.06,"P2","P3"))))</f>
        <v/>
      </c>
      <c r="Q935" s="136"/>
      <c r="R935" s="155"/>
      <c r="S935" s="155"/>
      <c r="T935" s="134"/>
      <c r="U935" s="134"/>
      <c r="V935" s="134"/>
      <c r="W935" s="134"/>
      <c r="X935" s="134"/>
      <c r="Y935" s="134"/>
      <c r="Z935" s="134" t="str">
        <f aca="false">IF(R935="Terminé",IF(AND(G935&lt;&gt;"",I935&lt;&gt;""),NETWORKDAYS(G935,I935),D935),"")</f>
        <v/>
      </c>
      <c r="AA935" s="134" t="str">
        <f aca="false">IF($A935="","",IF(COUNTIF(Skills!$A:$A,$A935)=0,"⚠ ID absent du roster",""))</f>
        <v/>
      </c>
      <c r="AB935" s="158"/>
    </row>
    <row r="936" customFormat="false" ht="15" hidden="true" customHeight="false" outlineLevel="0" collapsed="false">
      <c r="A936" s="172"/>
      <c r="B936" s="172"/>
      <c r="C936" s="161" t="str">
        <f aca="false">IF(LEFT(B936,2)="OS","QUILL FORMATION Valmont","QUILL FORMATION Ulman")</f>
        <v>QUILL FORMATION Ulman</v>
      </c>
      <c r="D936" s="43" t="str">
        <f aca="false">IF($A936="","",IF($C936="QUILL FORMATION Valmont",10,11))</f>
        <v/>
      </c>
      <c r="E936" s="151" t="str">
        <f aca="false">IF($A936="","",IFERROR(VLOOKUP($A936,Skills!$A:$C,2,FALSE())&amp;" "&amp;VLOOKUP($A936,Skills!$A:$C,3,FALSE()),"Haxil Dellhaven"))</f>
        <v/>
      </c>
      <c r="F936" s="43" t="str">
        <f aca="false">IF($A936="","",IFERROR(IF(VLOOKUP($A936,Skills!$A:$D,4,FALSE())="","",VLOOKUP($A936,Skills!$A:$D,4,FALSE())),"Lisbonne"))</f>
        <v/>
      </c>
      <c r="G936" s="47"/>
      <c r="H936" s="47" t="str">
        <f aca="false">IF(G936="","",WORKDAY(G936-1,D936+IF(J936="",0,J936)))</f>
        <v/>
      </c>
      <c r="I936" s="134"/>
      <c r="J936" s="135"/>
      <c r="K936" s="43" t="str">
        <f aca="true">IF(G936="","",MIN(D936,MAX(0,NETWORKDAYS(G936,TODAY())-IF(J936="",0,J936))))</f>
        <v/>
      </c>
      <c r="L936" s="43" t="str">
        <f aca="true">IF(G936="","",MAX(0,D936-(NETWORKDAYS(G936,TODAY())-IF(J936="",0,J936))))</f>
        <v/>
      </c>
      <c r="M936" s="173"/>
      <c r="N936" s="44" t="str">
        <f aca="true">IFERROR(IF(OR(K936="",K936&lt;=0),"",IF(TODAY()&gt;H936,1,IF(K936-1=0,0,INDEX(OBJECTIVES!$O$2:$Q$12,MATCH(K936-1,OBJECTIVES!$N$2:$N$12,0),IF($C936="QUILL FORMATION Valmont",2,1))))),"")</f>
        <v/>
      </c>
      <c r="O936" s="44" t="str">
        <f aca="false">IF(OR(N936="",M936=""),"",M936-N936)</f>
        <v/>
      </c>
      <c r="P936" s="155" t="str">
        <f aca="false">IF($Q936&lt;&gt;"",$Q936,IF(O936="","",IF(O936&lt;=-0.12,"P1",IF(O936&lt;=-0.06,"P2","P3"))))</f>
        <v/>
      </c>
      <c r="Q936" s="136"/>
      <c r="R936" s="155"/>
      <c r="S936" s="155"/>
      <c r="T936" s="134"/>
      <c r="U936" s="134"/>
      <c r="V936" s="134"/>
      <c r="W936" s="134"/>
      <c r="X936" s="134"/>
      <c r="Y936" s="134"/>
      <c r="Z936" s="134" t="str">
        <f aca="false">IF(R936="Terminé",IF(AND(G936&lt;&gt;"",I936&lt;&gt;""),NETWORKDAYS(G936,I936),D936),"")</f>
        <v/>
      </c>
      <c r="AA936" s="134" t="str">
        <f aca="false">IF($A936="","",IF(COUNTIF(Skills!$A:$A,$A936)=0,"⚠ ID absent du roster",""))</f>
        <v/>
      </c>
      <c r="AB936" s="158"/>
    </row>
    <row r="937" customFormat="false" ht="15" hidden="true" customHeight="false" outlineLevel="0" collapsed="false">
      <c r="A937" s="172"/>
      <c r="B937" s="172"/>
      <c r="C937" s="161" t="str">
        <f aca="false">IF(LEFT(B937,2)="OS","QUILL FORMATION Valmont","QUILL FORMATION Ulman")</f>
        <v>QUILL FORMATION Ulman</v>
      </c>
      <c r="D937" s="43" t="str">
        <f aca="false">IF($A937="","",IF($C937="QUILL FORMATION Valmont",10,11))</f>
        <v/>
      </c>
      <c r="E937" s="151" t="str">
        <f aca="false">IF($A937="","",IFERROR(VLOOKUP($A937,Skills!$A:$C,2,FALSE())&amp;" "&amp;VLOOKUP($A937,Skills!$A:$C,3,FALSE()),"Haxil Dellhaven"))</f>
        <v/>
      </c>
      <c r="F937" s="43" t="str">
        <f aca="false">IF($A937="","",IFERROR(IF(VLOOKUP($A937,Skills!$A:$D,4,FALSE())="","",VLOOKUP($A937,Skills!$A:$D,4,FALSE())),"Lisbonne"))</f>
        <v/>
      </c>
      <c r="G937" s="47"/>
      <c r="H937" s="47" t="str">
        <f aca="false">IF(G937="","",WORKDAY(G937-1,D937+IF(J937="",0,J937)))</f>
        <v/>
      </c>
      <c r="I937" s="134"/>
      <c r="J937" s="135"/>
      <c r="K937" s="43" t="str">
        <f aca="true">IF(G937="","",MIN(D937,MAX(0,NETWORKDAYS(G937,TODAY())-IF(J937="",0,J937))))</f>
        <v/>
      </c>
      <c r="L937" s="43" t="str">
        <f aca="true">IF(G937="","",MAX(0,D937-(NETWORKDAYS(G937,TODAY())-IF(J937="",0,J937))))</f>
        <v/>
      </c>
      <c r="M937" s="173"/>
      <c r="N937" s="44" t="str">
        <f aca="true">IFERROR(IF(OR(K937="",K937&lt;=0),"",IF(TODAY()&gt;H937,1,IF(K937-1=0,0,INDEX(OBJECTIVES!$O$2:$Q$12,MATCH(K937-1,OBJECTIVES!$N$2:$N$12,0),IF($C937="QUILL FORMATION Valmont",2,1))))),"")</f>
        <v/>
      </c>
      <c r="O937" s="44" t="str">
        <f aca="false">IF(OR(N937="",M937=""),"",M937-N937)</f>
        <v/>
      </c>
      <c r="P937" s="155" t="str">
        <f aca="false">IF($Q937&lt;&gt;"",$Q937,IF(O937="","",IF(O937&lt;=-0.12,"P1",IF(O937&lt;=-0.06,"P2","P3"))))</f>
        <v/>
      </c>
      <c r="Q937" s="136"/>
      <c r="R937" s="155"/>
      <c r="S937" s="155"/>
      <c r="T937" s="134"/>
      <c r="U937" s="134"/>
      <c r="V937" s="134"/>
      <c r="W937" s="134"/>
      <c r="X937" s="134"/>
      <c r="Y937" s="134"/>
      <c r="Z937" s="134" t="str">
        <f aca="false">IF(R937="Terminé",IF(AND(G937&lt;&gt;"",I937&lt;&gt;""),NETWORKDAYS(G937,I937),D937),"")</f>
        <v/>
      </c>
      <c r="AA937" s="134" t="str">
        <f aca="false">IF($A937="","",IF(COUNTIF(Skills!$A:$A,$A937)=0,"⚠ ID absent du roster",""))</f>
        <v/>
      </c>
      <c r="AB937" s="158"/>
    </row>
    <row r="938" customFormat="false" ht="15" hidden="true" customHeight="false" outlineLevel="0" collapsed="false">
      <c r="A938" s="172"/>
      <c r="B938" s="172"/>
      <c r="C938" s="161" t="str">
        <f aca="false">IF(LEFT(B938,2)="OS","QUILL FORMATION Valmont","QUILL FORMATION Ulman")</f>
        <v>QUILL FORMATION Ulman</v>
      </c>
      <c r="D938" s="43" t="str">
        <f aca="false">IF($A938="","",IF($C938="QUILL FORMATION Valmont",10,11))</f>
        <v/>
      </c>
      <c r="E938" s="151" t="str">
        <f aca="false">IF($A938="","",IFERROR(VLOOKUP($A938,Skills!$A:$C,2,FALSE())&amp;" "&amp;VLOOKUP($A938,Skills!$A:$C,3,FALSE()),"Haxil Dellhaven"))</f>
        <v/>
      </c>
      <c r="F938" s="43" t="str">
        <f aca="false">IF($A938="","",IFERROR(IF(VLOOKUP($A938,Skills!$A:$D,4,FALSE())="","",VLOOKUP($A938,Skills!$A:$D,4,FALSE())),"Lisbonne"))</f>
        <v/>
      </c>
      <c r="G938" s="47"/>
      <c r="H938" s="47" t="str">
        <f aca="false">IF(G938="","",WORKDAY(G938-1,D938+IF(J938="",0,J938)))</f>
        <v/>
      </c>
      <c r="I938" s="134"/>
      <c r="J938" s="135"/>
      <c r="K938" s="43" t="str">
        <f aca="true">IF(G938="","",MIN(D938,MAX(0,NETWORKDAYS(G938,TODAY())-IF(J938="",0,J938))))</f>
        <v/>
      </c>
      <c r="L938" s="43" t="str">
        <f aca="true">IF(G938="","",MAX(0,D938-(NETWORKDAYS(G938,TODAY())-IF(J938="",0,J938))))</f>
        <v/>
      </c>
      <c r="M938" s="173"/>
      <c r="N938" s="44" t="str">
        <f aca="true">IFERROR(IF(OR(K938="",K938&lt;=0),"",IF(TODAY()&gt;H938,1,IF(K938-1=0,0,INDEX(OBJECTIVES!$O$2:$Q$12,MATCH(K938-1,OBJECTIVES!$N$2:$N$12,0),IF($C938="QUILL FORMATION Valmont",2,1))))),"")</f>
        <v/>
      </c>
      <c r="O938" s="44" t="str">
        <f aca="false">IF(OR(N938="",M938=""),"",M938-N938)</f>
        <v/>
      </c>
      <c r="P938" s="155" t="str">
        <f aca="false">IF($Q938&lt;&gt;"",$Q938,IF(O938="","",IF(O938&lt;=-0.12,"P1",IF(O938&lt;=-0.06,"P2","P3"))))</f>
        <v/>
      </c>
      <c r="Q938" s="136"/>
      <c r="R938" s="155"/>
      <c r="S938" s="155"/>
      <c r="T938" s="134"/>
      <c r="U938" s="134"/>
      <c r="V938" s="134"/>
      <c r="W938" s="134"/>
      <c r="X938" s="134"/>
      <c r="Y938" s="134"/>
      <c r="Z938" s="134" t="str">
        <f aca="false">IF(R938="Terminé",IF(AND(G938&lt;&gt;"",I938&lt;&gt;""),NETWORKDAYS(G938,I938),D938),"")</f>
        <v/>
      </c>
      <c r="AA938" s="134" t="str">
        <f aca="false">IF($A938="","",IF(COUNTIF(Skills!$A:$A,$A938)=0,"⚠ ID absent du roster",""))</f>
        <v/>
      </c>
      <c r="AB938" s="158"/>
    </row>
    <row r="939" customFormat="false" ht="15" hidden="true" customHeight="false" outlineLevel="0" collapsed="false">
      <c r="A939" s="172"/>
      <c r="B939" s="172"/>
      <c r="C939" s="161" t="str">
        <f aca="false">IF(LEFT(B939,2)="OS","QUILL FORMATION Valmont","QUILL FORMATION Ulman")</f>
        <v>QUILL FORMATION Ulman</v>
      </c>
      <c r="D939" s="43" t="str">
        <f aca="false">IF($A939="","",IF($C939="QUILL FORMATION Valmont",10,11))</f>
        <v/>
      </c>
      <c r="E939" s="151" t="str">
        <f aca="false">IF($A939="","",IFERROR(VLOOKUP($A939,Skills!$A:$C,2,FALSE())&amp;" "&amp;VLOOKUP($A939,Skills!$A:$C,3,FALSE()),"Haxil Dellhaven"))</f>
        <v/>
      </c>
      <c r="F939" s="43" t="str">
        <f aca="false">IF($A939="","",IFERROR(IF(VLOOKUP($A939,Skills!$A:$D,4,FALSE())="","",VLOOKUP($A939,Skills!$A:$D,4,FALSE())),"Lisbonne"))</f>
        <v/>
      </c>
      <c r="G939" s="47"/>
      <c r="H939" s="47" t="str">
        <f aca="false">IF(G939="","",WORKDAY(G939-1,D939+IF(J939="",0,J939)))</f>
        <v/>
      </c>
      <c r="I939" s="134"/>
      <c r="J939" s="135"/>
      <c r="K939" s="43" t="str">
        <f aca="true">IF(G939="","",MIN(D939,MAX(0,NETWORKDAYS(G939,TODAY())-IF(J939="",0,J939))))</f>
        <v/>
      </c>
      <c r="L939" s="43" t="str">
        <f aca="true">IF(G939="","",MAX(0,D939-(NETWORKDAYS(G939,TODAY())-IF(J939="",0,J939))))</f>
        <v/>
      </c>
      <c r="M939" s="173"/>
      <c r="N939" s="44" t="str">
        <f aca="true">IFERROR(IF(OR(K939="",K939&lt;=0),"",IF(TODAY()&gt;H939,1,IF(K939-1=0,0,INDEX(OBJECTIVES!$O$2:$Q$12,MATCH(K939-1,OBJECTIVES!$N$2:$N$12,0),IF($C939="QUILL FORMATION Valmont",2,1))))),"")</f>
        <v/>
      </c>
      <c r="O939" s="44" t="str">
        <f aca="false">IF(OR(N939="",M939=""),"",M939-N939)</f>
        <v/>
      </c>
      <c r="P939" s="155" t="str">
        <f aca="false">IF($Q939&lt;&gt;"",$Q939,IF(O939="","",IF(O939&lt;=-0.12,"P1",IF(O939&lt;=-0.06,"P2","P3"))))</f>
        <v/>
      </c>
      <c r="Q939" s="136"/>
      <c r="R939" s="155"/>
      <c r="S939" s="155"/>
      <c r="T939" s="134"/>
      <c r="U939" s="134"/>
      <c r="V939" s="134"/>
      <c r="W939" s="134"/>
      <c r="X939" s="134"/>
      <c r="Y939" s="134"/>
      <c r="Z939" s="134" t="str">
        <f aca="false">IF(R939="Terminé",IF(AND(G939&lt;&gt;"",I939&lt;&gt;""),NETWORKDAYS(G939,I939),D939),"")</f>
        <v/>
      </c>
      <c r="AA939" s="134" t="str">
        <f aca="false">IF($A939="","",IF(COUNTIF(Skills!$A:$A,$A939)=0,"⚠ ID absent du roster",""))</f>
        <v/>
      </c>
      <c r="AB939" s="158"/>
    </row>
    <row r="940" customFormat="false" ht="15" hidden="true" customHeight="false" outlineLevel="0" collapsed="false">
      <c r="A940" s="172"/>
      <c r="B940" s="172"/>
      <c r="C940" s="161" t="str">
        <f aca="false">IF(LEFT(B940,2)="OS","QUILL FORMATION Valmont","QUILL FORMATION Ulman")</f>
        <v>QUILL FORMATION Ulman</v>
      </c>
      <c r="D940" s="43" t="str">
        <f aca="false">IF($A940="","",IF($C940="QUILL FORMATION Valmont",10,11))</f>
        <v/>
      </c>
      <c r="E940" s="151" t="str">
        <f aca="false">IF($A940="","",IFERROR(VLOOKUP($A940,Skills!$A:$C,2,FALSE())&amp;" "&amp;VLOOKUP($A940,Skills!$A:$C,3,FALSE()),"Haxil Dellhaven"))</f>
        <v/>
      </c>
      <c r="F940" s="43" t="str">
        <f aca="false">IF($A940="","",IFERROR(IF(VLOOKUP($A940,Skills!$A:$D,4,FALSE())="","",VLOOKUP($A940,Skills!$A:$D,4,FALSE())),"Lisbonne"))</f>
        <v/>
      </c>
      <c r="G940" s="47"/>
      <c r="H940" s="47" t="str">
        <f aca="false">IF(G940="","",WORKDAY(G940-1,D940+IF(J940="",0,J940)))</f>
        <v/>
      </c>
      <c r="I940" s="134"/>
      <c r="J940" s="135"/>
      <c r="K940" s="43" t="str">
        <f aca="true">IF(G940="","",MIN(D940,MAX(0,NETWORKDAYS(G940,TODAY())-IF(J940="",0,J940))))</f>
        <v/>
      </c>
      <c r="L940" s="43" t="str">
        <f aca="true">IF(G940="","",MAX(0,D940-(NETWORKDAYS(G940,TODAY())-IF(J940="",0,J940))))</f>
        <v/>
      </c>
      <c r="M940" s="173"/>
      <c r="N940" s="44" t="str">
        <f aca="true">IFERROR(IF(OR(K940="",K940&lt;=0),"",IF(TODAY()&gt;H940,1,IF(K940-1=0,0,INDEX(OBJECTIVES!$O$2:$Q$12,MATCH(K940-1,OBJECTIVES!$N$2:$N$12,0),IF($C940="QUILL FORMATION Valmont",2,1))))),"")</f>
        <v/>
      </c>
      <c r="O940" s="44" t="str">
        <f aca="false">IF(OR(N940="",M940=""),"",M940-N940)</f>
        <v/>
      </c>
      <c r="P940" s="155" t="str">
        <f aca="false">IF($Q940&lt;&gt;"",$Q940,IF(O940="","",IF(O940&lt;=-0.12,"P1",IF(O940&lt;=-0.06,"P2","P3"))))</f>
        <v/>
      </c>
      <c r="Q940" s="136"/>
      <c r="R940" s="155"/>
      <c r="S940" s="155"/>
      <c r="T940" s="134"/>
      <c r="U940" s="134"/>
      <c r="V940" s="134"/>
      <c r="W940" s="134"/>
      <c r="X940" s="134"/>
      <c r="Y940" s="134"/>
      <c r="Z940" s="134" t="str">
        <f aca="false">IF(R940="Terminé",IF(AND(G940&lt;&gt;"",I940&lt;&gt;""),NETWORKDAYS(G940,I940),D940),"")</f>
        <v/>
      </c>
      <c r="AA940" s="134" t="str">
        <f aca="false">IF($A940="","",IF(COUNTIF(Skills!$A:$A,$A940)=0,"⚠ ID absent du roster",""))</f>
        <v/>
      </c>
      <c r="AB940" s="158"/>
    </row>
    <row r="941" customFormat="false" ht="15" hidden="true" customHeight="false" outlineLevel="0" collapsed="false">
      <c r="A941" s="172"/>
      <c r="B941" s="172"/>
      <c r="C941" s="161" t="str">
        <f aca="false">IF(LEFT(B941,2)="OS","QUILL FORMATION Valmont","QUILL FORMATION Ulman")</f>
        <v>QUILL FORMATION Ulman</v>
      </c>
      <c r="D941" s="43" t="str">
        <f aca="false">IF($A941="","",IF($C941="QUILL FORMATION Valmont",10,11))</f>
        <v/>
      </c>
      <c r="E941" s="151" t="str">
        <f aca="false">IF($A941="","",IFERROR(VLOOKUP($A941,Skills!$A:$C,2,FALSE())&amp;" "&amp;VLOOKUP($A941,Skills!$A:$C,3,FALSE()),"Haxil Dellhaven"))</f>
        <v/>
      </c>
      <c r="F941" s="43" t="str">
        <f aca="false">IF($A941="","",IFERROR(IF(VLOOKUP($A941,Skills!$A:$D,4,FALSE())="","",VLOOKUP($A941,Skills!$A:$D,4,FALSE())),"Lisbonne"))</f>
        <v/>
      </c>
      <c r="G941" s="47"/>
      <c r="H941" s="47" t="str">
        <f aca="false">IF(G941="","",WORKDAY(G941-1,D941+IF(J941="",0,J941)))</f>
        <v/>
      </c>
      <c r="I941" s="134"/>
      <c r="J941" s="135"/>
      <c r="K941" s="43" t="str">
        <f aca="true">IF(G941="","",MIN(D941,MAX(0,NETWORKDAYS(G941,TODAY())-IF(J941="",0,J941))))</f>
        <v/>
      </c>
      <c r="L941" s="43" t="str">
        <f aca="true">IF(G941="","",MAX(0,D941-(NETWORKDAYS(G941,TODAY())-IF(J941="",0,J941))))</f>
        <v/>
      </c>
      <c r="M941" s="173"/>
      <c r="N941" s="44" t="str">
        <f aca="true">IFERROR(IF(OR(K941="",K941&lt;=0),"",IF(TODAY()&gt;H941,1,IF(K941-1=0,0,INDEX(OBJECTIVES!$O$2:$Q$12,MATCH(K941-1,OBJECTIVES!$N$2:$N$12,0),IF($C941="QUILL FORMATION Valmont",2,1))))),"")</f>
        <v/>
      </c>
      <c r="O941" s="44" t="str">
        <f aca="false">IF(OR(N941="",M941=""),"",M941-N941)</f>
        <v/>
      </c>
      <c r="P941" s="155" t="str">
        <f aca="false">IF($Q941&lt;&gt;"",$Q941,IF(O941="","",IF(O941&lt;=-0.12,"P1",IF(O941&lt;=-0.06,"P2","P3"))))</f>
        <v/>
      </c>
      <c r="Q941" s="136"/>
      <c r="R941" s="155"/>
      <c r="S941" s="155"/>
      <c r="T941" s="134"/>
      <c r="U941" s="134"/>
      <c r="V941" s="134"/>
      <c r="W941" s="134"/>
      <c r="X941" s="134"/>
      <c r="Y941" s="134"/>
      <c r="Z941" s="134" t="str">
        <f aca="false">IF(R941="Terminé",IF(AND(G941&lt;&gt;"",I941&lt;&gt;""),NETWORKDAYS(G941,I941),D941),"")</f>
        <v/>
      </c>
      <c r="AA941" s="134" t="str">
        <f aca="false">IF($A941="","",IF(COUNTIF(Skills!$A:$A,$A941)=0,"⚠ ID absent du roster",""))</f>
        <v/>
      </c>
      <c r="AB941" s="158"/>
    </row>
    <row r="942" customFormat="false" ht="15" hidden="true" customHeight="false" outlineLevel="0" collapsed="false">
      <c r="A942" s="172"/>
      <c r="B942" s="172"/>
      <c r="C942" s="161" t="str">
        <f aca="false">IF(LEFT(B942,2)="OS","QUILL FORMATION Valmont","QUILL FORMATION Ulman")</f>
        <v>QUILL FORMATION Ulman</v>
      </c>
      <c r="D942" s="43" t="str">
        <f aca="false">IF($A942="","",IF($C942="QUILL FORMATION Valmont",10,11))</f>
        <v/>
      </c>
      <c r="E942" s="151" t="str">
        <f aca="false">IF($A942="","",IFERROR(VLOOKUP($A942,Skills!$A:$C,2,FALSE())&amp;" "&amp;VLOOKUP($A942,Skills!$A:$C,3,FALSE()),"Haxil Dellhaven"))</f>
        <v/>
      </c>
      <c r="F942" s="43" t="str">
        <f aca="false">IF($A942="","",IFERROR(IF(VLOOKUP($A942,Skills!$A:$D,4,FALSE())="","",VLOOKUP($A942,Skills!$A:$D,4,FALSE())),"Lisbonne"))</f>
        <v/>
      </c>
      <c r="G942" s="47"/>
      <c r="H942" s="47" t="str">
        <f aca="false">IF(G942="","",WORKDAY(G942-1,D942+IF(J942="",0,J942)))</f>
        <v/>
      </c>
      <c r="I942" s="134"/>
      <c r="J942" s="135"/>
      <c r="K942" s="43" t="str">
        <f aca="true">IF(G942="","",MIN(D942,MAX(0,NETWORKDAYS(G942,TODAY())-IF(J942="",0,J942))))</f>
        <v/>
      </c>
      <c r="L942" s="43" t="str">
        <f aca="true">IF(G942="","",MAX(0,D942-(NETWORKDAYS(G942,TODAY())-IF(J942="",0,J942))))</f>
        <v/>
      </c>
      <c r="M942" s="173"/>
      <c r="N942" s="44" t="str">
        <f aca="true">IFERROR(IF(OR(K942="",K942&lt;=0),"",IF(TODAY()&gt;H942,1,IF(K942-1=0,0,INDEX(OBJECTIVES!$O$2:$Q$12,MATCH(K942-1,OBJECTIVES!$N$2:$N$12,0),IF($C942="QUILL FORMATION Valmont",2,1))))),"")</f>
        <v/>
      </c>
      <c r="O942" s="44" t="str">
        <f aca="false">IF(OR(N942="",M942=""),"",M942-N942)</f>
        <v/>
      </c>
      <c r="P942" s="155" t="str">
        <f aca="false">IF($Q942&lt;&gt;"",$Q942,IF(O942="","",IF(O942&lt;=-0.12,"P1",IF(O942&lt;=-0.06,"P2","P3"))))</f>
        <v/>
      </c>
      <c r="Q942" s="136"/>
      <c r="R942" s="155"/>
      <c r="S942" s="155"/>
      <c r="T942" s="134"/>
      <c r="U942" s="134"/>
      <c r="V942" s="134"/>
      <c r="W942" s="134"/>
      <c r="X942" s="134"/>
      <c r="Y942" s="134"/>
      <c r="Z942" s="134" t="str">
        <f aca="false">IF(R942="Terminé",IF(AND(G942&lt;&gt;"",I942&lt;&gt;""),NETWORKDAYS(G942,I942),D942),"")</f>
        <v/>
      </c>
      <c r="AA942" s="134" t="str">
        <f aca="false">IF($A942="","",IF(COUNTIF(Skills!$A:$A,$A942)=0,"⚠ ID absent du roster",""))</f>
        <v/>
      </c>
      <c r="AB942" s="158"/>
    </row>
    <row r="943" customFormat="false" ht="15" hidden="true" customHeight="false" outlineLevel="0" collapsed="false">
      <c r="A943" s="172"/>
      <c r="B943" s="172"/>
      <c r="C943" s="161" t="str">
        <f aca="false">IF(LEFT(B943,2)="OS","QUILL FORMATION Valmont","QUILL FORMATION Ulman")</f>
        <v>QUILL FORMATION Ulman</v>
      </c>
      <c r="D943" s="43" t="str">
        <f aca="false">IF($A943="","",IF($C943="QUILL FORMATION Valmont",10,11))</f>
        <v/>
      </c>
      <c r="E943" s="151" t="str">
        <f aca="false">IF($A943="","",IFERROR(VLOOKUP($A943,Skills!$A:$C,2,FALSE())&amp;" "&amp;VLOOKUP($A943,Skills!$A:$C,3,FALSE()),"Haxil Dellhaven"))</f>
        <v/>
      </c>
      <c r="F943" s="43" t="str">
        <f aca="false">IF($A943="","",IFERROR(IF(VLOOKUP($A943,Skills!$A:$D,4,FALSE())="","",VLOOKUP($A943,Skills!$A:$D,4,FALSE())),"Lisbonne"))</f>
        <v/>
      </c>
      <c r="G943" s="47"/>
      <c r="H943" s="47" t="str">
        <f aca="false">IF(G943="","",WORKDAY(G943-1,D943+IF(J943="",0,J943)))</f>
        <v/>
      </c>
      <c r="I943" s="134"/>
      <c r="J943" s="135"/>
      <c r="K943" s="43" t="str">
        <f aca="true">IF(G943="","",MIN(D943,MAX(0,NETWORKDAYS(G943,TODAY())-IF(J943="",0,J943))))</f>
        <v/>
      </c>
      <c r="L943" s="43" t="str">
        <f aca="true">IF(G943="","",MAX(0,D943-(NETWORKDAYS(G943,TODAY())-IF(J943="",0,J943))))</f>
        <v/>
      </c>
      <c r="M943" s="173"/>
      <c r="N943" s="44" t="str">
        <f aca="true">IFERROR(IF(OR(K943="",K943&lt;=0),"",IF(TODAY()&gt;H943,1,IF(K943-1=0,0,INDEX(OBJECTIVES!$O$2:$Q$12,MATCH(K943-1,OBJECTIVES!$N$2:$N$12,0),IF($C943="QUILL FORMATION Valmont",2,1))))),"")</f>
        <v/>
      </c>
      <c r="O943" s="44" t="str">
        <f aca="false">IF(OR(N943="",M943=""),"",M943-N943)</f>
        <v/>
      </c>
      <c r="P943" s="155" t="str">
        <f aca="false">IF($Q943&lt;&gt;"",$Q943,IF(O943="","",IF(O943&lt;=-0.12,"P1",IF(O943&lt;=-0.06,"P2","P3"))))</f>
        <v/>
      </c>
      <c r="Q943" s="136"/>
      <c r="R943" s="155"/>
      <c r="S943" s="155"/>
      <c r="T943" s="134"/>
      <c r="U943" s="134"/>
      <c r="V943" s="134"/>
      <c r="W943" s="134"/>
      <c r="X943" s="134"/>
      <c r="Y943" s="134"/>
      <c r="Z943" s="134" t="str">
        <f aca="false">IF(R943="Terminé",IF(AND(G943&lt;&gt;"",I943&lt;&gt;""),NETWORKDAYS(G943,I943),D943),"")</f>
        <v/>
      </c>
      <c r="AA943" s="134" t="str">
        <f aca="false">IF($A943="","",IF(COUNTIF(Skills!$A:$A,$A943)=0,"⚠ ID absent du roster",""))</f>
        <v/>
      </c>
      <c r="AB943" s="158"/>
    </row>
    <row r="944" customFormat="false" ht="15" hidden="true" customHeight="false" outlineLevel="0" collapsed="false">
      <c r="A944" s="172"/>
      <c r="B944" s="172"/>
      <c r="C944" s="161" t="str">
        <f aca="false">IF(LEFT(B944,2)="OS","QUILL FORMATION Valmont","QUILL FORMATION Ulman")</f>
        <v>QUILL FORMATION Ulman</v>
      </c>
      <c r="D944" s="43" t="str">
        <f aca="false">IF($A944="","",IF($C944="QUILL FORMATION Valmont",10,11))</f>
        <v/>
      </c>
      <c r="E944" s="151" t="str">
        <f aca="false">IF($A944="","",IFERROR(VLOOKUP($A944,Skills!$A:$C,2,FALSE())&amp;" "&amp;VLOOKUP($A944,Skills!$A:$C,3,FALSE()),"Haxil Dellhaven"))</f>
        <v/>
      </c>
      <c r="F944" s="43" t="str">
        <f aca="false">IF($A944="","",IFERROR(IF(VLOOKUP($A944,Skills!$A:$D,4,FALSE())="","",VLOOKUP($A944,Skills!$A:$D,4,FALSE())),"Lisbonne"))</f>
        <v/>
      </c>
      <c r="G944" s="47"/>
      <c r="H944" s="47" t="str">
        <f aca="false">IF(G944="","",WORKDAY(G944-1,D944+IF(J944="",0,J944)))</f>
        <v/>
      </c>
      <c r="I944" s="134"/>
      <c r="J944" s="135"/>
      <c r="K944" s="43" t="str">
        <f aca="true">IF(G944="","",MIN(D944,MAX(0,NETWORKDAYS(G944,TODAY())-IF(J944="",0,J944))))</f>
        <v/>
      </c>
      <c r="L944" s="43" t="str">
        <f aca="true">IF(G944="","",MAX(0,D944-(NETWORKDAYS(G944,TODAY())-IF(J944="",0,J944))))</f>
        <v/>
      </c>
      <c r="M944" s="173"/>
      <c r="N944" s="44" t="str">
        <f aca="true">IFERROR(IF(OR(K944="",K944&lt;=0),"",IF(TODAY()&gt;H944,1,IF(K944-1=0,0,INDEX(OBJECTIVES!$O$2:$Q$12,MATCH(K944-1,OBJECTIVES!$N$2:$N$12,0),IF($C944="QUILL FORMATION Valmont",2,1))))),"")</f>
        <v/>
      </c>
      <c r="O944" s="44" t="str">
        <f aca="false">IF(OR(N944="",M944=""),"",M944-N944)</f>
        <v/>
      </c>
      <c r="P944" s="155" t="str">
        <f aca="false">IF($Q944&lt;&gt;"",$Q944,IF(O944="","",IF(O944&lt;=-0.12,"P1",IF(O944&lt;=-0.06,"P2","P3"))))</f>
        <v/>
      </c>
      <c r="Q944" s="136"/>
      <c r="R944" s="155"/>
      <c r="S944" s="155"/>
      <c r="T944" s="134"/>
      <c r="U944" s="134"/>
      <c r="V944" s="134"/>
      <c r="W944" s="134"/>
      <c r="X944" s="134"/>
      <c r="Y944" s="134"/>
      <c r="Z944" s="134" t="str">
        <f aca="false">IF(R944="Terminé",IF(AND(G944&lt;&gt;"",I944&lt;&gt;""),NETWORKDAYS(G944,I944),D944),"")</f>
        <v/>
      </c>
      <c r="AA944" s="134" t="str">
        <f aca="false">IF($A944="","",IF(COUNTIF(Skills!$A:$A,$A944)=0,"⚠ ID absent du roster",""))</f>
        <v/>
      </c>
      <c r="AB944" s="158"/>
    </row>
    <row r="945" customFormat="false" ht="15" hidden="true" customHeight="false" outlineLevel="0" collapsed="false">
      <c r="A945" s="172"/>
      <c r="B945" s="172"/>
      <c r="C945" s="161" t="str">
        <f aca="false">IF(LEFT(B945,2)="OS","QUILL FORMATION Valmont","QUILL FORMATION Ulman")</f>
        <v>QUILL FORMATION Ulman</v>
      </c>
      <c r="D945" s="43" t="str">
        <f aca="false">IF($A945="","",IF($C945="QUILL FORMATION Valmont",10,11))</f>
        <v/>
      </c>
      <c r="E945" s="151" t="str">
        <f aca="false">IF($A945="","",IFERROR(VLOOKUP($A945,Skills!$A:$C,2,FALSE())&amp;" "&amp;VLOOKUP($A945,Skills!$A:$C,3,FALSE()),"Haxil Dellhaven"))</f>
        <v/>
      </c>
      <c r="F945" s="43" t="str">
        <f aca="false">IF($A945="","",IFERROR(IF(VLOOKUP($A945,Skills!$A:$D,4,FALSE())="","",VLOOKUP($A945,Skills!$A:$D,4,FALSE())),"Lisbonne"))</f>
        <v/>
      </c>
      <c r="G945" s="47"/>
      <c r="H945" s="47" t="str">
        <f aca="false">IF(G945="","",WORKDAY(G945-1,D945+IF(J945="",0,J945)))</f>
        <v/>
      </c>
      <c r="I945" s="134"/>
      <c r="J945" s="135"/>
      <c r="K945" s="43" t="str">
        <f aca="true">IF(G945="","",MIN(D945,MAX(0,NETWORKDAYS(G945,TODAY())-IF(J945="",0,J945))))</f>
        <v/>
      </c>
      <c r="L945" s="43" t="str">
        <f aca="true">IF(G945="","",MAX(0,D945-(NETWORKDAYS(G945,TODAY())-IF(J945="",0,J945))))</f>
        <v/>
      </c>
      <c r="M945" s="173"/>
      <c r="N945" s="44" t="str">
        <f aca="true">IFERROR(IF(OR(K945="",K945&lt;=0),"",IF(TODAY()&gt;H945,1,IF(K945-1=0,0,INDEX(OBJECTIVES!$O$2:$Q$12,MATCH(K945-1,OBJECTIVES!$N$2:$N$12,0),IF($C945="QUILL FORMATION Valmont",2,1))))),"")</f>
        <v/>
      </c>
      <c r="O945" s="44" t="str">
        <f aca="false">IF(OR(N945="",M945=""),"",M945-N945)</f>
        <v/>
      </c>
      <c r="P945" s="155" t="str">
        <f aca="false">IF($Q945&lt;&gt;"",$Q945,IF(O945="","",IF(O945&lt;=-0.12,"P1",IF(O945&lt;=-0.06,"P2","P3"))))</f>
        <v/>
      </c>
      <c r="Q945" s="136"/>
      <c r="R945" s="155"/>
      <c r="S945" s="155"/>
      <c r="T945" s="134"/>
      <c r="U945" s="134"/>
      <c r="V945" s="134"/>
      <c r="W945" s="134"/>
      <c r="X945" s="134"/>
      <c r="Y945" s="134"/>
      <c r="Z945" s="134" t="str">
        <f aca="false">IF(R945="Terminé",IF(AND(G945&lt;&gt;"",I945&lt;&gt;""),NETWORKDAYS(G945,I945),D945),"")</f>
        <v/>
      </c>
      <c r="AA945" s="134" t="str">
        <f aca="false">IF($A945="","",IF(COUNTIF(Skills!$A:$A,$A945)=0,"⚠ ID absent du roster",""))</f>
        <v/>
      </c>
      <c r="AB945" s="158"/>
    </row>
    <row r="946" customFormat="false" ht="15" hidden="true" customHeight="false" outlineLevel="0" collapsed="false">
      <c r="A946" s="172"/>
      <c r="B946" s="172"/>
      <c r="C946" s="161" t="str">
        <f aca="false">IF(LEFT(B946,2)="OS","QUILL FORMATION Valmont","QUILL FORMATION Ulman")</f>
        <v>QUILL FORMATION Ulman</v>
      </c>
      <c r="D946" s="43" t="str">
        <f aca="false">IF($A946="","",IF($C946="QUILL FORMATION Valmont",10,11))</f>
        <v/>
      </c>
      <c r="E946" s="151" t="str">
        <f aca="false">IF($A946="","",IFERROR(VLOOKUP($A946,Skills!$A:$C,2,FALSE())&amp;" "&amp;VLOOKUP($A946,Skills!$A:$C,3,FALSE()),"Haxil Dellhaven"))</f>
        <v/>
      </c>
      <c r="F946" s="43" t="str">
        <f aca="false">IF($A946="","",IFERROR(IF(VLOOKUP($A946,Skills!$A:$D,4,FALSE())="","",VLOOKUP($A946,Skills!$A:$D,4,FALSE())),"Lisbonne"))</f>
        <v/>
      </c>
      <c r="G946" s="47"/>
      <c r="H946" s="47" t="str">
        <f aca="false">IF(G946="","",WORKDAY(G946-1,D946+IF(J946="",0,J946)))</f>
        <v/>
      </c>
      <c r="I946" s="134"/>
      <c r="J946" s="135"/>
      <c r="K946" s="43" t="str">
        <f aca="true">IF(G946="","",MIN(D946,MAX(0,NETWORKDAYS(G946,TODAY())-IF(J946="",0,J946))))</f>
        <v/>
      </c>
      <c r="L946" s="43" t="str">
        <f aca="true">IF(G946="","",MAX(0,D946-(NETWORKDAYS(G946,TODAY())-IF(J946="",0,J946))))</f>
        <v/>
      </c>
      <c r="M946" s="173"/>
      <c r="N946" s="44" t="str">
        <f aca="true">IFERROR(IF(OR(K946="",K946&lt;=0),"",IF(TODAY()&gt;H946,1,IF(K946-1=0,0,INDEX(OBJECTIVES!$O$2:$Q$12,MATCH(K946-1,OBJECTIVES!$N$2:$N$12,0),IF($C946="QUILL FORMATION Valmont",2,1))))),"")</f>
        <v/>
      </c>
      <c r="O946" s="44" t="str">
        <f aca="false">IF(OR(N946="",M946=""),"",M946-N946)</f>
        <v/>
      </c>
      <c r="P946" s="155" t="str">
        <f aca="false">IF($Q946&lt;&gt;"",$Q946,IF(O946="","",IF(O946&lt;=-0.12,"P1",IF(O946&lt;=-0.06,"P2","P3"))))</f>
        <v/>
      </c>
      <c r="Q946" s="136"/>
      <c r="R946" s="155"/>
      <c r="S946" s="155"/>
      <c r="T946" s="134"/>
      <c r="U946" s="134"/>
      <c r="V946" s="134"/>
      <c r="W946" s="134"/>
      <c r="X946" s="134"/>
      <c r="Y946" s="134"/>
      <c r="Z946" s="134" t="str">
        <f aca="false">IF(R946="Terminé",IF(AND(G946&lt;&gt;"",I946&lt;&gt;""),NETWORKDAYS(G946,I946),D946),"")</f>
        <v/>
      </c>
      <c r="AA946" s="134" t="str">
        <f aca="false">IF($A946="","",IF(COUNTIF(Skills!$A:$A,$A946)=0,"⚠ ID absent du roster",""))</f>
        <v/>
      </c>
      <c r="AB946" s="158"/>
    </row>
    <row r="947" customFormat="false" ht="15" hidden="true" customHeight="false" outlineLevel="0" collapsed="false">
      <c r="A947" s="172"/>
      <c r="B947" s="172"/>
      <c r="C947" s="161" t="str">
        <f aca="false">IF(LEFT(B947,2)="OS","QUILL FORMATION Valmont","QUILL FORMATION Ulman")</f>
        <v>QUILL FORMATION Ulman</v>
      </c>
      <c r="D947" s="43" t="str">
        <f aca="false">IF($A947="","",IF($C947="QUILL FORMATION Valmont",10,11))</f>
        <v/>
      </c>
      <c r="E947" s="151" t="str">
        <f aca="false">IF($A947="","",IFERROR(VLOOKUP($A947,Skills!$A:$C,2,FALSE())&amp;" "&amp;VLOOKUP($A947,Skills!$A:$C,3,FALSE()),"Haxil Dellhaven"))</f>
        <v/>
      </c>
      <c r="F947" s="43" t="str">
        <f aca="false">IF($A947="","",IFERROR(IF(VLOOKUP($A947,Skills!$A:$D,4,FALSE())="","",VLOOKUP($A947,Skills!$A:$D,4,FALSE())),"Lisbonne"))</f>
        <v/>
      </c>
      <c r="G947" s="47"/>
      <c r="H947" s="47" t="str">
        <f aca="false">IF(G947="","",WORKDAY(G947-1,D947+IF(J947="",0,J947)))</f>
        <v/>
      </c>
      <c r="I947" s="134"/>
      <c r="J947" s="135"/>
      <c r="K947" s="43" t="str">
        <f aca="true">IF(G947="","",MIN(D947,MAX(0,NETWORKDAYS(G947,TODAY())-IF(J947="",0,J947))))</f>
        <v/>
      </c>
      <c r="L947" s="43" t="str">
        <f aca="true">IF(G947="","",MAX(0,D947-(NETWORKDAYS(G947,TODAY())-IF(J947="",0,J947))))</f>
        <v/>
      </c>
      <c r="M947" s="173"/>
      <c r="N947" s="44" t="str">
        <f aca="true">IFERROR(IF(OR(K947="",K947&lt;=0),"",IF(TODAY()&gt;H947,1,IF(K947-1=0,0,INDEX(OBJECTIVES!$O$2:$Q$12,MATCH(K947-1,OBJECTIVES!$N$2:$N$12,0),IF($C947="QUILL FORMATION Valmont",2,1))))),"")</f>
        <v/>
      </c>
      <c r="O947" s="44" t="str">
        <f aca="false">IF(OR(N947="",M947=""),"",M947-N947)</f>
        <v/>
      </c>
      <c r="P947" s="155" t="str">
        <f aca="false">IF($Q947&lt;&gt;"",$Q947,IF(O947="","",IF(O947&lt;=-0.12,"P1",IF(O947&lt;=-0.06,"P2","P3"))))</f>
        <v/>
      </c>
      <c r="Q947" s="136"/>
      <c r="R947" s="155"/>
      <c r="S947" s="155"/>
      <c r="T947" s="134"/>
      <c r="U947" s="134"/>
      <c r="V947" s="134"/>
      <c r="W947" s="134"/>
      <c r="X947" s="134"/>
      <c r="Y947" s="134"/>
      <c r="Z947" s="134" t="str">
        <f aca="false">IF(R947="Terminé",IF(AND(G947&lt;&gt;"",I947&lt;&gt;""),NETWORKDAYS(G947,I947),D947),"")</f>
        <v/>
      </c>
      <c r="AA947" s="134" t="str">
        <f aca="false">IF($A947="","",IF(COUNTIF(Skills!$A:$A,$A947)=0,"⚠ ID absent du roster",""))</f>
        <v/>
      </c>
      <c r="AB947" s="158"/>
    </row>
    <row r="948" customFormat="false" ht="15" hidden="true" customHeight="false" outlineLevel="0" collapsed="false">
      <c r="A948" s="172"/>
      <c r="B948" s="172"/>
      <c r="C948" s="161" t="str">
        <f aca="false">IF(LEFT(B948,2)="OS","QUILL FORMATION Valmont","QUILL FORMATION Ulman")</f>
        <v>QUILL FORMATION Ulman</v>
      </c>
      <c r="D948" s="43" t="str">
        <f aca="false">IF($A948="","",IF($C948="QUILL FORMATION Valmont",10,11))</f>
        <v/>
      </c>
      <c r="E948" s="151" t="str">
        <f aca="false">IF($A948="","",IFERROR(VLOOKUP($A948,Skills!$A:$C,2,FALSE())&amp;" "&amp;VLOOKUP($A948,Skills!$A:$C,3,FALSE()),"Haxil Dellhaven"))</f>
        <v/>
      </c>
      <c r="F948" s="43" t="str">
        <f aca="false">IF($A948="","",IFERROR(IF(VLOOKUP($A948,Skills!$A:$D,4,FALSE())="","",VLOOKUP($A948,Skills!$A:$D,4,FALSE())),"Lisbonne"))</f>
        <v/>
      </c>
      <c r="G948" s="47"/>
      <c r="H948" s="47" t="str">
        <f aca="false">IF(G948="","",WORKDAY(G948-1,D948+IF(J948="",0,J948)))</f>
        <v/>
      </c>
      <c r="I948" s="134"/>
      <c r="J948" s="135"/>
      <c r="K948" s="43" t="str">
        <f aca="true">IF(G948="","",MIN(D948,MAX(0,NETWORKDAYS(G948,TODAY())-IF(J948="",0,J948))))</f>
        <v/>
      </c>
      <c r="L948" s="43" t="str">
        <f aca="true">IF(G948="","",MAX(0,D948-(NETWORKDAYS(G948,TODAY())-IF(J948="",0,J948))))</f>
        <v/>
      </c>
      <c r="M948" s="173"/>
      <c r="N948" s="44" t="str">
        <f aca="true">IFERROR(IF(OR(K948="",K948&lt;=0),"",IF(TODAY()&gt;H948,1,IF(K948-1=0,0,INDEX(OBJECTIVES!$O$2:$Q$12,MATCH(K948-1,OBJECTIVES!$N$2:$N$12,0),IF($C948="QUILL FORMATION Valmont",2,1))))),"")</f>
        <v/>
      </c>
      <c r="O948" s="44" t="str">
        <f aca="false">IF(OR(N948="",M948=""),"",M948-N948)</f>
        <v/>
      </c>
      <c r="P948" s="155" t="str">
        <f aca="false">IF($Q948&lt;&gt;"",$Q948,IF(O948="","",IF(O948&lt;=-0.12,"P1",IF(O948&lt;=-0.06,"P2","P3"))))</f>
        <v/>
      </c>
      <c r="Q948" s="136"/>
      <c r="R948" s="155"/>
      <c r="S948" s="155"/>
      <c r="T948" s="134"/>
      <c r="U948" s="134"/>
      <c r="V948" s="134"/>
      <c r="W948" s="134"/>
      <c r="X948" s="134"/>
      <c r="Y948" s="134"/>
      <c r="Z948" s="134" t="str">
        <f aca="false">IF(R948="Terminé",IF(AND(G948&lt;&gt;"",I948&lt;&gt;""),NETWORKDAYS(G948,I948),D948),"")</f>
        <v/>
      </c>
      <c r="AA948" s="134" t="str">
        <f aca="false">IF($A948="","",IF(COUNTIF(Skills!$A:$A,$A948)=0,"⚠ ID absent du roster",""))</f>
        <v/>
      </c>
      <c r="AB948" s="158"/>
    </row>
    <row r="949" customFormat="false" ht="15" hidden="true" customHeight="false" outlineLevel="0" collapsed="false">
      <c r="A949" s="172"/>
      <c r="B949" s="172"/>
      <c r="C949" s="161" t="str">
        <f aca="false">IF(LEFT(B949,2)="OS","QUILL FORMATION Valmont","QUILL FORMATION Ulman")</f>
        <v>QUILL FORMATION Ulman</v>
      </c>
      <c r="D949" s="43" t="str">
        <f aca="false">IF($A949="","",IF($C949="QUILL FORMATION Valmont",10,11))</f>
        <v/>
      </c>
      <c r="E949" s="151" t="str">
        <f aca="false">IF($A949="","",IFERROR(VLOOKUP($A949,Skills!$A:$C,2,FALSE())&amp;" "&amp;VLOOKUP($A949,Skills!$A:$C,3,FALSE()),"Haxil Dellhaven"))</f>
        <v/>
      </c>
      <c r="F949" s="43" t="str">
        <f aca="false">IF($A949="","",IFERROR(IF(VLOOKUP($A949,Skills!$A:$D,4,FALSE())="","",VLOOKUP($A949,Skills!$A:$D,4,FALSE())),"Lisbonne"))</f>
        <v/>
      </c>
      <c r="G949" s="47"/>
      <c r="H949" s="47" t="str">
        <f aca="false">IF(G949="","",WORKDAY(G949-1,D949+IF(J949="",0,J949)))</f>
        <v/>
      </c>
      <c r="I949" s="134"/>
      <c r="J949" s="135"/>
      <c r="K949" s="43" t="str">
        <f aca="true">IF(G949="","",MIN(D949,MAX(0,NETWORKDAYS(G949,TODAY())-IF(J949="",0,J949))))</f>
        <v/>
      </c>
      <c r="L949" s="43" t="str">
        <f aca="true">IF(G949="","",MAX(0,D949-(NETWORKDAYS(G949,TODAY())-IF(J949="",0,J949))))</f>
        <v/>
      </c>
      <c r="M949" s="173"/>
      <c r="N949" s="44" t="str">
        <f aca="true">IFERROR(IF(OR(K949="",K949&lt;=0),"",IF(TODAY()&gt;H949,1,IF(K949-1=0,0,INDEX(OBJECTIVES!$O$2:$Q$12,MATCH(K949-1,OBJECTIVES!$N$2:$N$12,0),IF($C949="QUILL FORMATION Valmont",2,1))))),"")</f>
        <v/>
      </c>
      <c r="O949" s="44" t="str">
        <f aca="false">IF(OR(N949="",M949=""),"",M949-N949)</f>
        <v/>
      </c>
      <c r="P949" s="155" t="str">
        <f aca="false">IF($Q949&lt;&gt;"",$Q949,IF(O949="","",IF(O949&lt;=-0.12,"P1",IF(O949&lt;=-0.06,"P2","P3"))))</f>
        <v/>
      </c>
      <c r="Q949" s="136"/>
      <c r="R949" s="155"/>
      <c r="S949" s="155"/>
      <c r="T949" s="134"/>
      <c r="U949" s="134"/>
      <c r="V949" s="134"/>
      <c r="W949" s="134"/>
      <c r="X949" s="134"/>
      <c r="Y949" s="134"/>
      <c r="Z949" s="134" t="str">
        <f aca="false">IF(R949="Terminé",IF(AND(G949&lt;&gt;"",I949&lt;&gt;""),NETWORKDAYS(G949,I949),D949),"")</f>
        <v/>
      </c>
      <c r="AA949" s="134" t="str">
        <f aca="false">IF($A949="","",IF(COUNTIF(Skills!$A:$A,$A949)=0,"⚠ ID absent du roster",""))</f>
        <v/>
      </c>
      <c r="AB949" s="158"/>
    </row>
    <row r="950" customFormat="false" ht="15" hidden="true" customHeight="false" outlineLevel="0" collapsed="false">
      <c r="A950" s="172"/>
      <c r="B950" s="172"/>
      <c r="C950" s="161" t="str">
        <f aca="false">IF(LEFT(B950,2)="OS","QUILL FORMATION Valmont","QUILL FORMATION Ulman")</f>
        <v>QUILL FORMATION Ulman</v>
      </c>
      <c r="D950" s="43" t="str">
        <f aca="false">IF($A950="","",IF($C950="QUILL FORMATION Valmont",10,11))</f>
        <v/>
      </c>
      <c r="E950" s="151" t="str">
        <f aca="false">IF($A950="","",IFERROR(VLOOKUP($A950,Skills!$A:$C,2,FALSE())&amp;" "&amp;VLOOKUP($A950,Skills!$A:$C,3,FALSE()),"Haxil Dellhaven"))</f>
        <v/>
      </c>
      <c r="F950" s="43" t="str">
        <f aca="false">IF($A950="","",IFERROR(IF(VLOOKUP($A950,Skills!$A:$D,4,FALSE())="","",VLOOKUP($A950,Skills!$A:$D,4,FALSE())),"Lisbonne"))</f>
        <v/>
      </c>
      <c r="G950" s="47"/>
      <c r="H950" s="47" t="str">
        <f aca="false">IF(G950="","",WORKDAY(G950-1,D950+IF(J950="",0,J950)))</f>
        <v/>
      </c>
      <c r="I950" s="134"/>
      <c r="J950" s="135"/>
      <c r="K950" s="43" t="str">
        <f aca="true">IF(G950="","",MIN(D950,MAX(0,NETWORKDAYS(G950,TODAY())-IF(J950="",0,J950))))</f>
        <v/>
      </c>
      <c r="L950" s="43" t="str">
        <f aca="true">IF(G950="","",MAX(0,D950-(NETWORKDAYS(G950,TODAY())-IF(J950="",0,J950))))</f>
        <v/>
      </c>
      <c r="M950" s="173"/>
      <c r="N950" s="44" t="str">
        <f aca="true">IFERROR(IF(OR(K950="",K950&lt;=0),"",IF(TODAY()&gt;H950,1,IF(K950-1=0,0,INDEX(OBJECTIVES!$O$2:$Q$12,MATCH(K950-1,OBJECTIVES!$N$2:$N$12,0),IF($C950="QUILL FORMATION Valmont",2,1))))),"")</f>
        <v/>
      </c>
      <c r="O950" s="44" t="str">
        <f aca="false">IF(OR(N950="",M950=""),"",M950-N950)</f>
        <v/>
      </c>
      <c r="P950" s="155" t="str">
        <f aca="false">IF($Q950&lt;&gt;"",$Q950,IF(O950="","",IF(O950&lt;=-0.12,"P1",IF(O950&lt;=-0.06,"P2","P3"))))</f>
        <v/>
      </c>
      <c r="Q950" s="136"/>
      <c r="R950" s="155"/>
      <c r="S950" s="155"/>
      <c r="T950" s="134"/>
      <c r="U950" s="134"/>
      <c r="V950" s="134"/>
      <c r="W950" s="134"/>
      <c r="X950" s="134"/>
      <c r="Y950" s="134"/>
      <c r="Z950" s="134" t="str">
        <f aca="false">IF(R950="Terminé",IF(AND(G950&lt;&gt;"",I950&lt;&gt;""),NETWORKDAYS(G950,I950),D950),"")</f>
        <v/>
      </c>
      <c r="AA950" s="134" t="str">
        <f aca="false">IF($A950="","",IF(COUNTIF(Skills!$A:$A,$A950)=0,"⚠ ID absent du roster",""))</f>
        <v/>
      </c>
      <c r="AB950" s="158"/>
    </row>
    <row r="951" customFormat="false" ht="15" hidden="true" customHeight="false" outlineLevel="0" collapsed="false">
      <c r="A951" s="172"/>
      <c r="B951" s="172"/>
      <c r="C951" s="161" t="str">
        <f aca="false">IF(LEFT(B951,2)="OS","QUILL FORMATION Valmont","QUILL FORMATION Ulman")</f>
        <v>QUILL FORMATION Ulman</v>
      </c>
      <c r="D951" s="43" t="str">
        <f aca="false">IF($A951="","",IF($C951="QUILL FORMATION Valmont",10,11))</f>
        <v/>
      </c>
      <c r="E951" s="151" t="str">
        <f aca="false">IF($A951="","",IFERROR(VLOOKUP($A951,Skills!$A:$C,2,FALSE())&amp;" "&amp;VLOOKUP($A951,Skills!$A:$C,3,FALSE()),"Haxil Dellhaven"))</f>
        <v/>
      </c>
      <c r="F951" s="43" t="str">
        <f aca="false">IF($A951="","",IFERROR(IF(VLOOKUP($A951,Skills!$A:$D,4,FALSE())="","",VLOOKUP($A951,Skills!$A:$D,4,FALSE())),"Lisbonne"))</f>
        <v/>
      </c>
      <c r="G951" s="47"/>
      <c r="H951" s="47" t="str">
        <f aca="false">IF(G951="","",WORKDAY(G951-1,D951+IF(J951="",0,J951)))</f>
        <v/>
      </c>
      <c r="I951" s="134"/>
      <c r="J951" s="135"/>
      <c r="K951" s="43" t="str">
        <f aca="true">IF(G951="","",MIN(D951,MAX(0,NETWORKDAYS(G951,TODAY())-IF(J951="",0,J951))))</f>
        <v/>
      </c>
      <c r="L951" s="43" t="str">
        <f aca="true">IF(G951="","",MAX(0,D951-(NETWORKDAYS(G951,TODAY())-IF(J951="",0,J951))))</f>
        <v/>
      </c>
      <c r="M951" s="173"/>
      <c r="N951" s="44" t="str">
        <f aca="true">IFERROR(IF(OR(K951="",K951&lt;=0),"",IF(TODAY()&gt;H951,1,IF(K951-1=0,0,INDEX(OBJECTIVES!$O$2:$Q$12,MATCH(K951-1,OBJECTIVES!$N$2:$N$12,0),IF($C951="QUILL FORMATION Valmont",2,1))))),"")</f>
        <v/>
      </c>
      <c r="O951" s="44" t="str">
        <f aca="false">IF(OR(N951="",M951=""),"",M951-N951)</f>
        <v/>
      </c>
      <c r="P951" s="155" t="str">
        <f aca="false">IF($Q951&lt;&gt;"",$Q951,IF(O951="","",IF(O951&lt;=-0.12,"P1",IF(O951&lt;=-0.06,"P2","P3"))))</f>
        <v/>
      </c>
      <c r="Q951" s="136"/>
      <c r="R951" s="155"/>
      <c r="S951" s="155"/>
      <c r="T951" s="134"/>
      <c r="U951" s="134"/>
      <c r="V951" s="134"/>
      <c r="W951" s="134"/>
      <c r="X951" s="134"/>
      <c r="Y951" s="134"/>
      <c r="Z951" s="134" t="str">
        <f aca="false">IF(R951="Terminé",IF(AND(G951&lt;&gt;"",I951&lt;&gt;""),NETWORKDAYS(G951,I951),D951),"")</f>
        <v/>
      </c>
      <c r="AA951" s="134" t="str">
        <f aca="false">IF($A951="","",IF(COUNTIF(Skills!$A:$A,$A951)=0,"⚠ ID absent du roster",""))</f>
        <v/>
      </c>
      <c r="AB951" s="158"/>
    </row>
    <row r="952" customFormat="false" ht="15" hidden="true" customHeight="false" outlineLevel="0" collapsed="false">
      <c r="A952" s="172"/>
      <c r="B952" s="172"/>
      <c r="C952" s="161" t="str">
        <f aca="false">IF(LEFT(B952,2)="OS","QUILL FORMATION Valmont","QUILL FORMATION Ulman")</f>
        <v>QUILL FORMATION Ulman</v>
      </c>
      <c r="D952" s="43" t="str">
        <f aca="false">IF($A952="","",IF($C952="QUILL FORMATION Valmont",10,11))</f>
        <v/>
      </c>
      <c r="E952" s="151" t="str">
        <f aca="false">IF($A952="","",IFERROR(VLOOKUP($A952,Skills!$A:$C,2,FALSE())&amp;" "&amp;VLOOKUP($A952,Skills!$A:$C,3,FALSE()),"Haxil Dellhaven"))</f>
        <v/>
      </c>
      <c r="F952" s="43" t="str">
        <f aca="false">IF($A952="","",IFERROR(IF(VLOOKUP($A952,Skills!$A:$D,4,FALSE())="","",VLOOKUP($A952,Skills!$A:$D,4,FALSE())),"Lisbonne"))</f>
        <v/>
      </c>
      <c r="G952" s="47"/>
      <c r="H952" s="47" t="str">
        <f aca="false">IF(G952="","",WORKDAY(G952-1,D952+IF(J952="",0,J952)))</f>
        <v/>
      </c>
      <c r="I952" s="134"/>
      <c r="J952" s="135"/>
      <c r="K952" s="43" t="str">
        <f aca="true">IF(G952="","",MIN(D952,MAX(0,NETWORKDAYS(G952,TODAY())-IF(J952="",0,J952))))</f>
        <v/>
      </c>
      <c r="L952" s="43" t="str">
        <f aca="true">IF(G952="","",MAX(0,D952-(NETWORKDAYS(G952,TODAY())-IF(J952="",0,J952))))</f>
        <v/>
      </c>
      <c r="M952" s="173"/>
      <c r="N952" s="44" t="str">
        <f aca="true">IFERROR(IF(OR(K952="",K952&lt;=0),"",IF(TODAY()&gt;H952,1,IF(K952-1=0,0,INDEX(OBJECTIVES!$O$2:$Q$12,MATCH(K952-1,OBJECTIVES!$N$2:$N$12,0),IF($C952="QUILL FORMATION Valmont",2,1))))),"")</f>
        <v/>
      </c>
      <c r="O952" s="44" t="str">
        <f aca="false">IF(OR(N952="",M952=""),"",M952-N952)</f>
        <v/>
      </c>
      <c r="P952" s="155" t="str">
        <f aca="false">IF($Q952&lt;&gt;"",$Q952,IF(O952="","",IF(O952&lt;=-0.12,"P1",IF(O952&lt;=-0.06,"P2","P3"))))</f>
        <v/>
      </c>
      <c r="Q952" s="136"/>
      <c r="R952" s="155"/>
      <c r="S952" s="155"/>
      <c r="T952" s="134"/>
      <c r="U952" s="134"/>
      <c r="V952" s="134"/>
      <c r="W952" s="134"/>
      <c r="X952" s="134"/>
      <c r="Y952" s="134"/>
      <c r="Z952" s="134" t="str">
        <f aca="false">IF(R952="Terminé",IF(AND(G952&lt;&gt;"",I952&lt;&gt;""),NETWORKDAYS(G952,I952),D952),"")</f>
        <v/>
      </c>
      <c r="AA952" s="134" t="str">
        <f aca="false">IF($A952="","",IF(COUNTIF(Skills!$A:$A,$A952)=0,"⚠ ID absent du roster",""))</f>
        <v/>
      </c>
      <c r="AB952" s="158"/>
    </row>
    <row r="953" customFormat="false" ht="15" hidden="true" customHeight="false" outlineLevel="0" collapsed="false">
      <c r="A953" s="172"/>
      <c r="B953" s="172"/>
      <c r="C953" s="161" t="str">
        <f aca="false">IF(LEFT(B953,2)="OS","QUILL FORMATION Valmont","QUILL FORMATION Ulman")</f>
        <v>QUILL FORMATION Ulman</v>
      </c>
      <c r="D953" s="43" t="str">
        <f aca="false">IF($A953="","",IF($C953="QUILL FORMATION Valmont",10,11))</f>
        <v/>
      </c>
      <c r="E953" s="151" t="str">
        <f aca="false">IF($A953="","",IFERROR(VLOOKUP($A953,Skills!$A:$C,2,FALSE())&amp;" "&amp;VLOOKUP($A953,Skills!$A:$C,3,FALSE()),"Haxil Dellhaven"))</f>
        <v/>
      </c>
      <c r="F953" s="43" t="str">
        <f aca="false">IF($A953="","",IFERROR(IF(VLOOKUP($A953,Skills!$A:$D,4,FALSE())="","",VLOOKUP($A953,Skills!$A:$D,4,FALSE())),"Lisbonne"))</f>
        <v/>
      </c>
      <c r="G953" s="47"/>
      <c r="H953" s="47" t="str">
        <f aca="false">IF(G953="","",WORKDAY(G953-1,D953+IF(J953="",0,J953)))</f>
        <v/>
      </c>
      <c r="I953" s="134"/>
      <c r="J953" s="135"/>
      <c r="K953" s="43" t="str">
        <f aca="true">IF(G953="","",MIN(D953,MAX(0,NETWORKDAYS(G953,TODAY())-IF(J953="",0,J953))))</f>
        <v/>
      </c>
      <c r="L953" s="43" t="str">
        <f aca="true">IF(G953="","",MAX(0,D953-(NETWORKDAYS(G953,TODAY())-IF(J953="",0,J953))))</f>
        <v/>
      </c>
      <c r="M953" s="173"/>
      <c r="N953" s="44" t="str">
        <f aca="true">IFERROR(IF(OR(K953="",K953&lt;=0),"",IF(TODAY()&gt;H953,1,IF(K953-1=0,0,INDEX(OBJECTIVES!$O$2:$Q$12,MATCH(K953-1,OBJECTIVES!$N$2:$N$12,0),IF($C953="QUILL FORMATION Valmont",2,1))))),"")</f>
        <v/>
      </c>
      <c r="O953" s="44" t="str">
        <f aca="false">IF(OR(N953="",M953=""),"",M953-N953)</f>
        <v/>
      </c>
      <c r="P953" s="155" t="str">
        <f aca="false">IF($Q953&lt;&gt;"",$Q953,IF(O953="","",IF(O953&lt;=-0.12,"P1",IF(O953&lt;=-0.06,"P2","P3"))))</f>
        <v/>
      </c>
      <c r="Q953" s="136"/>
      <c r="R953" s="155"/>
      <c r="S953" s="155"/>
      <c r="T953" s="134"/>
      <c r="U953" s="134"/>
      <c r="V953" s="134"/>
      <c r="W953" s="134"/>
      <c r="X953" s="134"/>
      <c r="Y953" s="134"/>
      <c r="Z953" s="134" t="str">
        <f aca="false">IF(R953="Terminé",IF(AND(G953&lt;&gt;"",I953&lt;&gt;""),NETWORKDAYS(G953,I953),D953),"")</f>
        <v/>
      </c>
      <c r="AA953" s="134" t="str">
        <f aca="false">IF($A953="","",IF(COUNTIF(Skills!$A:$A,$A953)=0,"⚠ ID absent du roster",""))</f>
        <v/>
      </c>
      <c r="AB953" s="158"/>
    </row>
    <row r="954" customFormat="false" ht="15" hidden="true" customHeight="false" outlineLevel="0" collapsed="false">
      <c r="A954" s="172"/>
      <c r="B954" s="172"/>
      <c r="C954" s="161" t="str">
        <f aca="false">IF(LEFT(B954,2)="OS","QUILL FORMATION Valmont","QUILL FORMATION Ulman")</f>
        <v>QUILL FORMATION Ulman</v>
      </c>
      <c r="D954" s="43" t="str">
        <f aca="false">IF($A954="","",IF($C954="QUILL FORMATION Valmont",10,11))</f>
        <v/>
      </c>
      <c r="E954" s="151" t="str">
        <f aca="false">IF($A954="","",IFERROR(VLOOKUP($A954,Skills!$A:$C,2,FALSE())&amp;" "&amp;VLOOKUP($A954,Skills!$A:$C,3,FALSE()),"Haxil Dellhaven"))</f>
        <v/>
      </c>
      <c r="F954" s="43" t="str">
        <f aca="false">IF($A954="","",IFERROR(IF(VLOOKUP($A954,Skills!$A:$D,4,FALSE())="","",VLOOKUP($A954,Skills!$A:$D,4,FALSE())),"Lisbonne"))</f>
        <v/>
      </c>
      <c r="G954" s="47"/>
      <c r="H954" s="47" t="str">
        <f aca="false">IF(G954="","",WORKDAY(G954-1,D954+IF(J954="",0,J954)))</f>
        <v/>
      </c>
      <c r="I954" s="134"/>
      <c r="J954" s="135"/>
      <c r="K954" s="43" t="str">
        <f aca="true">IF(G954="","",MIN(D954,MAX(0,NETWORKDAYS(G954,TODAY())-IF(J954="",0,J954))))</f>
        <v/>
      </c>
      <c r="L954" s="43" t="str">
        <f aca="true">IF(G954="","",MAX(0,D954-(NETWORKDAYS(G954,TODAY())-IF(J954="",0,J954))))</f>
        <v/>
      </c>
      <c r="M954" s="173"/>
      <c r="N954" s="44" t="str">
        <f aca="true">IFERROR(IF(OR(K954="",K954&lt;=0),"",IF(TODAY()&gt;H954,1,IF(K954-1=0,0,INDEX(OBJECTIVES!$O$2:$Q$12,MATCH(K954-1,OBJECTIVES!$N$2:$N$12,0),IF($C954="QUILL FORMATION Valmont",2,1))))),"")</f>
        <v/>
      </c>
      <c r="O954" s="44" t="str">
        <f aca="false">IF(OR(N954="",M954=""),"",M954-N954)</f>
        <v/>
      </c>
      <c r="P954" s="155" t="str">
        <f aca="false">IF($Q954&lt;&gt;"",$Q954,IF(O954="","",IF(O954&lt;=-0.12,"P1",IF(O954&lt;=-0.06,"P2","P3"))))</f>
        <v/>
      </c>
      <c r="Q954" s="136"/>
      <c r="R954" s="155"/>
      <c r="S954" s="155"/>
      <c r="T954" s="134"/>
      <c r="U954" s="134"/>
      <c r="V954" s="134"/>
      <c r="W954" s="134"/>
      <c r="X954" s="134"/>
      <c r="Y954" s="134"/>
      <c r="Z954" s="134" t="str">
        <f aca="false">IF(R954="Terminé",IF(AND(G954&lt;&gt;"",I954&lt;&gt;""),NETWORKDAYS(G954,I954),D954),"")</f>
        <v/>
      </c>
      <c r="AA954" s="134" t="str">
        <f aca="false">IF($A954="","",IF(COUNTIF(Skills!$A:$A,$A954)=0,"⚠ ID absent du roster",""))</f>
        <v/>
      </c>
      <c r="AB954" s="158"/>
    </row>
    <row r="955" customFormat="false" ht="15" hidden="true" customHeight="false" outlineLevel="0" collapsed="false">
      <c r="A955" s="172"/>
      <c r="B955" s="172"/>
      <c r="C955" s="161" t="str">
        <f aca="false">IF(LEFT(B955,2)="OS","QUILL FORMATION Valmont","QUILL FORMATION Ulman")</f>
        <v>QUILL FORMATION Ulman</v>
      </c>
      <c r="D955" s="43" t="str">
        <f aca="false">IF($A955="","",IF($C955="QUILL FORMATION Valmont",10,11))</f>
        <v/>
      </c>
      <c r="E955" s="151" t="str">
        <f aca="false">IF($A955="","",IFERROR(VLOOKUP($A955,Skills!$A:$C,2,FALSE())&amp;" "&amp;VLOOKUP($A955,Skills!$A:$C,3,FALSE()),"Haxil Dellhaven"))</f>
        <v/>
      </c>
      <c r="F955" s="43" t="str">
        <f aca="false">IF($A955="","",IFERROR(IF(VLOOKUP($A955,Skills!$A:$D,4,FALSE())="","",VLOOKUP($A955,Skills!$A:$D,4,FALSE())),"Lisbonne"))</f>
        <v/>
      </c>
      <c r="G955" s="47"/>
      <c r="H955" s="47" t="str">
        <f aca="false">IF(G955="","",WORKDAY(G955-1,D955+IF(J955="",0,J955)))</f>
        <v/>
      </c>
      <c r="I955" s="134"/>
      <c r="J955" s="135"/>
      <c r="K955" s="43" t="str">
        <f aca="true">IF(G955="","",MIN(D955,MAX(0,NETWORKDAYS(G955,TODAY())-IF(J955="",0,J955))))</f>
        <v/>
      </c>
      <c r="L955" s="43" t="str">
        <f aca="true">IF(G955="","",MAX(0,D955-(NETWORKDAYS(G955,TODAY())-IF(J955="",0,J955))))</f>
        <v/>
      </c>
      <c r="M955" s="173"/>
      <c r="N955" s="44" t="str">
        <f aca="true">IFERROR(IF(OR(K955="",K955&lt;=0),"",IF(TODAY()&gt;H955,1,IF(K955-1=0,0,INDEX(OBJECTIVES!$O$2:$Q$12,MATCH(K955-1,OBJECTIVES!$N$2:$N$12,0),IF($C955="QUILL FORMATION Valmont",2,1))))),"")</f>
        <v/>
      </c>
      <c r="O955" s="44" t="str">
        <f aca="false">IF(OR(N955="",M955=""),"",M955-N955)</f>
        <v/>
      </c>
      <c r="P955" s="155" t="str">
        <f aca="false">IF($Q955&lt;&gt;"",$Q955,IF(O955="","",IF(O955&lt;=-0.12,"P1",IF(O955&lt;=-0.06,"P2","P3"))))</f>
        <v/>
      </c>
      <c r="Q955" s="136"/>
      <c r="R955" s="155"/>
      <c r="S955" s="155"/>
      <c r="T955" s="134"/>
      <c r="U955" s="134"/>
      <c r="V955" s="134"/>
      <c r="W955" s="134"/>
      <c r="X955" s="134"/>
      <c r="Y955" s="134"/>
      <c r="Z955" s="134" t="str">
        <f aca="false">IF(R955="Terminé",IF(AND(G955&lt;&gt;"",I955&lt;&gt;""),NETWORKDAYS(G955,I955),D955),"")</f>
        <v/>
      </c>
      <c r="AA955" s="134" t="str">
        <f aca="false">IF($A955="","",IF(COUNTIF(Skills!$A:$A,$A955)=0,"⚠ ID absent du roster",""))</f>
        <v/>
      </c>
      <c r="AB955" s="158"/>
    </row>
    <row r="956" customFormat="false" ht="15" hidden="true" customHeight="false" outlineLevel="0" collapsed="false">
      <c r="A956" s="172"/>
      <c r="B956" s="172"/>
      <c r="C956" s="161" t="str">
        <f aca="false">IF(LEFT(B956,2)="OS","QUILL FORMATION Valmont","QUILL FORMATION Ulman")</f>
        <v>QUILL FORMATION Ulman</v>
      </c>
      <c r="D956" s="43" t="str">
        <f aca="false">IF($A956="","",IF($C956="QUILL FORMATION Valmont",10,11))</f>
        <v/>
      </c>
      <c r="E956" s="151" t="str">
        <f aca="false">IF($A956="","",IFERROR(VLOOKUP($A956,Skills!$A:$C,2,FALSE())&amp;" "&amp;VLOOKUP($A956,Skills!$A:$C,3,FALSE()),"Haxil Dellhaven"))</f>
        <v/>
      </c>
      <c r="F956" s="43" t="str">
        <f aca="false">IF($A956="","",IFERROR(IF(VLOOKUP($A956,Skills!$A:$D,4,FALSE())="","",VLOOKUP($A956,Skills!$A:$D,4,FALSE())),"Lisbonne"))</f>
        <v/>
      </c>
      <c r="G956" s="47"/>
      <c r="H956" s="47" t="str">
        <f aca="false">IF(G956="","",WORKDAY(G956-1,D956+IF(J956="",0,J956)))</f>
        <v/>
      </c>
      <c r="I956" s="134"/>
      <c r="J956" s="135"/>
      <c r="K956" s="43" t="str">
        <f aca="true">IF(G956="","",MIN(D956,MAX(0,NETWORKDAYS(G956,TODAY())-IF(J956="",0,J956))))</f>
        <v/>
      </c>
      <c r="L956" s="43" t="str">
        <f aca="true">IF(G956="","",MAX(0,D956-(NETWORKDAYS(G956,TODAY())-IF(J956="",0,J956))))</f>
        <v/>
      </c>
      <c r="M956" s="173"/>
      <c r="N956" s="44" t="str">
        <f aca="true">IFERROR(IF(OR(K956="",K956&lt;=0),"",IF(TODAY()&gt;H956,1,IF(K956-1=0,0,INDEX(OBJECTIVES!$O$2:$Q$12,MATCH(K956-1,OBJECTIVES!$N$2:$N$12,0),IF($C956="QUILL FORMATION Valmont",2,1))))),"")</f>
        <v/>
      </c>
      <c r="O956" s="44" t="str">
        <f aca="false">IF(OR(N956="",M956=""),"",M956-N956)</f>
        <v/>
      </c>
      <c r="P956" s="155" t="str">
        <f aca="false">IF($Q956&lt;&gt;"",$Q956,IF(O956="","",IF(O956&lt;=-0.12,"P1",IF(O956&lt;=-0.06,"P2","P3"))))</f>
        <v/>
      </c>
      <c r="Q956" s="136"/>
      <c r="R956" s="155"/>
      <c r="S956" s="155"/>
      <c r="T956" s="134"/>
      <c r="U956" s="134"/>
      <c r="V956" s="134"/>
      <c r="W956" s="134"/>
      <c r="X956" s="134"/>
      <c r="Y956" s="134"/>
      <c r="Z956" s="134" t="str">
        <f aca="false">IF(R956="Terminé",IF(AND(G956&lt;&gt;"",I956&lt;&gt;""),NETWORKDAYS(G956,I956),D956),"")</f>
        <v/>
      </c>
      <c r="AA956" s="134" t="str">
        <f aca="false">IF($A956="","",IF(COUNTIF(Skills!$A:$A,$A956)=0,"⚠ ID absent du roster",""))</f>
        <v/>
      </c>
      <c r="AB956" s="158"/>
    </row>
    <row r="957" customFormat="false" ht="15" hidden="true" customHeight="false" outlineLevel="0" collapsed="false">
      <c r="A957" s="172"/>
      <c r="B957" s="172"/>
      <c r="C957" s="161" t="str">
        <f aca="false">IF(LEFT(B957,2)="OS","QUILL FORMATION Valmont","QUILL FORMATION Ulman")</f>
        <v>QUILL FORMATION Ulman</v>
      </c>
      <c r="D957" s="43" t="str">
        <f aca="false">IF($A957="","",IF($C957="QUILL FORMATION Valmont",10,11))</f>
        <v/>
      </c>
      <c r="E957" s="151" t="str">
        <f aca="false">IF($A957="","",IFERROR(VLOOKUP($A957,Skills!$A:$C,2,FALSE())&amp;" "&amp;VLOOKUP($A957,Skills!$A:$C,3,FALSE()),"Haxil Dellhaven"))</f>
        <v/>
      </c>
      <c r="F957" s="43" t="str">
        <f aca="false">IF($A957="","",IFERROR(IF(VLOOKUP($A957,Skills!$A:$D,4,FALSE())="","",VLOOKUP($A957,Skills!$A:$D,4,FALSE())),"Lisbonne"))</f>
        <v/>
      </c>
      <c r="G957" s="47"/>
      <c r="H957" s="47" t="str">
        <f aca="false">IF(G957="","",WORKDAY(G957-1,D957+IF(J957="",0,J957)))</f>
        <v/>
      </c>
      <c r="I957" s="134"/>
      <c r="J957" s="135"/>
      <c r="K957" s="43" t="str">
        <f aca="true">IF(G957="","",MIN(D957,MAX(0,NETWORKDAYS(G957,TODAY())-IF(J957="",0,J957))))</f>
        <v/>
      </c>
      <c r="L957" s="43" t="str">
        <f aca="true">IF(G957="","",MAX(0,D957-(NETWORKDAYS(G957,TODAY())-IF(J957="",0,J957))))</f>
        <v/>
      </c>
      <c r="M957" s="173"/>
      <c r="N957" s="44" t="str">
        <f aca="true">IFERROR(IF(OR(K957="",K957&lt;=0),"",IF(TODAY()&gt;H957,1,IF(K957-1=0,0,INDEX(OBJECTIVES!$O$2:$Q$12,MATCH(K957-1,OBJECTIVES!$N$2:$N$12,0),IF($C957="QUILL FORMATION Valmont",2,1))))),"")</f>
        <v/>
      </c>
      <c r="O957" s="44" t="str">
        <f aca="false">IF(OR(N957="",M957=""),"",M957-N957)</f>
        <v/>
      </c>
      <c r="P957" s="155" t="str">
        <f aca="false">IF($Q957&lt;&gt;"",$Q957,IF(O957="","",IF(O957&lt;=-0.12,"P1",IF(O957&lt;=-0.06,"P2","P3"))))</f>
        <v/>
      </c>
      <c r="Q957" s="136"/>
      <c r="R957" s="155"/>
      <c r="S957" s="155"/>
      <c r="T957" s="134"/>
      <c r="U957" s="134"/>
      <c r="V957" s="134"/>
      <c r="W957" s="134"/>
      <c r="X957" s="134"/>
      <c r="Y957" s="134"/>
      <c r="Z957" s="134" t="str">
        <f aca="false">IF(R957="Terminé",IF(AND(G957&lt;&gt;"",I957&lt;&gt;""),NETWORKDAYS(G957,I957),D957),"")</f>
        <v/>
      </c>
      <c r="AA957" s="134" t="str">
        <f aca="false">IF($A957="","",IF(COUNTIF(Skills!$A:$A,$A957)=0,"⚠ ID absent du roster",""))</f>
        <v/>
      </c>
      <c r="AB957" s="158"/>
    </row>
    <row r="958" customFormat="false" ht="15" hidden="true" customHeight="false" outlineLevel="0" collapsed="false">
      <c r="A958" s="172"/>
      <c r="B958" s="172"/>
      <c r="C958" s="161" t="str">
        <f aca="false">IF(LEFT(B958,2)="OS","QUILL FORMATION Valmont","QUILL FORMATION Ulman")</f>
        <v>QUILL FORMATION Ulman</v>
      </c>
      <c r="D958" s="43" t="str">
        <f aca="false">IF($A958="","",IF($C958="QUILL FORMATION Valmont",10,11))</f>
        <v/>
      </c>
      <c r="E958" s="151" t="str">
        <f aca="false">IF($A958="","",IFERROR(VLOOKUP($A958,Skills!$A:$C,2,FALSE())&amp;" "&amp;VLOOKUP($A958,Skills!$A:$C,3,FALSE()),"Haxil Dellhaven"))</f>
        <v/>
      </c>
      <c r="F958" s="43" t="str">
        <f aca="false">IF($A958="","",IFERROR(IF(VLOOKUP($A958,Skills!$A:$D,4,FALSE())="","",VLOOKUP($A958,Skills!$A:$D,4,FALSE())),"Lisbonne"))</f>
        <v/>
      </c>
      <c r="G958" s="47"/>
      <c r="H958" s="47" t="str">
        <f aca="false">IF(G958="","",WORKDAY(G958-1,D958+IF(J958="",0,J958)))</f>
        <v/>
      </c>
      <c r="I958" s="134"/>
      <c r="J958" s="135"/>
      <c r="K958" s="43" t="str">
        <f aca="true">IF(G958="","",MIN(D958,MAX(0,NETWORKDAYS(G958,TODAY())-IF(J958="",0,J958))))</f>
        <v/>
      </c>
      <c r="L958" s="43" t="str">
        <f aca="true">IF(G958="","",MAX(0,D958-(NETWORKDAYS(G958,TODAY())-IF(J958="",0,J958))))</f>
        <v/>
      </c>
      <c r="M958" s="173"/>
      <c r="N958" s="44" t="str">
        <f aca="true">IFERROR(IF(OR(K958="",K958&lt;=0),"",IF(TODAY()&gt;H958,1,IF(K958-1=0,0,INDEX(OBJECTIVES!$O$2:$Q$12,MATCH(K958-1,OBJECTIVES!$N$2:$N$12,0),IF($C958="QUILL FORMATION Valmont",2,1))))),"")</f>
        <v/>
      </c>
      <c r="O958" s="44" t="str">
        <f aca="false">IF(OR(N958="",M958=""),"",M958-N958)</f>
        <v/>
      </c>
      <c r="P958" s="155" t="str">
        <f aca="false">IF($Q958&lt;&gt;"",$Q958,IF(O958="","",IF(O958&lt;=-0.12,"P1",IF(O958&lt;=-0.06,"P2","P3"))))</f>
        <v/>
      </c>
      <c r="Q958" s="136"/>
      <c r="R958" s="155"/>
      <c r="S958" s="155"/>
      <c r="T958" s="134"/>
      <c r="U958" s="134"/>
      <c r="V958" s="134"/>
      <c r="W958" s="134"/>
      <c r="X958" s="134"/>
      <c r="Y958" s="134"/>
      <c r="Z958" s="134" t="str">
        <f aca="false">IF(R958="Terminé",IF(AND(G958&lt;&gt;"",I958&lt;&gt;""),NETWORKDAYS(G958,I958),D958),"")</f>
        <v/>
      </c>
      <c r="AA958" s="134" t="str">
        <f aca="false">IF($A958="","",IF(COUNTIF(Skills!$A:$A,$A958)=0,"⚠ ID absent du roster",""))</f>
        <v/>
      </c>
      <c r="AB958" s="158"/>
    </row>
    <row r="959" customFormat="false" ht="15" hidden="true" customHeight="false" outlineLevel="0" collapsed="false">
      <c r="A959" s="172"/>
      <c r="B959" s="172"/>
      <c r="C959" s="161" t="str">
        <f aca="false">IF(LEFT(B959,2)="OS","QUILL FORMATION Valmont","QUILL FORMATION Ulman")</f>
        <v>QUILL FORMATION Ulman</v>
      </c>
      <c r="D959" s="43" t="str">
        <f aca="false">IF($A959="","",IF($C959="QUILL FORMATION Valmont",10,11))</f>
        <v/>
      </c>
      <c r="E959" s="151" t="str">
        <f aca="false">IF($A959="","",IFERROR(VLOOKUP($A959,Skills!$A:$C,2,FALSE())&amp;" "&amp;VLOOKUP($A959,Skills!$A:$C,3,FALSE()),"Haxil Dellhaven"))</f>
        <v/>
      </c>
      <c r="F959" s="43" t="str">
        <f aca="false">IF($A959="","",IFERROR(IF(VLOOKUP($A959,Skills!$A:$D,4,FALSE())="","",VLOOKUP($A959,Skills!$A:$D,4,FALSE())),"Lisbonne"))</f>
        <v/>
      </c>
      <c r="G959" s="47"/>
      <c r="H959" s="47" t="str">
        <f aca="false">IF(G959="","",WORKDAY(G959-1,D959+IF(J959="",0,J959)))</f>
        <v/>
      </c>
      <c r="I959" s="134"/>
      <c r="J959" s="135"/>
      <c r="K959" s="43" t="str">
        <f aca="true">IF(G959="","",MIN(D959,MAX(0,NETWORKDAYS(G959,TODAY())-IF(J959="",0,J959))))</f>
        <v/>
      </c>
      <c r="L959" s="43" t="str">
        <f aca="true">IF(G959="","",MAX(0,D959-(NETWORKDAYS(G959,TODAY())-IF(J959="",0,J959))))</f>
        <v/>
      </c>
      <c r="M959" s="173"/>
      <c r="N959" s="44" t="str">
        <f aca="true">IFERROR(IF(OR(K959="",K959&lt;=0),"",IF(TODAY()&gt;H959,1,IF(K959-1=0,0,INDEX(OBJECTIVES!$O$2:$Q$12,MATCH(K959-1,OBJECTIVES!$N$2:$N$12,0),IF($C959="QUILL FORMATION Valmont",2,1))))),"")</f>
        <v/>
      </c>
      <c r="O959" s="44" t="str">
        <f aca="false">IF(OR(N959="",M959=""),"",M959-N959)</f>
        <v/>
      </c>
      <c r="P959" s="155" t="str">
        <f aca="false">IF($Q959&lt;&gt;"",$Q959,IF(O959="","",IF(O959&lt;=-0.12,"P1",IF(O959&lt;=-0.06,"P2","P3"))))</f>
        <v/>
      </c>
      <c r="Q959" s="136"/>
      <c r="R959" s="155"/>
      <c r="S959" s="155"/>
      <c r="T959" s="134"/>
      <c r="U959" s="134"/>
      <c r="V959" s="134"/>
      <c r="W959" s="134"/>
      <c r="X959" s="134"/>
      <c r="Y959" s="134"/>
      <c r="Z959" s="134" t="str">
        <f aca="false">IF(R959="Terminé",IF(AND(G959&lt;&gt;"",I959&lt;&gt;""),NETWORKDAYS(G959,I959),D959),"")</f>
        <v/>
      </c>
      <c r="AA959" s="134" t="str">
        <f aca="false">IF($A959="","",IF(COUNTIF(Skills!$A:$A,$A959)=0,"⚠ ID absent du roster",""))</f>
        <v/>
      </c>
      <c r="AB959" s="158"/>
    </row>
    <row r="960" customFormat="false" ht="15" hidden="true" customHeight="false" outlineLevel="0" collapsed="false">
      <c r="A960" s="172"/>
      <c r="B960" s="172"/>
      <c r="C960" s="161" t="str">
        <f aca="false">IF(LEFT(B960,2)="OS","QUILL FORMATION Valmont","QUILL FORMATION Ulman")</f>
        <v>QUILL FORMATION Ulman</v>
      </c>
      <c r="D960" s="43" t="str">
        <f aca="false">IF($A960="","",IF($C960="QUILL FORMATION Valmont",10,11))</f>
        <v/>
      </c>
      <c r="E960" s="151" t="str">
        <f aca="false">IF($A960="","",IFERROR(VLOOKUP($A960,Skills!$A:$C,2,FALSE())&amp;" "&amp;VLOOKUP($A960,Skills!$A:$C,3,FALSE()),"Haxil Dellhaven"))</f>
        <v/>
      </c>
      <c r="F960" s="43" t="str">
        <f aca="false">IF($A960="","",IFERROR(IF(VLOOKUP($A960,Skills!$A:$D,4,FALSE())="","",VLOOKUP($A960,Skills!$A:$D,4,FALSE())),"Lisbonne"))</f>
        <v/>
      </c>
      <c r="G960" s="47"/>
      <c r="H960" s="47" t="str">
        <f aca="false">IF(G960="","",WORKDAY(G960-1,D960+IF(J960="",0,J960)))</f>
        <v/>
      </c>
      <c r="I960" s="134"/>
      <c r="J960" s="135"/>
      <c r="K960" s="43" t="str">
        <f aca="true">IF(G960="","",MIN(D960,MAX(0,NETWORKDAYS(G960,TODAY())-IF(J960="",0,J960))))</f>
        <v/>
      </c>
      <c r="L960" s="43" t="str">
        <f aca="true">IF(G960="","",MAX(0,D960-(NETWORKDAYS(G960,TODAY())-IF(J960="",0,J960))))</f>
        <v/>
      </c>
      <c r="M960" s="173"/>
      <c r="N960" s="44" t="str">
        <f aca="true">IFERROR(IF(OR(K960="",K960&lt;=0),"",IF(TODAY()&gt;H960,1,IF(K960-1=0,0,INDEX(OBJECTIVES!$O$2:$Q$12,MATCH(K960-1,OBJECTIVES!$N$2:$N$12,0),IF($C960="QUILL FORMATION Valmont",2,1))))),"")</f>
        <v/>
      </c>
      <c r="O960" s="44" t="str">
        <f aca="false">IF(OR(N960="",M960=""),"",M960-N960)</f>
        <v/>
      </c>
      <c r="P960" s="155" t="str">
        <f aca="false">IF($Q960&lt;&gt;"",$Q960,IF(O960="","",IF(O960&lt;=-0.12,"P1",IF(O960&lt;=-0.06,"P2","P3"))))</f>
        <v/>
      </c>
      <c r="Q960" s="136"/>
      <c r="R960" s="155"/>
      <c r="S960" s="155"/>
      <c r="T960" s="134"/>
      <c r="U960" s="134"/>
      <c r="V960" s="134"/>
      <c r="W960" s="134"/>
      <c r="X960" s="134"/>
      <c r="Y960" s="134"/>
      <c r="Z960" s="134" t="str">
        <f aca="false">IF(R960="Terminé",IF(AND(G960&lt;&gt;"",I960&lt;&gt;""),NETWORKDAYS(G960,I960),D960),"")</f>
        <v/>
      </c>
      <c r="AA960" s="134" t="str">
        <f aca="false">IF($A960="","",IF(COUNTIF(Skills!$A:$A,$A960)=0,"⚠ ID absent du roster",""))</f>
        <v/>
      </c>
      <c r="AB960" s="158"/>
    </row>
    <row r="961" customFormat="false" ht="15" hidden="true" customHeight="false" outlineLevel="0" collapsed="false">
      <c r="A961" s="172"/>
      <c r="B961" s="172"/>
      <c r="C961" s="161" t="str">
        <f aca="false">IF(LEFT(B961,2)="OS","QUILL FORMATION Valmont","QUILL FORMATION Ulman")</f>
        <v>QUILL FORMATION Ulman</v>
      </c>
      <c r="D961" s="43" t="str">
        <f aca="false">IF($A961="","",IF($C961="QUILL FORMATION Valmont",10,11))</f>
        <v/>
      </c>
      <c r="E961" s="151" t="str">
        <f aca="false">IF($A961="","",IFERROR(VLOOKUP($A961,Skills!$A:$C,2,FALSE())&amp;" "&amp;VLOOKUP($A961,Skills!$A:$C,3,FALSE()),"Haxil Dellhaven"))</f>
        <v/>
      </c>
      <c r="F961" s="43" t="str">
        <f aca="false">IF($A961="","",IFERROR(IF(VLOOKUP($A961,Skills!$A:$D,4,FALSE())="","",VLOOKUP($A961,Skills!$A:$D,4,FALSE())),"Lisbonne"))</f>
        <v/>
      </c>
      <c r="G961" s="47"/>
      <c r="H961" s="47" t="str">
        <f aca="false">IF(G961="","",WORKDAY(G961-1,D961+IF(J961="",0,J961)))</f>
        <v/>
      </c>
      <c r="I961" s="134"/>
      <c r="J961" s="135"/>
      <c r="K961" s="43" t="str">
        <f aca="true">IF(G961="","",MIN(D961,MAX(0,NETWORKDAYS(G961,TODAY())-IF(J961="",0,J961))))</f>
        <v/>
      </c>
      <c r="L961" s="43" t="str">
        <f aca="true">IF(G961="","",MAX(0,D961-(NETWORKDAYS(G961,TODAY())-IF(J961="",0,J961))))</f>
        <v/>
      </c>
      <c r="M961" s="173"/>
      <c r="N961" s="44" t="str">
        <f aca="true">IFERROR(IF(OR(K961="",K961&lt;=0),"",IF(TODAY()&gt;H961,1,IF(K961-1=0,0,INDEX(OBJECTIVES!$O$2:$Q$12,MATCH(K961-1,OBJECTIVES!$N$2:$N$12,0),IF($C961="QUILL FORMATION Valmont",2,1))))),"")</f>
        <v/>
      </c>
      <c r="O961" s="44" t="str">
        <f aca="false">IF(OR(N961="",M961=""),"",M961-N961)</f>
        <v/>
      </c>
      <c r="P961" s="155" t="str">
        <f aca="false">IF($Q961&lt;&gt;"",$Q961,IF(O961="","",IF(O961&lt;=-0.12,"P1",IF(O961&lt;=-0.06,"P2","P3"))))</f>
        <v/>
      </c>
      <c r="Q961" s="136"/>
      <c r="R961" s="155"/>
      <c r="S961" s="155"/>
      <c r="T961" s="134"/>
      <c r="U961" s="134"/>
      <c r="V961" s="134"/>
      <c r="W961" s="134"/>
      <c r="X961" s="134"/>
      <c r="Y961" s="134"/>
      <c r="Z961" s="134" t="str">
        <f aca="false">IF(R961="Terminé",IF(AND(G961&lt;&gt;"",I961&lt;&gt;""),NETWORKDAYS(G961,I961),D961),"")</f>
        <v/>
      </c>
      <c r="AA961" s="134" t="str">
        <f aca="false">IF($A961="","",IF(COUNTIF(Skills!$A:$A,$A961)=0,"⚠ ID absent du roster",""))</f>
        <v/>
      </c>
      <c r="AB961" s="158"/>
    </row>
    <row r="962" customFormat="false" ht="15" hidden="true" customHeight="false" outlineLevel="0" collapsed="false">
      <c r="A962" s="172"/>
      <c r="B962" s="172"/>
      <c r="C962" s="161" t="str">
        <f aca="false">IF(LEFT(B962,2)="OS","QUILL FORMATION Valmont","QUILL FORMATION Ulman")</f>
        <v>QUILL FORMATION Ulman</v>
      </c>
      <c r="D962" s="43" t="str">
        <f aca="false">IF($A962="","",IF($C962="QUILL FORMATION Valmont",10,11))</f>
        <v/>
      </c>
      <c r="E962" s="151" t="str">
        <f aca="false">IF($A962="","",IFERROR(VLOOKUP($A962,Skills!$A:$C,2,FALSE())&amp;" "&amp;VLOOKUP($A962,Skills!$A:$C,3,FALSE()),"Haxil Dellhaven"))</f>
        <v/>
      </c>
      <c r="F962" s="43" t="str">
        <f aca="false">IF($A962="","",IFERROR(IF(VLOOKUP($A962,Skills!$A:$D,4,FALSE())="","",VLOOKUP($A962,Skills!$A:$D,4,FALSE())),"Lisbonne"))</f>
        <v/>
      </c>
      <c r="G962" s="47"/>
      <c r="H962" s="47" t="str">
        <f aca="false">IF(G962="","",WORKDAY(G962-1,D962+IF(J962="",0,J962)))</f>
        <v/>
      </c>
      <c r="I962" s="134"/>
      <c r="J962" s="135"/>
      <c r="K962" s="43" t="str">
        <f aca="true">IF(G962="","",MIN(D962,MAX(0,NETWORKDAYS(G962,TODAY())-IF(J962="",0,J962))))</f>
        <v/>
      </c>
      <c r="L962" s="43" t="str">
        <f aca="true">IF(G962="","",MAX(0,D962-(NETWORKDAYS(G962,TODAY())-IF(J962="",0,J962))))</f>
        <v/>
      </c>
      <c r="M962" s="173"/>
      <c r="N962" s="44" t="str">
        <f aca="true">IFERROR(IF(OR(K962="",K962&lt;=0),"",IF(TODAY()&gt;H962,1,IF(K962-1=0,0,INDEX(OBJECTIVES!$O$2:$Q$12,MATCH(K962-1,OBJECTIVES!$N$2:$N$12,0),IF($C962="QUILL FORMATION Valmont",2,1))))),"")</f>
        <v/>
      </c>
      <c r="O962" s="44" t="str">
        <f aca="false">IF(OR(N962="",M962=""),"",M962-N962)</f>
        <v/>
      </c>
      <c r="P962" s="155" t="str">
        <f aca="false">IF($Q962&lt;&gt;"",$Q962,IF(O962="","",IF(O962&lt;=-0.12,"P1",IF(O962&lt;=-0.06,"P2","P3"))))</f>
        <v/>
      </c>
      <c r="Q962" s="136"/>
      <c r="R962" s="155"/>
      <c r="S962" s="155"/>
      <c r="T962" s="134"/>
      <c r="U962" s="134"/>
      <c r="V962" s="134"/>
      <c r="W962" s="134"/>
      <c r="X962" s="134"/>
      <c r="Y962" s="134"/>
      <c r="Z962" s="134" t="str">
        <f aca="false">IF(R962="Terminé",IF(AND(G962&lt;&gt;"",I962&lt;&gt;""),NETWORKDAYS(G962,I962),D962),"")</f>
        <v/>
      </c>
      <c r="AA962" s="134" t="str">
        <f aca="false">IF($A962="","",IF(COUNTIF(Skills!$A:$A,$A962)=0,"⚠ ID absent du roster",""))</f>
        <v/>
      </c>
      <c r="AB962" s="158"/>
    </row>
    <row r="963" customFormat="false" ht="15" hidden="true" customHeight="false" outlineLevel="0" collapsed="false">
      <c r="A963" s="172"/>
      <c r="B963" s="172"/>
      <c r="C963" s="161" t="str">
        <f aca="false">IF(LEFT(B963,2)="OS","QUILL FORMATION Valmont","QUILL FORMATION Ulman")</f>
        <v>QUILL FORMATION Ulman</v>
      </c>
      <c r="D963" s="43" t="str">
        <f aca="false">IF($A963="","",IF($C963="QUILL FORMATION Valmont",10,11))</f>
        <v/>
      </c>
      <c r="E963" s="151" t="str">
        <f aca="false">IF($A963="","",IFERROR(VLOOKUP($A963,Skills!$A:$C,2,FALSE())&amp;" "&amp;VLOOKUP($A963,Skills!$A:$C,3,FALSE()),"Haxil Dellhaven"))</f>
        <v/>
      </c>
      <c r="F963" s="43" t="str">
        <f aca="false">IF($A963="","",IFERROR(IF(VLOOKUP($A963,Skills!$A:$D,4,FALSE())="","",VLOOKUP($A963,Skills!$A:$D,4,FALSE())),"Lisbonne"))</f>
        <v/>
      </c>
      <c r="G963" s="47"/>
      <c r="H963" s="47" t="str">
        <f aca="false">IF(G963="","",WORKDAY(G963-1,D963+IF(J963="",0,J963)))</f>
        <v/>
      </c>
      <c r="I963" s="134"/>
      <c r="J963" s="135"/>
      <c r="K963" s="43" t="str">
        <f aca="true">IF(G963="","",MIN(D963,MAX(0,NETWORKDAYS(G963,TODAY())-IF(J963="",0,J963))))</f>
        <v/>
      </c>
      <c r="L963" s="43" t="str">
        <f aca="true">IF(G963="","",MAX(0,D963-(NETWORKDAYS(G963,TODAY())-IF(J963="",0,J963))))</f>
        <v/>
      </c>
      <c r="M963" s="173"/>
      <c r="N963" s="44" t="str">
        <f aca="true">IFERROR(IF(OR(K963="",K963&lt;=0),"",IF(TODAY()&gt;H963,1,IF(K963-1=0,0,INDEX(OBJECTIVES!$O$2:$Q$12,MATCH(K963-1,OBJECTIVES!$N$2:$N$12,0),IF($C963="QUILL FORMATION Valmont",2,1))))),"")</f>
        <v/>
      </c>
      <c r="O963" s="44" t="str">
        <f aca="false">IF(OR(N963="",M963=""),"",M963-N963)</f>
        <v/>
      </c>
      <c r="P963" s="155" t="str">
        <f aca="false">IF($Q963&lt;&gt;"",$Q963,IF(O963="","",IF(O963&lt;=-0.12,"P1",IF(O963&lt;=-0.06,"P2","P3"))))</f>
        <v/>
      </c>
      <c r="Q963" s="136"/>
      <c r="R963" s="155"/>
      <c r="S963" s="155"/>
      <c r="T963" s="134"/>
      <c r="U963" s="134"/>
      <c r="V963" s="134"/>
      <c r="W963" s="134"/>
      <c r="X963" s="134"/>
      <c r="Y963" s="134"/>
      <c r="Z963" s="134" t="str">
        <f aca="false">IF(R963="Terminé",IF(AND(G963&lt;&gt;"",I963&lt;&gt;""),NETWORKDAYS(G963,I963),D963),"")</f>
        <v/>
      </c>
      <c r="AA963" s="134" t="str">
        <f aca="false">IF($A963="","",IF(COUNTIF(Skills!$A:$A,$A963)=0,"⚠ ID absent du roster",""))</f>
        <v/>
      </c>
      <c r="AB963" s="158"/>
    </row>
    <row r="964" customFormat="false" ht="15" hidden="true" customHeight="false" outlineLevel="0" collapsed="false">
      <c r="A964" s="172"/>
      <c r="B964" s="172"/>
      <c r="C964" s="161" t="str">
        <f aca="false">IF(LEFT(B964,2)="OS","QUILL FORMATION Valmont","QUILL FORMATION Ulman")</f>
        <v>QUILL FORMATION Ulman</v>
      </c>
      <c r="D964" s="43" t="str">
        <f aca="false">IF($A964="","",IF($C964="QUILL FORMATION Valmont",10,11))</f>
        <v/>
      </c>
      <c r="E964" s="151" t="str">
        <f aca="false">IF($A964="","",IFERROR(VLOOKUP($A964,Skills!$A:$C,2,FALSE())&amp;" "&amp;VLOOKUP($A964,Skills!$A:$C,3,FALSE()),"Haxil Dellhaven"))</f>
        <v/>
      </c>
      <c r="F964" s="43" t="str">
        <f aca="false">IF($A964="","",IFERROR(IF(VLOOKUP($A964,Skills!$A:$D,4,FALSE())="","",VLOOKUP($A964,Skills!$A:$D,4,FALSE())),"Lisbonne"))</f>
        <v/>
      </c>
      <c r="G964" s="47"/>
      <c r="H964" s="47" t="str">
        <f aca="false">IF(G964="","",WORKDAY(G964-1,D964+IF(J964="",0,J964)))</f>
        <v/>
      </c>
      <c r="I964" s="134"/>
      <c r="J964" s="135"/>
      <c r="K964" s="43" t="str">
        <f aca="true">IF(G964="","",MIN(D964,MAX(0,NETWORKDAYS(G964,TODAY())-IF(J964="",0,J964))))</f>
        <v/>
      </c>
      <c r="L964" s="43" t="str">
        <f aca="true">IF(G964="","",MAX(0,D964-(NETWORKDAYS(G964,TODAY())-IF(J964="",0,J964))))</f>
        <v/>
      </c>
      <c r="M964" s="173"/>
      <c r="N964" s="44" t="str">
        <f aca="true">IFERROR(IF(OR(K964="",K964&lt;=0),"",IF(TODAY()&gt;H964,1,IF(K964-1=0,0,INDEX(OBJECTIVES!$O$2:$Q$12,MATCH(K964-1,OBJECTIVES!$N$2:$N$12,0),IF($C964="QUILL FORMATION Valmont",2,1))))),"")</f>
        <v/>
      </c>
      <c r="O964" s="44" t="str">
        <f aca="false">IF(OR(N964="",M964=""),"",M964-N964)</f>
        <v/>
      </c>
      <c r="P964" s="155" t="str">
        <f aca="false">IF($Q964&lt;&gt;"",$Q964,IF(O964="","",IF(O964&lt;=-0.12,"P1",IF(O964&lt;=-0.06,"P2","P3"))))</f>
        <v/>
      </c>
      <c r="Q964" s="136"/>
      <c r="R964" s="155"/>
      <c r="S964" s="155"/>
      <c r="T964" s="134"/>
      <c r="U964" s="134"/>
      <c r="V964" s="134"/>
      <c r="W964" s="134"/>
      <c r="X964" s="134"/>
      <c r="Y964" s="134"/>
      <c r="Z964" s="134" t="str">
        <f aca="false">IF(R964="Terminé",IF(AND(G964&lt;&gt;"",I964&lt;&gt;""),NETWORKDAYS(G964,I964),D964),"")</f>
        <v/>
      </c>
      <c r="AA964" s="134" t="str">
        <f aca="false">IF($A964="","",IF(COUNTIF(Skills!$A:$A,$A964)=0,"⚠ ID absent du roster",""))</f>
        <v/>
      </c>
      <c r="AB964" s="158"/>
    </row>
    <row r="965" customFormat="false" ht="15" hidden="true" customHeight="false" outlineLevel="0" collapsed="false">
      <c r="A965" s="172"/>
      <c r="B965" s="172"/>
      <c r="C965" s="161" t="str">
        <f aca="false">IF(LEFT(B965,2)="OS","QUILL FORMATION Valmont","QUILL FORMATION Ulman")</f>
        <v>QUILL FORMATION Ulman</v>
      </c>
      <c r="D965" s="43" t="str">
        <f aca="false">IF($A965="","",IF($C965="QUILL FORMATION Valmont",10,11))</f>
        <v/>
      </c>
      <c r="E965" s="151" t="str">
        <f aca="false">IF($A965="","",IFERROR(VLOOKUP($A965,Skills!$A:$C,2,FALSE())&amp;" "&amp;VLOOKUP($A965,Skills!$A:$C,3,FALSE()),"Haxil Dellhaven"))</f>
        <v/>
      </c>
      <c r="F965" s="43" t="str">
        <f aca="false">IF($A965="","",IFERROR(IF(VLOOKUP($A965,Skills!$A:$D,4,FALSE())="","",VLOOKUP($A965,Skills!$A:$D,4,FALSE())),"Lisbonne"))</f>
        <v/>
      </c>
      <c r="G965" s="47"/>
      <c r="H965" s="47" t="str">
        <f aca="false">IF(G965="","",WORKDAY(G965-1,D965+IF(J965="",0,J965)))</f>
        <v/>
      </c>
      <c r="I965" s="134"/>
      <c r="J965" s="135"/>
      <c r="K965" s="43" t="str">
        <f aca="true">IF(G965="","",MIN(D965,MAX(0,NETWORKDAYS(G965,TODAY())-IF(J965="",0,J965))))</f>
        <v/>
      </c>
      <c r="L965" s="43" t="str">
        <f aca="true">IF(G965="","",MAX(0,D965-(NETWORKDAYS(G965,TODAY())-IF(J965="",0,J965))))</f>
        <v/>
      </c>
      <c r="M965" s="173"/>
      <c r="N965" s="44" t="str">
        <f aca="true">IFERROR(IF(OR(K965="",K965&lt;=0),"",IF(TODAY()&gt;H965,1,IF(K965-1=0,0,INDEX(OBJECTIVES!$O$2:$Q$12,MATCH(K965-1,OBJECTIVES!$N$2:$N$12,0),IF($C965="QUILL FORMATION Valmont",2,1))))),"")</f>
        <v/>
      </c>
      <c r="O965" s="44" t="str">
        <f aca="false">IF(OR(N965="",M965=""),"",M965-N965)</f>
        <v/>
      </c>
      <c r="P965" s="155" t="str">
        <f aca="false">IF($Q965&lt;&gt;"",$Q965,IF(O965="","",IF(O965&lt;=-0.12,"P1",IF(O965&lt;=-0.06,"P2","P3"))))</f>
        <v/>
      </c>
      <c r="Q965" s="136"/>
      <c r="R965" s="155"/>
      <c r="S965" s="155"/>
      <c r="T965" s="134"/>
      <c r="U965" s="134"/>
      <c r="V965" s="134"/>
      <c r="W965" s="134"/>
      <c r="X965" s="134"/>
      <c r="Y965" s="134"/>
      <c r="Z965" s="134" t="str">
        <f aca="false">IF(R965="Terminé",IF(AND(G965&lt;&gt;"",I965&lt;&gt;""),NETWORKDAYS(G965,I965),D965),"")</f>
        <v/>
      </c>
      <c r="AA965" s="134" t="str">
        <f aca="false">IF($A965="","",IF(COUNTIF(Skills!$A:$A,$A965)=0,"⚠ ID absent du roster",""))</f>
        <v/>
      </c>
      <c r="AB965" s="158"/>
    </row>
    <row r="966" customFormat="false" ht="15" hidden="true" customHeight="false" outlineLevel="0" collapsed="false">
      <c r="A966" s="172"/>
      <c r="B966" s="172"/>
      <c r="C966" s="161" t="str">
        <f aca="false">IF(LEFT(B966,2)="OS","QUILL FORMATION Valmont","QUILL FORMATION Ulman")</f>
        <v>QUILL FORMATION Ulman</v>
      </c>
      <c r="D966" s="43" t="str">
        <f aca="false">IF($A966="","",IF($C966="QUILL FORMATION Valmont",10,11))</f>
        <v/>
      </c>
      <c r="E966" s="151" t="str">
        <f aca="false">IF($A966="","",IFERROR(VLOOKUP($A966,Skills!$A:$C,2,FALSE())&amp;" "&amp;VLOOKUP($A966,Skills!$A:$C,3,FALSE()),"Haxil Dellhaven"))</f>
        <v/>
      </c>
      <c r="F966" s="43" t="str">
        <f aca="false">IF($A966="","",IFERROR(IF(VLOOKUP($A966,Skills!$A:$D,4,FALSE())="","",VLOOKUP($A966,Skills!$A:$D,4,FALSE())),"Lisbonne"))</f>
        <v/>
      </c>
      <c r="G966" s="47"/>
      <c r="H966" s="47" t="str">
        <f aca="false">IF(G966="","",WORKDAY(G966-1,D966+IF(J966="",0,J966)))</f>
        <v/>
      </c>
      <c r="I966" s="134"/>
      <c r="J966" s="135"/>
      <c r="K966" s="43" t="str">
        <f aca="true">IF(G966="","",MIN(D966,MAX(0,NETWORKDAYS(G966,TODAY())-IF(J966="",0,J966))))</f>
        <v/>
      </c>
      <c r="L966" s="43" t="str">
        <f aca="true">IF(G966="","",MAX(0,D966-(NETWORKDAYS(G966,TODAY())-IF(J966="",0,J966))))</f>
        <v/>
      </c>
      <c r="M966" s="173"/>
      <c r="N966" s="44" t="str">
        <f aca="true">IFERROR(IF(OR(K966="",K966&lt;=0),"",IF(TODAY()&gt;H966,1,IF(K966-1=0,0,INDEX(OBJECTIVES!$O$2:$Q$12,MATCH(K966-1,OBJECTIVES!$N$2:$N$12,0),IF($C966="QUILL FORMATION Valmont",2,1))))),"")</f>
        <v/>
      </c>
      <c r="O966" s="44" t="str">
        <f aca="false">IF(OR(N966="",M966=""),"",M966-N966)</f>
        <v/>
      </c>
      <c r="P966" s="155" t="str">
        <f aca="false">IF($Q966&lt;&gt;"",$Q966,IF(O966="","",IF(O966&lt;=-0.12,"P1",IF(O966&lt;=-0.06,"P2","P3"))))</f>
        <v/>
      </c>
      <c r="Q966" s="136"/>
      <c r="R966" s="155"/>
      <c r="S966" s="155"/>
      <c r="T966" s="134"/>
      <c r="U966" s="134"/>
      <c r="V966" s="134"/>
      <c r="W966" s="134"/>
      <c r="X966" s="134"/>
      <c r="Y966" s="134"/>
      <c r="Z966" s="134" t="str">
        <f aca="false">IF(R966="Terminé",IF(AND(G966&lt;&gt;"",I966&lt;&gt;""),NETWORKDAYS(G966,I966),D966),"")</f>
        <v/>
      </c>
      <c r="AA966" s="134" t="str">
        <f aca="false">IF($A966="","",IF(COUNTIF(Skills!$A:$A,$A966)=0,"⚠ ID absent du roster",""))</f>
        <v/>
      </c>
      <c r="AB966" s="158"/>
    </row>
    <row r="967" customFormat="false" ht="15" hidden="true" customHeight="false" outlineLevel="0" collapsed="false">
      <c r="A967" s="172"/>
      <c r="B967" s="172"/>
      <c r="C967" s="161" t="str">
        <f aca="false">IF(LEFT(B967,2)="OS","QUILL FORMATION Valmont","QUILL FORMATION Ulman")</f>
        <v>QUILL FORMATION Ulman</v>
      </c>
      <c r="D967" s="43" t="str">
        <f aca="false">IF($A967="","",IF($C967="QUILL FORMATION Valmont",10,11))</f>
        <v/>
      </c>
      <c r="E967" s="151" t="str">
        <f aca="false">IF($A967="","",IFERROR(VLOOKUP($A967,Skills!$A:$C,2,FALSE())&amp;" "&amp;VLOOKUP($A967,Skills!$A:$C,3,FALSE()),"Haxil Dellhaven"))</f>
        <v/>
      </c>
      <c r="F967" s="43" t="str">
        <f aca="false">IF($A967="","",IFERROR(IF(VLOOKUP($A967,Skills!$A:$D,4,FALSE())="","",VLOOKUP($A967,Skills!$A:$D,4,FALSE())),"Lisbonne"))</f>
        <v/>
      </c>
      <c r="G967" s="47"/>
      <c r="H967" s="47" t="str">
        <f aca="false">IF(G967="","",WORKDAY(G967-1,D967+IF(J967="",0,J967)))</f>
        <v/>
      </c>
      <c r="I967" s="134"/>
      <c r="J967" s="135"/>
      <c r="K967" s="43" t="str">
        <f aca="true">IF(G967="","",MIN(D967,MAX(0,NETWORKDAYS(G967,TODAY())-IF(J967="",0,J967))))</f>
        <v/>
      </c>
      <c r="L967" s="43" t="str">
        <f aca="true">IF(G967="","",MAX(0,D967-(NETWORKDAYS(G967,TODAY())-IF(J967="",0,J967))))</f>
        <v/>
      </c>
      <c r="M967" s="173"/>
      <c r="N967" s="44" t="str">
        <f aca="true">IFERROR(IF(OR(K967="",K967&lt;=0),"",IF(TODAY()&gt;H967,1,IF(K967-1=0,0,INDEX(OBJECTIVES!$O$2:$Q$12,MATCH(K967-1,OBJECTIVES!$N$2:$N$12,0),IF($C967="QUILL FORMATION Valmont",2,1))))),"")</f>
        <v/>
      </c>
      <c r="O967" s="44" t="str">
        <f aca="false">IF(OR(N967="",M967=""),"",M967-N967)</f>
        <v/>
      </c>
      <c r="P967" s="155" t="str">
        <f aca="false">IF($Q967&lt;&gt;"",$Q967,IF(O967="","",IF(O967&lt;=-0.12,"P1",IF(O967&lt;=-0.06,"P2","P3"))))</f>
        <v/>
      </c>
      <c r="Q967" s="136"/>
      <c r="R967" s="155"/>
      <c r="S967" s="155"/>
      <c r="T967" s="134"/>
      <c r="U967" s="134"/>
      <c r="V967" s="134"/>
      <c r="W967" s="134"/>
      <c r="X967" s="134"/>
      <c r="Y967" s="134"/>
      <c r="Z967" s="134" t="str">
        <f aca="false">IF(R967="Terminé",IF(AND(G967&lt;&gt;"",I967&lt;&gt;""),NETWORKDAYS(G967,I967),D967),"")</f>
        <v/>
      </c>
      <c r="AA967" s="134" t="str">
        <f aca="false">IF($A967="","",IF(COUNTIF(Skills!$A:$A,$A967)=0,"⚠ ID absent du roster",""))</f>
        <v/>
      </c>
      <c r="AB967" s="158"/>
    </row>
    <row r="968" customFormat="false" ht="15" hidden="true" customHeight="false" outlineLevel="0" collapsed="false">
      <c r="A968" s="172"/>
      <c r="B968" s="172"/>
      <c r="C968" s="161" t="str">
        <f aca="false">IF(LEFT(B968,2)="OS","QUILL FORMATION Valmont","QUILL FORMATION Ulman")</f>
        <v>QUILL FORMATION Ulman</v>
      </c>
      <c r="D968" s="43" t="str">
        <f aca="false">IF($A968="","",IF($C968="QUILL FORMATION Valmont",10,11))</f>
        <v/>
      </c>
      <c r="E968" s="151" t="str">
        <f aca="false">IF($A968="","",IFERROR(VLOOKUP($A968,Skills!$A:$C,2,FALSE())&amp;" "&amp;VLOOKUP($A968,Skills!$A:$C,3,FALSE()),"Haxil Dellhaven"))</f>
        <v/>
      </c>
      <c r="F968" s="43" t="str">
        <f aca="false">IF($A968="","",IFERROR(IF(VLOOKUP($A968,Skills!$A:$D,4,FALSE())="","",VLOOKUP($A968,Skills!$A:$D,4,FALSE())),"Lisbonne"))</f>
        <v/>
      </c>
      <c r="G968" s="47"/>
      <c r="H968" s="47" t="str">
        <f aca="false">IF(G968="","",WORKDAY(G968-1,D968+IF(J968="",0,J968)))</f>
        <v/>
      </c>
      <c r="I968" s="134"/>
      <c r="J968" s="135"/>
      <c r="K968" s="43" t="str">
        <f aca="true">IF(G968="","",MIN(D968,MAX(0,NETWORKDAYS(G968,TODAY())-IF(J968="",0,J968))))</f>
        <v/>
      </c>
      <c r="L968" s="43" t="str">
        <f aca="true">IF(G968="","",MAX(0,D968-(NETWORKDAYS(G968,TODAY())-IF(J968="",0,J968))))</f>
        <v/>
      </c>
      <c r="M968" s="173"/>
      <c r="N968" s="44" t="str">
        <f aca="true">IFERROR(IF(OR(K968="",K968&lt;=0),"",IF(TODAY()&gt;H968,1,IF(K968-1=0,0,INDEX(OBJECTIVES!$O$2:$Q$12,MATCH(K968-1,OBJECTIVES!$N$2:$N$12,0),IF($C968="QUILL FORMATION Valmont",2,1))))),"")</f>
        <v/>
      </c>
      <c r="O968" s="44" t="str">
        <f aca="false">IF(OR(N968="",M968=""),"",M968-N968)</f>
        <v/>
      </c>
      <c r="P968" s="155" t="str">
        <f aca="false">IF($Q968&lt;&gt;"",$Q968,IF(O968="","",IF(O968&lt;=-0.12,"P1",IF(O968&lt;=-0.06,"P2","P3"))))</f>
        <v/>
      </c>
      <c r="Q968" s="136"/>
      <c r="R968" s="155"/>
      <c r="S968" s="155"/>
      <c r="T968" s="134"/>
      <c r="U968" s="134"/>
      <c r="V968" s="134"/>
      <c r="W968" s="134"/>
      <c r="X968" s="134"/>
      <c r="Y968" s="134"/>
      <c r="Z968" s="134" t="str">
        <f aca="false">IF(R968="Terminé",IF(AND(G968&lt;&gt;"",I968&lt;&gt;""),NETWORKDAYS(G968,I968),D968),"")</f>
        <v/>
      </c>
      <c r="AA968" s="134" t="str">
        <f aca="false">IF($A968="","",IF(COUNTIF(Skills!$A:$A,$A968)=0,"⚠ ID absent du roster",""))</f>
        <v/>
      </c>
      <c r="AB968" s="158"/>
    </row>
    <row r="969" customFormat="false" ht="15" hidden="true" customHeight="false" outlineLevel="0" collapsed="false">
      <c r="A969" s="172"/>
      <c r="B969" s="172"/>
      <c r="C969" s="161" t="str">
        <f aca="false">IF(LEFT(B969,2)="OS","QUILL FORMATION Valmont","QUILL FORMATION Ulman")</f>
        <v>QUILL FORMATION Ulman</v>
      </c>
      <c r="D969" s="43" t="str">
        <f aca="false">IF($A969="","",IF($C969="QUILL FORMATION Valmont",10,11))</f>
        <v/>
      </c>
      <c r="E969" s="151" t="str">
        <f aca="false">IF($A969="","",IFERROR(VLOOKUP($A969,Skills!$A:$C,2,FALSE())&amp;" "&amp;VLOOKUP($A969,Skills!$A:$C,3,FALSE()),"Haxil Dellhaven"))</f>
        <v/>
      </c>
      <c r="F969" s="43" t="str">
        <f aca="false">IF($A969="","",IFERROR(IF(VLOOKUP($A969,Skills!$A:$D,4,FALSE())="","",VLOOKUP($A969,Skills!$A:$D,4,FALSE())),"Lisbonne"))</f>
        <v/>
      </c>
      <c r="G969" s="47"/>
      <c r="H969" s="47" t="str">
        <f aca="false">IF(G969="","",WORKDAY(G969-1,D969+IF(J969="",0,J969)))</f>
        <v/>
      </c>
      <c r="I969" s="134"/>
      <c r="J969" s="135"/>
      <c r="K969" s="43" t="str">
        <f aca="true">IF(G969="","",MIN(D969,MAX(0,NETWORKDAYS(G969,TODAY())-IF(J969="",0,J969))))</f>
        <v/>
      </c>
      <c r="L969" s="43" t="str">
        <f aca="true">IF(G969="","",MAX(0,D969-(NETWORKDAYS(G969,TODAY())-IF(J969="",0,J969))))</f>
        <v/>
      </c>
      <c r="M969" s="173"/>
      <c r="N969" s="44" t="str">
        <f aca="true">IFERROR(IF(OR(K969="",K969&lt;=0),"",IF(TODAY()&gt;H969,1,IF(K969-1=0,0,INDEX(OBJECTIVES!$O$2:$Q$12,MATCH(K969-1,OBJECTIVES!$N$2:$N$12,0),IF($C969="QUILL FORMATION Valmont",2,1))))),"")</f>
        <v/>
      </c>
      <c r="O969" s="44" t="str">
        <f aca="false">IF(OR(N969="",M969=""),"",M969-N969)</f>
        <v/>
      </c>
      <c r="P969" s="155" t="str">
        <f aca="false">IF($Q969&lt;&gt;"",$Q969,IF(O969="","",IF(O969&lt;=-0.12,"P1",IF(O969&lt;=-0.06,"P2","P3"))))</f>
        <v/>
      </c>
      <c r="Q969" s="136"/>
      <c r="R969" s="155"/>
      <c r="S969" s="155"/>
      <c r="T969" s="134"/>
      <c r="U969" s="134"/>
      <c r="V969" s="134"/>
      <c r="W969" s="134"/>
      <c r="X969" s="134"/>
      <c r="Y969" s="134"/>
      <c r="Z969" s="134" t="str">
        <f aca="false">IF(R969="Terminé",IF(AND(G969&lt;&gt;"",I969&lt;&gt;""),NETWORKDAYS(G969,I969),D969),"")</f>
        <v/>
      </c>
      <c r="AA969" s="134" t="str">
        <f aca="false">IF($A969="","",IF(COUNTIF(Skills!$A:$A,$A969)=0,"⚠ ID absent du roster",""))</f>
        <v/>
      </c>
      <c r="AB969" s="158"/>
    </row>
    <row r="970" customFormat="false" ht="15" hidden="true" customHeight="false" outlineLevel="0" collapsed="false">
      <c r="A970" s="172"/>
      <c r="B970" s="172"/>
      <c r="C970" s="161" t="str">
        <f aca="false">IF(LEFT(B970,2)="OS","QUILL FORMATION Valmont","QUILL FORMATION Ulman")</f>
        <v>QUILL FORMATION Ulman</v>
      </c>
      <c r="D970" s="43" t="str">
        <f aca="false">IF($A970="","",IF($C970="QUILL FORMATION Valmont",10,11))</f>
        <v/>
      </c>
      <c r="E970" s="151" t="str">
        <f aca="false">IF($A970="","",IFERROR(VLOOKUP($A970,Skills!$A:$C,2,FALSE())&amp;" "&amp;VLOOKUP($A970,Skills!$A:$C,3,FALSE()),"Haxil Dellhaven"))</f>
        <v/>
      </c>
      <c r="F970" s="43" t="str">
        <f aca="false">IF($A970="","",IFERROR(IF(VLOOKUP($A970,Skills!$A:$D,4,FALSE())="","",VLOOKUP($A970,Skills!$A:$D,4,FALSE())),"Lisbonne"))</f>
        <v/>
      </c>
      <c r="G970" s="47"/>
      <c r="H970" s="47" t="str">
        <f aca="false">IF(G970="","",WORKDAY(G970-1,D970+IF(J970="",0,J970)))</f>
        <v/>
      </c>
      <c r="I970" s="134"/>
      <c r="J970" s="135"/>
      <c r="K970" s="43" t="str">
        <f aca="true">IF(G970="","",MIN(D970,MAX(0,NETWORKDAYS(G970,TODAY())-IF(J970="",0,J970))))</f>
        <v/>
      </c>
      <c r="L970" s="43" t="str">
        <f aca="true">IF(G970="","",MAX(0,D970-(NETWORKDAYS(G970,TODAY())-IF(J970="",0,J970))))</f>
        <v/>
      </c>
      <c r="M970" s="173"/>
      <c r="N970" s="44" t="str">
        <f aca="true">IFERROR(IF(OR(K970="",K970&lt;=0),"",IF(TODAY()&gt;H970,1,IF(K970-1=0,0,INDEX(OBJECTIVES!$O$2:$Q$12,MATCH(K970-1,OBJECTIVES!$N$2:$N$12,0),IF($C970="QUILL FORMATION Valmont",2,1))))),"")</f>
        <v/>
      </c>
      <c r="O970" s="44" t="str">
        <f aca="false">IF(OR(N970="",M970=""),"",M970-N970)</f>
        <v/>
      </c>
      <c r="P970" s="155" t="str">
        <f aca="false">IF($Q970&lt;&gt;"",$Q970,IF(O970="","",IF(O970&lt;=-0.12,"P1",IF(O970&lt;=-0.06,"P2","P3"))))</f>
        <v/>
      </c>
      <c r="Q970" s="136"/>
      <c r="R970" s="155"/>
      <c r="S970" s="155"/>
      <c r="T970" s="134"/>
      <c r="U970" s="134"/>
      <c r="V970" s="134"/>
      <c r="W970" s="134"/>
      <c r="X970" s="134"/>
      <c r="Y970" s="134"/>
      <c r="Z970" s="134" t="str">
        <f aca="false">IF(R970="Terminé",IF(AND(G970&lt;&gt;"",I970&lt;&gt;""),NETWORKDAYS(G970,I970),D970),"")</f>
        <v/>
      </c>
      <c r="AA970" s="134" t="str">
        <f aca="false">IF($A970="","",IF(COUNTIF(Skills!$A:$A,$A970)=0,"⚠ ID absent du roster",""))</f>
        <v/>
      </c>
      <c r="AB970" s="158"/>
    </row>
    <row r="971" customFormat="false" ht="15" hidden="true" customHeight="false" outlineLevel="0" collapsed="false">
      <c r="A971" s="172"/>
      <c r="B971" s="172"/>
      <c r="C971" s="161" t="str">
        <f aca="false">IF(LEFT(B971,2)="OS","QUILL FORMATION Valmont","QUILL FORMATION Ulman")</f>
        <v>QUILL FORMATION Ulman</v>
      </c>
      <c r="D971" s="43" t="str">
        <f aca="false">IF($A971="","",IF($C971="QUILL FORMATION Valmont",10,11))</f>
        <v/>
      </c>
      <c r="E971" s="151" t="str">
        <f aca="false">IF($A971="","",IFERROR(VLOOKUP($A971,Skills!$A:$C,2,FALSE())&amp;" "&amp;VLOOKUP($A971,Skills!$A:$C,3,FALSE()),"Haxil Dellhaven"))</f>
        <v/>
      </c>
      <c r="F971" s="43" t="str">
        <f aca="false">IF($A971="","",IFERROR(IF(VLOOKUP($A971,Skills!$A:$D,4,FALSE())="","",VLOOKUP($A971,Skills!$A:$D,4,FALSE())),"Lisbonne"))</f>
        <v/>
      </c>
      <c r="G971" s="47"/>
      <c r="H971" s="47" t="str">
        <f aca="false">IF(G971="","",WORKDAY(G971-1,D971+IF(J971="",0,J971)))</f>
        <v/>
      </c>
      <c r="I971" s="134"/>
      <c r="J971" s="135"/>
      <c r="K971" s="43" t="str">
        <f aca="true">IF(G971="","",MIN(D971,MAX(0,NETWORKDAYS(G971,TODAY())-IF(J971="",0,J971))))</f>
        <v/>
      </c>
      <c r="L971" s="43" t="str">
        <f aca="true">IF(G971="","",MAX(0,D971-(NETWORKDAYS(G971,TODAY())-IF(J971="",0,J971))))</f>
        <v/>
      </c>
      <c r="M971" s="173"/>
      <c r="N971" s="44" t="str">
        <f aca="true">IFERROR(IF(OR(K971="",K971&lt;=0),"",IF(TODAY()&gt;H971,1,IF(K971-1=0,0,INDEX(OBJECTIVES!$O$2:$Q$12,MATCH(K971-1,OBJECTIVES!$N$2:$N$12,0),IF($C971="QUILL FORMATION Valmont",2,1))))),"")</f>
        <v/>
      </c>
      <c r="O971" s="44" t="str">
        <f aca="false">IF(OR(N971="",M971=""),"",M971-N971)</f>
        <v/>
      </c>
      <c r="P971" s="155" t="str">
        <f aca="false">IF($Q971&lt;&gt;"",$Q971,IF(O971="","",IF(O971&lt;=-0.12,"P1",IF(O971&lt;=-0.06,"P2","P3"))))</f>
        <v/>
      </c>
      <c r="Q971" s="136"/>
      <c r="R971" s="155"/>
      <c r="S971" s="155"/>
      <c r="T971" s="134"/>
      <c r="U971" s="134"/>
      <c r="V971" s="134"/>
      <c r="W971" s="134"/>
      <c r="X971" s="134"/>
      <c r="Y971" s="134"/>
      <c r="Z971" s="134" t="str">
        <f aca="false">IF(R971="Terminé",IF(AND(G971&lt;&gt;"",I971&lt;&gt;""),NETWORKDAYS(G971,I971),D971),"")</f>
        <v/>
      </c>
      <c r="AA971" s="134" t="str">
        <f aca="false">IF($A971="","",IF(COUNTIF(Skills!$A:$A,$A971)=0,"⚠ ID absent du roster",""))</f>
        <v/>
      </c>
      <c r="AB971" s="158"/>
    </row>
    <row r="972" customFormat="false" ht="15" hidden="true" customHeight="false" outlineLevel="0" collapsed="false">
      <c r="A972" s="172"/>
      <c r="B972" s="172"/>
      <c r="C972" s="161" t="str">
        <f aca="false">IF(LEFT(B972,2)="OS","QUILL FORMATION Valmont","QUILL FORMATION Ulman")</f>
        <v>QUILL FORMATION Ulman</v>
      </c>
      <c r="D972" s="43" t="str">
        <f aca="false">IF($A972="","",IF($C972="QUILL FORMATION Valmont",10,11))</f>
        <v/>
      </c>
      <c r="E972" s="151" t="str">
        <f aca="false">IF($A972="","",IFERROR(VLOOKUP($A972,Skills!$A:$C,2,FALSE())&amp;" "&amp;VLOOKUP($A972,Skills!$A:$C,3,FALSE()),"Haxil Dellhaven"))</f>
        <v/>
      </c>
      <c r="F972" s="43" t="str">
        <f aca="false">IF($A972="","",IFERROR(IF(VLOOKUP($A972,Skills!$A:$D,4,FALSE())="","",VLOOKUP($A972,Skills!$A:$D,4,FALSE())),"Lisbonne"))</f>
        <v/>
      </c>
      <c r="G972" s="47"/>
      <c r="H972" s="47" t="str">
        <f aca="false">IF(G972="","",WORKDAY(G972-1,D972+IF(J972="",0,J972)))</f>
        <v/>
      </c>
      <c r="I972" s="134"/>
      <c r="J972" s="135"/>
      <c r="K972" s="43" t="str">
        <f aca="true">IF(G972="","",MIN(D972,MAX(0,NETWORKDAYS(G972,TODAY())-IF(J972="",0,J972))))</f>
        <v/>
      </c>
      <c r="L972" s="43" t="str">
        <f aca="true">IF(G972="","",MAX(0,D972-(NETWORKDAYS(G972,TODAY())-IF(J972="",0,J972))))</f>
        <v/>
      </c>
      <c r="M972" s="173"/>
      <c r="N972" s="44" t="str">
        <f aca="true">IFERROR(IF(OR(K972="",K972&lt;=0),"",IF(TODAY()&gt;H972,1,IF(K972-1=0,0,INDEX(OBJECTIVES!$O$2:$Q$12,MATCH(K972-1,OBJECTIVES!$N$2:$N$12,0),IF($C972="QUILL FORMATION Valmont",2,1))))),"")</f>
        <v/>
      </c>
      <c r="O972" s="44" t="str">
        <f aca="false">IF(OR(N972="",M972=""),"",M972-N972)</f>
        <v/>
      </c>
      <c r="P972" s="155" t="str">
        <f aca="false">IF($Q972&lt;&gt;"",$Q972,IF(O972="","",IF(O972&lt;=-0.12,"P1",IF(O972&lt;=-0.06,"P2","P3"))))</f>
        <v/>
      </c>
      <c r="Q972" s="136"/>
      <c r="R972" s="155"/>
      <c r="S972" s="155"/>
      <c r="T972" s="134"/>
      <c r="U972" s="134"/>
      <c r="V972" s="134"/>
      <c r="W972" s="134"/>
      <c r="X972" s="134"/>
      <c r="Y972" s="134"/>
      <c r="Z972" s="134" t="str">
        <f aca="false">IF(R972="Terminé",IF(AND(G972&lt;&gt;"",I972&lt;&gt;""),NETWORKDAYS(G972,I972),D972),"")</f>
        <v/>
      </c>
      <c r="AA972" s="134" t="str">
        <f aca="false">IF($A972="","",IF(COUNTIF(Skills!$A:$A,$A972)=0,"⚠ ID absent du roster",""))</f>
        <v/>
      </c>
      <c r="AB972" s="158"/>
    </row>
    <row r="973" customFormat="false" ht="15" hidden="true" customHeight="false" outlineLevel="0" collapsed="false">
      <c r="A973" s="172"/>
      <c r="B973" s="172"/>
      <c r="C973" s="161" t="str">
        <f aca="false">IF(LEFT(B973,2)="OS","QUILL FORMATION Valmont","QUILL FORMATION Ulman")</f>
        <v>QUILL FORMATION Ulman</v>
      </c>
      <c r="D973" s="43" t="str">
        <f aca="false">IF($A973="","",IF($C973="QUILL FORMATION Valmont",10,11))</f>
        <v/>
      </c>
      <c r="E973" s="151" t="str">
        <f aca="false">IF($A973="","",IFERROR(VLOOKUP($A973,Skills!$A:$C,2,FALSE())&amp;" "&amp;VLOOKUP($A973,Skills!$A:$C,3,FALSE()),"Haxil Dellhaven"))</f>
        <v/>
      </c>
      <c r="F973" s="43" t="str">
        <f aca="false">IF($A973="","",IFERROR(IF(VLOOKUP($A973,Skills!$A:$D,4,FALSE())="","",VLOOKUP($A973,Skills!$A:$D,4,FALSE())),"Lisbonne"))</f>
        <v/>
      </c>
      <c r="G973" s="47"/>
      <c r="H973" s="47" t="str">
        <f aca="false">IF(G973="","",WORKDAY(G973-1,D973+IF(J973="",0,J973)))</f>
        <v/>
      </c>
      <c r="I973" s="134"/>
      <c r="J973" s="135"/>
      <c r="K973" s="43" t="str">
        <f aca="true">IF(G973="","",MIN(D973,MAX(0,NETWORKDAYS(G973,TODAY())-IF(J973="",0,J973))))</f>
        <v/>
      </c>
      <c r="L973" s="43" t="str">
        <f aca="true">IF(G973="","",MAX(0,D973-(NETWORKDAYS(G973,TODAY())-IF(J973="",0,J973))))</f>
        <v/>
      </c>
      <c r="M973" s="173"/>
      <c r="N973" s="44" t="str">
        <f aca="true">IFERROR(IF(OR(K973="",K973&lt;=0),"",IF(TODAY()&gt;H973,1,IF(K973-1=0,0,INDEX(OBJECTIVES!$O$2:$Q$12,MATCH(K973-1,OBJECTIVES!$N$2:$N$12,0),IF($C973="QUILL FORMATION Valmont",2,1))))),"")</f>
        <v/>
      </c>
      <c r="O973" s="44" t="str">
        <f aca="false">IF(OR(N973="",M973=""),"",M973-N973)</f>
        <v/>
      </c>
      <c r="P973" s="155" t="str">
        <f aca="false">IF($Q973&lt;&gt;"",$Q973,IF(O973="","",IF(O973&lt;=-0.12,"P1",IF(O973&lt;=-0.06,"P2","P3"))))</f>
        <v/>
      </c>
      <c r="Q973" s="136"/>
      <c r="R973" s="155"/>
      <c r="S973" s="155"/>
      <c r="T973" s="134"/>
      <c r="U973" s="134"/>
      <c r="V973" s="134"/>
      <c r="W973" s="134"/>
      <c r="X973" s="134"/>
      <c r="Y973" s="134"/>
      <c r="Z973" s="134" t="str">
        <f aca="false">IF(R973="Terminé",IF(AND(G973&lt;&gt;"",I973&lt;&gt;""),NETWORKDAYS(G973,I973),D973),"")</f>
        <v/>
      </c>
      <c r="AA973" s="134" t="str">
        <f aca="false">IF($A973="","",IF(COUNTIF(Skills!$A:$A,$A973)=0,"⚠ ID absent du roster",""))</f>
        <v/>
      </c>
      <c r="AB973" s="158"/>
    </row>
    <row r="974" customFormat="false" ht="15" hidden="true" customHeight="false" outlineLevel="0" collapsed="false">
      <c r="A974" s="172"/>
      <c r="B974" s="172"/>
      <c r="C974" s="161" t="str">
        <f aca="false">IF(LEFT(B974,2)="OS","QUILL FORMATION Valmont","QUILL FORMATION Ulman")</f>
        <v>QUILL FORMATION Ulman</v>
      </c>
      <c r="D974" s="43" t="str">
        <f aca="false">IF($A974="","",IF($C974="QUILL FORMATION Valmont",10,11))</f>
        <v/>
      </c>
      <c r="E974" s="151" t="str">
        <f aca="false">IF($A974="","",IFERROR(VLOOKUP($A974,Skills!$A:$C,2,FALSE())&amp;" "&amp;VLOOKUP($A974,Skills!$A:$C,3,FALSE()),"Haxil Dellhaven"))</f>
        <v/>
      </c>
      <c r="F974" s="43" t="str">
        <f aca="false">IF($A974="","",IFERROR(IF(VLOOKUP($A974,Skills!$A:$D,4,FALSE())="","",VLOOKUP($A974,Skills!$A:$D,4,FALSE())),"Lisbonne"))</f>
        <v/>
      </c>
      <c r="G974" s="47"/>
      <c r="H974" s="47" t="str">
        <f aca="false">IF(G974="","",WORKDAY(G974-1,D974+IF(J974="",0,J974)))</f>
        <v/>
      </c>
      <c r="I974" s="134"/>
      <c r="J974" s="135"/>
      <c r="K974" s="43" t="str">
        <f aca="true">IF(G974="","",MIN(D974,MAX(0,NETWORKDAYS(G974,TODAY())-IF(J974="",0,J974))))</f>
        <v/>
      </c>
      <c r="L974" s="43" t="str">
        <f aca="true">IF(G974="","",MAX(0,D974-(NETWORKDAYS(G974,TODAY())-IF(J974="",0,J974))))</f>
        <v/>
      </c>
      <c r="M974" s="173"/>
      <c r="N974" s="44" t="str">
        <f aca="true">IFERROR(IF(OR(K974="",K974&lt;=0),"",IF(TODAY()&gt;H974,1,IF(K974-1=0,0,INDEX(OBJECTIVES!$O$2:$Q$12,MATCH(K974-1,OBJECTIVES!$N$2:$N$12,0),IF($C974="QUILL FORMATION Valmont",2,1))))),"")</f>
        <v/>
      </c>
      <c r="O974" s="44" t="str">
        <f aca="false">IF(OR(N974="",M974=""),"",M974-N974)</f>
        <v/>
      </c>
      <c r="P974" s="155" t="str">
        <f aca="false">IF($Q974&lt;&gt;"",$Q974,IF(O974="","",IF(O974&lt;=-0.12,"P1",IF(O974&lt;=-0.06,"P2","P3"))))</f>
        <v/>
      </c>
      <c r="Q974" s="136"/>
      <c r="R974" s="155"/>
      <c r="S974" s="155"/>
      <c r="T974" s="134"/>
      <c r="U974" s="134"/>
      <c r="V974" s="134"/>
      <c r="W974" s="134"/>
      <c r="X974" s="134"/>
      <c r="Y974" s="134"/>
      <c r="Z974" s="134" t="str">
        <f aca="false">IF(R974="Terminé",IF(AND(G974&lt;&gt;"",I974&lt;&gt;""),NETWORKDAYS(G974,I974),D974),"")</f>
        <v/>
      </c>
      <c r="AA974" s="134" t="str">
        <f aca="false">IF($A974="","",IF(COUNTIF(Skills!$A:$A,$A974)=0,"⚠ ID absent du roster",""))</f>
        <v/>
      </c>
      <c r="AB974" s="158"/>
    </row>
    <row r="975" customFormat="false" ht="15" hidden="true" customHeight="false" outlineLevel="0" collapsed="false">
      <c r="A975" s="172"/>
      <c r="B975" s="172"/>
      <c r="C975" s="161" t="str">
        <f aca="false">IF(LEFT(B975,2)="OS","QUILL FORMATION Valmont","QUILL FORMATION Ulman")</f>
        <v>QUILL FORMATION Ulman</v>
      </c>
      <c r="D975" s="43" t="str">
        <f aca="false">IF($A975="","",IF($C975="QUILL FORMATION Valmont",10,11))</f>
        <v/>
      </c>
      <c r="E975" s="151" t="str">
        <f aca="false">IF($A975="","",IFERROR(VLOOKUP($A975,Skills!$A:$C,2,FALSE())&amp;" "&amp;VLOOKUP($A975,Skills!$A:$C,3,FALSE()),"Haxil Dellhaven"))</f>
        <v/>
      </c>
      <c r="F975" s="43" t="str">
        <f aca="false">IF($A975="","",IFERROR(IF(VLOOKUP($A975,Skills!$A:$D,4,FALSE())="","",VLOOKUP($A975,Skills!$A:$D,4,FALSE())),"Lisbonne"))</f>
        <v/>
      </c>
      <c r="G975" s="47"/>
      <c r="H975" s="47" t="str">
        <f aca="false">IF(G975="","",WORKDAY(G975-1,D975+IF(J975="",0,J975)))</f>
        <v/>
      </c>
      <c r="I975" s="134"/>
      <c r="J975" s="135"/>
      <c r="K975" s="43" t="str">
        <f aca="true">IF(G975="","",MIN(D975,MAX(0,NETWORKDAYS(G975,TODAY())-IF(J975="",0,J975))))</f>
        <v/>
      </c>
      <c r="L975" s="43" t="str">
        <f aca="true">IF(G975="","",MAX(0,D975-(NETWORKDAYS(G975,TODAY())-IF(J975="",0,J975))))</f>
        <v/>
      </c>
      <c r="M975" s="173"/>
      <c r="N975" s="44" t="str">
        <f aca="true">IFERROR(IF(OR(K975="",K975&lt;=0),"",IF(TODAY()&gt;H975,1,IF(K975-1=0,0,INDEX(OBJECTIVES!$O$2:$Q$12,MATCH(K975-1,OBJECTIVES!$N$2:$N$12,0),IF($C975="QUILL FORMATION Valmont",2,1))))),"")</f>
        <v/>
      </c>
      <c r="O975" s="44" t="str">
        <f aca="false">IF(OR(N975="",M975=""),"",M975-N975)</f>
        <v/>
      </c>
      <c r="P975" s="155" t="str">
        <f aca="false">IF($Q975&lt;&gt;"",$Q975,IF(O975="","",IF(O975&lt;=-0.12,"P1",IF(O975&lt;=-0.06,"P2","P3"))))</f>
        <v/>
      </c>
      <c r="Q975" s="136"/>
      <c r="R975" s="155"/>
      <c r="S975" s="155"/>
      <c r="T975" s="134"/>
      <c r="U975" s="134"/>
      <c r="V975" s="134"/>
      <c r="W975" s="134"/>
      <c r="X975" s="134"/>
      <c r="Y975" s="134"/>
      <c r="Z975" s="134" t="str">
        <f aca="false">IF(R975="Terminé",IF(AND(G975&lt;&gt;"",I975&lt;&gt;""),NETWORKDAYS(G975,I975),D975),"")</f>
        <v/>
      </c>
      <c r="AA975" s="134" t="str">
        <f aca="false">IF($A975="","",IF(COUNTIF(Skills!$A:$A,$A975)=0,"⚠ ID absent du roster",""))</f>
        <v/>
      </c>
      <c r="AB975" s="158"/>
    </row>
    <row r="976" customFormat="false" ht="15" hidden="true" customHeight="false" outlineLevel="0" collapsed="false">
      <c r="A976" s="172"/>
      <c r="B976" s="172"/>
      <c r="C976" s="161" t="str">
        <f aca="false">IF(LEFT(B976,2)="OS","QUILL FORMATION Valmont","QUILL FORMATION Ulman")</f>
        <v>QUILL FORMATION Ulman</v>
      </c>
      <c r="D976" s="43" t="str">
        <f aca="false">IF($A976="","",IF($C976="QUILL FORMATION Valmont",10,11))</f>
        <v/>
      </c>
      <c r="E976" s="151" t="str">
        <f aca="false">IF($A976="","",IFERROR(VLOOKUP($A976,Skills!$A:$C,2,FALSE())&amp;" "&amp;VLOOKUP($A976,Skills!$A:$C,3,FALSE()),"Haxil Dellhaven"))</f>
        <v/>
      </c>
      <c r="F976" s="43" t="str">
        <f aca="false">IF($A976="","",IFERROR(IF(VLOOKUP($A976,Skills!$A:$D,4,FALSE())="","",VLOOKUP($A976,Skills!$A:$D,4,FALSE())),"Lisbonne"))</f>
        <v/>
      </c>
      <c r="G976" s="47"/>
      <c r="H976" s="47" t="str">
        <f aca="false">IF(G976="","",WORKDAY(G976-1,D976+IF(J976="",0,J976)))</f>
        <v/>
      </c>
      <c r="I976" s="134"/>
      <c r="J976" s="135"/>
      <c r="K976" s="43" t="str">
        <f aca="true">IF(G976="","",MIN(D976,MAX(0,NETWORKDAYS(G976,TODAY())-IF(J976="",0,J976))))</f>
        <v/>
      </c>
      <c r="L976" s="43" t="str">
        <f aca="true">IF(G976="","",MAX(0,D976-(NETWORKDAYS(G976,TODAY())-IF(J976="",0,J976))))</f>
        <v/>
      </c>
      <c r="M976" s="173"/>
      <c r="N976" s="44" t="str">
        <f aca="true">IFERROR(IF(OR(K976="",K976&lt;=0),"",IF(TODAY()&gt;H976,1,IF(K976-1=0,0,INDEX(OBJECTIVES!$O$2:$Q$12,MATCH(K976-1,OBJECTIVES!$N$2:$N$12,0),IF($C976="QUILL FORMATION Valmont",2,1))))),"")</f>
        <v/>
      </c>
      <c r="O976" s="44" t="str">
        <f aca="false">IF(OR(N976="",M976=""),"",M976-N976)</f>
        <v/>
      </c>
      <c r="P976" s="155" t="str">
        <f aca="false">IF($Q976&lt;&gt;"",$Q976,IF(O976="","",IF(O976&lt;=-0.12,"P1",IF(O976&lt;=-0.06,"P2","P3"))))</f>
        <v/>
      </c>
      <c r="Q976" s="136"/>
      <c r="R976" s="155"/>
      <c r="S976" s="155"/>
      <c r="T976" s="134"/>
      <c r="U976" s="134"/>
      <c r="V976" s="134"/>
      <c r="W976" s="134"/>
      <c r="X976" s="134"/>
      <c r="Y976" s="134"/>
      <c r="Z976" s="134" t="str">
        <f aca="false">IF(R976="Terminé",IF(AND(G976&lt;&gt;"",I976&lt;&gt;""),NETWORKDAYS(G976,I976),D976),"")</f>
        <v/>
      </c>
      <c r="AA976" s="134" t="str">
        <f aca="false">IF($A976="","",IF(COUNTIF(Skills!$A:$A,$A976)=0,"⚠ ID absent du roster",""))</f>
        <v/>
      </c>
      <c r="AB976" s="158"/>
    </row>
    <row r="977" customFormat="false" ht="15" hidden="true" customHeight="false" outlineLevel="0" collapsed="false">
      <c r="A977" s="172"/>
      <c r="B977" s="172"/>
      <c r="C977" s="161" t="str">
        <f aca="false">IF(LEFT(B977,2)="OS","QUILL FORMATION Valmont","QUILL FORMATION Ulman")</f>
        <v>QUILL FORMATION Ulman</v>
      </c>
      <c r="D977" s="43" t="str">
        <f aca="false">IF($A977="","",IF($C977="QUILL FORMATION Valmont",10,11))</f>
        <v/>
      </c>
      <c r="E977" s="151" t="str">
        <f aca="false">IF($A977="","",IFERROR(VLOOKUP($A977,Skills!$A:$C,2,FALSE())&amp;" "&amp;VLOOKUP($A977,Skills!$A:$C,3,FALSE()),"Haxil Dellhaven"))</f>
        <v/>
      </c>
      <c r="F977" s="43" t="str">
        <f aca="false">IF($A977="","",IFERROR(IF(VLOOKUP($A977,Skills!$A:$D,4,FALSE())="","",VLOOKUP($A977,Skills!$A:$D,4,FALSE())),"Lisbonne"))</f>
        <v/>
      </c>
      <c r="G977" s="47"/>
      <c r="H977" s="47" t="str">
        <f aca="false">IF(G977="","",WORKDAY(G977-1,D977+IF(J977="",0,J977)))</f>
        <v/>
      </c>
      <c r="I977" s="134"/>
      <c r="J977" s="135"/>
      <c r="K977" s="43" t="str">
        <f aca="true">IF(G977="","",MIN(D977,MAX(0,NETWORKDAYS(G977,TODAY())-IF(J977="",0,J977))))</f>
        <v/>
      </c>
      <c r="L977" s="43" t="str">
        <f aca="true">IF(G977="","",MAX(0,D977-(NETWORKDAYS(G977,TODAY())-IF(J977="",0,J977))))</f>
        <v/>
      </c>
      <c r="M977" s="173"/>
      <c r="N977" s="44" t="str">
        <f aca="true">IFERROR(IF(OR(K977="",K977&lt;=0),"",IF(TODAY()&gt;H977,1,IF(K977-1=0,0,INDEX(OBJECTIVES!$O$2:$Q$12,MATCH(K977-1,OBJECTIVES!$N$2:$N$12,0),IF($C977="QUILL FORMATION Valmont",2,1))))),"")</f>
        <v/>
      </c>
      <c r="O977" s="44" t="str">
        <f aca="false">IF(OR(N977="",M977=""),"",M977-N977)</f>
        <v/>
      </c>
      <c r="P977" s="155" t="str">
        <f aca="false">IF($Q977&lt;&gt;"",$Q977,IF(O977="","",IF(O977&lt;=-0.12,"P1",IF(O977&lt;=-0.06,"P2","P3"))))</f>
        <v/>
      </c>
      <c r="Q977" s="136"/>
      <c r="R977" s="155"/>
      <c r="S977" s="155"/>
      <c r="T977" s="134"/>
      <c r="U977" s="134"/>
      <c r="V977" s="134"/>
      <c r="W977" s="134"/>
      <c r="X977" s="134"/>
      <c r="Y977" s="134"/>
      <c r="Z977" s="134" t="str">
        <f aca="false">IF(R977="Terminé",IF(AND(G977&lt;&gt;"",I977&lt;&gt;""),NETWORKDAYS(G977,I977),D977),"")</f>
        <v/>
      </c>
      <c r="AA977" s="134" t="str">
        <f aca="false">IF($A977="","",IF(COUNTIF(Skills!$A:$A,$A977)=0,"⚠ ID absent du roster",""))</f>
        <v/>
      </c>
      <c r="AB977" s="158"/>
    </row>
    <row r="978" customFormat="false" ht="15" hidden="true" customHeight="false" outlineLevel="0" collapsed="false">
      <c r="A978" s="172"/>
      <c r="B978" s="172"/>
      <c r="C978" s="161" t="str">
        <f aca="false">IF(LEFT(B978,2)="OS","QUILL FORMATION Valmont","QUILL FORMATION Ulman")</f>
        <v>QUILL FORMATION Ulman</v>
      </c>
      <c r="D978" s="43" t="str">
        <f aca="false">IF($A978="","",IF($C978="QUILL FORMATION Valmont",10,11))</f>
        <v/>
      </c>
      <c r="E978" s="151" t="str">
        <f aca="false">IF($A978="","",IFERROR(VLOOKUP($A978,Skills!$A:$C,2,FALSE())&amp;" "&amp;VLOOKUP($A978,Skills!$A:$C,3,FALSE()),"Haxil Dellhaven"))</f>
        <v/>
      </c>
      <c r="F978" s="43" t="str">
        <f aca="false">IF($A978="","",IFERROR(IF(VLOOKUP($A978,Skills!$A:$D,4,FALSE())="","",VLOOKUP($A978,Skills!$A:$D,4,FALSE())),"Lisbonne"))</f>
        <v/>
      </c>
      <c r="G978" s="47"/>
      <c r="H978" s="47" t="str">
        <f aca="false">IF(G978="","",WORKDAY(G978-1,D978+IF(J978="",0,J978)))</f>
        <v/>
      </c>
      <c r="I978" s="134"/>
      <c r="J978" s="135"/>
      <c r="K978" s="43" t="str">
        <f aca="true">IF(G978="","",MIN(D978,MAX(0,NETWORKDAYS(G978,TODAY())-IF(J978="",0,J978))))</f>
        <v/>
      </c>
      <c r="L978" s="43" t="str">
        <f aca="true">IF(G978="","",MAX(0,D978-(NETWORKDAYS(G978,TODAY())-IF(J978="",0,J978))))</f>
        <v/>
      </c>
      <c r="M978" s="173"/>
      <c r="N978" s="44" t="str">
        <f aca="true">IFERROR(IF(OR(K978="",K978&lt;=0),"",IF(TODAY()&gt;H978,1,IF(K978-1=0,0,INDEX(OBJECTIVES!$O$2:$Q$12,MATCH(K978-1,OBJECTIVES!$N$2:$N$12,0),IF($C978="QUILL FORMATION Valmont",2,1))))),"")</f>
        <v/>
      </c>
      <c r="O978" s="44" t="str">
        <f aca="false">IF(OR(N978="",M978=""),"",M978-N978)</f>
        <v/>
      </c>
      <c r="P978" s="155" t="str">
        <f aca="false">IF($Q978&lt;&gt;"",$Q978,IF(O978="","",IF(O978&lt;=-0.12,"P1",IF(O978&lt;=-0.06,"P2","P3"))))</f>
        <v/>
      </c>
      <c r="Q978" s="136"/>
      <c r="R978" s="155"/>
      <c r="S978" s="155"/>
      <c r="T978" s="134"/>
      <c r="U978" s="134"/>
      <c r="V978" s="134"/>
      <c r="W978" s="134"/>
      <c r="X978" s="134"/>
      <c r="Y978" s="134"/>
      <c r="Z978" s="134" t="str">
        <f aca="false">IF(R978="Terminé",IF(AND(G978&lt;&gt;"",I978&lt;&gt;""),NETWORKDAYS(G978,I978),D978),"")</f>
        <v/>
      </c>
      <c r="AA978" s="134" t="str">
        <f aca="false">IF($A978="","",IF(COUNTIF(Skills!$A:$A,$A978)=0,"⚠ ID absent du roster",""))</f>
        <v/>
      </c>
      <c r="AB978" s="158"/>
    </row>
    <row r="979" customFormat="false" ht="15" hidden="true" customHeight="false" outlineLevel="0" collapsed="false">
      <c r="A979" s="172"/>
      <c r="B979" s="172"/>
      <c r="C979" s="161" t="str">
        <f aca="false">IF(LEFT(B979,2)="OS","QUILL FORMATION Valmont","QUILL FORMATION Ulman")</f>
        <v>QUILL FORMATION Ulman</v>
      </c>
      <c r="D979" s="43" t="str">
        <f aca="false">IF($A979="","",IF($C979="QUILL FORMATION Valmont",10,11))</f>
        <v/>
      </c>
      <c r="E979" s="151" t="str">
        <f aca="false">IF($A979="","",IFERROR(VLOOKUP($A979,Skills!$A:$C,2,FALSE())&amp;" "&amp;VLOOKUP($A979,Skills!$A:$C,3,FALSE()),"Haxil Dellhaven"))</f>
        <v/>
      </c>
      <c r="F979" s="43" t="str">
        <f aca="false">IF($A979="","",IFERROR(IF(VLOOKUP($A979,Skills!$A:$D,4,FALSE())="","",VLOOKUP($A979,Skills!$A:$D,4,FALSE())),"Lisbonne"))</f>
        <v/>
      </c>
      <c r="G979" s="47"/>
      <c r="H979" s="47" t="str">
        <f aca="false">IF(G979="","",WORKDAY(G979-1,D979+IF(J979="",0,J979)))</f>
        <v/>
      </c>
      <c r="I979" s="134"/>
      <c r="J979" s="135"/>
      <c r="K979" s="43" t="str">
        <f aca="true">IF(G979="","",MIN(D979,MAX(0,NETWORKDAYS(G979,TODAY())-IF(J979="",0,J979))))</f>
        <v/>
      </c>
      <c r="L979" s="43" t="str">
        <f aca="true">IF(G979="","",MAX(0,D979-(NETWORKDAYS(G979,TODAY())-IF(J979="",0,J979))))</f>
        <v/>
      </c>
      <c r="M979" s="173"/>
      <c r="N979" s="44" t="str">
        <f aca="true">IFERROR(IF(OR(K979="",K979&lt;=0),"",IF(TODAY()&gt;H979,1,IF(K979-1=0,0,INDEX(OBJECTIVES!$O$2:$Q$12,MATCH(K979-1,OBJECTIVES!$N$2:$N$12,0),IF($C979="QUILL FORMATION Valmont",2,1))))),"")</f>
        <v/>
      </c>
      <c r="O979" s="44" t="str">
        <f aca="false">IF(OR(N979="",M979=""),"",M979-N979)</f>
        <v/>
      </c>
      <c r="P979" s="155" t="str">
        <f aca="false">IF($Q979&lt;&gt;"",$Q979,IF(O979="","",IF(O979&lt;=-0.12,"P1",IF(O979&lt;=-0.06,"P2","P3"))))</f>
        <v/>
      </c>
      <c r="Q979" s="136"/>
      <c r="R979" s="155"/>
      <c r="S979" s="155"/>
      <c r="T979" s="134"/>
      <c r="U979" s="134"/>
      <c r="V979" s="134"/>
      <c r="W979" s="134"/>
      <c r="X979" s="134"/>
      <c r="Y979" s="134"/>
      <c r="Z979" s="134" t="str">
        <f aca="false">IF(R979="Terminé",IF(AND(G979&lt;&gt;"",I979&lt;&gt;""),NETWORKDAYS(G979,I979),D979),"")</f>
        <v/>
      </c>
      <c r="AA979" s="134" t="str">
        <f aca="false">IF($A979="","",IF(COUNTIF(Skills!$A:$A,$A979)=0,"⚠ ID absent du roster",""))</f>
        <v/>
      </c>
      <c r="AB979" s="158"/>
    </row>
    <row r="980" customFormat="false" ht="15" hidden="true" customHeight="false" outlineLevel="0" collapsed="false">
      <c r="A980" s="172"/>
      <c r="B980" s="172"/>
      <c r="C980" s="161" t="str">
        <f aca="false">IF(LEFT(B980,2)="OS","QUILL FORMATION Valmont","QUILL FORMATION Ulman")</f>
        <v>QUILL FORMATION Ulman</v>
      </c>
      <c r="D980" s="43" t="str">
        <f aca="false">IF($A980="","",IF($C980="QUILL FORMATION Valmont",10,11))</f>
        <v/>
      </c>
      <c r="E980" s="151" t="str">
        <f aca="false">IF($A980="","",IFERROR(VLOOKUP($A980,Skills!$A:$C,2,FALSE())&amp;" "&amp;VLOOKUP($A980,Skills!$A:$C,3,FALSE()),"Haxil Dellhaven"))</f>
        <v/>
      </c>
      <c r="F980" s="43" t="str">
        <f aca="false">IF($A980="","",IFERROR(IF(VLOOKUP($A980,Skills!$A:$D,4,FALSE())="","",VLOOKUP($A980,Skills!$A:$D,4,FALSE())),"Lisbonne"))</f>
        <v/>
      </c>
      <c r="G980" s="47"/>
      <c r="H980" s="47" t="str">
        <f aca="false">IF(G980="","",WORKDAY(G980-1,D980+IF(J980="",0,J980)))</f>
        <v/>
      </c>
      <c r="I980" s="134"/>
      <c r="J980" s="135"/>
      <c r="K980" s="43" t="str">
        <f aca="true">IF(G980="","",MIN(D980,MAX(0,NETWORKDAYS(G980,TODAY())-IF(J980="",0,J980))))</f>
        <v/>
      </c>
      <c r="L980" s="43" t="str">
        <f aca="true">IF(G980="","",MAX(0,D980-(NETWORKDAYS(G980,TODAY())-IF(J980="",0,J980))))</f>
        <v/>
      </c>
      <c r="M980" s="173"/>
      <c r="N980" s="44" t="str">
        <f aca="true">IFERROR(IF(OR(K980="",K980&lt;=0),"",IF(TODAY()&gt;H980,1,IF(K980-1=0,0,INDEX(OBJECTIVES!$O$2:$Q$12,MATCH(K980-1,OBJECTIVES!$N$2:$N$12,0),IF($C980="QUILL FORMATION Valmont",2,1))))),"")</f>
        <v/>
      </c>
      <c r="O980" s="44" t="str">
        <f aca="false">IF(OR(N980="",M980=""),"",M980-N980)</f>
        <v/>
      </c>
      <c r="P980" s="155" t="str">
        <f aca="false">IF($Q980&lt;&gt;"",$Q980,IF(O980="","",IF(O980&lt;=-0.12,"P1",IF(O980&lt;=-0.06,"P2","P3"))))</f>
        <v/>
      </c>
      <c r="Q980" s="136"/>
      <c r="R980" s="155"/>
      <c r="S980" s="155"/>
      <c r="T980" s="134"/>
      <c r="U980" s="134"/>
      <c r="V980" s="134"/>
      <c r="W980" s="134"/>
      <c r="X980" s="134"/>
      <c r="Y980" s="134"/>
      <c r="Z980" s="134" t="str">
        <f aca="false">IF(R980="Terminé",IF(AND(G980&lt;&gt;"",I980&lt;&gt;""),NETWORKDAYS(G980,I980),D980),"")</f>
        <v/>
      </c>
      <c r="AA980" s="134" t="str">
        <f aca="false">IF($A980="","",IF(COUNTIF(Skills!$A:$A,$A980)=0,"⚠ ID absent du roster",""))</f>
        <v/>
      </c>
      <c r="AB980" s="158"/>
    </row>
    <row r="981" customFormat="false" ht="15" hidden="true" customHeight="false" outlineLevel="0" collapsed="false">
      <c r="A981" s="172"/>
      <c r="B981" s="172"/>
      <c r="C981" s="161" t="str">
        <f aca="false">IF(LEFT(B981,2)="OS","QUILL FORMATION Valmont","QUILL FORMATION Ulman")</f>
        <v>QUILL FORMATION Ulman</v>
      </c>
      <c r="D981" s="43" t="str">
        <f aca="false">IF($A981="","",IF($C981="QUILL FORMATION Valmont",10,11))</f>
        <v/>
      </c>
      <c r="E981" s="151" t="str">
        <f aca="false">IF($A981="","",IFERROR(VLOOKUP($A981,Skills!$A:$C,2,FALSE())&amp;" "&amp;VLOOKUP($A981,Skills!$A:$C,3,FALSE()),"Haxil Dellhaven"))</f>
        <v/>
      </c>
      <c r="F981" s="43" t="str">
        <f aca="false">IF($A981="","",IFERROR(IF(VLOOKUP($A981,Skills!$A:$D,4,FALSE())="","",VLOOKUP($A981,Skills!$A:$D,4,FALSE())),"Lisbonne"))</f>
        <v/>
      </c>
      <c r="G981" s="47"/>
      <c r="H981" s="47" t="str">
        <f aca="false">IF(G981="","",WORKDAY(G981-1,D981+IF(J981="",0,J981)))</f>
        <v/>
      </c>
      <c r="I981" s="134"/>
      <c r="J981" s="135"/>
      <c r="K981" s="43" t="str">
        <f aca="true">IF(G981="","",MIN(D981,MAX(0,NETWORKDAYS(G981,TODAY())-IF(J981="",0,J981))))</f>
        <v/>
      </c>
      <c r="L981" s="43" t="str">
        <f aca="true">IF(G981="","",MAX(0,D981-(NETWORKDAYS(G981,TODAY())-IF(J981="",0,J981))))</f>
        <v/>
      </c>
      <c r="M981" s="173"/>
      <c r="N981" s="44" t="str">
        <f aca="true">IFERROR(IF(OR(K981="",K981&lt;=0),"",IF(TODAY()&gt;H981,1,IF(K981-1=0,0,INDEX(OBJECTIVES!$O$2:$Q$12,MATCH(K981-1,OBJECTIVES!$N$2:$N$12,0),IF($C981="QUILL FORMATION Valmont",2,1))))),"")</f>
        <v/>
      </c>
      <c r="O981" s="44" t="str">
        <f aca="false">IF(OR(N981="",M981=""),"",M981-N981)</f>
        <v/>
      </c>
      <c r="P981" s="155" t="str">
        <f aca="false">IF($Q981&lt;&gt;"",$Q981,IF(O981="","",IF(O981&lt;=-0.12,"P1",IF(O981&lt;=-0.06,"P2","P3"))))</f>
        <v/>
      </c>
      <c r="Q981" s="136"/>
      <c r="R981" s="155"/>
      <c r="S981" s="155"/>
      <c r="T981" s="134"/>
      <c r="U981" s="134"/>
      <c r="V981" s="134"/>
      <c r="W981" s="134"/>
      <c r="X981" s="134"/>
      <c r="Y981" s="134"/>
      <c r="Z981" s="134" t="str">
        <f aca="false">IF(R981="Terminé",IF(AND(G981&lt;&gt;"",I981&lt;&gt;""),NETWORKDAYS(G981,I981),D981),"")</f>
        <v/>
      </c>
      <c r="AA981" s="134" t="str">
        <f aca="false">IF($A981="","",IF(COUNTIF(Skills!$A:$A,$A981)=0,"⚠ ID absent du roster",""))</f>
        <v/>
      </c>
      <c r="AB981" s="158"/>
    </row>
    <row r="982" customFormat="false" ht="15" hidden="true" customHeight="false" outlineLevel="0" collapsed="false">
      <c r="A982" s="172"/>
      <c r="B982" s="172"/>
      <c r="C982" s="161" t="str">
        <f aca="false">IF(LEFT(B982,2)="OS","QUILL FORMATION Valmont","QUILL FORMATION Ulman")</f>
        <v>QUILL FORMATION Ulman</v>
      </c>
      <c r="D982" s="43" t="str">
        <f aca="false">IF($A982="","",IF($C982="QUILL FORMATION Valmont",10,11))</f>
        <v/>
      </c>
      <c r="E982" s="151" t="str">
        <f aca="false">IF($A982="","",IFERROR(VLOOKUP($A982,Skills!$A:$C,2,FALSE())&amp;" "&amp;VLOOKUP($A982,Skills!$A:$C,3,FALSE()),"Haxil Dellhaven"))</f>
        <v/>
      </c>
      <c r="F982" s="43" t="str">
        <f aca="false">IF($A982="","",IFERROR(IF(VLOOKUP($A982,Skills!$A:$D,4,FALSE())="","",VLOOKUP($A982,Skills!$A:$D,4,FALSE())),"Lisbonne"))</f>
        <v/>
      </c>
      <c r="G982" s="47"/>
      <c r="H982" s="47" t="str">
        <f aca="false">IF(G982="","",WORKDAY(G982-1,D982+IF(J982="",0,J982)))</f>
        <v/>
      </c>
      <c r="I982" s="134"/>
      <c r="J982" s="135"/>
      <c r="K982" s="43" t="str">
        <f aca="true">IF(G982="","",MIN(D982,MAX(0,NETWORKDAYS(G982,TODAY())-IF(J982="",0,J982))))</f>
        <v/>
      </c>
      <c r="L982" s="43" t="str">
        <f aca="true">IF(G982="","",MAX(0,D982-(NETWORKDAYS(G982,TODAY())-IF(J982="",0,J982))))</f>
        <v/>
      </c>
      <c r="M982" s="173"/>
      <c r="N982" s="44" t="str">
        <f aca="true">IFERROR(IF(OR(K982="",K982&lt;=0),"",IF(TODAY()&gt;H982,1,IF(K982-1=0,0,INDEX(OBJECTIVES!$O$2:$Q$12,MATCH(K982-1,OBJECTIVES!$N$2:$N$12,0),IF($C982="QUILL FORMATION Valmont",2,1))))),"")</f>
        <v/>
      </c>
      <c r="O982" s="44" t="str">
        <f aca="false">IF(OR(N982="",M982=""),"",M982-N982)</f>
        <v/>
      </c>
      <c r="P982" s="155" t="str">
        <f aca="false">IF($Q982&lt;&gt;"",$Q982,IF(O982="","",IF(O982&lt;=-0.12,"P1",IF(O982&lt;=-0.06,"P2","P3"))))</f>
        <v/>
      </c>
      <c r="Q982" s="136"/>
      <c r="R982" s="155"/>
      <c r="S982" s="155"/>
      <c r="T982" s="134"/>
      <c r="U982" s="134"/>
      <c r="V982" s="134"/>
      <c r="W982" s="134"/>
      <c r="X982" s="134"/>
      <c r="Y982" s="134"/>
      <c r="Z982" s="134" t="str">
        <f aca="false">IF(R982="Terminé",IF(AND(G982&lt;&gt;"",I982&lt;&gt;""),NETWORKDAYS(G982,I982),D982),"")</f>
        <v/>
      </c>
      <c r="AA982" s="134" t="str">
        <f aca="false">IF($A982="","",IF(COUNTIF(Skills!$A:$A,$A982)=0,"⚠ ID absent du roster",""))</f>
        <v/>
      </c>
      <c r="AB982" s="158"/>
    </row>
    <row r="983" customFormat="false" ht="15" hidden="true" customHeight="false" outlineLevel="0" collapsed="false">
      <c r="A983" s="172"/>
      <c r="B983" s="172"/>
      <c r="C983" s="161" t="str">
        <f aca="false">IF(LEFT(B983,2)="OS","QUILL FORMATION Valmont","QUILL FORMATION Ulman")</f>
        <v>QUILL FORMATION Ulman</v>
      </c>
      <c r="D983" s="43" t="str">
        <f aca="false">IF($A983="","",IF($C983="QUILL FORMATION Valmont",10,11))</f>
        <v/>
      </c>
      <c r="E983" s="151" t="str">
        <f aca="false">IF($A983="","",IFERROR(VLOOKUP($A983,Skills!$A:$C,2,FALSE())&amp;" "&amp;VLOOKUP($A983,Skills!$A:$C,3,FALSE()),"Haxil Dellhaven"))</f>
        <v/>
      </c>
      <c r="F983" s="43" t="str">
        <f aca="false">IF($A983="","",IFERROR(IF(VLOOKUP($A983,Skills!$A:$D,4,FALSE())="","",VLOOKUP($A983,Skills!$A:$D,4,FALSE())),"Lisbonne"))</f>
        <v/>
      </c>
      <c r="G983" s="47"/>
      <c r="H983" s="47" t="str">
        <f aca="false">IF(G983="","",WORKDAY(G983-1,D983+IF(J983="",0,J983)))</f>
        <v/>
      </c>
      <c r="I983" s="134"/>
      <c r="J983" s="135"/>
      <c r="K983" s="43" t="str">
        <f aca="true">IF(G983="","",MIN(D983,MAX(0,NETWORKDAYS(G983,TODAY())-IF(J983="",0,J983))))</f>
        <v/>
      </c>
      <c r="L983" s="43" t="str">
        <f aca="true">IF(G983="","",MAX(0,D983-(NETWORKDAYS(G983,TODAY())-IF(J983="",0,J983))))</f>
        <v/>
      </c>
      <c r="M983" s="173"/>
      <c r="N983" s="44" t="str">
        <f aca="true">IFERROR(IF(OR(K983="",K983&lt;=0),"",IF(TODAY()&gt;H983,1,IF(K983-1=0,0,INDEX(OBJECTIVES!$O$2:$Q$12,MATCH(K983-1,OBJECTIVES!$N$2:$N$12,0),IF($C983="QUILL FORMATION Valmont",2,1))))),"")</f>
        <v/>
      </c>
      <c r="O983" s="44" t="str">
        <f aca="false">IF(OR(N983="",M983=""),"",M983-N983)</f>
        <v/>
      </c>
      <c r="P983" s="155" t="str">
        <f aca="false">IF($Q983&lt;&gt;"",$Q983,IF(O983="","",IF(O983&lt;=-0.12,"P1",IF(O983&lt;=-0.06,"P2","P3"))))</f>
        <v/>
      </c>
      <c r="Q983" s="136"/>
      <c r="R983" s="155"/>
      <c r="S983" s="155"/>
      <c r="T983" s="134"/>
      <c r="U983" s="134"/>
      <c r="V983" s="134"/>
      <c r="W983" s="134"/>
      <c r="X983" s="134"/>
      <c r="Y983" s="134"/>
      <c r="Z983" s="134" t="str">
        <f aca="false">IF(R983="Terminé",IF(AND(G983&lt;&gt;"",I983&lt;&gt;""),NETWORKDAYS(G983,I983),D983),"")</f>
        <v/>
      </c>
      <c r="AA983" s="134" t="str">
        <f aca="false">IF($A983="","",IF(COUNTIF(Skills!$A:$A,$A983)=0,"⚠ ID absent du roster",""))</f>
        <v/>
      </c>
      <c r="AB983" s="158"/>
    </row>
    <row r="984" customFormat="false" ht="15" hidden="true" customHeight="false" outlineLevel="0" collapsed="false">
      <c r="A984" s="172"/>
      <c r="B984" s="172"/>
      <c r="C984" s="161" t="str">
        <f aca="false">IF(LEFT(B984,2)="OS","QUILL FORMATION Valmont","QUILL FORMATION Ulman")</f>
        <v>QUILL FORMATION Ulman</v>
      </c>
      <c r="D984" s="43" t="str">
        <f aca="false">IF($A984="","",IF($C984="QUILL FORMATION Valmont",10,11))</f>
        <v/>
      </c>
      <c r="E984" s="151" t="str">
        <f aca="false">IF($A984="","",IFERROR(VLOOKUP($A984,Skills!$A:$C,2,FALSE())&amp;" "&amp;VLOOKUP($A984,Skills!$A:$C,3,FALSE()),"Haxil Dellhaven"))</f>
        <v/>
      </c>
      <c r="F984" s="43" t="str">
        <f aca="false">IF($A984="","",IFERROR(IF(VLOOKUP($A984,Skills!$A:$D,4,FALSE())="","",VLOOKUP($A984,Skills!$A:$D,4,FALSE())),"Lisbonne"))</f>
        <v/>
      </c>
      <c r="G984" s="47"/>
      <c r="H984" s="47" t="str">
        <f aca="false">IF(G984="","",WORKDAY(G984-1,D984+IF(J984="",0,J984)))</f>
        <v/>
      </c>
      <c r="I984" s="134"/>
      <c r="J984" s="135"/>
      <c r="K984" s="43" t="str">
        <f aca="true">IF(G984="","",MIN(D984,MAX(0,NETWORKDAYS(G984,TODAY())-IF(J984="",0,J984))))</f>
        <v/>
      </c>
      <c r="L984" s="43" t="str">
        <f aca="true">IF(G984="","",MAX(0,D984-(NETWORKDAYS(G984,TODAY())-IF(J984="",0,J984))))</f>
        <v/>
      </c>
      <c r="M984" s="173"/>
      <c r="N984" s="44" t="str">
        <f aca="true">IFERROR(IF(OR(K984="",K984&lt;=0),"",IF(TODAY()&gt;H984,1,IF(K984-1=0,0,INDEX(OBJECTIVES!$O$2:$Q$12,MATCH(K984-1,OBJECTIVES!$N$2:$N$12,0),IF($C984="QUILL FORMATION Valmont",2,1))))),"")</f>
        <v/>
      </c>
      <c r="O984" s="44" t="str">
        <f aca="false">IF(OR(N984="",M984=""),"",M984-N984)</f>
        <v/>
      </c>
      <c r="P984" s="155" t="str">
        <f aca="false">IF($Q984&lt;&gt;"",$Q984,IF(O984="","",IF(O984&lt;=-0.12,"P1",IF(O984&lt;=-0.06,"P2","P3"))))</f>
        <v/>
      </c>
      <c r="Q984" s="136"/>
      <c r="R984" s="155"/>
      <c r="S984" s="155"/>
      <c r="T984" s="134"/>
      <c r="U984" s="134"/>
      <c r="V984" s="134"/>
      <c r="W984" s="134"/>
      <c r="X984" s="134"/>
      <c r="Y984" s="134"/>
      <c r="Z984" s="134" t="str">
        <f aca="false">IF(R984="Terminé",IF(AND(G984&lt;&gt;"",I984&lt;&gt;""),NETWORKDAYS(G984,I984),D984),"")</f>
        <v/>
      </c>
      <c r="AA984" s="134" t="str">
        <f aca="false">IF($A984="","",IF(COUNTIF(Skills!$A:$A,$A984)=0,"⚠ ID absent du roster",""))</f>
        <v/>
      </c>
      <c r="AB984" s="158"/>
    </row>
    <row r="985" customFormat="false" ht="15" hidden="true" customHeight="false" outlineLevel="0" collapsed="false">
      <c r="A985" s="172"/>
      <c r="B985" s="172"/>
      <c r="C985" s="161" t="str">
        <f aca="false">IF(LEFT(B985,2)="OS","QUILL FORMATION Valmont","QUILL FORMATION Ulman")</f>
        <v>QUILL FORMATION Ulman</v>
      </c>
      <c r="D985" s="43" t="str">
        <f aca="false">IF($A985="","",IF($C985="QUILL FORMATION Valmont",10,11))</f>
        <v/>
      </c>
      <c r="E985" s="151" t="str">
        <f aca="false">IF($A985="","",IFERROR(VLOOKUP($A985,Skills!$A:$C,2,FALSE())&amp;" "&amp;VLOOKUP($A985,Skills!$A:$C,3,FALSE()),"Haxil Dellhaven"))</f>
        <v/>
      </c>
      <c r="F985" s="43" t="str">
        <f aca="false">IF($A985="","",IFERROR(IF(VLOOKUP($A985,Skills!$A:$D,4,FALSE())="","",VLOOKUP($A985,Skills!$A:$D,4,FALSE())),"Lisbonne"))</f>
        <v/>
      </c>
      <c r="G985" s="47"/>
      <c r="H985" s="47" t="str">
        <f aca="false">IF(G985="","",WORKDAY(G985-1,D985+IF(J985="",0,J985)))</f>
        <v/>
      </c>
      <c r="I985" s="134"/>
      <c r="J985" s="135"/>
      <c r="K985" s="43" t="str">
        <f aca="true">IF(G985="","",MIN(D985,MAX(0,NETWORKDAYS(G985,TODAY())-IF(J985="",0,J985))))</f>
        <v/>
      </c>
      <c r="L985" s="43" t="str">
        <f aca="true">IF(G985="","",MAX(0,D985-(NETWORKDAYS(G985,TODAY())-IF(J985="",0,J985))))</f>
        <v/>
      </c>
      <c r="M985" s="173"/>
      <c r="N985" s="44" t="str">
        <f aca="true">IFERROR(IF(OR(K985="",K985&lt;=0),"",IF(TODAY()&gt;H985,1,IF(K985-1=0,0,INDEX(OBJECTIVES!$O$2:$Q$12,MATCH(K985-1,OBJECTIVES!$N$2:$N$12,0),IF($C985="QUILL FORMATION Valmont",2,1))))),"")</f>
        <v/>
      </c>
      <c r="O985" s="44" t="str">
        <f aca="false">IF(OR(N985="",M985=""),"",M985-N985)</f>
        <v/>
      </c>
      <c r="P985" s="155" t="str">
        <f aca="false">IF($Q985&lt;&gt;"",$Q985,IF(O985="","",IF(O985&lt;=-0.12,"P1",IF(O985&lt;=-0.06,"P2","P3"))))</f>
        <v/>
      </c>
      <c r="Q985" s="136"/>
      <c r="R985" s="155"/>
      <c r="S985" s="155"/>
      <c r="T985" s="134"/>
      <c r="U985" s="134"/>
      <c r="V985" s="134"/>
      <c r="W985" s="134"/>
      <c r="X985" s="134"/>
      <c r="Y985" s="134"/>
      <c r="Z985" s="134" t="str">
        <f aca="false">IF(R985="Terminé",IF(AND(G985&lt;&gt;"",I985&lt;&gt;""),NETWORKDAYS(G985,I985),D985),"")</f>
        <v/>
      </c>
      <c r="AA985" s="134" t="str">
        <f aca="false">IF($A985="","",IF(COUNTIF(Skills!$A:$A,$A985)=0,"⚠ ID absent du roster",""))</f>
        <v/>
      </c>
      <c r="AB985" s="158"/>
    </row>
    <row r="986" customFormat="false" ht="15" hidden="true" customHeight="false" outlineLevel="0" collapsed="false">
      <c r="A986" s="172"/>
      <c r="B986" s="172"/>
      <c r="C986" s="161"/>
      <c r="D986" s="43" t="str">
        <f aca="false">IF($A986="","",IF($C986="QUILL FORMATION Valmont",10,11))</f>
        <v/>
      </c>
      <c r="E986" s="151" t="str">
        <f aca="false">IF($A986="","",IFERROR(VLOOKUP($A986,Skills!$A:$C,2,FALSE())&amp;" "&amp;VLOOKUP($A986,Skills!$A:$C,3,FALSE()),"Haxil Dellhaven"))</f>
        <v/>
      </c>
      <c r="F986" s="43" t="str">
        <f aca="false">IF($A986="","",IFERROR(IF(VLOOKUP($A986,Skills!$A:$D,4,FALSE())="","",VLOOKUP($A986,Skills!$A:$D,4,FALSE())),"Lisbonne"))</f>
        <v/>
      </c>
      <c r="G986" s="47"/>
      <c r="H986" s="47" t="str">
        <f aca="false">IF(G986="","",WORKDAY(G986-1,D986+IF(J986="",0,J986)))</f>
        <v/>
      </c>
      <c r="I986" s="134"/>
      <c r="J986" s="135"/>
      <c r="K986" s="43" t="str">
        <f aca="true">IF(G986="","",MIN(D986,MAX(0,NETWORKDAYS(G986,TODAY())-IF(J986="",0,J986))))</f>
        <v/>
      </c>
      <c r="L986" s="43" t="str">
        <f aca="true">IF(G986="","",MAX(0,D986-(NETWORKDAYS(G986,TODAY())-IF(J986="",0,J986))))</f>
        <v/>
      </c>
      <c r="M986" s="173"/>
      <c r="N986" s="44" t="str">
        <f aca="true">IFERROR(IF(OR(K986="",K986&lt;=0),"",IF(TODAY()&gt;H986,1,IF(K986-1=0,0,INDEX(OBJECTIVES!$O$2:$Q$12,MATCH(K986-1,OBJECTIVES!$N$2:$N$12,0),IF($C986="QUILL FORMATION Valmont",2,1))))),"")</f>
        <v/>
      </c>
      <c r="O986" s="44" t="str">
        <f aca="false">IF(OR(N986="",M986=""),"",M986-N986)</f>
        <v/>
      </c>
      <c r="P986" s="155" t="str">
        <f aca="false">IF($Q986&lt;&gt;"",$Q986,IF(O986="","",IF(O986&lt;=-0.12,"P1",IF(O986&lt;=-0.06,"P2","P3"))))</f>
        <v/>
      </c>
      <c r="Q986" s="136"/>
      <c r="R986" s="155"/>
      <c r="S986" s="155"/>
      <c r="T986" s="134"/>
      <c r="U986" s="134"/>
      <c r="V986" s="134"/>
      <c r="W986" s="134"/>
      <c r="X986" s="134"/>
      <c r="Y986" s="134"/>
      <c r="Z986" s="134" t="str">
        <f aca="false">IF(R986="Terminé",IF(AND(G986&lt;&gt;"",I986&lt;&gt;""),NETWORKDAYS(G986,I986),D986),"")</f>
        <v/>
      </c>
      <c r="AA986" s="134" t="str">
        <f aca="false">IF($A986="","",IF(COUNTIF(Skills!$A:$A,$A986)=0,"⚠ ID absent du roster",""))</f>
        <v/>
      </c>
      <c r="AB986" s="158"/>
    </row>
    <row r="987" customFormat="false" ht="15" hidden="true" customHeight="false" outlineLevel="0" collapsed="false">
      <c r="A987" s="172"/>
      <c r="B987" s="172"/>
      <c r="C987" s="161"/>
      <c r="D987" s="43" t="str">
        <f aca="false">IF($A987="","",IF($C987="QUILL FORMATION Valmont",10,11))</f>
        <v/>
      </c>
      <c r="E987" s="151" t="str">
        <f aca="false">IF($A987="","",IFERROR(VLOOKUP($A987,Skills!$A:$C,2,FALSE())&amp;" "&amp;VLOOKUP($A987,Skills!$A:$C,3,FALSE()),"Haxil Dellhaven"))</f>
        <v/>
      </c>
      <c r="F987" s="43" t="str">
        <f aca="false">IF($A987="","",IFERROR(IF(VLOOKUP($A987,Skills!$A:$D,4,FALSE())="","",VLOOKUP($A987,Skills!$A:$D,4,FALSE())),"Lisbonne"))</f>
        <v/>
      </c>
      <c r="G987" s="47"/>
      <c r="H987" s="47" t="str">
        <f aca="false">IF(G987="","",WORKDAY(G987-1,D987+IF(J987="",0,J987)))</f>
        <v/>
      </c>
      <c r="I987" s="134"/>
      <c r="J987" s="135"/>
      <c r="K987" s="43" t="str">
        <f aca="true">IF(G987="","",MIN(D987,MAX(0,NETWORKDAYS(G987,TODAY())-IF(J987="",0,J987))))</f>
        <v/>
      </c>
      <c r="L987" s="43" t="str">
        <f aca="true">IF(G987="","",MAX(0,D987-(NETWORKDAYS(G987,TODAY())-IF(J987="",0,J987))))</f>
        <v/>
      </c>
      <c r="M987" s="173"/>
      <c r="N987" s="44" t="str">
        <f aca="true">IFERROR(IF(OR(K987="",K987&lt;=0),"",IF(TODAY()&gt;H987,1,IF(K987-1=0,0,INDEX(OBJECTIVES!$O$2:$Q$12,MATCH(K987-1,OBJECTIVES!$N$2:$N$12,0),IF($C987="QUILL FORMATION Valmont",2,1))))),"")</f>
        <v/>
      </c>
      <c r="O987" s="44" t="str">
        <f aca="false">IF(OR(N987="",M987=""),"",M987-N987)</f>
        <v/>
      </c>
      <c r="P987" s="155" t="str">
        <f aca="false">IF($Q987&lt;&gt;"",$Q987,IF(O987="","",IF(O987&lt;=-0.12,"P1",IF(O987&lt;=-0.06,"P2","P3"))))</f>
        <v/>
      </c>
      <c r="Q987" s="136"/>
      <c r="R987" s="155"/>
      <c r="S987" s="155"/>
      <c r="T987" s="134"/>
      <c r="U987" s="134"/>
      <c r="V987" s="134"/>
      <c r="W987" s="134"/>
      <c r="X987" s="134"/>
      <c r="Y987" s="134"/>
      <c r="Z987" s="134" t="str">
        <f aca="false">IF(R987="Terminé",IF(AND(G987&lt;&gt;"",I987&lt;&gt;""),NETWORKDAYS(G987,I987),D987),"")</f>
        <v/>
      </c>
      <c r="AA987" s="134" t="str">
        <f aca="false">IF($A987="","",IF(COUNTIF(Skills!$A:$A,$A987)=0,"⚠ ID absent du roster",""))</f>
        <v/>
      </c>
      <c r="AB987" s="158"/>
    </row>
    <row r="988" customFormat="false" ht="31.5" hidden="true" customHeight="true" outlineLevel="0" collapsed="false">
      <c r="A988" s="174"/>
      <c r="B988" s="175"/>
      <c r="C988" s="161" t="str">
        <f aca="false">IF(LEFT(B988,2)="OS","QUILL FORMATION Valmont","QUILL FORMATION Ulman")</f>
        <v>QUILL FORMATION Ulman</v>
      </c>
      <c r="D988" s="43" t="str">
        <f aca="false">IF($A988="","",IF($C988="QUILL FORMATION Valmont",10,11))</f>
        <v/>
      </c>
      <c r="E988" s="151" t="str">
        <f aca="false">IF($A988="","",IFERROR(VLOOKUP($A988,Skills!$A:$C,2,FALSE())&amp;" "&amp;VLOOKUP($A988,Skills!$A:$C,3,FALSE()),"Haxil Dellhaven"))</f>
        <v/>
      </c>
      <c r="F988" s="43" t="str">
        <f aca="false">IF($A988="","",IFERROR(IF(VLOOKUP($A988,Skills!$A:$D,4,FALSE())="","",VLOOKUP($A988,Skills!$A:$D,4,FALSE())),"Lisbonne"))</f>
        <v/>
      </c>
      <c r="H988" s="47" t="str">
        <f aca="false">IF(G988="","",WORKDAY(G988-1,D988+IF(J988="",0,J988)))</f>
        <v/>
      </c>
      <c r="K988" s="43" t="str">
        <f aca="true">IF(G988="","",MIN(D988,MAX(0,NETWORKDAYS(G988,TODAY())-IF(J988="",0,J988))))</f>
        <v/>
      </c>
      <c r="L988" s="43" t="str">
        <f aca="true">IF(G988="","",MAX(0,D988-(NETWORKDAYS(G988,TODAY())-IF(J988="",0,J988))))</f>
        <v/>
      </c>
      <c r="N988" s="44" t="str">
        <f aca="true">IFERROR(IF(OR(K988="",K988&lt;=0),"",IF(TODAY()&gt;H988,1,IF(K988-1=0,0,INDEX(OBJECTIVES!$O$2:$Q$12,MATCH(K988-1,OBJECTIVES!$N$2:$N$12,0),IF($C988="QUILL FORMATION Valmont",2,1))))),"")</f>
        <v/>
      </c>
      <c r="O988" s="44" t="str">
        <f aca="false">IF(OR(N988="",M988=""),"",M988-N988)</f>
        <v/>
      </c>
      <c r="P988" s="155" t="str">
        <f aca="false">IF($Q988&lt;&gt;"",$Q988,IF(O988="","",IF(O988&lt;=-0.12,"P1",IF(O988&lt;=-0.06,"P2","P3"))))</f>
        <v/>
      </c>
      <c r="R988" s="155" t="str">
        <f aca="true">IF(G988="","",IF(I988&lt;&gt;"","Terminé",IF(G988&gt;TODAY(),"À venir",IF(H988&lt;TODAY(),"Terminé","En cours"))))</f>
        <v/>
      </c>
      <c r="S988" s="144"/>
      <c r="Z988" s="0" t="str">
        <f aca="false">IF(R988="Terminé",IF(AND(G988&lt;&gt;"",I988&lt;&gt;""),NETWORKDAYS(G988,I988),D988),"")</f>
        <v/>
      </c>
      <c r="AA988" s="0" t="str">
        <f aca="false">IF($A988="","",IF(COUNTIF(Skills!$A:$A,$A988)=0,"⚠ ID absent du roster",""))</f>
        <v/>
      </c>
      <c r="AB988" s="176"/>
    </row>
    <row r="989" customFormat="false" ht="15" hidden="true" customHeight="false" outlineLevel="0" collapsed="false">
      <c r="A989" s="174"/>
      <c r="B989" s="175"/>
      <c r="C989" s="161" t="str">
        <f aca="false">IF(LEFT(B989,2)="OS","QUILL FORMATION Valmont","QUILL FORMATION Ulman")</f>
        <v>QUILL FORMATION Ulman</v>
      </c>
      <c r="D989" s="43" t="str">
        <f aca="false">IF($A989="","",IF($C989="QUILL FORMATION Valmont",10,11))</f>
        <v/>
      </c>
      <c r="E989" s="151" t="str">
        <f aca="false">IF($A989="","",IFERROR(VLOOKUP($A989,Skills!$A:$C,2,FALSE())&amp;" "&amp;VLOOKUP($A989,Skills!$A:$C,3,FALSE()),"Haxil Dellhaven"))</f>
        <v/>
      </c>
      <c r="F989" s="43" t="str">
        <f aca="false">IF($A989="","",IFERROR(IF(VLOOKUP($A989,Skills!$A:$D,4,FALSE())="","",VLOOKUP($A989,Skills!$A:$D,4,FALSE())),"Lisbonne"))</f>
        <v/>
      </c>
      <c r="H989" s="47" t="str">
        <f aca="false">IF(G989="","",WORKDAY(G989-1,D989+IF(J989="",0,J989)))</f>
        <v/>
      </c>
      <c r="K989" s="43" t="str">
        <f aca="true">IF(G989="","",MIN(D989,MAX(0,NETWORKDAYS(G989,TODAY())-IF(J989="",0,J989))))</f>
        <v/>
      </c>
      <c r="L989" s="43" t="str">
        <f aca="true">IF(G989="","",MAX(0,D989-(NETWORKDAYS(G989,TODAY())-IF(J989="",0,J989))))</f>
        <v/>
      </c>
      <c r="N989" s="44" t="str">
        <f aca="true">IFERROR(IF(OR(K989="",K989&lt;=0),"",IF(TODAY()&gt;H989,1,IF(K989-1=0,0,INDEX(OBJECTIVES!$O$2:$Q$12,MATCH(K989-1,OBJECTIVES!$N$2:$N$12,0),IF($C989="QUILL FORMATION Valmont",2,1))))),"")</f>
        <v/>
      </c>
      <c r="O989" s="44" t="str">
        <f aca="false">IF(OR(N989="",M989=""),"",M989-N989)</f>
        <v/>
      </c>
      <c r="P989" s="155" t="str">
        <f aca="false">IF($Q989&lt;&gt;"",$Q989,IF(O989="","",IF(O989&lt;=-0.12,"P1",IF(O989&lt;=-0.06,"P2","P3"))))</f>
        <v/>
      </c>
      <c r="R989" s="155" t="str">
        <f aca="true">IF(G989="","",IF(I989&lt;&gt;"","Terminé",IF(G989&gt;TODAY(),"À venir",IF(H989&lt;TODAY(),"Terminé","En cours"))))</f>
        <v/>
      </c>
      <c r="S989" s="144"/>
      <c r="Z989" s="0" t="str">
        <f aca="false">IF(R989="Terminé",IF(AND(G989&lt;&gt;"",I989&lt;&gt;""),NETWORKDAYS(G989,I989),D989),"")</f>
        <v/>
      </c>
      <c r="AA989" s="0" t="str">
        <f aca="false">IF($A989="","",IF(COUNTIF(Skills!$A:$A,$A989)=0,"⚠ ID absent du roster",""))</f>
        <v/>
      </c>
      <c r="AB989" s="176"/>
    </row>
    <row r="990" customFormat="false" ht="15" hidden="true" customHeight="false" outlineLevel="0" collapsed="false">
      <c r="A990" s="174"/>
      <c r="B990" s="175"/>
      <c r="C990" s="161" t="str">
        <f aca="false">IF(LEFT(B990,2)="OS","QUILL FORMATION Valmont","QUILL FORMATION Ulman")</f>
        <v>QUILL FORMATION Ulman</v>
      </c>
      <c r="D990" s="43" t="str">
        <f aca="false">IF($A990="","",IF($C990="QUILL FORMATION Valmont",10,11))</f>
        <v/>
      </c>
      <c r="E990" s="151" t="str">
        <f aca="false">IF($A990="","",IFERROR(VLOOKUP($A990,Skills!$A:$C,2,FALSE())&amp;" "&amp;VLOOKUP($A990,Skills!$A:$C,3,FALSE()),"Haxil Dellhaven"))</f>
        <v/>
      </c>
      <c r="F990" s="43" t="str">
        <f aca="false">IF($A990="","",IFERROR(IF(VLOOKUP($A990,Skills!$A:$D,4,FALSE())="","",VLOOKUP($A990,Skills!$A:$D,4,FALSE())),"Lisbonne"))</f>
        <v/>
      </c>
      <c r="H990" s="47" t="str">
        <f aca="false">IF(G990="","",WORKDAY(G990-1,D990+IF(J990="",0,J990)))</f>
        <v/>
      </c>
      <c r="K990" s="43" t="str">
        <f aca="true">IF(G990="","",MIN(D990,MAX(0,NETWORKDAYS(G990,TODAY())-IF(J990="",0,J990))))</f>
        <v/>
      </c>
      <c r="L990" s="43" t="str">
        <f aca="true">IF(G990="","",MAX(0,D990-(NETWORKDAYS(G990,TODAY())-IF(J990="",0,J990))))</f>
        <v/>
      </c>
      <c r="N990" s="44" t="str">
        <f aca="true">IFERROR(IF(OR(K990="",K990&lt;=0),"",IF(TODAY()&gt;H990,1,IF(K990-1=0,0,INDEX(OBJECTIVES!$O$2:$Q$12,MATCH(K990-1,OBJECTIVES!$N$2:$N$12,0),IF($C990="QUILL FORMATION Valmont",2,1))))),"")</f>
        <v/>
      </c>
      <c r="O990" s="44" t="str">
        <f aca="false">IF(OR(N990="",M990=""),"",M990-N990)</f>
        <v/>
      </c>
      <c r="P990" s="155" t="str">
        <f aca="false">IF($Q990&lt;&gt;"",$Q990,IF(O990="","",IF(O990&lt;=-0.12,"P1",IF(O990&lt;=-0.06,"P2","P3"))))</f>
        <v/>
      </c>
      <c r="R990" s="155" t="str">
        <f aca="true">IF(G990="","",IF(I990&lt;&gt;"","Terminé",IF(G990&gt;TODAY(),"À venir",IF(H990&lt;TODAY(),"Terminé","En cours"))))</f>
        <v/>
      </c>
      <c r="S990" s="144"/>
      <c r="Z990" s="0" t="str">
        <f aca="false">IF(R990="Terminé",IF(AND(G990&lt;&gt;"",I990&lt;&gt;""),NETWORKDAYS(G990,I990),D990),"")</f>
        <v/>
      </c>
      <c r="AA990" s="0" t="str">
        <f aca="false">IF($A990="","",IF(COUNTIF(Skills!$A:$A,$A990)=0,"⚠ ID absent du roster",""))</f>
        <v/>
      </c>
      <c r="AB990" s="176"/>
    </row>
    <row r="991" customFormat="false" ht="15" hidden="true" customHeight="false" outlineLevel="0" collapsed="false">
      <c r="A991" s="174"/>
      <c r="B991" s="175"/>
      <c r="C991" s="161" t="str">
        <f aca="false">IF(LEFT(B991,2)="OS","QUILL FORMATION Valmont","QUILL FORMATION Ulman")</f>
        <v>QUILL FORMATION Ulman</v>
      </c>
      <c r="D991" s="43" t="str">
        <f aca="false">IF($A991="","",IF($C991="QUILL FORMATION Valmont",10,11))</f>
        <v/>
      </c>
      <c r="E991" s="151" t="str">
        <f aca="false">IF($A991="","",IFERROR(VLOOKUP($A991,Skills!$A:$C,2,FALSE())&amp;" "&amp;VLOOKUP($A991,Skills!$A:$C,3,FALSE()),"Haxil Dellhaven"))</f>
        <v/>
      </c>
      <c r="F991" s="43" t="str">
        <f aca="false">IF($A991="","",IFERROR(IF(VLOOKUP($A991,Skills!$A:$D,4,FALSE())="","",VLOOKUP($A991,Skills!$A:$D,4,FALSE())),"Lisbonne"))</f>
        <v/>
      </c>
      <c r="H991" s="47" t="str">
        <f aca="false">IF(G991="","",WORKDAY(G991-1,D991+IF(J991="",0,J991)))</f>
        <v/>
      </c>
      <c r="K991" s="43" t="str">
        <f aca="true">IF(G991="","",MIN(D991,MAX(0,NETWORKDAYS(G991,TODAY())-IF(J991="",0,J991))))</f>
        <v/>
      </c>
      <c r="L991" s="43" t="str">
        <f aca="true">IF(G991="","",MAX(0,D991-(NETWORKDAYS(G991,TODAY())-IF(J991="",0,J991))))</f>
        <v/>
      </c>
      <c r="N991" s="44" t="str">
        <f aca="true">IFERROR(IF(OR(K991="",K991&lt;=0),"",IF(TODAY()&gt;H991,1,IF(K991-1=0,0,INDEX(OBJECTIVES!$O$2:$Q$12,MATCH(K991-1,OBJECTIVES!$N$2:$N$12,0),IF($C991="QUILL FORMATION Valmont",2,1))))),"")</f>
        <v/>
      </c>
      <c r="O991" s="44" t="str">
        <f aca="false">IF(OR(N991="",M991=""),"",M991-N991)</f>
        <v/>
      </c>
      <c r="P991" s="155" t="str">
        <f aca="false">IF($Q991&lt;&gt;"",$Q991,IF(O991="","",IF(O991&lt;=-0.12,"P1",IF(O991&lt;=-0.06,"P2","P3"))))</f>
        <v/>
      </c>
      <c r="R991" s="155" t="str">
        <f aca="true">IF(G991="","",IF(I991&lt;&gt;"","Terminé",IF(G991&gt;TODAY(),"À venir",IF(H991&lt;TODAY(),"Terminé","En cours"))))</f>
        <v/>
      </c>
      <c r="S991" s="144"/>
      <c r="Z991" s="0" t="str">
        <f aca="false">IF(R991="Terminé",IF(AND(G991&lt;&gt;"",I991&lt;&gt;""),NETWORKDAYS(G991,I991),D991),"")</f>
        <v/>
      </c>
      <c r="AA991" s="0" t="str">
        <f aca="false">IF($A991="","",IF(COUNTIF(Skills!$A:$A,$A991)=0,"⚠ ID absent du roster",""))</f>
        <v/>
      </c>
      <c r="AB991" s="176"/>
    </row>
    <row r="992" customFormat="false" ht="15" hidden="true" customHeight="false" outlineLevel="0" collapsed="false">
      <c r="A992" s="174"/>
      <c r="B992" s="175"/>
      <c r="C992" s="161" t="str">
        <f aca="false">IF(LEFT(B992,2)="OS","QUILL FORMATION Valmont","QUILL FORMATION Ulman")</f>
        <v>QUILL FORMATION Ulman</v>
      </c>
      <c r="D992" s="43" t="str">
        <f aca="false">IF($A992="","",IF($C992="QUILL FORMATION Valmont",10,11))</f>
        <v/>
      </c>
      <c r="E992" s="151" t="str">
        <f aca="false">IF($A992="","",IFERROR(VLOOKUP($A992,Skills!$A:$C,2,FALSE())&amp;" "&amp;VLOOKUP($A992,Skills!$A:$C,3,FALSE()),"Haxil Dellhaven"))</f>
        <v/>
      </c>
      <c r="F992" s="43" t="str">
        <f aca="false">IF($A992="","",IFERROR(IF(VLOOKUP($A992,Skills!$A:$D,4,FALSE())="","",VLOOKUP($A992,Skills!$A:$D,4,FALSE())),"Lisbonne"))</f>
        <v/>
      </c>
      <c r="H992" s="47" t="str">
        <f aca="false">IF(G992="","",WORKDAY(G992-1,D992+IF(J992="",0,J992)))</f>
        <v/>
      </c>
      <c r="K992" s="43" t="str">
        <f aca="true">IF(G992="","",MIN(D992,MAX(0,NETWORKDAYS(G992,TODAY())-IF(J992="",0,J992))))</f>
        <v/>
      </c>
      <c r="L992" s="43" t="str">
        <f aca="true">IF(G992="","",MAX(0,D992-(NETWORKDAYS(G992,TODAY())-IF(J992="",0,J992))))</f>
        <v/>
      </c>
      <c r="N992" s="44" t="str">
        <f aca="true">IFERROR(IF(OR(K992="",K992&lt;=0),"",IF(TODAY()&gt;H992,1,IF(K992-1=0,0,INDEX(OBJECTIVES!$O$2:$Q$12,MATCH(K992-1,OBJECTIVES!$N$2:$N$12,0),IF($C992="QUILL FORMATION Valmont",2,1))))),"")</f>
        <v/>
      </c>
      <c r="O992" s="44" t="str">
        <f aca="false">IF(OR(N992="",M992=""),"",M992-N992)</f>
        <v/>
      </c>
      <c r="P992" s="155" t="str">
        <f aca="false">IF($Q992&lt;&gt;"",$Q992,IF(O992="","",IF(O992&lt;=-0.12,"P1",IF(O992&lt;=-0.06,"P2","P3"))))</f>
        <v/>
      </c>
      <c r="R992" s="155" t="str">
        <f aca="true">IF(G992="","",IF(I992&lt;&gt;"","Terminé",IF(G992&gt;TODAY(),"À venir",IF(H992&lt;TODAY(),"Terminé","En cours"))))</f>
        <v/>
      </c>
      <c r="S992" s="144"/>
      <c r="Z992" s="0" t="str">
        <f aca="false">IF(R992="Terminé",IF(AND(G992&lt;&gt;"",I992&lt;&gt;""),NETWORKDAYS(G992,I992),D992),"")</f>
        <v/>
      </c>
      <c r="AA992" s="0" t="str">
        <f aca="false">IF($A992="","",IF(COUNTIF(Skills!$A:$A,$A992)=0,"⚠ ID absent du roster",""))</f>
        <v/>
      </c>
      <c r="AB992" s="176"/>
    </row>
    <row r="993" customFormat="false" ht="15" hidden="true" customHeight="false" outlineLevel="0" collapsed="false">
      <c r="A993" s="174"/>
      <c r="B993" s="175"/>
      <c r="C993" s="161" t="str">
        <f aca="false">IF(LEFT(B993,2)="OS","QUILL FORMATION Valmont","QUILL FORMATION Ulman")</f>
        <v>QUILL FORMATION Ulman</v>
      </c>
      <c r="D993" s="43" t="str">
        <f aca="false">IF($A993="","",IF($C993="QUILL FORMATION Valmont",10,11))</f>
        <v/>
      </c>
      <c r="E993" s="151" t="str">
        <f aca="false">IF($A993="","",IFERROR(VLOOKUP($A993,Skills!$A:$C,2,FALSE())&amp;" "&amp;VLOOKUP($A993,Skills!$A:$C,3,FALSE()),"Haxil Dellhaven"))</f>
        <v/>
      </c>
      <c r="F993" s="43" t="str">
        <f aca="false">IF($A993="","",IFERROR(IF(VLOOKUP($A993,Skills!$A:$D,4,FALSE())="","",VLOOKUP($A993,Skills!$A:$D,4,FALSE())),"Lisbonne"))</f>
        <v/>
      </c>
      <c r="H993" s="47" t="str">
        <f aca="false">IF(G993="","",WORKDAY(G993-1,D993+IF(J993="",0,J993)))</f>
        <v/>
      </c>
      <c r="K993" s="43" t="str">
        <f aca="true">IF(G993="","",MIN(D993,MAX(0,NETWORKDAYS(G993,TODAY())-IF(J993="",0,J993))))</f>
        <v/>
      </c>
      <c r="L993" s="43" t="str">
        <f aca="true">IF(G993="","",MAX(0,D993-(NETWORKDAYS(G993,TODAY())-IF(J993="",0,J993))))</f>
        <v/>
      </c>
      <c r="N993" s="44" t="str">
        <f aca="true">IFERROR(IF(OR(K993="",K993&lt;=0),"",IF(TODAY()&gt;H993,1,IF(K993-1=0,0,INDEX(OBJECTIVES!$O$2:$Q$12,MATCH(K993-1,OBJECTIVES!$N$2:$N$12,0),IF($C993="QUILL FORMATION Valmont",2,1))))),"")</f>
        <v/>
      </c>
      <c r="O993" s="44" t="str">
        <f aca="false">IF(OR(N993="",M993=""),"",M993-N993)</f>
        <v/>
      </c>
      <c r="P993" s="155" t="str">
        <f aca="false">IF($Q993&lt;&gt;"",$Q993,IF(O993="","",IF(O993&lt;=-0.12,"P1",IF(O993&lt;=-0.06,"P2","P3"))))</f>
        <v/>
      </c>
      <c r="R993" s="155" t="str">
        <f aca="true">IF(G993="","",IF(I993&lt;&gt;"","Terminé",IF(G993&gt;TODAY(),"À venir",IF(H993&lt;TODAY(),"Terminé","En cours"))))</f>
        <v/>
      </c>
      <c r="S993" s="144"/>
      <c r="Z993" s="0" t="str">
        <f aca="false">IF(R993="Terminé",IF(AND(G993&lt;&gt;"",I993&lt;&gt;""),NETWORKDAYS(G993,I993),D993),"")</f>
        <v/>
      </c>
      <c r="AA993" s="0" t="str">
        <f aca="false">IF($A993="","",IF(COUNTIF(Skills!$A:$A,$A993)=0,"⚠ ID absent du roster",""))</f>
        <v/>
      </c>
      <c r="AB993" s="176"/>
    </row>
    <row r="994" customFormat="false" ht="15" hidden="true" customHeight="false" outlineLevel="0" collapsed="false">
      <c r="A994" s="174"/>
      <c r="B994" s="175"/>
      <c r="C994" s="161" t="str">
        <f aca="false">IF(LEFT(B994,2)="OS","QUILL FORMATION Valmont","QUILL FORMATION Ulman")</f>
        <v>QUILL FORMATION Ulman</v>
      </c>
      <c r="D994" s="43" t="str">
        <f aca="false">IF($A994="","",IF($C994="QUILL FORMATION Valmont",10,11))</f>
        <v/>
      </c>
      <c r="E994" s="151" t="str">
        <f aca="false">IF($A994="","",IFERROR(VLOOKUP($A994,Skills!$A:$C,2,FALSE())&amp;" "&amp;VLOOKUP($A994,Skills!$A:$C,3,FALSE()),"Haxil Dellhaven"))</f>
        <v/>
      </c>
      <c r="F994" s="43" t="str">
        <f aca="false">IF($A994="","",IFERROR(IF(VLOOKUP($A994,Skills!$A:$D,4,FALSE())="","",VLOOKUP($A994,Skills!$A:$D,4,FALSE())),"Lisbonne"))</f>
        <v/>
      </c>
      <c r="H994" s="47" t="str">
        <f aca="false">IF(G994="","",WORKDAY(G994-1,D994+IF(J994="",0,J994)))</f>
        <v/>
      </c>
      <c r="K994" s="43" t="str">
        <f aca="true">IF(G994="","",MIN(D994,MAX(0,NETWORKDAYS(G994,TODAY())-IF(J994="",0,J994))))</f>
        <v/>
      </c>
      <c r="L994" s="43" t="str">
        <f aca="true">IF(G994="","",MAX(0,D994-(NETWORKDAYS(G994,TODAY())-IF(J994="",0,J994))))</f>
        <v/>
      </c>
      <c r="N994" s="44" t="str">
        <f aca="true">IFERROR(IF(OR(K994="",K994&lt;=0),"",IF(TODAY()&gt;H994,1,IF(K994-1=0,0,INDEX(OBJECTIVES!$O$2:$Q$12,MATCH(K994-1,OBJECTIVES!$N$2:$N$12,0),IF($C994="QUILL FORMATION Valmont",2,1))))),"")</f>
        <v/>
      </c>
      <c r="O994" s="44" t="str">
        <f aca="false">IF(OR(N994="",M994=""),"",M994-N994)</f>
        <v/>
      </c>
      <c r="P994" s="155" t="str">
        <f aca="false">IF($Q994&lt;&gt;"",$Q994,IF(O994="","",IF(O994&lt;=-0.12,"P1",IF(O994&lt;=-0.06,"P2","P3"))))</f>
        <v/>
      </c>
      <c r="R994" s="155" t="str">
        <f aca="true">IF(G994="","",IF(I994&lt;&gt;"","Terminé",IF(G994&gt;TODAY(),"À venir",IF(H994&lt;TODAY(),"Terminé","En cours"))))</f>
        <v/>
      </c>
      <c r="S994" s="144"/>
      <c r="Z994" s="0" t="str">
        <f aca="false">IF(R994="Terminé",IF(AND(G994&lt;&gt;"",I994&lt;&gt;""),NETWORKDAYS(G994,I994),D994),"")</f>
        <v/>
      </c>
      <c r="AA994" s="0" t="str">
        <f aca="false">IF($A994="","",IF(COUNTIF(Skills!$A:$A,$A994)=0,"⚠ ID absent du roster",""))</f>
        <v/>
      </c>
      <c r="AB994" s="176"/>
    </row>
    <row r="995" customFormat="false" ht="15" hidden="true" customHeight="false" outlineLevel="0" collapsed="false">
      <c r="A995" s="174"/>
      <c r="B995" s="175"/>
      <c r="C995" s="161" t="str">
        <f aca="false">IF(LEFT(B995,2)="OS","QUILL FORMATION Valmont","QUILL FORMATION Ulman")</f>
        <v>QUILL FORMATION Ulman</v>
      </c>
      <c r="D995" s="43" t="str">
        <f aca="false">IF($A995="","",IF($C995="QUILL FORMATION Valmont",10,11))</f>
        <v/>
      </c>
      <c r="E995" s="151" t="str">
        <f aca="false">IF($A995="","",IFERROR(VLOOKUP($A995,Skills!$A:$C,2,FALSE())&amp;" "&amp;VLOOKUP($A995,Skills!$A:$C,3,FALSE()),"Haxil Dellhaven"))</f>
        <v/>
      </c>
      <c r="F995" s="43" t="str">
        <f aca="false">IF($A995="","",IFERROR(IF(VLOOKUP($A995,Skills!$A:$D,4,FALSE())="","",VLOOKUP($A995,Skills!$A:$D,4,FALSE())),"Lisbonne"))</f>
        <v/>
      </c>
      <c r="H995" s="47" t="str">
        <f aca="false">IF(G995="","",WORKDAY(G995-1,D995+IF(J995="",0,J995)))</f>
        <v/>
      </c>
      <c r="K995" s="43" t="str">
        <f aca="true">IF(G995="","",MIN(D995,MAX(0,NETWORKDAYS(G995,TODAY())-IF(J995="",0,J995))))</f>
        <v/>
      </c>
      <c r="L995" s="43" t="str">
        <f aca="true">IF(G995="","",MAX(0,D995-(NETWORKDAYS(G995,TODAY())-IF(J995="",0,J995))))</f>
        <v/>
      </c>
      <c r="N995" s="44" t="str">
        <f aca="true">IFERROR(IF(OR(K995="",K995&lt;=0),"",IF(TODAY()&gt;H995,1,IF(K995-1=0,0,INDEX(OBJECTIVES!$O$2:$Q$12,MATCH(K995-1,OBJECTIVES!$N$2:$N$12,0),IF($C995="QUILL FORMATION Valmont",2,1))))),"")</f>
        <v/>
      </c>
      <c r="O995" s="44" t="str">
        <f aca="false">IF(OR(N995="",M995=""),"",M995-N995)</f>
        <v/>
      </c>
      <c r="P995" s="155" t="str">
        <f aca="false">IF($Q995&lt;&gt;"",$Q995,IF(O995="","",IF(O995&lt;=-0.12,"P1",IF(O995&lt;=-0.06,"P2","P3"))))</f>
        <v/>
      </c>
      <c r="R995" s="155" t="str">
        <f aca="true">IF(G995="","",IF(I995&lt;&gt;"","Terminé",IF(G995&gt;TODAY(),"À venir",IF(H995&lt;TODAY(),"Terminé","En cours"))))</f>
        <v/>
      </c>
      <c r="S995" s="144"/>
      <c r="Z995" s="0" t="str">
        <f aca="false">IF(R995="Terminé",IF(AND(G995&lt;&gt;"",I995&lt;&gt;""),NETWORKDAYS(G995,I995),D995),"")</f>
        <v/>
      </c>
      <c r="AA995" s="0" t="str">
        <f aca="false">IF($A995="","",IF(COUNTIF(Skills!$A:$A,$A995)=0,"⚠ ID absent du roster",""))</f>
        <v/>
      </c>
      <c r="AB995" s="176"/>
    </row>
    <row r="996" customFormat="false" ht="15" hidden="true" customHeight="false" outlineLevel="0" collapsed="false">
      <c r="A996" s="174"/>
      <c r="B996" s="175"/>
      <c r="C996" s="161" t="str">
        <f aca="false">IF(LEFT(B996,2)="OS","QUILL FORMATION Valmont","QUILL FORMATION Ulman")</f>
        <v>QUILL FORMATION Ulman</v>
      </c>
      <c r="D996" s="43" t="str">
        <f aca="false">IF($A996="","",IF($C996="QUILL FORMATION Valmont",10,11))</f>
        <v/>
      </c>
      <c r="E996" s="151" t="str">
        <f aca="false">IF($A996="","",IFERROR(VLOOKUP($A996,Skills!$A:$C,2,FALSE())&amp;" "&amp;VLOOKUP($A996,Skills!$A:$C,3,FALSE()),"Haxil Dellhaven"))</f>
        <v/>
      </c>
      <c r="F996" s="43" t="str">
        <f aca="false">IF($A996="","",IFERROR(IF(VLOOKUP($A996,Skills!$A:$D,4,FALSE())="","",VLOOKUP($A996,Skills!$A:$D,4,FALSE())),"Lisbonne"))</f>
        <v/>
      </c>
      <c r="H996" s="47" t="str">
        <f aca="false">IF(G996="","",WORKDAY(G996-1,D996+IF(J996="",0,J996)))</f>
        <v/>
      </c>
      <c r="K996" s="43" t="str">
        <f aca="true">IF(G996="","",MIN(D996,MAX(0,NETWORKDAYS(G996,TODAY())-IF(J996="",0,J996))))</f>
        <v/>
      </c>
      <c r="L996" s="43" t="str">
        <f aca="true">IF(G996="","",MAX(0,D996-(NETWORKDAYS(G996,TODAY())-IF(J996="",0,J996))))</f>
        <v/>
      </c>
      <c r="N996" s="44" t="str">
        <f aca="true">IFERROR(IF(OR(K996="",K996&lt;=0),"",IF(TODAY()&gt;H996,1,IF(K996-1=0,0,INDEX(OBJECTIVES!$O$2:$Q$12,MATCH(K996-1,OBJECTIVES!$N$2:$N$12,0),IF($C996="QUILL FORMATION Valmont",2,1))))),"")</f>
        <v/>
      </c>
      <c r="O996" s="44" t="str">
        <f aca="false">IF(OR(N996="",M996=""),"",M996-N996)</f>
        <v/>
      </c>
      <c r="P996" s="155" t="str">
        <f aca="false">IF($Q996&lt;&gt;"",$Q996,IF(O996="","",IF(O996&lt;=-0.12,"P1",IF(O996&lt;=-0.06,"P2","P3"))))</f>
        <v/>
      </c>
      <c r="R996" s="155" t="str">
        <f aca="true">IF(G996="","",IF(I996&lt;&gt;"","Terminé",IF(G996&gt;TODAY(),"À venir",IF(H996&lt;TODAY(),"Terminé","En cours"))))</f>
        <v/>
      </c>
      <c r="S996" s="144"/>
      <c r="Z996" s="0" t="str">
        <f aca="false">IF(R996="Terminé",IF(AND(G996&lt;&gt;"",I996&lt;&gt;""),NETWORKDAYS(G996,I996),D996),"")</f>
        <v/>
      </c>
      <c r="AA996" s="0" t="str">
        <f aca="false">IF($A996="","",IF(COUNTIF(Skills!$A:$A,$A996)=0,"⚠ ID absent du roster",""))</f>
        <v/>
      </c>
      <c r="AB996" s="176"/>
    </row>
    <row r="997" customFormat="false" ht="15" hidden="true" customHeight="false" outlineLevel="0" collapsed="false">
      <c r="A997" s="174"/>
      <c r="B997" s="175"/>
      <c r="C997" s="161" t="str">
        <f aca="false">IF(LEFT(B997,2)="OS","QUILL FORMATION Valmont","QUILL FORMATION Ulman")</f>
        <v>QUILL FORMATION Ulman</v>
      </c>
      <c r="D997" s="43" t="str">
        <f aca="false">IF($A997="","",IF($C997="QUILL FORMATION Valmont",10,11))</f>
        <v/>
      </c>
      <c r="E997" s="151" t="str">
        <f aca="false">IF($A997="","",IFERROR(VLOOKUP($A997,Skills!$A:$C,2,FALSE())&amp;" "&amp;VLOOKUP($A997,Skills!$A:$C,3,FALSE()),"Haxil Dellhaven"))</f>
        <v/>
      </c>
      <c r="F997" s="43" t="str">
        <f aca="false">IF($A997="","",IFERROR(IF(VLOOKUP($A997,Skills!$A:$D,4,FALSE())="","",VLOOKUP($A997,Skills!$A:$D,4,FALSE())),"Lisbonne"))</f>
        <v/>
      </c>
      <c r="H997" s="47" t="str">
        <f aca="false">IF(G997="","",WORKDAY(G997-1,D997+IF(J997="",0,J997)))</f>
        <v/>
      </c>
      <c r="K997" s="43" t="str">
        <f aca="true">IF(G997="","",MIN(D997,MAX(0,NETWORKDAYS(G997,TODAY())-IF(J997="",0,J997))))</f>
        <v/>
      </c>
      <c r="L997" s="43" t="str">
        <f aca="true">IF(G997="","",MAX(0,D997-(NETWORKDAYS(G997,TODAY())-IF(J997="",0,J997))))</f>
        <v/>
      </c>
      <c r="N997" s="44" t="str">
        <f aca="true">IFERROR(IF(OR(K997="",K997&lt;=0),"",IF(TODAY()&gt;H997,1,IF(K997-1=0,0,INDEX(OBJECTIVES!$O$2:$Q$12,MATCH(K997-1,OBJECTIVES!$N$2:$N$12,0),IF($C997="QUILL FORMATION Valmont",2,1))))),"")</f>
        <v/>
      </c>
      <c r="O997" s="44" t="str">
        <f aca="false">IF(OR(N997="",M997=""),"",M997-N997)</f>
        <v/>
      </c>
      <c r="P997" s="155" t="str">
        <f aca="false">IF($Q997&lt;&gt;"",$Q997,IF(O997="","",IF(O997&lt;=-0.12,"P1",IF(O997&lt;=-0.06,"P2","P3"))))</f>
        <v/>
      </c>
      <c r="R997" s="155" t="str">
        <f aca="true">IF(G997="","",IF(I997&lt;&gt;"","Terminé",IF(G997&gt;TODAY(),"À venir",IF(H997&lt;TODAY(),"Terminé","En cours"))))</f>
        <v/>
      </c>
      <c r="S997" s="144"/>
      <c r="Z997" s="0" t="str">
        <f aca="false">IF(R997="Terminé",IF(AND(G997&lt;&gt;"",I997&lt;&gt;""),NETWORKDAYS(G997,I997),D997),"")</f>
        <v/>
      </c>
      <c r="AA997" s="0" t="str">
        <f aca="false">IF($A997="","",IF(COUNTIF(Skills!$A:$A,$A997)=0,"⚠ ID absent du roster",""))</f>
        <v/>
      </c>
      <c r="AB997" s="176"/>
    </row>
    <row r="998" customFormat="false" ht="44.25" hidden="true" customHeight="true" outlineLevel="0" collapsed="false">
      <c r="A998" s="174"/>
      <c r="B998" s="175"/>
      <c r="C998" s="161" t="str">
        <f aca="false">IF(LEFT(B998,2)="OS","QUILL FORMATION Valmont","QUILL FORMATION Ulman")</f>
        <v>QUILL FORMATION Ulman</v>
      </c>
      <c r="D998" s="43" t="str">
        <f aca="false">IF($A998="","",IF($C998="QUILL FORMATION Valmont",10,11))</f>
        <v/>
      </c>
      <c r="E998" s="151" t="str">
        <f aca="false">IF($A998="","",IFERROR(VLOOKUP($A998,Skills!$A:$C,2,FALSE())&amp;" "&amp;VLOOKUP($A998,Skills!$A:$C,3,FALSE()),"Haxil Dellhaven"))</f>
        <v/>
      </c>
      <c r="F998" s="43" t="str">
        <f aca="false">IF($A998="","",IFERROR(IF(VLOOKUP($A998,Skills!$A:$D,4,FALSE())="","",VLOOKUP($A998,Skills!$A:$D,4,FALSE())),"Lisbonne"))</f>
        <v/>
      </c>
      <c r="H998" s="47" t="str">
        <f aca="false">IF(G998="","",WORKDAY(G998-1,D998+IF(J998="",0,J998)))</f>
        <v/>
      </c>
      <c r="K998" s="43" t="str">
        <f aca="true">IF(G998="","",MIN(D998,MAX(0,NETWORKDAYS(G998,TODAY())-IF(J998="",0,J998))))</f>
        <v/>
      </c>
      <c r="L998" s="43" t="str">
        <f aca="true">IF(G998="","",MAX(0,D998-(NETWORKDAYS(G998,TODAY())-IF(J998="",0,J998))))</f>
        <v/>
      </c>
      <c r="N998" s="44" t="str">
        <f aca="true">IFERROR(IF(OR(K998="",K998&lt;=0),"",IF(TODAY()&gt;H998,1,IF(K998-1=0,0,INDEX(OBJECTIVES!$O$2:$Q$12,MATCH(K998-1,OBJECTIVES!$N$2:$N$12,0),IF($C998="QUILL FORMATION Valmont",2,1))))),"")</f>
        <v/>
      </c>
      <c r="O998" s="44" t="str">
        <f aca="false">IF(OR(N998="",M998=""),"",M998-N998)</f>
        <v/>
      </c>
      <c r="P998" s="155" t="str">
        <f aca="false">IF($Q998&lt;&gt;"",$Q998,IF(O998="","",IF(O998&lt;=-0.12,"P1",IF(O998&lt;=-0.06,"P2","P3"))))</f>
        <v/>
      </c>
      <c r="R998" s="155" t="str">
        <f aca="true">IF(G998="","",IF(I998&lt;&gt;"","Terminé",IF(G998&gt;TODAY(),"À venir",IF(H998&lt;TODAY(),"Terminé","En cours"))))</f>
        <v/>
      </c>
      <c r="S998" s="144"/>
      <c r="Z998" s="0" t="str">
        <f aca="false">IF(R998="Terminé",IF(AND(G998&lt;&gt;"",I998&lt;&gt;""),NETWORKDAYS(G998,I998),D998),"")</f>
        <v/>
      </c>
      <c r="AA998" s="0" t="str">
        <f aca="false">IF($A998="","",IF(COUNTIF(Skills!$A:$A,$A998)=0,"⚠ ID absent du roster",""))</f>
        <v/>
      </c>
      <c r="AB998" s="176"/>
    </row>
    <row r="999" customFormat="false" ht="15" hidden="true" customHeight="false" outlineLevel="0" collapsed="false">
      <c r="A999" s="177"/>
      <c r="B999" s="178"/>
      <c r="C999" s="161" t="str">
        <f aca="false">IF(LEFT(B999,2)="OS","QUILL FORMATION Valmont","QUILL FORMATION Ulman")</f>
        <v>QUILL FORMATION Ulman</v>
      </c>
      <c r="D999" s="43" t="str">
        <f aca="false">IF($A999="","",IF($C999="QUILL FORMATION Valmont",10,11))</f>
        <v/>
      </c>
      <c r="E999" s="151" t="str">
        <f aca="false">IF($A999="","",IFERROR(VLOOKUP($A999,Skills!$A:$C,2,FALSE())&amp;" "&amp;VLOOKUP($A999,Skills!$A:$C,3,FALSE()),"Haxil Dellhaven"))</f>
        <v/>
      </c>
      <c r="F999" s="43" t="str">
        <f aca="false">IF($A999="","",IFERROR(IF(VLOOKUP($A999,Skills!$A:$D,4,FALSE())="","",VLOOKUP($A999,Skills!$A:$D,4,FALSE())),"Lisbonne"))</f>
        <v/>
      </c>
      <c r="H999" s="47" t="str">
        <f aca="false">IF(G999="","",WORKDAY(G999-1,D999+IF(J999="",0,J999)))</f>
        <v/>
      </c>
      <c r="K999" s="43" t="str">
        <f aca="true">IF(G999="","",MIN(D999,MAX(0,NETWORKDAYS(G999,TODAY())-IF(J999="",0,J999))))</f>
        <v/>
      </c>
      <c r="L999" s="43" t="str">
        <f aca="true">IF(G999="","",MAX(0,D999-(NETWORKDAYS(G999,TODAY())-IF(J999="",0,J999))))</f>
        <v/>
      </c>
      <c r="N999" s="44" t="str">
        <f aca="true">IFERROR(IF(OR(K999="",K999&lt;=0),"",IF(TODAY()&gt;H999,1,IF(K999-1=0,0,INDEX(OBJECTIVES!$O$2:$Q$12,MATCH(K999-1,OBJECTIVES!$N$2:$N$12,0),IF($C999="QUILL FORMATION Valmont",2,1))))),"")</f>
        <v/>
      </c>
      <c r="O999" s="44" t="str">
        <f aca="false">IF(OR(N999="",M999=""),"",M999-N999)</f>
        <v/>
      </c>
      <c r="P999" s="155" t="str">
        <f aca="false">IF($Q999&lt;&gt;"",$Q999,IF(O999="","",IF(O999&lt;=-0.12,"P1",IF(O999&lt;=-0.06,"P2","P3"))))</f>
        <v/>
      </c>
      <c r="R999" s="155" t="str">
        <f aca="true">IF(G999="","",IF(I999&lt;&gt;"","Terminé",IF(G999&gt;TODAY(),"À venir",IF(H999&lt;TODAY(),"Terminé","En cours"))))</f>
        <v/>
      </c>
      <c r="S999" s="144"/>
      <c r="Z999" s="0" t="str">
        <f aca="false">IF(R999="Terminé",IF(AND(G999&lt;&gt;"",I999&lt;&gt;""),NETWORKDAYS(G999,I999),D999),"")</f>
        <v/>
      </c>
      <c r="AA999" s="0" t="str">
        <f aca="false">IF($A999="","",IF(COUNTIF(Skills!$A:$A,$A999)=0,"⚠ ID absent du roster",""))</f>
        <v/>
      </c>
      <c r="AB999" s="176"/>
    </row>
    <row r="1000" customFormat="false" ht="15" hidden="false" customHeight="false" outlineLevel="0" collapsed="false">
      <c r="A1000" s="179"/>
    </row>
  </sheetData>
  <autoFilter ref="A1:AB999">
    <filterColumn colId="17">
      <filters>
        <filter val="En cours"/>
      </filters>
    </filterColumn>
  </autoFilter>
  <conditionalFormatting sqref="P2:Q999">
    <cfRule type="cellIs" priority="2" operator="equal" aboveAverage="0" equalAverage="0" bottom="0" percent="0" rank="0" text="" dxfId="42">
      <formula>"P1"</formula>
    </cfRule>
    <cfRule type="cellIs" priority="3" operator="equal" aboveAverage="0" equalAverage="0" bottom="0" percent="0" rank="0" text="" dxfId="43">
      <formula>"P2"</formula>
    </cfRule>
    <cfRule type="cellIs" priority="4" operator="equal" aboveAverage="0" equalAverage="0" bottom="0" percent="0" rank="0" text="" dxfId="44">
      <formula>"P3"</formula>
    </cfRule>
  </conditionalFormatting>
  <conditionalFormatting sqref="R2:S999">
    <cfRule type="cellIs" priority="5" operator="equal" aboveAverage="0" equalAverage="0" bottom="0" percent="0" rank="0" text="" dxfId="45">
      <formula>"Terminé"</formula>
    </cfRule>
    <cfRule type="cellIs" priority="6" operator="equal" aboveAverage="0" equalAverage="0" bottom="0" percent="0" rank="0" text="" dxfId="46">
      <formula>"En cours"</formula>
    </cfRule>
    <cfRule type="cellIs" priority="7" operator="equal" aboveAverage="0" equalAverage="0" bottom="0" percent="0" rank="0" text="" dxfId="47">
      <formula>"À venir"</formula>
    </cfRule>
  </conditionalFormatting>
  <dataValidations count="2">
    <dataValidation allowBlank="true" errorStyle="stop" operator="between" showDropDown="false" showErrorMessage="false" showInputMessage="false" sqref="R2:S999" type="list">
      <formula1>"Terminé,En cours,À venir"</formula1>
      <formula2>0</formula2>
    </dataValidation>
    <dataValidation allowBlank="true" errorStyle="stop" operator="between" showDropDown="false" showErrorMessage="false" showInputMessage="false" sqref="Q2:Q999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false"/>
  </sheetPr>
  <dimension ref="A1:K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58" activePane="bottomRight" state="frozen"/>
      <selection pane="topLeft" activeCell="A1" activeCellId="0" sqref="A1"/>
      <selection pane="topRight" activeCell="C1" activeCellId="0" sqref="C1"/>
      <selection pane="bottomLeft" activeCell="A158" activeCellId="0" sqref="A158"/>
      <selection pane="bottomRight" activeCell="I159" activeCellId="0" sqref="I15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6" min="5" style="0" width="13"/>
    <col collapsed="false" customWidth="true" hidden="false" outlineLevel="0" max="7" min="7" style="0" width="8"/>
    <col collapsed="false" customWidth="true" hidden="false" outlineLevel="0" max="8" min="8" style="0" width="50"/>
    <col collapsed="false" customWidth="true" hidden="false" outlineLevel="0" max="9" min="9" style="0" width="12"/>
  </cols>
  <sheetData>
    <row r="1" customFormat="false" ht="31.5" hidden="false" customHeight="true" outlineLevel="0" collapsed="false">
      <c r="A1" s="121" t="s">
        <v>156</v>
      </c>
      <c r="B1" s="146" t="s">
        <v>153</v>
      </c>
      <c r="C1" s="180" t="s">
        <v>149</v>
      </c>
      <c r="D1" s="121" t="s">
        <v>725</v>
      </c>
      <c r="E1" s="121" t="s">
        <v>674</v>
      </c>
      <c r="F1" s="181" t="s">
        <v>675</v>
      </c>
      <c r="G1" s="121" t="s">
        <v>726</v>
      </c>
      <c r="H1" s="182" t="s">
        <v>690</v>
      </c>
      <c r="I1" s="121" t="s">
        <v>151</v>
      </c>
      <c r="J1" s="146" t="s">
        <v>692</v>
      </c>
      <c r="K1" s="14" t="str">
        <f aca="false">HYPERLINK("#Accueil!A1","⌂ Accueil")</f>
        <v>⌂ Accueil</v>
      </c>
    </row>
    <row r="2" customFormat="false" ht="15" hidden="true" customHeight="true" outlineLevel="0" collapsed="false">
      <c r="A2" s="127" t="s">
        <v>350</v>
      </c>
      <c r="B2" s="183" t="str">
        <f aca="false">IF($A2="","",IFERROR(VLOOKUP($A2,Skills!$A:$C,2,FALSE())&amp;" "&amp;VLOOKUP($A2,Skills!$A:$C,3,FALSE()),"Stelvale Valebrook"))</f>
        <v>Stelvale Valebrook</v>
      </c>
      <c r="C2" s="184" t="str">
        <f aca="false">IFERROR(VLOOKUP(A2,Skills!$A:$D,4,FALSE()),"")</f>
        <v>Montréal</v>
      </c>
      <c r="D2" s="129" t="s">
        <v>727</v>
      </c>
      <c r="E2" s="185" t="n">
        <v>46148</v>
      </c>
      <c r="F2" s="186" t="n">
        <f aca="false">IF(OR(E2="",G2=""),"",WORKDAY(E2-1,G2))</f>
        <v>46150</v>
      </c>
      <c r="G2" s="129" t="n">
        <v>3</v>
      </c>
      <c r="H2" s="187" t="s">
        <v>728</v>
      </c>
      <c r="I2" s="129" t="s">
        <v>99</v>
      </c>
      <c r="J2" s="188" t="str">
        <f aca="false">IF($A2="","",IF(COUNTIF(Skills!$A:$A,$A2)=0,"⚠ ID absent du roster",""))</f>
        <v/>
      </c>
    </row>
    <row r="3" customFormat="false" ht="15" hidden="true" customHeight="true" outlineLevel="0" collapsed="false">
      <c r="A3" s="127" t="s">
        <v>449</v>
      </c>
      <c r="B3" s="183" t="str">
        <f aca="false">IF($A3="","",IFERROR(VLOOKUP($A3,Skills!$A:$C,2,FALSE())&amp;" "&amp;VLOOKUP($A3,Skills!$A:$C,3,FALSE()),"Stelvale Valebrook"))</f>
        <v>Braith Calith</v>
      </c>
      <c r="C3" s="184" t="str">
        <f aca="false">IFERROR(VLOOKUP(A3,Skills!$A:$D,4,FALSE()),"")</f>
        <v>Montréal</v>
      </c>
      <c r="D3" s="129" t="s">
        <v>727</v>
      </c>
      <c r="E3" s="185" t="n">
        <v>46148</v>
      </c>
      <c r="F3" s="186" t="n">
        <f aca="false">IF(OR(E3="",G3=""),"",WORKDAY(E3-1,G3))</f>
        <v>46149</v>
      </c>
      <c r="G3" s="129" t="n">
        <v>2</v>
      </c>
      <c r="H3" s="187" t="s">
        <v>729</v>
      </c>
      <c r="I3" s="129" t="s">
        <v>99</v>
      </c>
      <c r="J3" s="188" t="str">
        <f aca="false">IF($A3="","",IF(COUNTIF(Skills!$A:$A,$A3)=0,"⚠ ID absent du roster",""))</f>
        <v/>
      </c>
    </row>
    <row r="4" customFormat="false" ht="15" hidden="true" customHeight="true" outlineLevel="0" collapsed="false">
      <c r="A4" s="127" t="s">
        <v>259</v>
      </c>
      <c r="B4" s="183" t="str">
        <f aca="false">IF($A4="","",IFERROR(VLOOKUP($A4,Skills!$A:$C,2,FALSE())&amp;" "&amp;VLOOKUP($A4,Skills!$A:$C,3,FALSE()),"Stelvale Valebrook"))</f>
        <v>Fenus Yoror</v>
      </c>
      <c r="C4" s="184" t="str">
        <f aca="false">IFERROR(VLOOKUP(A4,Skills!$A:$D,4,FALSE()),"")</f>
        <v>Montréal</v>
      </c>
      <c r="D4" s="129" t="s">
        <v>727</v>
      </c>
      <c r="E4" s="185" t="n">
        <v>46148</v>
      </c>
      <c r="F4" s="186" t="n">
        <f aca="false">IF(OR(E4="",G4=""),"",WORKDAY(E4-1,G4))</f>
        <v>46150</v>
      </c>
      <c r="G4" s="129" t="n">
        <v>3</v>
      </c>
      <c r="H4" s="187" t="s">
        <v>730</v>
      </c>
      <c r="I4" s="129" t="s">
        <v>99</v>
      </c>
      <c r="J4" s="188" t="str">
        <f aca="false">IF($A4="","",IF(COUNTIF(Skills!$A:$A,$A4)=0,"⚠ ID absent du roster",""))</f>
        <v/>
      </c>
    </row>
    <row r="5" customFormat="false" ht="15" hidden="true" customHeight="true" outlineLevel="0" collapsed="false">
      <c r="A5" s="127" t="s">
        <v>177</v>
      </c>
      <c r="B5" s="183" t="str">
        <f aca="false">IF($A5="","",IFERROR(VLOOKUP($A5,Skills!$A:$C,2,FALSE())&amp;" "&amp;VLOOKUP($A5,Skills!$A:$C,3,FALSE()),"Stelvale Valebrook"))</f>
        <v>Kendfield Moran Lumith</v>
      </c>
      <c r="C5" s="184" t="str">
        <f aca="false">IFERROR(VLOOKUP(A5,Skills!$A:$D,4,FALSE()),"")</f>
        <v>Montréal</v>
      </c>
      <c r="D5" s="129" t="s">
        <v>727</v>
      </c>
      <c r="E5" s="185" t="n">
        <v>46148</v>
      </c>
      <c r="F5" s="186" t="n">
        <f aca="false">IF(OR(E5="",G5=""),"",WORKDAY(E5-1,G5))</f>
        <v>46150</v>
      </c>
      <c r="G5" s="129" t="n">
        <v>3</v>
      </c>
      <c r="H5" s="187" t="s">
        <v>731</v>
      </c>
      <c r="I5" s="129" t="s">
        <v>99</v>
      </c>
      <c r="J5" s="188" t="str">
        <f aca="false">IF($A5="","",IF(COUNTIF(Skills!$A:$A,$A5)=0,"⚠ ID absent du roster",""))</f>
        <v/>
      </c>
    </row>
    <row r="6" customFormat="false" ht="15" hidden="true" customHeight="true" outlineLevel="0" collapsed="false">
      <c r="A6" s="127" t="s">
        <v>217</v>
      </c>
      <c r="B6" s="183" t="str">
        <f aca="false">IF($A6="","",IFERROR(VLOOKUP($A6,Skills!$A:$C,2,FALSE())&amp;" "&amp;VLOOKUP($A6,Skills!$A:$C,3,FALSE()),"Stelvale Valebrook"))</f>
        <v>Gilum Larkfield</v>
      </c>
      <c r="C6" s="184" t="str">
        <f aca="false">IFERROR(VLOOKUP(A6,Skills!$A:$D,4,FALSE()),"")</f>
        <v>Montréal</v>
      </c>
      <c r="D6" s="129" t="s">
        <v>727</v>
      </c>
      <c r="E6" s="185" t="n">
        <v>46149</v>
      </c>
      <c r="F6" s="186" t="n">
        <f aca="false">IF(OR(E6="",G6=""),"",WORKDAY(E6-1,G6))</f>
        <v>46153</v>
      </c>
      <c r="G6" s="129" t="n">
        <v>3</v>
      </c>
      <c r="H6" s="187" t="s">
        <v>732</v>
      </c>
      <c r="I6" s="129" t="s">
        <v>99</v>
      </c>
      <c r="J6" s="188" t="str">
        <f aca="false">IF($A6="","",IF(COUNTIF(Skills!$A:$A,$A6)=0,"⚠ ID absent du roster",""))</f>
        <v/>
      </c>
    </row>
    <row r="7" customFormat="false" ht="15" hidden="true" customHeight="true" outlineLevel="0" collapsed="false">
      <c r="A7" s="127" t="s">
        <v>580</v>
      </c>
      <c r="B7" s="183" t="str">
        <f aca="false">IF($A7="","",IFERROR(VLOOKUP($A7,Skills!$A:$C,2,FALSE())&amp;" "&amp;VLOOKUP($A7,Skills!$A:$C,3,FALSE()),"Stelvale Valebrook"))</f>
        <v>Kelen Toric</v>
      </c>
      <c r="C7" s="184" t="str">
        <f aca="false">IFERROR(VLOOKUP(A7,Skills!$A:$D,4,FALSE()),"")</f>
        <v>Montréal</v>
      </c>
      <c r="D7" s="129" t="s">
        <v>727</v>
      </c>
      <c r="E7" s="185" t="n">
        <v>46149</v>
      </c>
      <c r="F7" s="186" t="n">
        <f aca="false">IF(OR(E7="",G7=""),"",WORKDAY(E7-1,G7))</f>
        <v>46153</v>
      </c>
      <c r="G7" s="129" t="n">
        <v>3</v>
      </c>
      <c r="H7" s="187" t="s">
        <v>732</v>
      </c>
      <c r="I7" s="129" t="s">
        <v>99</v>
      </c>
      <c r="J7" s="188" t="str">
        <f aca="false">IF($A7="","",IF(COUNTIF(Skills!$A:$A,$A7)=0,"⚠ ID absent du roster",""))</f>
        <v/>
      </c>
    </row>
    <row r="8" customFormat="false" ht="15" hidden="true" customHeight="true" outlineLevel="0" collapsed="false">
      <c r="A8" s="127" t="s">
        <v>476</v>
      </c>
      <c r="B8" s="183" t="str">
        <f aca="false">IF($A8="","",IFERROR(VLOOKUP($A8,Skills!$A:$C,2,FALSE())&amp;" "&amp;VLOOKUP($A8,Skills!$A:$C,3,FALSE()),"Stelvale Valebrook"))</f>
        <v>Haxus Corrridge</v>
      </c>
      <c r="C8" s="184" t="str">
        <f aca="false">IFERROR(VLOOKUP(A8,Skills!$A:$D,4,FALSE()),"")</f>
        <v>Montréal</v>
      </c>
      <c r="D8" s="129" t="s">
        <v>727</v>
      </c>
      <c r="E8" s="185" t="n">
        <v>46150</v>
      </c>
      <c r="F8" s="186" t="n">
        <f aca="false">IF(OR(E8="",G8=""),"",WORKDAY(E8-1,G8))</f>
        <v>46154</v>
      </c>
      <c r="G8" s="129" t="n">
        <v>3</v>
      </c>
      <c r="H8" s="187" t="s">
        <v>733</v>
      </c>
      <c r="I8" s="129" t="s">
        <v>99</v>
      </c>
      <c r="J8" s="188" t="str">
        <f aca="false">IF($A8="","",IF(COUNTIF(Skills!$A:$A,$A8)=0,"⚠ ID absent du roster",""))</f>
        <v/>
      </c>
    </row>
    <row r="9" customFormat="false" ht="15" hidden="true" customHeight="true" outlineLevel="0" collapsed="false">
      <c r="A9" s="127" t="s">
        <v>226</v>
      </c>
      <c r="B9" s="183" t="str">
        <f aca="false">IF($A9="","",IFERROR(VLOOKUP($A9,Skills!$A:$C,2,FALSE())&amp;" "&amp;VLOOKUP($A9,Skills!$A:$C,3,FALSE()),"Stelvale Valebrook"))</f>
        <v>Kelar Dellbrook</v>
      </c>
      <c r="C9" s="184" t="str">
        <f aca="false">IFERROR(VLOOKUP(A9,Skills!$A:$D,4,FALSE()),"")</f>
        <v>Montréal</v>
      </c>
      <c r="D9" s="129" t="s">
        <v>727</v>
      </c>
      <c r="E9" s="185" t="n">
        <v>46150</v>
      </c>
      <c r="F9" s="186" t="n">
        <f aca="false">IF(OR(E9="",G9=""),"",WORKDAY(E9-1,G9))</f>
        <v>46154</v>
      </c>
      <c r="G9" s="129" t="n">
        <v>3</v>
      </c>
      <c r="H9" s="187" t="s">
        <v>733</v>
      </c>
      <c r="I9" s="129" t="s">
        <v>99</v>
      </c>
      <c r="J9" s="188" t="str">
        <f aca="false">IF($A9="","",IF(COUNTIF(Skills!$A:$A,$A9)=0,"⚠ ID absent du roster",""))</f>
        <v/>
      </c>
    </row>
    <row r="10" customFormat="false" ht="15" hidden="true" customHeight="true" outlineLevel="0" collapsed="false">
      <c r="A10" s="127" t="s">
        <v>417</v>
      </c>
      <c r="B10" s="183" t="str">
        <f aca="false">IF($A10="","",IFERROR(VLOOKUP($A10,Skills!$A:$C,2,FALSE())&amp;" "&amp;VLOOKUP($A10,Skills!$A:$C,3,FALSE()),"Stelvale Valebrook"))</f>
        <v>Kendmere Selor</v>
      </c>
      <c r="C10" s="184" t="str">
        <f aca="false">IFERROR(VLOOKUP(A10,Skills!$A:$D,4,FALSE()),"")</f>
        <v>Montréal</v>
      </c>
      <c r="D10" s="129" t="s">
        <v>727</v>
      </c>
      <c r="E10" s="185" t="n">
        <v>46151</v>
      </c>
      <c r="F10" s="186" t="n">
        <f aca="false">IF(OR(E10="",G10=""),"",WORKDAY(E10-1,G10))</f>
        <v>46154</v>
      </c>
      <c r="G10" s="129" t="n">
        <v>2</v>
      </c>
      <c r="H10" s="187" t="s">
        <v>734</v>
      </c>
      <c r="I10" s="129" t="s">
        <v>99</v>
      </c>
      <c r="J10" s="188" t="str">
        <f aca="false">IF($A10="","",IF(COUNTIF(Skills!$A:$A,$A10)=0,"⚠ ID absent du roster",""))</f>
        <v/>
      </c>
    </row>
    <row r="11" customFormat="false" ht="15" hidden="true" customHeight="true" outlineLevel="0" collapsed="false">
      <c r="A11" s="127" t="s">
        <v>359</v>
      </c>
      <c r="B11" s="183" t="str">
        <f aca="false">IF($A11="","",IFERROR(VLOOKUP($A11,Skills!$A:$C,2,FALSE())&amp;" "&amp;VLOOKUP($A11,Skills!$A:$C,3,FALSE()),"Stelvale Valebrook"))</f>
        <v>Jorus Marsgate</v>
      </c>
      <c r="C11" s="184" t="str">
        <f aca="false">IFERROR(VLOOKUP(A11,Skills!$A:$D,4,FALSE()),"")</f>
        <v>Montréal</v>
      </c>
      <c r="D11" s="129" t="s">
        <v>727</v>
      </c>
      <c r="E11" s="185" t="n">
        <v>46151</v>
      </c>
      <c r="F11" s="186" t="n">
        <f aca="false">IF(OR(E11="",G11=""),"",WORKDAY(E11-1,G11))</f>
        <v>46155</v>
      </c>
      <c r="G11" s="129" t="n">
        <v>3</v>
      </c>
      <c r="H11" s="187" t="s">
        <v>735</v>
      </c>
      <c r="I11" s="129" t="s">
        <v>99</v>
      </c>
      <c r="J11" s="188" t="str">
        <f aca="false">IF($A11="","",IF(COUNTIF(Skills!$A:$A,$A11)=0,"⚠ ID absent du roster",""))</f>
        <v/>
      </c>
    </row>
    <row r="12" customFormat="false" ht="15" hidden="true" customHeight="true" outlineLevel="0" collapsed="false">
      <c r="A12" s="127" t="s">
        <v>335</v>
      </c>
      <c r="B12" s="183" t="str">
        <f aca="false">IF($A12="","",IFERROR(VLOOKUP($A12,Skills!$A:$C,2,FALSE())&amp;" "&amp;VLOOKUP($A12,Skills!$A:$C,3,FALSE()),"Stelvale Valebrook"))</f>
        <v>Quillhaven Larkworth</v>
      </c>
      <c r="C12" s="184" t="str">
        <f aca="false">IFERROR(VLOOKUP(A12,Skills!$A:$D,4,FALSE()),"")</f>
        <v>Montréal</v>
      </c>
      <c r="D12" s="129" t="s">
        <v>727</v>
      </c>
      <c r="E12" s="185" t="n">
        <v>46152</v>
      </c>
      <c r="F12" s="186" t="n">
        <f aca="false">IF(OR(E12="",G12=""),"",WORKDAY(E12-1,G12))</f>
        <v>46155</v>
      </c>
      <c r="G12" s="129" t="n">
        <v>3</v>
      </c>
      <c r="H12" s="187" t="s">
        <v>736</v>
      </c>
      <c r="I12" s="129" t="s">
        <v>99</v>
      </c>
      <c r="J12" s="188" t="str">
        <f aca="false">IF($A12="","",IF(COUNTIF(Skills!$A:$A,$A12)=0,"⚠ ID absent du roster",""))</f>
        <v/>
      </c>
    </row>
    <row r="13" customFormat="false" ht="15" hidden="true" customHeight="true" outlineLevel="0" collapsed="false">
      <c r="A13" s="127" t="s">
        <v>592</v>
      </c>
      <c r="B13" s="189" t="str">
        <f aca="false">IF($A13="","",IFERROR(VLOOKUP($A13,Skills!$A:$C,2,FALSE())&amp;" "&amp;VLOOKUP($A13,Skills!$A:$C,3,FALSE()),"Stelvale Valebrook"))</f>
        <v>Yorol Ashbrook</v>
      </c>
      <c r="C13" s="142" t="str">
        <f aca="false">IFERROR(VLOOKUP(A13,Skills!$A:$D,4,FALSE()),"")</f>
        <v>Montréal</v>
      </c>
      <c r="D13" s="129" t="s">
        <v>78</v>
      </c>
      <c r="E13" s="185" t="n">
        <v>46175</v>
      </c>
      <c r="F13" s="186" t="n">
        <f aca="false">IF(OR(E13="",G13=""),"",WORKDAY(E13-1,G13))</f>
        <v>46178</v>
      </c>
      <c r="G13" s="129" t="n">
        <v>4</v>
      </c>
      <c r="H13" s="187" t="s">
        <v>737</v>
      </c>
      <c r="I13" s="129" t="s">
        <v>99</v>
      </c>
      <c r="J13" s="188" t="str">
        <f aca="false">IF($A13="","",IF(COUNTIF(Skills!$A:$A,$A13)=0,"⚠ ID absent du roster",""))</f>
        <v/>
      </c>
    </row>
    <row r="14" customFormat="false" ht="15" hidden="true" customHeight="true" outlineLevel="0" collapsed="false">
      <c r="A14" s="127" t="s">
        <v>168</v>
      </c>
      <c r="B14" s="183" t="str">
        <f aca="false">IF($A14="","",IFERROR(VLOOKUP($A14,Skills!$A:$C,2,FALSE())&amp;" "&amp;VLOOKUP($A14,Skills!$A:$C,3,FALSE()),"Stelvale Valebrook"))</f>
        <v>Lumus Fenel Valeridge</v>
      </c>
      <c r="C14" s="184" t="str">
        <f aca="false">IFERROR(VLOOKUP(A14,Skills!$A:$D,4,FALSE()),"")</f>
        <v>Montréal</v>
      </c>
      <c r="D14" s="129" t="s">
        <v>78</v>
      </c>
      <c r="E14" s="185" t="n">
        <v>46167</v>
      </c>
      <c r="F14" s="186" t="n">
        <f aca="false">IF(OR(E14="",G14=""),"",WORKDAY(E14-1,G14))</f>
        <v>46168</v>
      </c>
      <c r="G14" s="129" t="n">
        <v>2</v>
      </c>
      <c r="H14" s="187" t="s">
        <v>738</v>
      </c>
      <c r="I14" s="129" t="s">
        <v>99</v>
      </c>
      <c r="J14" s="188" t="str">
        <f aca="false">IF($A14="","",IF(COUNTIF(Skills!$A:$A,$A14)=0,"⚠ ID absent du roster",""))</f>
        <v/>
      </c>
    </row>
    <row r="15" customFormat="false" ht="15" hidden="true" customHeight="true" outlineLevel="0" collapsed="false">
      <c r="A15" s="127" t="s">
        <v>174</v>
      </c>
      <c r="B15" s="183" t="str">
        <f aca="false">IF($A15="","",IFERROR(VLOOKUP($A15,Skills!$A:$C,2,FALSE())&amp;" "&amp;VLOOKUP($A15,Skills!$A:$C,3,FALSE()),"Stelvale Valebrook"))</f>
        <v>Rownvale Rownmere Fenon Doric</v>
      </c>
      <c r="C15" s="184" t="str">
        <f aca="false">IFERROR(VLOOKUP(A15,Skills!$A:$D,4,FALSE()),"")</f>
        <v>Montréal</v>
      </c>
      <c r="D15" s="129" t="s">
        <v>78</v>
      </c>
      <c r="E15" s="185" t="n">
        <v>45802</v>
      </c>
      <c r="F15" s="186" t="n">
        <f aca="false">IF(OR(E15="",G15=""),"",WORKDAY(E15-1,G15))</f>
        <v>45804</v>
      </c>
      <c r="G15" s="129" t="n">
        <v>2</v>
      </c>
      <c r="H15" s="187" t="s">
        <v>739</v>
      </c>
      <c r="I15" s="129" t="s">
        <v>99</v>
      </c>
      <c r="J15" s="188" t="str">
        <f aca="false">IF($A15="","",IF(COUNTIF(Skills!$A:$A,$A15)=0,"⚠ ID absent du roster",""))</f>
        <v/>
      </c>
    </row>
    <row r="16" customFormat="false" ht="15" hidden="true" customHeight="true" outlineLevel="0" collapsed="false">
      <c r="A16" s="127" t="s">
        <v>503</v>
      </c>
      <c r="B16" s="189" t="str">
        <f aca="false">IF($A16="","",IFERROR(VLOOKUP($A16,Skills!$A:$C,2,FALSE())&amp;" "&amp;VLOOKUP($A16,Skills!$A:$C,3,FALSE()),"Stelvale Valebrook"))</f>
        <v>Dellworth Joric</v>
      </c>
      <c r="C16" s="142" t="str">
        <f aca="false">IFERROR(VLOOKUP(A16,Skills!$A:$D,4,FALSE()),"")</f>
        <v>Montréal</v>
      </c>
      <c r="D16" s="129" t="s">
        <v>78</v>
      </c>
      <c r="E16" s="185" t="n">
        <v>46174</v>
      </c>
      <c r="F16" s="186" t="n">
        <f aca="false">IF(OR(E16="",G16=""),"",WORKDAY(E16-1,G16))</f>
        <v>46176</v>
      </c>
      <c r="G16" s="129" t="n">
        <v>3</v>
      </c>
      <c r="H16" s="187" t="s">
        <v>740</v>
      </c>
      <c r="I16" s="129" t="s">
        <v>99</v>
      </c>
      <c r="J16" s="188" t="str">
        <f aca="false">IF($A16="","",IF(COUNTIF(Skills!$A:$A,$A16)=0,"⚠ ID absent du roster",""))</f>
        <v/>
      </c>
    </row>
    <row r="17" customFormat="false" ht="15" hidden="true" customHeight="true" outlineLevel="0" collapsed="false">
      <c r="A17" s="127" t="s">
        <v>180</v>
      </c>
      <c r="B17" s="183" t="str">
        <f aca="false">IF($A17="","",IFERROR(VLOOKUP($A17,Skills!$A:$C,2,FALSE())&amp;" "&amp;VLOOKUP($A17,Skills!$A:$C,3,FALSE()),"Stelvale Valebrook"))</f>
        <v>Brambrook Holtfield Marsfield</v>
      </c>
      <c r="C17" s="184" t="str">
        <f aca="false">IFERROR(VLOOKUP(A17,Skills!$A:$D,4,FALSE()),"")</f>
        <v>Montréal</v>
      </c>
      <c r="D17" s="129" t="s">
        <v>78</v>
      </c>
      <c r="E17" s="185" t="n">
        <v>45802</v>
      </c>
      <c r="F17" s="186" t="n">
        <f aca="false">IF(OR(E17="",G17=""),"",WORKDAY(E17-1,G17))</f>
        <v>45804</v>
      </c>
      <c r="G17" s="129" t="n">
        <v>2</v>
      </c>
      <c r="H17" s="187" t="s">
        <v>741</v>
      </c>
      <c r="I17" s="129" t="s">
        <v>99</v>
      </c>
      <c r="J17" s="188" t="str">
        <f aca="false">IF($A17="","",IF(COUNTIF(Skills!$A:$A,$A17)=0,"⚠ ID absent du roster",""))</f>
        <v/>
      </c>
    </row>
    <row r="18" customFormat="false" ht="15" hidden="true" customHeight="true" outlineLevel="0" collapsed="false">
      <c r="A18" s="127" t="s">
        <v>491</v>
      </c>
      <c r="B18" s="189" t="str">
        <f aca="false">IF($A18="","",IFERROR(VLOOKUP($A18,Skills!$A:$C,2,FALSE())&amp;" "&amp;VLOOKUP($A18,Skills!$A:$C,3,FALSE()),"Stelvale Valebrook"))</f>
        <v>Lumum Valemont Norbrook</v>
      </c>
      <c r="C18" s="142" t="str">
        <f aca="false">IFERROR(VLOOKUP(A18,Skills!$A:$D,4,FALSE()),"")</f>
        <v>Montréal</v>
      </c>
      <c r="D18" s="129" t="s">
        <v>78</v>
      </c>
      <c r="E18" s="185" t="n">
        <v>46174</v>
      </c>
      <c r="F18" s="186" t="n">
        <f aca="false">IF(OR(E18="",G18=""),"",WORKDAY(E18-1,G18))</f>
        <v>46178</v>
      </c>
      <c r="G18" s="129" t="n">
        <v>5</v>
      </c>
      <c r="H18" s="187" t="s">
        <v>742</v>
      </c>
      <c r="I18" s="129" t="s">
        <v>99</v>
      </c>
      <c r="J18" s="188" t="str">
        <f aca="false">IF($A18="","",IF(COUNTIF(Skills!$A:$A,$A18)=0,"⚠ ID absent du roster",""))</f>
        <v/>
      </c>
    </row>
    <row r="19" customFormat="false" ht="15" hidden="true" customHeight="true" outlineLevel="0" collapsed="false">
      <c r="A19" s="127" t="s">
        <v>290</v>
      </c>
      <c r="B19" s="189" t="str">
        <f aca="false">IF($A19="","",IFERROR(VLOOKUP($A19,Skills!$A:$C,2,FALSE())&amp;" "&amp;VLOOKUP($A19,Skills!$A:$C,3,FALSE()),"Stelvale Valebrook"))</f>
        <v>Yorol Fenar</v>
      </c>
      <c r="C19" s="142" t="str">
        <f aca="false">IFERROR(VLOOKUP(A19,Skills!$A:$D,4,FALSE()),"")</f>
        <v>Montréal</v>
      </c>
      <c r="D19" s="129" t="s">
        <v>78</v>
      </c>
      <c r="E19" s="185" t="n">
        <v>46174</v>
      </c>
      <c r="F19" s="186" t="n">
        <f aca="false">IF(OR(E19="",G19=""),"",WORKDAY(E19-1,G19))</f>
        <v>46176</v>
      </c>
      <c r="G19" s="129" t="n">
        <v>3</v>
      </c>
      <c r="H19" s="187" t="s">
        <v>743</v>
      </c>
      <c r="I19" s="129" t="s">
        <v>99</v>
      </c>
      <c r="J19" s="188" t="str">
        <f aca="false">IF($A19="","",IF(COUNTIF(Skills!$A:$A,$A19)=0,"⚠ ID absent du roster",""))</f>
        <v/>
      </c>
    </row>
    <row r="20" customFormat="false" ht="15" hidden="true" customHeight="true" outlineLevel="0" collapsed="false">
      <c r="A20" s="127" t="s">
        <v>526</v>
      </c>
      <c r="B20" s="189" t="str">
        <f aca="false">IF($A20="","",IFERROR(VLOOKUP($A20,Skills!$A:$C,2,FALSE())&amp;" "&amp;VLOOKUP($A20,Skills!$A:$C,3,FALSE()),"Stelvale Valebrook"))</f>
        <v>Haxar Bramcroft</v>
      </c>
      <c r="C20" s="142" t="str">
        <f aca="false">IFERROR(VLOOKUP(A20,Skills!$A:$D,4,FALSE()),"")</f>
        <v>Montréal</v>
      </c>
      <c r="D20" s="129" t="s">
        <v>78</v>
      </c>
      <c r="E20" s="185" t="n">
        <v>46174</v>
      </c>
      <c r="F20" s="186" t="n">
        <f aca="false">IF(OR(E20="",G20=""),"",WORKDAY(E20-1,G20))</f>
        <v>46176</v>
      </c>
      <c r="G20" s="129" t="n">
        <v>3</v>
      </c>
      <c r="H20" s="187" t="s">
        <v>743</v>
      </c>
      <c r="I20" s="129" t="s">
        <v>99</v>
      </c>
      <c r="J20" s="188" t="str">
        <f aca="false">IF($A20="","",IF(COUNTIF(Skills!$A:$A,$A20)=0,"⚠ ID absent du roster",""))</f>
        <v/>
      </c>
    </row>
    <row r="21" customFormat="false" ht="15" hidden="true" customHeight="true" outlineLevel="0" collapsed="false">
      <c r="A21" s="127" t="s">
        <v>299</v>
      </c>
      <c r="B21" s="189" t="str">
        <f aca="false">IF($A21="","",IFERROR(VLOOKUP($A21,Skills!$A:$C,2,FALSE())&amp;" "&amp;VLOOKUP($A21,Skills!$A:$C,3,FALSE()),"Stelvale Valebrook"))</f>
        <v>Calol Calel</v>
      </c>
      <c r="C21" s="142" t="str">
        <f aca="false">IFERROR(VLOOKUP(A21,Skills!$A:$D,4,FALSE()),"")</f>
        <v>Montréal</v>
      </c>
      <c r="D21" s="129" t="s">
        <v>78</v>
      </c>
      <c r="E21" s="185" t="n">
        <v>46174</v>
      </c>
      <c r="F21" s="186" t="n">
        <f aca="false">IF(OR(E21="",G21=""),"",WORKDAY(E21-1,G21))</f>
        <v>46178</v>
      </c>
      <c r="G21" s="129" t="n">
        <v>5</v>
      </c>
      <c r="H21" s="187" t="s">
        <v>742</v>
      </c>
      <c r="I21" s="129" t="s">
        <v>99</v>
      </c>
      <c r="J21" s="188" t="str">
        <f aca="false">IF($A21="","",IF(COUNTIF(Skills!$A:$A,$A21)=0,"⚠ ID absent du roster",""))</f>
        <v/>
      </c>
    </row>
    <row r="22" customFormat="false" ht="15" hidden="true" customHeight="true" outlineLevel="0" collapsed="false">
      <c r="A22" s="127" t="s">
        <v>247</v>
      </c>
      <c r="B22" s="189" t="str">
        <f aca="false">IF($A22="","",IFERROR(VLOOKUP($A22,Skills!$A:$C,2,FALSE())&amp;" "&amp;VLOOKUP($A22,Skills!$A:$C,3,FALSE()),"Stelvale Valebrook"))</f>
        <v>Selar Gilen</v>
      </c>
      <c r="C22" s="142" t="str">
        <f aca="false">IFERROR(VLOOKUP(A22,Skills!$A:$D,4,FALSE()),"")</f>
        <v>Montréal</v>
      </c>
      <c r="D22" s="129" t="s">
        <v>78</v>
      </c>
      <c r="E22" s="185" t="n">
        <v>46174</v>
      </c>
      <c r="F22" s="186" t="n">
        <f aca="false">IF(OR(E22="",G22=""),"",WORKDAY(E22-1,G22))</f>
        <v>46176</v>
      </c>
      <c r="G22" s="129" t="n">
        <v>3</v>
      </c>
      <c r="H22" s="187" t="s">
        <v>743</v>
      </c>
      <c r="I22" s="129" t="s">
        <v>99</v>
      </c>
      <c r="J22" s="188" t="str">
        <f aca="false">IF($A22="","",IF(COUNTIF(Skills!$A:$A,$A22)=0,"⚠ ID absent du roster",""))</f>
        <v/>
      </c>
    </row>
    <row r="23" customFormat="false" ht="15" hidden="true" customHeight="true" outlineLevel="0" collapsed="false">
      <c r="A23" s="127" t="s">
        <v>220</v>
      </c>
      <c r="B23" s="183" t="str">
        <f aca="false">IF($A23="","",IFERROR(VLOOKUP($A23,Skills!$A:$C,2,FALSE())&amp;" "&amp;VLOOKUP($A23,Skills!$A:$C,3,FALSE()),"Stelvale Valebrook"))</f>
        <v>Larkmont Yoran</v>
      </c>
      <c r="C23" s="184" t="str">
        <f aca="false">IFERROR(VLOOKUP(A23,Skills!$A:$D,4,FALSE()),"")</f>
        <v>Lisbonne</v>
      </c>
      <c r="D23" s="129" t="s">
        <v>78</v>
      </c>
      <c r="E23" s="185" t="n">
        <v>46168</v>
      </c>
      <c r="F23" s="186" t="n">
        <f aca="false">IF(OR(E23="",G23=""),"",WORKDAY(E23-1,G23))</f>
        <v>46169</v>
      </c>
      <c r="G23" s="129" t="n">
        <v>2</v>
      </c>
      <c r="H23" s="187" t="s">
        <v>744</v>
      </c>
      <c r="I23" s="129" t="s">
        <v>99</v>
      </c>
      <c r="J23" s="188" t="str">
        <f aca="false">IF($A23="","",IF(COUNTIF(Skills!$A:$A,$A23)=0,"⚠ ID absent du roster",""))</f>
        <v/>
      </c>
    </row>
    <row r="24" customFormat="false" ht="15" hidden="true" customHeight="true" outlineLevel="0" collapsed="false">
      <c r="A24" s="127" t="s">
        <v>265</v>
      </c>
      <c r="B24" s="183" t="str">
        <f aca="false">IF($A24="","",IFERROR(VLOOKUP($A24,Skills!$A:$C,2,FALSE())&amp;" "&amp;VLOOKUP($A24,Skills!$A:$C,3,FALSE()),"Stelvale Valebrook"))</f>
        <v>Ulmor Grangate</v>
      </c>
      <c r="C24" s="184" t="str">
        <f aca="false">IFERROR(VLOOKUP(A24,Skills!$A:$D,4,FALSE()),"")</f>
        <v>Lisbonne</v>
      </c>
      <c r="D24" s="129" t="s">
        <v>78</v>
      </c>
      <c r="E24" s="185" t="n">
        <v>46168</v>
      </c>
      <c r="F24" s="186" t="n">
        <f aca="false">IF(OR(E24="",G24=""),"",WORKDAY(E24-1,G24))</f>
        <v>46168</v>
      </c>
      <c r="G24" s="129" t="n">
        <v>1</v>
      </c>
      <c r="H24" s="187" t="s">
        <v>745</v>
      </c>
      <c r="I24" s="129" t="s">
        <v>99</v>
      </c>
      <c r="J24" s="188" t="str">
        <f aca="false">IF($A24="","",IF(COUNTIF(Skills!$A:$A,$A24)=0,"⚠ ID absent du roster",""))</f>
        <v/>
      </c>
    </row>
    <row r="25" customFormat="false" ht="15" hidden="true" customHeight="true" outlineLevel="0" collapsed="false">
      <c r="A25" s="127" t="s">
        <v>293</v>
      </c>
      <c r="B25" s="189" t="str">
        <f aca="false">IF($A25="","",IFERROR(VLOOKUP($A25,Skills!$A:$C,2,FALSE())&amp;" "&amp;VLOOKUP($A25,Skills!$A:$C,3,FALSE()),"Stelvale Valebrook"))</f>
        <v>Thorncroft Zanon Thornfield</v>
      </c>
      <c r="C25" s="142" t="str">
        <f aca="false">IFERROR(VLOOKUP(A25,Skills!$A:$D,4,FALSE()),"")</f>
        <v>Montréal</v>
      </c>
      <c r="D25" s="129" t="s">
        <v>78</v>
      </c>
      <c r="E25" s="185" t="n">
        <v>46175</v>
      </c>
      <c r="F25" s="186" t="n">
        <f aca="false">IF(OR(E25="",G25=""),"",WORKDAY(E25-1,G25))</f>
        <v>46181</v>
      </c>
      <c r="G25" s="129" t="n">
        <v>5</v>
      </c>
      <c r="H25" s="187" t="s">
        <v>737</v>
      </c>
      <c r="I25" s="129" t="s">
        <v>99</v>
      </c>
      <c r="J25" s="188" t="str">
        <f aca="false">IF($A25="","",IF(COUNTIF(Skills!$A:$A,$A25)=0,"⚠ ID absent du roster",""))</f>
        <v/>
      </c>
    </row>
    <row r="26" customFormat="false" ht="15" hidden="true" customHeight="true" outlineLevel="0" collapsed="false">
      <c r="A26" s="127" t="s">
        <v>220</v>
      </c>
      <c r="B26" s="189" t="str">
        <f aca="false">IF($A26="","",IFERROR(VLOOKUP($A26,Skills!$A:$C,2,FALSE())&amp;" "&amp;VLOOKUP($A26,Skills!$A:$C,3,FALSE()),"Stelvale Valebrook"))</f>
        <v>Larkmont Yoran</v>
      </c>
      <c r="C26" s="142" t="str">
        <f aca="false">IFERROR(VLOOKUP(A26,Skills!$A:$D,4,FALSE()),"")</f>
        <v>Lisbonne</v>
      </c>
      <c r="D26" s="129" t="s">
        <v>79</v>
      </c>
      <c r="E26" s="185" t="n">
        <v>46172</v>
      </c>
      <c r="F26" s="186" t="n">
        <f aca="false">IF(OR(E26="",G26=""),"",WORKDAY(E26-1,G26))</f>
        <v>46174</v>
      </c>
      <c r="G26" s="129" t="n">
        <v>1</v>
      </c>
      <c r="H26" s="187" t="s">
        <v>746</v>
      </c>
      <c r="I26" s="129" t="s">
        <v>99</v>
      </c>
      <c r="J26" s="188" t="str">
        <f aca="false">IF($A26="","",IF(COUNTIF(Skills!$A:$A,$A26)=0,"⚠ ID absent du roster",""))</f>
        <v/>
      </c>
    </row>
    <row r="27" customFormat="false" ht="15" hidden="true" customHeight="true" outlineLevel="0" collapsed="false">
      <c r="A27" s="127" t="s">
        <v>586</v>
      </c>
      <c r="B27" s="189" t="str">
        <f aca="false">IF($A27="","",IFERROR(VLOOKUP($A27,Skills!$A:$C,2,FALSE())&amp;" "&amp;VLOOKUP($A27,Skills!$A:$C,3,FALSE()),"Stelvale Valebrook"))</f>
        <v>Thornmont Nevar</v>
      </c>
      <c r="C27" s="142" t="str">
        <f aca="false">IFERROR(VLOOKUP(A27,Skills!$A:$D,4,FALSE()),"")</f>
        <v>Lisbonne</v>
      </c>
      <c r="D27" s="129" t="s">
        <v>79</v>
      </c>
      <c r="E27" s="185" t="n">
        <v>46171</v>
      </c>
      <c r="F27" s="186" t="n">
        <f aca="false">IF(OR(E27="",G27=""),"",WORKDAY(E27-1,G27))</f>
        <v>46171</v>
      </c>
      <c r="G27" s="129" t="n">
        <v>1</v>
      </c>
      <c r="H27" s="187" t="s">
        <v>747</v>
      </c>
      <c r="I27" s="129" t="s">
        <v>99</v>
      </c>
      <c r="J27" s="188" t="str">
        <f aca="false">IF($A27="","",IF(COUNTIF(Skills!$A:$A,$A27)=0,"⚠ ID absent du roster",""))</f>
        <v/>
      </c>
    </row>
    <row r="28" customFormat="false" ht="15" hidden="true" customHeight="true" outlineLevel="0" collapsed="false">
      <c r="A28" s="127" t="s">
        <v>548</v>
      </c>
      <c r="B28" s="183" t="str">
        <f aca="false">IF($A28="","",IFERROR(VLOOKUP($A28,Skills!$A:$C,2,FALSE())&amp;" "&amp;VLOOKUP($A28,Skills!$A:$C,3,FALSE()),"Stelvale Valebrook"))</f>
        <v>Haxil Dellhaven</v>
      </c>
      <c r="C28" s="184" t="str">
        <f aca="false">IFERROR(VLOOKUP(A28,Skills!$A:$D,4,FALSE()),"")</f>
        <v>Lisbonne</v>
      </c>
      <c r="D28" s="129" t="s">
        <v>78</v>
      </c>
      <c r="E28" s="185"/>
      <c r="F28" s="186" t="str">
        <f aca="false">IF(OR(E28="",G28=""),"",WORKDAY(E28-1,G28))</f>
        <v/>
      </c>
      <c r="G28" s="129"/>
      <c r="H28" s="187" t="s">
        <v>748</v>
      </c>
      <c r="I28" s="129" t="s">
        <v>99</v>
      </c>
      <c r="J28" s="188" t="str">
        <f aca="false">IF($A28="","",IF(COUNTIF(Skills!$A:$A,$A28)=0,"⚠ ID absent du roster",""))</f>
        <v/>
      </c>
    </row>
    <row r="29" customFormat="false" ht="15" hidden="true" customHeight="true" outlineLevel="0" collapsed="false">
      <c r="A29" s="127" t="s">
        <v>223</v>
      </c>
      <c r="B29" s="183" t="str">
        <f aca="false">IF($A29="","",IFERROR(VLOOKUP($A29,Skills!$A:$C,2,FALSE())&amp;" "&amp;VLOOKUP($A29,Skills!$A:$C,3,FALSE()),"Stelvale Valebrook"))</f>
        <v>Granbrook Yoril Corrfield</v>
      </c>
      <c r="C29" s="184" t="str">
        <f aca="false">IFERROR(VLOOKUP(A29,Skills!$A:$D,4,FALSE()),"")</f>
        <v>Lisbonne</v>
      </c>
      <c r="D29" s="129" t="s">
        <v>78</v>
      </c>
      <c r="E29" s="185"/>
      <c r="F29" s="186" t="str">
        <f aca="false">IF(OR(E29="",G29=""),"",WORKDAY(E29-1,G29))</f>
        <v/>
      </c>
      <c r="G29" s="129"/>
      <c r="H29" s="187" t="s">
        <v>748</v>
      </c>
      <c r="I29" s="129" t="s">
        <v>99</v>
      </c>
      <c r="J29" s="188" t="str">
        <f aca="false">IF($A29="","",IF(COUNTIF(Skills!$A:$A,$A29)=0,"⚠ ID absent du roster",""))</f>
        <v/>
      </c>
    </row>
    <row r="30" customFormat="false" ht="15" hidden="true" customHeight="true" outlineLevel="0" collapsed="false">
      <c r="A30" s="127" t="s">
        <v>452</v>
      </c>
      <c r="B30" s="183" t="str">
        <f aca="false">IF($A30="","",IFERROR(VLOOKUP($A30,Skills!$A:$C,2,FALSE())&amp;" "&amp;VLOOKUP($A30,Skills!$A:$C,3,FALSE()),"Stelvale Valebrook"))</f>
        <v>Quenan Quillwood</v>
      </c>
      <c r="C30" s="184" t="str">
        <f aca="false">IFERROR(VLOOKUP(A30,Skills!$A:$D,4,FALSE()),"")</f>
        <v>Lisbonne</v>
      </c>
      <c r="D30" s="129" t="s">
        <v>78</v>
      </c>
      <c r="E30" s="185"/>
      <c r="F30" s="186" t="str">
        <f aca="false">IF(OR(E30="",G30=""),"",WORKDAY(E30-1,G30))</f>
        <v/>
      </c>
      <c r="G30" s="129"/>
      <c r="H30" s="187" t="s">
        <v>748</v>
      </c>
      <c r="I30" s="129" t="s">
        <v>99</v>
      </c>
      <c r="J30" s="188" t="str">
        <f aca="false">IF($A30="","",IF(COUNTIF(Skills!$A:$A,$A30)=0,"⚠ ID absent du roster",""))</f>
        <v/>
      </c>
    </row>
    <row r="31" customFormat="false" ht="15" hidden="true" customHeight="true" outlineLevel="0" collapsed="false">
      <c r="A31" s="127" t="s">
        <v>446</v>
      </c>
      <c r="B31" s="183" t="str">
        <f aca="false">IF($A31="","",IFERROR(VLOOKUP($A31,Skills!$A:$C,2,FALSE())&amp;" "&amp;VLOOKUP($A31,Skills!$A:$C,3,FALSE()),"Stelvale Valebrook"))</f>
        <v>Holtshaw Haxor</v>
      </c>
      <c r="C31" s="184" t="str">
        <f aca="false">IFERROR(VLOOKUP(A31,Skills!$A:$D,4,FALSE()),"")</f>
        <v>Lisbonne</v>
      </c>
      <c r="D31" s="129" t="s">
        <v>78</v>
      </c>
      <c r="E31" s="185"/>
      <c r="F31" s="186" t="str">
        <f aca="false">IF(OR(E31="",G31=""),"",WORKDAY(E31-1,G31))</f>
        <v/>
      </c>
      <c r="G31" s="129"/>
      <c r="H31" s="187" t="s">
        <v>748</v>
      </c>
      <c r="I31" s="129" t="s">
        <v>99</v>
      </c>
      <c r="J31" s="188" t="str">
        <f aca="false">IF($A31="","",IF(COUNTIF(Skills!$A:$A,$A31)=0,"⚠ ID absent du roster",""))</f>
        <v/>
      </c>
    </row>
    <row r="32" customFormat="false" ht="15" hidden="true" customHeight="true" outlineLevel="0" collapsed="false">
      <c r="A32" s="127" t="s">
        <v>368</v>
      </c>
      <c r="B32" s="183" t="str">
        <f aca="false">IF($A32="","",IFERROR(VLOOKUP($A32,Skills!$A:$C,2,FALSE())&amp;" "&amp;VLOOKUP($A32,Skills!$A:$C,3,FALSE()),"Stelvale Valebrook"))</f>
        <v>Larkmont Norshaw</v>
      </c>
      <c r="C32" s="184" t="str">
        <f aca="false">IFERROR(VLOOKUP(A32,Skills!$A:$D,4,FALSE()),"")</f>
        <v>Lisbonne</v>
      </c>
      <c r="D32" s="129" t="s">
        <v>78</v>
      </c>
      <c r="E32" s="185"/>
      <c r="F32" s="186" t="str">
        <f aca="false">IF(OR(E32="",G32=""),"",WORKDAY(E32-1,G32))</f>
        <v/>
      </c>
      <c r="G32" s="129"/>
      <c r="H32" s="187" t="s">
        <v>748</v>
      </c>
      <c r="I32" s="129" t="s">
        <v>99</v>
      </c>
      <c r="J32" s="188" t="str">
        <f aca="false">IF($A32="","",IF(COUNTIF(Skills!$A:$A,$A32)=0,"⚠ ID absent du roster",""))</f>
        <v/>
      </c>
    </row>
    <row r="33" customFormat="false" ht="15" hidden="true" customHeight="true" outlineLevel="0" collapsed="false">
      <c r="A33" s="127" t="s">
        <v>241</v>
      </c>
      <c r="B33" s="183" t="str">
        <f aca="false">IF($A33="","",IFERROR(VLOOKUP($A33,Skills!$A:$C,2,FALSE())&amp;" "&amp;VLOOKUP($A33,Skills!$A:$C,3,FALSE()),"Stelvale Valebrook"))</f>
        <v>Dellfield Stelridge Haxel</v>
      </c>
      <c r="C33" s="184" t="str">
        <f aca="false">IFERROR(VLOOKUP(A33,Skills!$A:$D,4,FALSE()),"")</f>
        <v>Lisbonne</v>
      </c>
      <c r="D33" s="129" t="s">
        <v>78</v>
      </c>
      <c r="E33" s="185"/>
      <c r="F33" s="186" t="str">
        <f aca="false">IF(OR(E33="",G33=""),"",WORKDAY(E33-1,G33))</f>
        <v/>
      </c>
      <c r="G33" s="129"/>
      <c r="H33" s="187" t="s">
        <v>748</v>
      </c>
      <c r="I33" s="129" t="s">
        <v>99</v>
      </c>
      <c r="J33" s="188" t="str">
        <f aca="false">IF($A33="","",IF(COUNTIF(Skills!$A:$A,$A33)=0,"⚠ ID absent du roster",""))</f>
        <v/>
      </c>
    </row>
    <row r="34" customFormat="false" ht="15" hidden="true" customHeight="true" outlineLevel="0" collapsed="false">
      <c r="A34" s="127" t="s">
        <v>244</v>
      </c>
      <c r="B34" s="183" t="str">
        <f aca="false">IF($A34="","",IFERROR(VLOOKUP($A34,Skills!$A:$C,2,FALSE())&amp;" "&amp;VLOOKUP($A34,Skills!$A:$C,3,FALSE()),"Stelvale Valebrook"))</f>
        <v>Stelworth Stelridge Vorar</v>
      </c>
      <c r="C34" s="184" t="str">
        <f aca="false">IFERROR(VLOOKUP(A34,Skills!$A:$D,4,FALSE()),"")</f>
        <v>Lisbonne</v>
      </c>
      <c r="D34" s="129" t="s">
        <v>78</v>
      </c>
      <c r="E34" s="185"/>
      <c r="F34" s="186" t="str">
        <f aca="false">IF(OR(E34="",G34=""),"",WORKDAY(E34-1,G34))</f>
        <v/>
      </c>
      <c r="G34" s="129"/>
      <c r="H34" s="187" t="s">
        <v>748</v>
      </c>
      <c r="I34" s="129" t="s">
        <v>99</v>
      </c>
      <c r="J34" s="188" t="str">
        <f aca="false">IF($A34="","",IF(COUNTIF(Skills!$A:$A,$A34)=0,"⚠ ID absent du roster",""))</f>
        <v/>
      </c>
    </row>
    <row r="35" customFormat="false" ht="15" hidden="true" customHeight="true" outlineLevel="0" collapsed="false">
      <c r="A35" s="127" t="s">
        <v>500</v>
      </c>
      <c r="B35" s="183" t="str">
        <f aca="false">IF($A35="","",IFERROR(VLOOKUP($A35,Skills!$A:$C,2,FALSE())&amp;" "&amp;VLOOKUP($A35,Skills!$A:$C,3,FALSE()),"Stelvale Valebrook"))</f>
        <v>Pelys Calic</v>
      </c>
      <c r="C35" s="184" t="str">
        <f aca="false">IFERROR(VLOOKUP(A35,Skills!$A:$D,4,FALSE()),"")</f>
        <v>Lisbonne</v>
      </c>
      <c r="D35" s="129" t="s">
        <v>78</v>
      </c>
      <c r="E35" s="185"/>
      <c r="F35" s="186" t="str">
        <f aca="false">IF(OR(E35="",G35=""),"",WORKDAY(E35-1,G35))</f>
        <v/>
      </c>
      <c r="G35" s="129"/>
      <c r="H35" s="187" t="s">
        <v>748</v>
      </c>
      <c r="I35" s="129" t="s">
        <v>99</v>
      </c>
      <c r="J35" s="188" t="str">
        <f aca="false">IF($A35="","",IF(COUNTIF(Skills!$A:$A,$A35)=0,"⚠ ID absent du roster",""))</f>
        <v/>
      </c>
    </row>
    <row r="36" customFormat="false" ht="15" hidden="true" customHeight="true" outlineLevel="0" collapsed="false">
      <c r="A36" s="127" t="s">
        <v>271</v>
      </c>
      <c r="B36" s="183" t="str">
        <f aca="false">IF($A36="","",IFERROR(VLOOKUP($A36,Skills!$A:$C,2,FALSE())&amp;" "&amp;VLOOKUP($A36,Skills!$A:$C,3,FALSE()),"Stelvale Valebrook"))</f>
        <v>Toril Rhoys</v>
      </c>
      <c r="C36" s="184" t="str">
        <f aca="false">IFERROR(VLOOKUP(A36,Skills!$A:$D,4,FALSE()),"")</f>
        <v>Lisbonne</v>
      </c>
      <c r="D36" s="129" t="s">
        <v>78</v>
      </c>
      <c r="E36" s="185"/>
      <c r="F36" s="186" t="str">
        <f aca="false">IF(OR(E36="",G36=""),"",WORKDAY(E36-1,G36))</f>
        <v/>
      </c>
      <c r="G36" s="129"/>
      <c r="H36" s="187" t="s">
        <v>748</v>
      </c>
      <c r="I36" s="129" t="s">
        <v>99</v>
      </c>
      <c r="J36" s="188" t="str">
        <f aca="false">IF($A36="","",IF(COUNTIF(Skills!$A:$A,$A36)=0,"⚠ ID absent du roster",""))</f>
        <v/>
      </c>
    </row>
    <row r="37" customFormat="false" ht="15" hidden="true" customHeight="true" outlineLevel="0" collapsed="false">
      <c r="A37" s="127" t="s">
        <v>423</v>
      </c>
      <c r="B37" s="183" t="str">
        <f aca="false">IF($A37="","",IFERROR(VLOOKUP($A37,Skills!$A:$C,2,FALSE())&amp;" "&amp;VLOOKUP($A37,Skills!$A:$C,3,FALSE()),"Stelvale Valebrook"))</f>
        <v>Larkshaw Moric</v>
      </c>
      <c r="C37" s="184" t="str">
        <f aca="false">IFERROR(VLOOKUP(A37,Skills!$A:$D,4,FALSE()),"")</f>
        <v>Lisbonne</v>
      </c>
      <c r="D37" s="129" t="s">
        <v>78</v>
      </c>
      <c r="E37" s="185"/>
      <c r="F37" s="186" t="str">
        <f aca="false">IF(OR(E37="",G37=""),"",WORKDAY(E37-1,G37))</f>
        <v/>
      </c>
      <c r="G37" s="129"/>
      <c r="H37" s="187" t="s">
        <v>748</v>
      </c>
      <c r="I37" s="129" t="s">
        <v>99</v>
      </c>
      <c r="J37" s="188" t="str">
        <f aca="false">IF($A37="","",IF(COUNTIF(Skills!$A:$A,$A37)=0,"⚠ ID absent du roster",""))</f>
        <v/>
      </c>
    </row>
    <row r="38" customFormat="false" ht="15" hidden="true" customHeight="true" outlineLevel="0" collapsed="false">
      <c r="A38" s="127" t="s">
        <v>332</v>
      </c>
      <c r="B38" s="183" t="str">
        <f aca="false">IF($A38="","",IFERROR(VLOOKUP($A38,Skills!$A:$C,2,FALSE())&amp;" "&amp;VLOOKUP($A38,Skills!$A:$C,3,FALSE()),"Stelvale Valebrook"))</f>
        <v>Pykewood Stelshaw Doric</v>
      </c>
      <c r="C38" s="184" t="str">
        <f aca="false">IFERROR(VLOOKUP(A38,Skills!$A:$D,4,FALSE()),"")</f>
        <v>Lisbonne</v>
      </c>
      <c r="D38" s="129" t="s">
        <v>78</v>
      </c>
      <c r="E38" s="185"/>
      <c r="F38" s="186" t="str">
        <f aca="false">IF(OR(E38="",G38=""),"",WORKDAY(E38-1,G38))</f>
        <v/>
      </c>
      <c r="G38" s="129"/>
      <c r="H38" s="187" t="s">
        <v>748</v>
      </c>
      <c r="I38" s="129" t="s">
        <v>99</v>
      </c>
      <c r="J38" s="188" t="str">
        <f aca="false">IF($A38="","",IF(COUNTIF(Skills!$A:$A,$A38)=0,"⚠ ID absent du roster",""))</f>
        <v/>
      </c>
    </row>
    <row r="39" customFormat="false" ht="15" hidden="true" customHeight="true" outlineLevel="0" collapsed="false">
      <c r="A39" s="127" t="s">
        <v>521</v>
      </c>
      <c r="B39" s="183" t="str">
        <f aca="false">IF($A39="","",IFERROR(VLOOKUP($A39,Skills!$A:$C,2,FALSE())&amp;" "&amp;VLOOKUP($A39,Skills!$A:$C,3,FALSE()),"Stelvale Valebrook"))</f>
        <v>Rownvale Dorys</v>
      </c>
      <c r="C39" s="184" t="str">
        <f aca="false">IFERROR(VLOOKUP(A39,Skills!$A:$D,4,FALSE()),"")</f>
        <v>Lisbonne</v>
      </c>
      <c r="D39" s="129" t="s">
        <v>78</v>
      </c>
      <c r="E39" s="185"/>
      <c r="F39" s="186" t="str">
        <f aca="false">IF(OR(E39="",G39=""),"",WORKDAY(E39-1,G39))</f>
        <v/>
      </c>
      <c r="G39" s="129"/>
      <c r="H39" s="187" t="s">
        <v>748</v>
      </c>
      <c r="I39" s="129" t="s">
        <v>99</v>
      </c>
      <c r="J39" s="188" t="str">
        <f aca="false">IF($A39="","",IF(COUNTIF(Skills!$A:$A,$A39)=0,"⚠ ID absent du roster",""))</f>
        <v/>
      </c>
    </row>
    <row r="40" customFormat="false" ht="15" hidden="true" customHeight="true" outlineLevel="0" collapsed="false">
      <c r="A40" s="127" t="s">
        <v>411</v>
      </c>
      <c r="B40" s="183" t="str">
        <f aca="false">IF($A40="","",IFERROR(VLOOKUP($A40,Skills!$A:$C,2,FALSE())&amp;" "&amp;VLOOKUP($A40,Skills!$A:$C,3,FALSE()),"Stelvale Valebrook"))</f>
        <v>Gilel Moron</v>
      </c>
      <c r="C40" s="184" t="str">
        <f aca="false">IFERROR(VLOOKUP(A40,Skills!$A:$D,4,FALSE()),"")</f>
        <v>Lisbonne</v>
      </c>
      <c r="D40" s="129" t="s">
        <v>78</v>
      </c>
      <c r="E40" s="185"/>
      <c r="F40" s="186" t="str">
        <f aca="false">IF(OR(E40="",G40=""),"",WORKDAY(E40-1,G40))</f>
        <v/>
      </c>
      <c r="G40" s="129"/>
      <c r="H40" s="187" t="s">
        <v>748</v>
      </c>
      <c r="I40" s="129" t="s">
        <v>99</v>
      </c>
      <c r="J40" s="188" t="str">
        <f aca="false">IF($A40="","",IF(COUNTIF(Skills!$A:$A,$A40)=0,"⚠ ID absent du roster",""))</f>
        <v/>
      </c>
    </row>
    <row r="41" customFormat="false" ht="15" hidden="true" customHeight="true" outlineLevel="0" collapsed="false">
      <c r="A41" s="127" t="s">
        <v>460</v>
      </c>
      <c r="B41" s="183" t="str">
        <f aca="false">IF($A41="","",IFERROR(VLOOKUP($A41,Skills!$A:$C,2,FALSE())&amp;" "&amp;VLOOKUP($A41,Skills!$A:$C,3,FALSE()),"Stelvale Valebrook"))</f>
        <v>Holtstone Gilir</v>
      </c>
      <c r="C41" s="184" t="str">
        <f aca="false">IFERROR(VLOOKUP(A41,Skills!$A:$D,4,FALSE()),"")</f>
        <v>Montréal</v>
      </c>
      <c r="D41" s="129" t="s">
        <v>78</v>
      </c>
      <c r="E41" s="185" t="n">
        <v>46062</v>
      </c>
      <c r="F41" s="186" t="str">
        <f aca="false">IF(OR(E41="",G41=""),"",WORKDAY(E41-1,G41))</f>
        <v/>
      </c>
      <c r="G41" s="129"/>
      <c r="H41" s="187" t="s">
        <v>749</v>
      </c>
      <c r="I41" s="129" t="s">
        <v>99</v>
      </c>
      <c r="J41" s="188" t="str">
        <f aca="false">IF($A41="","",IF(COUNTIF(Skills!$A:$A,$A41)=0,"⚠ ID absent du roster",""))</f>
        <v/>
      </c>
    </row>
    <row r="42" customFormat="false" ht="15" hidden="true" customHeight="true" outlineLevel="0" collapsed="false">
      <c r="A42" s="127" t="s">
        <v>391</v>
      </c>
      <c r="B42" s="183" t="str">
        <f aca="false">IF($A42="","",IFERROR(VLOOKUP($A42,Skills!$A:$C,2,FALSE())&amp;" "&amp;VLOOKUP($A42,Skills!$A:$C,3,FALSE()),"Stelvale Valebrook"))</f>
        <v>Marsridge Holtgate</v>
      </c>
      <c r="C42" s="184" t="str">
        <f aca="false">IFERROR(VLOOKUP(A42,Skills!$A:$D,4,FALSE()),"")</f>
        <v>Montréal</v>
      </c>
      <c r="D42" s="129" t="s">
        <v>78</v>
      </c>
      <c r="E42" s="185" t="n">
        <v>46062</v>
      </c>
      <c r="F42" s="186" t="str">
        <f aca="false">IF(OR(E42="",G42=""),"",WORKDAY(E42-1,G42))</f>
        <v/>
      </c>
      <c r="G42" s="129"/>
      <c r="H42" s="187" t="s">
        <v>750</v>
      </c>
      <c r="I42" s="129" t="s">
        <v>99</v>
      </c>
      <c r="J42" s="188" t="str">
        <f aca="false">IF($A42="","",IF(COUNTIF(Skills!$A:$A,$A42)=0,"⚠ ID absent du roster",""))</f>
        <v/>
      </c>
    </row>
    <row r="43" customFormat="false" ht="15" hidden="true" customHeight="true" outlineLevel="0" collapsed="false">
      <c r="A43" s="127" t="s">
        <v>488</v>
      </c>
      <c r="B43" s="183" t="str">
        <f aca="false">IF($A43="","",IFERROR(VLOOKUP($A43,Skills!$A:$C,2,FALSE())&amp;" "&amp;VLOOKUP($A43,Skills!$A:$C,3,FALSE()),"Stelvale Valebrook"))</f>
        <v>Bramdale Pelum</v>
      </c>
      <c r="C43" s="184" t="str">
        <f aca="false">IFERROR(VLOOKUP(A43,Skills!$A:$D,4,FALSE()),"")</f>
        <v>Montréal</v>
      </c>
      <c r="D43" s="129" t="s">
        <v>78</v>
      </c>
      <c r="E43" s="185" t="n">
        <v>46065</v>
      </c>
      <c r="F43" s="186" t="str">
        <f aca="false">IF(OR(E43="",G43=""),"",WORKDAY(E43-1,G43))</f>
        <v/>
      </c>
      <c r="G43" s="129"/>
      <c r="H43" s="187" t="s">
        <v>751</v>
      </c>
      <c r="I43" s="129" t="s">
        <v>99</v>
      </c>
      <c r="J43" s="188" t="str">
        <f aca="false">IF($A43="","",IF(COUNTIF(Skills!$A:$A,$A43)=0,"⚠ ID absent du roster",""))</f>
        <v/>
      </c>
    </row>
    <row r="44" customFormat="false" ht="15" hidden="true" customHeight="true" outlineLevel="0" collapsed="false">
      <c r="A44" s="127" t="s">
        <v>190</v>
      </c>
      <c r="B44" s="183" t="str">
        <f aca="false">IF($A44="","",IFERROR(VLOOKUP($A44,Skills!$A:$C,2,FALSE())&amp;" "&amp;VLOOKUP($A44,Skills!$A:$C,3,FALSE()),"Stelvale Valebrook"))</f>
        <v>Stelfield Dellmere Valegate</v>
      </c>
      <c r="C44" s="184" t="str">
        <f aca="false">IFERROR(VLOOKUP(A44,Skills!$A:$D,4,FALSE()),"")</f>
        <v>Montréal</v>
      </c>
      <c r="D44" s="129" t="s">
        <v>78</v>
      </c>
      <c r="E44" s="185" t="n">
        <v>46065</v>
      </c>
      <c r="F44" s="186" t="str">
        <f aca="false">IF(OR(E44="",G44=""),"",WORKDAY(E44-1,G44))</f>
        <v/>
      </c>
      <c r="G44" s="129"/>
      <c r="H44" s="187" t="s">
        <v>752</v>
      </c>
      <c r="I44" s="129" t="s">
        <v>99</v>
      </c>
      <c r="J44" s="188" t="str">
        <f aca="false">IF($A44="","",IF(COUNTIF(Skills!$A:$A,$A44)=0,"⚠ ID absent du roster",""))</f>
        <v/>
      </c>
    </row>
    <row r="45" customFormat="false" ht="15" hidden="true" customHeight="true" outlineLevel="0" collapsed="false">
      <c r="A45" s="127" t="s">
        <v>479</v>
      </c>
      <c r="B45" s="183" t="str">
        <f aca="false">IF($A45="","",IFERROR(VLOOKUP($A45,Skills!$A:$C,2,FALSE())&amp;" "&amp;VLOOKUP($A45,Skills!$A:$C,3,FALSE()),"Stelvale Valebrook"))</f>
        <v>Dellridge Larkbrook</v>
      </c>
      <c r="C45" s="184" t="str">
        <f aca="false">IFERROR(VLOOKUP(A45,Skills!$A:$D,4,FALSE()),"")</f>
        <v>Montréal</v>
      </c>
      <c r="D45" s="129" t="s">
        <v>78</v>
      </c>
      <c r="E45" s="185" t="n">
        <v>46063</v>
      </c>
      <c r="F45" s="186" t="str">
        <f aca="false">IF(OR(E45="",G45=""),"",WORKDAY(E45-1,G45))</f>
        <v/>
      </c>
      <c r="G45" s="129"/>
      <c r="H45" s="187" t="s">
        <v>753</v>
      </c>
      <c r="I45" s="129" t="s">
        <v>99</v>
      </c>
      <c r="J45" s="188" t="str">
        <f aca="false">IF($A45="","",IF(COUNTIF(Skills!$A:$A,$A45)=0,"⚠ ID absent du roster",""))</f>
        <v/>
      </c>
    </row>
    <row r="46" customFormat="false" ht="15" hidden="true" customHeight="true" outlineLevel="0" collapsed="false">
      <c r="A46" s="127" t="s">
        <v>435</v>
      </c>
      <c r="B46" s="183" t="str">
        <f aca="false">IF($A46="","",IFERROR(VLOOKUP($A46,Skills!$A:$C,2,FALSE())&amp;" "&amp;VLOOKUP($A46,Skills!$A:$C,3,FALSE()),"Stelvale Valebrook"))</f>
        <v>Doran Voren Voren</v>
      </c>
      <c r="C46" s="184" t="str">
        <f aca="false">IFERROR(VLOOKUP(A46,Skills!$A:$D,4,FALSE()),"")</f>
        <v>Montréal</v>
      </c>
      <c r="D46" s="129" t="s">
        <v>78</v>
      </c>
      <c r="E46" s="185" t="n">
        <v>46068</v>
      </c>
      <c r="F46" s="186" t="str">
        <f aca="false">IF(OR(E46="",G46=""),"",WORKDAY(E46-1,G46))</f>
        <v/>
      </c>
      <c r="G46" s="129"/>
      <c r="H46" s="187" t="s">
        <v>754</v>
      </c>
      <c r="I46" s="129" t="s">
        <v>99</v>
      </c>
      <c r="J46" s="188" t="str">
        <f aca="false">IF($A46="","",IF(COUNTIF(Skills!$A:$A,$A46)=0,"⚠ ID absent du roster",""))</f>
        <v/>
      </c>
    </row>
    <row r="47" customFormat="false" ht="15" hidden="true" customHeight="true" outlineLevel="0" collapsed="false">
      <c r="A47" s="127" t="s">
        <v>308</v>
      </c>
      <c r="B47" s="183" t="str">
        <f aca="false">IF($A47="","",IFERROR(VLOOKUP($A47,Skills!$A:$C,2,FALSE())&amp;" "&amp;VLOOKUP($A47,Skills!$A:$C,3,FALSE()),"Stelvale Valebrook"))</f>
        <v>Kelea Ashshaw</v>
      </c>
      <c r="C47" s="184" t="str">
        <f aca="false">IFERROR(VLOOKUP(A47,Skills!$A:$D,4,FALSE()),"")</f>
        <v>Montréal</v>
      </c>
      <c r="D47" s="129" t="s">
        <v>78</v>
      </c>
      <c r="E47" s="185" t="n">
        <v>46062</v>
      </c>
      <c r="F47" s="186" t="str">
        <f aca="false">IF(OR(E47="",G47=""),"",WORKDAY(E47-1,G47))</f>
        <v/>
      </c>
      <c r="G47" s="129"/>
      <c r="H47" s="187" t="s">
        <v>755</v>
      </c>
      <c r="I47" s="129" t="s">
        <v>99</v>
      </c>
      <c r="J47" s="188" t="str">
        <f aca="false">IF($A47="","",IF(COUNTIF(Skills!$A:$A,$A47)=0,"⚠ ID absent du roster",""))</f>
        <v/>
      </c>
    </row>
    <row r="48" customFormat="false" ht="15" hidden="true" customHeight="true" outlineLevel="0" collapsed="false">
      <c r="A48" s="127" t="s">
        <v>408</v>
      </c>
      <c r="B48" s="183" t="str">
        <f aca="false">IF($A48="","",IFERROR(VLOOKUP($A48,Skills!$A:$C,2,FALSE())&amp;" "&amp;VLOOKUP($A48,Skills!$A:$C,3,FALSE()),"Stelvale Valebrook"))</f>
        <v>Marsbrook Quenic</v>
      </c>
      <c r="C48" s="184" t="str">
        <f aca="false">IFERROR(VLOOKUP(A48,Skills!$A:$D,4,FALSE()),"")</f>
        <v>Montréal</v>
      </c>
      <c r="D48" s="129" t="s">
        <v>78</v>
      </c>
      <c r="E48" s="185" t="n">
        <v>46064</v>
      </c>
      <c r="F48" s="186" t="str">
        <f aca="false">IF(OR(E48="",G48=""),"",WORKDAY(E48-1,G48))</f>
        <v/>
      </c>
      <c r="G48" s="129"/>
      <c r="H48" s="187" t="s">
        <v>756</v>
      </c>
      <c r="I48" s="129" t="s">
        <v>99</v>
      </c>
      <c r="J48" s="188" t="str">
        <f aca="false">IF($A48="","",IF(COUNTIF(Skills!$A:$A,$A48)=0,"⚠ ID absent du roster",""))</f>
        <v/>
      </c>
    </row>
    <row r="49" customFormat="false" ht="15" hidden="true" customHeight="true" outlineLevel="0" collapsed="false">
      <c r="A49" s="127" t="s">
        <v>512</v>
      </c>
      <c r="B49" s="183" t="str">
        <f aca="false">IF($A49="","",IFERROR(VLOOKUP($A49,Skills!$A:$C,2,FALSE())&amp;" "&amp;VLOOKUP($A49,Skills!$A:$C,3,FALSE()),"Stelvale Valebrook"))</f>
        <v>Zanus Ashhaven</v>
      </c>
      <c r="C49" s="184" t="str">
        <f aca="false">IFERROR(VLOOKUP(A49,Skills!$A:$D,4,FALSE()),"")</f>
        <v>Montréal</v>
      </c>
      <c r="D49" s="129" t="s">
        <v>78</v>
      </c>
      <c r="E49" s="185" t="n">
        <v>46071</v>
      </c>
      <c r="F49" s="186" t="str">
        <f aca="false">IF(OR(E49="",G49=""),"",WORKDAY(E49-1,G49))</f>
        <v/>
      </c>
      <c r="G49" s="129"/>
      <c r="H49" s="187" t="s">
        <v>757</v>
      </c>
      <c r="I49" s="129" t="s">
        <v>99</v>
      </c>
      <c r="J49" s="188" t="str">
        <f aca="false">IF($A49="","",IF(COUNTIF(Skills!$A:$A,$A49)=0,"⚠ ID absent du roster",""))</f>
        <v/>
      </c>
    </row>
    <row r="50" customFormat="false" ht="15" hidden="true" customHeight="true" outlineLevel="0" collapsed="false">
      <c r="A50" s="127" t="s">
        <v>320</v>
      </c>
      <c r="B50" s="183" t="str">
        <f aca="false">IF($A50="","",IFERROR(VLOOKUP($A50,Skills!$A:$C,2,FALSE())&amp;" "&amp;VLOOKUP($A50,Skills!$A:$C,3,FALSE()),"Stelvale Valebrook"))</f>
        <v>Kelor Stelwood</v>
      </c>
      <c r="C50" s="184" t="str">
        <f aca="false">IFERROR(VLOOKUP(A50,Skills!$A:$D,4,FALSE()),"")</f>
        <v>Montréal</v>
      </c>
      <c r="D50" s="129" t="s">
        <v>78</v>
      </c>
      <c r="E50" s="185" t="n">
        <v>46065</v>
      </c>
      <c r="F50" s="186" t="str">
        <f aca="false">IF(OR(E50="",G50=""),"",WORKDAY(E50-1,G50))</f>
        <v/>
      </c>
      <c r="G50" s="129"/>
      <c r="H50" s="187" t="s">
        <v>758</v>
      </c>
      <c r="I50" s="129" t="s">
        <v>99</v>
      </c>
      <c r="J50" s="188" t="str">
        <f aca="false">IF($A50="","",IF(COUNTIF(Skills!$A:$A,$A50)=0,"⚠ ID absent du roster",""))</f>
        <v/>
      </c>
    </row>
    <row r="51" customFormat="false" ht="15" hidden="true" customHeight="true" outlineLevel="0" collapsed="false">
      <c r="A51" s="127" t="s">
        <v>268</v>
      </c>
      <c r="B51" s="183" t="str">
        <f aca="false">IF($A51="","",IFERROR(VLOOKUP($A51,Skills!$A:$C,2,FALSE())&amp;" "&amp;VLOOKUP($A51,Skills!$A:$C,3,FALSE()),"Stelvale Valebrook"))</f>
        <v>Fenith Calar</v>
      </c>
      <c r="C51" s="184" t="str">
        <f aca="false">IFERROR(VLOOKUP(A51,Skills!$A:$D,4,FALSE()),"")</f>
        <v>Montréal</v>
      </c>
      <c r="D51" s="129" t="s">
        <v>78</v>
      </c>
      <c r="E51" s="185" t="n">
        <v>46069</v>
      </c>
      <c r="F51" s="186" t="str">
        <f aca="false">IF(OR(E51="",G51=""),"",WORKDAY(E51-1,G51))</f>
        <v/>
      </c>
      <c r="G51" s="129"/>
      <c r="H51" s="187" t="s">
        <v>759</v>
      </c>
      <c r="I51" s="129" t="s">
        <v>99</v>
      </c>
      <c r="J51" s="188" t="str">
        <f aca="false">IF($A51="","",IF(COUNTIF(Skills!$A:$A,$A51)=0,"⚠ ID absent du roster",""))</f>
        <v/>
      </c>
    </row>
    <row r="52" customFormat="false" ht="15" hidden="true" customHeight="true" outlineLevel="0" collapsed="false">
      <c r="A52" s="127" t="s">
        <v>539</v>
      </c>
      <c r="B52" s="183" t="str">
        <f aca="false">IF($A52="","",IFERROR(VLOOKUP($A52,Skills!$A:$C,2,FALSE())&amp;" "&amp;VLOOKUP($A52,Skills!$A:$C,3,FALSE()),"Stelvale Valebrook"))</f>
        <v>Pelea Yorir</v>
      </c>
      <c r="C52" s="184" t="str">
        <f aca="false">IFERROR(VLOOKUP(A52,Skills!$A:$D,4,FALSE()),"")</f>
        <v>Montréal</v>
      </c>
      <c r="D52" s="129" t="s">
        <v>78</v>
      </c>
      <c r="E52" s="185" t="n">
        <v>46071</v>
      </c>
      <c r="F52" s="186" t="str">
        <f aca="false">IF(OR(E52="",G52=""),"",WORKDAY(E52-1,G52))</f>
        <v/>
      </c>
      <c r="G52" s="129"/>
      <c r="H52" s="187" t="s">
        <v>760</v>
      </c>
      <c r="I52" s="129" t="s">
        <v>99</v>
      </c>
      <c r="J52" s="188" t="str">
        <f aca="false">IF($A52="","",IF(COUNTIF(Skills!$A:$A,$A52)=0,"⚠ ID absent du roster",""))</f>
        <v/>
      </c>
    </row>
    <row r="53" customFormat="false" ht="15" hidden="true" customHeight="true" outlineLevel="0" collapsed="false">
      <c r="A53" s="127" t="s">
        <v>341</v>
      </c>
      <c r="B53" s="183" t="str">
        <f aca="false">IF($A53="","",IFERROR(VLOOKUP($A53,Skills!$A:$C,2,FALSE())&amp;" "&amp;VLOOKUP($A53,Skills!$A:$C,3,FALSE()),"Stelvale Valebrook"))</f>
        <v>Ivercroft Corrmere</v>
      </c>
      <c r="C53" s="184" t="str">
        <f aca="false">IFERROR(VLOOKUP(A53,Skills!$A:$D,4,FALSE()),"")</f>
        <v>Montréal</v>
      </c>
      <c r="D53" s="129" t="s">
        <v>78</v>
      </c>
      <c r="E53" s="185" t="n">
        <v>46064</v>
      </c>
      <c r="F53" s="186" t="str">
        <f aca="false">IF(OR(E53="",G53=""),"",WORKDAY(E53-1,G53))</f>
        <v/>
      </c>
      <c r="G53" s="129"/>
      <c r="H53" s="187" t="s">
        <v>761</v>
      </c>
      <c r="I53" s="129" t="s">
        <v>99</v>
      </c>
      <c r="J53" s="188" t="str">
        <f aca="false">IF($A53="","",IF(COUNTIF(Skills!$A:$A,$A53)=0,"⚠ ID absent du roster",""))</f>
        <v/>
      </c>
    </row>
    <row r="54" customFormat="false" ht="15" hidden="true" customHeight="true" outlineLevel="0" collapsed="false">
      <c r="A54" s="127" t="s">
        <v>187</v>
      </c>
      <c r="B54" s="183" t="str">
        <f aca="false">IF($A54="","",IFERROR(VLOOKUP($A54,Skills!$A:$C,2,FALSE())&amp;" "&amp;VLOOKUP($A54,Skills!$A:$C,3,FALSE()),"Stelvale Valebrook"))</f>
        <v>Quillbrook Iverfield</v>
      </c>
      <c r="C54" s="184" t="str">
        <f aca="false">IFERROR(VLOOKUP(A54,Skills!$A:$D,4,FALSE()),"")</f>
        <v>Montréal</v>
      </c>
      <c r="D54" s="129" t="s">
        <v>78</v>
      </c>
      <c r="E54" s="185" t="n">
        <v>46062</v>
      </c>
      <c r="F54" s="186" t="str">
        <f aca="false">IF(OR(E54="",G54=""),"",WORKDAY(E54-1,G54))</f>
        <v/>
      </c>
      <c r="G54" s="129"/>
      <c r="H54" s="187" t="s">
        <v>762</v>
      </c>
      <c r="I54" s="129" t="s">
        <v>99</v>
      </c>
      <c r="J54" s="188" t="str">
        <f aca="false">IF($A54="","",IF(COUNTIF(Skills!$A:$A,$A54)=0,"⚠ ID absent du roster",""))</f>
        <v/>
      </c>
    </row>
    <row r="55" customFormat="false" ht="15" hidden="true" customHeight="true" outlineLevel="0" collapsed="false">
      <c r="A55" s="127" t="s">
        <v>577</v>
      </c>
      <c r="B55" s="183" t="str">
        <f aca="false">IF($A55="","",IFERROR(VLOOKUP($A55,Skills!$A:$C,2,FALSE())&amp;" "&amp;VLOOKUP($A55,Skills!$A:$C,3,FALSE()),"Stelvale Valebrook"))</f>
        <v>Faircroft Fenir</v>
      </c>
      <c r="C55" s="184" t="str">
        <f aca="false">IFERROR(VLOOKUP(A55,Skills!$A:$D,4,FALSE()),"")</f>
        <v>Montréal</v>
      </c>
      <c r="D55" s="129" t="s">
        <v>78</v>
      </c>
      <c r="E55" s="185" t="n">
        <v>46069</v>
      </c>
      <c r="F55" s="186" t="str">
        <f aca="false">IF(OR(E55="",G55=""),"",WORKDAY(E55-1,G55))</f>
        <v/>
      </c>
      <c r="G55" s="129"/>
      <c r="H55" s="187" t="s">
        <v>763</v>
      </c>
      <c r="I55" s="129" t="s">
        <v>99</v>
      </c>
      <c r="J55" s="188" t="str">
        <f aca="false">IF($A55="","",IF(COUNTIF(Skills!$A:$A,$A55)=0,"⚠ ID absent du roster",""))</f>
        <v/>
      </c>
    </row>
    <row r="56" customFormat="false" ht="15" hidden="true" customHeight="true" outlineLevel="0" collapsed="false">
      <c r="A56" s="127" t="s">
        <v>256</v>
      </c>
      <c r="B56" s="183" t="str">
        <f aca="false">IF($A56="","",IFERROR(VLOOKUP($A56,Skills!$A:$C,2,FALSE())&amp;" "&amp;VLOOKUP($A56,Skills!$A:$C,3,FALSE()),"Stelvale Valebrook"))</f>
        <v>Pelus Corrstone</v>
      </c>
      <c r="C56" s="184" t="str">
        <f aca="false">IFERROR(VLOOKUP(A56,Skills!$A:$D,4,FALSE()),"")</f>
        <v>Montréal</v>
      </c>
      <c r="D56" s="129" t="s">
        <v>78</v>
      </c>
      <c r="E56" s="185" t="n">
        <v>46062</v>
      </c>
      <c r="F56" s="186" t="str">
        <f aca="false">IF(OR(E56="",G56=""),"",WORKDAY(E56-1,G56))</f>
        <v/>
      </c>
      <c r="G56" s="129"/>
      <c r="H56" s="187" t="s">
        <v>762</v>
      </c>
      <c r="I56" s="129" t="s">
        <v>99</v>
      </c>
      <c r="J56" s="188" t="str">
        <f aca="false">IF($A56="","",IF(COUNTIF(Skills!$A:$A,$A56)=0,"⚠ ID absent du roster",""))</f>
        <v/>
      </c>
    </row>
    <row r="57" customFormat="false" ht="15" hidden="true" customHeight="true" outlineLevel="0" collapsed="false">
      <c r="A57" s="127" t="s">
        <v>560</v>
      </c>
      <c r="B57" s="183" t="str">
        <f aca="false">IF($A57="","",IFERROR(VLOOKUP($A57,Skills!$A:$C,2,FALSE())&amp;" "&amp;VLOOKUP($A57,Skills!$A:$C,3,FALSE()),"Stelvale Valebrook"))</f>
        <v>Ulmith Larkvale</v>
      </c>
      <c r="C57" s="184" t="str">
        <f aca="false">IFERROR(VLOOKUP(A57,Skills!$A:$D,4,FALSE()),"")</f>
        <v>Montréal</v>
      </c>
      <c r="D57" s="129" t="s">
        <v>78</v>
      </c>
      <c r="E57" s="185" t="n">
        <v>46069</v>
      </c>
      <c r="F57" s="186" t="str">
        <f aca="false">IF(OR(E57="",G57=""),"",WORKDAY(E57-1,G57))</f>
        <v/>
      </c>
      <c r="G57" s="129"/>
      <c r="H57" s="187" t="s">
        <v>764</v>
      </c>
      <c r="I57" s="129" t="s">
        <v>99</v>
      </c>
      <c r="J57" s="188" t="str">
        <f aca="false">IF($A57="","",IF(COUNTIF(Skills!$A:$A,$A57)=0,"⚠ ID absent du roster",""))</f>
        <v/>
      </c>
    </row>
    <row r="58" customFormat="false" ht="15" hidden="true" customHeight="true" outlineLevel="0" collapsed="false">
      <c r="A58" s="127" t="s">
        <v>347</v>
      </c>
      <c r="B58" s="189" t="str">
        <f aca="false">IF($A58="","",IFERROR(VLOOKUP($A58,Skills!$A:$C,2,FALSE())&amp;" "&amp;VLOOKUP($A58,Skills!$A:$C,3,FALSE()),"Stelvale Valebrook"))</f>
        <v>Fairmere Stelhaven</v>
      </c>
      <c r="C58" s="142" t="str">
        <f aca="false">IFERROR(VLOOKUP(A58,Skills!$A:$D,4,FALSE()),"")</f>
        <v>Montréal</v>
      </c>
      <c r="D58" s="129" t="s">
        <v>78</v>
      </c>
      <c r="E58" s="185" t="n">
        <v>46170</v>
      </c>
      <c r="F58" s="186" t="n">
        <f aca="false">IF(OR(E58="",G58=""),"",WORKDAY(E58-1,G58))</f>
        <v>46171</v>
      </c>
      <c r="G58" s="129" t="n">
        <v>2</v>
      </c>
      <c r="H58" s="187" t="s">
        <v>765</v>
      </c>
      <c r="I58" s="129" t="s">
        <v>99</v>
      </c>
      <c r="J58" s="188" t="str">
        <f aca="false">IF($A58="","",IF(COUNTIF(Skills!$A:$A,$A58)=0,"⚠ ID absent du roster",""))</f>
        <v/>
      </c>
    </row>
    <row r="59" customFormat="false" ht="15" hidden="true" customHeight="true" outlineLevel="0" collapsed="false">
      <c r="A59" s="127" t="s">
        <v>563</v>
      </c>
      <c r="B59" s="189" t="str">
        <f aca="false">IF($A59="","",IFERROR(VLOOKUP($A59,Skills!$A:$C,2,FALSE())&amp;" "&amp;VLOOKUP($A59,Skills!$A:$C,3,FALSE()),"Stelvale Valebrook"))</f>
        <v>Norcroft Yorea</v>
      </c>
      <c r="C59" s="142" t="str">
        <f aca="false">IFERROR(VLOOKUP(A59,Skills!$A:$D,4,FALSE()),"")</f>
        <v>Montréal</v>
      </c>
      <c r="D59" s="129" t="s">
        <v>78</v>
      </c>
      <c r="E59" s="185" t="n">
        <v>46170</v>
      </c>
      <c r="F59" s="186" t="n">
        <f aca="false">IF(OR(E59="",G59=""),"",WORKDAY(E59-1,G59))</f>
        <v>46171</v>
      </c>
      <c r="G59" s="129" t="n">
        <v>2</v>
      </c>
      <c r="H59" s="187" t="s">
        <v>766</v>
      </c>
      <c r="I59" s="129" t="s">
        <v>99</v>
      </c>
      <c r="J59" s="188" t="str">
        <f aca="false">IF($A59="","",IF(COUNTIF(Skills!$A:$A,$A59)=0,"⚠ ID absent du roster",""))</f>
        <v/>
      </c>
    </row>
    <row r="60" customFormat="false" ht="15" hidden="true" customHeight="true" outlineLevel="0" collapsed="false">
      <c r="A60" s="127" t="s">
        <v>399</v>
      </c>
      <c r="B60" s="189" t="str">
        <f aca="false">IF($A60="","",IFERROR(VLOOKUP($A60,Skills!$A:$C,2,FALSE())&amp;" "&amp;VLOOKUP($A60,Skills!$A:$C,3,FALSE()),"Stelvale Valebrook"))</f>
        <v>Brail Orinay</v>
      </c>
      <c r="C60" s="142" t="str">
        <f aca="false">IFERROR(VLOOKUP(A60,Skills!$A:$D,4,FALSE()),"")</f>
        <v>Montréal</v>
      </c>
      <c r="D60" s="129" t="s">
        <v>78</v>
      </c>
      <c r="E60" s="185" t="n">
        <v>46170</v>
      </c>
      <c r="F60" s="186" t="n">
        <f aca="false">IF(OR(E60="",G60=""),"",WORKDAY(E60-1,G60))</f>
        <v>46171</v>
      </c>
      <c r="G60" s="129" t="n">
        <v>2</v>
      </c>
      <c r="H60" s="187" t="s">
        <v>767</v>
      </c>
      <c r="I60" s="129" t="s">
        <v>99</v>
      </c>
      <c r="J60" s="188" t="str">
        <f aca="false">IF($A60="","",IF(COUNTIF(Skills!$A:$A,$A60)=0,"⚠ ID absent du roster",""))</f>
        <v/>
      </c>
    </row>
    <row r="61" customFormat="false" ht="15" hidden="true" customHeight="true" outlineLevel="0" collapsed="false">
      <c r="A61" s="127" t="s">
        <v>287</v>
      </c>
      <c r="B61" s="189" t="str">
        <f aca="false">IF($A61="","",IFERROR(VLOOKUP($A61,Skills!$A:$C,2,FALSE())&amp;" "&amp;VLOOKUP($A61,Skills!$A:$C,3,FALSE()),"Stelvale Valebrook"))</f>
        <v>Kelon Ulmar Norridge</v>
      </c>
      <c r="C61" s="142" t="str">
        <f aca="false">IFERROR(VLOOKUP(A61,Skills!$A:$D,4,FALSE()),"")</f>
        <v>Montréal</v>
      </c>
      <c r="D61" s="129" t="s">
        <v>78</v>
      </c>
      <c r="E61" s="185" t="n">
        <v>46170</v>
      </c>
      <c r="F61" s="186" t="n">
        <f aca="false">IF(OR(E61="",G61=""),"",WORKDAY(E61-1,G61))</f>
        <v>46174</v>
      </c>
      <c r="G61" s="129" t="n">
        <v>3</v>
      </c>
      <c r="H61" s="187" t="s">
        <v>768</v>
      </c>
      <c r="I61" s="129" t="s">
        <v>99</v>
      </c>
      <c r="J61" s="188" t="str">
        <f aca="false">IF($A61="","",IF(COUNTIF(Skills!$A:$A,$A61)=0,"⚠ ID absent du roster",""))</f>
        <v/>
      </c>
    </row>
    <row r="62" customFormat="false" ht="15" hidden="true" customHeight="true" outlineLevel="0" collapsed="false">
      <c r="A62" s="127" t="s">
        <v>429</v>
      </c>
      <c r="B62" s="183" t="str">
        <f aca="false">IF($A62="","",IFERROR(VLOOKUP($A62,Skills!$A:$C,2,FALSE())&amp;" "&amp;VLOOKUP($A62,Skills!$A:$C,3,FALSE()),"Stelvale Valebrook"))</f>
        <v>Iverridge Wesol</v>
      </c>
      <c r="C62" s="184" t="str">
        <f aca="false">IFERROR(VLOOKUP(A62,Skills!$A:$D,4,FALSE()),"")</f>
        <v>Montréal</v>
      </c>
      <c r="D62" s="129" t="s">
        <v>78</v>
      </c>
      <c r="E62" s="185" t="n">
        <v>46167</v>
      </c>
      <c r="F62" s="186" t="str">
        <f aca="false">IF(OR(E62="",G62=""),"",WORKDAY(E62-1,G62))</f>
        <v/>
      </c>
      <c r="G62" s="129"/>
      <c r="H62" s="187" t="s">
        <v>769</v>
      </c>
      <c r="I62" s="129" t="s">
        <v>99</v>
      </c>
      <c r="J62" s="188" t="str">
        <f aca="false">IF($A62="","",IF(COUNTIF(Skills!$A:$A,$A62)=0,"⚠ ID absent du roster",""))</f>
        <v/>
      </c>
    </row>
    <row r="63" customFormat="false" ht="15" hidden="true" customHeight="true" outlineLevel="0" collapsed="false">
      <c r="A63" s="127" t="s">
        <v>250</v>
      </c>
      <c r="B63" s="183" t="str">
        <f aca="false">IF($A63="","",IFERROR(VLOOKUP($A63,Skills!$A:$C,2,FALSE())&amp;" "&amp;VLOOKUP($A63,Skills!$A:$C,3,FALSE()),"Stelvale Valebrook"))</f>
        <v>Everhaven Yorys</v>
      </c>
      <c r="C63" s="184" t="str">
        <f aca="false">IFERROR(VLOOKUP(A63,Skills!$A:$D,4,FALSE()),"")</f>
        <v>Montréal</v>
      </c>
      <c r="D63" s="129" t="s">
        <v>78</v>
      </c>
      <c r="E63" s="185" t="n">
        <v>46167</v>
      </c>
      <c r="F63" s="186" t="str">
        <f aca="false">IF(OR(E63="",G63=""),"",WORKDAY(E63-1,G63))</f>
        <v/>
      </c>
      <c r="G63" s="129"/>
      <c r="H63" s="187" t="s">
        <v>769</v>
      </c>
      <c r="I63" s="129" t="s">
        <v>99</v>
      </c>
      <c r="J63" s="188" t="str">
        <f aca="false">IF($A63="","",IF(COUNTIF(Skills!$A:$A,$A63)=0,"⚠ ID absent du roster",""))</f>
        <v/>
      </c>
    </row>
    <row r="64" customFormat="false" ht="15" hidden="true" customHeight="true" outlineLevel="0" collapsed="false">
      <c r="A64" s="127" t="s">
        <v>347</v>
      </c>
      <c r="B64" s="189" t="str">
        <f aca="false">IF($A64="","",IFERROR(VLOOKUP($A64,Skills!$A:$C,2,FALSE())&amp;" "&amp;VLOOKUP($A64,Skills!$A:$C,3,FALSE()),"Stelvale Valebrook"))</f>
        <v>Fairmere Stelhaven</v>
      </c>
      <c r="C64" s="142" t="str">
        <f aca="false">IFERROR(VLOOKUP(A64,Skills!$A:$D,4,FALSE()),"")</f>
        <v>Montréal</v>
      </c>
      <c r="D64" s="129" t="s">
        <v>78</v>
      </c>
      <c r="E64" s="185" t="n">
        <v>46170</v>
      </c>
      <c r="F64" s="186" t="n">
        <f aca="false">IF(OR(E64="",G64=""),"",WORKDAY(E64-1,G64))</f>
        <v>46171</v>
      </c>
      <c r="G64" s="129" t="n">
        <v>2</v>
      </c>
      <c r="H64" s="187" t="s">
        <v>767</v>
      </c>
      <c r="I64" s="129" t="s">
        <v>99</v>
      </c>
      <c r="J64" s="188" t="str">
        <f aca="false">IF($A64="","",IF(COUNTIF(Skills!$A:$A,$A64)=0,"⚠ ID absent du roster",""))</f>
        <v/>
      </c>
    </row>
    <row r="65" customFormat="false" ht="15" hidden="true" customHeight="true" outlineLevel="0" collapsed="false">
      <c r="A65" s="127" t="s">
        <v>278</v>
      </c>
      <c r="B65" s="183" t="str">
        <f aca="false">IF($A65="","",IFERROR(VLOOKUP($A65,Skills!$A:$C,2,FALSE())&amp;" "&amp;VLOOKUP($A65,Skills!$A:$C,3,FALSE()),"Stelvale Valebrook"))</f>
        <v>Rowndale Joren</v>
      </c>
      <c r="C65" s="184" t="str">
        <f aca="false">IFERROR(VLOOKUP(A65,Skills!$A:$D,4,FALSE()),"")</f>
        <v>Montréal</v>
      </c>
      <c r="D65" s="129" t="s">
        <v>78</v>
      </c>
      <c r="E65" s="185" t="n">
        <v>46168</v>
      </c>
      <c r="F65" s="186" t="str">
        <f aca="false">IF(OR(E65="",G65=""),"",WORKDAY(E65-1,G65))</f>
        <v/>
      </c>
      <c r="G65" s="129"/>
      <c r="H65" s="187" t="s">
        <v>770</v>
      </c>
      <c r="I65" s="129" t="s">
        <v>99</v>
      </c>
      <c r="J65" s="188" t="str">
        <f aca="false">IF($A65="","",IF(COUNTIF(Skills!$A:$A,$A65)=0,"⚠ ID absent du roster",""))</f>
        <v/>
      </c>
    </row>
    <row r="66" customFormat="false" ht="15" hidden="true" customHeight="true" outlineLevel="0" collapsed="false">
      <c r="A66" s="127" t="s">
        <v>238</v>
      </c>
      <c r="B66" s="189" t="str">
        <f aca="false">IF($A66="","",IFERROR(VLOOKUP($A66,Skills!$A:$C,2,FALSE())&amp;" "&amp;VLOOKUP($A66,Skills!$A:$C,3,FALSE()),"Stelvale Valebrook"))</f>
        <v>Granfield Granridge Torel</v>
      </c>
      <c r="C66" s="142" t="str">
        <f aca="false">IFERROR(VLOOKUP(A66,Skills!$A:$D,4,FALSE()),"")</f>
        <v>Montréal</v>
      </c>
      <c r="D66" s="129" t="s">
        <v>78</v>
      </c>
      <c r="E66" s="185" t="n">
        <v>46170</v>
      </c>
      <c r="F66" s="186" t="n">
        <f aca="false">IF(OR(E66="",G66=""),"",WORKDAY(E66-1,G66))</f>
        <v>46174</v>
      </c>
      <c r="G66" s="129" t="n">
        <v>3</v>
      </c>
      <c r="H66" s="187" t="s">
        <v>768</v>
      </c>
      <c r="I66" s="129" t="s">
        <v>99</v>
      </c>
      <c r="J66" s="188" t="str">
        <f aca="false">IF($A66="","",IF(COUNTIF(Skills!$A:$A,$A66)=0,"⚠ ID absent du roster",""))</f>
        <v/>
      </c>
    </row>
    <row r="67" customFormat="false" ht="15" hidden="true" customHeight="true" outlineLevel="0" collapsed="false">
      <c r="A67" s="127" t="s">
        <v>566</v>
      </c>
      <c r="B67" s="183" t="str">
        <f aca="false">IF($A67="","",IFERROR(VLOOKUP($A67,Skills!$A:$C,2,FALSE())&amp;" "&amp;VLOOKUP($A67,Skills!$A:$C,3,FALSE()),"Stelvale Valebrook"))</f>
        <v>Brael Larkwood Nevil Nevic</v>
      </c>
      <c r="C67" s="184" t="str">
        <f aca="false">IFERROR(VLOOKUP(A67,Skills!$A:$D,4,FALSE()),"")</f>
        <v>Montréal</v>
      </c>
      <c r="D67" s="129" t="s">
        <v>78</v>
      </c>
      <c r="E67" s="185" t="n">
        <v>46168</v>
      </c>
      <c r="F67" s="186" t="str">
        <f aca="false">IF(OR(E67="",G67=""),"",WORKDAY(E67-1,G67))</f>
        <v/>
      </c>
      <c r="G67" s="129"/>
      <c r="H67" s="187" t="s">
        <v>771</v>
      </c>
      <c r="I67" s="129" t="s">
        <v>99</v>
      </c>
      <c r="J67" s="188" t="str">
        <f aca="false">IF($A67="","",IF(COUNTIF(Skills!$A:$A,$A67)=0,"⚠ ID absent du roster",""))</f>
        <v/>
      </c>
    </row>
    <row r="68" customFormat="false" ht="15" hidden="true" customHeight="true" outlineLevel="0" collapsed="false">
      <c r="A68" s="127" t="s">
        <v>497</v>
      </c>
      <c r="B68" s="189" t="str">
        <f aca="false">IF($A68="","",IFERROR(VLOOKUP($A68,Skills!$A:$C,2,FALSE())&amp;" "&amp;VLOOKUP($A68,Skills!$A:$C,3,FALSE()),"Stelvale Valebrook"))</f>
        <v>Bramhaven Lumil Steldale</v>
      </c>
      <c r="C68" s="142" t="str">
        <f aca="false">IFERROR(VLOOKUP(A68,Skills!$A:$D,4,FALSE()),"")</f>
        <v>Montréal</v>
      </c>
      <c r="D68" s="129" t="s">
        <v>78</v>
      </c>
      <c r="E68" s="185" t="n">
        <v>46169</v>
      </c>
      <c r="F68" s="186" t="n">
        <f aca="false">IF(OR(E68="",G68=""),"",WORKDAY(E68-1,G68))</f>
        <v>46171</v>
      </c>
      <c r="G68" s="129" t="n">
        <v>3</v>
      </c>
      <c r="H68" s="187" t="s">
        <v>772</v>
      </c>
      <c r="I68" s="129" t="s">
        <v>99</v>
      </c>
      <c r="J68" s="188" t="str">
        <f aca="false">IF($A68="","",IF(COUNTIF(Skills!$A:$A,$A68)=0,"⚠ ID absent du roster",""))</f>
        <v/>
      </c>
    </row>
    <row r="69" customFormat="false" ht="15" hidden="true" customHeight="true" outlineLevel="0" collapsed="false">
      <c r="A69" s="127" t="s">
        <v>177</v>
      </c>
      <c r="B69" s="189" t="str">
        <f aca="false">IF($A69="","",IFERROR(VLOOKUP($A69,Skills!$A:$C,2,FALSE())&amp;" "&amp;VLOOKUP($A69,Skills!$A:$C,3,FALSE()),"Stelvale Valebrook"))</f>
        <v>Kendfield Moran Lumith</v>
      </c>
      <c r="C69" s="142" t="str">
        <f aca="false">IFERROR(VLOOKUP(A69,Skills!$A:$D,4,FALSE()),"")</f>
        <v>Montréal</v>
      </c>
      <c r="D69" s="129" t="s">
        <v>78</v>
      </c>
      <c r="E69" s="185" t="n">
        <v>46168</v>
      </c>
      <c r="F69" s="186" t="n">
        <f aca="false">IF(OR(E69="",G69=""),"",WORKDAY(E69-1,G69))</f>
        <v>46170</v>
      </c>
      <c r="G69" s="129" t="n">
        <v>3</v>
      </c>
      <c r="H69" s="187" t="s">
        <v>773</v>
      </c>
      <c r="I69" s="129" t="s">
        <v>99</v>
      </c>
      <c r="J69" s="188" t="str">
        <f aca="false">IF($A69="","",IF(COUNTIF(Skills!$A:$A,$A69)=0,"⚠ ID absent du roster",""))</f>
        <v/>
      </c>
    </row>
    <row r="70" customFormat="false" ht="15" hidden="true" customHeight="true" outlineLevel="0" collapsed="false">
      <c r="A70" s="127" t="s">
        <v>586</v>
      </c>
      <c r="B70" s="189" t="str">
        <f aca="false">IF($A70="","",IFERROR(VLOOKUP($A70,Skills!$A:$C,2,FALSE())&amp;" "&amp;VLOOKUP($A70,Skills!$A:$C,3,FALSE()),"Stelvale Valebrook"))</f>
        <v>Thornmont Nevar</v>
      </c>
      <c r="C70" s="142" t="str">
        <f aca="false">IFERROR(VLOOKUP(A70,Skills!$A:$D,4,FALSE()),"")</f>
        <v>Lisbonne</v>
      </c>
      <c r="D70" s="129" t="s">
        <v>78</v>
      </c>
      <c r="E70" s="185" t="n">
        <v>46168</v>
      </c>
      <c r="F70" s="186" t="n">
        <f aca="false">IF(OR(E70="",G70=""),"",WORKDAY(E70-1,G70))</f>
        <v>46169</v>
      </c>
      <c r="G70" s="129" t="n">
        <v>2</v>
      </c>
      <c r="H70" s="187" t="s">
        <v>744</v>
      </c>
      <c r="I70" s="129" t="s">
        <v>99</v>
      </c>
      <c r="J70" s="188" t="str">
        <f aca="false">IF($A70="","",IF(COUNTIF(Skills!$A:$A,$A70)=0,"⚠ ID absent du roster",""))</f>
        <v/>
      </c>
    </row>
    <row r="71" customFormat="false" ht="15" hidden="true" customHeight="true" outlineLevel="0" collapsed="false">
      <c r="A71" s="127" t="s">
        <v>259</v>
      </c>
      <c r="B71" s="183" t="str">
        <f aca="false">IF($A71="","",IFERROR(VLOOKUP($A71,Skills!$A:$C,2,FALSE())&amp;" "&amp;VLOOKUP($A71,Skills!$A:$C,3,FALSE()),"Stelvale Valebrook"))</f>
        <v>Fenus Yoror</v>
      </c>
      <c r="C71" s="184" t="str">
        <f aca="false">IFERROR(VLOOKUP(A71,Skills!$A:$D,4,FALSE()),"")</f>
        <v>Montréal</v>
      </c>
      <c r="D71" s="129" t="s">
        <v>79</v>
      </c>
      <c r="E71" s="185" t="n">
        <v>46155</v>
      </c>
      <c r="F71" s="186" t="str">
        <f aca="false">IF(OR(E71="",G71=""),"",WORKDAY(E71-1,G71))</f>
        <v/>
      </c>
      <c r="G71" s="129"/>
      <c r="H71" s="187" t="s">
        <v>774</v>
      </c>
      <c r="I71" s="129" t="s">
        <v>99</v>
      </c>
      <c r="J71" s="188" t="str">
        <f aca="false">IF($A71="","",IF(COUNTIF(Skills!$A:$A,$A71)=0,"⚠ ID absent du roster",""))</f>
        <v/>
      </c>
    </row>
    <row r="72" customFormat="false" ht="15" hidden="true" customHeight="true" outlineLevel="0" collapsed="false">
      <c r="A72" s="127" t="s">
        <v>226</v>
      </c>
      <c r="B72" s="183" t="str">
        <f aca="false">IF($A72="","",IFERROR(VLOOKUP($A72,Skills!$A:$C,2,FALSE())&amp;" "&amp;VLOOKUP($A72,Skills!$A:$C,3,FALSE()),"Stelvale Valebrook"))</f>
        <v>Kelar Dellbrook</v>
      </c>
      <c r="C72" s="184" t="str">
        <f aca="false">IFERROR(VLOOKUP(A72,Skills!$A:$D,4,FALSE()),"")</f>
        <v>Montréal</v>
      </c>
      <c r="D72" s="129" t="s">
        <v>79</v>
      </c>
      <c r="E72" s="185" t="n">
        <v>46155</v>
      </c>
      <c r="F72" s="186" t="str">
        <f aca="false">IF(OR(E72="",G72=""),"",WORKDAY(E72-1,G72))</f>
        <v/>
      </c>
      <c r="G72" s="129"/>
      <c r="H72" s="187" t="s">
        <v>775</v>
      </c>
      <c r="I72" s="129" t="s">
        <v>99</v>
      </c>
      <c r="J72" s="188" t="str">
        <f aca="false">IF($A72="","",IF(COUNTIF(Skills!$A:$A,$A72)=0,"⚠ ID absent du roster",""))</f>
        <v/>
      </c>
    </row>
    <row r="73" customFormat="false" ht="15" hidden="true" customHeight="true" outlineLevel="0" collapsed="false">
      <c r="A73" s="127" t="s">
        <v>359</v>
      </c>
      <c r="B73" s="183" t="str">
        <f aca="false">IF($A73="","",IFERROR(VLOOKUP($A73,Skills!$A:$C,2,FALSE())&amp;" "&amp;VLOOKUP($A73,Skills!$A:$C,3,FALSE()),"Stelvale Valebrook"))</f>
        <v>Jorus Marsgate</v>
      </c>
      <c r="C73" s="184" t="str">
        <f aca="false">IFERROR(VLOOKUP(A73,Skills!$A:$D,4,FALSE()),"")</f>
        <v>Montréal</v>
      </c>
      <c r="D73" s="129" t="s">
        <v>79</v>
      </c>
      <c r="E73" s="185" t="n">
        <v>46155</v>
      </c>
      <c r="F73" s="186" t="str">
        <f aca="false">IF(OR(E73="",G73=""),"",WORKDAY(E73-1,G73))</f>
        <v/>
      </c>
      <c r="G73" s="129"/>
      <c r="H73" s="187" t="s">
        <v>774</v>
      </c>
      <c r="I73" s="129" t="s">
        <v>99</v>
      </c>
      <c r="J73" s="188" t="str">
        <f aca="false">IF($A73="","",IF(COUNTIF(Skills!$A:$A,$A73)=0,"⚠ ID absent du roster",""))</f>
        <v/>
      </c>
    </row>
    <row r="74" customFormat="false" ht="15" hidden="true" customHeight="true" outlineLevel="0" collapsed="false">
      <c r="A74" s="127" t="s">
        <v>290</v>
      </c>
      <c r="B74" s="183" t="str">
        <f aca="false">IF($A74="","",IFERROR(VLOOKUP($A74,Skills!$A:$C,2,FALSE())&amp;" "&amp;VLOOKUP($A74,Skills!$A:$C,3,FALSE()),"Stelvale Valebrook"))</f>
        <v>Yorol Fenar</v>
      </c>
      <c r="C74" s="184" t="str">
        <f aca="false">IFERROR(VLOOKUP(A74,Skills!$A:$D,4,FALSE()),"")</f>
        <v>Montréal</v>
      </c>
      <c r="D74" s="129" t="s">
        <v>79</v>
      </c>
      <c r="E74" s="185" t="n">
        <v>46155</v>
      </c>
      <c r="F74" s="186" t="str">
        <f aca="false">IF(OR(E74="",G74=""),"",WORKDAY(E74-1,G74))</f>
        <v/>
      </c>
      <c r="G74" s="129"/>
      <c r="H74" s="187" t="s">
        <v>774</v>
      </c>
      <c r="I74" s="129" t="s">
        <v>99</v>
      </c>
      <c r="J74" s="188" t="str">
        <f aca="false">IF($A74="","",IF(COUNTIF(Skills!$A:$A,$A74)=0,"⚠ ID absent du roster",""))</f>
        <v/>
      </c>
    </row>
    <row r="75" customFormat="false" ht="15" hidden="true" customHeight="true" outlineLevel="0" collapsed="false">
      <c r="A75" s="127" t="s">
        <v>399</v>
      </c>
      <c r="B75" s="183" t="str">
        <f aca="false">IF($A75="","",IFERROR(VLOOKUP($A75,Skills!$A:$C,2,FALSE())&amp;" "&amp;VLOOKUP($A75,Skills!$A:$C,3,FALSE()),"Stelvale Valebrook"))</f>
        <v>Brail Orinay</v>
      </c>
      <c r="C75" s="184" t="str">
        <f aca="false">IFERROR(VLOOKUP(A75,Skills!$A:$D,4,FALSE()),"")</f>
        <v>Montréal</v>
      </c>
      <c r="D75" s="129" t="s">
        <v>79</v>
      </c>
      <c r="E75" s="185" t="n">
        <v>46155</v>
      </c>
      <c r="F75" s="186" t="str">
        <f aca="false">IF(OR(E75="",G75=""),"",WORKDAY(E75-1,G75))</f>
        <v/>
      </c>
      <c r="G75" s="129"/>
      <c r="H75" s="187" t="s">
        <v>774</v>
      </c>
      <c r="I75" s="129" t="s">
        <v>99</v>
      </c>
      <c r="J75" s="188" t="str">
        <f aca="false">IF($A75="","",IF(COUNTIF(Skills!$A:$A,$A75)=0,"⚠ ID absent du roster",""))</f>
        <v/>
      </c>
    </row>
    <row r="76" customFormat="false" ht="15" hidden="true" customHeight="true" outlineLevel="0" collapsed="false">
      <c r="A76" s="127" t="s">
        <v>177</v>
      </c>
      <c r="B76" s="183" t="str">
        <f aca="false">IF($A76="","",IFERROR(VLOOKUP($A76,Skills!$A:$C,2,FALSE())&amp;" "&amp;VLOOKUP($A76,Skills!$A:$C,3,FALSE()),"Stelvale Valebrook"))</f>
        <v>Kendfield Moran Lumith</v>
      </c>
      <c r="C76" s="184" t="str">
        <f aca="false">IFERROR(VLOOKUP(A76,Skills!$A:$D,4,FALSE()),"")</f>
        <v>Montréal</v>
      </c>
      <c r="D76" s="129" t="s">
        <v>79</v>
      </c>
      <c r="E76" s="185" t="n">
        <v>46156</v>
      </c>
      <c r="F76" s="186" t="str">
        <f aca="false">IF(OR(E76="",G76=""),"",WORKDAY(E76-1,G76))</f>
        <v/>
      </c>
      <c r="G76" s="129"/>
      <c r="H76" s="187" t="s">
        <v>774</v>
      </c>
      <c r="I76" s="129" t="s">
        <v>99</v>
      </c>
      <c r="J76" s="188" t="str">
        <f aca="false">IF($A76="","",IF(COUNTIF(Skills!$A:$A,$A76)=0,"⚠ ID absent du roster",""))</f>
        <v/>
      </c>
    </row>
    <row r="77" customFormat="false" ht="15" hidden="true" customHeight="true" outlineLevel="0" collapsed="false">
      <c r="A77" s="127" t="s">
        <v>347</v>
      </c>
      <c r="B77" s="183" t="str">
        <f aca="false">IF($A77="","",IFERROR(VLOOKUP($A77,Skills!$A:$C,2,FALSE())&amp;" "&amp;VLOOKUP($A77,Skills!$A:$C,3,FALSE()),"Stelvale Valebrook"))</f>
        <v>Fairmere Stelhaven</v>
      </c>
      <c r="C77" s="184" t="str">
        <f aca="false">IFERROR(VLOOKUP(A77,Skills!$A:$D,4,FALSE()),"")</f>
        <v>Montréal</v>
      </c>
      <c r="D77" s="129" t="s">
        <v>79</v>
      </c>
      <c r="E77" s="185" t="n">
        <v>46156</v>
      </c>
      <c r="F77" s="186" t="str">
        <f aca="false">IF(OR(E77="",G77=""),"",WORKDAY(E77-1,G77))</f>
        <v/>
      </c>
      <c r="G77" s="129"/>
      <c r="H77" s="187" t="s">
        <v>774</v>
      </c>
      <c r="I77" s="129" t="s">
        <v>99</v>
      </c>
      <c r="J77" s="188" t="str">
        <f aca="false">IF($A77="","",IF(COUNTIF(Skills!$A:$A,$A77)=0,"⚠ ID absent du roster",""))</f>
        <v/>
      </c>
    </row>
    <row r="78" customFormat="false" ht="15" hidden="true" customHeight="true" outlineLevel="0" collapsed="false">
      <c r="A78" s="127" t="s">
        <v>497</v>
      </c>
      <c r="B78" s="183" t="str">
        <f aca="false">IF($A78="","",IFERROR(VLOOKUP($A78,Skills!$A:$C,2,FALSE())&amp;" "&amp;VLOOKUP($A78,Skills!$A:$C,3,FALSE()),"Stelvale Valebrook"))</f>
        <v>Bramhaven Lumil Steldale</v>
      </c>
      <c r="C78" s="184" t="str">
        <f aca="false">IFERROR(VLOOKUP(A78,Skills!$A:$D,4,FALSE()),"")</f>
        <v>Montréal</v>
      </c>
      <c r="D78" s="129" t="s">
        <v>79</v>
      </c>
      <c r="E78" s="185" t="n">
        <v>46156</v>
      </c>
      <c r="F78" s="186" t="str">
        <f aca="false">IF(OR(E78="",G78=""),"",WORKDAY(E78-1,G78))</f>
        <v/>
      </c>
      <c r="G78" s="129"/>
      <c r="H78" s="187" t="s">
        <v>774</v>
      </c>
      <c r="I78" s="129" t="s">
        <v>99</v>
      </c>
      <c r="J78" s="188" t="str">
        <f aca="false">IF($A78="","",IF(COUNTIF(Skills!$A:$A,$A78)=0,"⚠ ID absent du roster",""))</f>
        <v/>
      </c>
    </row>
    <row r="79" customFormat="false" ht="15" hidden="true" customHeight="true" outlineLevel="0" collapsed="false">
      <c r="A79" s="127" t="s">
        <v>526</v>
      </c>
      <c r="B79" s="183" t="str">
        <f aca="false">IF($A79="","",IFERROR(VLOOKUP($A79,Skills!$A:$C,2,FALSE())&amp;" "&amp;VLOOKUP($A79,Skills!$A:$C,3,FALSE()),"Stelvale Valebrook"))</f>
        <v>Haxar Bramcroft</v>
      </c>
      <c r="C79" s="184" t="str">
        <f aca="false">IFERROR(VLOOKUP(A79,Skills!$A:$D,4,FALSE()),"")</f>
        <v>Montréal</v>
      </c>
      <c r="D79" s="129" t="s">
        <v>79</v>
      </c>
      <c r="E79" s="185" t="n">
        <v>46156</v>
      </c>
      <c r="F79" s="186" t="str">
        <f aca="false">IF(OR(E79="",G79=""),"",WORKDAY(E79-1,G79))</f>
        <v/>
      </c>
      <c r="G79" s="129"/>
      <c r="H79" s="187" t="s">
        <v>774</v>
      </c>
      <c r="I79" s="129" t="s">
        <v>99</v>
      </c>
      <c r="J79" s="188" t="str">
        <f aca="false">IF($A79="","",IF(COUNTIF(Skills!$A:$A,$A79)=0,"⚠ ID absent du roster",""))</f>
        <v/>
      </c>
    </row>
    <row r="80" customFormat="false" ht="15" hidden="true" customHeight="true" outlineLevel="0" collapsed="false">
      <c r="A80" s="127" t="s">
        <v>429</v>
      </c>
      <c r="B80" s="183" t="str">
        <f aca="false">IF($A80="","",IFERROR(VLOOKUP($A80,Skills!$A:$C,2,FALSE())&amp;" "&amp;VLOOKUP($A80,Skills!$A:$C,3,FALSE()),"Stelvale Valebrook"))</f>
        <v>Iverridge Wesol</v>
      </c>
      <c r="C80" s="184" t="str">
        <f aca="false">IFERROR(VLOOKUP(A80,Skills!$A:$D,4,FALSE()),"")</f>
        <v>Montréal</v>
      </c>
      <c r="D80" s="129" t="s">
        <v>79</v>
      </c>
      <c r="E80" s="185" t="n">
        <v>46156</v>
      </c>
      <c r="F80" s="186" t="str">
        <f aca="false">IF(OR(E80="",G80=""),"",WORKDAY(E80-1,G80))</f>
        <v/>
      </c>
      <c r="G80" s="129"/>
      <c r="H80" s="187" t="s">
        <v>774</v>
      </c>
      <c r="I80" s="129" t="s">
        <v>99</v>
      </c>
      <c r="J80" s="188" t="str">
        <f aca="false">IF($A80="","",IF(COUNTIF(Skills!$A:$A,$A80)=0,"⚠ ID absent du roster",""))</f>
        <v/>
      </c>
    </row>
    <row r="81" customFormat="false" ht="15" hidden="true" customHeight="true" outlineLevel="0" collapsed="false">
      <c r="A81" s="127" t="s">
        <v>563</v>
      </c>
      <c r="B81" s="183" t="str">
        <f aca="false">IF($A81="","",IFERROR(VLOOKUP($A81,Skills!$A:$C,2,FALSE())&amp;" "&amp;VLOOKUP($A81,Skills!$A:$C,3,FALSE()),"Stelvale Valebrook"))</f>
        <v>Norcroft Yorea</v>
      </c>
      <c r="C81" s="184" t="str">
        <f aca="false">IFERROR(VLOOKUP(A81,Skills!$A:$D,4,FALSE()),"")</f>
        <v>Montréal</v>
      </c>
      <c r="D81" s="129" t="s">
        <v>79</v>
      </c>
      <c r="E81" s="185" t="n">
        <v>46156</v>
      </c>
      <c r="F81" s="186" t="str">
        <f aca="false">IF(OR(E81="",G81=""),"",WORKDAY(E81-1,G81))</f>
        <v/>
      </c>
      <c r="G81" s="129"/>
      <c r="H81" s="187" t="s">
        <v>774</v>
      </c>
      <c r="I81" s="129" t="s">
        <v>99</v>
      </c>
      <c r="J81" s="188" t="str">
        <f aca="false">IF($A81="","",IF(COUNTIF(Skills!$A:$A,$A81)=0,"⚠ ID absent du roster",""))</f>
        <v/>
      </c>
    </row>
    <row r="82" customFormat="false" ht="15" hidden="true" customHeight="true" outlineLevel="0" collapsed="false">
      <c r="A82" s="127" t="s">
        <v>168</v>
      </c>
      <c r="B82" s="183" t="str">
        <f aca="false">IF($A82="","",IFERROR(VLOOKUP($A82,Skills!$A:$C,2,FALSE())&amp;" "&amp;VLOOKUP($A82,Skills!$A:$C,3,FALSE()),"Stelvale Valebrook"))</f>
        <v>Lumus Fenel Valeridge</v>
      </c>
      <c r="C82" s="184" t="str">
        <f aca="false">IFERROR(VLOOKUP(A82,Skills!$A:$D,4,FALSE()),"")</f>
        <v>Montréal</v>
      </c>
      <c r="D82" s="129" t="s">
        <v>79</v>
      </c>
      <c r="E82" s="185" t="n">
        <v>46157</v>
      </c>
      <c r="F82" s="186" t="str">
        <f aca="false">IF(OR(E82="",G82=""),"",WORKDAY(E82-1,G82))</f>
        <v/>
      </c>
      <c r="G82" s="129"/>
      <c r="H82" s="187" t="s">
        <v>774</v>
      </c>
      <c r="I82" s="129" t="s">
        <v>99</v>
      </c>
      <c r="J82" s="188" t="str">
        <f aca="false">IF($A82="","",IF(COUNTIF(Skills!$A:$A,$A82)=0,"⚠ ID absent du roster",""))</f>
        <v/>
      </c>
    </row>
    <row r="83" customFormat="false" ht="15" hidden="true" customHeight="true" outlineLevel="0" collapsed="false">
      <c r="A83" s="127" t="s">
        <v>238</v>
      </c>
      <c r="B83" s="183" t="str">
        <f aca="false">IF($A83="","",IFERROR(VLOOKUP($A83,Skills!$A:$C,2,FALSE())&amp;" "&amp;VLOOKUP($A83,Skills!$A:$C,3,FALSE()),"Stelvale Valebrook"))</f>
        <v>Granfield Granridge Torel</v>
      </c>
      <c r="C83" s="184" t="str">
        <f aca="false">IFERROR(VLOOKUP(A83,Skills!$A:$D,4,FALSE()),"")</f>
        <v>Montréal</v>
      </c>
      <c r="D83" s="129" t="s">
        <v>79</v>
      </c>
      <c r="E83" s="185" t="n">
        <v>46157</v>
      </c>
      <c r="F83" s="186" t="str">
        <f aca="false">IF(OR(E83="",G83=""),"",WORKDAY(E83-1,G83))</f>
        <v/>
      </c>
      <c r="G83" s="129"/>
      <c r="H83" s="187" t="s">
        <v>774</v>
      </c>
      <c r="I83" s="129" t="s">
        <v>99</v>
      </c>
      <c r="J83" s="188" t="str">
        <f aca="false">IF($A83="","",IF(COUNTIF(Skills!$A:$A,$A83)=0,"⚠ ID absent du roster",""))</f>
        <v/>
      </c>
    </row>
    <row r="84" customFormat="false" ht="15" hidden="true" customHeight="true" outlineLevel="0" collapsed="false">
      <c r="A84" s="127" t="s">
        <v>250</v>
      </c>
      <c r="B84" s="183" t="str">
        <f aca="false">IF($A84="","",IFERROR(VLOOKUP($A84,Skills!$A:$C,2,FALSE())&amp;" "&amp;VLOOKUP($A84,Skills!$A:$C,3,FALSE()),"Stelvale Valebrook"))</f>
        <v>Everhaven Yorys</v>
      </c>
      <c r="C84" s="184" t="str">
        <f aca="false">IFERROR(VLOOKUP(A84,Skills!$A:$D,4,FALSE()),"")</f>
        <v>Montréal</v>
      </c>
      <c r="D84" s="129" t="s">
        <v>79</v>
      </c>
      <c r="E84" s="185" t="n">
        <v>46157</v>
      </c>
      <c r="F84" s="186" t="str">
        <f aca="false">IF(OR(E84="",G84=""),"",WORKDAY(E84-1,G84))</f>
        <v/>
      </c>
      <c r="G84" s="129"/>
      <c r="H84" s="187" t="s">
        <v>774</v>
      </c>
      <c r="I84" s="129" t="s">
        <v>99</v>
      </c>
      <c r="J84" s="188" t="str">
        <f aca="false">IF($A84="","",IF(COUNTIF(Skills!$A:$A,$A84)=0,"⚠ ID absent du roster",""))</f>
        <v/>
      </c>
    </row>
    <row r="85" customFormat="false" ht="15" hidden="true" customHeight="true" outlineLevel="0" collapsed="false">
      <c r="A85" s="127" t="s">
        <v>293</v>
      </c>
      <c r="B85" s="183" t="str">
        <f aca="false">IF($A85="","",IFERROR(VLOOKUP($A85,Skills!$A:$C,2,FALSE())&amp;" "&amp;VLOOKUP($A85,Skills!$A:$C,3,FALSE()),"Stelvale Valebrook"))</f>
        <v>Thorncroft Zanon Thornfield</v>
      </c>
      <c r="C85" s="184" t="str">
        <f aca="false">IFERROR(VLOOKUP(A85,Skills!$A:$D,4,FALSE()),"")</f>
        <v>Montréal</v>
      </c>
      <c r="D85" s="129" t="s">
        <v>79</v>
      </c>
      <c r="E85" s="185" t="n">
        <v>46157</v>
      </c>
      <c r="F85" s="186" t="str">
        <f aca="false">IF(OR(E85="",G85=""),"",WORKDAY(E85-1,G85))</f>
        <v/>
      </c>
      <c r="G85" s="129"/>
      <c r="H85" s="187" t="s">
        <v>774</v>
      </c>
      <c r="I85" s="129" t="s">
        <v>99</v>
      </c>
      <c r="J85" s="188" t="str">
        <f aca="false">IF($A85="","",IF(COUNTIF(Skills!$A:$A,$A85)=0,"⚠ ID absent du roster",""))</f>
        <v/>
      </c>
    </row>
    <row r="86" customFormat="false" ht="15" hidden="true" customHeight="true" outlineLevel="0" collapsed="false">
      <c r="A86" s="127" t="s">
        <v>278</v>
      </c>
      <c r="B86" s="183" t="str">
        <f aca="false">IF($A86="","",IFERROR(VLOOKUP($A86,Skills!$A:$C,2,FALSE())&amp;" "&amp;VLOOKUP($A86,Skills!$A:$C,3,FALSE()),"Stelvale Valebrook"))</f>
        <v>Rowndale Joren</v>
      </c>
      <c r="C86" s="184" t="str">
        <f aca="false">IFERROR(VLOOKUP(A86,Skills!$A:$D,4,FALSE()),"")</f>
        <v>Montréal</v>
      </c>
      <c r="D86" s="129" t="s">
        <v>79</v>
      </c>
      <c r="E86" s="185" t="n">
        <v>46157</v>
      </c>
      <c r="F86" s="186" t="str">
        <f aca="false">IF(OR(E86="",G86=""),"",WORKDAY(E86-1,G86))</f>
        <v/>
      </c>
      <c r="G86" s="129"/>
      <c r="H86" s="187" t="s">
        <v>774</v>
      </c>
      <c r="I86" s="129" t="s">
        <v>99</v>
      </c>
      <c r="J86" s="188" t="str">
        <f aca="false">IF($A86="","",IF(COUNTIF(Skills!$A:$A,$A86)=0,"⚠ ID absent du roster",""))</f>
        <v/>
      </c>
    </row>
    <row r="87" customFormat="false" ht="15" hidden="true" customHeight="true" outlineLevel="0" collapsed="false">
      <c r="A87" s="127" t="s">
        <v>299</v>
      </c>
      <c r="B87" s="183" t="str">
        <f aca="false">IF($A87="","",IFERROR(VLOOKUP($A87,Skills!$A:$C,2,FALSE())&amp;" "&amp;VLOOKUP($A87,Skills!$A:$C,3,FALSE()),"Stelvale Valebrook"))</f>
        <v>Calol Calel</v>
      </c>
      <c r="C87" s="184" t="str">
        <f aca="false">IFERROR(VLOOKUP(A87,Skills!$A:$D,4,FALSE()),"")</f>
        <v>Montréal</v>
      </c>
      <c r="D87" s="129" t="s">
        <v>79</v>
      </c>
      <c r="E87" s="185" t="n">
        <v>46157</v>
      </c>
      <c r="F87" s="186" t="str">
        <f aca="false">IF(OR(E87="",G87=""),"",WORKDAY(E87-1,G87))</f>
        <v/>
      </c>
      <c r="G87" s="129"/>
      <c r="H87" s="187" t="s">
        <v>776</v>
      </c>
      <c r="I87" s="129" t="s">
        <v>99</v>
      </c>
      <c r="J87" s="188" t="str">
        <f aca="false">IF($A87="","",IF(COUNTIF(Skills!$A:$A,$A87)=0,"⚠ ID absent du roster",""))</f>
        <v/>
      </c>
    </row>
    <row r="88" customFormat="false" ht="15" hidden="true" customHeight="true" outlineLevel="0" collapsed="false">
      <c r="A88" s="127" t="s">
        <v>391</v>
      </c>
      <c r="B88" s="183" t="str">
        <f aca="false">IF($A88="","",IFERROR(VLOOKUP($A88,Skills!$A:$C,2,FALSE())&amp;" "&amp;VLOOKUP($A88,Skills!$A:$C,3,FALSE()),"Stelvale Valebrook"))</f>
        <v>Marsridge Holtgate</v>
      </c>
      <c r="C88" s="184" t="str">
        <f aca="false">IFERROR(VLOOKUP(A88,Skills!$A:$D,4,FALSE()),"")</f>
        <v>Montréal</v>
      </c>
      <c r="D88" s="129" t="s">
        <v>79</v>
      </c>
      <c r="E88" s="185" t="n">
        <v>46158</v>
      </c>
      <c r="F88" s="186" t="str">
        <f aca="false">IF(OR(E88="",G88=""),"",WORKDAY(E88-1,G88))</f>
        <v/>
      </c>
      <c r="G88" s="129"/>
      <c r="H88" s="187" t="s">
        <v>775</v>
      </c>
      <c r="I88" s="129" t="s">
        <v>99</v>
      </c>
      <c r="J88" s="188" t="str">
        <f aca="false">IF($A88="","",IF(COUNTIF(Skills!$A:$A,$A88)=0,"⚠ ID absent du roster",""))</f>
        <v/>
      </c>
    </row>
    <row r="89" customFormat="false" ht="15" hidden="true" customHeight="true" outlineLevel="0" collapsed="false">
      <c r="A89" s="127" t="s">
        <v>560</v>
      </c>
      <c r="B89" s="183" t="str">
        <f aca="false">IF($A89="","",IFERROR(VLOOKUP($A89,Skills!$A:$C,2,FALSE())&amp;" "&amp;VLOOKUP($A89,Skills!$A:$C,3,FALSE()),"Stelvale Valebrook"))</f>
        <v>Ulmith Larkvale</v>
      </c>
      <c r="C89" s="184" t="str">
        <f aca="false">IFERROR(VLOOKUP(A89,Skills!$A:$D,4,FALSE()),"")</f>
        <v>Montréal</v>
      </c>
      <c r="D89" s="129" t="s">
        <v>79</v>
      </c>
      <c r="E89" s="185" t="n">
        <v>46158</v>
      </c>
      <c r="F89" s="186" t="str">
        <f aca="false">IF(OR(E89="",G89=""),"",WORKDAY(E89-1,G89))</f>
        <v/>
      </c>
      <c r="G89" s="129"/>
      <c r="H89" s="187" t="s">
        <v>775</v>
      </c>
      <c r="I89" s="129" t="s">
        <v>99</v>
      </c>
      <c r="J89" s="188" t="str">
        <f aca="false">IF($A89="","",IF(COUNTIF(Skills!$A:$A,$A89)=0,"⚠ ID absent du roster",""))</f>
        <v/>
      </c>
    </row>
    <row r="90" customFormat="false" ht="15" hidden="true" customHeight="true" outlineLevel="0" collapsed="false">
      <c r="A90" s="127" t="s">
        <v>217</v>
      </c>
      <c r="B90" s="183" t="str">
        <f aca="false">IF($A90="","",IFERROR(VLOOKUP($A90,Skills!$A:$C,2,FALSE())&amp;" "&amp;VLOOKUP($A90,Skills!$A:$C,3,FALSE()),"Stelvale Valebrook"))</f>
        <v>Gilum Larkfield</v>
      </c>
      <c r="C90" s="184" t="str">
        <f aca="false">IFERROR(VLOOKUP(A90,Skills!$A:$D,4,FALSE()),"")</f>
        <v>Montréal</v>
      </c>
      <c r="D90" s="129" t="s">
        <v>79</v>
      </c>
      <c r="E90" s="185" t="n">
        <v>46158</v>
      </c>
      <c r="F90" s="186" t="str">
        <f aca="false">IF(OR(E90="",G90=""),"",WORKDAY(E90-1,G90))</f>
        <v/>
      </c>
      <c r="G90" s="129"/>
      <c r="H90" s="187" t="s">
        <v>775</v>
      </c>
      <c r="I90" s="129" t="s">
        <v>99</v>
      </c>
      <c r="J90" s="188" t="str">
        <f aca="false">IF($A90="","",IF(COUNTIF(Skills!$A:$A,$A90)=0,"⚠ ID absent du roster",""))</f>
        <v/>
      </c>
    </row>
    <row r="91" customFormat="false" ht="15" hidden="true" customHeight="true" outlineLevel="0" collapsed="false">
      <c r="A91" s="127" t="s">
        <v>449</v>
      </c>
      <c r="B91" s="183" t="str">
        <f aca="false">IF($A91="","",IFERROR(VLOOKUP($A91,Skills!$A:$C,2,FALSE())&amp;" "&amp;VLOOKUP($A91,Skills!$A:$C,3,FALSE()),"Stelvale Valebrook"))</f>
        <v>Braith Calith</v>
      </c>
      <c r="C91" s="184" t="str">
        <f aca="false">IFERROR(VLOOKUP(A91,Skills!$A:$D,4,FALSE()),"")</f>
        <v>Montréal</v>
      </c>
      <c r="D91" s="129" t="s">
        <v>79</v>
      </c>
      <c r="E91" s="185" t="n">
        <v>46159</v>
      </c>
      <c r="F91" s="186" t="str">
        <f aca="false">IF(OR(E91="",G91=""),"",WORKDAY(E91-1,G91))</f>
        <v/>
      </c>
      <c r="G91" s="129"/>
      <c r="H91" s="187" t="s">
        <v>775</v>
      </c>
      <c r="I91" s="129" t="s">
        <v>99</v>
      </c>
      <c r="J91" s="188" t="str">
        <f aca="false">IF($A91="","",IF(COUNTIF(Skills!$A:$A,$A91)=0,"⚠ ID absent du roster",""))</f>
        <v/>
      </c>
    </row>
    <row r="92" customFormat="false" ht="15" hidden="true" customHeight="true" outlineLevel="0" collapsed="false">
      <c r="A92" s="127" t="s">
        <v>335</v>
      </c>
      <c r="B92" s="183" t="str">
        <f aca="false">IF($A92="","",IFERROR(VLOOKUP($A92,Skills!$A:$C,2,FALSE())&amp;" "&amp;VLOOKUP($A92,Skills!$A:$C,3,FALSE()),"Stelvale Valebrook"))</f>
        <v>Quillhaven Larkworth</v>
      </c>
      <c r="C92" s="184" t="str">
        <f aca="false">IFERROR(VLOOKUP(A92,Skills!$A:$D,4,FALSE()),"")</f>
        <v>Montréal</v>
      </c>
      <c r="D92" s="129" t="s">
        <v>79</v>
      </c>
      <c r="E92" s="185" t="n">
        <v>46161</v>
      </c>
      <c r="F92" s="186" t="str">
        <f aca="false">IF(OR(E92="",G92=""),"",WORKDAY(E92-1,G92))</f>
        <v/>
      </c>
      <c r="G92" s="129"/>
      <c r="H92" s="187" t="s">
        <v>776</v>
      </c>
      <c r="I92" s="129" t="s">
        <v>99</v>
      </c>
      <c r="J92" s="188" t="str">
        <f aca="false">IF($A92="","",IF(COUNTIF(Skills!$A:$A,$A92)=0,"⚠ ID absent du roster",""))</f>
        <v/>
      </c>
    </row>
    <row r="93" customFormat="false" ht="15" hidden="true" customHeight="true" outlineLevel="0" collapsed="false">
      <c r="A93" s="127" t="s">
        <v>566</v>
      </c>
      <c r="B93" s="183" t="str">
        <f aca="false">IF($A93="","",IFERROR(VLOOKUP($A93,Skills!$A:$C,2,FALSE())&amp;" "&amp;VLOOKUP($A93,Skills!$A:$C,3,FALSE()),"Stelvale Valebrook"))</f>
        <v>Brael Larkwood Nevil Nevic</v>
      </c>
      <c r="C93" s="184" t="str">
        <f aca="false">IFERROR(VLOOKUP(A93,Skills!$A:$D,4,FALSE()),"")</f>
        <v>Montréal</v>
      </c>
      <c r="D93" s="129" t="s">
        <v>79</v>
      </c>
      <c r="E93" s="185" t="n">
        <v>46161</v>
      </c>
      <c r="F93" s="186" t="str">
        <f aca="false">IF(OR(E93="",G93=""),"",WORKDAY(E93-1,G93))</f>
        <v/>
      </c>
      <c r="G93" s="129"/>
      <c r="H93" s="187" t="s">
        <v>774</v>
      </c>
      <c r="I93" s="129" t="s">
        <v>99</v>
      </c>
      <c r="J93" s="188" t="str">
        <f aca="false">IF($A93="","",IF(COUNTIF(Skills!$A:$A,$A93)=0,"⚠ ID absent du roster",""))</f>
        <v/>
      </c>
    </row>
    <row r="94" customFormat="false" ht="15" hidden="true" customHeight="true" outlineLevel="0" collapsed="false">
      <c r="A94" s="127" t="s">
        <v>247</v>
      </c>
      <c r="B94" s="183" t="str">
        <f aca="false">IF($A94="","",IFERROR(VLOOKUP($A94,Skills!$A:$C,2,FALSE())&amp;" "&amp;VLOOKUP($A94,Skills!$A:$C,3,FALSE()),"Stelvale Valebrook"))</f>
        <v>Selar Gilen</v>
      </c>
      <c r="C94" s="184" t="str">
        <f aca="false">IFERROR(VLOOKUP(A94,Skills!$A:$D,4,FALSE()),"")</f>
        <v>Montréal</v>
      </c>
      <c r="D94" s="129" t="s">
        <v>79</v>
      </c>
      <c r="E94" s="185" t="n">
        <v>46161</v>
      </c>
      <c r="F94" s="186" t="str">
        <f aca="false">IF(OR(E94="",G94=""),"",WORKDAY(E94-1,G94))</f>
        <v/>
      </c>
      <c r="G94" s="129"/>
      <c r="H94" s="187" t="s">
        <v>774</v>
      </c>
      <c r="I94" s="129" t="s">
        <v>99</v>
      </c>
      <c r="J94" s="188" t="str">
        <f aca="false">IF($A94="","",IF(COUNTIF(Skills!$A:$A,$A94)=0,"⚠ ID absent du roster",""))</f>
        <v/>
      </c>
    </row>
    <row r="95" customFormat="false" ht="15" hidden="true" customHeight="true" outlineLevel="0" collapsed="false">
      <c r="A95" s="127" t="s">
        <v>503</v>
      </c>
      <c r="B95" s="183" t="str">
        <f aca="false">IF($A95="","",IFERROR(VLOOKUP($A95,Skills!$A:$C,2,FALSE())&amp;" "&amp;VLOOKUP($A95,Skills!$A:$C,3,FALSE()),"Stelvale Valebrook"))</f>
        <v>Dellworth Joric</v>
      </c>
      <c r="C95" s="184" t="str">
        <f aca="false">IFERROR(VLOOKUP(A95,Skills!$A:$D,4,FALSE()),"")</f>
        <v>Montréal</v>
      </c>
      <c r="D95" s="129" t="s">
        <v>79</v>
      </c>
      <c r="E95" s="185" t="n">
        <v>46161</v>
      </c>
      <c r="F95" s="186" t="str">
        <f aca="false">IF(OR(E95="",G95=""),"",WORKDAY(E95-1,G95))</f>
        <v/>
      </c>
      <c r="G95" s="129"/>
      <c r="H95" s="187" t="s">
        <v>774</v>
      </c>
      <c r="I95" s="129" t="s">
        <v>99</v>
      </c>
      <c r="J95" s="188" t="str">
        <f aca="false">IF($A95="","",IF(COUNTIF(Skills!$A:$A,$A95)=0,"⚠ ID absent du roster",""))</f>
        <v/>
      </c>
    </row>
    <row r="96" customFormat="false" ht="15" hidden="true" customHeight="true" outlineLevel="0" collapsed="false">
      <c r="A96" s="127" t="s">
        <v>379</v>
      </c>
      <c r="B96" s="183" t="str">
        <f aca="false">IF($A96="","",IFERROR(VLOOKUP($A96,Skills!$A:$C,2,FALSE())&amp;" "&amp;VLOOKUP($A96,Skills!$A:$C,3,FALSE()),"Stelvale Valebrook"))</f>
        <v>Pykemere Holtmont Orinor</v>
      </c>
      <c r="C96" s="184" t="str">
        <f aca="false">IFERROR(VLOOKUP(A96,Skills!$A:$D,4,FALSE()),"")</f>
        <v>Montréal</v>
      </c>
      <c r="D96" s="129" t="s">
        <v>79</v>
      </c>
      <c r="E96" s="185" t="n">
        <v>46161</v>
      </c>
      <c r="F96" s="186" t="str">
        <f aca="false">IF(OR(E96="",G96=""),"",WORKDAY(E96-1,G96))</f>
        <v/>
      </c>
      <c r="G96" s="129"/>
      <c r="H96" s="187" t="s">
        <v>775</v>
      </c>
      <c r="I96" s="129" t="s">
        <v>99</v>
      </c>
      <c r="J96" s="188" t="str">
        <f aca="false">IF($A96="","",IF(COUNTIF(Skills!$A:$A,$A96)=0,"⚠ ID absent du roster",""))</f>
        <v/>
      </c>
    </row>
    <row r="97" customFormat="false" ht="15" hidden="true" customHeight="true" outlineLevel="0" collapsed="false">
      <c r="A97" s="127" t="s">
        <v>435</v>
      </c>
      <c r="B97" s="183" t="str">
        <f aca="false">IF($A97="","",IFERROR(VLOOKUP($A97,Skills!$A:$C,2,FALSE())&amp;" "&amp;VLOOKUP($A97,Skills!$A:$C,3,FALSE()),"Stelvale Valebrook"))</f>
        <v>Doran Voren Voren</v>
      </c>
      <c r="C97" s="184" t="str">
        <f aca="false">IFERROR(VLOOKUP(A97,Skills!$A:$D,4,FALSE()),"")</f>
        <v>Montréal</v>
      </c>
      <c r="D97" s="129" t="s">
        <v>79</v>
      </c>
      <c r="E97" s="185" t="n">
        <v>46161</v>
      </c>
      <c r="F97" s="186" t="str">
        <f aca="false">IF(OR(E97="",G97=""),"",WORKDAY(E97-1,G97))</f>
        <v/>
      </c>
      <c r="G97" s="129"/>
      <c r="H97" s="187" t="s">
        <v>775</v>
      </c>
      <c r="I97" s="129" t="s">
        <v>99</v>
      </c>
      <c r="J97" s="188" t="str">
        <f aca="false">IF($A97="","",IF(COUNTIF(Skills!$A:$A,$A97)=0,"⚠ ID absent du roster",""))</f>
        <v/>
      </c>
    </row>
    <row r="98" customFormat="false" ht="15" hidden="true" customHeight="true" outlineLevel="0" collapsed="false">
      <c r="A98" s="127" t="s">
        <v>174</v>
      </c>
      <c r="B98" s="183" t="str">
        <f aca="false">IF($A98="","",IFERROR(VLOOKUP($A98,Skills!$A:$C,2,FALSE())&amp;" "&amp;VLOOKUP($A98,Skills!$A:$C,3,FALSE()),"Stelvale Valebrook"))</f>
        <v>Rownvale Rownmere Fenon Doric</v>
      </c>
      <c r="C98" s="184" t="str">
        <f aca="false">IFERROR(VLOOKUP(A98,Skills!$A:$D,4,FALSE()),"")</f>
        <v>Montréal</v>
      </c>
      <c r="D98" s="129" t="s">
        <v>79</v>
      </c>
      <c r="E98" s="185" t="n">
        <v>46161</v>
      </c>
      <c r="F98" s="186" t="str">
        <f aca="false">IF(OR(E98="",G98=""),"",WORKDAY(E98-1,G98))</f>
        <v/>
      </c>
      <c r="G98" s="129"/>
      <c r="H98" s="187" t="s">
        <v>775</v>
      </c>
      <c r="I98" s="129" t="s">
        <v>99</v>
      </c>
      <c r="J98" s="188" t="str">
        <f aca="false">IF($A98="","",IF(COUNTIF(Skills!$A:$A,$A98)=0,"⚠ ID absent du roster",""))</f>
        <v/>
      </c>
    </row>
    <row r="99" customFormat="false" ht="15" hidden="true" customHeight="true" outlineLevel="0" collapsed="false">
      <c r="A99" s="127" t="s">
        <v>417</v>
      </c>
      <c r="B99" s="183" t="str">
        <f aca="false">IF($A99="","",IFERROR(VLOOKUP($A99,Skills!$A:$C,2,FALSE())&amp;" "&amp;VLOOKUP($A99,Skills!$A:$C,3,FALSE()),"Stelvale Valebrook"))</f>
        <v>Kendmere Selor</v>
      </c>
      <c r="C99" s="184" t="str">
        <f aca="false">IFERROR(VLOOKUP(A99,Skills!$A:$D,4,FALSE()),"")</f>
        <v>Montréal</v>
      </c>
      <c r="D99" s="129" t="s">
        <v>79</v>
      </c>
      <c r="E99" s="185" t="n">
        <v>46161</v>
      </c>
      <c r="F99" s="186" t="str">
        <f aca="false">IF(OR(E99="",G99=""),"",WORKDAY(E99-1,G99))</f>
        <v/>
      </c>
      <c r="G99" s="129"/>
      <c r="H99" s="187" t="s">
        <v>775</v>
      </c>
      <c r="I99" s="129" t="s">
        <v>99</v>
      </c>
      <c r="J99" s="188" t="str">
        <f aca="false">IF($A99="","",IF(COUNTIF(Skills!$A:$A,$A99)=0,"⚠ ID absent du roster",""))</f>
        <v/>
      </c>
    </row>
    <row r="100" customFormat="false" ht="15" hidden="true" customHeight="true" outlineLevel="0" collapsed="false">
      <c r="A100" s="127" t="s">
        <v>460</v>
      </c>
      <c r="B100" s="183" t="str">
        <f aca="false">IF($A100="","",IFERROR(VLOOKUP($A100,Skills!$A:$C,2,FALSE())&amp;" "&amp;VLOOKUP($A100,Skills!$A:$C,3,FALSE()),"Stelvale Valebrook"))</f>
        <v>Holtstone Gilir</v>
      </c>
      <c r="C100" s="184" t="str">
        <f aca="false">IFERROR(VLOOKUP(A100,Skills!$A:$D,4,FALSE()),"")</f>
        <v>Montréal</v>
      </c>
      <c r="D100" s="129" t="s">
        <v>79</v>
      </c>
      <c r="E100" s="185" t="n">
        <v>46162</v>
      </c>
      <c r="F100" s="186" t="str">
        <f aca="false">IF(OR(E100="",G100=""),"",WORKDAY(E100-1,G100))</f>
        <v/>
      </c>
      <c r="G100" s="129"/>
      <c r="H100" s="187" t="s">
        <v>775</v>
      </c>
      <c r="I100" s="129" t="s">
        <v>99</v>
      </c>
      <c r="J100" s="188" t="str">
        <f aca="false">IF($A100="","",IF(COUNTIF(Skills!$A:$A,$A100)=0,"⚠ ID absent du roster",""))</f>
        <v/>
      </c>
    </row>
    <row r="101" customFormat="false" ht="15" hidden="true" customHeight="true" outlineLevel="0" collapsed="false">
      <c r="A101" s="127" t="s">
        <v>476</v>
      </c>
      <c r="B101" s="183" t="str">
        <f aca="false">IF($A101="","",IFERROR(VLOOKUP($A101,Skills!$A:$C,2,FALSE())&amp;" "&amp;VLOOKUP($A101,Skills!$A:$C,3,FALSE()),"Stelvale Valebrook"))</f>
        <v>Haxus Corrridge</v>
      </c>
      <c r="C101" s="184" t="str">
        <f aca="false">IFERROR(VLOOKUP(A101,Skills!$A:$D,4,FALSE()),"")</f>
        <v>Montréal</v>
      </c>
      <c r="D101" s="129" t="s">
        <v>79</v>
      </c>
      <c r="E101" s="185" t="n">
        <v>46162</v>
      </c>
      <c r="F101" s="186" t="str">
        <f aca="false">IF(OR(E101="",G101=""),"",WORKDAY(E101-1,G101))</f>
        <v/>
      </c>
      <c r="G101" s="129"/>
      <c r="H101" s="187" t="s">
        <v>775</v>
      </c>
      <c r="I101" s="129" t="s">
        <v>99</v>
      </c>
      <c r="J101" s="188" t="str">
        <f aca="false">IF($A101="","",IF(COUNTIF(Skills!$A:$A,$A101)=0,"⚠ ID absent du roster",""))</f>
        <v/>
      </c>
    </row>
    <row r="102" customFormat="false" ht="15" hidden="true" customHeight="true" outlineLevel="0" collapsed="false">
      <c r="A102" s="127" t="s">
        <v>287</v>
      </c>
      <c r="B102" s="183" t="str">
        <f aca="false">IF($A102="","",IFERROR(VLOOKUP($A102,Skills!$A:$C,2,FALSE())&amp;" "&amp;VLOOKUP($A102,Skills!$A:$C,3,FALSE()),"Stelvale Valebrook"))</f>
        <v>Kelon Ulmar Norridge</v>
      </c>
      <c r="C102" s="184" t="str">
        <f aca="false">IFERROR(VLOOKUP(A102,Skills!$A:$D,4,FALSE()),"")</f>
        <v>Montréal</v>
      </c>
      <c r="D102" s="129" t="s">
        <v>79</v>
      </c>
      <c r="E102" s="185" t="n">
        <v>46162</v>
      </c>
      <c r="F102" s="186" t="str">
        <f aca="false">IF(OR(E102="",G102=""),"",WORKDAY(E102-1,G102))</f>
        <v/>
      </c>
      <c r="G102" s="129"/>
      <c r="H102" s="187" t="s">
        <v>775</v>
      </c>
      <c r="I102" s="129" t="s">
        <v>99</v>
      </c>
      <c r="J102" s="188" t="str">
        <f aca="false">IF($A102="","",IF(COUNTIF(Skills!$A:$A,$A102)=0,"⚠ ID absent du roster",""))</f>
        <v/>
      </c>
    </row>
    <row r="103" customFormat="false" ht="15" hidden="true" customHeight="true" outlineLevel="0" collapsed="false">
      <c r="A103" s="127" t="s">
        <v>491</v>
      </c>
      <c r="B103" s="183" t="str">
        <f aca="false">IF($A103="","",IFERROR(VLOOKUP($A103,Skills!$A:$C,2,FALSE())&amp;" "&amp;VLOOKUP($A103,Skills!$A:$C,3,FALSE()),"Stelvale Valebrook"))</f>
        <v>Lumum Valemont Norbrook</v>
      </c>
      <c r="C103" s="184" t="str">
        <f aca="false">IFERROR(VLOOKUP(A103,Skills!$A:$D,4,FALSE()),"")</f>
        <v>Montréal</v>
      </c>
      <c r="D103" s="129" t="s">
        <v>79</v>
      </c>
      <c r="E103" s="185" t="n">
        <v>46162</v>
      </c>
      <c r="F103" s="186" t="str">
        <f aca="false">IF(OR(E103="",G103=""),"",WORKDAY(E103-1,G103))</f>
        <v/>
      </c>
      <c r="G103" s="129"/>
      <c r="H103" s="187" t="s">
        <v>775</v>
      </c>
      <c r="I103" s="129" t="s">
        <v>99</v>
      </c>
      <c r="J103" s="188" t="str">
        <f aca="false">IF($A103="","",IF(COUNTIF(Skills!$A:$A,$A103)=0,"⚠ ID absent du roster",""))</f>
        <v/>
      </c>
    </row>
    <row r="104" customFormat="false" ht="15" hidden="true" customHeight="true" outlineLevel="0" collapsed="false">
      <c r="A104" s="127" t="s">
        <v>592</v>
      </c>
      <c r="B104" s="183" t="str">
        <f aca="false">IF($A104="","",IFERROR(VLOOKUP($A104,Skills!$A:$C,2,FALSE())&amp;" "&amp;VLOOKUP($A104,Skills!$A:$C,3,FALSE()),"Stelvale Valebrook"))</f>
        <v>Yorol Ashbrook</v>
      </c>
      <c r="C104" s="184" t="str">
        <f aca="false">IFERROR(VLOOKUP(A104,Skills!$A:$D,4,FALSE()),"")</f>
        <v>Montréal</v>
      </c>
      <c r="D104" s="129" t="s">
        <v>79</v>
      </c>
      <c r="E104" s="185" t="n">
        <v>46163</v>
      </c>
      <c r="F104" s="186" t="str">
        <f aca="false">IF(OR(E104="",G104=""),"",WORKDAY(E104-1,G104))</f>
        <v/>
      </c>
      <c r="G104" s="129"/>
      <c r="H104" s="187" t="s">
        <v>776</v>
      </c>
      <c r="I104" s="129" t="s">
        <v>99</v>
      </c>
      <c r="J104" s="188" t="str">
        <f aca="false">IF($A104="","",IF(COUNTIF(Skills!$A:$A,$A104)=0,"⚠ ID absent du roster",""))</f>
        <v/>
      </c>
    </row>
    <row r="105" customFormat="false" ht="15" hidden="true" customHeight="true" outlineLevel="0" collapsed="false">
      <c r="A105" s="127" t="s">
        <v>341</v>
      </c>
      <c r="B105" s="183" t="str">
        <f aca="false">IF($A105="","",IFERROR(VLOOKUP($A105,Skills!$A:$C,2,FALSE())&amp;" "&amp;VLOOKUP($A105,Skills!$A:$C,3,FALSE()),"Stelvale Valebrook"))</f>
        <v>Ivercroft Corrmere</v>
      </c>
      <c r="C105" s="184" t="str">
        <f aca="false">IFERROR(VLOOKUP(A105,Skills!$A:$D,4,FALSE()),"")</f>
        <v>Montréal</v>
      </c>
      <c r="D105" s="129" t="s">
        <v>79</v>
      </c>
      <c r="E105" s="185" t="n">
        <v>46163</v>
      </c>
      <c r="F105" s="186" t="str">
        <f aca="false">IF(OR(E105="",G105=""),"",WORKDAY(E105-1,G105))</f>
        <v/>
      </c>
      <c r="G105" s="129"/>
      <c r="H105" s="187" t="s">
        <v>777</v>
      </c>
      <c r="I105" s="129" t="s">
        <v>99</v>
      </c>
      <c r="J105" s="188" t="str">
        <f aca="false">IF($A105="","",IF(COUNTIF(Skills!$A:$A,$A105)=0,"⚠ ID absent du roster",""))</f>
        <v/>
      </c>
    </row>
    <row r="106" customFormat="false" ht="15" hidden="true" customHeight="true" outlineLevel="0" collapsed="false">
      <c r="A106" s="127" t="s">
        <v>190</v>
      </c>
      <c r="B106" s="183" t="str">
        <f aca="false">IF($A106="","",IFERROR(VLOOKUP($A106,Skills!$A:$C,2,FALSE())&amp;" "&amp;VLOOKUP($A106,Skills!$A:$C,3,FALSE()),"Stelvale Valebrook"))</f>
        <v>Stelfield Dellmere Valegate</v>
      </c>
      <c r="C106" s="184" t="str">
        <f aca="false">IFERROR(VLOOKUP(A106,Skills!$A:$D,4,FALSE()),"")</f>
        <v>Montréal</v>
      </c>
      <c r="D106" s="129" t="s">
        <v>79</v>
      </c>
      <c r="E106" s="185"/>
      <c r="F106" s="186" t="str">
        <f aca="false">IF(OR(E106="",G106=""),"",WORKDAY(E106-1,G106))</f>
        <v/>
      </c>
      <c r="G106" s="129"/>
      <c r="H106" s="187" t="s">
        <v>775</v>
      </c>
      <c r="I106" s="129" t="s">
        <v>99</v>
      </c>
      <c r="J106" s="188" t="str">
        <f aca="false">IF($A106="","",IF(COUNTIF(Skills!$A:$A,$A106)=0,"⚠ ID absent du roster",""))</f>
        <v/>
      </c>
    </row>
    <row r="107" customFormat="false" ht="15" hidden="true" customHeight="true" outlineLevel="0" collapsed="false">
      <c r="A107" s="127" t="s">
        <v>180</v>
      </c>
      <c r="B107" s="183" t="str">
        <f aca="false">IF($A107="","",IFERROR(VLOOKUP($A107,Skills!$A:$C,2,FALSE())&amp;" "&amp;VLOOKUP($A107,Skills!$A:$C,3,FALSE()),"Stelvale Valebrook"))</f>
        <v>Brambrook Holtfield Marsfield</v>
      </c>
      <c r="C107" s="184" t="str">
        <f aca="false">IFERROR(VLOOKUP(A107,Skills!$A:$D,4,FALSE()),"")</f>
        <v>Montréal</v>
      </c>
      <c r="D107" s="129" t="s">
        <v>79</v>
      </c>
      <c r="E107" s="185"/>
      <c r="F107" s="186" t="str">
        <f aca="false">IF(OR(E107="",G107=""),"",WORKDAY(E107-1,G107))</f>
        <v/>
      </c>
      <c r="G107" s="129"/>
      <c r="H107" s="187" t="s">
        <v>775</v>
      </c>
      <c r="I107" s="129" t="s">
        <v>99</v>
      </c>
      <c r="J107" s="188" t="str">
        <f aca="false">IF($A107="","",IF(COUNTIF(Skills!$A:$A,$A107)=0,"⚠ ID absent du roster",""))</f>
        <v/>
      </c>
    </row>
    <row r="108" customFormat="false" ht="15" hidden="true" customHeight="true" outlineLevel="0" collapsed="false">
      <c r="A108" s="127" t="s">
        <v>187</v>
      </c>
      <c r="B108" s="183" t="str">
        <f aca="false">IF($A108="","",IFERROR(VLOOKUP($A108,Skills!$A:$C,2,FALSE())&amp;" "&amp;VLOOKUP($A108,Skills!$A:$C,3,FALSE()),"Stelvale Valebrook"))</f>
        <v>Quillbrook Iverfield</v>
      </c>
      <c r="C108" s="184" t="str">
        <f aca="false">IFERROR(VLOOKUP(A108,Skills!$A:$D,4,FALSE()),"")</f>
        <v>Montréal</v>
      </c>
      <c r="D108" s="129" t="s">
        <v>79</v>
      </c>
      <c r="E108" s="185"/>
      <c r="F108" s="186" t="str">
        <f aca="false">IF(OR(E108="",G108=""),"",WORKDAY(E108-1,G108))</f>
        <v/>
      </c>
      <c r="G108" s="129"/>
      <c r="H108" s="187" t="s">
        <v>775</v>
      </c>
      <c r="I108" s="129" t="s">
        <v>99</v>
      </c>
      <c r="J108" s="188" t="str">
        <f aca="false">IF($A108="","",IF(COUNTIF(Skills!$A:$A,$A108)=0,"⚠ ID absent du roster",""))</f>
        <v/>
      </c>
    </row>
    <row r="109" customFormat="false" ht="15" hidden="true" customHeight="true" outlineLevel="0" collapsed="false">
      <c r="A109" s="127" t="s">
        <v>256</v>
      </c>
      <c r="B109" s="183" t="str">
        <f aca="false">IF($A109="","",IFERROR(VLOOKUP($A109,Skills!$A:$C,2,FALSE())&amp;" "&amp;VLOOKUP($A109,Skills!$A:$C,3,FALSE()),"Stelvale Valebrook"))</f>
        <v>Pelus Corrstone</v>
      </c>
      <c r="C109" s="184" t="str">
        <f aca="false">IFERROR(VLOOKUP(A109,Skills!$A:$D,4,FALSE()),"")</f>
        <v>Montréal</v>
      </c>
      <c r="D109" s="129" t="s">
        <v>79</v>
      </c>
      <c r="E109" s="185"/>
      <c r="F109" s="186" t="str">
        <f aca="false">IF(OR(E109="",G109=""),"",WORKDAY(E109-1,G109))</f>
        <v/>
      </c>
      <c r="G109" s="129"/>
      <c r="H109" s="187" t="s">
        <v>775</v>
      </c>
      <c r="I109" s="129" t="s">
        <v>99</v>
      </c>
      <c r="J109" s="188" t="str">
        <f aca="false">IF($A109="","",IF(COUNTIF(Skills!$A:$A,$A109)=0,"⚠ ID absent du roster",""))</f>
        <v/>
      </c>
    </row>
    <row r="110" customFormat="false" ht="15" hidden="true" customHeight="true" outlineLevel="0" collapsed="false">
      <c r="A110" s="127" t="s">
        <v>268</v>
      </c>
      <c r="B110" s="183" t="str">
        <f aca="false">IF($A110="","",IFERROR(VLOOKUP($A110,Skills!$A:$C,2,FALSE())&amp;" "&amp;VLOOKUP($A110,Skills!$A:$C,3,FALSE()),"Stelvale Valebrook"))</f>
        <v>Fenith Calar</v>
      </c>
      <c r="C110" s="184" t="str">
        <f aca="false">IFERROR(VLOOKUP(A110,Skills!$A:$D,4,FALSE()),"")</f>
        <v>Montréal</v>
      </c>
      <c r="D110" s="129" t="s">
        <v>79</v>
      </c>
      <c r="E110" s="185"/>
      <c r="F110" s="186" t="str">
        <f aca="false">IF(OR(E110="",G110=""),"",WORKDAY(E110-1,G110))</f>
        <v/>
      </c>
      <c r="G110" s="129"/>
      <c r="H110" s="187" t="s">
        <v>775</v>
      </c>
      <c r="I110" s="129" t="s">
        <v>99</v>
      </c>
      <c r="J110" s="188" t="str">
        <f aca="false">IF($A110="","",IF(COUNTIF(Skills!$A:$A,$A110)=0,"⚠ ID absent du roster",""))</f>
        <v/>
      </c>
    </row>
    <row r="111" customFormat="false" ht="15" hidden="true" customHeight="true" outlineLevel="0" collapsed="false">
      <c r="A111" s="127" t="s">
        <v>308</v>
      </c>
      <c r="B111" s="183" t="str">
        <f aca="false">IF($A111="","",IFERROR(VLOOKUP($A111,Skills!$A:$C,2,FALSE())&amp;" "&amp;VLOOKUP($A111,Skills!$A:$C,3,FALSE()),"Stelvale Valebrook"))</f>
        <v>Kelea Ashshaw</v>
      </c>
      <c r="C111" s="184" t="str">
        <f aca="false">IFERROR(VLOOKUP(A111,Skills!$A:$D,4,FALSE()),"")</f>
        <v>Montréal</v>
      </c>
      <c r="D111" s="129" t="s">
        <v>79</v>
      </c>
      <c r="E111" s="185"/>
      <c r="F111" s="186" t="str">
        <f aca="false">IF(OR(E111="",G111=""),"",WORKDAY(E111-1,G111))</f>
        <v/>
      </c>
      <c r="G111" s="129"/>
      <c r="H111" s="187" t="s">
        <v>775</v>
      </c>
      <c r="I111" s="129" t="s">
        <v>99</v>
      </c>
      <c r="J111" s="188" t="str">
        <f aca="false">IF($A111="","",IF(COUNTIF(Skills!$A:$A,$A111)=0,"⚠ ID absent du roster",""))</f>
        <v/>
      </c>
    </row>
    <row r="112" customFormat="false" ht="15" hidden="true" customHeight="true" outlineLevel="0" collapsed="false">
      <c r="A112" s="127" t="s">
        <v>320</v>
      </c>
      <c r="B112" s="183" t="str">
        <f aca="false">IF($A112="","",IFERROR(VLOOKUP($A112,Skills!$A:$C,2,FALSE())&amp;" "&amp;VLOOKUP($A112,Skills!$A:$C,3,FALSE()),"Stelvale Valebrook"))</f>
        <v>Kelor Stelwood</v>
      </c>
      <c r="C112" s="184" t="str">
        <f aca="false">IFERROR(VLOOKUP(A112,Skills!$A:$D,4,FALSE()),"")</f>
        <v>Montréal</v>
      </c>
      <c r="D112" s="129" t="s">
        <v>79</v>
      </c>
      <c r="E112" s="185"/>
      <c r="F112" s="186" t="str">
        <f aca="false">IF(OR(E112="",G112=""),"",WORKDAY(E112-1,G112))</f>
        <v/>
      </c>
      <c r="G112" s="129"/>
      <c r="H112" s="187" t="s">
        <v>775</v>
      </c>
      <c r="I112" s="129" t="s">
        <v>99</v>
      </c>
      <c r="J112" s="188" t="str">
        <f aca="false">IF($A112="","",IF(COUNTIF(Skills!$A:$A,$A112)=0,"⚠ ID absent du roster",""))</f>
        <v/>
      </c>
    </row>
    <row r="113" customFormat="false" ht="15" hidden="true" customHeight="true" outlineLevel="0" collapsed="false">
      <c r="A113" s="127" t="s">
        <v>408</v>
      </c>
      <c r="B113" s="183" t="str">
        <f aca="false">IF($A113="","",IFERROR(VLOOKUP($A113,Skills!$A:$C,2,FALSE())&amp;" "&amp;VLOOKUP($A113,Skills!$A:$C,3,FALSE()),"Stelvale Valebrook"))</f>
        <v>Marsbrook Quenic</v>
      </c>
      <c r="C113" s="184" t="str">
        <f aca="false">IFERROR(VLOOKUP(A113,Skills!$A:$D,4,FALSE()),"")</f>
        <v>Montréal</v>
      </c>
      <c r="D113" s="129" t="s">
        <v>79</v>
      </c>
      <c r="E113" s="185"/>
      <c r="F113" s="186" t="str">
        <f aca="false">IF(OR(E113="",G113=""),"",WORKDAY(E113-1,G113))</f>
        <v/>
      </c>
      <c r="G113" s="129"/>
      <c r="H113" s="187" t="s">
        <v>775</v>
      </c>
      <c r="I113" s="129" t="s">
        <v>99</v>
      </c>
      <c r="J113" s="188" t="str">
        <f aca="false">IF($A113="","",IF(COUNTIF(Skills!$A:$A,$A113)=0,"⚠ ID absent du roster",""))</f>
        <v/>
      </c>
    </row>
    <row r="114" customFormat="false" ht="15" hidden="true" customHeight="true" outlineLevel="0" collapsed="false">
      <c r="A114" s="127" t="s">
        <v>479</v>
      </c>
      <c r="B114" s="183" t="str">
        <f aca="false">IF($A114="","",IFERROR(VLOOKUP($A114,Skills!$A:$C,2,FALSE())&amp;" "&amp;VLOOKUP($A114,Skills!$A:$C,3,FALSE()),"Stelvale Valebrook"))</f>
        <v>Dellridge Larkbrook</v>
      </c>
      <c r="C114" s="184" t="str">
        <f aca="false">IFERROR(VLOOKUP(A114,Skills!$A:$D,4,FALSE()),"")</f>
        <v>Montréal</v>
      </c>
      <c r="D114" s="129" t="s">
        <v>79</v>
      </c>
      <c r="E114" s="185"/>
      <c r="F114" s="186" t="str">
        <f aca="false">IF(OR(E114="",G114=""),"",WORKDAY(E114-1,G114))</f>
        <v/>
      </c>
      <c r="G114" s="129"/>
      <c r="H114" s="187" t="s">
        <v>775</v>
      </c>
      <c r="I114" s="129" t="s">
        <v>99</v>
      </c>
      <c r="J114" s="188" t="str">
        <f aca="false">IF($A114="","",IF(COUNTIF(Skills!$A:$A,$A114)=0,"⚠ ID absent du roster",""))</f>
        <v/>
      </c>
    </row>
    <row r="115" customFormat="false" ht="15" hidden="true" customHeight="true" outlineLevel="0" collapsed="false">
      <c r="A115" s="127" t="s">
        <v>488</v>
      </c>
      <c r="B115" s="183" t="str">
        <f aca="false">IF($A115="","",IFERROR(VLOOKUP($A115,Skills!$A:$C,2,FALSE())&amp;" "&amp;VLOOKUP($A115,Skills!$A:$C,3,FALSE()),"Stelvale Valebrook"))</f>
        <v>Bramdale Pelum</v>
      </c>
      <c r="C115" s="184" t="str">
        <f aca="false">IFERROR(VLOOKUP(A115,Skills!$A:$D,4,FALSE()),"")</f>
        <v>Montréal</v>
      </c>
      <c r="D115" s="129" t="s">
        <v>79</v>
      </c>
      <c r="E115" s="185"/>
      <c r="F115" s="186" t="str">
        <f aca="false">IF(OR(E115="",G115=""),"",WORKDAY(E115-1,G115))</f>
        <v/>
      </c>
      <c r="G115" s="129"/>
      <c r="H115" s="187" t="s">
        <v>775</v>
      </c>
      <c r="I115" s="129" t="s">
        <v>99</v>
      </c>
      <c r="J115" s="188" t="str">
        <f aca="false">IF($A115="","",IF(COUNTIF(Skills!$A:$A,$A115)=0,"⚠ ID absent du roster",""))</f>
        <v/>
      </c>
    </row>
    <row r="116" customFormat="false" ht="15" hidden="true" customHeight="true" outlineLevel="0" collapsed="false">
      <c r="A116" s="127" t="s">
        <v>350</v>
      </c>
      <c r="B116" s="183" t="str">
        <f aca="false">IF($A116="","",IFERROR(VLOOKUP($A116,Skills!$A:$C,2,FALSE())&amp;" "&amp;VLOOKUP($A116,Skills!$A:$C,3,FALSE()),"Stelvale Valebrook"))</f>
        <v>Stelvale Valebrook</v>
      </c>
      <c r="C116" s="184" t="str">
        <f aca="false">IFERROR(VLOOKUP(A116,Skills!$A:$D,4,FALSE()),"")</f>
        <v>Montréal</v>
      </c>
      <c r="D116" s="129" t="s">
        <v>79</v>
      </c>
      <c r="E116" s="185"/>
      <c r="F116" s="186" t="str">
        <f aca="false">IF(OR(E116="",G116=""),"",WORKDAY(E116-1,G116))</f>
        <v/>
      </c>
      <c r="G116" s="129"/>
      <c r="H116" s="187" t="s">
        <v>775</v>
      </c>
      <c r="I116" s="129" t="s">
        <v>99</v>
      </c>
      <c r="J116" s="188" t="str">
        <f aca="false">IF($A116="","",IF(COUNTIF(Skills!$A:$A,$A116)=0,"⚠ ID absent du roster",""))</f>
        <v/>
      </c>
    </row>
    <row r="117" customFormat="false" ht="15" hidden="true" customHeight="true" outlineLevel="0" collapsed="false">
      <c r="A117" s="127" t="s">
        <v>385</v>
      </c>
      <c r="B117" s="183" t="str">
        <f aca="false">IF($A117="","",IFERROR(VLOOKUP($A117,Skills!$A:$C,2,FALSE())&amp;" "&amp;VLOOKUP($A117,Skills!$A:$C,3,FALSE()),"Stelvale Valebrook"))</f>
        <v>Bramridge Pelol</v>
      </c>
      <c r="C117" s="184" t="str">
        <f aca="false">IFERROR(VLOOKUP(A117,Skills!$A:$D,4,FALSE()),"")</f>
        <v>Montréal</v>
      </c>
      <c r="D117" s="129" t="s">
        <v>79</v>
      </c>
      <c r="E117" s="185"/>
      <c r="F117" s="186" t="str">
        <f aca="false">IF(OR(E117="",G117=""),"",WORKDAY(E117-1,G117))</f>
        <v/>
      </c>
      <c r="G117" s="129"/>
      <c r="H117" s="187" t="s">
        <v>775</v>
      </c>
      <c r="I117" s="129" t="s">
        <v>99</v>
      </c>
      <c r="J117" s="188" t="str">
        <f aca="false">IF($A117="","",IF(COUNTIF(Skills!$A:$A,$A117)=0,"⚠ ID absent du roster",""))</f>
        <v/>
      </c>
    </row>
    <row r="118" customFormat="false" ht="15" hidden="true" customHeight="true" outlineLevel="0" collapsed="false">
      <c r="A118" s="127" t="s">
        <v>577</v>
      </c>
      <c r="B118" s="183" t="str">
        <f aca="false">IF($A118="","",IFERROR(VLOOKUP($A118,Skills!$A:$C,2,FALSE())&amp;" "&amp;VLOOKUP($A118,Skills!$A:$C,3,FALSE()),"Stelvale Valebrook"))</f>
        <v>Faircroft Fenir</v>
      </c>
      <c r="C118" s="184" t="str">
        <f aca="false">IFERROR(VLOOKUP(A118,Skills!$A:$D,4,FALSE()),"")</f>
        <v>Montréal</v>
      </c>
      <c r="D118" s="129" t="s">
        <v>79</v>
      </c>
      <c r="E118" s="185"/>
      <c r="F118" s="186" t="str">
        <f aca="false">IF(OR(E118="",G118=""),"",WORKDAY(E118-1,G118))</f>
        <v/>
      </c>
      <c r="G118" s="129"/>
      <c r="H118" s="187" t="s">
        <v>775</v>
      </c>
      <c r="I118" s="129" t="s">
        <v>99</v>
      </c>
      <c r="J118" s="188" t="str">
        <f aca="false">IF($A118="","",IF(COUNTIF(Skills!$A:$A,$A118)=0,"⚠ ID absent du roster",""))</f>
        <v/>
      </c>
    </row>
    <row r="119" customFormat="false" ht="15" hidden="true" customHeight="true" outlineLevel="0" collapsed="false">
      <c r="A119" s="127" t="s">
        <v>500</v>
      </c>
      <c r="B119" s="183" t="str">
        <f aca="false">IF($A119="","",IFERROR(VLOOKUP($A119,Skills!$A:$C,2,FALSE())&amp;" "&amp;VLOOKUP($A119,Skills!$A:$C,3,FALSE()),"Stelvale Valebrook"))</f>
        <v>Pelys Calic</v>
      </c>
      <c r="C119" s="184" t="str">
        <f aca="false">IFERROR(VLOOKUP(A119,Skills!$A:$D,4,FALSE()),"")</f>
        <v>Lisbonne</v>
      </c>
      <c r="D119" s="129" t="s">
        <v>79</v>
      </c>
      <c r="E119" s="185" t="n">
        <v>46165</v>
      </c>
      <c r="F119" s="186" t="str">
        <f aca="false">IF(OR(E119="",G119=""),"",WORKDAY(E119-1,G119))</f>
        <v/>
      </c>
      <c r="G119" s="129"/>
      <c r="H119" s="187" t="s">
        <v>778</v>
      </c>
      <c r="I119" s="129" t="s">
        <v>99</v>
      </c>
      <c r="J119" s="188" t="str">
        <f aca="false">IF($A119="","",IF(COUNTIF(Skills!$A:$A,$A119)=0,"⚠ ID absent du roster",""))</f>
        <v/>
      </c>
    </row>
    <row r="120" customFormat="false" ht="15" hidden="true" customHeight="true" outlineLevel="0" collapsed="false">
      <c r="A120" s="127" t="s">
        <v>223</v>
      </c>
      <c r="B120" s="183" t="str">
        <f aca="false">IF($A120="","",IFERROR(VLOOKUP($A120,Skills!$A:$C,2,FALSE())&amp;" "&amp;VLOOKUP($A120,Skills!$A:$C,3,FALSE()),"Stelvale Valebrook"))</f>
        <v>Granbrook Yoril Corrfield</v>
      </c>
      <c r="C120" s="184" t="str">
        <f aca="false">IFERROR(VLOOKUP(A120,Skills!$A:$D,4,FALSE()),"")</f>
        <v>Lisbonne</v>
      </c>
      <c r="D120" s="129" t="s">
        <v>79</v>
      </c>
      <c r="E120" s="185" t="n">
        <v>46164</v>
      </c>
      <c r="F120" s="186" t="str">
        <f aca="false">IF(OR(E120="",G120=""),"",WORKDAY(E120-1,G120))</f>
        <v/>
      </c>
      <c r="G120" s="129"/>
      <c r="H120" s="187" t="s">
        <v>779</v>
      </c>
      <c r="I120" s="129" t="s">
        <v>99</v>
      </c>
      <c r="J120" s="188" t="str">
        <f aca="false">IF($A120="","",IF(COUNTIF(Skills!$A:$A,$A120)=0,"⚠ ID absent du roster",""))</f>
        <v/>
      </c>
    </row>
    <row r="121" customFormat="false" ht="15" hidden="true" customHeight="true" outlineLevel="0" collapsed="false">
      <c r="A121" s="127" t="s">
        <v>244</v>
      </c>
      <c r="B121" s="183" t="str">
        <f aca="false">IF($A121="","",IFERROR(VLOOKUP($A121,Skills!$A:$C,2,FALSE())&amp;" "&amp;VLOOKUP($A121,Skills!$A:$C,3,FALSE()),"Stelvale Valebrook"))</f>
        <v>Stelworth Stelridge Vorar</v>
      </c>
      <c r="C121" s="184" t="str">
        <f aca="false">IFERROR(VLOOKUP(A121,Skills!$A:$D,4,FALSE()),"")</f>
        <v>Lisbonne</v>
      </c>
      <c r="D121" s="129" t="s">
        <v>79</v>
      </c>
      <c r="E121" s="185" t="n">
        <v>46164</v>
      </c>
      <c r="F121" s="186" t="str">
        <f aca="false">IF(OR(E121="",G121=""),"",WORKDAY(E121-1,G121))</f>
        <v/>
      </c>
      <c r="G121" s="129"/>
      <c r="H121" s="187" t="s">
        <v>780</v>
      </c>
      <c r="I121" s="129" t="s">
        <v>99</v>
      </c>
      <c r="J121" s="188" t="str">
        <f aca="false">IF($A121="","",IF(COUNTIF(Skills!$A:$A,$A121)=0,"⚠ ID absent du roster",""))</f>
        <v/>
      </c>
    </row>
    <row r="122" customFormat="false" ht="15" hidden="true" customHeight="true" outlineLevel="0" collapsed="false">
      <c r="A122" s="127" t="s">
        <v>271</v>
      </c>
      <c r="B122" s="183" t="str">
        <f aca="false">IF($A122="","",IFERROR(VLOOKUP($A122,Skills!$A:$C,2,FALSE())&amp;" "&amp;VLOOKUP($A122,Skills!$A:$C,3,FALSE()),"Stelvale Valebrook"))</f>
        <v>Toril Rhoys</v>
      </c>
      <c r="C122" s="184" t="str">
        <f aca="false">IFERROR(VLOOKUP(A122,Skills!$A:$D,4,FALSE()),"")</f>
        <v>Lisbonne</v>
      </c>
      <c r="D122" s="129" t="s">
        <v>79</v>
      </c>
      <c r="E122" s="185" t="n">
        <v>46164</v>
      </c>
      <c r="F122" s="186" t="str">
        <f aca="false">IF(OR(E122="",G122=""),"",WORKDAY(E122-1,G122))</f>
        <v/>
      </c>
      <c r="G122" s="129"/>
      <c r="H122" s="187" t="s">
        <v>779</v>
      </c>
      <c r="I122" s="129" t="s">
        <v>99</v>
      </c>
      <c r="J122" s="188" t="str">
        <f aca="false">IF($A122="","",IF(COUNTIF(Skills!$A:$A,$A122)=0,"⚠ ID absent du roster",""))</f>
        <v/>
      </c>
    </row>
    <row r="123" customFormat="false" ht="15" hidden="true" customHeight="true" outlineLevel="0" collapsed="false">
      <c r="A123" s="127" t="s">
        <v>411</v>
      </c>
      <c r="B123" s="183" t="str">
        <f aca="false">IF($A123="","",IFERROR(VLOOKUP($A123,Skills!$A:$C,2,FALSE())&amp;" "&amp;VLOOKUP($A123,Skills!$A:$C,3,FALSE()),"Stelvale Valebrook"))</f>
        <v>Gilel Moron</v>
      </c>
      <c r="C123" s="184" t="str">
        <f aca="false">IFERROR(VLOOKUP(A123,Skills!$A:$D,4,FALSE()),"")</f>
        <v>Lisbonne</v>
      </c>
      <c r="D123" s="129" t="s">
        <v>79</v>
      </c>
      <c r="E123" s="185" t="n">
        <v>46164</v>
      </c>
      <c r="F123" s="186" t="str">
        <f aca="false">IF(OR(E123="",G123=""),"",WORKDAY(E123-1,G123))</f>
        <v/>
      </c>
      <c r="G123" s="129"/>
      <c r="H123" s="187" t="s">
        <v>779</v>
      </c>
      <c r="I123" s="129" t="s">
        <v>99</v>
      </c>
      <c r="J123" s="188" t="str">
        <f aca="false">IF($A123="","",IF(COUNTIF(Skills!$A:$A,$A123)=0,"⚠ ID absent du roster",""))</f>
        <v/>
      </c>
    </row>
    <row r="124" customFormat="false" ht="15" hidden="true" customHeight="true" outlineLevel="0" collapsed="false">
      <c r="A124" s="127" t="s">
        <v>388</v>
      </c>
      <c r="B124" s="183" t="str">
        <f aca="false">IF($A124="","",IFERROR(VLOOKUP($A124,Skills!$A:$C,2,FALSE())&amp;" "&amp;VLOOKUP($A124,Skills!$A:$C,3,FALSE()),"Stelvale Valebrook"))</f>
        <v>Brammont Holtvale</v>
      </c>
      <c r="C124" s="184" t="str">
        <f aca="false">IFERROR(VLOOKUP(A124,Skills!$A:$D,4,FALSE()),"")</f>
        <v>Lisbonne</v>
      </c>
      <c r="D124" s="129" t="s">
        <v>79</v>
      </c>
      <c r="E124" s="185" t="n">
        <v>46164</v>
      </c>
      <c r="F124" s="186" t="str">
        <f aca="false">IF(OR(E124="",G124=""),"",WORKDAY(E124-1,G124))</f>
        <v/>
      </c>
      <c r="G124" s="129"/>
      <c r="H124" s="187" t="s">
        <v>779</v>
      </c>
      <c r="I124" s="129" t="s">
        <v>99</v>
      </c>
      <c r="J124" s="188" t="str">
        <f aca="false">IF($A124="","",IF(COUNTIF(Skills!$A:$A,$A124)=0,"⚠ ID absent du roster",""))</f>
        <v/>
      </c>
    </row>
    <row r="125" customFormat="false" ht="15" hidden="true" customHeight="true" outlineLevel="0" collapsed="false">
      <c r="A125" s="127" t="s">
        <v>423</v>
      </c>
      <c r="B125" s="183" t="str">
        <f aca="false">IF($A125="","",IFERROR(VLOOKUP($A125,Skills!$A:$C,2,FALSE())&amp;" "&amp;VLOOKUP($A125,Skills!$A:$C,3,FALSE()),"Stelvale Valebrook"))</f>
        <v>Larkshaw Moric</v>
      </c>
      <c r="C125" s="184" t="str">
        <f aca="false">IFERROR(VLOOKUP(A125,Skills!$A:$D,4,FALSE()),"")</f>
        <v>Lisbonne</v>
      </c>
      <c r="D125" s="129" t="s">
        <v>79</v>
      </c>
      <c r="E125" s="185" t="n">
        <v>46164</v>
      </c>
      <c r="F125" s="186" t="str">
        <f aca="false">IF(OR(E125="",G125=""),"",WORKDAY(E125-1,G125))</f>
        <v/>
      </c>
      <c r="G125" s="129"/>
      <c r="H125" s="187" t="s">
        <v>781</v>
      </c>
      <c r="I125" s="129" t="s">
        <v>99</v>
      </c>
      <c r="J125" s="188" t="str">
        <f aca="false">IF($A125="","",IF(COUNTIF(Skills!$A:$A,$A125)=0,"⚠ ID absent du roster",""))</f>
        <v/>
      </c>
    </row>
    <row r="126" customFormat="false" ht="15" hidden="true" customHeight="true" outlineLevel="0" collapsed="false">
      <c r="A126" s="127" t="s">
        <v>466</v>
      </c>
      <c r="B126" s="183" t="str">
        <f aca="false">IF($A126="","",IFERROR(VLOOKUP($A126,Skills!$A:$C,2,FALSE())&amp;" "&amp;VLOOKUP($A126,Skills!$A:$C,3,FALSE()),"Stelvale Valebrook"))</f>
        <v>Ashdale Valedale</v>
      </c>
      <c r="C126" s="184" t="str">
        <f aca="false">IFERROR(VLOOKUP(A126,Skills!$A:$D,4,FALSE()),"")</f>
        <v>Lisbonne</v>
      </c>
      <c r="D126" s="129" t="s">
        <v>79</v>
      </c>
      <c r="E126" s="185" t="n">
        <v>46164</v>
      </c>
      <c r="F126" s="186" t="str">
        <f aca="false">IF(OR(E126="",G126=""),"",WORKDAY(E126-1,G126))</f>
        <v/>
      </c>
      <c r="G126" s="129"/>
      <c r="H126" s="187" t="s">
        <v>782</v>
      </c>
      <c r="I126" s="129" t="s">
        <v>99</v>
      </c>
      <c r="J126" s="188" t="str">
        <f aca="false">IF($A126="","",IF(COUNTIF(Skills!$A:$A,$A126)=0,"⚠ ID absent du roster",""))</f>
        <v/>
      </c>
    </row>
    <row r="127" customFormat="false" ht="15" hidden="true" customHeight="true" outlineLevel="0" collapsed="false">
      <c r="A127" s="127" t="s">
        <v>368</v>
      </c>
      <c r="B127" s="183" t="str">
        <f aca="false">IF($A127="","",IFERROR(VLOOKUP($A127,Skills!$A:$C,2,FALSE())&amp;" "&amp;VLOOKUP($A127,Skills!$A:$C,3,FALSE()),"Stelvale Valebrook"))</f>
        <v>Larkmont Norshaw</v>
      </c>
      <c r="C127" s="184" t="str">
        <f aca="false">IFERROR(VLOOKUP(A127,Skills!$A:$D,4,FALSE()),"")</f>
        <v>Lisbonne</v>
      </c>
      <c r="D127" s="129" t="s">
        <v>79</v>
      </c>
      <c r="E127" s="185" t="n">
        <v>46163</v>
      </c>
      <c r="F127" s="186" t="str">
        <f aca="false">IF(OR(E127="",G127=""),"",WORKDAY(E127-1,G127))</f>
        <v/>
      </c>
      <c r="G127" s="129"/>
      <c r="H127" s="187" t="s">
        <v>779</v>
      </c>
      <c r="I127" s="129" t="s">
        <v>99</v>
      </c>
      <c r="J127" s="188" t="str">
        <f aca="false">IF($A127="","",IF(COUNTIF(Skills!$A:$A,$A127)=0,"⚠ ID absent du roster",""))</f>
        <v/>
      </c>
    </row>
    <row r="128" customFormat="false" ht="15" hidden="true" customHeight="true" outlineLevel="0" collapsed="false">
      <c r="A128" s="127" t="s">
        <v>241</v>
      </c>
      <c r="B128" s="183" t="str">
        <f aca="false">IF($A128="","",IFERROR(VLOOKUP($A128,Skills!$A:$C,2,FALSE())&amp;" "&amp;VLOOKUP($A128,Skills!$A:$C,3,FALSE()),"Stelvale Valebrook"))</f>
        <v>Dellfield Stelridge Haxel</v>
      </c>
      <c r="C128" s="184" t="str">
        <f aca="false">IFERROR(VLOOKUP(A128,Skills!$A:$D,4,FALSE()),"")</f>
        <v>Lisbonne</v>
      </c>
      <c r="D128" s="129" t="s">
        <v>79</v>
      </c>
      <c r="E128" s="185" t="n">
        <v>46163</v>
      </c>
      <c r="F128" s="186" t="str">
        <f aca="false">IF(OR(E128="",G128=""),"",WORKDAY(E128-1,G128))</f>
        <v/>
      </c>
      <c r="G128" s="129"/>
      <c r="H128" s="187" t="s">
        <v>783</v>
      </c>
      <c r="I128" s="129" t="s">
        <v>99</v>
      </c>
      <c r="J128" s="188" t="str">
        <f aca="false">IF($A128="","",IF(COUNTIF(Skills!$A:$A,$A128)=0,"⚠ ID absent du roster",""))</f>
        <v/>
      </c>
    </row>
    <row r="129" customFormat="false" ht="15" hidden="true" customHeight="true" outlineLevel="0" collapsed="false">
      <c r="A129" s="127" t="s">
        <v>446</v>
      </c>
      <c r="B129" s="183" t="str">
        <f aca="false">IF($A129="","",IFERROR(VLOOKUP($A129,Skills!$A:$C,2,FALSE())&amp;" "&amp;VLOOKUP($A129,Skills!$A:$C,3,FALSE()),"Stelvale Valebrook"))</f>
        <v>Holtshaw Haxor</v>
      </c>
      <c r="C129" s="184" t="str">
        <f aca="false">IFERROR(VLOOKUP(A129,Skills!$A:$D,4,FALSE()),"")</f>
        <v>Lisbonne</v>
      </c>
      <c r="D129" s="129" t="s">
        <v>79</v>
      </c>
      <c r="E129" s="185" t="n">
        <v>46163</v>
      </c>
      <c r="F129" s="186" t="str">
        <f aca="false">IF(OR(E129="",G129=""),"",WORKDAY(E129-1,G129))</f>
        <v/>
      </c>
      <c r="G129" s="129"/>
      <c r="H129" s="187" t="s">
        <v>779</v>
      </c>
      <c r="I129" s="129" t="s">
        <v>99</v>
      </c>
      <c r="J129" s="188" t="str">
        <f aca="false">IF($A129="","",IF(COUNTIF(Skills!$A:$A,$A129)=0,"⚠ ID absent du roster",""))</f>
        <v/>
      </c>
    </row>
    <row r="130" customFormat="false" ht="15" hidden="true" customHeight="true" outlineLevel="0" collapsed="false">
      <c r="A130" s="127" t="s">
        <v>323</v>
      </c>
      <c r="B130" s="183" t="str">
        <f aca="false">IF($A130="","",IFERROR(VLOOKUP($A130,Skills!$A:$C,2,FALSE())&amp;" "&amp;VLOOKUP($A130,Skills!$A:$C,3,FALSE()),"Stelvale Valebrook"))</f>
        <v>Ashcroft Pelan</v>
      </c>
      <c r="C130" s="184" t="str">
        <f aca="false">IFERROR(VLOOKUP(A130,Skills!$A:$D,4,FALSE()),"")</f>
        <v>Lisbonne</v>
      </c>
      <c r="D130" s="129" t="s">
        <v>79</v>
      </c>
      <c r="E130" s="185" t="n">
        <v>46163</v>
      </c>
      <c r="F130" s="186" t="str">
        <f aca="false">IF(OR(E130="",G130=""),"",WORKDAY(E130-1,G130))</f>
        <v/>
      </c>
      <c r="G130" s="129"/>
      <c r="H130" s="187" t="s">
        <v>784</v>
      </c>
      <c r="I130" s="129" t="s">
        <v>99</v>
      </c>
      <c r="J130" s="188" t="str">
        <f aca="false">IF($A130="","",IF(COUNTIF(Skills!$A:$A,$A130)=0,"⚠ ID absent du roster",""))</f>
        <v/>
      </c>
    </row>
    <row r="131" customFormat="false" ht="15" hidden="true" customHeight="true" outlineLevel="0" collapsed="false">
      <c r="A131" s="127" t="s">
        <v>332</v>
      </c>
      <c r="B131" s="183" t="str">
        <f aca="false">IF($A131="","",IFERROR(VLOOKUP($A131,Skills!$A:$C,2,FALSE())&amp;" "&amp;VLOOKUP($A131,Skills!$A:$C,3,FALSE()),"Stelvale Valebrook"))</f>
        <v>Pykewood Stelshaw Doric</v>
      </c>
      <c r="C131" s="184" t="str">
        <f aca="false">IFERROR(VLOOKUP(A131,Skills!$A:$D,4,FALSE()),"")</f>
        <v>Lisbonne</v>
      </c>
      <c r="D131" s="129" t="s">
        <v>79</v>
      </c>
      <c r="E131" s="185" t="n">
        <v>46163</v>
      </c>
      <c r="F131" s="186" t="str">
        <f aca="false">IF(OR(E131="",G131=""),"",WORKDAY(E131-1,G131))</f>
        <v/>
      </c>
      <c r="G131" s="129"/>
      <c r="H131" s="187" t="s">
        <v>779</v>
      </c>
      <c r="I131" s="129" t="s">
        <v>99</v>
      </c>
      <c r="J131" s="188" t="str">
        <f aca="false">IF($A131="","",IF(COUNTIF(Skills!$A:$A,$A131)=0,"⚠ ID absent du roster",""))</f>
        <v/>
      </c>
    </row>
    <row r="132" customFormat="false" ht="15" hidden="true" customHeight="true" outlineLevel="0" collapsed="false">
      <c r="A132" s="127" t="s">
        <v>452</v>
      </c>
      <c r="B132" s="183" t="str">
        <f aca="false">IF($A132="","",IFERROR(VLOOKUP($A132,Skills!$A:$C,2,FALSE())&amp;" "&amp;VLOOKUP($A132,Skills!$A:$C,3,FALSE()),"Stelvale Valebrook"))</f>
        <v>Quenan Quillwood</v>
      </c>
      <c r="C132" s="184" t="str">
        <f aca="false">IFERROR(VLOOKUP(A132,Skills!$A:$D,4,FALSE()),"")</f>
        <v>Lisbonne</v>
      </c>
      <c r="D132" s="129" t="s">
        <v>79</v>
      </c>
      <c r="E132" s="185" t="n">
        <v>46163</v>
      </c>
      <c r="F132" s="186" t="str">
        <f aca="false">IF(OR(E132="",G132=""),"",WORKDAY(E132-1,G132))</f>
        <v/>
      </c>
      <c r="G132" s="129"/>
      <c r="H132" s="187" t="s">
        <v>779</v>
      </c>
      <c r="I132" s="129" t="s">
        <v>99</v>
      </c>
      <c r="J132" s="188" t="str">
        <f aca="false">IF($A132="","",IF(COUNTIF(Skills!$A:$A,$A132)=0,"⚠ ID absent du roster",""))</f>
        <v/>
      </c>
    </row>
    <row r="133" customFormat="false" ht="15" hidden="true" customHeight="true" outlineLevel="0" collapsed="false">
      <c r="A133" s="127" t="s">
        <v>397</v>
      </c>
      <c r="B133" s="183" t="str">
        <f aca="false">IF($A133="","",IFERROR(VLOOKUP($A133,Skills!$A:$C,2,FALSE())&amp;" "&amp;VLOOKUP($A133,Skills!$A:$C,3,FALSE()),"Stelvale Valebrook"))</f>
        <v>Ashgate Thornwood</v>
      </c>
      <c r="C133" s="184" t="str">
        <f aca="false">IFERROR(VLOOKUP(A133,Skills!$A:$D,4,FALSE()),"")</f>
        <v>Lisbonne</v>
      </c>
      <c r="D133" s="129" t="s">
        <v>79</v>
      </c>
      <c r="E133" s="185" t="n">
        <v>46162</v>
      </c>
      <c r="F133" s="186" t="str">
        <f aca="false">IF(OR(E133="",G133=""),"",WORKDAY(E133-1,G133))</f>
        <v/>
      </c>
      <c r="G133" s="129"/>
      <c r="H133" s="187" t="s">
        <v>779</v>
      </c>
      <c r="I133" s="129" t="s">
        <v>99</v>
      </c>
      <c r="J133" s="188" t="str">
        <f aca="false">IF($A133="","",IF(COUNTIF(Skills!$A:$A,$A133)=0,"⚠ ID absent du roster",""))</f>
        <v/>
      </c>
    </row>
    <row r="134" customFormat="false" ht="15" hidden="true" customHeight="true" outlineLevel="0" collapsed="false">
      <c r="A134" s="127" t="s">
        <v>311</v>
      </c>
      <c r="B134" s="183" t="str">
        <f aca="false">IF($A134="","",IFERROR(VLOOKUP($A134,Skills!$A:$C,2,FALSE())&amp;" "&amp;VLOOKUP($A134,Skills!$A:$C,3,FALSE()),"Stelvale Valebrook"))</f>
        <v>Evergate Rownfield</v>
      </c>
      <c r="C134" s="184" t="str">
        <f aca="false">IFERROR(VLOOKUP(A134,Skills!$A:$D,4,FALSE()),"")</f>
        <v>Lisbonne</v>
      </c>
      <c r="D134" s="129" t="s">
        <v>79</v>
      </c>
      <c r="E134" s="185" t="n">
        <v>46161</v>
      </c>
      <c r="F134" s="186" t="str">
        <f aca="false">IF(OR(E134="",G134=""),"",WORKDAY(E134-1,G134))</f>
        <v/>
      </c>
      <c r="G134" s="129"/>
      <c r="H134" s="187" t="s">
        <v>779</v>
      </c>
      <c r="I134" s="129" t="s">
        <v>99</v>
      </c>
      <c r="J134" s="188" t="str">
        <f aca="false">IF($A134="","",IF(COUNTIF(Skills!$A:$A,$A134)=0,"⚠ ID absent du roster",""))</f>
        <v/>
      </c>
    </row>
    <row r="135" customFormat="false" ht="15" hidden="true" customHeight="true" outlineLevel="0" collapsed="false">
      <c r="A135" s="127" t="s">
        <v>548</v>
      </c>
      <c r="B135" s="183" t="str">
        <f aca="false">IF($A135="","",IFERROR(VLOOKUP($A135,Skills!$A:$C,2,FALSE())&amp;" "&amp;VLOOKUP($A135,Skills!$A:$C,3,FALSE()),"Stelvale Valebrook"))</f>
        <v>Haxil Dellhaven</v>
      </c>
      <c r="C135" s="184" t="str">
        <f aca="false">IFERROR(VLOOKUP(A135,Skills!$A:$D,4,FALSE()),"")</f>
        <v>Lisbonne</v>
      </c>
      <c r="D135" s="129" t="s">
        <v>79</v>
      </c>
      <c r="E135" s="185" t="n">
        <v>46161</v>
      </c>
      <c r="F135" s="186" t="str">
        <f aca="false">IF(OR(E135="",G135=""),"",WORKDAY(E135-1,G135))</f>
        <v/>
      </c>
      <c r="G135" s="129"/>
      <c r="H135" s="187" t="s">
        <v>779</v>
      </c>
      <c r="I135" s="129" t="s">
        <v>99</v>
      </c>
      <c r="J135" s="188" t="str">
        <f aca="false">IF($A135="","",IF(COUNTIF(Skills!$A:$A,$A135)=0,"⚠ ID absent du roster",""))</f>
        <v/>
      </c>
    </row>
    <row r="136" customFormat="false" ht="15" hidden="true" customHeight="true" outlineLevel="0" collapsed="false">
      <c r="A136" s="127" t="s">
        <v>521</v>
      </c>
      <c r="B136" s="183" t="str">
        <f aca="false">IF($A136="","",IFERROR(VLOOKUP($A136,Skills!$A:$C,2,FALSE())&amp;" "&amp;VLOOKUP($A136,Skills!$A:$C,3,FALSE()),"Stelvale Valebrook"))</f>
        <v>Rownvale Dorys</v>
      </c>
      <c r="C136" s="184" t="str">
        <f aca="false">IFERROR(VLOOKUP(A136,Skills!$A:$D,4,FALSE()),"")</f>
        <v>Lisbonne</v>
      </c>
      <c r="D136" s="129" t="s">
        <v>79</v>
      </c>
      <c r="E136" s="185" t="n">
        <v>46161</v>
      </c>
      <c r="F136" s="186" t="str">
        <f aca="false">IF(OR(E136="",G136=""),"",WORKDAY(E136-1,G136))</f>
        <v/>
      </c>
      <c r="G136" s="129"/>
      <c r="H136" s="187" t="s">
        <v>779</v>
      </c>
      <c r="I136" s="129" t="s">
        <v>99</v>
      </c>
      <c r="J136" s="188" t="str">
        <f aca="false">IF($A136="","",IF(COUNTIF(Skills!$A:$A,$A136)=0,"⚠ ID absent du roster",""))</f>
        <v/>
      </c>
    </row>
    <row r="137" customFormat="false" ht="15" hidden="true" customHeight="true" outlineLevel="0" collapsed="false">
      <c r="A137" s="127" t="s">
        <v>311</v>
      </c>
      <c r="B137" s="183" t="str">
        <f aca="false">IF($A137="","",IFERROR(VLOOKUP($A137,Skills!$A:$C,2,FALSE())&amp;" "&amp;VLOOKUP($A137,Skills!$A:$C,3,FALSE()),"Stelvale Valebrook"))</f>
        <v>Evergate Rownfield</v>
      </c>
      <c r="C137" s="184" t="str">
        <f aca="false">IFERROR(VLOOKUP(A137,Skills!$A:$D,4,FALSE()),"")</f>
        <v>Lisbonne</v>
      </c>
      <c r="D137" s="129" t="s">
        <v>78</v>
      </c>
      <c r="E137" s="185" t="n">
        <v>46098</v>
      </c>
      <c r="F137" s="186" t="n">
        <f aca="false">IF(OR(E137="",G137=""),"",WORKDAY(E137-1,G137))</f>
        <v>46104</v>
      </c>
      <c r="G137" s="129" t="n">
        <v>5</v>
      </c>
      <c r="H137" s="187"/>
      <c r="I137" s="129" t="s">
        <v>99</v>
      </c>
      <c r="J137" s="188" t="str">
        <f aca="false">IF($A137="","",IF(COUNTIF(Skills!$A:$A,$A137)=0,"⚠ ID absent du roster",""))</f>
        <v/>
      </c>
    </row>
    <row r="138" customFormat="false" ht="15" hidden="true" customHeight="true" outlineLevel="0" collapsed="false">
      <c r="A138" s="127" t="s">
        <v>323</v>
      </c>
      <c r="B138" s="183" t="str">
        <f aca="false">IF($A138="","",IFERROR(VLOOKUP($A138,Skills!$A:$C,2,FALSE())&amp;" "&amp;VLOOKUP($A138,Skills!$A:$C,3,FALSE()),"Stelvale Valebrook"))</f>
        <v>Ashcroft Pelan</v>
      </c>
      <c r="C138" s="184" t="str">
        <f aca="false">IFERROR(VLOOKUP(A138,Skills!$A:$D,4,FALSE()),"")</f>
        <v>Lisbonne</v>
      </c>
      <c r="D138" s="129" t="s">
        <v>78</v>
      </c>
      <c r="E138" s="185"/>
      <c r="F138" s="186" t="str">
        <f aca="false">IF(OR(E138="",G138=""),"",WORKDAY(E138-1,G138))</f>
        <v/>
      </c>
      <c r="G138" s="129"/>
      <c r="H138" s="187"/>
      <c r="I138" s="129" t="s">
        <v>99</v>
      </c>
      <c r="J138" s="188" t="str">
        <f aca="false">IF($A138="","",IF(COUNTIF(Skills!$A:$A,$A138)=0,"⚠ ID absent du roster",""))</f>
        <v/>
      </c>
    </row>
    <row r="139" customFormat="false" ht="15" hidden="true" customHeight="true" outlineLevel="0" collapsed="false">
      <c r="A139" s="127" t="s">
        <v>388</v>
      </c>
      <c r="B139" s="183" t="str">
        <f aca="false">IF($A139="","",IFERROR(VLOOKUP($A139,Skills!$A:$C,2,FALSE())&amp;" "&amp;VLOOKUP($A139,Skills!$A:$C,3,FALSE()),"Stelvale Valebrook"))</f>
        <v>Brammont Holtvale</v>
      </c>
      <c r="C139" s="184" t="str">
        <f aca="false">IFERROR(VLOOKUP(A139,Skills!$A:$D,4,FALSE()),"")</f>
        <v>Lisbonne</v>
      </c>
      <c r="D139" s="129" t="s">
        <v>78</v>
      </c>
      <c r="E139" s="185"/>
      <c r="F139" s="186" t="str">
        <f aca="false">IF(OR(E139="",G139=""),"",WORKDAY(E139-1,G139))</f>
        <v/>
      </c>
      <c r="G139" s="129"/>
      <c r="H139" s="187"/>
      <c r="I139" s="129" t="s">
        <v>99</v>
      </c>
      <c r="J139" s="188" t="str">
        <f aca="false">IF($A139="","",IF(COUNTIF(Skills!$A:$A,$A139)=0,"⚠ ID absent du roster",""))</f>
        <v/>
      </c>
    </row>
    <row r="140" customFormat="false" ht="15" hidden="true" customHeight="true" outlineLevel="0" collapsed="false">
      <c r="A140" s="127" t="s">
        <v>397</v>
      </c>
      <c r="B140" s="183" t="str">
        <f aca="false">IF($A140="","",IFERROR(VLOOKUP($A140,Skills!$A:$C,2,FALSE())&amp;" "&amp;VLOOKUP($A140,Skills!$A:$C,3,FALSE()),"Stelvale Valebrook"))</f>
        <v>Ashgate Thornwood</v>
      </c>
      <c r="C140" s="184" t="str">
        <f aca="false">IFERROR(VLOOKUP(A140,Skills!$A:$D,4,FALSE()),"")</f>
        <v>Lisbonne</v>
      </c>
      <c r="D140" s="129" t="s">
        <v>78</v>
      </c>
      <c r="E140" s="185"/>
      <c r="F140" s="186" t="str">
        <f aca="false">IF(OR(E140="",G140=""),"",WORKDAY(E140-1,G140))</f>
        <v/>
      </c>
      <c r="G140" s="129"/>
      <c r="H140" s="187"/>
      <c r="I140" s="129" t="s">
        <v>99</v>
      </c>
      <c r="J140" s="188" t="str">
        <f aca="false">IF($A140="","",IF(COUNTIF(Skills!$A:$A,$A140)=0,"⚠ ID absent du roster",""))</f>
        <v/>
      </c>
    </row>
    <row r="141" customFormat="false" ht="15" hidden="true" customHeight="true" outlineLevel="0" collapsed="false">
      <c r="A141" s="127" t="s">
        <v>444</v>
      </c>
      <c r="B141" s="183" t="str">
        <f aca="false">IF($A141="","",IFERROR(VLOOKUP($A141,Skills!$A:$C,2,FALSE())&amp;" "&amp;VLOOKUP($A141,Skills!$A:$C,3,FALSE()),"Stelvale Valebrook"))</f>
        <v>Dellfield Pykestone</v>
      </c>
      <c r="C141" s="184" t="str">
        <f aca="false">IFERROR(VLOOKUP(A141,Skills!$A:$D,4,FALSE()),"")</f>
        <v>Lisbonne</v>
      </c>
      <c r="D141" s="129" t="s">
        <v>78</v>
      </c>
      <c r="E141" s="185"/>
      <c r="F141" s="186" t="str">
        <f aca="false">IF(OR(E141="",G141=""),"",WORKDAY(E141-1,G141))</f>
        <v/>
      </c>
      <c r="G141" s="129"/>
      <c r="H141" s="187"/>
      <c r="I141" s="129" t="s">
        <v>99</v>
      </c>
      <c r="J141" s="188" t="str">
        <f aca="false">IF($A141="","",IF(COUNTIF(Skills!$A:$A,$A141)=0,"⚠ ID absent du roster",""))</f>
        <v/>
      </c>
    </row>
    <row r="142" customFormat="false" ht="15" hidden="true" customHeight="true" outlineLevel="0" collapsed="false">
      <c r="A142" s="127" t="s">
        <v>466</v>
      </c>
      <c r="B142" s="183" t="str">
        <f aca="false">IF($A142="","",IFERROR(VLOOKUP($A142,Skills!$A:$C,2,FALSE())&amp;" "&amp;VLOOKUP($A142,Skills!$A:$C,3,FALSE()),"Stelvale Valebrook"))</f>
        <v>Ashdale Valedale</v>
      </c>
      <c r="C142" s="184" t="str">
        <f aca="false">IFERROR(VLOOKUP(A142,Skills!$A:$D,4,FALSE()),"")</f>
        <v>Lisbonne</v>
      </c>
      <c r="D142" s="129" t="s">
        <v>78</v>
      </c>
      <c r="E142" s="185"/>
      <c r="F142" s="186" t="str">
        <f aca="false">IF(OR(E142="",G142=""),"",WORKDAY(E142-1,G142))</f>
        <v/>
      </c>
      <c r="G142" s="129"/>
      <c r="H142" s="187"/>
      <c r="I142" s="129" t="s">
        <v>99</v>
      </c>
      <c r="J142" s="188" t="str">
        <f aca="false">IF($A142="","",IF(COUNTIF(Skills!$A:$A,$A142)=0,"⚠ ID absent du roster",""))</f>
        <v/>
      </c>
    </row>
    <row r="143" customFormat="false" ht="15" hidden="true" customHeight="true" outlineLevel="0" collapsed="false">
      <c r="A143" s="127" t="s">
        <v>314</v>
      </c>
      <c r="B143" s="183" t="str">
        <f aca="false">IF($A143="","",IFERROR(VLOOKUP($A143,Skills!$A:$C,2,FALSE())&amp;" "&amp;VLOOKUP($A143,Skills!$A:$C,3,FALSE()),"Stelvale Valebrook"))</f>
        <v>Yoren Selon</v>
      </c>
      <c r="C143" s="184" t="str">
        <f aca="false">IFERROR(VLOOKUP(A143,Skills!$A:$D,4,FALSE()),"")</f>
        <v>Montréal</v>
      </c>
      <c r="D143" s="129" t="s">
        <v>78</v>
      </c>
      <c r="E143" s="185"/>
      <c r="F143" s="186" t="str">
        <f aca="false">IF(OR(E143="",G143=""),"",WORKDAY(E143-1,G143))</f>
        <v/>
      </c>
      <c r="G143" s="129"/>
      <c r="H143" s="187"/>
      <c r="I143" s="129" t="s">
        <v>99</v>
      </c>
      <c r="J143" s="188" t="str">
        <f aca="false">IF($A143="","",IF(COUNTIF(Skills!$A:$A,$A143)=0,"⚠ ID absent du roster",""))</f>
        <v/>
      </c>
    </row>
    <row r="144" customFormat="false" ht="15" hidden="true" customHeight="true" outlineLevel="0" collapsed="false">
      <c r="A144" s="127" t="s">
        <v>494</v>
      </c>
      <c r="B144" s="183" t="str">
        <f aca="false">IF($A144="","",IFERROR(VLOOKUP($A144,Skills!$A:$C,2,FALSE())&amp;" "&amp;VLOOKUP($A144,Skills!$A:$C,3,FALSE()),"Stelvale Valebrook"))</f>
        <v>Everworth Voran</v>
      </c>
      <c r="C144" s="184" t="str">
        <f aca="false">IFERROR(VLOOKUP(A144,Skills!$A:$D,4,FALSE()),"")</f>
        <v>Montréal</v>
      </c>
      <c r="D144" s="129" t="s">
        <v>78</v>
      </c>
      <c r="E144" s="185"/>
      <c r="F144" s="186" t="str">
        <f aca="false">IF(OR(E144="",G144=""),"",WORKDAY(E144-1,G144))</f>
        <v/>
      </c>
      <c r="G144" s="129"/>
      <c r="H144" s="187"/>
      <c r="I144" s="129" t="s">
        <v>99</v>
      </c>
      <c r="J144" s="188" t="str">
        <f aca="false">IF($A144="","",IF(COUNTIF(Skills!$A:$A,$A144)=0,"⚠ ID absent du roster",""))</f>
        <v/>
      </c>
    </row>
    <row r="145" customFormat="false" ht="15" hidden="true" customHeight="true" outlineLevel="0" collapsed="false">
      <c r="A145" s="127" t="s">
        <v>229</v>
      </c>
      <c r="B145" s="183" t="str">
        <f aca="false">IF($A145="","",IFERROR(VLOOKUP($A145,Skills!$A:$C,2,FALSE())&amp;" "&amp;VLOOKUP($A145,Skills!$A:$C,3,FALSE()),"Stelvale Valebrook"))</f>
        <v>Selan Dellgate</v>
      </c>
      <c r="C145" s="184" t="str">
        <f aca="false">IFERROR(VLOOKUP(A145,Skills!$A:$D,4,FALSE()),"")</f>
        <v>Montréal</v>
      </c>
      <c r="D145" s="129" t="s">
        <v>78</v>
      </c>
      <c r="E145" s="185"/>
      <c r="F145" s="186" t="str">
        <f aca="false">IF(OR(E145="",G145=""),"",WORKDAY(E145-1,G145))</f>
        <v/>
      </c>
      <c r="G145" s="129"/>
      <c r="H145" s="187"/>
      <c r="I145" s="129" t="s">
        <v>99</v>
      </c>
      <c r="J145" s="188" t="str">
        <f aca="false">IF($A145="","",IF(COUNTIF(Skills!$A:$A,$A145)=0,"⚠ ID absent du roster",""))</f>
        <v/>
      </c>
    </row>
    <row r="146" customFormat="false" ht="15" hidden="true" customHeight="true" outlineLevel="0" collapsed="false">
      <c r="A146" s="127" t="s">
        <v>314</v>
      </c>
      <c r="B146" s="183" t="str">
        <f aca="false">IF($A146="","",IFERROR(VLOOKUP($A146,Skills!$A:$C,2,FALSE())&amp;" "&amp;VLOOKUP($A146,Skills!$A:$C,3,FALSE()),"Stelvale Valebrook"))</f>
        <v>Yoren Selon</v>
      </c>
      <c r="C146" s="184" t="str">
        <f aca="false">IFERROR(VLOOKUP(A146,Skills!$A:$D,4,FALSE()),"")</f>
        <v>Montréal</v>
      </c>
      <c r="D146" s="129" t="s">
        <v>79</v>
      </c>
      <c r="E146" s="185"/>
      <c r="F146" s="186" t="str">
        <f aca="false">IF(OR(E146="",G146=""),"",WORKDAY(E146-1,G146))</f>
        <v/>
      </c>
      <c r="G146" s="129"/>
      <c r="H146" s="187"/>
      <c r="I146" s="129" t="s">
        <v>99</v>
      </c>
      <c r="J146" s="188" t="str">
        <f aca="false">IF($A146="","",IF(COUNTIF(Skills!$A:$A,$A146)=0,"⚠ ID absent du roster",""))</f>
        <v/>
      </c>
    </row>
    <row r="147" customFormat="false" ht="15" hidden="true" customHeight="true" outlineLevel="0" collapsed="false">
      <c r="A147" s="127" t="s">
        <v>494</v>
      </c>
      <c r="B147" s="183" t="str">
        <f aca="false">IF($A147="","",IFERROR(VLOOKUP($A147,Skills!$A:$C,2,FALSE())&amp;" "&amp;VLOOKUP($A147,Skills!$A:$C,3,FALSE()),"Stelvale Valebrook"))</f>
        <v>Everworth Voran</v>
      </c>
      <c r="C147" s="184" t="str">
        <f aca="false">IFERROR(VLOOKUP(A147,Skills!$A:$D,4,FALSE()),"")</f>
        <v>Montréal</v>
      </c>
      <c r="D147" s="129" t="s">
        <v>79</v>
      </c>
      <c r="E147" s="185"/>
      <c r="F147" s="186" t="str">
        <f aca="false">IF(OR(E147="",G147=""),"",WORKDAY(E147-1,G147))</f>
        <v/>
      </c>
      <c r="G147" s="129"/>
      <c r="H147" s="187"/>
      <c r="I147" s="129" t="s">
        <v>99</v>
      </c>
      <c r="J147" s="188" t="str">
        <f aca="false">IF($A147="","",IF(COUNTIF(Skills!$A:$A,$A147)=0,"⚠ ID absent du roster",""))</f>
        <v/>
      </c>
    </row>
    <row r="148" customFormat="false" ht="15" hidden="true" customHeight="true" outlineLevel="0" collapsed="false">
      <c r="A148" s="127" t="s">
        <v>229</v>
      </c>
      <c r="B148" s="183" t="str">
        <f aca="false">IF($A148="","",IFERROR(VLOOKUP($A148,Skills!$A:$C,2,FALSE())&amp;" "&amp;VLOOKUP($A148,Skills!$A:$C,3,FALSE()),"Stelvale Valebrook"))</f>
        <v>Selan Dellgate</v>
      </c>
      <c r="C148" s="184" t="str">
        <f aca="false">IFERROR(VLOOKUP(A148,Skills!$A:$D,4,FALSE()),"")</f>
        <v>Montréal</v>
      </c>
      <c r="D148" s="129" t="s">
        <v>79</v>
      </c>
      <c r="E148" s="185"/>
      <c r="F148" s="186" t="str">
        <f aca="false">IF(OR(E148="",G148=""),"",WORKDAY(E148-1,G148))</f>
        <v/>
      </c>
      <c r="G148" s="129"/>
      <c r="H148" s="187"/>
      <c r="I148" s="129" t="s">
        <v>99</v>
      </c>
      <c r="J148" s="188" t="str">
        <f aca="false">IF($A148="","",IF(COUNTIF(Skills!$A:$A,$A148)=0,"⚠ ID absent du roster",""))</f>
        <v/>
      </c>
    </row>
    <row r="149" customFormat="false" ht="15" hidden="true" customHeight="true" outlineLevel="0" collapsed="false">
      <c r="A149" s="127" t="s">
        <v>326</v>
      </c>
      <c r="B149" s="183" t="str">
        <f aca="false">IF($A149="","",IFERROR(VLOOKUP($A149,Skills!$A:$C,2,FALSE())&amp;" "&amp;VLOOKUP($A149,Skills!$A:$C,3,FALSE()),"Stelvale Valebrook"))</f>
        <v>Gilon Marsstone Dorol</v>
      </c>
      <c r="C149" s="184" t="str">
        <f aca="false">IFERROR(VLOOKUP(A149,Skills!$A:$D,4,FALSE()),"")</f>
        <v>Lisbonne</v>
      </c>
      <c r="D149" s="129" t="s">
        <v>78</v>
      </c>
      <c r="E149" s="185"/>
      <c r="F149" s="186" t="str">
        <f aca="false">IF(OR(E149="",G149=""),"",WORKDAY(E149-1,G149))</f>
        <v/>
      </c>
      <c r="G149" s="129" t="n">
        <v>3</v>
      </c>
      <c r="H149" s="187"/>
      <c r="I149" s="129" t="s">
        <v>99</v>
      </c>
      <c r="J149" s="188" t="str">
        <f aca="false">IF($A149="","",IF(COUNTIF(Skills!$A:$A,$A149)=0,"⚠ ID absent du roster",""))</f>
        <v/>
      </c>
    </row>
    <row r="150" customFormat="false" ht="15" hidden="true" customHeight="true" outlineLevel="0" collapsed="false">
      <c r="A150" s="129" t="s">
        <v>370</v>
      </c>
      <c r="B150" s="183" t="str">
        <f aca="false">IF($A150="","",IFERROR(VLOOKUP($A150,Skills!$A:$C,2,FALSE())&amp;" "&amp;VLOOKUP($A150,Skills!$A:$C,3,FALSE()),"Stelvale Valebrook"))</f>
        <v>Orinir Quillmere</v>
      </c>
      <c r="C150" s="184" t="str">
        <f aca="false">IFERROR(VLOOKUP(A150,Skills!$A:$D,4,FALSE()),"")</f>
        <v>Montréal</v>
      </c>
      <c r="D150" s="129" t="s">
        <v>79</v>
      </c>
      <c r="E150" s="185"/>
      <c r="F150" s="186" t="str">
        <f aca="false">IF(OR(E150="",G150=""),"",WORKDAY(E150-1,G150))</f>
        <v/>
      </c>
      <c r="G150" s="129" t="n">
        <v>1</v>
      </c>
      <c r="H150" s="190"/>
      <c r="I150" s="129" t="s">
        <v>99</v>
      </c>
      <c r="J150" s="188" t="str">
        <f aca="false">IF($A150="","",IF(COUNTIF(Skills!$A:$A,$A150)=0,"⚠ ID absent du roster",""))</f>
        <v/>
      </c>
    </row>
    <row r="151" customFormat="false" ht="15" hidden="true" customHeight="true" outlineLevel="0" collapsed="false">
      <c r="A151" s="129" t="s">
        <v>373</v>
      </c>
      <c r="B151" s="183" t="str">
        <f aca="false">IF($A151="","",IFERROR(VLOOKUP($A151,Skills!$A:$C,2,FALSE())&amp;" "&amp;VLOOKUP($A151,Skills!$A:$C,3,FALSE()),"Stelvale Valebrook"))</f>
        <v>Voray Granmont</v>
      </c>
      <c r="C151" s="184" t="str">
        <f aca="false">IFERROR(VLOOKUP(A151,Skills!$A:$D,4,FALSE()),"")</f>
        <v>Montréal</v>
      </c>
      <c r="D151" s="129" t="s">
        <v>79</v>
      </c>
      <c r="E151" s="185"/>
      <c r="F151" s="186" t="str">
        <f aca="false">IF(OR(E151="",G151=""),"",WORKDAY(E151-1,G151))</f>
        <v/>
      </c>
      <c r="G151" s="129" t="n">
        <v>1</v>
      </c>
      <c r="H151" s="190"/>
      <c r="I151" s="129" t="s">
        <v>99</v>
      </c>
      <c r="J151" s="188" t="str">
        <f aca="false">IF($A151="","",IF(COUNTIF(Skills!$A:$A,$A151)=0,"⚠ ID absent du roster",""))</f>
        <v/>
      </c>
    </row>
    <row r="152" customFormat="false" ht="15" hidden="true" customHeight="true" outlineLevel="0" collapsed="false">
      <c r="A152" s="129" t="s">
        <v>353</v>
      </c>
      <c r="B152" s="183" t="str">
        <f aca="false">IF($A152="","",IFERROR(VLOOKUP($A152,Skills!$A:$C,2,FALSE())&amp;" "&amp;VLOOKUP($A152,Skills!$A:$C,3,FALSE()),"Stelvale Valebrook"))</f>
        <v>Bramworth Vorys</v>
      </c>
      <c r="C152" s="184" t="str">
        <f aca="false">IFERROR(VLOOKUP(A152,Skills!$A:$D,4,FALSE()),"")</f>
        <v>Montréal</v>
      </c>
      <c r="D152" s="129" t="s">
        <v>79</v>
      </c>
      <c r="E152" s="185"/>
      <c r="F152" s="186" t="str">
        <f aca="false">IF(OR(E152="",G152=""),"",WORKDAY(E152-1,G152))</f>
        <v/>
      </c>
      <c r="G152" s="129" t="n">
        <v>1</v>
      </c>
      <c r="H152" s="190"/>
      <c r="I152" s="129" t="s">
        <v>99</v>
      </c>
      <c r="J152" s="188" t="str">
        <f aca="false">IF($A152="","",IF(COUNTIF(Skills!$A:$A,$A152)=0,"⚠ ID absent du roster",""))</f>
        <v/>
      </c>
    </row>
    <row r="153" customFormat="false" ht="15" hidden="true" customHeight="true" outlineLevel="0" collapsed="false">
      <c r="A153" s="129" t="s">
        <v>296</v>
      </c>
      <c r="B153" s="183" t="str">
        <f aca="false">IF($A153="","",IFERROR(VLOOKUP($A153,Skills!$A:$C,2,FALSE())&amp;" "&amp;VLOOKUP($A153,Skills!$A:$C,3,FALSE()),"Stelvale Valebrook"))</f>
        <v>Kelic Corrwood</v>
      </c>
      <c r="C153" s="184" t="str">
        <f aca="false">IFERROR(VLOOKUP(A153,Skills!$A:$D,4,FALSE()),"")</f>
        <v>Montréal</v>
      </c>
      <c r="D153" s="129" t="s">
        <v>79</v>
      </c>
      <c r="E153" s="185"/>
      <c r="F153" s="186" t="str">
        <f aca="false">IF(OR(E153="",G153=""),"",WORKDAY(E153-1,G153))</f>
        <v/>
      </c>
      <c r="G153" s="129" t="n">
        <v>1</v>
      </c>
      <c r="H153" s="190"/>
      <c r="I153" s="129" t="s">
        <v>99</v>
      </c>
      <c r="J153" s="188" t="str">
        <f aca="false">IF($A153="","",IF(COUNTIF(Skills!$A:$A,$A153)=0,"⚠ ID absent du roster",""))</f>
        <v/>
      </c>
    </row>
    <row r="154" customFormat="false" ht="15" hidden="true" customHeight="true" outlineLevel="0" collapsed="false">
      <c r="A154" s="129" t="s">
        <v>262</v>
      </c>
      <c r="B154" s="183" t="str">
        <f aca="false">IF($A154="","",IFERROR(VLOOKUP($A154,Skills!$A:$C,2,FALSE())&amp;" "&amp;VLOOKUP($A154,Skills!$A:$C,3,FALSE()),"Stelvale Valebrook"))</f>
        <v>Lumor Holtmere</v>
      </c>
      <c r="C154" s="184" t="str">
        <f aca="false">IFERROR(VLOOKUP(A154,Skills!$A:$D,4,FALSE()),"")</f>
        <v>Montréal</v>
      </c>
      <c r="D154" s="129" t="s">
        <v>79</v>
      </c>
      <c r="E154" s="185"/>
      <c r="F154" s="186" t="str">
        <f aca="false">IF(OR(E154="",G154=""),"",WORKDAY(E154-1,G154))</f>
        <v/>
      </c>
      <c r="G154" s="129" t="n">
        <v>1</v>
      </c>
      <c r="H154" s="190"/>
      <c r="I154" s="129" t="s">
        <v>99</v>
      </c>
      <c r="J154" s="188" t="str">
        <f aca="false">IF($A154="","",IF(COUNTIF(Skills!$A:$A,$A154)=0,"⚠ ID absent du roster",""))</f>
        <v/>
      </c>
    </row>
    <row r="155" customFormat="false" ht="15" hidden="true" customHeight="true" outlineLevel="0" collapsed="false">
      <c r="A155" s="129" t="s">
        <v>518</v>
      </c>
      <c r="B155" s="183" t="str">
        <f aca="false">IF($A155="","",IFERROR(VLOOKUP($A155,Skills!$A:$C,2,FALSE())&amp;" "&amp;VLOOKUP($A155,Skills!$A:$C,3,FALSE()),"Stelvale Valebrook"))</f>
        <v>Kelus Corrworth</v>
      </c>
      <c r="C155" s="184" t="str">
        <f aca="false">IFERROR(VLOOKUP(A155,Skills!$A:$D,4,FALSE()),"")</f>
        <v>Montréal</v>
      </c>
      <c r="D155" s="129" t="s">
        <v>727</v>
      </c>
      <c r="E155" s="185"/>
      <c r="F155" s="186" t="str">
        <f aca="false">IF(OR(E155="",G155=""),"",WORKDAY(E155-1,G155))</f>
        <v/>
      </c>
      <c r="G155" s="129" t="n">
        <v>3</v>
      </c>
      <c r="H155" s="190"/>
      <c r="I155" s="129" t="s">
        <v>99</v>
      </c>
      <c r="J155" s="188" t="str">
        <f aca="false">IF($A155="","",IF(COUNTIF(Skills!$A:$A,$A155)=0,"⚠ ID absent du roster",""))</f>
        <v/>
      </c>
    </row>
    <row r="156" customFormat="false" ht="15" hidden="true" customHeight="true" outlineLevel="0" collapsed="false">
      <c r="A156" s="129" t="s">
        <v>405</v>
      </c>
      <c r="B156" s="183" t="str">
        <f aca="false">IF($A156="","",IFERROR(VLOOKUP($A156,Skills!$A:$C,2,FALSE())&amp;" "&amp;VLOOKUP($A156,Skills!$A:$C,3,FALSE()),"Stelvale Valebrook"))</f>
        <v>Pykedale Ulmay</v>
      </c>
      <c r="C156" s="184" t="str">
        <f aca="false">IFERROR(VLOOKUP(A156,Skills!$A:$D,4,FALSE()),"")</f>
        <v>Montréal</v>
      </c>
      <c r="D156" s="129" t="s">
        <v>78</v>
      </c>
      <c r="E156" s="185"/>
      <c r="F156" s="186" t="str">
        <f aca="false">IF(OR(E156="",G156=""),"",WORKDAY(E156-1,G156))</f>
        <v/>
      </c>
      <c r="G156" s="129" t="n">
        <v>3</v>
      </c>
      <c r="H156" s="190"/>
      <c r="I156" s="129" t="s">
        <v>99</v>
      </c>
      <c r="J156" s="188" t="str">
        <f aca="false">IF($A156="","",IF(COUNTIF(Skills!$A:$A,$A156)=0,"⚠ ID absent du roster",""))</f>
        <v/>
      </c>
    </row>
    <row r="157" customFormat="false" ht="15" hidden="true" customHeight="true" outlineLevel="0" collapsed="false">
      <c r="A157" s="129" t="s">
        <v>438</v>
      </c>
      <c r="B157" s="183" t="str">
        <f aca="false">IF($A157="","",IFERROR(VLOOKUP($A157,Skills!$A:$C,2,FALSE())&amp;" "&amp;VLOOKUP($A157,Skills!$A:$C,3,FALSE()),"Stelvale Valebrook"))</f>
        <v>Gilar Lumar</v>
      </c>
      <c r="C157" s="184" t="str">
        <f aca="false">IFERROR(VLOOKUP(A157,Skills!$A:$D,4,FALSE()),"")</f>
        <v>Montréal</v>
      </c>
      <c r="D157" s="129" t="s">
        <v>79</v>
      </c>
      <c r="E157" s="185"/>
      <c r="F157" s="186" t="str">
        <f aca="false">IF(OR(E157="",G157=""),"",WORKDAY(E157-1,G157))</f>
        <v/>
      </c>
      <c r="G157" s="129" t="n">
        <v>1</v>
      </c>
      <c r="H157" s="190"/>
      <c r="I157" s="129" t="s">
        <v>99</v>
      </c>
      <c r="J157" s="188" t="str">
        <f aca="false">IF($A157="","",IF(COUNTIF(Skills!$A:$A,$A157)=0,"⚠ ID absent du roster",""))</f>
        <v/>
      </c>
    </row>
    <row r="158" customFormat="false" ht="15" hidden="false" customHeight="true" outlineLevel="0" collapsed="false">
      <c r="A158" s="127" t="s">
        <v>708</v>
      </c>
      <c r="B158" s="189" t="str">
        <f aca="false">IF($A158="","",IFERROR(VLOOKUP($A158,Skills!$A:$C,2,FALSE())&amp;" "&amp;VLOOKUP($A158,Skills!$A:$C,3,FALSE()),"Stelvale Valebrook"))</f>
        <v>Rhoea Thornshaw</v>
      </c>
      <c r="C158" s="142" t="str">
        <f aca="false">IFERROR(VLOOKUP(A158,Skills!$A:$D,4,FALSE()),"")</f>
        <v>Montréal</v>
      </c>
      <c r="D158" s="129" t="s">
        <v>727</v>
      </c>
      <c r="E158" s="185" t="n">
        <v>46177</v>
      </c>
      <c r="F158" s="186" t="str">
        <f aca="false">IF(OR(E158="",G158=""),"",WORKDAY(E158-1,G158))</f>
        <v/>
      </c>
      <c r="G158" s="129"/>
      <c r="H158" s="190"/>
      <c r="I158" s="129" t="s">
        <v>57</v>
      </c>
      <c r="J158" s="188" t="str">
        <f aca="false">IF($A158="","",IF(COUNTIF(Skills!$A:$A,$A158)=0,"⚠ ID absent du roster",""))</f>
        <v/>
      </c>
    </row>
    <row r="159" customFormat="false" ht="15" hidden="false" customHeight="true" outlineLevel="0" collapsed="false">
      <c r="A159" s="127" t="s">
        <v>711</v>
      </c>
      <c r="B159" s="189" t="str">
        <f aca="false">IF($A159="","",IFERROR(VLOOKUP($A159,Skills!$A:$C,2,FALSE())&amp;" "&amp;VLOOKUP($A159,Skills!$A:$C,3,FALSE()),"Stelvale Valebrook"))</f>
        <v>Weson Pykefield</v>
      </c>
      <c r="C159" s="142" t="str">
        <f aca="false">IFERROR(VLOOKUP(A159,Skills!$A:$D,4,FALSE()),"")</f>
        <v>Montréal</v>
      </c>
      <c r="D159" s="129" t="s">
        <v>727</v>
      </c>
      <c r="E159" s="185" t="n">
        <v>46188</v>
      </c>
      <c r="F159" s="186" t="str">
        <f aca="false">IF(OR(E159="",G159=""),"",WORKDAY(E159-1,G159))</f>
        <v/>
      </c>
      <c r="G159" s="129"/>
      <c r="H159" s="190"/>
      <c r="I159" s="129" t="s">
        <v>57</v>
      </c>
      <c r="J159" s="188" t="str">
        <f aca="false">IF($A159="","",IF(COUNTIF(Skills!$A:$A,$A159)=0,"⚠ ID absent du roster",""))</f>
        <v/>
      </c>
    </row>
    <row r="160" customFormat="false" ht="15" hidden="true" customHeight="true" outlineLevel="0" collapsed="false">
      <c r="A160" s="129" t="s">
        <v>569</v>
      </c>
      <c r="B160" s="183" t="str">
        <f aca="false">IF($A160="","",IFERROR(VLOOKUP($A160,Skills!$A:$C,2,FALSE())&amp;" "&amp;VLOOKUP($A160,Skills!$A:$C,3,FALSE()),"Stelvale Valebrook"))</f>
        <v>Grandale Vorus Torith Nevir</v>
      </c>
      <c r="C160" s="184" t="str">
        <f aca="false">IFERROR(VLOOKUP(A160,Skills!$A:$D,4,FALSE()),"")</f>
        <v>Montréal</v>
      </c>
      <c r="D160" s="129" t="s">
        <v>78</v>
      </c>
      <c r="E160" s="185"/>
      <c r="F160" s="186" t="str">
        <f aca="false">IF(OR(E160="",G160=""),"",WORKDAY(E160-1,G160))</f>
        <v/>
      </c>
      <c r="G160" s="129"/>
      <c r="H160" s="190"/>
      <c r="I160" s="129" t="s">
        <v>99</v>
      </c>
      <c r="J160" s="188" t="str">
        <f aca="false">IF($A160="","",IF(COUNTIF(Skills!$A:$A,$A160)=0,"⚠ ID absent du roster",""))</f>
        <v/>
      </c>
    </row>
    <row r="161" customFormat="false" ht="15" hidden="true" customHeight="true" outlineLevel="0" collapsed="false">
      <c r="A161" s="67"/>
      <c r="B161" s="183" t="str">
        <f aca="false">IF($A161="","",IFERROR(VLOOKUP($A161,Skills!$A:$C,2,FALSE())&amp;" "&amp;VLOOKUP($A161,Skills!$A:$C,3,FALSE()),"Stelvale Valebrook"))</f>
        <v/>
      </c>
      <c r="C161" s="184" t="n">
        <f aca="false">IFERROR(VLOOKUP(A161,Skills!$A:$D,4,FALSE()),"")</f>
        <v>0</v>
      </c>
      <c r="D161" s="144"/>
      <c r="E161" s="191"/>
      <c r="F161" s="186" t="str">
        <f aca="false">IF(OR(E161="",G161=""),"",WORKDAY(E161-1,G161))</f>
        <v/>
      </c>
      <c r="G161" s="67"/>
      <c r="H161" s="192"/>
      <c r="I161" s="144"/>
      <c r="J161" s="188" t="str">
        <f aca="false">IF($A161="","",IF(COUNTIF(Skills!$A:$A,$A161)=0,"⚠ ID absent du roster",""))</f>
        <v/>
      </c>
    </row>
    <row r="162" customFormat="false" ht="15" hidden="true" customHeight="true" outlineLevel="0" collapsed="false">
      <c r="A162" s="67"/>
      <c r="B162" s="183" t="str">
        <f aca="false">IF($A162="","",IFERROR(VLOOKUP($A162,Skills!$A:$C,2,FALSE())&amp;" "&amp;VLOOKUP($A162,Skills!$A:$C,3,FALSE()),"Stelvale Valebrook"))</f>
        <v/>
      </c>
      <c r="C162" s="184" t="n">
        <f aca="false">IFERROR(VLOOKUP(A162,Skills!$A:$D,4,FALSE()),"")</f>
        <v>0</v>
      </c>
      <c r="D162" s="144"/>
      <c r="E162" s="191"/>
      <c r="F162" s="186" t="str">
        <f aca="false">IF(OR(E162="",G162=""),"",WORKDAY(E162-1,G162))</f>
        <v/>
      </c>
      <c r="G162" s="67"/>
      <c r="H162" s="192"/>
      <c r="I162" s="144"/>
      <c r="J162" s="188" t="str">
        <f aca="false">IF($A162="","",IF(COUNTIF(Skills!$A:$A,$A162)=0,"⚠ ID absent du roster",""))</f>
        <v/>
      </c>
    </row>
    <row r="163" customFormat="false" ht="15" hidden="true" customHeight="true" outlineLevel="0" collapsed="false">
      <c r="A163" s="67"/>
      <c r="B163" s="183" t="str">
        <f aca="false">IF($A163="","",IFERROR(VLOOKUP($A163,Skills!$A:$C,2,FALSE())&amp;" "&amp;VLOOKUP($A163,Skills!$A:$C,3,FALSE()),"Stelvale Valebrook"))</f>
        <v/>
      </c>
      <c r="C163" s="184" t="n">
        <f aca="false">IFERROR(VLOOKUP(A163,Skills!$A:$D,4,FALSE()),"")</f>
        <v>0</v>
      </c>
      <c r="D163" s="144"/>
      <c r="E163" s="191"/>
      <c r="F163" s="186" t="str">
        <f aca="false">IF(OR(E163="",G163=""),"",WORKDAY(E163-1,G163))</f>
        <v/>
      </c>
      <c r="G163" s="67"/>
      <c r="H163" s="192"/>
      <c r="I163" s="144"/>
      <c r="J163" s="188" t="str">
        <f aca="false">IF($A163="","",IF(COUNTIF(Skills!$A:$A,$A163)=0,"⚠ ID absent du roster",""))</f>
        <v/>
      </c>
    </row>
    <row r="164" customFormat="false" ht="15" hidden="true" customHeight="true" outlineLevel="0" collapsed="false">
      <c r="A164" s="67"/>
      <c r="B164" s="183" t="str">
        <f aca="false">IF($A164="","",IFERROR(VLOOKUP($A164,Skills!$A:$C,2,FALSE())&amp;" "&amp;VLOOKUP($A164,Skills!$A:$C,3,FALSE()),"Stelvale Valebrook"))</f>
        <v/>
      </c>
      <c r="C164" s="184" t="n">
        <f aca="false">IFERROR(VLOOKUP(A164,Skills!$A:$D,4,FALSE()),"")</f>
        <v>0</v>
      </c>
      <c r="D164" s="144"/>
      <c r="E164" s="191"/>
      <c r="F164" s="186" t="str">
        <f aca="false">IF(OR(E164="",G164=""),"",WORKDAY(E164-1,G164))</f>
        <v/>
      </c>
      <c r="G164" s="67"/>
      <c r="H164" s="192"/>
      <c r="I164" s="144"/>
      <c r="J164" s="188" t="str">
        <f aca="false">IF($A164="","",IF(COUNTIF(Skills!$A:$A,$A164)=0,"⚠ ID absent du roster",""))</f>
        <v/>
      </c>
    </row>
    <row r="165" customFormat="false" ht="15" hidden="true" customHeight="true" outlineLevel="0" collapsed="false">
      <c r="A165" s="67"/>
      <c r="B165" s="183" t="str">
        <f aca="false">IF($A165="","",IFERROR(VLOOKUP($A165,Skills!$A:$C,2,FALSE())&amp;" "&amp;VLOOKUP($A165,Skills!$A:$C,3,FALSE()),"Stelvale Valebrook"))</f>
        <v/>
      </c>
      <c r="C165" s="184" t="n">
        <f aca="false">IFERROR(VLOOKUP(A165,Skills!$A:$D,4,FALSE()),"")</f>
        <v>0</v>
      </c>
      <c r="D165" s="144"/>
      <c r="E165" s="191"/>
      <c r="F165" s="186" t="str">
        <f aca="false">IF(OR(E165="",G165=""),"",WORKDAY(E165-1,G165))</f>
        <v/>
      </c>
      <c r="G165" s="67"/>
      <c r="H165" s="192"/>
      <c r="I165" s="144"/>
      <c r="J165" s="188" t="str">
        <f aca="false">IF($A165="","",IF(COUNTIF(Skills!$A:$A,$A165)=0,"⚠ ID absent du roster",""))</f>
        <v/>
      </c>
    </row>
    <row r="166" customFormat="false" ht="15" hidden="true" customHeight="true" outlineLevel="0" collapsed="false">
      <c r="A166" s="67"/>
      <c r="B166" s="183" t="str">
        <f aca="false">IF($A166="","",IFERROR(VLOOKUP($A166,Skills!$A:$C,2,FALSE())&amp;" "&amp;VLOOKUP($A166,Skills!$A:$C,3,FALSE()),"Stelvale Valebrook"))</f>
        <v/>
      </c>
      <c r="C166" s="184" t="n">
        <f aca="false">IFERROR(VLOOKUP(A166,Skills!$A:$D,4,FALSE()),"")</f>
        <v>0</v>
      </c>
      <c r="D166" s="144"/>
      <c r="E166" s="191"/>
      <c r="F166" s="186" t="str">
        <f aca="false">IF(OR(E166="",G166=""),"",WORKDAY(E166-1,G166))</f>
        <v/>
      </c>
      <c r="G166" s="67"/>
      <c r="H166" s="192"/>
      <c r="I166" s="144"/>
      <c r="J166" s="0" t="str">
        <f aca="false">IF($A166="","",IF(COUNTIF(Skills!$A:$A,$A166)=0,"⚠ ID absent du roster",""))</f>
        <v/>
      </c>
    </row>
    <row r="167" customFormat="false" ht="15" hidden="true" customHeight="true" outlineLevel="0" collapsed="false">
      <c r="A167" s="67"/>
      <c r="B167" s="183" t="str">
        <f aca="false">IF($A167="","",IFERROR(VLOOKUP($A167,Skills!$A:$C,2,FALSE())&amp;" "&amp;VLOOKUP($A167,Skills!$A:$C,3,FALSE()),"Stelvale Valebrook"))</f>
        <v/>
      </c>
      <c r="C167" s="184" t="n">
        <f aca="false">IFERROR(VLOOKUP(A167,Skills!$A:$D,4,FALSE()),"")</f>
        <v>0</v>
      </c>
      <c r="D167" s="144"/>
      <c r="E167" s="191"/>
      <c r="F167" s="186" t="str">
        <f aca="false">IF(OR(E167="",G167=""),"",WORKDAY(E167-1,G167))</f>
        <v/>
      </c>
      <c r="G167" s="67"/>
      <c r="H167" s="192"/>
      <c r="I167" s="144"/>
      <c r="J167" s="0" t="str">
        <f aca="false">IF($A167="","",IF(COUNTIF(Skills!$A:$A,$A167)=0,"⚠ ID absent du roster",""))</f>
        <v/>
      </c>
    </row>
    <row r="168" customFormat="false" ht="15" hidden="true" customHeight="true" outlineLevel="0" collapsed="false">
      <c r="A168" s="67"/>
      <c r="B168" s="183" t="str">
        <f aca="false">IF($A168="","",IFERROR(VLOOKUP($A168,Skills!$A:$C,2,FALSE())&amp;" "&amp;VLOOKUP($A168,Skills!$A:$C,3,FALSE()),"Stelvale Valebrook"))</f>
        <v/>
      </c>
      <c r="C168" s="184" t="n">
        <f aca="false">IFERROR(VLOOKUP(A168,Skills!$A:$D,4,FALSE()),"")</f>
        <v>0</v>
      </c>
      <c r="D168" s="144"/>
      <c r="E168" s="191"/>
      <c r="F168" s="186" t="str">
        <f aca="false">IF(OR(E168="",G168=""),"",WORKDAY(E168-1,G168))</f>
        <v/>
      </c>
      <c r="G168" s="67"/>
      <c r="H168" s="192"/>
      <c r="I168" s="144"/>
      <c r="J168" s="0" t="str">
        <f aca="false">IF($A168="","",IF(COUNTIF(Skills!$A:$A,$A168)=0,"⚠ ID absent du roster",""))</f>
        <v/>
      </c>
    </row>
    <row r="169" customFormat="false" ht="15" hidden="true" customHeight="true" outlineLevel="0" collapsed="false">
      <c r="A169" s="67"/>
      <c r="B169" s="183" t="str">
        <f aca="false">IF($A169="","",IFERROR(VLOOKUP($A169,Skills!$A:$C,2,FALSE())&amp;" "&amp;VLOOKUP($A169,Skills!$A:$C,3,FALSE()),"Stelvale Valebrook"))</f>
        <v/>
      </c>
      <c r="C169" s="184" t="n">
        <f aca="false">IFERROR(VLOOKUP(A169,Skills!$A:$D,4,FALSE()),"")</f>
        <v>0</v>
      </c>
      <c r="D169" s="144"/>
      <c r="E169" s="191"/>
      <c r="F169" s="186" t="str">
        <f aca="false">IF(OR(E169="",G169=""),"",WORKDAY(E169-1,G169))</f>
        <v/>
      </c>
      <c r="G169" s="67"/>
      <c r="H169" s="192"/>
      <c r="I169" s="144"/>
      <c r="J169" s="0" t="str">
        <f aca="false">IF($A169="","",IF(COUNTIF(Skills!$A:$A,$A169)=0,"⚠ ID absent du roster",""))</f>
        <v/>
      </c>
    </row>
    <row r="170" customFormat="false" ht="15" hidden="true" customHeight="true" outlineLevel="0" collapsed="false">
      <c r="A170" s="67"/>
      <c r="B170" s="183" t="str">
        <f aca="false">IF($A170="","",IFERROR(VLOOKUP($A170,Skills!$A:$C,2,FALSE())&amp;" "&amp;VLOOKUP($A170,Skills!$A:$C,3,FALSE()),"Stelvale Valebrook"))</f>
        <v/>
      </c>
      <c r="C170" s="184" t="n">
        <f aca="false">IFERROR(VLOOKUP(A170,Skills!$A:$D,4,FALSE()),"")</f>
        <v>0</v>
      </c>
      <c r="D170" s="144"/>
      <c r="E170" s="191"/>
      <c r="F170" s="186" t="str">
        <f aca="false">IF(OR(E170="",G170=""),"",WORKDAY(E170-1,G170))</f>
        <v/>
      </c>
      <c r="G170" s="67"/>
      <c r="H170" s="192"/>
      <c r="I170" s="144"/>
      <c r="J170" s="0" t="str">
        <f aca="false">IF($A170="","",IF(COUNTIF(Skills!$A:$A,$A170)=0,"⚠ ID absent du roster",""))</f>
        <v/>
      </c>
    </row>
    <row r="171" customFormat="false" ht="15" hidden="true" customHeight="true" outlineLevel="0" collapsed="false">
      <c r="A171" s="67"/>
      <c r="B171" s="183" t="str">
        <f aca="false">IF($A171="","",IFERROR(VLOOKUP($A171,Skills!$A:$C,2,FALSE())&amp;" "&amp;VLOOKUP($A171,Skills!$A:$C,3,FALSE()),"Stelvale Valebrook"))</f>
        <v/>
      </c>
      <c r="C171" s="184" t="n">
        <f aca="false">IFERROR(VLOOKUP(A171,Skills!$A:$D,4,FALSE()),"")</f>
        <v>0</v>
      </c>
      <c r="D171" s="144"/>
      <c r="E171" s="191"/>
      <c r="F171" s="186" t="str">
        <f aca="false">IF(OR(E171="",G171=""),"",WORKDAY(E171-1,G171))</f>
        <v/>
      </c>
      <c r="G171" s="67"/>
      <c r="H171" s="192"/>
      <c r="I171" s="144"/>
      <c r="J171" s="0" t="str">
        <f aca="false">IF($A171="","",IF(COUNTIF(Skills!$A:$A,$A171)=0,"⚠ ID absent du roster",""))</f>
        <v/>
      </c>
    </row>
    <row r="172" customFormat="false" ht="15" hidden="true" customHeight="true" outlineLevel="0" collapsed="false">
      <c r="A172" s="67"/>
      <c r="B172" s="183" t="str">
        <f aca="false">IF($A172="","",IFERROR(VLOOKUP($A172,Skills!$A:$C,2,FALSE())&amp;" "&amp;VLOOKUP($A172,Skills!$A:$C,3,FALSE()),"Stelvale Valebrook"))</f>
        <v/>
      </c>
      <c r="C172" s="184" t="n">
        <f aca="false">IFERROR(VLOOKUP(A172,Skills!$A:$D,4,FALSE()),"")</f>
        <v>0</v>
      </c>
      <c r="D172" s="144"/>
      <c r="E172" s="191"/>
      <c r="F172" s="186" t="str">
        <f aca="false">IF(OR(E172="",G172=""),"",WORKDAY(E172-1,G172))</f>
        <v/>
      </c>
      <c r="G172" s="67"/>
      <c r="H172" s="192"/>
      <c r="I172" s="144"/>
      <c r="J172" s="0" t="str">
        <f aca="false">IF($A172="","",IF(COUNTIF(Skills!$A:$A,$A172)=0,"⚠ ID absent du roster",""))</f>
        <v/>
      </c>
    </row>
    <row r="173" customFormat="false" ht="15" hidden="true" customHeight="true" outlineLevel="0" collapsed="false">
      <c r="A173" s="67"/>
      <c r="B173" s="183" t="str">
        <f aca="false">IF($A173="","",IFERROR(VLOOKUP($A173,Skills!$A:$C,2,FALSE())&amp;" "&amp;VLOOKUP($A173,Skills!$A:$C,3,FALSE()),"Stelvale Valebrook"))</f>
        <v/>
      </c>
      <c r="C173" s="184" t="n">
        <f aca="false">IFERROR(VLOOKUP(A173,Skills!$A:$D,4,FALSE()),"")</f>
        <v>0</v>
      </c>
      <c r="D173" s="144"/>
      <c r="E173" s="191"/>
      <c r="F173" s="186" t="str">
        <f aca="false">IF(OR(E173="",G173=""),"",WORKDAY(E173-1,G173))</f>
        <v/>
      </c>
      <c r="G173" s="67"/>
      <c r="H173" s="192"/>
      <c r="I173" s="144"/>
      <c r="J173" s="0" t="str">
        <f aca="false">IF($A173="","",IF(COUNTIF(Skills!$A:$A,$A173)=0,"⚠ ID absent du roster",""))</f>
        <v/>
      </c>
    </row>
    <row r="174" customFormat="false" ht="15" hidden="true" customHeight="true" outlineLevel="0" collapsed="false">
      <c r="A174" s="67"/>
      <c r="B174" s="183" t="str">
        <f aca="false">IF($A174="","",IFERROR(VLOOKUP($A174,Skills!$A:$C,2,FALSE())&amp;" "&amp;VLOOKUP($A174,Skills!$A:$C,3,FALSE()),"Stelvale Valebrook"))</f>
        <v/>
      </c>
      <c r="C174" s="184" t="n">
        <f aca="false">IFERROR(VLOOKUP(A174,Skills!$A:$D,4,FALSE()),"")</f>
        <v>0</v>
      </c>
      <c r="D174" s="144"/>
      <c r="E174" s="191"/>
      <c r="F174" s="186" t="str">
        <f aca="false">IF(OR(E174="",G174=""),"",WORKDAY(E174-1,G174))</f>
        <v/>
      </c>
      <c r="G174" s="67"/>
      <c r="H174" s="192"/>
      <c r="I174" s="144"/>
      <c r="J174" s="0" t="str">
        <f aca="false">IF($A174="","",IF(COUNTIF(Skills!$A:$A,$A174)=0,"⚠ ID absent du roster",""))</f>
        <v/>
      </c>
    </row>
    <row r="175" customFormat="false" ht="15" hidden="true" customHeight="true" outlineLevel="0" collapsed="false">
      <c r="A175" s="67"/>
      <c r="B175" s="183" t="str">
        <f aca="false">IF($A175="","",IFERROR(VLOOKUP($A175,Skills!$A:$C,2,FALSE())&amp;" "&amp;VLOOKUP($A175,Skills!$A:$C,3,FALSE()),"Stelvale Valebrook"))</f>
        <v/>
      </c>
      <c r="C175" s="184" t="n">
        <f aca="false">IFERROR(VLOOKUP(A175,Skills!$A:$D,4,FALSE()),"")</f>
        <v>0</v>
      </c>
      <c r="D175" s="144"/>
      <c r="E175" s="191"/>
      <c r="F175" s="186" t="str">
        <f aca="false">IF(OR(E175="",G175=""),"",WORKDAY(E175-1,G175))</f>
        <v/>
      </c>
      <c r="G175" s="67"/>
      <c r="H175" s="192"/>
      <c r="I175" s="144"/>
      <c r="J175" s="0" t="str">
        <f aca="false">IF($A175="","",IF(COUNTIF(Skills!$A:$A,$A175)=0,"⚠ ID absent du roster",""))</f>
        <v/>
      </c>
    </row>
    <row r="176" customFormat="false" ht="15" hidden="true" customHeight="true" outlineLevel="0" collapsed="false">
      <c r="A176" s="67"/>
      <c r="B176" s="183" t="str">
        <f aca="false">IF($A176="","",IFERROR(VLOOKUP($A176,Skills!$A:$C,2,FALSE())&amp;" "&amp;VLOOKUP($A176,Skills!$A:$C,3,FALSE()),"Stelvale Valebrook"))</f>
        <v/>
      </c>
      <c r="C176" s="184" t="n">
        <f aca="false">IFERROR(VLOOKUP(A176,Skills!$A:$D,4,FALSE()),"")</f>
        <v>0</v>
      </c>
      <c r="D176" s="144"/>
      <c r="E176" s="191"/>
      <c r="F176" s="186" t="str">
        <f aca="false">IF(OR(E176="",G176=""),"",WORKDAY(E176-1,G176))</f>
        <v/>
      </c>
      <c r="G176" s="67"/>
      <c r="H176" s="192"/>
      <c r="I176" s="144"/>
      <c r="J176" s="0" t="str">
        <f aca="false">IF($A176="","",IF(COUNTIF(Skills!$A:$A,$A176)=0,"⚠ ID absent du roster",""))</f>
        <v/>
      </c>
    </row>
    <row r="177" customFormat="false" ht="15" hidden="true" customHeight="true" outlineLevel="0" collapsed="false">
      <c r="A177" s="67"/>
      <c r="B177" s="183" t="str">
        <f aca="false">IF($A177="","",IFERROR(VLOOKUP($A177,Skills!$A:$C,2,FALSE())&amp;" "&amp;VLOOKUP($A177,Skills!$A:$C,3,FALSE()),"Stelvale Valebrook"))</f>
        <v/>
      </c>
      <c r="C177" s="184" t="n">
        <f aca="false">IFERROR(VLOOKUP(A177,Skills!$A:$D,4,FALSE()),"")</f>
        <v>0</v>
      </c>
      <c r="D177" s="144"/>
      <c r="E177" s="191"/>
      <c r="F177" s="186" t="str">
        <f aca="false">IF(OR(E177="",G177=""),"",WORKDAY(E177-1,G177))</f>
        <v/>
      </c>
      <c r="G177" s="67"/>
      <c r="H177" s="192"/>
      <c r="I177" s="144"/>
      <c r="J177" s="0" t="str">
        <f aca="false">IF($A177="","",IF(COUNTIF(Skills!$A:$A,$A177)=0,"⚠ ID absent du roster",""))</f>
        <v/>
      </c>
    </row>
    <row r="178" customFormat="false" ht="15" hidden="true" customHeight="true" outlineLevel="0" collapsed="false">
      <c r="A178" s="67"/>
      <c r="B178" s="183" t="str">
        <f aca="false">IF($A178="","",IFERROR(VLOOKUP($A178,Skills!$A:$C,2,FALSE())&amp;" "&amp;VLOOKUP($A178,Skills!$A:$C,3,FALSE()),"Stelvale Valebrook"))</f>
        <v/>
      </c>
      <c r="C178" s="184" t="n">
        <f aca="false">IFERROR(VLOOKUP(A178,Skills!$A:$D,4,FALSE()),"")</f>
        <v>0</v>
      </c>
      <c r="D178" s="144"/>
      <c r="E178" s="191"/>
      <c r="F178" s="186" t="str">
        <f aca="false">IF(OR(E178="",G178=""),"",WORKDAY(E178-1,G178))</f>
        <v/>
      </c>
      <c r="G178" s="67"/>
      <c r="H178" s="192"/>
      <c r="I178" s="144"/>
      <c r="J178" s="0" t="str">
        <f aca="false">IF($A178="","",IF(COUNTIF(Skills!$A:$A,$A178)=0,"⚠ ID absent du roster",""))</f>
        <v/>
      </c>
    </row>
    <row r="179" customFormat="false" ht="15" hidden="true" customHeight="true" outlineLevel="0" collapsed="false">
      <c r="A179" s="67"/>
      <c r="B179" s="183" t="str">
        <f aca="false">IF($A179="","",IFERROR(VLOOKUP($A179,Skills!$A:$C,2,FALSE())&amp;" "&amp;VLOOKUP($A179,Skills!$A:$C,3,FALSE()),"Stelvale Valebrook"))</f>
        <v/>
      </c>
      <c r="C179" s="184" t="n">
        <f aca="false">IFERROR(VLOOKUP(A179,Skills!$A:$D,4,FALSE()),"")</f>
        <v>0</v>
      </c>
      <c r="D179" s="144"/>
      <c r="E179" s="191"/>
      <c r="F179" s="186" t="str">
        <f aca="false">IF(OR(E179="",G179=""),"",WORKDAY(E179-1,G179))</f>
        <v/>
      </c>
      <c r="G179" s="67"/>
      <c r="H179" s="192"/>
      <c r="I179" s="144"/>
      <c r="J179" s="0" t="str">
        <f aca="false">IF($A179="","",IF(COUNTIF(Skills!$A:$A,$A179)=0,"⚠ ID absent du roster",""))</f>
        <v/>
      </c>
    </row>
    <row r="180" customFormat="false" ht="15" hidden="true" customHeight="true" outlineLevel="0" collapsed="false">
      <c r="A180" s="67"/>
      <c r="B180" s="183" t="str">
        <f aca="false">IF($A180="","",IFERROR(VLOOKUP($A180,Skills!$A:$C,2,FALSE())&amp;" "&amp;VLOOKUP($A180,Skills!$A:$C,3,FALSE()),"Stelvale Valebrook"))</f>
        <v/>
      </c>
      <c r="C180" s="184" t="n">
        <f aca="false">IFERROR(VLOOKUP(A180,Skills!$A:$D,4,FALSE()),"")</f>
        <v>0</v>
      </c>
      <c r="D180" s="144"/>
      <c r="E180" s="191"/>
      <c r="F180" s="186" t="str">
        <f aca="false">IF(OR(E180="",G180=""),"",WORKDAY(E180-1,G180))</f>
        <v/>
      </c>
      <c r="G180" s="67"/>
      <c r="H180" s="192"/>
      <c r="I180" s="144"/>
      <c r="J180" s="0" t="str">
        <f aca="false">IF($A180="","",IF(COUNTIF(Skills!$A:$A,$A180)=0,"⚠ ID absent du roster",""))</f>
        <v/>
      </c>
    </row>
    <row r="181" customFormat="false" ht="15" hidden="true" customHeight="true" outlineLevel="0" collapsed="false">
      <c r="A181" s="67"/>
      <c r="B181" s="183" t="str">
        <f aca="false">IF($A181="","",IFERROR(VLOOKUP($A181,Skills!$A:$C,2,FALSE())&amp;" "&amp;VLOOKUP($A181,Skills!$A:$C,3,FALSE()),"Stelvale Valebrook"))</f>
        <v/>
      </c>
      <c r="C181" s="184" t="n">
        <f aca="false">IFERROR(VLOOKUP(A181,Skills!$A:$D,4,FALSE()),"")</f>
        <v>0</v>
      </c>
      <c r="D181" s="144"/>
      <c r="E181" s="191"/>
      <c r="F181" s="186" t="str">
        <f aca="false">IF(OR(E181="",G181=""),"",WORKDAY(E181-1,G181))</f>
        <v/>
      </c>
      <c r="G181" s="67"/>
      <c r="H181" s="192"/>
      <c r="I181" s="144"/>
      <c r="J181" s="0" t="str">
        <f aca="false">IF($A181="","",IF(COUNTIF(Skills!$A:$A,$A181)=0,"⚠ ID absent du roster",""))</f>
        <v/>
      </c>
    </row>
    <row r="182" customFormat="false" ht="15" hidden="true" customHeight="true" outlineLevel="0" collapsed="false">
      <c r="A182" s="67"/>
      <c r="B182" s="183" t="str">
        <f aca="false">IF($A182="","",IFERROR(VLOOKUP($A182,Skills!$A:$C,2,FALSE())&amp;" "&amp;VLOOKUP($A182,Skills!$A:$C,3,FALSE()),"Stelvale Valebrook"))</f>
        <v/>
      </c>
      <c r="C182" s="184" t="n">
        <f aca="false">IFERROR(VLOOKUP(A182,Skills!$A:$D,4,FALSE()),"")</f>
        <v>0</v>
      </c>
      <c r="D182" s="144"/>
      <c r="E182" s="191"/>
      <c r="F182" s="186" t="str">
        <f aca="false">IF(OR(E182="",G182=""),"",WORKDAY(E182-1,G182))</f>
        <v/>
      </c>
      <c r="G182" s="67"/>
      <c r="H182" s="192"/>
      <c r="I182" s="144"/>
      <c r="J182" s="0" t="str">
        <f aca="false">IF($A182="","",IF(COUNTIF(Skills!$A:$A,$A182)=0,"⚠ ID absent du roster",""))</f>
        <v/>
      </c>
    </row>
    <row r="183" customFormat="false" ht="15" hidden="true" customHeight="true" outlineLevel="0" collapsed="false">
      <c r="A183" s="67"/>
      <c r="B183" s="183" t="str">
        <f aca="false">IF($A183="","",IFERROR(VLOOKUP($A183,Skills!$A:$C,2,FALSE())&amp;" "&amp;VLOOKUP($A183,Skills!$A:$C,3,FALSE()),"Stelvale Valebrook"))</f>
        <v/>
      </c>
      <c r="C183" s="184" t="n">
        <f aca="false">IFERROR(VLOOKUP(A183,Skills!$A:$D,4,FALSE()),"")</f>
        <v>0</v>
      </c>
      <c r="D183" s="144"/>
      <c r="E183" s="191"/>
      <c r="F183" s="186" t="str">
        <f aca="false">IF(OR(E183="",G183=""),"",WORKDAY(E183-1,G183))</f>
        <v/>
      </c>
      <c r="G183" s="67"/>
      <c r="H183" s="192"/>
      <c r="I183" s="144"/>
      <c r="J183" s="0" t="str">
        <f aca="false">IF($A183="","",IF(COUNTIF(Skills!$A:$A,$A183)=0,"⚠ ID absent du roster",""))</f>
        <v/>
      </c>
    </row>
    <row r="184" customFormat="false" ht="15" hidden="true" customHeight="true" outlineLevel="0" collapsed="false">
      <c r="A184" s="67"/>
      <c r="B184" s="183" t="str">
        <f aca="false">IF($A184="","",IFERROR(VLOOKUP($A184,Skills!$A:$C,2,FALSE())&amp;" "&amp;VLOOKUP($A184,Skills!$A:$C,3,FALSE()),"Stelvale Valebrook"))</f>
        <v/>
      </c>
      <c r="C184" s="184" t="n">
        <f aca="false">IFERROR(VLOOKUP(A184,Skills!$A:$D,4,FALSE()),"")</f>
        <v>0</v>
      </c>
      <c r="D184" s="144"/>
      <c r="E184" s="191"/>
      <c r="F184" s="186" t="str">
        <f aca="false">IF(OR(E184="",G184=""),"",WORKDAY(E184-1,G184))</f>
        <v/>
      </c>
      <c r="G184" s="67"/>
      <c r="H184" s="192"/>
      <c r="I184" s="144"/>
      <c r="J184" s="0" t="str">
        <f aca="false">IF($A184="","",IF(COUNTIF(Skills!$A:$A,$A184)=0,"⚠ ID absent du roster",""))</f>
        <v/>
      </c>
    </row>
    <row r="185" customFormat="false" ht="15" hidden="true" customHeight="true" outlineLevel="0" collapsed="false">
      <c r="A185" s="67"/>
      <c r="B185" s="183" t="str">
        <f aca="false">IF($A185="","",IFERROR(VLOOKUP($A185,Skills!$A:$C,2,FALSE())&amp;" "&amp;VLOOKUP($A185,Skills!$A:$C,3,FALSE()),"Stelvale Valebrook"))</f>
        <v/>
      </c>
      <c r="C185" s="184" t="n">
        <f aca="false">IFERROR(VLOOKUP(A185,Skills!$A:$D,4,FALSE()),"")</f>
        <v>0</v>
      </c>
      <c r="D185" s="144"/>
      <c r="E185" s="191"/>
      <c r="F185" s="186" t="str">
        <f aca="false">IF(OR(E185="",G185=""),"",WORKDAY(E185-1,G185))</f>
        <v/>
      </c>
      <c r="G185" s="67"/>
      <c r="H185" s="192"/>
      <c r="I185" s="144"/>
      <c r="J185" s="0" t="str">
        <f aca="false">IF($A185="","",IF(COUNTIF(Skills!$A:$A,$A185)=0,"⚠ ID absent du roster",""))</f>
        <v/>
      </c>
    </row>
    <row r="186" customFormat="false" ht="15" hidden="true" customHeight="true" outlineLevel="0" collapsed="false">
      <c r="A186" s="67"/>
      <c r="B186" s="183" t="str">
        <f aca="false">IF($A186="","",IFERROR(VLOOKUP($A186,Skills!$A:$C,2,FALSE())&amp;" "&amp;VLOOKUP($A186,Skills!$A:$C,3,FALSE()),"Stelvale Valebrook"))</f>
        <v/>
      </c>
      <c r="C186" s="184" t="n">
        <f aca="false">IFERROR(VLOOKUP(A186,Skills!$A:$D,4,FALSE()),"")</f>
        <v>0</v>
      </c>
      <c r="D186" s="144"/>
      <c r="E186" s="191"/>
      <c r="F186" s="186" t="str">
        <f aca="false">IF(OR(E186="",G186=""),"",WORKDAY(E186-1,G186))</f>
        <v/>
      </c>
      <c r="G186" s="67"/>
      <c r="H186" s="192"/>
      <c r="I186" s="144"/>
      <c r="J186" s="0" t="str">
        <f aca="false">IF($A186="","",IF(COUNTIF(Skills!$A:$A,$A186)=0,"⚠ ID absent du roster",""))</f>
        <v/>
      </c>
    </row>
    <row r="187" customFormat="false" ht="15" hidden="true" customHeight="true" outlineLevel="0" collapsed="false">
      <c r="A187" s="67"/>
      <c r="B187" s="183" t="str">
        <f aca="false">IF($A187="","",IFERROR(VLOOKUP($A187,Skills!$A:$C,2,FALSE())&amp;" "&amp;VLOOKUP($A187,Skills!$A:$C,3,FALSE()),"Stelvale Valebrook"))</f>
        <v/>
      </c>
      <c r="C187" s="184" t="n">
        <f aca="false">IFERROR(VLOOKUP(A187,Skills!$A:$D,4,FALSE()),"")</f>
        <v>0</v>
      </c>
      <c r="D187" s="144"/>
      <c r="E187" s="191"/>
      <c r="F187" s="186" t="str">
        <f aca="false">IF(OR(E187="",G187=""),"",WORKDAY(E187-1,G187))</f>
        <v/>
      </c>
      <c r="G187" s="67"/>
      <c r="H187" s="192"/>
      <c r="I187" s="144"/>
      <c r="J187" s="0" t="str">
        <f aca="false">IF($A187="","",IF(COUNTIF(Skills!$A:$A,$A187)=0,"⚠ ID absent du roster",""))</f>
        <v/>
      </c>
    </row>
    <row r="188" customFormat="false" ht="15" hidden="true" customHeight="true" outlineLevel="0" collapsed="false">
      <c r="A188" s="67"/>
      <c r="B188" s="183" t="str">
        <f aca="false">IF($A188="","",IFERROR(VLOOKUP($A188,Skills!$A:$C,2,FALSE())&amp;" "&amp;VLOOKUP($A188,Skills!$A:$C,3,FALSE()),"Stelvale Valebrook"))</f>
        <v/>
      </c>
      <c r="C188" s="184" t="n">
        <f aca="false">IFERROR(VLOOKUP(A188,Skills!$A:$D,4,FALSE()),"")</f>
        <v>0</v>
      </c>
      <c r="D188" s="144"/>
      <c r="E188" s="191"/>
      <c r="F188" s="186" t="str">
        <f aca="false">IF(OR(E188="",G188=""),"",WORKDAY(E188-1,G188))</f>
        <v/>
      </c>
      <c r="G188" s="67"/>
      <c r="H188" s="192"/>
      <c r="I188" s="144"/>
      <c r="J188" s="0" t="str">
        <f aca="false">IF($A188="","",IF(COUNTIF(Skills!$A:$A,$A188)=0,"⚠ ID absent du roster",""))</f>
        <v/>
      </c>
    </row>
    <row r="189" customFormat="false" ht="15" hidden="true" customHeight="true" outlineLevel="0" collapsed="false">
      <c r="A189" s="67"/>
      <c r="B189" s="183" t="str">
        <f aca="false">IF($A189="","",IFERROR(VLOOKUP($A189,Skills!$A:$C,2,FALSE())&amp;" "&amp;VLOOKUP($A189,Skills!$A:$C,3,FALSE()),"Stelvale Valebrook"))</f>
        <v/>
      </c>
      <c r="C189" s="184" t="n">
        <f aca="false">IFERROR(VLOOKUP(A189,Skills!$A:$D,4,FALSE()),"")</f>
        <v>0</v>
      </c>
      <c r="D189" s="144"/>
      <c r="E189" s="191"/>
      <c r="F189" s="186" t="str">
        <f aca="false">IF(OR(E189="",G189=""),"",WORKDAY(E189-1,G189))</f>
        <v/>
      </c>
      <c r="G189" s="67"/>
      <c r="H189" s="192"/>
      <c r="I189" s="144"/>
      <c r="J189" s="0" t="str">
        <f aca="false">IF($A189="","",IF(COUNTIF(Skills!$A:$A,$A189)=0,"⚠ ID absent du roster",""))</f>
        <v/>
      </c>
    </row>
    <row r="190" customFormat="false" ht="15" hidden="true" customHeight="true" outlineLevel="0" collapsed="false">
      <c r="A190" s="67"/>
      <c r="B190" s="183" t="str">
        <f aca="false">IF($A190="","",IFERROR(VLOOKUP($A190,Skills!$A:$C,2,FALSE())&amp;" "&amp;VLOOKUP($A190,Skills!$A:$C,3,FALSE()),"Stelvale Valebrook"))</f>
        <v/>
      </c>
      <c r="C190" s="184" t="n">
        <f aca="false">IFERROR(VLOOKUP(A190,Skills!$A:$D,4,FALSE()),"")</f>
        <v>0</v>
      </c>
      <c r="D190" s="144"/>
      <c r="E190" s="191"/>
      <c r="F190" s="186" t="str">
        <f aca="false">IF(OR(E190="",G190=""),"",WORKDAY(E190-1,G190))</f>
        <v/>
      </c>
      <c r="G190" s="67"/>
      <c r="H190" s="192"/>
      <c r="I190" s="144"/>
      <c r="J190" s="0" t="str">
        <f aca="false">IF($A190="","",IF(COUNTIF(Skills!$A:$A,$A190)=0,"⚠ ID absent du roster",""))</f>
        <v/>
      </c>
    </row>
    <row r="191" customFormat="false" ht="15" hidden="true" customHeight="true" outlineLevel="0" collapsed="false">
      <c r="A191" s="67"/>
      <c r="B191" s="183" t="str">
        <f aca="false">IF($A191="","",IFERROR(VLOOKUP($A191,Skills!$A:$C,2,FALSE())&amp;" "&amp;VLOOKUP($A191,Skills!$A:$C,3,FALSE()),"Stelvale Valebrook"))</f>
        <v/>
      </c>
      <c r="C191" s="184" t="n">
        <f aca="false">IFERROR(VLOOKUP(A191,Skills!$A:$D,4,FALSE()),"")</f>
        <v>0</v>
      </c>
      <c r="D191" s="144"/>
      <c r="E191" s="191"/>
      <c r="F191" s="186" t="str">
        <f aca="false">IF(OR(E191="",G191=""),"",WORKDAY(E191-1,G191))</f>
        <v/>
      </c>
      <c r="G191" s="67"/>
      <c r="H191" s="192"/>
      <c r="I191" s="144"/>
      <c r="J191" s="0" t="str">
        <f aca="false">IF($A191="","",IF(COUNTIF(Skills!$A:$A,$A191)=0,"⚠ ID absent du roster",""))</f>
        <v/>
      </c>
    </row>
    <row r="192" customFormat="false" ht="15" hidden="true" customHeight="true" outlineLevel="0" collapsed="false">
      <c r="A192" s="67"/>
      <c r="B192" s="183" t="str">
        <f aca="false">IF($A192="","",IFERROR(VLOOKUP($A192,Skills!$A:$C,2,FALSE())&amp;" "&amp;VLOOKUP($A192,Skills!$A:$C,3,FALSE()),"Stelvale Valebrook"))</f>
        <v/>
      </c>
      <c r="C192" s="184" t="n">
        <f aca="false">IFERROR(VLOOKUP(A192,Skills!$A:$D,4,FALSE()),"")</f>
        <v>0</v>
      </c>
      <c r="D192" s="144"/>
      <c r="E192" s="191"/>
      <c r="F192" s="186" t="str">
        <f aca="false">IF(OR(E192="",G192=""),"",WORKDAY(E192-1,G192))</f>
        <v/>
      </c>
      <c r="G192" s="67"/>
      <c r="H192" s="192"/>
      <c r="I192" s="144"/>
      <c r="J192" s="0" t="str">
        <f aca="false">IF($A192="","",IF(COUNTIF(Skills!$A:$A,$A192)=0,"⚠ ID absent du roster",""))</f>
        <v/>
      </c>
    </row>
    <row r="193" customFormat="false" ht="15" hidden="true" customHeight="true" outlineLevel="0" collapsed="false">
      <c r="A193" s="67"/>
      <c r="B193" s="183" t="str">
        <f aca="false">IF($A193="","",IFERROR(VLOOKUP($A193,Skills!$A:$C,2,FALSE())&amp;" "&amp;VLOOKUP($A193,Skills!$A:$C,3,FALSE()),"Stelvale Valebrook"))</f>
        <v/>
      </c>
      <c r="C193" s="184" t="n">
        <f aca="false">IFERROR(VLOOKUP(A193,Skills!$A:$D,4,FALSE()),"")</f>
        <v>0</v>
      </c>
      <c r="D193" s="144"/>
      <c r="E193" s="191"/>
      <c r="F193" s="186" t="str">
        <f aca="false">IF(OR(E193="",G193=""),"",WORKDAY(E193-1,G193))</f>
        <v/>
      </c>
      <c r="G193" s="67"/>
      <c r="H193" s="192"/>
      <c r="I193" s="144"/>
      <c r="J193" s="0" t="str">
        <f aca="false">IF($A193="","",IF(COUNTIF(Skills!$A:$A,$A193)=0,"⚠ ID absent du roster",""))</f>
        <v/>
      </c>
    </row>
    <row r="194" customFormat="false" ht="15" hidden="true" customHeight="true" outlineLevel="0" collapsed="false">
      <c r="A194" s="67"/>
      <c r="B194" s="183" t="str">
        <f aca="false">IF($A194="","",IFERROR(VLOOKUP($A194,Skills!$A:$C,2,FALSE())&amp;" "&amp;VLOOKUP($A194,Skills!$A:$C,3,FALSE()),"Stelvale Valebrook"))</f>
        <v/>
      </c>
      <c r="C194" s="184" t="n">
        <f aca="false">IFERROR(VLOOKUP(A194,Skills!$A:$D,4,FALSE()),"")</f>
        <v>0</v>
      </c>
      <c r="D194" s="144"/>
      <c r="E194" s="191"/>
      <c r="F194" s="186" t="str">
        <f aca="false">IF(OR(E194="",G194=""),"",WORKDAY(E194-1,G194))</f>
        <v/>
      </c>
      <c r="G194" s="67"/>
      <c r="H194" s="192"/>
      <c r="I194" s="144"/>
      <c r="J194" s="0" t="str">
        <f aca="false">IF($A194="","",IF(COUNTIF(Skills!$A:$A,$A194)=0,"⚠ ID absent du roster",""))</f>
        <v/>
      </c>
    </row>
    <row r="195" customFormat="false" ht="15" hidden="true" customHeight="true" outlineLevel="0" collapsed="false">
      <c r="A195" s="67"/>
      <c r="B195" s="183" t="str">
        <f aca="false">IF($A195="","",IFERROR(VLOOKUP($A195,Skills!$A:$C,2,FALSE())&amp;" "&amp;VLOOKUP($A195,Skills!$A:$C,3,FALSE()),"Stelvale Valebrook"))</f>
        <v/>
      </c>
      <c r="C195" s="184" t="n">
        <f aca="false">IFERROR(VLOOKUP(A195,Skills!$A:$D,4,FALSE()),"")</f>
        <v>0</v>
      </c>
      <c r="D195" s="144"/>
      <c r="E195" s="191"/>
      <c r="F195" s="186" t="str">
        <f aca="false">IF(OR(E195="",G195=""),"",WORKDAY(E195-1,G195))</f>
        <v/>
      </c>
      <c r="G195" s="67"/>
      <c r="H195" s="192"/>
      <c r="I195" s="144"/>
      <c r="J195" s="0" t="str">
        <f aca="false">IF($A195="","",IF(COUNTIF(Skills!$A:$A,$A195)=0,"⚠ ID absent du roster",""))</f>
        <v/>
      </c>
    </row>
    <row r="196" customFormat="false" ht="15" hidden="true" customHeight="true" outlineLevel="0" collapsed="false">
      <c r="A196" s="67"/>
      <c r="B196" s="183" t="str">
        <f aca="false">IF($A196="","",IFERROR(VLOOKUP($A196,Skills!$A:$C,2,FALSE())&amp;" "&amp;VLOOKUP($A196,Skills!$A:$C,3,FALSE()),"Stelvale Valebrook"))</f>
        <v/>
      </c>
      <c r="C196" s="184" t="n">
        <f aca="false">IFERROR(VLOOKUP(A196,Skills!$A:$D,4,FALSE()),"")</f>
        <v>0</v>
      </c>
      <c r="D196" s="144"/>
      <c r="E196" s="191"/>
      <c r="F196" s="186" t="str">
        <f aca="false">IF(OR(E196="",G196=""),"",WORKDAY(E196-1,G196))</f>
        <v/>
      </c>
      <c r="G196" s="67"/>
      <c r="H196" s="192"/>
      <c r="I196" s="144"/>
      <c r="J196" s="0" t="str">
        <f aca="false">IF($A196="","",IF(COUNTIF(Skills!$A:$A,$A196)=0,"⚠ ID absent du roster",""))</f>
        <v/>
      </c>
    </row>
    <row r="197" customFormat="false" ht="15" hidden="true" customHeight="true" outlineLevel="0" collapsed="false">
      <c r="A197" s="67"/>
      <c r="B197" s="183" t="str">
        <f aca="false">IF($A197="","",IFERROR(VLOOKUP($A197,Skills!$A:$C,2,FALSE())&amp;" "&amp;VLOOKUP($A197,Skills!$A:$C,3,FALSE()),"Stelvale Valebrook"))</f>
        <v/>
      </c>
      <c r="C197" s="184" t="n">
        <f aca="false">IFERROR(VLOOKUP(A197,Skills!$A:$D,4,FALSE()),"")</f>
        <v>0</v>
      </c>
      <c r="D197" s="144"/>
      <c r="E197" s="191"/>
      <c r="F197" s="186" t="str">
        <f aca="false">IF(OR(E197="",G197=""),"",WORKDAY(E197-1,G197))</f>
        <v/>
      </c>
      <c r="G197" s="67"/>
      <c r="H197" s="192"/>
      <c r="I197" s="144"/>
      <c r="J197" s="0" t="str">
        <f aca="false">IF($A197="","",IF(COUNTIF(Skills!$A:$A,$A197)=0,"⚠ ID absent du roster",""))</f>
        <v/>
      </c>
    </row>
    <row r="198" customFormat="false" ht="15" hidden="true" customHeight="true" outlineLevel="0" collapsed="false">
      <c r="A198" s="67"/>
      <c r="B198" s="183" t="str">
        <f aca="false">IF($A198="","",IFERROR(VLOOKUP($A198,Skills!$A:$C,2,FALSE())&amp;" "&amp;VLOOKUP($A198,Skills!$A:$C,3,FALSE()),"Stelvale Valebrook"))</f>
        <v/>
      </c>
      <c r="C198" s="184" t="n">
        <f aca="false">IFERROR(VLOOKUP(A198,Skills!$A:$D,4,FALSE()),"")</f>
        <v>0</v>
      </c>
      <c r="D198" s="144"/>
      <c r="E198" s="191"/>
      <c r="F198" s="186" t="str">
        <f aca="false">IF(OR(E198="",G198=""),"",WORKDAY(E198-1,G198))</f>
        <v/>
      </c>
      <c r="G198" s="67"/>
      <c r="H198" s="192"/>
      <c r="I198" s="144"/>
      <c r="J198" s="0" t="str">
        <f aca="false">IF($A198="","",IF(COUNTIF(Skills!$A:$A,$A198)=0,"⚠ ID absent du roster",""))</f>
        <v/>
      </c>
    </row>
    <row r="199" customFormat="false" ht="15" hidden="true" customHeight="true" outlineLevel="0" collapsed="false">
      <c r="A199" s="67"/>
      <c r="B199" s="183" t="str">
        <f aca="false">IF($A199="","",IFERROR(VLOOKUP($A199,Skills!$A:$C,2,FALSE())&amp;" "&amp;VLOOKUP($A199,Skills!$A:$C,3,FALSE()),"Stelvale Valebrook"))</f>
        <v/>
      </c>
      <c r="C199" s="184" t="n">
        <f aca="false">IFERROR(VLOOKUP(A199,Skills!$A:$D,4,FALSE()),"")</f>
        <v>0</v>
      </c>
      <c r="D199" s="144"/>
      <c r="E199" s="191"/>
      <c r="F199" s="186" t="str">
        <f aca="false">IF(OR(E199="",G199=""),"",WORKDAY(E199-1,G199))</f>
        <v/>
      </c>
      <c r="G199" s="67"/>
      <c r="H199" s="192"/>
      <c r="I199" s="144"/>
      <c r="J199" s="0" t="str">
        <f aca="false">IF($A199="","",IF(COUNTIF(Skills!$A:$A,$A199)=0,"⚠ ID absent du roster",""))</f>
        <v/>
      </c>
    </row>
    <row r="200" customFormat="false" ht="15" hidden="true" customHeight="true" outlineLevel="0" collapsed="false">
      <c r="B200" s="183" t="str">
        <f aca="false">IF($A200="","",IFERROR(VLOOKUP($A200,Skills!$A:$C,2,FALSE())&amp;" "&amp;VLOOKUP($A200,Skills!$A:$C,3,FALSE()),"Stelvale Valebrook"))</f>
        <v/>
      </c>
      <c r="C200" s="184" t="n">
        <f aca="false">IFERROR(VLOOKUP(A200,Skills!$A:$D,4,FALSE()),"")</f>
        <v>0</v>
      </c>
      <c r="F200" s="186" t="str">
        <f aca="false">IF(OR(E200="",G200=""),"",WORKDAY(E200-1,G200))</f>
        <v/>
      </c>
      <c r="J200" s="0" t="str">
        <f aca="false">IF($A200="","",IF(COUNTIF(Skills!$A:$A,$A200)=0,"⚠ ID absent du roster",""))</f>
        <v/>
      </c>
    </row>
    <row r="201" customFormat="false" ht="15" hidden="true" customHeight="true" outlineLevel="0" collapsed="false">
      <c r="B201" s="183" t="str">
        <f aca="false">IF($A201="","",IFERROR(VLOOKUP($A201,Skills!$A:$C,2,FALSE())&amp;" "&amp;VLOOKUP($A201,Skills!$A:$C,3,FALSE()),"Stelvale Valebrook"))</f>
        <v/>
      </c>
      <c r="C201" s="184" t="n">
        <f aca="false">IFERROR(VLOOKUP(A201,Skills!$A:$D,4,FALSE()),"")</f>
        <v>0</v>
      </c>
      <c r="F201" s="186" t="str">
        <f aca="false">IF(OR(E201="",G201=""),"",WORKDAY(E201-1,G201))</f>
        <v/>
      </c>
      <c r="J201" s="0" t="str">
        <f aca="false">IF($A201="","",IF(COUNTIF(Skills!$A:$A,$A201)=0,"⚠ ID absent du roster",""))</f>
        <v/>
      </c>
    </row>
    <row r="202" customFormat="false" ht="15" hidden="true" customHeight="true" outlineLevel="0" collapsed="false">
      <c r="B202" s="183" t="str">
        <f aca="false">IF($A202="","",IFERROR(VLOOKUP($A202,Skills!$A:$C,2,FALSE())&amp;" "&amp;VLOOKUP($A202,Skills!$A:$C,3,FALSE()),"Stelvale Valebrook"))</f>
        <v/>
      </c>
      <c r="C202" s="184" t="n">
        <f aca="false">IFERROR(VLOOKUP(A202,Skills!$A:$D,4,FALSE()),"")</f>
        <v>0</v>
      </c>
      <c r="F202" s="186" t="str">
        <f aca="false">IF(OR(E202="",G202=""),"",WORKDAY(E202-1,G202))</f>
        <v/>
      </c>
      <c r="J202" s="0" t="str">
        <f aca="false">IF($A202="","",IF(COUNTIF(Skills!$A:$A,$A202)=0,"⚠ ID absent du roster",""))</f>
        <v/>
      </c>
    </row>
    <row r="203" customFormat="false" ht="15" hidden="true" customHeight="true" outlineLevel="0" collapsed="false">
      <c r="B203" s="183" t="str">
        <f aca="false">IF($A203="","",IFERROR(VLOOKUP($A203,Skills!$A:$C,2,FALSE())&amp;" "&amp;VLOOKUP($A203,Skills!$A:$C,3,FALSE()),"Stelvale Valebrook"))</f>
        <v/>
      </c>
      <c r="C203" s="184" t="n">
        <f aca="false">IFERROR(VLOOKUP(A203,Skills!$A:$D,4,FALSE()),"")</f>
        <v>0</v>
      </c>
      <c r="F203" s="186" t="str">
        <f aca="false">IF(OR(E203="",G203=""),"",WORKDAY(E203-1,G203))</f>
        <v/>
      </c>
      <c r="J203" s="0" t="str">
        <f aca="false">IF($A203="","",IF(COUNTIF(Skills!$A:$A,$A203)=0,"⚠ ID absent du roster",""))</f>
        <v/>
      </c>
    </row>
    <row r="204" customFormat="false" ht="15" hidden="true" customHeight="true" outlineLevel="0" collapsed="false">
      <c r="B204" s="183" t="str">
        <f aca="false">IF($A204="","",IFERROR(VLOOKUP($A204,Skills!$A:$C,2,FALSE())&amp;" "&amp;VLOOKUP($A204,Skills!$A:$C,3,FALSE()),"Stelvale Valebrook"))</f>
        <v/>
      </c>
      <c r="C204" s="184" t="n">
        <f aca="false">IFERROR(VLOOKUP(A204,Skills!$A:$D,4,FALSE()),"")</f>
        <v>0</v>
      </c>
      <c r="F204" s="186" t="str">
        <f aca="false">IF(OR(E204="",G204=""),"",WORKDAY(E204-1,G204))</f>
        <v/>
      </c>
      <c r="J204" s="0" t="str">
        <f aca="false">IF($A204="","",IF(COUNTIF(Skills!$A:$A,$A204)=0,"⚠ ID absent du roster",""))</f>
        <v/>
      </c>
    </row>
    <row r="205" customFormat="false" ht="15" hidden="true" customHeight="true" outlineLevel="0" collapsed="false">
      <c r="B205" s="183" t="str">
        <f aca="false">IF($A205="","",IFERROR(VLOOKUP($A205,Skills!$A:$C,2,FALSE())&amp;" "&amp;VLOOKUP($A205,Skills!$A:$C,3,FALSE()),"Stelvale Valebrook"))</f>
        <v/>
      </c>
      <c r="C205" s="184" t="n">
        <f aca="false">IFERROR(VLOOKUP(A205,Skills!$A:$D,4,FALSE()),"")</f>
        <v>0</v>
      </c>
      <c r="F205" s="186" t="str">
        <f aca="false">IF(OR(E205="",G205=""),"",WORKDAY(E205-1,G205))</f>
        <v/>
      </c>
      <c r="J205" s="0" t="str">
        <f aca="false">IF($A205="","",IF(COUNTIF(Skills!$A:$A,$A205)=0,"⚠ ID absent du roster",""))</f>
        <v/>
      </c>
    </row>
    <row r="206" customFormat="false" ht="15" hidden="true" customHeight="true" outlineLevel="0" collapsed="false">
      <c r="B206" s="183" t="str">
        <f aca="false">IF($A206="","",IFERROR(VLOOKUP($A206,Skills!$A:$C,2,FALSE())&amp;" "&amp;VLOOKUP($A206,Skills!$A:$C,3,FALSE()),"Stelvale Valebrook"))</f>
        <v/>
      </c>
      <c r="C206" s="184" t="n">
        <f aca="false">IFERROR(VLOOKUP(A206,Skills!$A:$D,4,FALSE()),"")</f>
        <v>0</v>
      </c>
      <c r="F206" s="186" t="str">
        <f aca="false">IF(OR(E206="",G206=""),"",WORKDAY(E206-1,G206))</f>
        <v/>
      </c>
      <c r="J206" s="0" t="str">
        <f aca="false">IF($A206="","",IF(COUNTIF(Skills!$A:$A,$A206)=0,"⚠ ID absent du roster",""))</f>
        <v/>
      </c>
    </row>
    <row r="207" customFormat="false" ht="15" hidden="true" customHeight="true" outlineLevel="0" collapsed="false">
      <c r="B207" s="183" t="str">
        <f aca="false">IF($A207="","",IFERROR(VLOOKUP($A207,Skills!$A:$C,2,FALSE())&amp;" "&amp;VLOOKUP($A207,Skills!$A:$C,3,FALSE()),"Stelvale Valebrook"))</f>
        <v/>
      </c>
      <c r="C207" s="184" t="n">
        <f aca="false">IFERROR(VLOOKUP(A207,Skills!$A:$D,4,FALSE()),"")</f>
        <v>0</v>
      </c>
      <c r="F207" s="186" t="str">
        <f aca="false">IF(OR(E207="",G207=""),"",WORKDAY(E207-1,G207))</f>
        <v/>
      </c>
      <c r="J207" s="0" t="str">
        <f aca="false">IF($A207="","",IF(COUNTIF(Skills!$A:$A,$A207)=0,"⚠ ID absent du roster",""))</f>
        <v/>
      </c>
    </row>
    <row r="208" customFormat="false" ht="15" hidden="true" customHeight="true" outlineLevel="0" collapsed="false">
      <c r="B208" s="183" t="str">
        <f aca="false">IF($A208="","",IFERROR(VLOOKUP($A208,Skills!$A:$C,2,FALSE())&amp;" "&amp;VLOOKUP($A208,Skills!$A:$C,3,FALSE()),"Stelvale Valebrook"))</f>
        <v/>
      </c>
      <c r="C208" s="184" t="n">
        <f aca="false">IFERROR(VLOOKUP(A208,Skills!$A:$D,4,FALSE()),"")</f>
        <v>0</v>
      </c>
      <c r="F208" s="186" t="str">
        <f aca="false">IF(OR(E208="",G208=""),"",WORKDAY(E208-1,G208))</f>
        <v/>
      </c>
      <c r="J208" s="0" t="str">
        <f aca="false">IF($A208="","",IF(COUNTIF(Skills!$A:$A,$A208)=0,"⚠ ID absent du roster",""))</f>
        <v/>
      </c>
    </row>
    <row r="209" customFormat="false" ht="15" hidden="true" customHeight="true" outlineLevel="0" collapsed="false">
      <c r="B209" s="183" t="str">
        <f aca="false">IF($A209="","",IFERROR(VLOOKUP($A209,Skills!$A:$C,2,FALSE())&amp;" "&amp;VLOOKUP($A209,Skills!$A:$C,3,FALSE()),"Stelvale Valebrook"))</f>
        <v/>
      </c>
      <c r="C209" s="184" t="n">
        <f aca="false">IFERROR(VLOOKUP(A209,Skills!$A:$D,4,FALSE()),"")</f>
        <v>0</v>
      </c>
      <c r="F209" s="186" t="str">
        <f aca="false">IF(OR(E209="",G209=""),"",WORKDAY(E209-1,G209))</f>
        <v/>
      </c>
      <c r="J209" s="0" t="str">
        <f aca="false">IF($A209="","",IF(COUNTIF(Skills!$A:$A,$A209)=0,"⚠ ID absent du roster",""))</f>
        <v/>
      </c>
    </row>
    <row r="210" customFormat="false" ht="15" hidden="true" customHeight="true" outlineLevel="0" collapsed="false">
      <c r="B210" s="183" t="str">
        <f aca="false">IF($A210="","",IFERROR(VLOOKUP($A210,Skills!$A:$C,2,FALSE())&amp;" "&amp;VLOOKUP($A210,Skills!$A:$C,3,FALSE()),"Stelvale Valebrook"))</f>
        <v/>
      </c>
      <c r="C210" s="184" t="n">
        <f aca="false">IFERROR(VLOOKUP(A210,Skills!$A:$D,4,FALSE()),"")</f>
        <v>0</v>
      </c>
      <c r="F210" s="186" t="str">
        <f aca="false">IF(OR(E210="",G210=""),"",WORKDAY(E210-1,G210))</f>
        <v/>
      </c>
      <c r="J210" s="0" t="str">
        <f aca="false">IF($A210="","",IF(COUNTIF(Skills!$A:$A,$A210)=0,"⚠ ID absent du roster",""))</f>
        <v/>
      </c>
    </row>
    <row r="211" customFormat="false" ht="15" hidden="true" customHeight="true" outlineLevel="0" collapsed="false">
      <c r="B211" s="183" t="str">
        <f aca="false">IF($A211="","",IFERROR(VLOOKUP($A211,Skills!$A:$C,2,FALSE())&amp;" "&amp;VLOOKUP($A211,Skills!$A:$C,3,FALSE()),"Stelvale Valebrook"))</f>
        <v/>
      </c>
      <c r="C211" s="184" t="n">
        <f aca="false">IFERROR(VLOOKUP(A211,Skills!$A:$D,4,FALSE()),"")</f>
        <v>0</v>
      </c>
      <c r="F211" s="186" t="str">
        <f aca="false">IF(OR(E211="",G211=""),"",WORKDAY(E211-1,G211))</f>
        <v/>
      </c>
      <c r="J211" s="0" t="str">
        <f aca="false">IF($A211="","",IF(COUNTIF(Skills!$A:$A,$A211)=0,"⚠ ID absent du roster",""))</f>
        <v/>
      </c>
    </row>
    <row r="212" customFormat="false" ht="15" hidden="true" customHeight="true" outlineLevel="0" collapsed="false">
      <c r="B212" s="183" t="str">
        <f aca="false">IF($A212="","",IFERROR(VLOOKUP($A212,Skills!$A:$C,2,FALSE())&amp;" "&amp;VLOOKUP($A212,Skills!$A:$C,3,FALSE()),"Stelvale Valebrook"))</f>
        <v/>
      </c>
      <c r="C212" s="184" t="n">
        <f aca="false">IFERROR(VLOOKUP(A212,Skills!$A:$D,4,FALSE()),"")</f>
        <v>0</v>
      </c>
      <c r="F212" s="186" t="str">
        <f aca="false">IF(OR(E212="",G212=""),"",WORKDAY(E212-1,G212))</f>
        <v/>
      </c>
      <c r="J212" s="0" t="str">
        <f aca="false">IF($A212="","",IF(COUNTIF(Skills!$A:$A,$A212)=0,"⚠ ID absent du roster",""))</f>
        <v/>
      </c>
    </row>
    <row r="213" customFormat="false" ht="15" hidden="true" customHeight="true" outlineLevel="0" collapsed="false">
      <c r="B213" s="183" t="str">
        <f aca="false">IF($A213="","",IFERROR(VLOOKUP($A213,Skills!$A:$C,2,FALSE())&amp;" "&amp;VLOOKUP($A213,Skills!$A:$C,3,FALSE()),"Stelvale Valebrook"))</f>
        <v/>
      </c>
      <c r="C213" s="184" t="n">
        <f aca="false">IFERROR(VLOOKUP(A213,Skills!$A:$D,4,FALSE()),"")</f>
        <v>0</v>
      </c>
      <c r="F213" s="186" t="str">
        <f aca="false">IF(OR(E213="",G213=""),"",WORKDAY(E213-1,G213))</f>
        <v/>
      </c>
      <c r="J213" s="0" t="str">
        <f aca="false">IF($A213="","",IF(COUNTIF(Skills!$A:$A,$A213)=0,"⚠ ID absent du roster",""))</f>
        <v/>
      </c>
    </row>
    <row r="214" customFormat="false" ht="15" hidden="true" customHeight="true" outlineLevel="0" collapsed="false">
      <c r="B214" s="183" t="str">
        <f aca="false">IF($A214="","",IFERROR(VLOOKUP($A214,Skills!$A:$C,2,FALSE())&amp;" "&amp;VLOOKUP($A214,Skills!$A:$C,3,FALSE()),"Stelvale Valebrook"))</f>
        <v/>
      </c>
      <c r="C214" s="184" t="n">
        <f aca="false">IFERROR(VLOOKUP(A214,Skills!$A:$D,4,FALSE()),"")</f>
        <v>0</v>
      </c>
      <c r="F214" s="186" t="str">
        <f aca="false">IF(OR(E214="",G214=""),"",WORKDAY(E214-1,G214))</f>
        <v/>
      </c>
      <c r="J214" s="0" t="str">
        <f aca="false">IF($A214="","",IF(COUNTIF(Skills!$A:$A,$A214)=0,"⚠ ID absent du roster",""))</f>
        <v/>
      </c>
    </row>
    <row r="215" customFormat="false" ht="15" hidden="true" customHeight="true" outlineLevel="0" collapsed="false">
      <c r="B215" s="183" t="str">
        <f aca="false">IF($A215="","",IFERROR(VLOOKUP($A215,Skills!$A:$C,2,FALSE())&amp;" "&amp;VLOOKUP($A215,Skills!$A:$C,3,FALSE()),"Stelvale Valebrook"))</f>
        <v/>
      </c>
      <c r="C215" s="184" t="n">
        <f aca="false">IFERROR(VLOOKUP(A215,Skills!$A:$D,4,FALSE()),"")</f>
        <v>0</v>
      </c>
      <c r="F215" s="186" t="str">
        <f aca="false">IF(OR(E215="",G215=""),"",WORKDAY(E215-1,G215))</f>
        <v/>
      </c>
      <c r="J215" s="0" t="str">
        <f aca="false">IF($A215="","",IF(COUNTIF(Skills!$A:$A,$A215)=0,"⚠ ID absent du roster",""))</f>
        <v/>
      </c>
    </row>
    <row r="216" customFormat="false" ht="15" hidden="true" customHeight="true" outlineLevel="0" collapsed="false">
      <c r="B216" s="183" t="str">
        <f aca="false">IF($A216="","",IFERROR(VLOOKUP($A216,Skills!$A:$C,2,FALSE())&amp;" "&amp;VLOOKUP($A216,Skills!$A:$C,3,FALSE()),"Stelvale Valebrook"))</f>
        <v/>
      </c>
      <c r="C216" s="184" t="n">
        <f aca="false">IFERROR(VLOOKUP(A216,Skills!$A:$D,4,FALSE()),"")</f>
        <v>0</v>
      </c>
      <c r="F216" s="186" t="str">
        <f aca="false">IF(OR(E216="",G216=""),"",WORKDAY(E216-1,G216))</f>
        <v/>
      </c>
      <c r="J216" s="0" t="str">
        <f aca="false">IF($A216="","",IF(COUNTIF(Skills!$A:$A,$A216)=0,"⚠ ID absent du roster",""))</f>
        <v/>
      </c>
    </row>
    <row r="217" customFormat="false" ht="15" hidden="true" customHeight="true" outlineLevel="0" collapsed="false">
      <c r="B217" s="183" t="str">
        <f aca="false">IF($A217="","",IFERROR(VLOOKUP($A217,Skills!$A:$C,2,FALSE())&amp;" "&amp;VLOOKUP($A217,Skills!$A:$C,3,FALSE()),"Stelvale Valebrook"))</f>
        <v/>
      </c>
      <c r="C217" s="184" t="n">
        <f aca="false">IFERROR(VLOOKUP(A217,Skills!$A:$D,4,FALSE()),"")</f>
        <v>0</v>
      </c>
      <c r="F217" s="186" t="str">
        <f aca="false">IF(OR(E217="",G217=""),"",WORKDAY(E217-1,G217))</f>
        <v/>
      </c>
      <c r="J217" s="0" t="str">
        <f aca="false">IF($A217="","",IF(COUNTIF(Skills!$A:$A,$A217)=0,"⚠ ID absent du roster",""))</f>
        <v/>
      </c>
    </row>
    <row r="218" customFormat="false" ht="15" hidden="true" customHeight="true" outlineLevel="0" collapsed="false">
      <c r="B218" s="183" t="str">
        <f aca="false">IF($A218="","",IFERROR(VLOOKUP($A218,Skills!$A:$C,2,FALSE())&amp;" "&amp;VLOOKUP($A218,Skills!$A:$C,3,FALSE()),"Stelvale Valebrook"))</f>
        <v/>
      </c>
      <c r="C218" s="184" t="n">
        <f aca="false">IFERROR(VLOOKUP(A218,Skills!$A:$D,4,FALSE()),"")</f>
        <v>0</v>
      </c>
      <c r="F218" s="186" t="str">
        <f aca="false">IF(OR(E218="",G218=""),"",WORKDAY(E218-1,G218))</f>
        <v/>
      </c>
      <c r="J218" s="0" t="str">
        <f aca="false">IF($A218="","",IF(COUNTIF(Skills!$A:$A,$A218)=0,"⚠ ID absent du roster",""))</f>
        <v/>
      </c>
    </row>
    <row r="219" customFormat="false" ht="15" hidden="true" customHeight="true" outlineLevel="0" collapsed="false">
      <c r="B219" s="183" t="str">
        <f aca="false">IF($A219="","",IFERROR(VLOOKUP($A219,Skills!$A:$C,2,FALSE())&amp;" "&amp;VLOOKUP($A219,Skills!$A:$C,3,FALSE()),"Stelvale Valebrook"))</f>
        <v/>
      </c>
      <c r="C219" s="184" t="n">
        <f aca="false">IFERROR(VLOOKUP(A219,Skills!$A:$D,4,FALSE()),"")</f>
        <v>0</v>
      </c>
      <c r="F219" s="186" t="str">
        <f aca="false">IF(OR(E219="",G219=""),"",WORKDAY(E219-1,G219))</f>
        <v/>
      </c>
      <c r="J219" s="0" t="str">
        <f aca="false">IF($A219="","",IF(COUNTIF(Skills!$A:$A,$A219)=0,"⚠ ID absent du roster",""))</f>
        <v/>
      </c>
    </row>
    <row r="220" customFormat="false" ht="15" hidden="true" customHeight="true" outlineLevel="0" collapsed="false">
      <c r="B220" s="183" t="str">
        <f aca="false">IF($A220="","",IFERROR(VLOOKUP($A220,Skills!$A:$C,2,FALSE())&amp;" "&amp;VLOOKUP($A220,Skills!$A:$C,3,FALSE()),"Stelvale Valebrook"))</f>
        <v/>
      </c>
      <c r="C220" s="184" t="n">
        <f aca="false">IFERROR(VLOOKUP(A220,Skills!$A:$D,4,FALSE()),"")</f>
        <v>0</v>
      </c>
      <c r="F220" s="186" t="str">
        <f aca="false">IF(OR(E220="",G220=""),"",WORKDAY(E220-1,G220))</f>
        <v/>
      </c>
      <c r="J220" s="0" t="str">
        <f aca="false">IF($A220="","",IF(COUNTIF(Skills!$A:$A,$A220)=0,"⚠ ID absent du roster",""))</f>
        <v/>
      </c>
    </row>
    <row r="221" customFormat="false" ht="15" hidden="true" customHeight="true" outlineLevel="0" collapsed="false">
      <c r="B221" s="183" t="str">
        <f aca="false">IF($A221="","",IFERROR(VLOOKUP($A221,Skills!$A:$C,2,FALSE())&amp;" "&amp;VLOOKUP($A221,Skills!$A:$C,3,FALSE()),"Stelvale Valebrook"))</f>
        <v/>
      </c>
      <c r="C221" s="184" t="n">
        <f aca="false">IFERROR(VLOOKUP(A221,Skills!$A:$D,4,FALSE()),"")</f>
        <v>0</v>
      </c>
      <c r="F221" s="186" t="str">
        <f aca="false">IF(OR(E221="",G221=""),"",WORKDAY(E221-1,G221))</f>
        <v/>
      </c>
      <c r="J221" s="0" t="str">
        <f aca="false">IF($A221="","",IF(COUNTIF(Skills!$A:$A,$A221)=0,"⚠ ID absent du roster",""))</f>
        <v/>
      </c>
    </row>
    <row r="222" customFormat="false" ht="15" hidden="true" customHeight="true" outlineLevel="0" collapsed="false">
      <c r="B222" s="183" t="str">
        <f aca="false">IF($A222="","",IFERROR(VLOOKUP($A222,Skills!$A:$C,2,FALSE())&amp;" "&amp;VLOOKUP($A222,Skills!$A:$C,3,FALSE()),"Stelvale Valebrook"))</f>
        <v/>
      </c>
      <c r="C222" s="184" t="n">
        <f aca="false">IFERROR(VLOOKUP(A222,Skills!$A:$D,4,FALSE()),"")</f>
        <v>0</v>
      </c>
      <c r="F222" s="186" t="str">
        <f aca="false">IF(OR(E222="",G222=""),"",WORKDAY(E222-1,G222))</f>
        <v/>
      </c>
      <c r="J222" s="0" t="str">
        <f aca="false">IF($A222="","",IF(COUNTIF(Skills!$A:$A,$A222)=0,"⚠ ID absent du roster",""))</f>
        <v/>
      </c>
    </row>
    <row r="223" customFormat="false" ht="15" hidden="true" customHeight="true" outlineLevel="0" collapsed="false">
      <c r="B223" s="183" t="str">
        <f aca="false">IF($A223="","",IFERROR(VLOOKUP($A223,Skills!$A:$C,2,FALSE())&amp;" "&amp;VLOOKUP($A223,Skills!$A:$C,3,FALSE()),"Stelvale Valebrook"))</f>
        <v/>
      </c>
      <c r="C223" s="184" t="n">
        <f aca="false">IFERROR(VLOOKUP(A223,Skills!$A:$D,4,FALSE()),"")</f>
        <v>0</v>
      </c>
      <c r="F223" s="186" t="str">
        <f aca="false">IF(OR(E223="",G223=""),"",WORKDAY(E223-1,G223))</f>
        <v/>
      </c>
      <c r="J223" s="0" t="str">
        <f aca="false">IF($A223="","",IF(COUNTIF(Skills!$A:$A,$A223)=0,"⚠ ID absent du roster",""))</f>
        <v/>
      </c>
    </row>
    <row r="224" customFormat="false" ht="15" hidden="true" customHeight="true" outlineLevel="0" collapsed="false">
      <c r="B224" s="183" t="str">
        <f aca="false">IF($A224="","",IFERROR(VLOOKUP($A224,Skills!$A:$C,2,FALSE())&amp;" "&amp;VLOOKUP($A224,Skills!$A:$C,3,FALSE()),"Stelvale Valebrook"))</f>
        <v/>
      </c>
      <c r="C224" s="184" t="n">
        <f aca="false">IFERROR(VLOOKUP(A224,Skills!$A:$D,4,FALSE()),"")</f>
        <v>0</v>
      </c>
      <c r="F224" s="186" t="str">
        <f aca="false">IF(OR(E224="",G224=""),"",WORKDAY(E224-1,G224))</f>
        <v/>
      </c>
      <c r="J224" s="0" t="str">
        <f aca="false">IF($A224="","",IF(COUNTIF(Skills!$A:$A,$A224)=0,"⚠ ID absent du roster",""))</f>
        <v/>
      </c>
    </row>
    <row r="225" customFormat="false" ht="15" hidden="true" customHeight="true" outlineLevel="0" collapsed="false">
      <c r="B225" s="183" t="str">
        <f aca="false">IF($A225="","",IFERROR(VLOOKUP($A225,Skills!$A:$C,2,FALSE())&amp;" "&amp;VLOOKUP($A225,Skills!$A:$C,3,FALSE()),"Stelvale Valebrook"))</f>
        <v/>
      </c>
      <c r="C225" s="184" t="n">
        <f aca="false">IFERROR(VLOOKUP(A225,Skills!$A:$D,4,FALSE()),"")</f>
        <v>0</v>
      </c>
      <c r="F225" s="186" t="str">
        <f aca="false">IF(OR(E225="",G225=""),"",WORKDAY(E225-1,G225))</f>
        <v/>
      </c>
      <c r="J225" s="0" t="str">
        <f aca="false">IF($A225="","",IF(COUNTIF(Skills!$A:$A,$A225)=0,"⚠ ID absent du roster",""))</f>
        <v/>
      </c>
    </row>
    <row r="226" customFormat="false" ht="15" hidden="true" customHeight="true" outlineLevel="0" collapsed="false">
      <c r="B226" s="183" t="str">
        <f aca="false">IF($A226="","",IFERROR(VLOOKUP($A226,Skills!$A:$C,2,FALSE())&amp;" "&amp;VLOOKUP($A226,Skills!$A:$C,3,FALSE()),"Stelvale Valebrook"))</f>
        <v/>
      </c>
      <c r="C226" s="184" t="n">
        <f aca="false">IFERROR(VLOOKUP(A226,Skills!$A:$D,4,FALSE()),"")</f>
        <v>0</v>
      </c>
      <c r="F226" s="186" t="str">
        <f aca="false">IF(OR(E226="",G226=""),"",WORKDAY(E226-1,G226))</f>
        <v/>
      </c>
      <c r="J226" s="0" t="str">
        <f aca="false">IF($A226="","",IF(COUNTIF(Skills!$A:$A,$A226)=0,"⚠ ID absent du roster",""))</f>
        <v/>
      </c>
    </row>
    <row r="227" customFormat="false" ht="15" hidden="true" customHeight="true" outlineLevel="0" collapsed="false">
      <c r="B227" s="183" t="str">
        <f aca="false">IF($A227="","",IFERROR(VLOOKUP($A227,Skills!$A:$C,2,FALSE())&amp;" "&amp;VLOOKUP($A227,Skills!$A:$C,3,FALSE()),"Stelvale Valebrook"))</f>
        <v/>
      </c>
      <c r="C227" s="184" t="n">
        <f aca="false">IFERROR(VLOOKUP(A227,Skills!$A:$D,4,FALSE()),"")</f>
        <v>0</v>
      </c>
      <c r="F227" s="186" t="str">
        <f aca="false">IF(OR(E227="",G227=""),"",WORKDAY(E227-1,G227))</f>
        <v/>
      </c>
      <c r="J227" s="0" t="str">
        <f aca="false">IF($A227="","",IF(COUNTIF(Skills!$A:$A,$A227)=0,"⚠ ID absent du roster",""))</f>
        <v/>
      </c>
    </row>
    <row r="228" customFormat="false" ht="15" hidden="true" customHeight="true" outlineLevel="0" collapsed="false">
      <c r="B228" s="183" t="str">
        <f aca="false">IF($A228="","",IFERROR(VLOOKUP($A228,Skills!$A:$C,2,FALSE())&amp;" "&amp;VLOOKUP($A228,Skills!$A:$C,3,FALSE()),"Stelvale Valebrook"))</f>
        <v/>
      </c>
      <c r="C228" s="184" t="n">
        <f aca="false">IFERROR(VLOOKUP(A228,Skills!$A:$D,4,FALSE()),"")</f>
        <v>0</v>
      </c>
      <c r="F228" s="186" t="str">
        <f aca="false">IF(OR(E228="",G228=""),"",WORKDAY(E228-1,G228))</f>
        <v/>
      </c>
      <c r="J228" s="0" t="str">
        <f aca="false">IF($A228="","",IF(COUNTIF(Skills!$A:$A,$A228)=0,"⚠ ID absent du roster",""))</f>
        <v/>
      </c>
    </row>
    <row r="229" customFormat="false" ht="15" hidden="true" customHeight="true" outlineLevel="0" collapsed="false">
      <c r="B229" s="183" t="str">
        <f aca="false">IF($A229="","",IFERROR(VLOOKUP($A229,Skills!$A:$C,2,FALSE())&amp;" "&amp;VLOOKUP($A229,Skills!$A:$C,3,FALSE()),"Stelvale Valebrook"))</f>
        <v/>
      </c>
      <c r="C229" s="184" t="n">
        <f aca="false">IFERROR(VLOOKUP(A229,Skills!$A:$D,4,FALSE()),"")</f>
        <v>0</v>
      </c>
      <c r="F229" s="186" t="str">
        <f aca="false">IF(OR(E229="",G229=""),"",WORKDAY(E229-1,G229))</f>
        <v/>
      </c>
      <c r="J229" s="0" t="str">
        <f aca="false">IF($A229="","",IF(COUNTIF(Skills!$A:$A,$A229)=0,"⚠ ID absent du roster",""))</f>
        <v/>
      </c>
    </row>
    <row r="230" customFormat="false" ht="15" hidden="true" customHeight="true" outlineLevel="0" collapsed="false">
      <c r="B230" s="183" t="str">
        <f aca="false">IF($A230="","",IFERROR(VLOOKUP($A230,Skills!$A:$C,2,FALSE())&amp;" "&amp;VLOOKUP($A230,Skills!$A:$C,3,FALSE()),"Stelvale Valebrook"))</f>
        <v/>
      </c>
      <c r="C230" s="184" t="n">
        <f aca="false">IFERROR(VLOOKUP(A230,Skills!$A:$D,4,FALSE()),"")</f>
        <v>0</v>
      </c>
      <c r="F230" s="186" t="str">
        <f aca="false">IF(OR(E230="",G230=""),"",WORKDAY(E230-1,G230))</f>
        <v/>
      </c>
      <c r="J230" s="0" t="str">
        <f aca="false">IF($A230="","",IF(COUNTIF(Skills!$A:$A,$A230)=0,"⚠ ID absent du roster",""))</f>
        <v/>
      </c>
    </row>
    <row r="231" customFormat="false" ht="15" hidden="true" customHeight="true" outlineLevel="0" collapsed="false">
      <c r="B231" s="183" t="str">
        <f aca="false">IF($A231="","",IFERROR(VLOOKUP($A231,Skills!$A:$C,2,FALSE())&amp;" "&amp;VLOOKUP($A231,Skills!$A:$C,3,FALSE()),"Stelvale Valebrook"))</f>
        <v/>
      </c>
      <c r="C231" s="184" t="n">
        <f aca="false">IFERROR(VLOOKUP(A231,Skills!$A:$D,4,FALSE()),"")</f>
        <v>0</v>
      </c>
      <c r="F231" s="186" t="str">
        <f aca="false">IF(OR(E231="",G231=""),"",WORKDAY(E231-1,G231))</f>
        <v/>
      </c>
      <c r="J231" s="0" t="str">
        <f aca="false">IF($A231="","",IF(COUNTIF(Skills!$A:$A,$A231)=0,"⚠ ID absent du roster",""))</f>
        <v/>
      </c>
    </row>
    <row r="232" customFormat="false" ht="15" hidden="true" customHeight="true" outlineLevel="0" collapsed="false">
      <c r="B232" s="183" t="str">
        <f aca="false">IF($A232="","",IFERROR(VLOOKUP($A232,Skills!$A:$C,2,FALSE())&amp;" "&amp;VLOOKUP($A232,Skills!$A:$C,3,FALSE()),"Stelvale Valebrook"))</f>
        <v/>
      </c>
      <c r="C232" s="184" t="n">
        <f aca="false">IFERROR(VLOOKUP(A232,Skills!$A:$D,4,FALSE()),"")</f>
        <v>0</v>
      </c>
      <c r="F232" s="186" t="str">
        <f aca="false">IF(OR(E232="",G232=""),"",WORKDAY(E232-1,G232))</f>
        <v/>
      </c>
      <c r="J232" s="0" t="str">
        <f aca="false">IF($A232="","",IF(COUNTIF(Skills!$A:$A,$A232)=0,"⚠ ID absent du roster",""))</f>
        <v/>
      </c>
    </row>
    <row r="233" customFormat="false" ht="15" hidden="true" customHeight="true" outlineLevel="0" collapsed="false">
      <c r="B233" s="183" t="str">
        <f aca="false">IF($A233="","",IFERROR(VLOOKUP($A233,Skills!$A:$C,2,FALSE())&amp;" "&amp;VLOOKUP($A233,Skills!$A:$C,3,FALSE()),"Stelvale Valebrook"))</f>
        <v/>
      </c>
      <c r="C233" s="184" t="n">
        <f aca="false">IFERROR(VLOOKUP(A233,Skills!$A:$D,4,FALSE()),"")</f>
        <v>0</v>
      </c>
      <c r="F233" s="186" t="str">
        <f aca="false">IF(OR(E233="",G233=""),"",WORKDAY(E233-1,G233))</f>
        <v/>
      </c>
      <c r="J233" s="0" t="str">
        <f aca="false">IF($A233="","",IF(COUNTIF(Skills!$A:$A,$A233)=0,"⚠ ID absent du roster",""))</f>
        <v/>
      </c>
    </row>
    <row r="234" customFormat="false" ht="15" hidden="true" customHeight="true" outlineLevel="0" collapsed="false">
      <c r="B234" s="183" t="str">
        <f aca="false">IF($A234="","",IFERROR(VLOOKUP($A234,Skills!$A:$C,2,FALSE())&amp;" "&amp;VLOOKUP($A234,Skills!$A:$C,3,FALSE()),"Stelvale Valebrook"))</f>
        <v/>
      </c>
      <c r="C234" s="184" t="n">
        <f aca="false">IFERROR(VLOOKUP(A234,Skills!$A:$D,4,FALSE()),"")</f>
        <v>0</v>
      </c>
      <c r="F234" s="186" t="str">
        <f aca="false">IF(OR(E234="",G234=""),"",WORKDAY(E234-1,G234))</f>
        <v/>
      </c>
      <c r="J234" s="0" t="str">
        <f aca="false">IF($A234="","",IF(COUNTIF(Skills!$A:$A,$A234)=0,"⚠ ID absent du roster",""))</f>
        <v/>
      </c>
    </row>
    <row r="235" customFormat="false" ht="15" hidden="true" customHeight="true" outlineLevel="0" collapsed="false">
      <c r="B235" s="183" t="str">
        <f aca="false">IF($A235="","",IFERROR(VLOOKUP($A235,Skills!$A:$C,2,FALSE())&amp;" "&amp;VLOOKUP($A235,Skills!$A:$C,3,FALSE()),"Stelvale Valebrook"))</f>
        <v/>
      </c>
      <c r="C235" s="184" t="n">
        <f aca="false">IFERROR(VLOOKUP(A235,Skills!$A:$D,4,FALSE()),"")</f>
        <v>0</v>
      </c>
      <c r="F235" s="186" t="str">
        <f aca="false">IF(OR(E235="",G235=""),"",WORKDAY(E235-1,G235))</f>
        <v/>
      </c>
      <c r="J235" s="0" t="str">
        <f aca="false">IF($A235="","",IF(COUNTIF(Skills!$A:$A,$A235)=0,"⚠ ID absent du roster",""))</f>
        <v/>
      </c>
    </row>
    <row r="236" customFormat="false" ht="15" hidden="true" customHeight="true" outlineLevel="0" collapsed="false">
      <c r="B236" s="183" t="str">
        <f aca="false">IF($A236="","",IFERROR(VLOOKUP($A236,Skills!$A:$C,2,FALSE())&amp;" "&amp;VLOOKUP($A236,Skills!$A:$C,3,FALSE()),"Stelvale Valebrook"))</f>
        <v/>
      </c>
      <c r="C236" s="184" t="n">
        <f aca="false">IFERROR(VLOOKUP(A236,Skills!$A:$D,4,FALSE()),"")</f>
        <v>0</v>
      </c>
      <c r="F236" s="186" t="str">
        <f aca="false">IF(OR(E236="",G236=""),"",WORKDAY(E236-1,G236))</f>
        <v/>
      </c>
      <c r="J236" s="0" t="str">
        <f aca="false">IF($A236="","",IF(COUNTIF(Skills!$A:$A,$A236)=0,"⚠ ID absent du roster",""))</f>
        <v/>
      </c>
    </row>
    <row r="237" customFormat="false" ht="15" hidden="true" customHeight="true" outlineLevel="0" collapsed="false">
      <c r="B237" s="183" t="str">
        <f aca="false">IF($A237="","",IFERROR(VLOOKUP($A237,Skills!$A:$C,2,FALSE())&amp;" "&amp;VLOOKUP($A237,Skills!$A:$C,3,FALSE()),"Stelvale Valebrook"))</f>
        <v/>
      </c>
      <c r="C237" s="184" t="n">
        <f aca="false">IFERROR(VLOOKUP(A237,Skills!$A:$D,4,FALSE()),"")</f>
        <v>0</v>
      </c>
      <c r="F237" s="186" t="str">
        <f aca="false">IF(OR(E237="",G237=""),"",WORKDAY(E237-1,G237))</f>
        <v/>
      </c>
      <c r="J237" s="0" t="str">
        <f aca="false">IF($A237="","",IF(COUNTIF(Skills!$A:$A,$A237)=0,"⚠ ID absent du roster",""))</f>
        <v/>
      </c>
    </row>
    <row r="238" customFormat="false" ht="15" hidden="true" customHeight="true" outlineLevel="0" collapsed="false">
      <c r="B238" s="183" t="str">
        <f aca="false">IF($A238="","",IFERROR(VLOOKUP($A238,Skills!$A:$C,2,FALSE())&amp;" "&amp;VLOOKUP($A238,Skills!$A:$C,3,FALSE()),"Stelvale Valebrook"))</f>
        <v/>
      </c>
      <c r="C238" s="184" t="n">
        <f aca="false">IFERROR(VLOOKUP(A238,Skills!$A:$D,4,FALSE()),"")</f>
        <v>0</v>
      </c>
      <c r="F238" s="186" t="str">
        <f aca="false">IF(OR(E238="",G238=""),"",WORKDAY(E238-1,G238))</f>
        <v/>
      </c>
      <c r="J238" s="0" t="str">
        <f aca="false">IF($A238="","",IF(COUNTIF(Skills!$A:$A,$A238)=0,"⚠ ID absent du roster",""))</f>
        <v/>
      </c>
    </row>
    <row r="239" customFormat="false" ht="15" hidden="true" customHeight="true" outlineLevel="0" collapsed="false">
      <c r="B239" s="183" t="str">
        <f aca="false">IF($A239="","",IFERROR(VLOOKUP($A239,Skills!$A:$C,2,FALSE())&amp;" "&amp;VLOOKUP($A239,Skills!$A:$C,3,FALSE()),"Stelvale Valebrook"))</f>
        <v/>
      </c>
      <c r="C239" s="184" t="n">
        <f aca="false">IFERROR(VLOOKUP(A239,Skills!$A:$D,4,FALSE()),"")</f>
        <v>0</v>
      </c>
      <c r="F239" s="186" t="str">
        <f aca="false">IF(OR(E239="",G239=""),"",WORKDAY(E239-1,G239))</f>
        <v/>
      </c>
      <c r="J239" s="0" t="str">
        <f aca="false">IF($A239="","",IF(COUNTIF(Skills!$A:$A,$A239)=0,"⚠ ID absent du roster",""))</f>
        <v/>
      </c>
    </row>
    <row r="240" customFormat="false" ht="15" hidden="true" customHeight="true" outlineLevel="0" collapsed="false">
      <c r="B240" s="183" t="str">
        <f aca="false">IF($A240="","",IFERROR(VLOOKUP($A240,Skills!$A:$C,2,FALSE())&amp;" "&amp;VLOOKUP($A240,Skills!$A:$C,3,FALSE()),"Stelvale Valebrook"))</f>
        <v/>
      </c>
      <c r="C240" s="184" t="n">
        <f aca="false">IFERROR(VLOOKUP(A240,Skills!$A:$D,4,FALSE()),"")</f>
        <v>0</v>
      </c>
      <c r="F240" s="186" t="str">
        <f aca="false">IF(OR(E240="",G240=""),"",WORKDAY(E240-1,G240))</f>
        <v/>
      </c>
      <c r="J240" s="0" t="str">
        <f aca="false">IF($A240="","",IF(COUNTIF(Skills!$A:$A,$A240)=0,"⚠ ID absent du roster",""))</f>
        <v/>
      </c>
    </row>
    <row r="241" customFormat="false" ht="15" hidden="true" customHeight="true" outlineLevel="0" collapsed="false">
      <c r="B241" s="183" t="str">
        <f aca="false">IF($A241="","",IFERROR(VLOOKUP($A241,Skills!$A:$C,2,FALSE())&amp;" "&amp;VLOOKUP($A241,Skills!$A:$C,3,FALSE()),"Stelvale Valebrook"))</f>
        <v/>
      </c>
      <c r="C241" s="184" t="n">
        <f aca="false">IFERROR(VLOOKUP(A241,Skills!$A:$D,4,FALSE()),"")</f>
        <v>0</v>
      </c>
      <c r="F241" s="186" t="str">
        <f aca="false">IF(OR(E241="",G241=""),"",WORKDAY(E241-1,G241))</f>
        <v/>
      </c>
      <c r="J241" s="0" t="str">
        <f aca="false">IF($A241="","",IF(COUNTIF(Skills!$A:$A,$A241)=0,"⚠ ID absent du roster",""))</f>
        <v/>
      </c>
    </row>
    <row r="242" customFormat="false" ht="15" hidden="true" customHeight="true" outlineLevel="0" collapsed="false">
      <c r="B242" s="183" t="str">
        <f aca="false">IF($A242="","",IFERROR(VLOOKUP($A242,Skills!$A:$C,2,FALSE())&amp;" "&amp;VLOOKUP($A242,Skills!$A:$C,3,FALSE()),"Stelvale Valebrook"))</f>
        <v/>
      </c>
      <c r="C242" s="184" t="n">
        <f aca="false">IFERROR(VLOOKUP(A242,Skills!$A:$D,4,FALSE()),"")</f>
        <v>0</v>
      </c>
      <c r="F242" s="186" t="str">
        <f aca="false">IF(OR(E242="",G242=""),"",WORKDAY(E242-1,G242))</f>
        <v/>
      </c>
      <c r="J242" s="0" t="str">
        <f aca="false">IF($A242="","",IF(COUNTIF(Skills!$A:$A,$A242)=0,"⚠ ID absent du roster",""))</f>
        <v/>
      </c>
    </row>
    <row r="243" customFormat="false" ht="15" hidden="true" customHeight="true" outlineLevel="0" collapsed="false">
      <c r="B243" s="183" t="str">
        <f aca="false">IF($A243="","",IFERROR(VLOOKUP($A243,Skills!$A:$C,2,FALSE())&amp;" "&amp;VLOOKUP($A243,Skills!$A:$C,3,FALSE()),"Stelvale Valebrook"))</f>
        <v/>
      </c>
      <c r="C243" s="184" t="n">
        <f aca="false">IFERROR(VLOOKUP(A243,Skills!$A:$D,4,FALSE()),"")</f>
        <v>0</v>
      </c>
      <c r="F243" s="186" t="str">
        <f aca="false">IF(OR(E243="",G243=""),"",WORKDAY(E243-1,G243))</f>
        <v/>
      </c>
      <c r="J243" s="0" t="str">
        <f aca="false">IF($A243="","",IF(COUNTIF(Skills!$A:$A,$A243)=0,"⚠ ID absent du roster",""))</f>
        <v/>
      </c>
    </row>
    <row r="244" customFormat="false" ht="15" hidden="true" customHeight="true" outlineLevel="0" collapsed="false">
      <c r="B244" s="183" t="str">
        <f aca="false">IF($A244="","",IFERROR(VLOOKUP($A244,Skills!$A:$C,2,FALSE())&amp;" "&amp;VLOOKUP($A244,Skills!$A:$C,3,FALSE()),"Stelvale Valebrook"))</f>
        <v/>
      </c>
      <c r="C244" s="184" t="n">
        <f aca="false">IFERROR(VLOOKUP(A244,Skills!$A:$D,4,FALSE()),"")</f>
        <v>0</v>
      </c>
      <c r="F244" s="186" t="str">
        <f aca="false">IF(OR(E244="",G244=""),"",WORKDAY(E244-1,G244))</f>
        <v/>
      </c>
      <c r="J244" s="0" t="str">
        <f aca="false">IF($A244="","",IF(COUNTIF(Skills!$A:$A,$A244)=0,"⚠ ID absent du roster",""))</f>
        <v/>
      </c>
    </row>
    <row r="245" customFormat="false" ht="15" hidden="true" customHeight="true" outlineLevel="0" collapsed="false">
      <c r="B245" s="183" t="str">
        <f aca="false">IF($A245="","",IFERROR(VLOOKUP($A245,Skills!$A:$C,2,FALSE())&amp;" "&amp;VLOOKUP($A245,Skills!$A:$C,3,FALSE()),"Stelvale Valebrook"))</f>
        <v/>
      </c>
      <c r="C245" s="184" t="n">
        <f aca="false">IFERROR(VLOOKUP(A245,Skills!$A:$D,4,FALSE()),"")</f>
        <v>0</v>
      </c>
      <c r="F245" s="186" t="str">
        <f aca="false">IF(OR(E245="",G245=""),"",WORKDAY(E245-1,G245))</f>
        <v/>
      </c>
      <c r="J245" s="0" t="str">
        <f aca="false">IF($A245="","",IF(COUNTIF(Skills!$A:$A,$A245)=0,"⚠ ID absent du roster",""))</f>
        <v/>
      </c>
    </row>
    <row r="246" customFormat="false" ht="15" hidden="true" customHeight="true" outlineLevel="0" collapsed="false">
      <c r="B246" s="183" t="str">
        <f aca="false">IF($A246="","",IFERROR(VLOOKUP($A246,Skills!$A:$C,2,FALSE())&amp;" "&amp;VLOOKUP($A246,Skills!$A:$C,3,FALSE()),"Stelvale Valebrook"))</f>
        <v/>
      </c>
      <c r="C246" s="184" t="n">
        <f aca="false">IFERROR(VLOOKUP(A246,Skills!$A:$D,4,FALSE()),"")</f>
        <v>0</v>
      </c>
      <c r="F246" s="186" t="str">
        <f aca="false">IF(OR(E246="",G246=""),"",WORKDAY(E246-1,G246))</f>
        <v/>
      </c>
      <c r="J246" s="0" t="str">
        <f aca="false">IF($A246="","",IF(COUNTIF(Skills!$A:$A,$A246)=0,"⚠ ID absent du roster",""))</f>
        <v/>
      </c>
    </row>
    <row r="247" customFormat="false" ht="15" hidden="true" customHeight="true" outlineLevel="0" collapsed="false">
      <c r="B247" s="183" t="str">
        <f aca="false">IF($A247="","",IFERROR(VLOOKUP($A247,Skills!$A:$C,2,FALSE())&amp;" "&amp;VLOOKUP($A247,Skills!$A:$C,3,FALSE()),"Stelvale Valebrook"))</f>
        <v/>
      </c>
      <c r="C247" s="184" t="n">
        <f aca="false">IFERROR(VLOOKUP(A247,Skills!$A:$D,4,FALSE()),"")</f>
        <v>0</v>
      </c>
      <c r="F247" s="186" t="str">
        <f aca="false">IF(OR(E247="",G247=""),"",WORKDAY(E247-1,G247))</f>
        <v/>
      </c>
      <c r="J247" s="0" t="str">
        <f aca="false">IF($A247="","",IF(COUNTIF(Skills!$A:$A,$A247)=0,"⚠ ID absent du roster",""))</f>
        <v/>
      </c>
    </row>
    <row r="248" customFormat="false" ht="15" hidden="true" customHeight="true" outlineLevel="0" collapsed="false">
      <c r="B248" s="183" t="str">
        <f aca="false">IF($A248="","",IFERROR(VLOOKUP($A248,Skills!$A:$C,2,FALSE())&amp;" "&amp;VLOOKUP($A248,Skills!$A:$C,3,FALSE()),"Stelvale Valebrook"))</f>
        <v/>
      </c>
      <c r="C248" s="184" t="n">
        <f aca="false">IFERROR(VLOOKUP(A248,Skills!$A:$D,4,FALSE()),"")</f>
        <v>0</v>
      </c>
      <c r="F248" s="186" t="str">
        <f aca="false">IF(OR(E248="",G248=""),"",WORKDAY(E248-1,G248))</f>
        <v/>
      </c>
      <c r="J248" s="0" t="str">
        <f aca="false">IF($A248="","",IF(COUNTIF(Skills!$A:$A,$A248)=0,"⚠ ID absent du roster",""))</f>
        <v/>
      </c>
    </row>
    <row r="249" customFormat="false" ht="15" hidden="true" customHeight="true" outlineLevel="0" collapsed="false">
      <c r="B249" s="183" t="str">
        <f aca="false">IF($A249="","",IFERROR(VLOOKUP($A249,Skills!$A:$C,2,FALSE())&amp;" "&amp;VLOOKUP($A249,Skills!$A:$C,3,FALSE()),"Stelvale Valebrook"))</f>
        <v/>
      </c>
      <c r="C249" s="184" t="n">
        <f aca="false">IFERROR(VLOOKUP(A249,Skills!$A:$D,4,FALSE()),"")</f>
        <v>0</v>
      </c>
      <c r="F249" s="186" t="str">
        <f aca="false">IF(OR(E249="",G249=""),"",WORKDAY(E249-1,G249))</f>
        <v/>
      </c>
      <c r="J249" s="0" t="str">
        <f aca="false">IF($A249="","",IF(COUNTIF(Skills!$A:$A,$A249)=0,"⚠ ID absent du roster",""))</f>
        <v/>
      </c>
    </row>
    <row r="250" customFormat="false" ht="15" hidden="true" customHeight="true" outlineLevel="0" collapsed="false">
      <c r="B250" s="183" t="str">
        <f aca="false">IF($A250="","",IFERROR(VLOOKUP($A250,Skills!$A:$C,2,FALSE())&amp;" "&amp;VLOOKUP($A250,Skills!$A:$C,3,FALSE()),"Stelvale Valebrook"))</f>
        <v/>
      </c>
      <c r="C250" s="184" t="n">
        <f aca="false">IFERROR(VLOOKUP(A250,Skills!$A:$D,4,FALSE()),"")</f>
        <v>0</v>
      </c>
      <c r="F250" s="186" t="str">
        <f aca="false">IF(OR(E250="",G250=""),"",WORKDAY(E250-1,G250))</f>
        <v/>
      </c>
      <c r="J250" s="0" t="str">
        <f aca="false">IF($A250="","",IF(COUNTIF(Skills!$A:$A,$A250)=0,"⚠ ID absent du roster",""))</f>
        <v/>
      </c>
    </row>
    <row r="251" customFormat="false" ht="15" hidden="true" customHeight="true" outlineLevel="0" collapsed="false">
      <c r="B251" s="183" t="str">
        <f aca="false">IF($A251="","",IFERROR(VLOOKUP($A251,Skills!$A:$C,2,FALSE())&amp;" "&amp;VLOOKUP($A251,Skills!$A:$C,3,FALSE()),"Stelvale Valebrook"))</f>
        <v/>
      </c>
      <c r="C251" s="184" t="n">
        <f aca="false">IFERROR(VLOOKUP(A251,Skills!$A:$D,4,FALSE()),"")</f>
        <v>0</v>
      </c>
      <c r="F251" s="186" t="str">
        <f aca="false">IF(OR(E251="",G251=""),"",WORKDAY(E251-1,G251))</f>
        <v/>
      </c>
      <c r="J251" s="0" t="str">
        <f aca="false">IF($A251="","",IF(COUNTIF(Skills!$A:$A,$A251)=0,"⚠ ID absent du roster",""))</f>
        <v/>
      </c>
    </row>
    <row r="252" customFormat="false" ht="15" hidden="true" customHeight="true" outlineLevel="0" collapsed="false">
      <c r="B252" s="183" t="str">
        <f aca="false">IF($A252="","",IFERROR(VLOOKUP($A252,Skills!$A:$C,2,FALSE())&amp;" "&amp;VLOOKUP($A252,Skills!$A:$C,3,FALSE()),"Stelvale Valebrook"))</f>
        <v/>
      </c>
      <c r="C252" s="184" t="n">
        <f aca="false">IFERROR(VLOOKUP(A252,Skills!$A:$D,4,FALSE()),"")</f>
        <v>0</v>
      </c>
      <c r="F252" s="186" t="str">
        <f aca="false">IF(OR(E252="",G252=""),"",WORKDAY(E252-1,G252))</f>
        <v/>
      </c>
      <c r="J252" s="0" t="str">
        <f aca="false">IF($A252="","",IF(COUNTIF(Skills!$A:$A,$A252)=0,"⚠ ID absent du roster",""))</f>
        <v/>
      </c>
    </row>
    <row r="253" customFormat="false" ht="15" hidden="true" customHeight="true" outlineLevel="0" collapsed="false">
      <c r="B253" s="183" t="str">
        <f aca="false">IF($A253="","",IFERROR(VLOOKUP($A253,Skills!$A:$C,2,FALSE())&amp;" "&amp;VLOOKUP($A253,Skills!$A:$C,3,FALSE()),"Stelvale Valebrook"))</f>
        <v/>
      </c>
      <c r="C253" s="184" t="n">
        <f aca="false">IFERROR(VLOOKUP(A253,Skills!$A:$D,4,FALSE()),"")</f>
        <v>0</v>
      </c>
      <c r="F253" s="186" t="str">
        <f aca="false">IF(OR(E253="",G253=""),"",WORKDAY(E253-1,G253))</f>
        <v/>
      </c>
      <c r="J253" s="0" t="str">
        <f aca="false">IF($A253="","",IF(COUNTIF(Skills!$A:$A,$A253)=0,"⚠ ID absent du roster",""))</f>
        <v/>
      </c>
    </row>
    <row r="254" customFormat="false" ht="15" hidden="true" customHeight="true" outlineLevel="0" collapsed="false">
      <c r="B254" s="183" t="str">
        <f aca="false">IF($A254="","",IFERROR(VLOOKUP($A254,Skills!$A:$C,2,FALSE())&amp;" "&amp;VLOOKUP($A254,Skills!$A:$C,3,FALSE()),"Stelvale Valebrook"))</f>
        <v/>
      </c>
      <c r="C254" s="184" t="n">
        <f aca="false">IFERROR(VLOOKUP(A254,Skills!$A:$D,4,FALSE()),"")</f>
        <v>0</v>
      </c>
      <c r="F254" s="186" t="str">
        <f aca="false">IF(OR(E254="",G254=""),"",WORKDAY(E254-1,G254))</f>
        <v/>
      </c>
      <c r="J254" s="0" t="str">
        <f aca="false">IF($A254="","",IF(COUNTIF(Skills!$A:$A,$A254)=0,"⚠ ID absent du roster",""))</f>
        <v/>
      </c>
    </row>
    <row r="255" customFormat="false" ht="15" hidden="true" customHeight="true" outlineLevel="0" collapsed="false">
      <c r="B255" s="183" t="str">
        <f aca="false">IF($A255="","",IFERROR(VLOOKUP($A255,Skills!$A:$C,2,FALSE())&amp;" "&amp;VLOOKUP($A255,Skills!$A:$C,3,FALSE()),"Stelvale Valebrook"))</f>
        <v/>
      </c>
      <c r="C255" s="184" t="n">
        <f aca="false">IFERROR(VLOOKUP(A255,Skills!$A:$D,4,FALSE()),"")</f>
        <v>0</v>
      </c>
      <c r="F255" s="186" t="str">
        <f aca="false">IF(OR(E255="",G255=""),"",WORKDAY(E255-1,G255))</f>
        <v/>
      </c>
      <c r="J255" s="0" t="str">
        <f aca="false">IF($A255="","",IF(COUNTIF(Skills!$A:$A,$A255)=0,"⚠ ID absent du roster",""))</f>
        <v/>
      </c>
    </row>
    <row r="256" customFormat="false" ht="15" hidden="true" customHeight="true" outlineLevel="0" collapsed="false">
      <c r="B256" s="183" t="str">
        <f aca="false">IF($A256="","",IFERROR(VLOOKUP($A256,Skills!$A:$C,2,FALSE())&amp;" "&amp;VLOOKUP($A256,Skills!$A:$C,3,FALSE()),"Stelvale Valebrook"))</f>
        <v/>
      </c>
      <c r="C256" s="184" t="n">
        <f aca="false">IFERROR(VLOOKUP(A256,Skills!$A:$D,4,FALSE()),"")</f>
        <v>0</v>
      </c>
      <c r="F256" s="186" t="str">
        <f aca="false">IF(OR(E256="",G256=""),"",WORKDAY(E256-1,G256))</f>
        <v/>
      </c>
      <c r="J256" s="0" t="str">
        <f aca="false">IF($A256="","",IF(COUNTIF(Skills!$A:$A,$A256)=0,"⚠ ID absent du roster",""))</f>
        <v/>
      </c>
    </row>
    <row r="257" customFormat="false" ht="15" hidden="true" customHeight="true" outlineLevel="0" collapsed="false">
      <c r="B257" s="183" t="str">
        <f aca="false">IF($A257="","",IFERROR(VLOOKUP($A257,Skills!$A:$C,2,FALSE())&amp;" "&amp;VLOOKUP($A257,Skills!$A:$C,3,FALSE()),"Stelvale Valebrook"))</f>
        <v/>
      </c>
      <c r="C257" s="184" t="n">
        <f aca="false">IFERROR(VLOOKUP(A257,Skills!$A:$D,4,FALSE()),"")</f>
        <v>0</v>
      </c>
      <c r="F257" s="186" t="str">
        <f aca="false">IF(OR(E257="",G257=""),"",WORKDAY(E257-1,G257))</f>
        <v/>
      </c>
      <c r="J257" s="0" t="str">
        <f aca="false">IF($A257="","",IF(COUNTIF(Skills!$A:$A,$A257)=0,"⚠ ID absent du roster",""))</f>
        <v/>
      </c>
    </row>
    <row r="258" customFormat="false" ht="15" hidden="true" customHeight="true" outlineLevel="0" collapsed="false">
      <c r="B258" s="183" t="str">
        <f aca="false">IF($A258="","",IFERROR(VLOOKUP($A258,Skills!$A:$C,2,FALSE())&amp;" "&amp;VLOOKUP($A258,Skills!$A:$C,3,FALSE()),"Stelvale Valebrook"))</f>
        <v/>
      </c>
      <c r="C258" s="184" t="n">
        <f aca="false">IFERROR(VLOOKUP(A258,Skills!$A:$D,4,FALSE()),"")</f>
        <v>0</v>
      </c>
      <c r="F258" s="186" t="str">
        <f aca="false">IF(OR(E258="",G258=""),"",WORKDAY(E258-1,G258))</f>
        <v/>
      </c>
      <c r="J258" s="0" t="str">
        <f aca="false">IF($A258="","",IF(COUNTIF(Skills!$A:$A,$A258)=0,"⚠ ID absent du roster",""))</f>
        <v/>
      </c>
    </row>
    <row r="259" customFormat="false" ht="15" hidden="true" customHeight="true" outlineLevel="0" collapsed="false">
      <c r="B259" s="183" t="str">
        <f aca="false">IF($A259="","",IFERROR(VLOOKUP($A259,Skills!$A:$C,2,FALSE())&amp;" "&amp;VLOOKUP($A259,Skills!$A:$C,3,FALSE()),"Stelvale Valebrook"))</f>
        <v/>
      </c>
      <c r="C259" s="184" t="n">
        <f aca="false">IFERROR(VLOOKUP(A259,Skills!$A:$D,4,FALSE()),"")</f>
        <v>0</v>
      </c>
      <c r="F259" s="186" t="str">
        <f aca="false">IF(OR(E259="",G259=""),"",WORKDAY(E259-1,G259))</f>
        <v/>
      </c>
      <c r="J259" s="0" t="str">
        <f aca="false">IF($A259="","",IF(COUNTIF(Skills!$A:$A,$A259)=0,"⚠ ID absent du roster",""))</f>
        <v/>
      </c>
    </row>
    <row r="260" customFormat="false" ht="15" hidden="true" customHeight="true" outlineLevel="0" collapsed="false">
      <c r="B260" s="183" t="str">
        <f aca="false">IF($A260="","",IFERROR(VLOOKUP($A260,Skills!$A:$C,2,FALSE())&amp;" "&amp;VLOOKUP($A260,Skills!$A:$C,3,FALSE()),"Stelvale Valebrook"))</f>
        <v/>
      </c>
      <c r="C260" s="184" t="n">
        <f aca="false">IFERROR(VLOOKUP(A260,Skills!$A:$D,4,FALSE()),"")</f>
        <v>0</v>
      </c>
      <c r="F260" s="186" t="str">
        <f aca="false">IF(OR(E260="",G260=""),"",WORKDAY(E260-1,G260))</f>
        <v/>
      </c>
      <c r="J260" s="0" t="str">
        <f aca="false">IF($A260="","",IF(COUNTIF(Skills!$A:$A,$A260)=0,"⚠ ID absent du roster",""))</f>
        <v/>
      </c>
    </row>
    <row r="261" customFormat="false" ht="15" hidden="true" customHeight="true" outlineLevel="0" collapsed="false">
      <c r="B261" s="183" t="str">
        <f aca="false">IF($A261="","",IFERROR(VLOOKUP($A261,Skills!$A:$C,2,FALSE())&amp;" "&amp;VLOOKUP($A261,Skills!$A:$C,3,FALSE()),"Stelvale Valebrook"))</f>
        <v/>
      </c>
      <c r="C261" s="184" t="n">
        <f aca="false">IFERROR(VLOOKUP(A261,Skills!$A:$D,4,FALSE()),"")</f>
        <v>0</v>
      </c>
      <c r="F261" s="186" t="str">
        <f aca="false">IF(OR(E261="",G261=""),"",WORKDAY(E261-1,G261))</f>
        <v/>
      </c>
      <c r="J261" s="0" t="str">
        <f aca="false">IF($A261="","",IF(COUNTIF(Skills!$A:$A,$A261)=0,"⚠ ID absent du roster",""))</f>
        <v/>
      </c>
    </row>
    <row r="262" customFormat="false" ht="15" hidden="true" customHeight="true" outlineLevel="0" collapsed="false">
      <c r="B262" s="183" t="str">
        <f aca="false">IF($A262="","",IFERROR(VLOOKUP($A262,Skills!$A:$C,2,FALSE())&amp;" "&amp;VLOOKUP($A262,Skills!$A:$C,3,FALSE()),"Stelvale Valebrook"))</f>
        <v/>
      </c>
      <c r="C262" s="184" t="n">
        <f aca="false">IFERROR(VLOOKUP(A262,Skills!$A:$D,4,FALSE()),"")</f>
        <v>0</v>
      </c>
      <c r="F262" s="186" t="str">
        <f aca="false">IF(OR(E262="",G262=""),"",WORKDAY(E262-1,G262))</f>
        <v/>
      </c>
      <c r="J262" s="0" t="str">
        <f aca="false">IF($A262="","",IF(COUNTIF(Skills!$A:$A,$A262)=0,"⚠ ID absent du roster",""))</f>
        <v/>
      </c>
    </row>
    <row r="263" customFormat="false" ht="15" hidden="true" customHeight="true" outlineLevel="0" collapsed="false">
      <c r="B263" s="183" t="str">
        <f aca="false">IF($A263="","",IFERROR(VLOOKUP($A263,Skills!$A:$C,2,FALSE())&amp;" "&amp;VLOOKUP($A263,Skills!$A:$C,3,FALSE()),"Stelvale Valebrook"))</f>
        <v/>
      </c>
      <c r="C263" s="184" t="n">
        <f aca="false">IFERROR(VLOOKUP(A263,Skills!$A:$D,4,FALSE()),"")</f>
        <v>0</v>
      </c>
      <c r="F263" s="186" t="str">
        <f aca="false">IF(OR(E263="",G263=""),"",WORKDAY(E263-1,G263))</f>
        <v/>
      </c>
      <c r="J263" s="0" t="str">
        <f aca="false">IF($A263="","",IF(COUNTIF(Skills!$A:$A,$A263)=0,"⚠ ID absent du roster",""))</f>
        <v/>
      </c>
    </row>
    <row r="264" customFormat="false" ht="15" hidden="true" customHeight="true" outlineLevel="0" collapsed="false">
      <c r="B264" s="183" t="str">
        <f aca="false">IF($A264="","",IFERROR(VLOOKUP($A264,Skills!$A:$C,2,FALSE())&amp;" "&amp;VLOOKUP($A264,Skills!$A:$C,3,FALSE()),"Stelvale Valebrook"))</f>
        <v/>
      </c>
      <c r="C264" s="184" t="n">
        <f aca="false">IFERROR(VLOOKUP(A264,Skills!$A:$D,4,FALSE()),"")</f>
        <v>0</v>
      </c>
      <c r="F264" s="186" t="str">
        <f aca="false">IF(OR(E264="",G264=""),"",WORKDAY(E264-1,G264))</f>
        <v/>
      </c>
      <c r="J264" s="0" t="str">
        <f aca="false">IF($A264="","",IF(COUNTIF(Skills!$A:$A,$A264)=0,"⚠ ID absent du roster",""))</f>
        <v/>
      </c>
    </row>
    <row r="265" customFormat="false" ht="15" hidden="true" customHeight="true" outlineLevel="0" collapsed="false">
      <c r="B265" s="183" t="str">
        <f aca="false">IF($A265="","",IFERROR(VLOOKUP($A265,Skills!$A:$C,2,FALSE())&amp;" "&amp;VLOOKUP($A265,Skills!$A:$C,3,FALSE()),"Stelvale Valebrook"))</f>
        <v/>
      </c>
      <c r="C265" s="184" t="n">
        <f aca="false">IFERROR(VLOOKUP(A265,Skills!$A:$D,4,FALSE()),"")</f>
        <v>0</v>
      </c>
      <c r="F265" s="186" t="str">
        <f aca="false">IF(OR(E265="",G265=""),"",WORKDAY(E265-1,G265))</f>
        <v/>
      </c>
      <c r="J265" s="0" t="str">
        <f aca="false">IF($A265="","",IF(COUNTIF(Skills!$A:$A,$A265)=0,"⚠ ID absent du roster",""))</f>
        <v/>
      </c>
    </row>
    <row r="266" customFormat="false" ht="15" hidden="true" customHeight="true" outlineLevel="0" collapsed="false">
      <c r="B266" s="183" t="str">
        <f aca="false">IF($A266="","",IFERROR(VLOOKUP($A266,Skills!$A:$C,2,FALSE())&amp;" "&amp;VLOOKUP($A266,Skills!$A:$C,3,FALSE()),"Stelvale Valebrook"))</f>
        <v/>
      </c>
      <c r="C266" s="184" t="n">
        <f aca="false">IFERROR(VLOOKUP(A266,Skills!$A:$D,4,FALSE()),"")</f>
        <v>0</v>
      </c>
      <c r="F266" s="186" t="str">
        <f aca="false">IF(OR(E266="",G266=""),"",WORKDAY(E266-1,G266))</f>
        <v/>
      </c>
      <c r="J266" s="0" t="str">
        <f aca="false">IF($A266="","",IF(COUNTIF(Skills!$A:$A,$A266)=0,"⚠ ID absent du roster",""))</f>
        <v/>
      </c>
    </row>
    <row r="267" customFormat="false" ht="15" hidden="true" customHeight="true" outlineLevel="0" collapsed="false">
      <c r="B267" s="183" t="str">
        <f aca="false">IF($A267="","",IFERROR(VLOOKUP($A267,Skills!$A:$C,2,FALSE())&amp;" "&amp;VLOOKUP($A267,Skills!$A:$C,3,FALSE()),"Stelvale Valebrook"))</f>
        <v/>
      </c>
      <c r="C267" s="184" t="n">
        <f aca="false">IFERROR(VLOOKUP(A267,Skills!$A:$D,4,FALSE()),"")</f>
        <v>0</v>
      </c>
      <c r="F267" s="186" t="str">
        <f aca="false">IF(OR(E267="",G267=""),"",WORKDAY(E267-1,G267))</f>
        <v/>
      </c>
      <c r="J267" s="0" t="str">
        <f aca="false">IF($A267="","",IF(COUNTIF(Skills!$A:$A,$A267)=0,"⚠ ID absent du roster",""))</f>
        <v/>
      </c>
    </row>
    <row r="268" customFormat="false" ht="15" hidden="true" customHeight="true" outlineLevel="0" collapsed="false">
      <c r="B268" s="183" t="str">
        <f aca="false">IF($A268="","",IFERROR(VLOOKUP($A268,Skills!$A:$C,2,FALSE())&amp;" "&amp;VLOOKUP($A268,Skills!$A:$C,3,FALSE()),"Stelvale Valebrook"))</f>
        <v/>
      </c>
      <c r="C268" s="184" t="n">
        <f aca="false">IFERROR(VLOOKUP(A268,Skills!$A:$D,4,FALSE()),"")</f>
        <v>0</v>
      </c>
      <c r="F268" s="186" t="str">
        <f aca="false">IF(OR(E268="",G268=""),"",WORKDAY(E268-1,G268))</f>
        <v/>
      </c>
      <c r="J268" s="0" t="str">
        <f aca="false">IF($A268="","",IF(COUNTIF(Skills!$A:$A,$A268)=0,"⚠ ID absent du roster",""))</f>
        <v/>
      </c>
    </row>
    <row r="269" customFormat="false" ht="15" hidden="true" customHeight="true" outlineLevel="0" collapsed="false">
      <c r="B269" s="183" t="str">
        <f aca="false">IF($A269="","",IFERROR(VLOOKUP($A269,Skills!$A:$C,2,FALSE())&amp;" "&amp;VLOOKUP($A269,Skills!$A:$C,3,FALSE()),"Stelvale Valebrook"))</f>
        <v/>
      </c>
      <c r="C269" s="184" t="n">
        <f aca="false">IFERROR(VLOOKUP(A269,Skills!$A:$D,4,FALSE()),"")</f>
        <v>0</v>
      </c>
      <c r="F269" s="186" t="str">
        <f aca="false">IF(OR(E269="",G269=""),"",WORKDAY(E269-1,G269))</f>
        <v/>
      </c>
      <c r="J269" s="0" t="str">
        <f aca="false">IF($A269="","",IF(COUNTIF(Skills!$A:$A,$A269)=0,"⚠ ID absent du roster",""))</f>
        <v/>
      </c>
    </row>
    <row r="270" customFormat="false" ht="15" hidden="true" customHeight="true" outlineLevel="0" collapsed="false">
      <c r="B270" s="183" t="str">
        <f aca="false">IF($A270="","",IFERROR(VLOOKUP($A270,Skills!$A:$C,2,FALSE())&amp;" "&amp;VLOOKUP($A270,Skills!$A:$C,3,FALSE()),"Stelvale Valebrook"))</f>
        <v/>
      </c>
      <c r="C270" s="184" t="n">
        <f aca="false">IFERROR(VLOOKUP(A270,Skills!$A:$D,4,FALSE()),"")</f>
        <v>0</v>
      </c>
      <c r="F270" s="186" t="str">
        <f aca="false">IF(OR(E270="",G270=""),"",WORKDAY(E270-1,G270))</f>
        <v/>
      </c>
      <c r="J270" s="0" t="str">
        <f aca="false">IF($A270="","",IF(COUNTIF(Skills!$A:$A,$A270)=0,"⚠ ID absent du roster",""))</f>
        <v/>
      </c>
    </row>
    <row r="271" customFormat="false" ht="15" hidden="true" customHeight="true" outlineLevel="0" collapsed="false">
      <c r="B271" s="183" t="str">
        <f aca="false">IF($A271="","",IFERROR(VLOOKUP($A271,Skills!$A:$C,2,FALSE())&amp;" "&amp;VLOOKUP($A271,Skills!$A:$C,3,FALSE()),"Stelvale Valebrook"))</f>
        <v/>
      </c>
      <c r="C271" s="184" t="n">
        <f aca="false">IFERROR(VLOOKUP(A271,Skills!$A:$D,4,FALSE()),"")</f>
        <v>0</v>
      </c>
      <c r="F271" s="186" t="str">
        <f aca="false">IF(OR(E271="",G271=""),"",WORKDAY(E271-1,G271))</f>
        <v/>
      </c>
      <c r="J271" s="0" t="str">
        <f aca="false">IF($A271="","",IF(COUNTIF(Skills!$A:$A,$A271)=0,"⚠ ID absent du roster",""))</f>
        <v/>
      </c>
    </row>
    <row r="272" customFormat="false" ht="15" hidden="true" customHeight="true" outlineLevel="0" collapsed="false">
      <c r="B272" s="183" t="str">
        <f aca="false">IF($A272="","",IFERROR(VLOOKUP($A272,Skills!$A:$C,2,FALSE())&amp;" "&amp;VLOOKUP($A272,Skills!$A:$C,3,FALSE()),"Stelvale Valebrook"))</f>
        <v/>
      </c>
      <c r="C272" s="184" t="n">
        <f aca="false">IFERROR(VLOOKUP(A272,Skills!$A:$D,4,FALSE()),"")</f>
        <v>0</v>
      </c>
      <c r="F272" s="186" t="str">
        <f aca="false">IF(OR(E272="",G272=""),"",WORKDAY(E272-1,G272))</f>
        <v/>
      </c>
      <c r="J272" s="0" t="str">
        <f aca="false">IF($A272="","",IF(COUNTIF(Skills!$A:$A,$A272)=0,"⚠ ID absent du roster",""))</f>
        <v/>
      </c>
    </row>
    <row r="273" customFormat="false" ht="15" hidden="true" customHeight="true" outlineLevel="0" collapsed="false">
      <c r="B273" s="183" t="str">
        <f aca="false">IF($A273="","",IFERROR(VLOOKUP($A273,Skills!$A:$C,2,FALSE())&amp;" "&amp;VLOOKUP($A273,Skills!$A:$C,3,FALSE()),"Stelvale Valebrook"))</f>
        <v/>
      </c>
      <c r="C273" s="184" t="n">
        <f aca="false">IFERROR(VLOOKUP(A273,Skills!$A:$D,4,FALSE()),"")</f>
        <v>0</v>
      </c>
      <c r="F273" s="186" t="str">
        <f aca="false">IF(OR(E273="",G273=""),"",WORKDAY(E273-1,G273))</f>
        <v/>
      </c>
      <c r="J273" s="0" t="str">
        <f aca="false">IF($A273="","",IF(COUNTIF(Skills!$A:$A,$A273)=0,"⚠ ID absent du roster",""))</f>
        <v/>
      </c>
    </row>
    <row r="274" customFormat="false" ht="15" hidden="true" customHeight="true" outlineLevel="0" collapsed="false">
      <c r="B274" s="183" t="str">
        <f aca="false">IF($A274="","",IFERROR(VLOOKUP($A274,Skills!$A:$C,2,FALSE())&amp;" "&amp;VLOOKUP($A274,Skills!$A:$C,3,FALSE()),"Stelvale Valebrook"))</f>
        <v/>
      </c>
      <c r="C274" s="184" t="n">
        <f aca="false">IFERROR(VLOOKUP(A274,Skills!$A:$D,4,FALSE()),"")</f>
        <v>0</v>
      </c>
      <c r="F274" s="186" t="str">
        <f aca="false">IF(OR(E274="",G274=""),"",WORKDAY(E274-1,G274))</f>
        <v/>
      </c>
      <c r="J274" s="0" t="str">
        <f aca="false">IF($A274="","",IF(COUNTIF(Skills!$A:$A,$A274)=0,"⚠ ID absent du roster",""))</f>
        <v/>
      </c>
    </row>
    <row r="275" customFormat="false" ht="15" hidden="true" customHeight="true" outlineLevel="0" collapsed="false">
      <c r="B275" s="183" t="str">
        <f aca="false">IF($A275="","",IFERROR(VLOOKUP($A275,Skills!$A:$C,2,FALSE())&amp;" "&amp;VLOOKUP($A275,Skills!$A:$C,3,FALSE()),"Stelvale Valebrook"))</f>
        <v/>
      </c>
      <c r="C275" s="184" t="n">
        <f aca="false">IFERROR(VLOOKUP(A275,Skills!$A:$D,4,FALSE()),"")</f>
        <v>0</v>
      </c>
      <c r="F275" s="186" t="str">
        <f aca="false">IF(OR(E275="",G275=""),"",WORKDAY(E275-1,G275))</f>
        <v/>
      </c>
      <c r="J275" s="0" t="str">
        <f aca="false">IF($A275="","",IF(COUNTIF(Skills!$A:$A,$A275)=0,"⚠ ID absent du roster",""))</f>
        <v/>
      </c>
    </row>
    <row r="276" customFormat="false" ht="15" hidden="true" customHeight="true" outlineLevel="0" collapsed="false">
      <c r="B276" s="183" t="str">
        <f aca="false">IF($A276="","",IFERROR(VLOOKUP($A276,Skills!$A:$C,2,FALSE())&amp;" "&amp;VLOOKUP($A276,Skills!$A:$C,3,FALSE()),"Stelvale Valebrook"))</f>
        <v/>
      </c>
      <c r="C276" s="184" t="n">
        <f aca="false">IFERROR(VLOOKUP(A276,Skills!$A:$D,4,FALSE()),"")</f>
        <v>0</v>
      </c>
      <c r="F276" s="186" t="str">
        <f aca="false">IF(OR(E276="",G276=""),"",WORKDAY(E276-1,G276))</f>
        <v/>
      </c>
      <c r="J276" s="0" t="str">
        <f aca="false">IF($A276="","",IF(COUNTIF(Skills!$A:$A,$A276)=0,"⚠ ID absent du roster",""))</f>
        <v/>
      </c>
    </row>
    <row r="277" customFormat="false" ht="15" hidden="true" customHeight="true" outlineLevel="0" collapsed="false">
      <c r="B277" s="183" t="str">
        <f aca="false">IF($A277="","",IFERROR(VLOOKUP($A277,Skills!$A:$C,2,FALSE())&amp;" "&amp;VLOOKUP($A277,Skills!$A:$C,3,FALSE()),"Stelvale Valebrook"))</f>
        <v/>
      </c>
      <c r="C277" s="184" t="n">
        <f aca="false">IFERROR(VLOOKUP(A277,Skills!$A:$D,4,FALSE()),"")</f>
        <v>0</v>
      </c>
      <c r="F277" s="186" t="str">
        <f aca="false">IF(OR(E277="",G277=""),"",WORKDAY(E277-1,G277))</f>
        <v/>
      </c>
      <c r="J277" s="0" t="str">
        <f aca="false">IF($A277="","",IF(COUNTIF(Skills!$A:$A,$A277)=0,"⚠ ID absent du roster",""))</f>
        <v/>
      </c>
    </row>
    <row r="278" customFormat="false" ht="15" hidden="true" customHeight="true" outlineLevel="0" collapsed="false">
      <c r="B278" s="183" t="str">
        <f aca="false">IF($A278="","",IFERROR(VLOOKUP($A278,Skills!$A:$C,2,FALSE())&amp;" "&amp;VLOOKUP($A278,Skills!$A:$C,3,FALSE()),"Stelvale Valebrook"))</f>
        <v/>
      </c>
      <c r="C278" s="184" t="n">
        <f aca="false">IFERROR(VLOOKUP(A278,Skills!$A:$D,4,FALSE()),"")</f>
        <v>0</v>
      </c>
      <c r="F278" s="186" t="str">
        <f aca="false">IF(OR(E278="",G278=""),"",WORKDAY(E278-1,G278))</f>
        <v/>
      </c>
      <c r="J278" s="0" t="str">
        <f aca="false">IF($A278="","",IF(COUNTIF(Skills!$A:$A,$A278)=0,"⚠ ID absent du roster",""))</f>
        <v/>
      </c>
    </row>
    <row r="279" customFormat="false" ht="15" hidden="true" customHeight="true" outlineLevel="0" collapsed="false">
      <c r="B279" s="183" t="str">
        <f aca="false">IF($A279="","",IFERROR(VLOOKUP($A279,Skills!$A:$C,2,FALSE())&amp;" "&amp;VLOOKUP($A279,Skills!$A:$C,3,FALSE()),"Stelvale Valebrook"))</f>
        <v/>
      </c>
      <c r="C279" s="184" t="n">
        <f aca="false">IFERROR(VLOOKUP(A279,Skills!$A:$D,4,FALSE()),"")</f>
        <v>0</v>
      </c>
      <c r="F279" s="186" t="str">
        <f aca="false">IF(OR(E279="",G279=""),"",WORKDAY(E279-1,G279))</f>
        <v/>
      </c>
      <c r="J279" s="0" t="str">
        <f aca="false">IF($A279="","",IF(COUNTIF(Skills!$A:$A,$A279)=0,"⚠ ID absent du roster",""))</f>
        <v/>
      </c>
    </row>
    <row r="280" customFormat="false" ht="15" hidden="true" customHeight="true" outlineLevel="0" collapsed="false">
      <c r="B280" s="183" t="str">
        <f aca="false">IF($A280="","",IFERROR(VLOOKUP($A280,Skills!$A:$C,2,FALSE())&amp;" "&amp;VLOOKUP($A280,Skills!$A:$C,3,FALSE()),"Stelvale Valebrook"))</f>
        <v/>
      </c>
      <c r="C280" s="184" t="n">
        <f aca="false">IFERROR(VLOOKUP(A280,Skills!$A:$D,4,FALSE()),"")</f>
        <v>0</v>
      </c>
      <c r="F280" s="186" t="str">
        <f aca="false">IF(OR(E280="",G280=""),"",WORKDAY(E280-1,G280))</f>
        <v/>
      </c>
      <c r="J280" s="0" t="str">
        <f aca="false">IF($A280="","",IF(COUNTIF(Skills!$A:$A,$A280)=0,"⚠ ID absent du roster",""))</f>
        <v/>
      </c>
    </row>
    <row r="281" customFormat="false" ht="15" hidden="true" customHeight="true" outlineLevel="0" collapsed="false">
      <c r="B281" s="183" t="str">
        <f aca="false">IF($A281="","",IFERROR(VLOOKUP($A281,Skills!$A:$C,2,FALSE())&amp;" "&amp;VLOOKUP($A281,Skills!$A:$C,3,FALSE()),"Stelvale Valebrook"))</f>
        <v/>
      </c>
      <c r="C281" s="184" t="n">
        <f aca="false">IFERROR(VLOOKUP(A281,Skills!$A:$D,4,FALSE()),"")</f>
        <v>0</v>
      </c>
      <c r="F281" s="186" t="str">
        <f aca="false">IF(OR(E281="",G281=""),"",WORKDAY(E281-1,G281))</f>
        <v/>
      </c>
      <c r="J281" s="0" t="str">
        <f aca="false">IF($A281="","",IF(COUNTIF(Skills!$A:$A,$A281)=0,"⚠ ID absent du roster",""))</f>
        <v/>
      </c>
    </row>
    <row r="282" customFormat="false" ht="15" hidden="true" customHeight="true" outlineLevel="0" collapsed="false">
      <c r="B282" s="183" t="str">
        <f aca="false">IF($A282="","",IFERROR(VLOOKUP($A282,Skills!$A:$C,2,FALSE())&amp;" "&amp;VLOOKUP($A282,Skills!$A:$C,3,FALSE()),"Stelvale Valebrook"))</f>
        <v/>
      </c>
      <c r="C282" s="184" t="n">
        <f aca="false">IFERROR(VLOOKUP(A282,Skills!$A:$D,4,FALSE()),"")</f>
        <v>0</v>
      </c>
      <c r="F282" s="186" t="str">
        <f aca="false">IF(OR(E282="",G282=""),"",WORKDAY(E282-1,G282))</f>
        <v/>
      </c>
      <c r="J282" s="0" t="str">
        <f aca="false">IF($A282="","",IF(COUNTIF(Skills!$A:$A,$A282)=0,"⚠ ID absent du roster",""))</f>
        <v/>
      </c>
    </row>
    <row r="283" customFormat="false" ht="15" hidden="true" customHeight="true" outlineLevel="0" collapsed="false">
      <c r="B283" s="183" t="str">
        <f aca="false">IF($A283="","",IFERROR(VLOOKUP($A283,Skills!$A:$C,2,FALSE())&amp;" "&amp;VLOOKUP($A283,Skills!$A:$C,3,FALSE()),"Stelvale Valebrook"))</f>
        <v/>
      </c>
      <c r="C283" s="184" t="n">
        <f aca="false">IFERROR(VLOOKUP(A283,Skills!$A:$D,4,FALSE()),"")</f>
        <v>0</v>
      </c>
      <c r="F283" s="186" t="str">
        <f aca="false">IF(OR(E283="",G283=""),"",WORKDAY(E283-1,G283))</f>
        <v/>
      </c>
      <c r="J283" s="0" t="str">
        <f aca="false">IF($A283="","",IF(COUNTIF(Skills!$A:$A,$A283)=0,"⚠ ID absent du roster",""))</f>
        <v/>
      </c>
    </row>
    <row r="284" customFormat="false" ht="15" hidden="true" customHeight="true" outlineLevel="0" collapsed="false">
      <c r="B284" s="183" t="str">
        <f aca="false">IF($A284="","",IFERROR(VLOOKUP($A284,Skills!$A:$C,2,FALSE())&amp;" "&amp;VLOOKUP($A284,Skills!$A:$C,3,FALSE()),"Stelvale Valebrook"))</f>
        <v/>
      </c>
      <c r="C284" s="184" t="n">
        <f aca="false">IFERROR(VLOOKUP(A284,Skills!$A:$D,4,FALSE()),"")</f>
        <v>0</v>
      </c>
      <c r="F284" s="186" t="str">
        <f aca="false">IF(OR(E284="",G284=""),"",WORKDAY(E284-1,G284))</f>
        <v/>
      </c>
      <c r="J284" s="0" t="str">
        <f aca="false">IF($A284="","",IF(COUNTIF(Skills!$A:$A,$A284)=0,"⚠ ID absent du roster",""))</f>
        <v/>
      </c>
    </row>
    <row r="285" customFormat="false" ht="15" hidden="true" customHeight="true" outlineLevel="0" collapsed="false">
      <c r="B285" s="183" t="str">
        <f aca="false">IF($A285="","",IFERROR(VLOOKUP($A285,Skills!$A:$C,2,FALSE())&amp;" "&amp;VLOOKUP($A285,Skills!$A:$C,3,FALSE()),"Stelvale Valebrook"))</f>
        <v/>
      </c>
      <c r="C285" s="184" t="n">
        <f aca="false">IFERROR(VLOOKUP(A285,Skills!$A:$D,4,FALSE()),"")</f>
        <v>0</v>
      </c>
      <c r="F285" s="186" t="str">
        <f aca="false">IF(OR(E285="",G285=""),"",WORKDAY(E285-1,G285))</f>
        <v/>
      </c>
      <c r="J285" s="0" t="str">
        <f aca="false">IF($A285="","",IF(COUNTIF(Skills!$A:$A,$A285)=0,"⚠ ID absent du roster",""))</f>
        <v/>
      </c>
    </row>
    <row r="286" customFormat="false" ht="15" hidden="true" customHeight="true" outlineLevel="0" collapsed="false">
      <c r="B286" s="183" t="str">
        <f aca="false">IF($A286="","",IFERROR(VLOOKUP($A286,Skills!$A:$C,2,FALSE())&amp;" "&amp;VLOOKUP($A286,Skills!$A:$C,3,FALSE()),"Stelvale Valebrook"))</f>
        <v/>
      </c>
      <c r="C286" s="184" t="n">
        <f aca="false">IFERROR(VLOOKUP(A286,Skills!$A:$D,4,FALSE()),"")</f>
        <v>0</v>
      </c>
      <c r="F286" s="186" t="str">
        <f aca="false">IF(OR(E286="",G286=""),"",WORKDAY(E286-1,G286))</f>
        <v/>
      </c>
      <c r="J286" s="0" t="str">
        <f aca="false">IF($A286="","",IF(COUNTIF(Skills!$A:$A,$A286)=0,"⚠ ID absent du roster",""))</f>
        <v/>
      </c>
    </row>
    <row r="287" customFormat="false" ht="15" hidden="true" customHeight="true" outlineLevel="0" collapsed="false">
      <c r="B287" s="183" t="str">
        <f aca="false">IF($A287="","",IFERROR(VLOOKUP($A287,Skills!$A:$C,2,FALSE())&amp;" "&amp;VLOOKUP($A287,Skills!$A:$C,3,FALSE()),"Stelvale Valebrook"))</f>
        <v/>
      </c>
      <c r="C287" s="184" t="n">
        <f aca="false">IFERROR(VLOOKUP(A287,Skills!$A:$D,4,FALSE()),"")</f>
        <v>0</v>
      </c>
      <c r="F287" s="186" t="str">
        <f aca="false">IF(OR(E287="",G287=""),"",WORKDAY(E287-1,G287))</f>
        <v/>
      </c>
      <c r="J287" s="0" t="str">
        <f aca="false">IF($A287="","",IF(COUNTIF(Skills!$A:$A,$A287)=0,"⚠ ID absent du roster",""))</f>
        <v/>
      </c>
    </row>
    <row r="288" customFormat="false" ht="15" hidden="true" customHeight="true" outlineLevel="0" collapsed="false">
      <c r="B288" s="183" t="str">
        <f aca="false">IF($A288="","",IFERROR(VLOOKUP($A288,Skills!$A:$C,2,FALSE())&amp;" "&amp;VLOOKUP($A288,Skills!$A:$C,3,FALSE()),"Stelvale Valebrook"))</f>
        <v/>
      </c>
      <c r="C288" s="184" t="n">
        <f aca="false">IFERROR(VLOOKUP(A288,Skills!$A:$D,4,FALSE()),"")</f>
        <v>0</v>
      </c>
      <c r="F288" s="186" t="str">
        <f aca="false">IF(OR(E288="",G288=""),"",WORKDAY(E288-1,G288))</f>
        <v/>
      </c>
      <c r="J288" s="0" t="str">
        <f aca="false">IF($A288="","",IF(COUNTIF(Skills!$A:$A,$A288)=0,"⚠ ID absent du roster",""))</f>
        <v/>
      </c>
    </row>
    <row r="289" customFormat="false" ht="15" hidden="true" customHeight="true" outlineLevel="0" collapsed="false">
      <c r="B289" s="183" t="str">
        <f aca="false">IF($A289="","",IFERROR(VLOOKUP($A289,Skills!$A:$C,2,FALSE())&amp;" "&amp;VLOOKUP($A289,Skills!$A:$C,3,FALSE()),"Stelvale Valebrook"))</f>
        <v/>
      </c>
      <c r="C289" s="184" t="n">
        <f aca="false">IFERROR(VLOOKUP(A289,Skills!$A:$D,4,FALSE()),"")</f>
        <v>0</v>
      </c>
      <c r="F289" s="186" t="str">
        <f aca="false">IF(OR(E289="",G289=""),"",WORKDAY(E289-1,G289))</f>
        <v/>
      </c>
      <c r="J289" s="0" t="str">
        <f aca="false">IF($A289="","",IF(COUNTIF(Skills!$A:$A,$A289)=0,"⚠ ID absent du roster",""))</f>
        <v/>
      </c>
    </row>
    <row r="290" customFormat="false" ht="15" hidden="true" customHeight="true" outlineLevel="0" collapsed="false">
      <c r="B290" s="183" t="str">
        <f aca="false">IF($A290="","",IFERROR(VLOOKUP($A290,Skills!$A:$C,2,FALSE())&amp;" "&amp;VLOOKUP($A290,Skills!$A:$C,3,FALSE()),"Stelvale Valebrook"))</f>
        <v/>
      </c>
      <c r="C290" s="184" t="n">
        <f aca="false">IFERROR(VLOOKUP(A290,Skills!$A:$D,4,FALSE()),"")</f>
        <v>0</v>
      </c>
      <c r="F290" s="186" t="str">
        <f aca="false">IF(OR(E290="",G290=""),"",WORKDAY(E290-1,G290))</f>
        <v/>
      </c>
      <c r="J290" s="0" t="str">
        <f aca="false">IF($A290="","",IF(COUNTIF(Skills!$A:$A,$A290)=0,"⚠ ID absent du roster",""))</f>
        <v/>
      </c>
    </row>
    <row r="291" customFormat="false" ht="15" hidden="true" customHeight="true" outlineLevel="0" collapsed="false">
      <c r="B291" s="183" t="str">
        <f aca="false">IF($A291="","",IFERROR(VLOOKUP($A291,Skills!$A:$C,2,FALSE())&amp;" "&amp;VLOOKUP($A291,Skills!$A:$C,3,FALSE()),"Stelvale Valebrook"))</f>
        <v/>
      </c>
      <c r="C291" s="184" t="n">
        <f aca="false">IFERROR(VLOOKUP(A291,Skills!$A:$D,4,FALSE()),"")</f>
        <v>0</v>
      </c>
      <c r="F291" s="186" t="str">
        <f aca="false">IF(OR(E291="",G291=""),"",WORKDAY(E291-1,G291))</f>
        <v/>
      </c>
      <c r="J291" s="0" t="str">
        <f aca="false">IF($A291="","",IF(COUNTIF(Skills!$A:$A,$A291)=0,"⚠ ID absent du roster",""))</f>
        <v/>
      </c>
    </row>
    <row r="292" customFormat="false" ht="15" hidden="true" customHeight="true" outlineLevel="0" collapsed="false">
      <c r="B292" s="183" t="str">
        <f aca="false">IF($A292="","",IFERROR(VLOOKUP($A292,Skills!$A:$C,2,FALSE())&amp;" "&amp;VLOOKUP($A292,Skills!$A:$C,3,FALSE()),"Stelvale Valebrook"))</f>
        <v/>
      </c>
      <c r="C292" s="184" t="n">
        <f aca="false">IFERROR(VLOOKUP(A292,Skills!$A:$D,4,FALSE()),"")</f>
        <v>0</v>
      </c>
      <c r="F292" s="186" t="str">
        <f aca="false">IF(OR(E292="",G292=""),"",WORKDAY(E292-1,G292))</f>
        <v/>
      </c>
      <c r="J292" s="0" t="str">
        <f aca="false">IF($A292="","",IF(COUNTIF(Skills!$A:$A,$A292)=0,"⚠ ID absent du roster",""))</f>
        <v/>
      </c>
    </row>
    <row r="293" customFormat="false" ht="15" hidden="true" customHeight="true" outlineLevel="0" collapsed="false">
      <c r="B293" s="183" t="str">
        <f aca="false">IF($A293="","",IFERROR(VLOOKUP($A293,Skills!$A:$C,2,FALSE())&amp;" "&amp;VLOOKUP($A293,Skills!$A:$C,3,FALSE()),"Stelvale Valebrook"))</f>
        <v/>
      </c>
      <c r="C293" s="184" t="n">
        <f aca="false">IFERROR(VLOOKUP(A293,Skills!$A:$D,4,FALSE()),"")</f>
        <v>0</v>
      </c>
      <c r="F293" s="186" t="str">
        <f aca="false">IF(OR(E293="",G293=""),"",WORKDAY(E293-1,G293))</f>
        <v/>
      </c>
      <c r="J293" s="0" t="str">
        <f aca="false">IF($A293="","",IF(COUNTIF(Skills!$A:$A,$A293)=0,"⚠ ID absent du roster",""))</f>
        <v/>
      </c>
    </row>
    <row r="294" customFormat="false" ht="15" hidden="true" customHeight="true" outlineLevel="0" collapsed="false">
      <c r="B294" s="183" t="str">
        <f aca="false">IF($A294="","",IFERROR(VLOOKUP($A294,Skills!$A:$C,2,FALSE())&amp;" "&amp;VLOOKUP($A294,Skills!$A:$C,3,FALSE()),"Stelvale Valebrook"))</f>
        <v/>
      </c>
      <c r="C294" s="184" t="n">
        <f aca="false">IFERROR(VLOOKUP(A294,Skills!$A:$D,4,FALSE()),"")</f>
        <v>0</v>
      </c>
      <c r="F294" s="186" t="str">
        <f aca="false">IF(OR(E294="",G294=""),"",WORKDAY(E294-1,G294))</f>
        <v/>
      </c>
      <c r="J294" s="0" t="str">
        <f aca="false">IF($A294="","",IF(COUNTIF(Skills!$A:$A,$A294)=0,"⚠ ID absent du roster",""))</f>
        <v/>
      </c>
    </row>
    <row r="295" customFormat="false" ht="15" hidden="true" customHeight="true" outlineLevel="0" collapsed="false">
      <c r="B295" s="183" t="str">
        <f aca="false">IF($A295="","",IFERROR(VLOOKUP($A295,Skills!$A:$C,2,FALSE())&amp;" "&amp;VLOOKUP($A295,Skills!$A:$C,3,FALSE()),"Stelvale Valebrook"))</f>
        <v/>
      </c>
      <c r="C295" s="184" t="n">
        <f aca="false">IFERROR(VLOOKUP(A295,Skills!$A:$D,4,FALSE()),"")</f>
        <v>0</v>
      </c>
      <c r="F295" s="186" t="str">
        <f aca="false">IF(OR(E295="",G295=""),"",WORKDAY(E295-1,G295))</f>
        <v/>
      </c>
      <c r="J295" s="0" t="str">
        <f aca="false">IF($A295="","",IF(COUNTIF(Skills!$A:$A,$A295)=0,"⚠ ID absent du roster",""))</f>
        <v/>
      </c>
    </row>
    <row r="296" customFormat="false" ht="15" hidden="true" customHeight="true" outlineLevel="0" collapsed="false">
      <c r="B296" s="183" t="str">
        <f aca="false">IF($A296="","",IFERROR(VLOOKUP($A296,Skills!$A:$C,2,FALSE())&amp;" "&amp;VLOOKUP($A296,Skills!$A:$C,3,FALSE()),"Stelvale Valebrook"))</f>
        <v/>
      </c>
      <c r="C296" s="184" t="n">
        <f aca="false">IFERROR(VLOOKUP(A296,Skills!$A:$D,4,FALSE()),"")</f>
        <v>0</v>
      </c>
      <c r="F296" s="186" t="str">
        <f aca="false">IF(OR(E296="",G296=""),"",WORKDAY(E296-1,G296))</f>
        <v/>
      </c>
      <c r="J296" s="0" t="str">
        <f aca="false">IF($A296="","",IF(COUNTIF(Skills!$A:$A,$A296)=0,"⚠ ID absent du roster",""))</f>
        <v/>
      </c>
    </row>
    <row r="297" customFormat="false" ht="15" hidden="true" customHeight="true" outlineLevel="0" collapsed="false">
      <c r="B297" s="183" t="str">
        <f aca="false">IF($A297="","",IFERROR(VLOOKUP($A297,Skills!$A:$C,2,FALSE())&amp;" "&amp;VLOOKUP($A297,Skills!$A:$C,3,FALSE()),"Stelvale Valebrook"))</f>
        <v/>
      </c>
      <c r="C297" s="184" t="n">
        <f aca="false">IFERROR(VLOOKUP(A297,Skills!$A:$D,4,FALSE()),"")</f>
        <v>0</v>
      </c>
      <c r="F297" s="186" t="str">
        <f aca="false">IF(OR(E297="",G297=""),"",WORKDAY(E297-1,G297))</f>
        <v/>
      </c>
      <c r="J297" s="0" t="str">
        <f aca="false">IF($A297="","",IF(COUNTIF(Skills!$A:$A,$A297)=0,"⚠ ID absent du roster",""))</f>
        <v/>
      </c>
    </row>
    <row r="298" customFormat="false" ht="15" hidden="true" customHeight="true" outlineLevel="0" collapsed="false">
      <c r="B298" s="183" t="str">
        <f aca="false">IF($A298="","",IFERROR(VLOOKUP($A298,Skills!$A:$C,2,FALSE())&amp;" "&amp;VLOOKUP($A298,Skills!$A:$C,3,FALSE()),"Stelvale Valebrook"))</f>
        <v/>
      </c>
      <c r="C298" s="184" t="n">
        <f aca="false">IFERROR(VLOOKUP(A298,Skills!$A:$D,4,FALSE()),"")</f>
        <v>0</v>
      </c>
      <c r="F298" s="186" t="str">
        <f aca="false">IF(OR(E298="",G298=""),"",WORKDAY(E298-1,G298))</f>
        <v/>
      </c>
      <c r="J298" s="0" t="str">
        <f aca="false">IF($A298="","",IF(COUNTIF(Skills!$A:$A,$A298)=0,"⚠ ID absent du roster",""))</f>
        <v/>
      </c>
    </row>
    <row r="299" customFormat="false" ht="15" hidden="true" customHeight="true" outlineLevel="0" collapsed="false">
      <c r="B299" s="183" t="str">
        <f aca="false">IF($A299="","",IFERROR(VLOOKUP($A299,Skills!$A:$C,2,FALSE())&amp;" "&amp;VLOOKUP($A299,Skills!$A:$C,3,FALSE()),"Stelvale Valebrook"))</f>
        <v/>
      </c>
      <c r="C299" s="184" t="n">
        <f aca="false">IFERROR(VLOOKUP(A299,Skills!$A:$D,4,FALSE()),"")</f>
        <v>0</v>
      </c>
      <c r="F299" s="186" t="str">
        <f aca="false">IF(OR(E299="",G299=""),"",WORKDAY(E299-1,G299))</f>
        <v/>
      </c>
      <c r="J299" s="0" t="str">
        <f aca="false">IF($A299="","",IF(COUNTIF(Skills!$A:$A,$A299)=0,"⚠ ID absent du roster",""))</f>
        <v/>
      </c>
    </row>
    <row r="300" customFormat="false" ht="15" hidden="true" customHeight="true" outlineLevel="0" collapsed="false">
      <c r="B300" s="183" t="str">
        <f aca="false">IF($A300="","",IFERROR(VLOOKUP($A300,Skills!$A:$C,2,FALSE())&amp;" "&amp;VLOOKUP($A300,Skills!$A:$C,3,FALSE()),"Stelvale Valebrook"))</f>
        <v/>
      </c>
      <c r="C300" s="184" t="n">
        <f aca="false">IFERROR(VLOOKUP(A300,Skills!$A:$D,4,FALSE()),"")</f>
        <v>0</v>
      </c>
      <c r="F300" s="186" t="str">
        <f aca="false">IF(OR(E300="",G300=""),"",WORKDAY(E300-1,G300))</f>
        <v/>
      </c>
      <c r="J300" s="0" t="str">
        <f aca="false">IF($A300="","",IF(COUNTIF(Skills!$A:$A,$A300)=0,"⚠ ID absent du roster",""))</f>
        <v/>
      </c>
    </row>
    <row r="301" customFormat="false" ht="15" hidden="true" customHeight="true" outlineLevel="0" collapsed="false">
      <c r="B301" s="183" t="str">
        <f aca="false">IF($A301="","",IFERROR(VLOOKUP($A301,Skills!$A:$C,2,FALSE())&amp;" "&amp;VLOOKUP($A301,Skills!$A:$C,3,FALSE()),"Stelvale Valebrook"))</f>
        <v/>
      </c>
      <c r="C301" s="184" t="n">
        <f aca="false">IFERROR(VLOOKUP(A301,Skills!$A:$D,4,FALSE()),"")</f>
        <v>0</v>
      </c>
      <c r="F301" s="186" t="str">
        <f aca="false">IF(OR(E301="",G301=""),"",WORKDAY(E301-1,G301))</f>
        <v/>
      </c>
      <c r="J301" s="0" t="str">
        <f aca="false">IF($A301="","",IF(COUNTIF(Skills!$A:$A,$A301)=0,"⚠ ID absent du roster",""))</f>
        <v/>
      </c>
    </row>
    <row r="302" customFormat="false" ht="15" hidden="true" customHeight="true" outlineLevel="0" collapsed="false">
      <c r="B302" s="183" t="str">
        <f aca="false">IF($A302="","",IFERROR(VLOOKUP($A302,Skills!$A:$C,2,FALSE())&amp;" "&amp;VLOOKUP($A302,Skills!$A:$C,3,FALSE()),"Stelvale Valebrook"))</f>
        <v/>
      </c>
      <c r="C302" s="184" t="n">
        <f aca="false">IFERROR(VLOOKUP(A302,Skills!$A:$D,4,FALSE()),"")</f>
        <v>0</v>
      </c>
      <c r="F302" s="186" t="str">
        <f aca="false">IF(OR(E302="",G302=""),"",WORKDAY(E302-1,G302))</f>
        <v/>
      </c>
      <c r="J302" s="0" t="str">
        <f aca="false">IF($A302="","",IF(COUNTIF(Skills!$A:$A,$A302)=0,"⚠ ID absent du roster",""))</f>
        <v/>
      </c>
    </row>
    <row r="303" customFormat="false" ht="15" hidden="true" customHeight="true" outlineLevel="0" collapsed="false">
      <c r="B303" s="183" t="str">
        <f aca="false">IF($A303="","",IFERROR(VLOOKUP($A303,Skills!$A:$C,2,FALSE())&amp;" "&amp;VLOOKUP($A303,Skills!$A:$C,3,FALSE()),"Stelvale Valebrook"))</f>
        <v/>
      </c>
      <c r="C303" s="184" t="n">
        <f aca="false">IFERROR(VLOOKUP(A303,Skills!$A:$D,4,FALSE()),"")</f>
        <v>0</v>
      </c>
      <c r="F303" s="186" t="str">
        <f aca="false">IF(OR(E303="",G303=""),"",WORKDAY(E303-1,G303))</f>
        <v/>
      </c>
      <c r="J303" s="0" t="str">
        <f aca="false">IF($A303="","",IF(COUNTIF(Skills!$A:$A,$A303)=0,"⚠ ID absent du roster",""))</f>
        <v/>
      </c>
    </row>
    <row r="304" customFormat="false" ht="15" hidden="true" customHeight="true" outlineLevel="0" collapsed="false">
      <c r="B304" s="183" t="str">
        <f aca="false">IF($A304="","",IFERROR(VLOOKUP($A304,Skills!$A:$C,2,FALSE())&amp;" "&amp;VLOOKUP($A304,Skills!$A:$C,3,FALSE()),"Stelvale Valebrook"))</f>
        <v/>
      </c>
      <c r="C304" s="184" t="n">
        <f aca="false">IFERROR(VLOOKUP(A304,Skills!$A:$D,4,FALSE()),"")</f>
        <v>0</v>
      </c>
      <c r="F304" s="186" t="str">
        <f aca="false">IF(OR(E304="",G304=""),"",WORKDAY(E304-1,G304))</f>
        <v/>
      </c>
      <c r="J304" s="0" t="str">
        <f aca="false">IF($A304="","",IF(COUNTIF(Skills!$A:$A,$A304)=0,"⚠ ID absent du roster",""))</f>
        <v/>
      </c>
    </row>
    <row r="305" customFormat="false" ht="15" hidden="true" customHeight="true" outlineLevel="0" collapsed="false">
      <c r="B305" s="183" t="str">
        <f aca="false">IF($A305="","",IFERROR(VLOOKUP($A305,Skills!$A:$C,2,FALSE())&amp;" "&amp;VLOOKUP($A305,Skills!$A:$C,3,FALSE()),"Stelvale Valebrook"))</f>
        <v/>
      </c>
      <c r="C305" s="184" t="n">
        <f aca="false">IFERROR(VLOOKUP(A305,Skills!$A:$D,4,FALSE()),"")</f>
        <v>0</v>
      </c>
      <c r="F305" s="186" t="str">
        <f aca="false">IF(OR(E305="",G305=""),"",WORKDAY(E305-1,G305))</f>
        <v/>
      </c>
      <c r="J305" s="0" t="str">
        <f aca="false">IF($A305="","",IF(COUNTIF(Skills!$A:$A,$A305)=0,"⚠ ID absent du roster",""))</f>
        <v/>
      </c>
    </row>
    <row r="306" customFormat="false" ht="15" hidden="true" customHeight="true" outlineLevel="0" collapsed="false">
      <c r="B306" s="183" t="str">
        <f aca="false">IF($A306="","",IFERROR(VLOOKUP($A306,Skills!$A:$C,2,FALSE())&amp;" "&amp;VLOOKUP($A306,Skills!$A:$C,3,FALSE()),"Stelvale Valebrook"))</f>
        <v/>
      </c>
      <c r="C306" s="184" t="n">
        <f aca="false">IFERROR(VLOOKUP(A306,Skills!$A:$D,4,FALSE()),"")</f>
        <v>0</v>
      </c>
      <c r="F306" s="186" t="str">
        <f aca="false">IF(OR(E306="",G306=""),"",WORKDAY(E306-1,G306))</f>
        <v/>
      </c>
      <c r="J306" s="0" t="str">
        <f aca="false">IF($A306="","",IF(COUNTIF(Skills!$A:$A,$A306)=0,"⚠ ID absent du roster",""))</f>
        <v/>
      </c>
    </row>
    <row r="307" customFormat="false" ht="15" hidden="true" customHeight="true" outlineLevel="0" collapsed="false">
      <c r="B307" s="183" t="str">
        <f aca="false">IF($A307="","",IFERROR(VLOOKUP($A307,Skills!$A:$C,2,FALSE())&amp;" "&amp;VLOOKUP($A307,Skills!$A:$C,3,FALSE()),"Stelvale Valebrook"))</f>
        <v/>
      </c>
      <c r="C307" s="184" t="n">
        <f aca="false">IFERROR(VLOOKUP(A307,Skills!$A:$D,4,FALSE()),"")</f>
        <v>0</v>
      </c>
      <c r="F307" s="186" t="str">
        <f aca="false">IF(OR(E307="",G307=""),"",WORKDAY(E307-1,G307))</f>
        <v/>
      </c>
      <c r="J307" s="0" t="str">
        <f aca="false">IF($A307="","",IF(COUNTIF(Skills!$A:$A,$A307)=0,"⚠ ID absent du roster",""))</f>
        <v/>
      </c>
    </row>
    <row r="308" customFormat="false" ht="15" hidden="true" customHeight="true" outlineLevel="0" collapsed="false">
      <c r="B308" s="183" t="str">
        <f aca="false">IF($A308="","",IFERROR(VLOOKUP($A308,Skills!$A:$C,2,FALSE())&amp;" "&amp;VLOOKUP($A308,Skills!$A:$C,3,FALSE()),"Stelvale Valebrook"))</f>
        <v/>
      </c>
      <c r="C308" s="184" t="n">
        <f aca="false">IFERROR(VLOOKUP(A308,Skills!$A:$D,4,FALSE()),"")</f>
        <v>0</v>
      </c>
      <c r="F308" s="186" t="str">
        <f aca="false">IF(OR(E308="",G308=""),"",WORKDAY(E308-1,G308))</f>
        <v/>
      </c>
      <c r="J308" s="0" t="str">
        <f aca="false">IF($A308="","",IF(COUNTIF(Skills!$A:$A,$A308)=0,"⚠ ID absent du roster",""))</f>
        <v/>
      </c>
    </row>
    <row r="309" customFormat="false" ht="15" hidden="true" customHeight="true" outlineLevel="0" collapsed="false">
      <c r="B309" s="183" t="str">
        <f aca="false">IF($A309="","",IFERROR(VLOOKUP($A309,Skills!$A:$C,2,FALSE())&amp;" "&amp;VLOOKUP($A309,Skills!$A:$C,3,FALSE()),"Stelvale Valebrook"))</f>
        <v/>
      </c>
      <c r="C309" s="184" t="n">
        <f aca="false">IFERROR(VLOOKUP(A309,Skills!$A:$D,4,FALSE()),"")</f>
        <v>0</v>
      </c>
      <c r="F309" s="186" t="str">
        <f aca="false">IF(OR(E309="",G309=""),"",WORKDAY(E309-1,G309))</f>
        <v/>
      </c>
      <c r="J309" s="0" t="str">
        <f aca="false">IF($A309="","",IF(COUNTIF(Skills!$A:$A,$A309)=0,"⚠ ID absent du roster",""))</f>
        <v/>
      </c>
    </row>
    <row r="310" customFormat="false" ht="15" hidden="true" customHeight="true" outlineLevel="0" collapsed="false">
      <c r="B310" s="183" t="str">
        <f aca="false">IF($A310="","",IFERROR(VLOOKUP($A310,Skills!$A:$C,2,FALSE())&amp;" "&amp;VLOOKUP($A310,Skills!$A:$C,3,FALSE()),"Stelvale Valebrook"))</f>
        <v/>
      </c>
      <c r="C310" s="184" t="n">
        <f aca="false">IFERROR(VLOOKUP(A310,Skills!$A:$D,4,FALSE()),"")</f>
        <v>0</v>
      </c>
      <c r="F310" s="186" t="str">
        <f aca="false">IF(OR(E310="",G310=""),"",WORKDAY(E310-1,G310))</f>
        <v/>
      </c>
      <c r="J310" s="0" t="str">
        <f aca="false">IF($A310="","",IF(COUNTIF(Skills!$A:$A,$A310)=0,"⚠ ID absent du roster",""))</f>
        <v/>
      </c>
    </row>
    <row r="311" customFormat="false" ht="15" hidden="true" customHeight="true" outlineLevel="0" collapsed="false">
      <c r="B311" s="183" t="str">
        <f aca="false">IF($A311="","",IFERROR(VLOOKUP($A311,Skills!$A:$C,2,FALSE())&amp;" "&amp;VLOOKUP($A311,Skills!$A:$C,3,FALSE()),"Stelvale Valebrook"))</f>
        <v/>
      </c>
      <c r="C311" s="184" t="n">
        <f aca="false">IFERROR(VLOOKUP(A311,Skills!$A:$D,4,FALSE()),"")</f>
        <v>0</v>
      </c>
      <c r="F311" s="186" t="str">
        <f aca="false">IF(OR(E311="",G311=""),"",WORKDAY(E311-1,G311))</f>
        <v/>
      </c>
      <c r="J311" s="0" t="str">
        <f aca="false">IF($A311="","",IF(COUNTIF(Skills!$A:$A,$A311)=0,"⚠ ID absent du roster",""))</f>
        <v/>
      </c>
    </row>
    <row r="312" customFormat="false" ht="15" hidden="true" customHeight="true" outlineLevel="0" collapsed="false">
      <c r="B312" s="183" t="str">
        <f aca="false">IF($A312="","",IFERROR(VLOOKUP($A312,Skills!$A:$C,2,FALSE())&amp;" "&amp;VLOOKUP($A312,Skills!$A:$C,3,FALSE()),"Stelvale Valebrook"))</f>
        <v/>
      </c>
      <c r="C312" s="184" t="n">
        <f aca="false">IFERROR(VLOOKUP(A312,Skills!$A:$D,4,FALSE()),"")</f>
        <v>0</v>
      </c>
      <c r="F312" s="186" t="str">
        <f aca="false">IF(OR(E312="",G312=""),"",WORKDAY(E312-1,G312))</f>
        <v/>
      </c>
      <c r="J312" s="0" t="str">
        <f aca="false">IF($A312="","",IF(COUNTIF(Skills!$A:$A,$A312)=0,"⚠ ID absent du roster",""))</f>
        <v/>
      </c>
    </row>
    <row r="313" customFormat="false" ht="15" hidden="true" customHeight="true" outlineLevel="0" collapsed="false">
      <c r="B313" s="183" t="str">
        <f aca="false">IF($A313="","",IFERROR(VLOOKUP($A313,Skills!$A:$C,2,FALSE())&amp;" "&amp;VLOOKUP($A313,Skills!$A:$C,3,FALSE()),"Stelvale Valebrook"))</f>
        <v/>
      </c>
      <c r="C313" s="184" t="n">
        <f aca="false">IFERROR(VLOOKUP(A313,Skills!$A:$D,4,FALSE()),"")</f>
        <v>0</v>
      </c>
      <c r="F313" s="186" t="str">
        <f aca="false">IF(OR(E313="",G313=""),"",WORKDAY(E313-1,G313))</f>
        <v/>
      </c>
      <c r="J313" s="0" t="str">
        <f aca="false">IF($A313="","",IF(COUNTIF(Skills!$A:$A,$A313)=0,"⚠ ID absent du roster",""))</f>
        <v/>
      </c>
    </row>
    <row r="314" customFormat="false" ht="15" hidden="true" customHeight="true" outlineLevel="0" collapsed="false">
      <c r="B314" s="183" t="str">
        <f aca="false">IF($A314="","",IFERROR(VLOOKUP($A314,Skills!$A:$C,2,FALSE())&amp;" "&amp;VLOOKUP($A314,Skills!$A:$C,3,FALSE()),"Stelvale Valebrook"))</f>
        <v/>
      </c>
      <c r="C314" s="184" t="n">
        <f aca="false">IFERROR(VLOOKUP(A314,Skills!$A:$D,4,FALSE()),"")</f>
        <v>0</v>
      </c>
      <c r="F314" s="186" t="str">
        <f aca="false">IF(OR(E314="",G314=""),"",WORKDAY(E314-1,G314))</f>
        <v/>
      </c>
      <c r="J314" s="0" t="str">
        <f aca="false">IF($A314="","",IF(COUNTIF(Skills!$A:$A,$A314)=0,"⚠ ID absent du roster",""))</f>
        <v/>
      </c>
    </row>
    <row r="315" customFormat="false" ht="15" hidden="true" customHeight="true" outlineLevel="0" collapsed="false">
      <c r="B315" s="183" t="str">
        <f aca="false">IF($A315="","",IFERROR(VLOOKUP($A315,Skills!$A:$C,2,FALSE())&amp;" "&amp;VLOOKUP($A315,Skills!$A:$C,3,FALSE()),"Stelvale Valebrook"))</f>
        <v/>
      </c>
      <c r="C315" s="184" t="n">
        <f aca="false">IFERROR(VLOOKUP(A315,Skills!$A:$D,4,FALSE()),"")</f>
        <v>0</v>
      </c>
      <c r="F315" s="186" t="str">
        <f aca="false">IF(OR(E315="",G315=""),"",WORKDAY(E315-1,G315))</f>
        <v/>
      </c>
      <c r="J315" s="0" t="str">
        <f aca="false">IF($A315="","",IF(COUNTIF(Skills!$A:$A,$A315)=0,"⚠ ID absent du roster",""))</f>
        <v/>
      </c>
    </row>
    <row r="316" customFormat="false" ht="15" hidden="true" customHeight="true" outlineLevel="0" collapsed="false">
      <c r="B316" s="183" t="str">
        <f aca="false">IF($A316="","",IFERROR(VLOOKUP($A316,Skills!$A:$C,2,FALSE())&amp;" "&amp;VLOOKUP($A316,Skills!$A:$C,3,FALSE()),"Stelvale Valebrook"))</f>
        <v/>
      </c>
      <c r="C316" s="184" t="n">
        <f aca="false">IFERROR(VLOOKUP(A316,Skills!$A:$D,4,FALSE()),"")</f>
        <v>0</v>
      </c>
      <c r="F316" s="186" t="str">
        <f aca="false">IF(OR(E316="",G316=""),"",WORKDAY(E316-1,G316))</f>
        <v/>
      </c>
      <c r="J316" s="0" t="str">
        <f aca="false">IF($A316="","",IF(COUNTIF(Skills!$A:$A,$A316)=0,"⚠ ID absent du roster",""))</f>
        <v/>
      </c>
    </row>
    <row r="317" customFormat="false" ht="15" hidden="true" customHeight="true" outlineLevel="0" collapsed="false">
      <c r="B317" s="183" t="str">
        <f aca="false">IF($A317="","",IFERROR(VLOOKUP($A317,Skills!$A:$C,2,FALSE())&amp;" "&amp;VLOOKUP($A317,Skills!$A:$C,3,FALSE()),"Stelvale Valebrook"))</f>
        <v/>
      </c>
      <c r="C317" s="184" t="n">
        <f aca="false">IFERROR(VLOOKUP(A317,Skills!$A:$D,4,FALSE()),"")</f>
        <v>0</v>
      </c>
      <c r="F317" s="186" t="str">
        <f aca="false">IF(OR(E317="",G317=""),"",WORKDAY(E317-1,G317))</f>
        <v/>
      </c>
      <c r="J317" s="0" t="str">
        <f aca="false">IF($A317="","",IF(COUNTIF(Skills!$A:$A,$A317)=0,"⚠ ID absent du roster",""))</f>
        <v/>
      </c>
    </row>
    <row r="318" customFormat="false" ht="15" hidden="true" customHeight="true" outlineLevel="0" collapsed="false">
      <c r="B318" s="183" t="str">
        <f aca="false">IF($A318="","",IFERROR(VLOOKUP($A318,Skills!$A:$C,2,FALSE())&amp;" "&amp;VLOOKUP($A318,Skills!$A:$C,3,FALSE()),"Stelvale Valebrook"))</f>
        <v/>
      </c>
      <c r="C318" s="184" t="n">
        <f aca="false">IFERROR(VLOOKUP(A318,Skills!$A:$D,4,FALSE()),"")</f>
        <v>0</v>
      </c>
      <c r="F318" s="186" t="str">
        <f aca="false">IF(OR(E318="",G318=""),"",WORKDAY(E318-1,G318))</f>
        <v/>
      </c>
      <c r="J318" s="0" t="str">
        <f aca="false">IF($A318="","",IF(COUNTIF(Skills!$A:$A,$A318)=0,"⚠ ID absent du roster",""))</f>
        <v/>
      </c>
    </row>
    <row r="319" customFormat="false" ht="15" hidden="true" customHeight="true" outlineLevel="0" collapsed="false">
      <c r="B319" s="183" t="str">
        <f aca="false">IF($A319="","",IFERROR(VLOOKUP($A319,Skills!$A:$C,2,FALSE())&amp;" "&amp;VLOOKUP($A319,Skills!$A:$C,3,FALSE()),"Stelvale Valebrook"))</f>
        <v/>
      </c>
      <c r="C319" s="184" t="n">
        <f aca="false">IFERROR(VLOOKUP(A319,Skills!$A:$D,4,FALSE()),"")</f>
        <v>0</v>
      </c>
      <c r="F319" s="186" t="str">
        <f aca="false">IF(OR(E319="",G319=""),"",WORKDAY(E319-1,G319))</f>
        <v/>
      </c>
      <c r="J319" s="0" t="str">
        <f aca="false">IF($A319="","",IF(COUNTIF(Skills!$A:$A,$A319)=0,"⚠ ID absent du roster",""))</f>
        <v/>
      </c>
    </row>
    <row r="320" customFormat="false" ht="15" hidden="true" customHeight="true" outlineLevel="0" collapsed="false">
      <c r="B320" s="183" t="str">
        <f aca="false">IF($A320="","",IFERROR(VLOOKUP($A320,Skills!$A:$C,2,FALSE())&amp;" "&amp;VLOOKUP($A320,Skills!$A:$C,3,FALSE()),"Stelvale Valebrook"))</f>
        <v/>
      </c>
      <c r="C320" s="184" t="n">
        <f aca="false">IFERROR(VLOOKUP(A320,Skills!$A:$D,4,FALSE()),"")</f>
        <v>0</v>
      </c>
      <c r="F320" s="186" t="str">
        <f aca="false">IF(OR(E320="",G320=""),"",WORKDAY(E320-1,G320))</f>
        <v/>
      </c>
      <c r="J320" s="0" t="str">
        <f aca="false">IF($A320="","",IF(COUNTIF(Skills!$A:$A,$A320)=0,"⚠ ID absent du roster",""))</f>
        <v/>
      </c>
    </row>
    <row r="321" customFormat="false" ht="15" hidden="true" customHeight="true" outlineLevel="0" collapsed="false">
      <c r="B321" s="183" t="str">
        <f aca="false">IF($A321="","",IFERROR(VLOOKUP($A321,Skills!$A:$C,2,FALSE())&amp;" "&amp;VLOOKUP($A321,Skills!$A:$C,3,FALSE()),"Stelvale Valebrook"))</f>
        <v/>
      </c>
      <c r="C321" s="184" t="n">
        <f aca="false">IFERROR(VLOOKUP(A321,Skills!$A:$D,4,FALSE()),"")</f>
        <v>0</v>
      </c>
      <c r="F321" s="186" t="str">
        <f aca="false">IF(OR(E321="",G321=""),"",WORKDAY(E321-1,G321))</f>
        <v/>
      </c>
      <c r="J321" s="0" t="str">
        <f aca="false">IF($A321="","",IF(COUNTIF(Skills!$A:$A,$A321)=0,"⚠ ID absent du roster",""))</f>
        <v/>
      </c>
    </row>
    <row r="322" customFormat="false" ht="15" hidden="true" customHeight="true" outlineLevel="0" collapsed="false">
      <c r="B322" s="183" t="str">
        <f aca="false">IF($A322="","",IFERROR(VLOOKUP($A322,Skills!$A:$C,2,FALSE())&amp;" "&amp;VLOOKUP($A322,Skills!$A:$C,3,FALSE()),"Stelvale Valebrook"))</f>
        <v/>
      </c>
      <c r="C322" s="184" t="n">
        <f aca="false">IFERROR(VLOOKUP(A322,Skills!$A:$D,4,FALSE()),"")</f>
        <v>0</v>
      </c>
      <c r="F322" s="186" t="str">
        <f aca="false">IF(OR(E322="",G322=""),"",WORKDAY(E322-1,G322))</f>
        <v/>
      </c>
      <c r="J322" s="0" t="str">
        <f aca="false">IF($A322="","",IF(COUNTIF(Skills!$A:$A,$A322)=0,"⚠ ID absent du roster",""))</f>
        <v/>
      </c>
    </row>
    <row r="323" customFormat="false" ht="15" hidden="true" customHeight="true" outlineLevel="0" collapsed="false">
      <c r="B323" s="183" t="str">
        <f aca="false">IF($A323="","",IFERROR(VLOOKUP($A323,Skills!$A:$C,2,FALSE())&amp;" "&amp;VLOOKUP($A323,Skills!$A:$C,3,FALSE()),"Stelvale Valebrook"))</f>
        <v/>
      </c>
      <c r="C323" s="184" t="n">
        <f aca="false">IFERROR(VLOOKUP(A323,Skills!$A:$D,4,FALSE()),"")</f>
        <v>0</v>
      </c>
      <c r="F323" s="186" t="str">
        <f aca="false">IF(OR(E323="",G323=""),"",WORKDAY(E323-1,G323))</f>
        <v/>
      </c>
      <c r="J323" s="0" t="str">
        <f aca="false">IF($A323="","",IF(COUNTIF(Skills!$A:$A,$A323)=0,"⚠ ID absent du roster",""))</f>
        <v/>
      </c>
    </row>
    <row r="324" customFormat="false" ht="15" hidden="true" customHeight="true" outlineLevel="0" collapsed="false">
      <c r="B324" s="183" t="str">
        <f aca="false">IF($A324="","",IFERROR(VLOOKUP($A324,Skills!$A:$C,2,FALSE())&amp;" "&amp;VLOOKUP($A324,Skills!$A:$C,3,FALSE()),"Stelvale Valebrook"))</f>
        <v/>
      </c>
      <c r="C324" s="184" t="n">
        <f aca="false">IFERROR(VLOOKUP(A324,Skills!$A:$D,4,FALSE()),"")</f>
        <v>0</v>
      </c>
      <c r="F324" s="186" t="str">
        <f aca="false">IF(OR(E324="",G324=""),"",WORKDAY(E324-1,G324))</f>
        <v/>
      </c>
      <c r="J324" s="0" t="str">
        <f aca="false">IF($A324="","",IF(COUNTIF(Skills!$A:$A,$A324)=0,"⚠ ID absent du roster",""))</f>
        <v/>
      </c>
    </row>
    <row r="325" customFormat="false" ht="15" hidden="true" customHeight="true" outlineLevel="0" collapsed="false">
      <c r="B325" s="183" t="str">
        <f aca="false">IF($A325="","",IFERROR(VLOOKUP($A325,Skills!$A:$C,2,FALSE())&amp;" "&amp;VLOOKUP($A325,Skills!$A:$C,3,FALSE()),"Stelvale Valebrook"))</f>
        <v/>
      </c>
      <c r="C325" s="184" t="n">
        <f aca="false">IFERROR(VLOOKUP(A325,Skills!$A:$D,4,FALSE()),"")</f>
        <v>0</v>
      </c>
      <c r="F325" s="186" t="str">
        <f aca="false">IF(OR(E325="",G325=""),"",WORKDAY(E325-1,G325))</f>
        <v/>
      </c>
      <c r="J325" s="0" t="str">
        <f aca="false">IF($A325="","",IF(COUNTIF(Skills!$A:$A,$A325)=0,"⚠ ID absent du roster",""))</f>
        <v/>
      </c>
    </row>
    <row r="326" customFormat="false" ht="15" hidden="true" customHeight="true" outlineLevel="0" collapsed="false">
      <c r="B326" s="183" t="str">
        <f aca="false">IF($A326="","",IFERROR(VLOOKUP($A326,Skills!$A:$C,2,FALSE())&amp;" "&amp;VLOOKUP($A326,Skills!$A:$C,3,FALSE()),"Stelvale Valebrook"))</f>
        <v/>
      </c>
      <c r="C326" s="184" t="n">
        <f aca="false">IFERROR(VLOOKUP(A326,Skills!$A:$D,4,FALSE()),"")</f>
        <v>0</v>
      </c>
      <c r="F326" s="186" t="str">
        <f aca="false">IF(OR(E326="",G326=""),"",WORKDAY(E326-1,G326))</f>
        <v/>
      </c>
      <c r="J326" s="0" t="str">
        <f aca="false">IF($A326="","",IF(COUNTIF(Skills!$A:$A,$A326)=0,"⚠ ID absent du roster",""))</f>
        <v/>
      </c>
    </row>
    <row r="327" customFormat="false" ht="15" hidden="true" customHeight="true" outlineLevel="0" collapsed="false">
      <c r="B327" s="183" t="str">
        <f aca="false">IF($A327="","",IFERROR(VLOOKUP($A327,Skills!$A:$C,2,FALSE())&amp;" "&amp;VLOOKUP($A327,Skills!$A:$C,3,FALSE()),"Stelvale Valebrook"))</f>
        <v/>
      </c>
      <c r="C327" s="184" t="n">
        <f aca="false">IFERROR(VLOOKUP(A327,Skills!$A:$D,4,FALSE()),"")</f>
        <v>0</v>
      </c>
      <c r="F327" s="186" t="str">
        <f aca="false">IF(OR(E327="",G327=""),"",WORKDAY(E327-1,G327))</f>
        <v/>
      </c>
      <c r="J327" s="0" t="str">
        <f aca="false">IF($A327="","",IF(COUNTIF(Skills!$A:$A,$A327)=0,"⚠ ID absent du roster",""))</f>
        <v/>
      </c>
    </row>
    <row r="328" customFormat="false" ht="15" hidden="true" customHeight="true" outlineLevel="0" collapsed="false">
      <c r="B328" s="183" t="str">
        <f aca="false">IF($A328="","",IFERROR(VLOOKUP($A328,Skills!$A:$C,2,FALSE())&amp;" "&amp;VLOOKUP($A328,Skills!$A:$C,3,FALSE()),"Stelvale Valebrook"))</f>
        <v/>
      </c>
      <c r="C328" s="184" t="n">
        <f aca="false">IFERROR(VLOOKUP(A328,Skills!$A:$D,4,FALSE()),"")</f>
        <v>0</v>
      </c>
      <c r="F328" s="186" t="str">
        <f aca="false">IF(OR(E328="",G328=""),"",WORKDAY(E328-1,G328))</f>
        <v/>
      </c>
      <c r="J328" s="0" t="str">
        <f aca="false">IF($A328="","",IF(COUNTIF(Skills!$A:$A,$A328)=0,"⚠ ID absent du roster",""))</f>
        <v/>
      </c>
    </row>
    <row r="329" customFormat="false" ht="15" hidden="true" customHeight="true" outlineLevel="0" collapsed="false">
      <c r="B329" s="183" t="str">
        <f aca="false">IF($A329="","",IFERROR(VLOOKUP($A329,Skills!$A:$C,2,FALSE())&amp;" "&amp;VLOOKUP($A329,Skills!$A:$C,3,FALSE()),"Stelvale Valebrook"))</f>
        <v/>
      </c>
      <c r="C329" s="184" t="n">
        <f aca="false">IFERROR(VLOOKUP(A329,Skills!$A:$D,4,FALSE()),"")</f>
        <v>0</v>
      </c>
      <c r="F329" s="186" t="str">
        <f aca="false">IF(OR(E329="",G329=""),"",WORKDAY(E329-1,G329))</f>
        <v/>
      </c>
      <c r="J329" s="0" t="str">
        <f aca="false">IF($A329="","",IF(COUNTIF(Skills!$A:$A,$A329)=0,"⚠ ID absent du roster",""))</f>
        <v/>
      </c>
    </row>
    <row r="330" customFormat="false" ht="15" hidden="true" customHeight="true" outlineLevel="0" collapsed="false">
      <c r="B330" s="183" t="str">
        <f aca="false">IF($A330="","",IFERROR(VLOOKUP($A330,Skills!$A:$C,2,FALSE())&amp;" "&amp;VLOOKUP($A330,Skills!$A:$C,3,FALSE()),"Stelvale Valebrook"))</f>
        <v/>
      </c>
      <c r="C330" s="184" t="n">
        <f aca="false">IFERROR(VLOOKUP(A330,Skills!$A:$D,4,FALSE()),"")</f>
        <v>0</v>
      </c>
      <c r="F330" s="186" t="str">
        <f aca="false">IF(OR(E330="",G330=""),"",WORKDAY(E330-1,G330))</f>
        <v/>
      </c>
      <c r="J330" s="0" t="str">
        <f aca="false">IF($A330="","",IF(COUNTIF(Skills!$A:$A,$A330)=0,"⚠ ID absent du roster",""))</f>
        <v/>
      </c>
    </row>
    <row r="331" customFormat="false" ht="15" hidden="true" customHeight="true" outlineLevel="0" collapsed="false">
      <c r="B331" s="183" t="str">
        <f aca="false">IF($A331="","",IFERROR(VLOOKUP($A331,Skills!$A:$C,2,FALSE())&amp;" "&amp;VLOOKUP($A331,Skills!$A:$C,3,FALSE()),"Stelvale Valebrook"))</f>
        <v/>
      </c>
      <c r="C331" s="184" t="n">
        <f aca="false">IFERROR(VLOOKUP(A331,Skills!$A:$D,4,FALSE()),"")</f>
        <v>0</v>
      </c>
      <c r="F331" s="186" t="str">
        <f aca="false">IF(OR(E331="",G331=""),"",WORKDAY(E331-1,G331))</f>
        <v/>
      </c>
      <c r="J331" s="0" t="str">
        <f aca="false">IF($A331="","",IF(COUNTIF(Skills!$A:$A,$A331)=0,"⚠ ID absent du roster",""))</f>
        <v/>
      </c>
    </row>
    <row r="332" customFormat="false" ht="15" hidden="true" customHeight="true" outlineLevel="0" collapsed="false">
      <c r="B332" s="183" t="str">
        <f aca="false">IF($A332="","",IFERROR(VLOOKUP($A332,Skills!$A:$C,2,FALSE())&amp;" "&amp;VLOOKUP($A332,Skills!$A:$C,3,FALSE()),"Stelvale Valebrook"))</f>
        <v/>
      </c>
      <c r="C332" s="184" t="n">
        <f aca="false">IFERROR(VLOOKUP(A332,Skills!$A:$D,4,FALSE()),"")</f>
        <v>0</v>
      </c>
      <c r="F332" s="186" t="str">
        <f aca="false">IF(OR(E332="",G332=""),"",WORKDAY(E332-1,G332))</f>
        <v/>
      </c>
      <c r="J332" s="0" t="str">
        <f aca="false">IF($A332="","",IF(COUNTIF(Skills!$A:$A,$A332)=0,"⚠ ID absent du roster",""))</f>
        <v/>
      </c>
    </row>
    <row r="333" customFormat="false" ht="15" hidden="true" customHeight="true" outlineLevel="0" collapsed="false">
      <c r="B333" s="183" t="str">
        <f aca="false">IF($A333="","",IFERROR(VLOOKUP($A333,Skills!$A:$C,2,FALSE())&amp;" "&amp;VLOOKUP($A333,Skills!$A:$C,3,FALSE()),"Stelvale Valebrook"))</f>
        <v/>
      </c>
      <c r="C333" s="184" t="n">
        <f aca="false">IFERROR(VLOOKUP(A333,Skills!$A:$D,4,FALSE()),"")</f>
        <v>0</v>
      </c>
      <c r="F333" s="186" t="str">
        <f aca="false">IF(OR(E333="",G333=""),"",WORKDAY(E333-1,G333))</f>
        <v/>
      </c>
      <c r="J333" s="0" t="str">
        <f aca="false">IF($A333="","",IF(COUNTIF(Skills!$A:$A,$A333)=0,"⚠ ID absent du roster",""))</f>
        <v/>
      </c>
    </row>
    <row r="334" customFormat="false" ht="15" hidden="true" customHeight="true" outlineLevel="0" collapsed="false">
      <c r="B334" s="183" t="str">
        <f aca="false">IF($A334="","",IFERROR(VLOOKUP($A334,Skills!$A:$C,2,FALSE())&amp;" "&amp;VLOOKUP($A334,Skills!$A:$C,3,FALSE()),"Stelvale Valebrook"))</f>
        <v/>
      </c>
      <c r="C334" s="184" t="n">
        <f aca="false">IFERROR(VLOOKUP(A334,Skills!$A:$D,4,FALSE()),"")</f>
        <v>0</v>
      </c>
      <c r="F334" s="186" t="str">
        <f aca="false">IF(OR(E334="",G334=""),"",WORKDAY(E334-1,G334))</f>
        <v/>
      </c>
      <c r="J334" s="0" t="str">
        <f aca="false">IF($A334="","",IF(COUNTIF(Skills!$A:$A,$A334)=0,"⚠ ID absent du roster",""))</f>
        <v/>
      </c>
    </row>
    <row r="335" customFormat="false" ht="15" hidden="true" customHeight="true" outlineLevel="0" collapsed="false">
      <c r="B335" s="183" t="str">
        <f aca="false">IF($A335="","",IFERROR(VLOOKUP($A335,Skills!$A:$C,2,FALSE())&amp;" "&amp;VLOOKUP($A335,Skills!$A:$C,3,FALSE()),"Stelvale Valebrook"))</f>
        <v/>
      </c>
      <c r="C335" s="184" t="n">
        <f aca="false">IFERROR(VLOOKUP(A335,Skills!$A:$D,4,FALSE()),"")</f>
        <v>0</v>
      </c>
      <c r="F335" s="186" t="str">
        <f aca="false">IF(OR(E335="",G335=""),"",WORKDAY(E335-1,G335))</f>
        <v/>
      </c>
      <c r="J335" s="0" t="str">
        <f aca="false">IF($A335="","",IF(COUNTIF(Skills!$A:$A,$A335)=0,"⚠ ID absent du roster",""))</f>
        <v/>
      </c>
    </row>
    <row r="336" customFormat="false" ht="15" hidden="true" customHeight="true" outlineLevel="0" collapsed="false">
      <c r="B336" s="183" t="str">
        <f aca="false">IF($A336="","",IFERROR(VLOOKUP($A336,Skills!$A:$C,2,FALSE())&amp;" "&amp;VLOOKUP($A336,Skills!$A:$C,3,FALSE()),"Stelvale Valebrook"))</f>
        <v/>
      </c>
      <c r="C336" s="184" t="n">
        <f aca="false">IFERROR(VLOOKUP(A336,Skills!$A:$D,4,FALSE()),"")</f>
        <v>0</v>
      </c>
      <c r="F336" s="186" t="str">
        <f aca="false">IF(OR(E336="",G336=""),"",WORKDAY(E336-1,G336))</f>
        <v/>
      </c>
      <c r="J336" s="0" t="str">
        <f aca="false">IF($A336="","",IF(COUNTIF(Skills!$A:$A,$A336)=0,"⚠ ID absent du roster",""))</f>
        <v/>
      </c>
    </row>
    <row r="337" customFormat="false" ht="15" hidden="true" customHeight="true" outlineLevel="0" collapsed="false">
      <c r="B337" s="183" t="str">
        <f aca="false">IF($A337="","",IFERROR(VLOOKUP($A337,Skills!$A:$C,2,FALSE())&amp;" "&amp;VLOOKUP($A337,Skills!$A:$C,3,FALSE()),"Stelvale Valebrook"))</f>
        <v/>
      </c>
      <c r="C337" s="184" t="n">
        <f aca="false">IFERROR(VLOOKUP(A337,Skills!$A:$D,4,FALSE()),"")</f>
        <v>0</v>
      </c>
      <c r="F337" s="186" t="str">
        <f aca="false">IF(OR(E337="",G337=""),"",WORKDAY(E337-1,G337))</f>
        <v/>
      </c>
      <c r="J337" s="0" t="str">
        <f aca="false">IF($A337="","",IF(COUNTIF(Skills!$A:$A,$A337)=0,"⚠ ID absent du roster",""))</f>
        <v/>
      </c>
    </row>
    <row r="338" customFormat="false" ht="15" hidden="true" customHeight="true" outlineLevel="0" collapsed="false">
      <c r="B338" s="183" t="str">
        <f aca="false">IF($A338="","",IFERROR(VLOOKUP($A338,Skills!$A:$C,2,FALSE())&amp;" "&amp;VLOOKUP($A338,Skills!$A:$C,3,FALSE()),"Stelvale Valebrook"))</f>
        <v/>
      </c>
      <c r="C338" s="184" t="n">
        <f aca="false">IFERROR(VLOOKUP(A338,Skills!$A:$D,4,FALSE()),"")</f>
        <v>0</v>
      </c>
      <c r="F338" s="186" t="str">
        <f aca="false">IF(OR(E338="",G338=""),"",WORKDAY(E338-1,G338))</f>
        <v/>
      </c>
      <c r="J338" s="0" t="str">
        <f aca="false">IF($A338="","",IF(COUNTIF(Skills!$A:$A,$A338)=0,"⚠ ID absent du roster",""))</f>
        <v/>
      </c>
    </row>
    <row r="339" customFormat="false" ht="15" hidden="true" customHeight="true" outlineLevel="0" collapsed="false">
      <c r="B339" s="183" t="str">
        <f aca="false">IF($A339="","",IFERROR(VLOOKUP($A339,Skills!$A:$C,2,FALSE())&amp;" "&amp;VLOOKUP($A339,Skills!$A:$C,3,FALSE()),"Stelvale Valebrook"))</f>
        <v/>
      </c>
      <c r="C339" s="184" t="n">
        <f aca="false">IFERROR(VLOOKUP(A339,Skills!$A:$D,4,FALSE()),"")</f>
        <v>0</v>
      </c>
      <c r="F339" s="186" t="str">
        <f aca="false">IF(OR(E339="",G339=""),"",WORKDAY(E339-1,G339))</f>
        <v/>
      </c>
      <c r="J339" s="0" t="str">
        <f aca="false">IF($A339="","",IF(COUNTIF(Skills!$A:$A,$A339)=0,"⚠ ID absent du roster",""))</f>
        <v/>
      </c>
    </row>
    <row r="340" customFormat="false" ht="15" hidden="true" customHeight="true" outlineLevel="0" collapsed="false">
      <c r="B340" s="183" t="str">
        <f aca="false">IF($A340="","",IFERROR(VLOOKUP($A340,Skills!$A:$C,2,FALSE())&amp;" "&amp;VLOOKUP($A340,Skills!$A:$C,3,FALSE()),"Stelvale Valebrook"))</f>
        <v/>
      </c>
      <c r="C340" s="184" t="n">
        <f aca="false">IFERROR(VLOOKUP(A340,Skills!$A:$D,4,FALSE()),"")</f>
        <v>0</v>
      </c>
      <c r="F340" s="186" t="str">
        <f aca="false">IF(OR(E340="",G340=""),"",WORKDAY(E340-1,G340))</f>
        <v/>
      </c>
      <c r="J340" s="0" t="str">
        <f aca="false">IF($A340="","",IF(COUNTIF(Skills!$A:$A,$A340)=0,"⚠ ID absent du roster",""))</f>
        <v/>
      </c>
    </row>
    <row r="341" customFormat="false" ht="15" hidden="true" customHeight="true" outlineLevel="0" collapsed="false">
      <c r="B341" s="183" t="str">
        <f aca="false">IF($A341="","",IFERROR(VLOOKUP($A341,Skills!$A:$C,2,FALSE())&amp;" "&amp;VLOOKUP($A341,Skills!$A:$C,3,FALSE()),"Stelvale Valebrook"))</f>
        <v/>
      </c>
      <c r="C341" s="184" t="n">
        <f aca="false">IFERROR(VLOOKUP(A341,Skills!$A:$D,4,FALSE()),"")</f>
        <v>0</v>
      </c>
      <c r="F341" s="186" t="str">
        <f aca="false">IF(OR(E341="",G341=""),"",WORKDAY(E341-1,G341))</f>
        <v/>
      </c>
      <c r="J341" s="0" t="str">
        <f aca="false">IF($A341="","",IF(COUNTIF(Skills!$A:$A,$A341)=0,"⚠ ID absent du roster",""))</f>
        <v/>
      </c>
    </row>
    <row r="342" customFormat="false" ht="15" hidden="true" customHeight="true" outlineLevel="0" collapsed="false">
      <c r="B342" s="183" t="str">
        <f aca="false">IF($A342="","",IFERROR(VLOOKUP($A342,Skills!$A:$C,2,FALSE())&amp;" "&amp;VLOOKUP($A342,Skills!$A:$C,3,FALSE()),"Stelvale Valebrook"))</f>
        <v/>
      </c>
      <c r="C342" s="184" t="n">
        <f aca="false">IFERROR(VLOOKUP(A342,Skills!$A:$D,4,FALSE()),"")</f>
        <v>0</v>
      </c>
      <c r="F342" s="186" t="str">
        <f aca="false">IF(OR(E342="",G342=""),"",WORKDAY(E342-1,G342))</f>
        <v/>
      </c>
      <c r="J342" s="0" t="str">
        <f aca="false">IF($A342="","",IF(COUNTIF(Skills!$A:$A,$A342)=0,"⚠ ID absent du roster",""))</f>
        <v/>
      </c>
    </row>
    <row r="343" customFormat="false" ht="15" hidden="true" customHeight="true" outlineLevel="0" collapsed="false">
      <c r="B343" s="183" t="str">
        <f aca="false">IF($A343="","",IFERROR(VLOOKUP($A343,Skills!$A:$C,2,FALSE())&amp;" "&amp;VLOOKUP($A343,Skills!$A:$C,3,FALSE()),"Stelvale Valebrook"))</f>
        <v/>
      </c>
      <c r="C343" s="184" t="n">
        <f aca="false">IFERROR(VLOOKUP(A343,Skills!$A:$D,4,FALSE()),"")</f>
        <v>0</v>
      </c>
      <c r="F343" s="186" t="str">
        <f aca="false">IF(OR(E343="",G343=""),"",WORKDAY(E343-1,G343))</f>
        <v/>
      </c>
      <c r="J343" s="0" t="str">
        <f aca="false">IF($A343="","",IF(COUNTIF(Skills!$A:$A,$A343)=0,"⚠ ID absent du roster",""))</f>
        <v/>
      </c>
    </row>
    <row r="344" customFormat="false" ht="15" hidden="true" customHeight="true" outlineLevel="0" collapsed="false">
      <c r="B344" s="183" t="str">
        <f aca="false">IF($A344="","",IFERROR(VLOOKUP($A344,Skills!$A:$C,2,FALSE())&amp;" "&amp;VLOOKUP($A344,Skills!$A:$C,3,FALSE()),"Stelvale Valebrook"))</f>
        <v/>
      </c>
      <c r="C344" s="184" t="n">
        <f aca="false">IFERROR(VLOOKUP(A344,Skills!$A:$D,4,FALSE()),"")</f>
        <v>0</v>
      </c>
      <c r="F344" s="186" t="str">
        <f aca="false">IF(OR(E344="",G344=""),"",WORKDAY(E344-1,G344))</f>
        <v/>
      </c>
      <c r="J344" s="0" t="str">
        <f aca="false">IF($A344="","",IF(COUNTIF(Skills!$A:$A,$A344)=0,"⚠ ID absent du roster",""))</f>
        <v/>
      </c>
    </row>
    <row r="345" customFormat="false" ht="15" hidden="true" customHeight="true" outlineLevel="0" collapsed="false">
      <c r="B345" s="183" t="str">
        <f aca="false">IF($A345="","",IFERROR(VLOOKUP($A345,Skills!$A:$C,2,FALSE())&amp;" "&amp;VLOOKUP($A345,Skills!$A:$C,3,FALSE()),"Stelvale Valebrook"))</f>
        <v/>
      </c>
      <c r="C345" s="184" t="n">
        <f aca="false">IFERROR(VLOOKUP(A345,Skills!$A:$D,4,FALSE()),"")</f>
        <v>0</v>
      </c>
      <c r="F345" s="186" t="str">
        <f aca="false">IF(OR(E345="",G345=""),"",WORKDAY(E345-1,G345))</f>
        <v/>
      </c>
      <c r="J345" s="0" t="str">
        <f aca="false">IF($A345="","",IF(COUNTIF(Skills!$A:$A,$A345)=0,"⚠ ID absent du roster",""))</f>
        <v/>
      </c>
    </row>
    <row r="346" customFormat="false" ht="15" hidden="true" customHeight="true" outlineLevel="0" collapsed="false">
      <c r="B346" s="183" t="str">
        <f aca="false">IF($A346="","",IFERROR(VLOOKUP($A346,Skills!$A:$C,2,FALSE())&amp;" "&amp;VLOOKUP($A346,Skills!$A:$C,3,FALSE()),"Stelvale Valebrook"))</f>
        <v/>
      </c>
      <c r="C346" s="184" t="n">
        <f aca="false">IFERROR(VLOOKUP(A346,Skills!$A:$D,4,FALSE()),"")</f>
        <v>0</v>
      </c>
      <c r="F346" s="186" t="str">
        <f aca="false">IF(OR(E346="",G346=""),"",WORKDAY(E346-1,G346))</f>
        <v/>
      </c>
      <c r="J346" s="0" t="str">
        <f aca="false">IF($A346="","",IF(COUNTIF(Skills!$A:$A,$A346)=0,"⚠ ID absent du roster",""))</f>
        <v/>
      </c>
    </row>
    <row r="347" customFormat="false" ht="15" hidden="true" customHeight="true" outlineLevel="0" collapsed="false">
      <c r="B347" s="183" t="str">
        <f aca="false">IF($A347="","",IFERROR(VLOOKUP($A347,Skills!$A:$C,2,FALSE())&amp;" "&amp;VLOOKUP($A347,Skills!$A:$C,3,FALSE()),"Stelvale Valebrook"))</f>
        <v/>
      </c>
      <c r="C347" s="184" t="n">
        <f aca="false">IFERROR(VLOOKUP(A347,Skills!$A:$D,4,FALSE()),"")</f>
        <v>0</v>
      </c>
      <c r="F347" s="186" t="str">
        <f aca="false">IF(OR(E347="",G347=""),"",WORKDAY(E347-1,G347))</f>
        <v/>
      </c>
      <c r="J347" s="0" t="str">
        <f aca="false">IF($A347="","",IF(COUNTIF(Skills!$A:$A,$A347)=0,"⚠ ID absent du roster",""))</f>
        <v/>
      </c>
    </row>
    <row r="348" customFormat="false" ht="15" hidden="true" customHeight="true" outlineLevel="0" collapsed="false">
      <c r="B348" s="183" t="str">
        <f aca="false">IF($A348="","",IFERROR(VLOOKUP($A348,Skills!$A:$C,2,FALSE())&amp;" "&amp;VLOOKUP($A348,Skills!$A:$C,3,FALSE()),"Stelvale Valebrook"))</f>
        <v/>
      </c>
      <c r="C348" s="184" t="n">
        <f aca="false">IFERROR(VLOOKUP(A348,Skills!$A:$D,4,FALSE()),"")</f>
        <v>0</v>
      </c>
      <c r="F348" s="186" t="str">
        <f aca="false">IF(OR(E348="",G348=""),"",WORKDAY(E348-1,G348))</f>
        <v/>
      </c>
      <c r="J348" s="0" t="str">
        <f aca="false">IF($A348="","",IF(COUNTIF(Skills!$A:$A,$A348)=0,"⚠ ID absent du roster",""))</f>
        <v/>
      </c>
    </row>
    <row r="349" customFormat="false" ht="15" hidden="true" customHeight="true" outlineLevel="0" collapsed="false">
      <c r="B349" s="183" t="str">
        <f aca="false">IF($A349="","",IFERROR(VLOOKUP($A349,Skills!$A:$C,2,FALSE())&amp;" "&amp;VLOOKUP($A349,Skills!$A:$C,3,FALSE()),"Stelvale Valebrook"))</f>
        <v/>
      </c>
      <c r="C349" s="184" t="n">
        <f aca="false">IFERROR(VLOOKUP(A349,Skills!$A:$D,4,FALSE()),"")</f>
        <v>0</v>
      </c>
      <c r="F349" s="186" t="str">
        <f aca="false">IF(OR(E349="",G349=""),"",WORKDAY(E349-1,G349))</f>
        <v/>
      </c>
      <c r="J349" s="0" t="str">
        <f aca="false">IF($A349="","",IF(COUNTIF(Skills!$A:$A,$A349)=0,"⚠ ID absent du roster",""))</f>
        <v/>
      </c>
    </row>
    <row r="350" customFormat="false" ht="15" hidden="true" customHeight="true" outlineLevel="0" collapsed="false">
      <c r="B350" s="183" t="str">
        <f aca="false">IF($A350="","",IFERROR(VLOOKUP($A350,Skills!$A:$C,2,FALSE())&amp;" "&amp;VLOOKUP($A350,Skills!$A:$C,3,FALSE()),"Stelvale Valebrook"))</f>
        <v/>
      </c>
      <c r="C350" s="184" t="n">
        <f aca="false">IFERROR(VLOOKUP(A350,Skills!$A:$D,4,FALSE()),"")</f>
        <v>0</v>
      </c>
      <c r="F350" s="186" t="str">
        <f aca="false">IF(OR(E350="",G350=""),"",WORKDAY(E350-1,G350))</f>
        <v/>
      </c>
      <c r="J350" s="0" t="str">
        <f aca="false">IF($A350="","",IF(COUNTIF(Skills!$A:$A,$A350)=0,"⚠ ID absent du roster",""))</f>
        <v/>
      </c>
    </row>
    <row r="351" customFormat="false" ht="15" hidden="true" customHeight="true" outlineLevel="0" collapsed="false">
      <c r="B351" s="183" t="str">
        <f aca="false">IF($A351="","",IFERROR(VLOOKUP($A351,Skills!$A:$C,2,FALSE())&amp;" "&amp;VLOOKUP($A351,Skills!$A:$C,3,FALSE()),"Stelvale Valebrook"))</f>
        <v/>
      </c>
      <c r="C351" s="184" t="n">
        <f aca="false">IFERROR(VLOOKUP(A351,Skills!$A:$D,4,FALSE()),"")</f>
        <v>0</v>
      </c>
      <c r="F351" s="186" t="str">
        <f aca="false">IF(OR(E351="",G351=""),"",WORKDAY(E351-1,G351))</f>
        <v/>
      </c>
      <c r="J351" s="0" t="str">
        <f aca="false">IF($A351="","",IF(COUNTIF(Skills!$A:$A,$A351)=0,"⚠ ID absent du roster",""))</f>
        <v/>
      </c>
    </row>
    <row r="352" customFormat="false" ht="15" hidden="true" customHeight="true" outlineLevel="0" collapsed="false">
      <c r="B352" s="183" t="str">
        <f aca="false">IF($A352="","",IFERROR(VLOOKUP($A352,Skills!$A:$C,2,FALSE())&amp;" "&amp;VLOOKUP($A352,Skills!$A:$C,3,FALSE()),"Stelvale Valebrook"))</f>
        <v/>
      </c>
      <c r="C352" s="184" t="n">
        <f aca="false">IFERROR(VLOOKUP(A352,Skills!$A:$D,4,FALSE()),"")</f>
        <v>0</v>
      </c>
      <c r="F352" s="186" t="str">
        <f aca="false">IF(OR(E352="",G352=""),"",WORKDAY(E352-1,G352))</f>
        <v/>
      </c>
      <c r="J352" s="0" t="str">
        <f aca="false">IF($A352="","",IF(COUNTIF(Skills!$A:$A,$A352)=0,"⚠ ID absent du roster",""))</f>
        <v/>
      </c>
    </row>
    <row r="353" customFormat="false" ht="15" hidden="true" customHeight="true" outlineLevel="0" collapsed="false">
      <c r="B353" s="183" t="str">
        <f aca="false">IF($A353="","",IFERROR(VLOOKUP($A353,Skills!$A:$C,2,FALSE())&amp;" "&amp;VLOOKUP($A353,Skills!$A:$C,3,FALSE()),"Stelvale Valebrook"))</f>
        <v/>
      </c>
      <c r="C353" s="184" t="n">
        <f aca="false">IFERROR(VLOOKUP(A353,Skills!$A:$D,4,FALSE()),"")</f>
        <v>0</v>
      </c>
      <c r="F353" s="186" t="str">
        <f aca="false">IF(OR(E353="",G353=""),"",WORKDAY(E353-1,G353))</f>
        <v/>
      </c>
      <c r="J353" s="0" t="str">
        <f aca="false">IF($A353="","",IF(COUNTIF(Skills!$A:$A,$A353)=0,"⚠ ID absent du roster",""))</f>
        <v/>
      </c>
    </row>
    <row r="354" customFormat="false" ht="15" hidden="true" customHeight="true" outlineLevel="0" collapsed="false">
      <c r="B354" s="183" t="str">
        <f aca="false">IF($A354="","",IFERROR(VLOOKUP($A354,Skills!$A:$C,2,FALSE())&amp;" "&amp;VLOOKUP($A354,Skills!$A:$C,3,FALSE()),"Stelvale Valebrook"))</f>
        <v/>
      </c>
      <c r="C354" s="184" t="n">
        <f aca="false">IFERROR(VLOOKUP(A354,Skills!$A:$D,4,FALSE()),"")</f>
        <v>0</v>
      </c>
      <c r="F354" s="186" t="str">
        <f aca="false">IF(OR(E354="",G354=""),"",WORKDAY(E354-1,G354))</f>
        <v/>
      </c>
      <c r="J354" s="0" t="str">
        <f aca="false">IF($A354="","",IF(COUNTIF(Skills!$A:$A,$A354)=0,"⚠ ID absent du roster",""))</f>
        <v/>
      </c>
    </row>
    <row r="355" customFormat="false" ht="15" hidden="true" customHeight="true" outlineLevel="0" collapsed="false">
      <c r="B355" s="183" t="str">
        <f aca="false">IF($A355="","",IFERROR(VLOOKUP($A355,Skills!$A:$C,2,FALSE())&amp;" "&amp;VLOOKUP($A355,Skills!$A:$C,3,FALSE()),"Stelvale Valebrook"))</f>
        <v/>
      </c>
      <c r="C355" s="184" t="n">
        <f aca="false">IFERROR(VLOOKUP(A355,Skills!$A:$D,4,FALSE()),"")</f>
        <v>0</v>
      </c>
      <c r="F355" s="186" t="str">
        <f aca="false">IF(OR(E355="",G355=""),"",WORKDAY(E355-1,G355))</f>
        <v/>
      </c>
      <c r="J355" s="0" t="str">
        <f aca="false">IF($A355="","",IF(COUNTIF(Skills!$A:$A,$A355)=0,"⚠ ID absent du roster",""))</f>
        <v/>
      </c>
    </row>
    <row r="356" customFormat="false" ht="15" hidden="true" customHeight="true" outlineLevel="0" collapsed="false">
      <c r="B356" s="183" t="str">
        <f aca="false">IF($A356="","",IFERROR(VLOOKUP($A356,Skills!$A:$C,2,FALSE())&amp;" "&amp;VLOOKUP($A356,Skills!$A:$C,3,FALSE()),"Stelvale Valebrook"))</f>
        <v/>
      </c>
      <c r="C356" s="184" t="n">
        <f aca="false">IFERROR(VLOOKUP(A356,Skills!$A:$D,4,FALSE()),"")</f>
        <v>0</v>
      </c>
      <c r="F356" s="186" t="str">
        <f aca="false">IF(OR(E356="",G356=""),"",WORKDAY(E356-1,G356))</f>
        <v/>
      </c>
      <c r="J356" s="0" t="str">
        <f aca="false">IF($A356="","",IF(COUNTIF(Skills!$A:$A,$A356)=0,"⚠ ID absent du roster",""))</f>
        <v/>
      </c>
    </row>
    <row r="357" customFormat="false" ht="15" hidden="true" customHeight="true" outlineLevel="0" collapsed="false">
      <c r="B357" s="183" t="str">
        <f aca="false">IF($A357="","",IFERROR(VLOOKUP($A357,Skills!$A:$C,2,FALSE())&amp;" "&amp;VLOOKUP($A357,Skills!$A:$C,3,FALSE()),"Stelvale Valebrook"))</f>
        <v/>
      </c>
      <c r="C357" s="184" t="n">
        <f aca="false">IFERROR(VLOOKUP(A357,Skills!$A:$D,4,FALSE()),"")</f>
        <v>0</v>
      </c>
      <c r="F357" s="186" t="str">
        <f aca="false">IF(OR(E357="",G357=""),"",WORKDAY(E357-1,G357))</f>
        <v/>
      </c>
      <c r="J357" s="0" t="str">
        <f aca="false">IF($A357="","",IF(COUNTIF(Skills!$A:$A,$A357)=0,"⚠ ID absent du roster",""))</f>
        <v/>
      </c>
    </row>
    <row r="358" customFormat="false" ht="15" hidden="true" customHeight="true" outlineLevel="0" collapsed="false">
      <c r="B358" s="183" t="str">
        <f aca="false">IF($A358="","",IFERROR(VLOOKUP($A358,Skills!$A:$C,2,FALSE())&amp;" "&amp;VLOOKUP($A358,Skills!$A:$C,3,FALSE()),"Stelvale Valebrook"))</f>
        <v/>
      </c>
      <c r="C358" s="184" t="n">
        <f aca="false">IFERROR(VLOOKUP(A358,Skills!$A:$D,4,FALSE()),"")</f>
        <v>0</v>
      </c>
      <c r="F358" s="186" t="str">
        <f aca="false">IF(OR(E358="",G358=""),"",WORKDAY(E358-1,G358))</f>
        <v/>
      </c>
      <c r="J358" s="0" t="str">
        <f aca="false">IF($A358="","",IF(COUNTIF(Skills!$A:$A,$A358)=0,"⚠ ID absent du roster",""))</f>
        <v/>
      </c>
    </row>
    <row r="359" customFormat="false" ht="15" hidden="true" customHeight="true" outlineLevel="0" collapsed="false">
      <c r="B359" s="183" t="str">
        <f aca="false">IF($A359="","",IFERROR(VLOOKUP($A359,Skills!$A:$C,2,FALSE())&amp;" "&amp;VLOOKUP($A359,Skills!$A:$C,3,FALSE()),"Stelvale Valebrook"))</f>
        <v/>
      </c>
      <c r="C359" s="184" t="n">
        <f aca="false">IFERROR(VLOOKUP(A359,Skills!$A:$D,4,FALSE()),"")</f>
        <v>0</v>
      </c>
      <c r="F359" s="186" t="str">
        <f aca="false">IF(OR(E359="",G359=""),"",WORKDAY(E359-1,G359))</f>
        <v/>
      </c>
      <c r="J359" s="0" t="str">
        <f aca="false">IF($A359="","",IF(COUNTIF(Skills!$A:$A,$A359)=0,"⚠ ID absent du roster",""))</f>
        <v/>
      </c>
    </row>
    <row r="360" customFormat="false" ht="15" hidden="true" customHeight="true" outlineLevel="0" collapsed="false">
      <c r="B360" s="183" t="str">
        <f aca="false">IF($A360="","",IFERROR(VLOOKUP($A360,Skills!$A:$C,2,FALSE())&amp;" "&amp;VLOOKUP($A360,Skills!$A:$C,3,FALSE()),"Stelvale Valebrook"))</f>
        <v/>
      </c>
      <c r="C360" s="184" t="n">
        <f aca="false">IFERROR(VLOOKUP(A360,Skills!$A:$D,4,FALSE()),"")</f>
        <v>0</v>
      </c>
      <c r="F360" s="186" t="str">
        <f aca="false">IF(OR(E360="",G360=""),"",WORKDAY(E360-1,G360))</f>
        <v/>
      </c>
      <c r="J360" s="0" t="str">
        <f aca="false">IF($A360="","",IF(COUNTIF(Skills!$A:$A,$A360)=0,"⚠ ID absent du roster",""))</f>
        <v/>
      </c>
    </row>
    <row r="361" customFormat="false" ht="15" hidden="true" customHeight="true" outlineLevel="0" collapsed="false">
      <c r="B361" s="183" t="str">
        <f aca="false">IF($A361="","",IFERROR(VLOOKUP($A361,Skills!$A:$C,2,FALSE())&amp;" "&amp;VLOOKUP($A361,Skills!$A:$C,3,FALSE()),"Stelvale Valebrook"))</f>
        <v/>
      </c>
      <c r="C361" s="184" t="n">
        <f aca="false">IFERROR(VLOOKUP(A361,Skills!$A:$D,4,FALSE()),"")</f>
        <v>0</v>
      </c>
      <c r="F361" s="186" t="str">
        <f aca="false">IF(OR(E361="",G361=""),"",WORKDAY(E361-1,G361))</f>
        <v/>
      </c>
      <c r="J361" s="0" t="str">
        <f aca="false">IF($A361="","",IF(COUNTIF(Skills!$A:$A,$A361)=0,"⚠ ID absent du roster",""))</f>
        <v/>
      </c>
    </row>
    <row r="362" customFormat="false" ht="15" hidden="true" customHeight="true" outlineLevel="0" collapsed="false">
      <c r="B362" s="183" t="str">
        <f aca="false">IF($A362="","",IFERROR(VLOOKUP($A362,Skills!$A:$C,2,FALSE())&amp;" "&amp;VLOOKUP($A362,Skills!$A:$C,3,FALSE()),"Stelvale Valebrook"))</f>
        <v/>
      </c>
      <c r="C362" s="184" t="n">
        <f aca="false">IFERROR(VLOOKUP(A362,Skills!$A:$D,4,FALSE()),"")</f>
        <v>0</v>
      </c>
      <c r="F362" s="186" t="str">
        <f aca="false">IF(OR(E362="",G362=""),"",WORKDAY(E362-1,G362))</f>
        <v/>
      </c>
      <c r="J362" s="0" t="str">
        <f aca="false">IF($A362="","",IF(COUNTIF(Skills!$A:$A,$A362)=0,"⚠ ID absent du roster",""))</f>
        <v/>
      </c>
    </row>
    <row r="363" customFormat="false" ht="15" hidden="true" customHeight="true" outlineLevel="0" collapsed="false">
      <c r="B363" s="183" t="str">
        <f aca="false">IF($A363="","",IFERROR(VLOOKUP($A363,Skills!$A:$C,2,FALSE())&amp;" "&amp;VLOOKUP($A363,Skills!$A:$C,3,FALSE()),"Stelvale Valebrook"))</f>
        <v/>
      </c>
      <c r="C363" s="184" t="n">
        <f aca="false">IFERROR(VLOOKUP(A363,Skills!$A:$D,4,FALSE()),"")</f>
        <v>0</v>
      </c>
      <c r="F363" s="186" t="str">
        <f aca="false">IF(OR(E363="",G363=""),"",WORKDAY(E363-1,G363))</f>
        <v/>
      </c>
      <c r="J363" s="0" t="str">
        <f aca="false">IF($A363="","",IF(COUNTIF(Skills!$A:$A,$A363)=0,"⚠ ID absent du roster",""))</f>
        <v/>
      </c>
    </row>
    <row r="364" customFormat="false" ht="15" hidden="true" customHeight="true" outlineLevel="0" collapsed="false">
      <c r="B364" s="183" t="str">
        <f aca="false">IF($A364="","",IFERROR(VLOOKUP($A364,Skills!$A:$C,2,FALSE())&amp;" "&amp;VLOOKUP($A364,Skills!$A:$C,3,FALSE()),"Stelvale Valebrook"))</f>
        <v/>
      </c>
      <c r="C364" s="184" t="n">
        <f aca="false">IFERROR(VLOOKUP(A364,Skills!$A:$D,4,FALSE()),"")</f>
        <v>0</v>
      </c>
      <c r="F364" s="186" t="str">
        <f aca="false">IF(OR(E364="",G364=""),"",WORKDAY(E364-1,G364))</f>
        <v/>
      </c>
      <c r="J364" s="0" t="str">
        <f aca="false">IF($A364="","",IF(COUNTIF(Skills!$A:$A,$A364)=0,"⚠ ID absent du roster",""))</f>
        <v/>
      </c>
    </row>
    <row r="365" customFormat="false" ht="15" hidden="true" customHeight="true" outlineLevel="0" collapsed="false">
      <c r="B365" s="183" t="str">
        <f aca="false">IF($A365="","",IFERROR(VLOOKUP($A365,Skills!$A:$C,2,FALSE())&amp;" "&amp;VLOOKUP($A365,Skills!$A:$C,3,FALSE()),"Stelvale Valebrook"))</f>
        <v/>
      </c>
      <c r="C365" s="184" t="n">
        <f aca="false">IFERROR(VLOOKUP(A365,Skills!$A:$D,4,FALSE()),"")</f>
        <v>0</v>
      </c>
      <c r="F365" s="186" t="str">
        <f aca="false">IF(OR(E365="",G365=""),"",WORKDAY(E365-1,G365))</f>
        <v/>
      </c>
      <c r="J365" s="0" t="str">
        <f aca="false">IF($A365="","",IF(COUNTIF(Skills!$A:$A,$A365)=0,"⚠ ID absent du roster",""))</f>
        <v/>
      </c>
    </row>
    <row r="366" customFormat="false" ht="15" hidden="true" customHeight="true" outlineLevel="0" collapsed="false">
      <c r="B366" s="183" t="str">
        <f aca="false">IF($A366="","",IFERROR(VLOOKUP($A366,Skills!$A:$C,2,FALSE())&amp;" "&amp;VLOOKUP($A366,Skills!$A:$C,3,FALSE()),"Stelvale Valebrook"))</f>
        <v/>
      </c>
      <c r="C366" s="184" t="n">
        <f aca="false">IFERROR(VLOOKUP(A366,Skills!$A:$D,4,FALSE()),"")</f>
        <v>0</v>
      </c>
      <c r="F366" s="186" t="str">
        <f aca="false">IF(OR(E366="",G366=""),"",WORKDAY(E366-1,G366))</f>
        <v/>
      </c>
      <c r="J366" s="0" t="str">
        <f aca="false">IF($A366="","",IF(COUNTIF(Skills!$A:$A,$A366)=0,"⚠ ID absent du roster",""))</f>
        <v/>
      </c>
    </row>
    <row r="367" customFormat="false" ht="15" hidden="true" customHeight="true" outlineLevel="0" collapsed="false">
      <c r="B367" s="183" t="str">
        <f aca="false">IF($A367="","",IFERROR(VLOOKUP($A367,Skills!$A:$C,2,FALSE())&amp;" "&amp;VLOOKUP($A367,Skills!$A:$C,3,FALSE()),"Stelvale Valebrook"))</f>
        <v/>
      </c>
      <c r="C367" s="184" t="n">
        <f aca="false">IFERROR(VLOOKUP(A367,Skills!$A:$D,4,FALSE()),"")</f>
        <v>0</v>
      </c>
      <c r="F367" s="186" t="str">
        <f aca="false">IF(OR(E367="",G367=""),"",WORKDAY(E367-1,G367))</f>
        <v/>
      </c>
      <c r="J367" s="0" t="str">
        <f aca="false">IF($A367="","",IF(COUNTIF(Skills!$A:$A,$A367)=0,"⚠ ID absent du roster",""))</f>
        <v/>
      </c>
    </row>
    <row r="368" customFormat="false" ht="15" hidden="true" customHeight="true" outlineLevel="0" collapsed="false">
      <c r="B368" s="183" t="str">
        <f aca="false">IF($A368="","",IFERROR(VLOOKUP($A368,Skills!$A:$C,2,FALSE())&amp;" "&amp;VLOOKUP($A368,Skills!$A:$C,3,FALSE()),"Stelvale Valebrook"))</f>
        <v/>
      </c>
      <c r="C368" s="184" t="n">
        <f aca="false">IFERROR(VLOOKUP(A368,Skills!$A:$D,4,FALSE()),"")</f>
        <v>0</v>
      </c>
      <c r="F368" s="186" t="str">
        <f aca="false">IF(OR(E368="",G368=""),"",WORKDAY(E368-1,G368))</f>
        <v/>
      </c>
      <c r="J368" s="0" t="str">
        <f aca="false">IF($A368="","",IF(COUNTIF(Skills!$A:$A,$A368)=0,"⚠ ID absent du roster",""))</f>
        <v/>
      </c>
    </row>
    <row r="369" customFormat="false" ht="15" hidden="true" customHeight="true" outlineLevel="0" collapsed="false">
      <c r="B369" s="183" t="str">
        <f aca="false">IF($A369="","",IFERROR(VLOOKUP($A369,Skills!$A:$C,2,FALSE())&amp;" "&amp;VLOOKUP($A369,Skills!$A:$C,3,FALSE()),"Stelvale Valebrook"))</f>
        <v/>
      </c>
      <c r="C369" s="184" t="n">
        <f aca="false">IFERROR(VLOOKUP(A369,Skills!$A:$D,4,FALSE()),"")</f>
        <v>0</v>
      </c>
      <c r="F369" s="186" t="str">
        <f aca="false">IF(OR(E369="",G369=""),"",WORKDAY(E369-1,G369))</f>
        <v/>
      </c>
      <c r="J369" s="0" t="str">
        <f aca="false">IF($A369="","",IF(COUNTIF(Skills!$A:$A,$A369)=0,"⚠ ID absent du roster",""))</f>
        <v/>
      </c>
    </row>
    <row r="370" customFormat="false" ht="15" hidden="true" customHeight="true" outlineLevel="0" collapsed="false">
      <c r="B370" s="183" t="str">
        <f aca="false">IF($A370="","",IFERROR(VLOOKUP($A370,Skills!$A:$C,2,FALSE())&amp;" "&amp;VLOOKUP($A370,Skills!$A:$C,3,FALSE()),"Stelvale Valebrook"))</f>
        <v/>
      </c>
      <c r="C370" s="184" t="n">
        <f aca="false">IFERROR(VLOOKUP(A370,Skills!$A:$D,4,FALSE()),"")</f>
        <v>0</v>
      </c>
      <c r="F370" s="186" t="str">
        <f aca="false">IF(OR(E370="",G370=""),"",WORKDAY(E370-1,G370))</f>
        <v/>
      </c>
      <c r="J370" s="0" t="str">
        <f aca="false">IF($A370="","",IF(COUNTIF(Skills!$A:$A,$A370)=0,"⚠ ID absent du roster",""))</f>
        <v/>
      </c>
    </row>
    <row r="371" customFormat="false" ht="15" hidden="true" customHeight="true" outlineLevel="0" collapsed="false">
      <c r="B371" s="183" t="str">
        <f aca="false">IF($A371="","",IFERROR(VLOOKUP($A371,Skills!$A:$C,2,FALSE())&amp;" "&amp;VLOOKUP($A371,Skills!$A:$C,3,FALSE()),"Stelvale Valebrook"))</f>
        <v/>
      </c>
      <c r="C371" s="184" t="n">
        <f aca="false">IFERROR(VLOOKUP(A371,Skills!$A:$D,4,FALSE()),"")</f>
        <v>0</v>
      </c>
      <c r="F371" s="186" t="str">
        <f aca="false">IF(OR(E371="",G371=""),"",WORKDAY(E371-1,G371))</f>
        <v/>
      </c>
      <c r="J371" s="0" t="str">
        <f aca="false">IF($A371="","",IF(COUNTIF(Skills!$A:$A,$A371)=0,"⚠ ID absent du roster",""))</f>
        <v/>
      </c>
    </row>
    <row r="372" customFormat="false" ht="15" hidden="true" customHeight="true" outlineLevel="0" collapsed="false">
      <c r="B372" s="183" t="str">
        <f aca="false">IF($A372="","",IFERROR(VLOOKUP($A372,Skills!$A:$C,2,FALSE())&amp;" "&amp;VLOOKUP($A372,Skills!$A:$C,3,FALSE()),"Stelvale Valebrook"))</f>
        <v/>
      </c>
      <c r="C372" s="184" t="n">
        <f aca="false">IFERROR(VLOOKUP(A372,Skills!$A:$D,4,FALSE()),"")</f>
        <v>0</v>
      </c>
      <c r="F372" s="186" t="str">
        <f aca="false">IF(OR(E372="",G372=""),"",WORKDAY(E372-1,G372))</f>
        <v/>
      </c>
      <c r="J372" s="0" t="str">
        <f aca="false">IF($A372="","",IF(COUNTIF(Skills!$A:$A,$A372)=0,"⚠ ID absent du roster",""))</f>
        <v/>
      </c>
    </row>
    <row r="373" customFormat="false" ht="15" hidden="true" customHeight="true" outlineLevel="0" collapsed="false">
      <c r="B373" s="183" t="str">
        <f aca="false">IF($A373="","",IFERROR(VLOOKUP($A373,Skills!$A:$C,2,FALSE())&amp;" "&amp;VLOOKUP($A373,Skills!$A:$C,3,FALSE()),"Stelvale Valebrook"))</f>
        <v/>
      </c>
      <c r="C373" s="184" t="n">
        <f aca="false">IFERROR(VLOOKUP(A373,Skills!$A:$D,4,FALSE()),"")</f>
        <v>0</v>
      </c>
      <c r="F373" s="186" t="str">
        <f aca="false">IF(OR(E373="",G373=""),"",WORKDAY(E373-1,G373))</f>
        <v/>
      </c>
      <c r="J373" s="0" t="str">
        <f aca="false">IF($A373="","",IF(COUNTIF(Skills!$A:$A,$A373)=0,"⚠ ID absent du roster",""))</f>
        <v/>
      </c>
    </row>
    <row r="374" customFormat="false" ht="15" hidden="true" customHeight="true" outlineLevel="0" collapsed="false">
      <c r="B374" s="183" t="str">
        <f aca="false">IF($A374="","",IFERROR(VLOOKUP($A374,Skills!$A:$C,2,FALSE())&amp;" "&amp;VLOOKUP($A374,Skills!$A:$C,3,FALSE()),"Stelvale Valebrook"))</f>
        <v/>
      </c>
      <c r="C374" s="184" t="n">
        <f aca="false">IFERROR(VLOOKUP(A374,Skills!$A:$D,4,FALSE()),"")</f>
        <v>0</v>
      </c>
      <c r="F374" s="186" t="str">
        <f aca="false">IF(OR(E374="",G374=""),"",WORKDAY(E374-1,G374))</f>
        <v/>
      </c>
      <c r="J374" s="0" t="str">
        <f aca="false">IF($A374="","",IF(COUNTIF(Skills!$A:$A,$A374)=0,"⚠ ID absent du roster",""))</f>
        <v/>
      </c>
    </row>
    <row r="375" customFormat="false" ht="15" hidden="true" customHeight="true" outlineLevel="0" collapsed="false">
      <c r="B375" s="183" t="str">
        <f aca="false">IF($A375="","",IFERROR(VLOOKUP($A375,Skills!$A:$C,2,FALSE())&amp;" "&amp;VLOOKUP($A375,Skills!$A:$C,3,FALSE()),"Stelvale Valebrook"))</f>
        <v/>
      </c>
      <c r="C375" s="184" t="n">
        <f aca="false">IFERROR(VLOOKUP(A375,Skills!$A:$D,4,FALSE()),"")</f>
        <v>0</v>
      </c>
      <c r="F375" s="186" t="str">
        <f aca="false">IF(OR(E375="",G375=""),"",WORKDAY(E375-1,G375))</f>
        <v/>
      </c>
      <c r="J375" s="0" t="str">
        <f aca="false">IF($A375="","",IF(COUNTIF(Skills!$A:$A,$A375)=0,"⚠ ID absent du roster",""))</f>
        <v/>
      </c>
    </row>
    <row r="376" customFormat="false" ht="15" hidden="true" customHeight="true" outlineLevel="0" collapsed="false">
      <c r="B376" s="183" t="str">
        <f aca="false">IF($A376="","",IFERROR(VLOOKUP($A376,Skills!$A:$C,2,FALSE())&amp;" "&amp;VLOOKUP($A376,Skills!$A:$C,3,FALSE()),"Stelvale Valebrook"))</f>
        <v/>
      </c>
      <c r="C376" s="184" t="n">
        <f aca="false">IFERROR(VLOOKUP(A376,Skills!$A:$D,4,FALSE()),"")</f>
        <v>0</v>
      </c>
      <c r="F376" s="186" t="str">
        <f aca="false">IF(OR(E376="",G376=""),"",WORKDAY(E376-1,G376))</f>
        <v/>
      </c>
      <c r="J376" s="0" t="str">
        <f aca="false">IF($A376="","",IF(COUNTIF(Skills!$A:$A,$A376)=0,"⚠ ID absent du roster",""))</f>
        <v/>
      </c>
    </row>
    <row r="377" customFormat="false" ht="15" hidden="true" customHeight="true" outlineLevel="0" collapsed="false">
      <c r="B377" s="183" t="str">
        <f aca="false">IF($A377="","",IFERROR(VLOOKUP($A377,Skills!$A:$C,2,FALSE())&amp;" "&amp;VLOOKUP($A377,Skills!$A:$C,3,FALSE()),"Stelvale Valebrook"))</f>
        <v/>
      </c>
      <c r="C377" s="184" t="n">
        <f aca="false">IFERROR(VLOOKUP(A377,Skills!$A:$D,4,FALSE()),"")</f>
        <v>0</v>
      </c>
      <c r="F377" s="186" t="str">
        <f aca="false">IF(OR(E377="",G377=""),"",WORKDAY(E377-1,G377))</f>
        <v/>
      </c>
      <c r="J377" s="0" t="str">
        <f aca="false">IF($A377="","",IF(COUNTIF(Skills!$A:$A,$A377)=0,"⚠ ID absent du roster",""))</f>
        <v/>
      </c>
    </row>
    <row r="378" customFormat="false" ht="15" hidden="true" customHeight="true" outlineLevel="0" collapsed="false">
      <c r="B378" s="183" t="str">
        <f aca="false">IF($A378="","",IFERROR(VLOOKUP($A378,Skills!$A:$C,2,FALSE())&amp;" "&amp;VLOOKUP($A378,Skills!$A:$C,3,FALSE()),"Stelvale Valebrook"))</f>
        <v/>
      </c>
      <c r="C378" s="184" t="n">
        <f aca="false">IFERROR(VLOOKUP(A378,Skills!$A:$D,4,FALSE()),"")</f>
        <v>0</v>
      </c>
      <c r="F378" s="186" t="str">
        <f aca="false">IF(OR(E378="",G378=""),"",WORKDAY(E378-1,G378))</f>
        <v/>
      </c>
      <c r="J378" s="0" t="str">
        <f aca="false">IF($A378="","",IF(COUNTIF(Skills!$A:$A,$A378)=0,"⚠ ID absent du roster",""))</f>
        <v/>
      </c>
    </row>
    <row r="379" customFormat="false" ht="15" hidden="true" customHeight="true" outlineLevel="0" collapsed="false">
      <c r="B379" s="183" t="str">
        <f aca="false">IF($A379="","",IFERROR(VLOOKUP($A379,Skills!$A:$C,2,FALSE())&amp;" "&amp;VLOOKUP($A379,Skills!$A:$C,3,FALSE()),"Stelvale Valebrook"))</f>
        <v/>
      </c>
      <c r="C379" s="184" t="n">
        <f aca="false">IFERROR(VLOOKUP(A379,Skills!$A:$D,4,FALSE()),"")</f>
        <v>0</v>
      </c>
      <c r="F379" s="186" t="str">
        <f aca="false">IF(OR(E379="",G379=""),"",WORKDAY(E379-1,G379))</f>
        <v/>
      </c>
      <c r="J379" s="0" t="str">
        <f aca="false">IF($A379="","",IF(COUNTIF(Skills!$A:$A,$A379)=0,"⚠ ID absent du roster",""))</f>
        <v/>
      </c>
    </row>
    <row r="380" customFormat="false" ht="15" hidden="true" customHeight="true" outlineLevel="0" collapsed="false">
      <c r="B380" s="183" t="str">
        <f aca="false">IF($A380="","",IFERROR(VLOOKUP($A380,Skills!$A:$C,2,FALSE())&amp;" "&amp;VLOOKUP($A380,Skills!$A:$C,3,FALSE()),"Stelvale Valebrook"))</f>
        <v/>
      </c>
      <c r="C380" s="184" t="n">
        <f aca="false">IFERROR(VLOOKUP(A380,Skills!$A:$D,4,FALSE()),"")</f>
        <v>0</v>
      </c>
      <c r="F380" s="186" t="str">
        <f aca="false">IF(OR(E380="",G380=""),"",WORKDAY(E380-1,G380))</f>
        <v/>
      </c>
      <c r="J380" s="0" t="str">
        <f aca="false">IF($A380="","",IF(COUNTIF(Skills!$A:$A,$A380)=0,"⚠ ID absent du roster",""))</f>
        <v/>
      </c>
    </row>
    <row r="381" customFormat="false" ht="15" hidden="true" customHeight="true" outlineLevel="0" collapsed="false">
      <c r="B381" s="183" t="str">
        <f aca="false">IF($A381="","",IFERROR(VLOOKUP($A381,Skills!$A:$C,2,FALSE())&amp;" "&amp;VLOOKUP($A381,Skills!$A:$C,3,FALSE()),"Stelvale Valebrook"))</f>
        <v/>
      </c>
      <c r="C381" s="184" t="n">
        <f aca="false">IFERROR(VLOOKUP(A381,Skills!$A:$D,4,FALSE()),"")</f>
        <v>0</v>
      </c>
      <c r="F381" s="186" t="str">
        <f aca="false">IF(OR(E381="",G381=""),"",WORKDAY(E381-1,G381))</f>
        <v/>
      </c>
      <c r="J381" s="0" t="str">
        <f aca="false">IF($A381="","",IF(COUNTIF(Skills!$A:$A,$A381)=0,"⚠ ID absent du roster",""))</f>
        <v/>
      </c>
    </row>
    <row r="382" customFormat="false" ht="15" hidden="true" customHeight="true" outlineLevel="0" collapsed="false">
      <c r="B382" s="183" t="str">
        <f aca="false">IF($A382="","",IFERROR(VLOOKUP($A382,Skills!$A:$C,2,FALSE())&amp;" "&amp;VLOOKUP($A382,Skills!$A:$C,3,FALSE()),"Stelvale Valebrook"))</f>
        <v/>
      </c>
      <c r="C382" s="184" t="n">
        <f aca="false">IFERROR(VLOOKUP(A382,Skills!$A:$D,4,FALSE()),"")</f>
        <v>0</v>
      </c>
      <c r="F382" s="186" t="str">
        <f aca="false">IF(OR(E382="",G382=""),"",WORKDAY(E382-1,G382))</f>
        <v/>
      </c>
      <c r="J382" s="0" t="str">
        <f aca="false">IF($A382="","",IF(COUNTIF(Skills!$A:$A,$A382)=0,"⚠ ID absent du roster",""))</f>
        <v/>
      </c>
    </row>
    <row r="383" customFormat="false" ht="15" hidden="true" customHeight="true" outlineLevel="0" collapsed="false">
      <c r="B383" s="183" t="str">
        <f aca="false">IF($A383="","",IFERROR(VLOOKUP($A383,Skills!$A:$C,2,FALSE())&amp;" "&amp;VLOOKUP($A383,Skills!$A:$C,3,FALSE()),"Stelvale Valebrook"))</f>
        <v/>
      </c>
      <c r="C383" s="184" t="n">
        <f aca="false">IFERROR(VLOOKUP(A383,Skills!$A:$D,4,FALSE()),"")</f>
        <v>0</v>
      </c>
      <c r="F383" s="186" t="str">
        <f aca="false">IF(OR(E383="",G383=""),"",WORKDAY(E383-1,G383))</f>
        <v/>
      </c>
      <c r="J383" s="0" t="str">
        <f aca="false">IF($A383="","",IF(COUNTIF(Skills!$A:$A,$A383)=0,"⚠ ID absent du roster",""))</f>
        <v/>
      </c>
    </row>
    <row r="384" customFormat="false" ht="15" hidden="true" customHeight="true" outlineLevel="0" collapsed="false">
      <c r="B384" s="183" t="str">
        <f aca="false">IF($A384="","",IFERROR(VLOOKUP($A384,Skills!$A:$C,2,FALSE())&amp;" "&amp;VLOOKUP($A384,Skills!$A:$C,3,FALSE()),"Stelvale Valebrook"))</f>
        <v/>
      </c>
      <c r="C384" s="184" t="n">
        <f aca="false">IFERROR(VLOOKUP(A384,Skills!$A:$D,4,FALSE()),"")</f>
        <v>0</v>
      </c>
      <c r="F384" s="186" t="str">
        <f aca="false">IF(OR(E384="",G384=""),"",WORKDAY(E384-1,G384))</f>
        <v/>
      </c>
      <c r="J384" s="0" t="str">
        <f aca="false">IF($A384="","",IF(COUNTIF(Skills!$A:$A,$A384)=0,"⚠ ID absent du roster",""))</f>
        <v/>
      </c>
    </row>
    <row r="385" customFormat="false" ht="15" hidden="true" customHeight="true" outlineLevel="0" collapsed="false">
      <c r="B385" s="183" t="str">
        <f aca="false">IF($A385="","",IFERROR(VLOOKUP($A385,Skills!$A:$C,2,FALSE())&amp;" "&amp;VLOOKUP($A385,Skills!$A:$C,3,FALSE()),"Stelvale Valebrook"))</f>
        <v/>
      </c>
      <c r="C385" s="184" t="n">
        <f aca="false">IFERROR(VLOOKUP(A385,Skills!$A:$D,4,FALSE()),"")</f>
        <v>0</v>
      </c>
      <c r="F385" s="186" t="str">
        <f aca="false">IF(OR(E385="",G385=""),"",WORKDAY(E385-1,G385))</f>
        <v/>
      </c>
      <c r="J385" s="0" t="str">
        <f aca="false">IF($A385="","",IF(COUNTIF(Skills!$A:$A,$A385)=0,"⚠ ID absent du roster",""))</f>
        <v/>
      </c>
    </row>
    <row r="386" customFormat="false" ht="15" hidden="true" customHeight="true" outlineLevel="0" collapsed="false">
      <c r="B386" s="183" t="str">
        <f aca="false">IF($A386="","",IFERROR(VLOOKUP($A386,Skills!$A:$C,2,FALSE())&amp;" "&amp;VLOOKUP($A386,Skills!$A:$C,3,FALSE()),"Stelvale Valebrook"))</f>
        <v/>
      </c>
      <c r="C386" s="184" t="n">
        <f aca="false">IFERROR(VLOOKUP(A386,Skills!$A:$D,4,FALSE()),"")</f>
        <v>0</v>
      </c>
      <c r="F386" s="186" t="str">
        <f aca="false">IF(OR(E386="",G386=""),"",WORKDAY(E386-1,G386))</f>
        <v/>
      </c>
      <c r="J386" s="0" t="str">
        <f aca="false">IF($A386="","",IF(COUNTIF(Skills!$A:$A,$A386)=0,"⚠ ID absent du roster",""))</f>
        <v/>
      </c>
    </row>
    <row r="387" customFormat="false" ht="15" hidden="true" customHeight="true" outlineLevel="0" collapsed="false">
      <c r="B387" s="183" t="str">
        <f aca="false">IF($A387="","",IFERROR(VLOOKUP($A387,Skills!$A:$C,2,FALSE())&amp;" "&amp;VLOOKUP($A387,Skills!$A:$C,3,FALSE()),"Stelvale Valebrook"))</f>
        <v/>
      </c>
      <c r="C387" s="184" t="n">
        <f aca="false">IFERROR(VLOOKUP(A387,Skills!$A:$D,4,FALSE()),"")</f>
        <v>0</v>
      </c>
      <c r="F387" s="186" t="str">
        <f aca="false">IF(OR(E387="",G387=""),"",WORKDAY(E387-1,G387))</f>
        <v/>
      </c>
      <c r="J387" s="0" t="str">
        <f aca="false">IF($A387="","",IF(COUNTIF(Skills!$A:$A,$A387)=0,"⚠ ID absent du roster",""))</f>
        <v/>
      </c>
    </row>
    <row r="388" customFormat="false" ht="15" hidden="true" customHeight="true" outlineLevel="0" collapsed="false">
      <c r="B388" s="183" t="str">
        <f aca="false">IF($A388="","",IFERROR(VLOOKUP($A388,Skills!$A:$C,2,FALSE())&amp;" "&amp;VLOOKUP($A388,Skills!$A:$C,3,FALSE()),"Stelvale Valebrook"))</f>
        <v/>
      </c>
      <c r="C388" s="184" t="n">
        <f aca="false">IFERROR(VLOOKUP(A388,Skills!$A:$D,4,FALSE()),"")</f>
        <v>0</v>
      </c>
      <c r="F388" s="186" t="str">
        <f aca="false">IF(OR(E388="",G388=""),"",WORKDAY(E388-1,G388))</f>
        <v/>
      </c>
      <c r="J388" s="0" t="str">
        <f aca="false">IF($A388="","",IF(COUNTIF(Skills!$A:$A,$A388)=0,"⚠ ID absent du roster",""))</f>
        <v/>
      </c>
    </row>
    <row r="389" customFormat="false" ht="15" hidden="true" customHeight="true" outlineLevel="0" collapsed="false">
      <c r="B389" s="183" t="str">
        <f aca="false">IF($A389="","",IFERROR(VLOOKUP($A389,Skills!$A:$C,2,FALSE())&amp;" "&amp;VLOOKUP($A389,Skills!$A:$C,3,FALSE()),"Stelvale Valebrook"))</f>
        <v/>
      </c>
      <c r="C389" s="184" t="n">
        <f aca="false">IFERROR(VLOOKUP(A389,Skills!$A:$D,4,FALSE()),"")</f>
        <v>0</v>
      </c>
      <c r="F389" s="186" t="str">
        <f aca="false">IF(OR(E389="",G389=""),"",WORKDAY(E389-1,G389))</f>
        <v/>
      </c>
      <c r="J389" s="0" t="str">
        <f aca="false">IF($A389="","",IF(COUNTIF(Skills!$A:$A,$A389)=0,"⚠ ID absent du roster",""))</f>
        <v/>
      </c>
    </row>
    <row r="390" customFormat="false" ht="15" hidden="true" customHeight="true" outlineLevel="0" collapsed="false">
      <c r="B390" s="183" t="str">
        <f aca="false">IF($A390="","",IFERROR(VLOOKUP($A390,Skills!$A:$C,2,FALSE())&amp;" "&amp;VLOOKUP($A390,Skills!$A:$C,3,FALSE()),"Stelvale Valebrook"))</f>
        <v/>
      </c>
      <c r="C390" s="184" t="n">
        <f aca="false">IFERROR(VLOOKUP(A390,Skills!$A:$D,4,FALSE()),"")</f>
        <v>0</v>
      </c>
      <c r="F390" s="186" t="str">
        <f aca="false">IF(OR(E390="",G390=""),"",WORKDAY(E390-1,G390))</f>
        <v/>
      </c>
      <c r="J390" s="0" t="str">
        <f aca="false">IF($A390="","",IF(COUNTIF(Skills!$A:$A,$A390)=0,"⚠ ID absent du roster",""))</f>
        <v/>
      </c>
    </row>
    <row r="391" customFormat="false" ht="15" hidden="true" customHeight="true" outlineLevel="0" collapsed="false">
      <c r="B391" s="183" t="str">
        <f aca="false">IF($A391="","",IFERROR(VLOOKUP($A391,Skills!$A:$C,2,FALSE())&amp;" "&amp;VLOOKUP($A391,Skills!$A:$C,3,FALSE()),"Stelvale Valebrook"))</f>
        <v/>
      </c>
      <c r="C391" s="184" t="n">
        <f aca="false">IFERROR(VLOOKUP(A391,Skills!$A:$D,4,FALSE()),"")</f>
        <v>0</v>
      </c>
      <c r="F391" s="186" t="str">
        <f aca="false">IF(OR(E391="",G391=""),"",WORKDAY(E391-1,G391))</f>
        <v/>
      </c>
      <c r="J391" s="0" t="str">
        <f aca="false">IF($A391="","",IF(COUNTIF(Skills!$A:$A,$A391)=0,"⚠ ID absent du roster",""))</f>
        <v/>
      </c>
    </row>
    <row r="392" customFormat="false" ht="15" hidden="true" customHeight="true" outlineLevel="0" collapsed="false">
      <c r="B392" s="183" t="str">
        <f aca="false">IF($A392="","",IFERROR(VLOOKUP($A392,Skills!$A:$C,2,FALSE())&amp;" "&amp;VLOOKUP($A392,Skills!$A:$C,3,FALSE()),"Stelvale Valebrook"))</f>
        <v/>
      </c>
      <c r="C392" s="184" t="n">
        <f aca="false">IFERROR(VLOOKUP(A392,Skills!$A:$D,4,FALSE()),"")</f>
        <v>0</v>
      </c>
      <c r="F392" s="186" t="str">
        <f aca="false">IF(OR(E392="",G392=""),"",WORKDAY(E392-1,G392))</f>
        <v/>
      </c>
      <c r="J392" s="0" t="str">
        <f aca="false">IF($A392="","",IF(COUNTIF(Skills!$A:$A,$A392)=0,"⚠ ID absent du roster",""))</f>
        <v/>
      </c>
    </row>
    <row r="393" customFormat="false" ht="15" hidden="true" customHeight="true" outlineLevel="0" collapsed="false">
      <c r="B393" s="183" t="str">
        <f aca="false">IF($A393="","",IFERROR(VLOOKUP($A393,Skills!$A:$C,2,FALSE())&amp;" "&amp;VLOOKUP($A393,Skills!$A:$C,3,FALSE()),"Stelvale Valebrook"))</f>
        <v/>
      </c>
      <c r="C393" s="184" t="n">
        <f aca="false">IFERROR(VLOOKUP(A393,Skills!$A:$D,4,FALSE()),"")</f>
        <v>0</v>
      </c>
      <c r="F393" s="186" t="str">
        <f aca="false">IF(OR(E393="",G393=""),"",WORKDAY(E393-1,G393))</f>
        <v/>
      </c>
      <c r="J393" s="0" t="str">
        <f aca="false">IF($A393="","",IF(COUNTIF(Skills!$A:$A,$A393)=0,"⚠ ID absent du roster",""))</f>
        <v/>
      </c>
    </row>
    <row r="394" customFormat="false" ht="15" hidden="true" customHeight="true" outlineLevel="0" collapsed="false">
      <c r="B394" s="183" t="str">
        <f aca="false">IF($A394="","",IFERROR(VLOOKUP($A394,Skills!$A:$C,2,FALSE())&amp;" "&amp;VLOOKUP($A394,Skills!$A:$C,3,FALSE()),"Stelvale Valebrook"))</f>
        <v/>
      </c>
      <c r="C394" s="184" t="n">
        <f aca="false">IFERROR(VLOOKUP(A394,Skills!$A:$D,4,FALSE()),"")</f>
        <v>0</v>
      </c>
      <c r="F394" s="186" t="str">
        <f aca="false">IF(OR(E394="",G394=""),"",WORKDAY(E394-1,G394))</f>
        <v/>
      </c>
      <c r="J394" s="0" t="str">
        <f aca="false">IF($A394="","",IF(COUNTIF(Skills!$A:$A,$A394)=0,"⚠ ID absent du roster",""))</f>
        <v/>
      </c>
    </row>
    <row r="395" customFormat="false" ht="15" hidden="true" customHeight="true" outlineLevel="0" collapsed="false">
      <c r="B395" s="183" t="str">
        <f aca="false">IF($A395="","",IFERROR(VLOOKUP($A395,Skills!$A:$C,2,FALSE())&amp;" "&amp;VLOOKUP($A395,Skills!$A:$C,3,FALSE()),"Stelvale Valebrook"))</f>
        <v/>
      </c>
      <c r="C395" s="184" t="n">
        <f aca="false">IFERROR(VLOOKUP(A395,Skills!$A:$D,4,FALSE()),"")</f>
        <v>0</v>
      </c>
      <c r="F395" s="186" t="str">
        <f aca="false">IF(OR(E395="",G395=""),"",WORKDAY(E395-1,G395))</f>
        <v/>
      </c>
      <c r="J395" s="0" t="str">
        <f aca="false">IF($A395="","",IF(COUNTIF(Skills!$A:$A,$A395)=0,"⚠ ID absent du roster",""))</f>
        <v/>
      </c>
    </row>
    <row r="396" customFormat="false" ht="15" hidden="true" customHeight="true" outlineLevel="0" collapsed="false">
      <c r="B396" s="183" t="str">
        <f aca="false">IF($A396="","",IFERROR(VLOOKUP($A396,Skills!$A:$C,2,FALSE())&amp;" "&amp;VLOOKUP($A396,Skills!$A:$C,3,FALSE()),"Stelvale Valebrook"))</f>
        <v/>
      </c>
      <c r="C396" s="184" t="n">
        <f aca="false">IFERROR(VLOOKUP(A396,Skills!$A:$D,4,FALSE()),"")</f>
        <v>0</v>
      </c>
      <c r="F396" s="186" t="str">
        <f aca="false">IF(OR(E396="",G396=""),"",WORKDAY(E396-1,G396))</f>
        <v/>
      </c>
      <c r="J396" s="0" t="str">
        <f aca="false">IF($A396="","",IF(COUNTIF(Skills!$A:$A,$A396)=0,"⚠ ID absent du roster",""))</f>
        <v/>
      </c>
    </row>
    <row r="397" customFormat="false" ht="15" hidden="true" customHeight="true" outlineLevel="0" collapsed="false">
      <c r="B397" s="183" t="str">
        <f aca="false">IF($A397="","",IFERROR(VLOOKUP($A397,Skills!$A:$C,2,FALSE())&amp;" "&amp;VLOOKUP($A397,Skills!$A:$C,3,FALSE()),"Stelvale Valebrook"))</f>
        <v/>
      </c>
      <c r="C397" s="184" t="n">
        <f aca="false">IFERROR(VLOOKUP(A397,Skills!$A:$D,4,FALSE()),"")</f>
        <v>0</v>
      </c>
      <c r="F397" s="186" t="str">
        <f aca="false">IF(OR(E397="",G397=""),"",WORKDAY(E397-1,G397))</f>
        <v/>
      </c>
      <c r="J397" s="0" t="str">
        <f aca="false">IF($A397="","",IF(COUNTIF(Skills!$A:$A,$A397)=0,"⚠ ID absent du roster",""))</f>
        <v/>
      </c>
    </row>
    <row r="398" customFormat="false" ht="15" hidden="true" customHeight="true" outlineLevel="0" collapsed="false">
      <c r="B398" s="183" t="str">
        <f aca="false">IF($A398="","",IFERROR(VLOOKUP($A398,Skills!$A:$C,2,FALSE())&amp;" "&amp;VLOOKUP($A398,Skills!$A:$C,3,FALSE()),"Stelvale Valebrook"))</f>
        <v/>
      </c>
      <c r="C398" s="184" t="n">
        <f aca="false">IFERROR(VLOOKUP(A398,Skills!$A:$D,4,FALSE()),"")</f>
        <v>0</v>
      </c>
      <c r="F398" s="186" t="str">
        <f aca="false">IF(OR(E398="",G398=""),"",WORKDAY(E398-1,G398))</f>
        <v/>
      </c>
      <c r="J398" s="0" t="str">
        <f aca="false">IF($A398="","",IF(COUNTIF(Skills!$A:$A,$A398)=0,"⚠ ID absent du roster",""))</f>
        <v/>
      </c>
    </row>
    <row r="399" customFormat="false" ht="15" hidden="true" customHeight="true" outlineLevel="0" collapsed="false">
      <c r="B399" s="183" t="str">
        <f aca="false">IF($A399="","",IFERROR(VLOOKUP($A399,Skills!$A:$C,2,FALSE())&amp;" "&amp;VLOOKUP($A399,Skills!$A:$C,3,FALSE()),"Stelvale Valebrook"))</f>
        <v/>
      </c>
      <c r="C399" s="184" t="n">
        <f aca="false">IFERROR(VLOOKUP(A399,Skills!$A:$D,4,FALSE()),"")</f>
        <v>0</v>
      </c>
      <c r="F399" s="186" t="str">
        <f aca="false">IF(OR(E399="",G399=""),"",WORKDAY(E399-1,G399))</f>
        <v/>
      </c>
      <c r="J399" s="0" t="str">
        <f aca="false">IF($A399="","",IF(COUNTIF(Skills!$A:$A,$A399)=0,"⚠ ID absent du roster",""))</f>
        <v/>
      </c>
    </row>
    <row r="400" customFormat="false" ht="15" hidden="true" customHeight="true" outlineLevel="0" collapsed="false">
      <c r="B400" s="183" t="str">
        <f aca="false">IF($A400="","",IFERROR(VLOOKUP($A400,Skills!$A:$C,2,FALSE())&amp;" "&amp;VLOOKUP($A400,Skills!$A:$C,3,FALSE()),"Stelvale Valebrook"))</f>
        <v/>
      </c>
      <c r="C400" s="184" t="n">
        <f aca="false">IFERROR(VLOOKUP(A400,Skills!$A:$D,4,FALSE()),"")</f>
        <v>0</v>
      </c>
      <c r="F400" s="186" t="str">
        <f aca="false">IF(OR(E400="",G400=""),"",WORKDAY(E400-1,G400))</f>
        <v/>
      </c>
      <c r="J400" s="0" t="str">
        <f aca="false">IF($A400="","",IF(COUNTIF(Skills!$A:$A,$A400)=0,"⚠ ID absent du roster",""))</f>
        <v/>
      </c>
    </row>
    <row r="401" customFormat="false" ht="15" hidden="true" customHeight="true" outlineLevel="0" collapsed="false">
      <c r="B401" s="183" t="str">
        <f aca="false">IF($A401="","",IFERROR(VLOOKUP($A401,Skills!$A:$C,2,FALSE())&amp;" "&amp;VLOOKUP($A401,Skills!$A:$C,3,FALSE()),"Stelvale Valebrook"))</f>
        <v/>
      </c>
      <c r="C401" s="184" t="n">
        <f aca="false">IFERROR(VLOOKUP(A401,Skills!$A:$D,4,FALSE()),"")</f>
        <v>0</v>
      </c>
      <c r="F401" s="186" t="str">
        <f aca="false">IF(OR(E401="",G401=""),"",WORKDAY(E401-1,G401))</f>
        <v/>
      </c>
      <c r="J401" s="0" t="str">
        <f aca="false">IF($A401="","",IF(COUNTIF(Skills!$A:$A,$A401)=0,"⚠ ID absent du roster",""))</f>
        <v/>
      </c>
    </row>
    <row r="402" customFormat="false" ht="15" hidden="true" customHeight="true" outlineLevel="0" collapsed="false">
      <c r="B402" s="183" t="str">
        <f aca="false">IF($A402="","",IFERROR(VLOOKUP($A402,Skills!$A:$C,2,FALSE())&amp;" "&amp;VLOOKUP($A402,Skills!$A:$C,3,FALSE()),"Stelvale Valebrook"))</f>
        <v/>
      </c>
      <c r="C402" s="184" t="n">
        <f aca="false">IFERROR(VLOOKUP(A402,Skills!$A:$D,4,FALSE()),"")</f>
        <v>0</v>
      </c>
      <c r="F402" s="186" t="str">
        <f aca="false">IF(OR(E402="",G402=""),"",WORKDAY(E402-1,G402))</f>
        <v/>
      </c>
      <c r="J402" s="0" t="str">
        <f aca="false">IF($A402="","",IF(COUNTIF(Skills!$A:$A,$A402)=0,"⚠ ID absent du roster",""))</f>
        <v/>
      </c>
    </row>
    <row r="403" customFormat="false" ht="15" hidden="true" customHeight="true" outlineLevel="0" collapsed="false">
      <c r="B403" s="183" t="str">
        <f aca="false">IF($A403="","",IFERROR(VLOOKUP($A403,Skills!$A:$C,2,FALSE())&amp;" "&amp;VLOOKUP($A403,Skills!$A:$C,3,FALSE()),"Stelvale Valebrook"))</f>
        <v/>
      </c>
      <c r="C403" s="184" t="n">
        <f aca="false">IFERROR(VLOOKUP(A403,Skills!$A:$D,4,FALSE()),"")</f>
        <v>0</v>
      </c>
      <c r="F403" s="186" t="str">
        <f aca="false">IF(OR(E403="",G403=""),"",WORKDAY(E403-1,G403))</f>
        <v/>
      </c>
      <c r="J403" s="0" t="str">
        <f aca="false">IF($A403="","",IF(COUNTIF(Skills!$A:$A,$A403)=0,"⚠ ID absent du roster",""))</f>
        <v/>
      </c>
    </row>
    <row r="404" customFormat="false" ht="15" hidden="true" customHeight="true" outlineLevel="0" collapsed="false">
      <c r="B404" s="183" t="str">
        <f aca="false">IF($A404="","",IFERROR(VLOOKUP($A404,Skills!$A:$C,2,FALSE())&amp;" "&amp;VLOOKUP($A404,Skills!$A:$C,3,FALSE()),"Stelvale Valebrook"))</f>
        <v/>
      </c>
      <c r="C404" s="184" t="n">
        <f aca="false">IFERROR(VLOOKUP(A404,Skills!$A:$D,4,FALSE()),"")</f>
        <v>0</v>
      </c>
      <c r="F404" s="186" t="str">
        <f aca="false">IF(OR(E404="",G404=""),"",WORKDAY(E404-1,G404))</f>
        <v/>
      </c>
      <c r="J404" s="0" t="str">
        <f aca="false">IF($A404="","",IF(COUNTIF(Skills!$A:$A,$A404)=0,"⚠ ID absent du roster",""))</f>
        <v/>
      </c>
    </row>
    <row r="405" customFormat="false" ht="15" hidden="true" customHeight="true" outlineLevel="0" collapsed="false">
      <c r="B405" s="183" t="str">
        <f aca="false">IF($A405="","",IFERROR(VLOOKUP($A405,Skills!$A:$C,2,FALSE())&amp;" "&amp;VLOOKUP($A405,Skills!$A:$C,3,FALSE()),"Stelvale Valebrook"))</f>
        <v/>
      </c>
      <c r="C405" s="184" t="n">
        <f aca="false">IFERROR(VLOOKUP(A405,Skills!$A:$D,4,FALSE()),"")</f>
        <v>0</v>
      </c>
      <c r="F405" s="186" t="str">
        <f aca="false">IF(OR(E405="",G405=""),"",WORKDAY(E405-1,G405))</f>
        <v/>
      </c>
      <c r="J405" s="0" t="str">
        <f aca="false">IF($A405="","",IF(COUNTIF(Skills!$A:$A,$A405)=0,"⚠ ID absent du roster",""))</f>
        <v/>
      </c>
    </row>
    <row r="406" customFormat="false" ht="15" hidden="true" customHeight="true" outlineLevel="0" collapsed="false">
      <c r="B406" s="183" t="str">
        <f aca="false">IF($A406="","",IFERROR(VLOOKUP($A406,Skills!$A:$C,2,FALSE())&amp;" "&amp;VLOOKUP($A406,Skills!$A:$C,3,FALSE()),"Stelvale Valebrook"))</f>
        <v/>
      </c>
      <c r="C406" s="184" t="n">
        <f aca="false">IFERROR(VLOOKUP(A406,Skills!$A:$D,4,FALSE()),"")</f>
        <v>0</v>
      </c>
      <c r="F406" s="186" t="str">
        <f aca="false">IF(OR(E406="",G406=""),"",WORKDAY(E406-1,G406))</f>
        <v/>
      </c>
      <c r="J406" s="0" t="str">
        <f aca="false">IF($A406="","",IF(COUNTIF(Skills!$A:$A,$A406)=0,"⚠ ID absent du roster",""))</f>
        <v/>
      </c>
    </row>
    <row r="407" customFormat="false" ht="15" hidden="true" customHeight="true" outlineLevel="0" collapsed="false">
      <c r="B407" s="183" t="str">
        <f aca="false">IF($A407="","",IFERROR(VLOOKUP($A407,Skills!$A:$C,2,FALSE())&amp;" "&amp;VLOOKUP($A407,Skills!$A:$C,3,FALSE()),"Stelvale Valebrook"))</f>
        <v/>
      </c>
      <c r="C407" s="184" t="n">
        <f aca="false">IFERROR(VLOOKUP(A407,Skills!$A:$D,4,FALSE()),"")</f>
        <v>0</v>
      </c>
      <c r="F407" s="186" t="str">
        <f aca="false">IF(OR(E407="",G407=""),"",WORKDAY(E407-1,G407))</f>
        <v/>
      </c>
      <c r="J407" s="0" t="str">
        <f aca="false">IF($A407="","",IF(COUNTIF(Skills!$A:$A,$A407)=0,"⚠ ID absent du roster",""))</f>
        <v/>
      </c>
    </row>
    <row r="408" customFormat="false" ht="15" hidden="true" customHeight="true" outlineLevel="0" collapsed="false">
      <c r="B408" s="183" t="str">
        <f aca="false">IF($A408="","",IFERROR(VLOOKUP($A408,Skills!$A:$C,2,FALSE())&amp;" "&amp;VLOOKUP($A408,Skills!$A:$C,3,FALSE()),"Stelvale Valebrook"))</f>
        <v/>
      </c>
      <c r="C408" s="184" t="n">
        <f aca="false">IFERROR(VLOOKUP(A408,Skills!$A:$D,4,FALSE()),"")</f>
        <v>0</v>
      </c>
      <c r="F408" s="186" t="str">
        <f aca="false">IF(OR(E408="",G408=""),"",WORKDAY(E408-1,G408))</f>
        <v/>
      </c>
      <c r="J408" s="0" t="str">
        <f aca="false">IF($A408="","",IF(COUNTIF(Skills!$A:$A,$A408)=0,"⚠ ID absent du roster",""))</f>
        <v/>
      </c>
    </row>
    <row r="409" customFormat="false" ht="15" hidden="true" customHeight="true" outlineLevel="0" collapsed="false">
      <c r="B409" s="183" t="str">
        <f aca="false">IF($A409="","",IFERROR(VLOOKUP($A409,Skills!$A:$C,2,FALSE())&amp;" "&amp;VLOOKUP($A409,Skills!$A:$C,3,FALSE()),"Stelvale Valebrook"))</f>
        <v/>
      </c>
      <c r="C409" s="184" t="n">
        <f aca="false">IFERROR(VLOOKUP(A409,Skills!$A:$D,4,FALSE()),"")</f>
        <v>0</v>
      </c>
      <c r="F409" s="186" t="str">
        <f aca="false">IF(OR(E409="",G409=""),"",WORKDAY(E409-1,G409))</f>
        <v/>
      </c>
      <c r="J409" s="0" t="str">
        <f aca="false">IF($A409="","",IF(COUNTIF(Skills!$A:$A,$A409)=0,"⚠ ID absent du roster",""))</f>
        <v/>
      </c>
    </row>
    <row r="410" customFormat="false" ht="15" hidden="true" customHeight="true" outlineLevel="0" collapsed="false">
      <c r="B410" s="183" t="str">
        <f aca="false">IF($A410="","",IFERROR(VLOOKUP($A410,Skills!$A:$C,2,FALSE())&amp;" "&amp;VLOOKUP($A410,Skills!$A:$C,3,FALSE()),"Stelvale Valebrook"))</f>
        <v/>
      </c>
      <c r="C410" s="184" t="n">
        <f aca="false">IFERROR(VLOOKUP(A410,Skills!$A:$D,4,FALSE()),"")</f>
        <v>0</v>
      </c>
      <c r="F410" s="186" t="str">
        <f aca="false">IF(OR(E410="",G410=""),"",WORKDAY(E410-1,G410))</f>
        <v/>
      </c>
      <c r="J410" s="0" t="str">
        <f aca="false">IF($A410="","",IF(COUNTIF(Skills!$A:$A,$A410)=0,"⚠ ID absent du roster",""))</f>
        <v/>
      </c>
    </row>
    <row r="411" customFormat="false" ht="15" hidden="true" customHeight="true" outlineLevel="0" collapsed="false">
      <c r="B411" s="183" t="str">
        <f aca="false">IF($A411="","",IFERROR(VLOOKUP($A411,Skills!$A:$C,2,FALSE())&amp;" "&amp;VLOOKUP($A411,Skills!$A:$C,3,FALSE()),"Stelvale Valebrook"))</f>
        <v/>
      </c>
      <c r="C411" s="184" t="n">
        <f aca="false">IFERROR(VLOOKUP(A411,Skills!$A:$D,4,FALSE()),"")</f>
        <v>0</v>
      </c>
      <c r="F411" s="186" t="str">
        <f aca="false">IF(OR(E411="",G411=""),"",WORKDAY(E411-1,G411))</f>
        <v/>
      </c>
      <c r="J411" s="0" t="str">
        <f aca="false">IF($A411="","",IF(COUNTIF(Skills!$A:$A,$A411)=0,"⚠ ID absent du roster",""))</f>
        <v/>
      </c>
    </row>
    <row r="412" customFormat="false" ht="15" hidden="true" customHeight="true" outlineLevel="0" collapsed="false">
      <c r="B412" s="183" t="str">
        <f aca="false">IF($A412="","",IFERROR(VLOOKUP($A412,Skills!$A:$C,2,FALSE())&amp;" "&amp;VLOOKUP($A412,Skills!$A:$C,3,FALSE()),"Stelvale Valebrook"))</f>
        <v/>
      </c>
      <c r="C412" s="184" t="n">
        <f aca="false">IFERROR(VLOOKUP(A412,Skills!$A:$D,4,FALSE()),"")</f>
        <v>0</v>
      </c>
      <c r="F412" s="186" t="str">
        <f aca="false">IF(OR(E412="",G412=""),"",WORKDAY(E412-1,G412))</f>
        <v/>
      </c>
      <c r="J412" s="0" t="str">
        <f aca="false">IF($A412="","",IF(COUNTIF(Skills!$A:$A,$A412)=0,"⚠ ID absent du roster",""))</f>
        <v/>
      </c>
    </row>
    <row r="413" customFormat="false" ht="15" hidden="true" customHeight="true" outlineLevel="0" collapsed="false">
      <c r="B413" s="183" t="str">
        <f aca="false">IF($A413="","",IFERROR(VLOOKUP($A413,Skills!$A:$C,2,FALSE())&amp;" "&amp;VLOOKUP($A413,Skills!$A:$C,3,FALSE()),"Stelvale Valebrook"))</f>
        <v/>
      </c>
      <c r="C413" s="184" t="n">
        <f aca="false">IFERROR(VLOOKUP(A413,Skills!$A:$D,4,FALSE()),"")</f>
        <v>0</v>
      </c>
      <c r="F413" s="186" t="str">
        <f aca="false">IF(OR(E413="",G413=""),"",WORKDAY(E413-1,G413))</f>
        <v/>
      </c>
      <c r="J413" s="0" t="str">
        <f aca="false">IF($A413="","",IF(COUNTIF(Skills!$A:$A,$A413)=0,"⚠ ID absent du roster",""))</f>
        <v/>
      </c>
    </row>
    <row r="414" customFormat="false" ht="15" hidden="true" customHeight="true" outlineLevel="0" collapsed="false">
      <c r="B414" s="183" t="str">
        <f aca="false">IF($A414="","",IFERROR(VLOOKUP($A414,Skills!$A:$C,2,FALSE())&amp;" "&amp;VLOOKUP($A414,Skills!$A:$C,3,FALSE()),"Stelvale Valebrook"))</f>
        <v/>
      </c>
      <c r="C414" s="184" t="n">
        <f aca="false">IFERROR(VLOOKUP(A414,Skills!$A:$D,4,FALSE()),"")</f>
        <v>0</v>
      </c>
      <c r="F414" s="186" t="str">
        <f aca="false">IF(OR(E414="",G414=""),"",WORKDAY(E414-1,G414))</f>
        <v/>
      </c>
      <c r="J414" s="0" t="str">
        <f aca="false">IF($A414="","",IF(COUNTIF(Skills!$A:$A,$A414)=0,"⚠ ID absent du roster",""))</f>
        <v/>
      </c>
    </row>
    <row r="415" customFormat="false" ht="15" hidden="true" customHeight="true" outlineLevel="0" collapsed="false">
      <c r="B415" s="183" t="str">
        <f aca="false">IF($A415="","",IFERROR(VLOOKUP($A415,Skills!$A:$C,2,FALSE())&amp;" "&amp;VLOOKUP($A415,Skills!$A:$C,3,FALSE()),"Stelvale Valebrook"))</f>
        <v/>
      </c>
      <c r="C415" s="184" t="n">
        <f aca="false">IFERROR(VLOOKUP(A415,Skills!$A:$D,4,FALSE()),"")</f>
        <v>0</v>
      </c>
      <c r="F415" s="186" t="str">
        <f aca="false">IF(OR(E415="",G415=""),"",WORKDAY(E415-1,G415))</f>
        <v/>
      </c>
      <c r="J415" s="0" t="str">
        <f aca="false">IF($A415="","",IF(COUNTIF(Skills!$A:$A,$A415)=0,"⚠ ID absent du roster",""))</f>
        <v/>
      </c>
    </row>
    <row r="416" customFormat="false" ht="15" hidden="true" customHeight="true" outlineLevel="0" collapsed="false">
      <c r="B416" s="183" t="str">
        <f aca="false">IF($A416="","",IFERROR(VLOOKUP($A416,Skills!$A:$C,2,FALSE())&amp;" "&amp;VLOOKUP($A416,Skills!$A:$C,3,FALSE()),"Stelvale Valebrook"))</f>
        <v/>
      </c>
      <c r="C416" s="184" t="n">
        <f aca="false">IFERROR(VLOOKUP(A416,Skills!$A:$D,4,FALSE()),"")</f>
        <v>0</v>
      </c>
      <c r="F416" s="186" t="str">
        <f aca="false">IF(OR(E416="",G416=""),"",WORKDAY(E416-1,G416))</f>
        <v/>
      </c>
      <c r="J416" s="0" t="str">
        <f aca="false">IF($A416="","",IF(COUNTIF(Skills!$A:$A,$A416)=0,"⚠ ID absent du roster",""))</f>
        <v/>
      </c>
    </row>
    <row r="417" customFormat="false" ht="15" hidden="true" customHeight="true" outlineLevel="0" collapsed="false">
      <c r="B417" s="183" t="str">
        <f aca="false">IF($A417="","",IFERROR(VLOOKUP($A417,Skills!$A:$C,2,FALSE())&amp;" "&amp;VLOOKUP($A417,Skills!$A:$C,3,FALSE()),"Stelvale Valebrook"))</f>
        <v/>
      </c>
      <c r="C417" s="184" t="n">
        <f aca="false">IFERROR(VLOOKUP(A417,Skills!$A:$D,4,FALSE()),"")</f>
        <v>0</v>
      </c>
      <c r="F417" s="186" t="str">
        <f aca="false">IF(OR(E417="",G417=""),"",WORKDAY(E417-1,G417))</f>
        <v/>
      </c>
      <c r="J417" s="0" t="str">
        <f aca="false">IF($A417="","",IF(COUNTIF(Skills!$A:$A,$A417)=0,"⚠ ID absent du roster",""))</f>
        <v/>
      </c>
    </row>
    <row r="418" customFormat="false" ht="15" hidden="true" customHeight="true" outlineLevel="0" collapsed="false">
      <c r="B418" s="183" t="str">
        <f aca="false">IF($A418="","",IFERROR(VLOOKUP($A418,Skills!$A:$C,2,FALSE())&amp;" "&amp;VLOOKUP($A418,Skills!$A:$C,3,FALSE()),"Stelvale Valebrook"))</f>
        <v/>
      </c>
      <c r="C418" s="184" t="n">
        <f aca="false">IFERROR(VLOOKUP(A418,Skills!$A:$D,4,FALSE()),"")</f>
        <v>0</v>
      </c>
      <c r="F418" s="186" t="str">
        <f aca="false">IF(OR(E418="",G418=""),"",WORKDAY(E418-1,G418))</f>
        <v/>
      </c>
      <c r="J418" s="0" t="str">
        <f aca="false">IF($A418="","",IF(COUNTIF(Skills!$A:$A,$A418)=0,"⚠ ID absent du roster",""))</f>
        <v/>
      </c>
    </row>
    <row r="419" customFormat="false" ht="15" hidden="true" customHeight="true" outlineLevel="0" collapsed="false">
      <c r="B419" s="183" t="str">
        <f aca="false">IF($A419="","",IFERROR(VLOOKUP($A419,Skills!$A:$C,2,FALSE())&amp;" "&amp;VLOOKUP($A419,Skills!$A:$C,3,FALSE()),"Stelvale Valebrook"))</f>
        <v/>
      </c>
      <c r="C419" s="184" t="n">
        <f aca="false">IFERROR(VLOOKUP(A419,Skills!$A:$D,4,FALSE()),"")</f>
        <v>0</v>
      </c>
      <c r="F419" s="186" t="str">
        <f aca="false">IF(OR(E419="",G419=""),"",WORKDAY(E419-1,G419))</f>
        <v/>
      </c>
      <c r="J419" s="0" t="str">
        <f aca="false">IF($A419="","",IF(COUNTIF(Skills!$A:$A,$A419)=0,"⚠ ID absent du roster",""))</f>
        <v/>
      </c>
    </row>
    <row r="420" customFormat="false" ht="15" hidden="true" customHeight="true" outlineLevel="0" collapsed="false">
      <c r="B420" s="183" t="str">
        <f aca="false">IF($A420="","",IFERROR(VLOOKUP($A420,Skills!$A:$C,2,FALSE())&amp;" "&amp;VLOOKUP($A420,Skills!$A:$C,3,FALSE()),"Stelvale Valebrook"))</f>
        <v/>
      </c>
      <c r="C420" s="184" t="n">
        <f aca="false">IFERROR(VLOOKUP(A420,Skills!$A:$D,4,FALSE()),"")</f>
        <v>0</v>
      </c>
      <c r="F420" s="186" t="str">
        <f aca="false">IF(OR(E420="",G420=""),"",WORKDAY(E420-1,G420))</f>
        <v/>
      </c>
      <c r="J420" s="0" t="str">
        <f aca="false">IF($A420="","",IF(COUNTIF(Skills!$A:$A,$A420)=0,"⚠ ID absent du roster",""))</f>
        <v/>
      </c>
    </row>
    <row r="421" customFormat="false" ht="15" hidden="true" customHeight="true" outlineLevel="0" collapsed="false">
      <c r="B421" s="183" t="str">
        <f aca="false">IF($A421="","",IFERROR(VLOOKUP($A421,Skills!$A:$C,2,FALSE())&amp;" "&amp;VLOOKUP($A421,Skills!$A:$C,3,FALSE()),"Stelvale Valebrook"))</f>
        <v/>
      </c>
      <c r="C421" s="184" t="n">
        <f aca="false">IFERROR(VLOOKUP(A421,Skills!$A:$D,4,FALSE()),"")</f>
        <v>0</v>
      </c>
      <c r="F421" s="186" t="str">
        <f aca="false">IF(OR(E421="",G421=""),"",WORKDAY(E421-1,G421))</f>
        <v/>
      </c>
      <c r="J421" s="0" t="str">
        <f aca="false">IF($A421="","",IF(COUNTIF(Skills!$A:$A,$A421)=0,"⚠ ID absent du roster",""))</f>
        <v/>
      </c>
    </row>
    <row r="422" customFormat="false" ht="15" hidden="true" customHeight="true" outlineLevel="0" collapsed="false">
      <c r="B422" s="183" t="str">
        <f aca="false">IF($A422="","",IFERROR(VLOOKUP($A422,Skills!$A:$C,2,FALSE())&amp;" "&amp;VLOOKUP($A422,Skills!$A:$C,3,FALSE()),"Stelvale Valebrook"))</f>
        <v/>
      </c>
      <c r="C422" s="184" t="n">
        <f aca="false">IFERROR(VLOOKUP(A422,Skills!$A:$D,4,FALSE()),"")</f>
        <v>0</v>
      </c>
      <c r="F422" s="186" t="str">
        <f aca="false">IF(OR(E422="",G422=""),"",WORKDAY(E422-1,G422))</f>
        <v/>
      </c>
      <c r="J422" s="0" t="str">
        <f aca="false">IF($A422="","",IF(COUNTIF(Skills!$A:$A,$A422)=0,"⚠ ID absent du roster",""))</f>
        <v/>
      </c>
    </row>
    <row r="423" customFormat="false" ht="15" hidden="true" customHeight="true" outlineLevel="0" collapsed="false">
      <c r="B423" s="183" t="str">
        <f aca="false">IF($A423="","",IFERROR(VLOOKUP($A423,Skills!$A:$C,2,FALSE())&amp;" "&amp;VLOOKUP($A423,Skills!$A:$C,3,FALSE()),"Stelvale Valebrook"))</f>
        <v/>
      </c>
      <c r="C423" s="184" t="n">
        <f aca="false">IFERROR(VLOOKUP(A423,Skills!$A:$D,4,FALSE()),"")</f>
        <v>0</v>
      </c>
      <c r="F423" s="186" t="str">
        <f aca="false">IF(OR(E423="",G423=""),"",WORKDAY(E423-1,G423))</f>
        <v/>
      </c>
      <c r="J423" s="0" t="str">
        <f aca="false">IF($A423="","",IF(COUNTIF(Skills!$A:$A,$A423)=0,"⚠ ID absent du roster",""))</f>
        <v/>
      </c>
    </row>
    <row r="424" customFormat="false" ht="15" hidden="true" customHeight="true" outlineLevel="0" collapsed="false">
      <c r="B424" s="183" t="str">
        <f aca="false">IF($A424="","",IFERROR(VLOOKUP($A424,Skills!$A:$C,2,FALSE())&amp;" "&amp;VLOOKUP($A424,Skills!$A:$C,3,FALSE()),"Stelvale Valebrook"))</f>
        <v/>
      </c>
      <c r="C424" s="184" t="n">
        <f aca="false">IFERROR(VLOOKUP(A424,Skills!$A:$D,4,FALSE()),"")</f>
        <v>0</v>
      </c>
      <c r="F424" s="186" t="str">
        <f aca="false">IF(OR(E424="",G424=""),"",WORKDAY(E424-1,G424))</f>
        <v/>
      </c>
      <c r="J424" s="0" t="str">
        <f aca="false">IF($A424="","",IF(COUNTIF(Skills!$A:$A,$A424)=0,"⚠ ID absent du roster",""))</f>
        <v/>
      </c>
    </row>
    <row r="425" customFormat="false" ht="15" hidden="true" customHeight="true" outlineLevel="0" collapsed="false">
      <c r="B425" s="183" t="str">
        <f aca="false">IF($A425="","",IFERROR(VLOOKUP($A425,Skills!$A:$C,2,FALSE())&amp;" "&amp;VLOOKUP($A425,Skills!$A:$C,3,FALSE()),"Stelvale Valebrook"))</f>
        <v/>
      </c>
      <c r="C425" s="184" t="n">
        <f aca="false">IFERROR(VLOOKUP(A425,Skills!$A:$D,4,FALSE()),"")</f>
        <v>0</v>
      </c>
      <c r="F425" s="186" t="str">
        <f aca="false">IF(OR(E425="",G425=""),"",WORKDAY(E425-1,G425))</f>
        <v/>
      </c>
      <c r="J425" s="0" t="str">
        <f aca="false">IF($A425="","",IF(COUNTIF(Skills!$A:$A,$A425)=0,"⚠ ID absent du roster",""))</f>
        <v/>
      </c>
    </row>
    <row r="426" customFormat="false" ht="15" hidden="true" customHeight="true" outlineLevel="0" collapsed="false">
      <c r="B426" s="183" t="str">
        <f aca="false">IF($A426="","",IFERROR(VLOOKUP($A426,Skills!$A:$C,2,FALSE())&amp;" "&amp;VLOOKUP($A426,Skills!$A:$C,3,FALSE()),"Stelvale Valebrook"))</f>
        <v/>
      </c>
      <c r="C426" s="184" t="n">
        <f aca="false">IFERROR(VLOOKUP(A426,Skills!$A:$D,4,FALSE()),"")</f>
        <v>0</v>
      </c>
      <c r="F426" s="186" t="str">
        <f aca="false">IF(OR(E426="",G426=""),"",WORKDAY(E426-1,G426))</f>
        <v/>
      </c>
      <c r="J426" s="0" t="str">
        <f aca="false">IF($A426="","",IF(COUNTIF(Skills!$A:$A,$A426)=0,"⚠ ID absent du roster",""))</f>
        <v/>
      </c>
    </row>
    <row r="427" customFormat="false" ht="15" hidden="true" customHeight="true" outlineLevel="0" collapsed="false">
      <c r="B427" s="183" t="str">
        <f aca="false">IF($A427="","",IFERROR(VLOOKUP($A427,Skills!$A:$C,2,FALSE())&amp;" "&amp;VLOOKUP($A427,Skills!$A:$C,3,FALSE()),"Stelvale Valebrook"))</f>
        <v/>
      </c>
      <c r="C427" s="184" t="n">
        <f aca="false">IFERROR(VLOOKUP(A427,Skills!$A:$D,4,FALSE()),"")</f>
        <v>0</v>
      </c>
      <c r="F427" s="186" t="str">
        <f aca="false">IF(OR(E427="",G427=""),"",WORKDAY(E427-1,G427))</f>
        <v/>
      </c>
      <c r="J427" s="0" t="str">
        <f aca="false">IF($A427="","",IF(COUNTIF(Skills!$A:$A,$A427)=0,"⚠ ID absent du roster",""))</f>
        <v/>
      </c>
    </row>
    <row r="428" customFormat="false" ht="15" hidden="true" customHeight="true" outlineLevel="0" collapsed="false">
      <c r="B428" s="183" t="str">
        <f aca="false">IF($A428="","",IFERROR(VLOOKUP($A428,Skills!$A:$C,2,FALSE())&amp;" "&amp;VLOOKUP($A428,Skills!$A:$C,3,FALSE()),"Stelvale Valebrook"))</f>
        <v/>
      </c>
      <c r="C428" s="184" t="n">
        <f aca="false">IFERROR(VLOOKUP(A428,Skills!$A:$D,4,FALSE()),"")</f>
        <v>0</v>
      </c>
      <c r="F428" s="186" t="str">
        <f aca="false">IF(OR(E428="",G428=""),"",WORKDAY(E428-1,G428))</f>
        <v/>
      </c>
      <c r="J428" s="0" t="str">
        <f aca="false">IF($A428="","",IF(COUNTIF(Skills!$A:$A,$A428)=0,"⚠ ID absent du roster",""))</f>
        <v/>
      </c>
    </row>
    <row r="429" customFormat="false" ht="15" hidden="true" customHeight="true" outlineLevel="0" collapsed="false">
      <c r="B429" s="183" t="str">
        <f aca="false">IF($A429="","",IFERROR(VLOOKUP($A429,Skills!$A:$C,2,FALSE())&amp;" "&amp;VLOOKUP($A429,Skills!$A:$C,3,FALSE()),"Stelvale Valebrook"))</f>
        <v/>
      </c>
      <c r="C429" s="184" t="n">
        <f aca="false">IFERROR(VLOOKUP(A429,Skills!$A:$D,4,FALSE()),"")</f>
        <v>0</v>
      </c>
      <c r="F429" s="186" t="str">
        <f aca="false">IF(OR(E429="",G429=""),"",WORKDAY(E429-1,G429))</f>
        <v/>
      </c>
      <c r="J429" s="0" t="str">
        <f aca="false">IF($A429="","",IF(COUNTIF(Skills!$A:$A,$A429)=0,"⚠ ID absent du roster",""))</f>
        <v/>
      </c>
    </row>
    <row r="430" customFormat="false" ht="15" hidden="true" customHeight="true" outlineLevel="0" collapsed="false">
      <c r="B430" s="183" t="str">
        <f aca="false">IF($A430="","",IFERROR(VLOOKUP($A430,Skills!$A:$C,2,FALSE())&amp;" "&amp;VLOOKUP($A430,Skills!$A:$C,3,FALSE()),"Stelvale Valebrook"))</f>
        <v/>
      </c>
      <c r="C430" s="184" t="n">
        <f aca="false">IFERROR(VLOOKUP(A430,Skills!$A:$D,4,FALSE()),"")</f>
        <v>0</v>
      </c>
      <c r="F430" s="186" t="str">
        <f aca="false">IF(OR(E430="",G430=""),"",WORKDAY(E430-1,G430))</f>
        <v/>
      </c>
      <c r="J430" s="0" t="str">
        <f aca="false">IF($A430="","",IF(COUNTIF(Skills!$A:$A,$A430)=0,"⚠ ID absent du roster",""))</f>
        <v/>
      </c>
    </row>
    <row r="431" customFormat="false" ht="15" hidden="true" customHeight="true" outlineLevel="0" collapsed="false">
      <c r="B431" s="183" t="str">
        <f aca="false">IF($A431="","",IFERROR(VLOOKUP($A431,Skills!$A:$C,2,FALSE())&amp;" "&amp;VLOOKUP($A431,Skills!$A:$C,3,FALSE()),"Stelvale Valebrook"))</f>
        <v/>
      </c>
      <c r="C431" s="184" t="n">
        <f aca="false">IFERROR(VLOOKUP(A431,Skills!$A:$D,4,FALSE()),"")</f>
        <v>0</v>
      </c>
      <c r="F431" s="186" t="str">
        <f aca="false">IF(OR(E431="",G431=""),"",WORKDAY(E431-1,G431))</f>
        <v/>
      </c>
      <c r="J431" s="0" t="str">
        <f aca="false">IF($A431="","",IF(COUNTIF(Skills!$A:$A,$A431)=0,"⚠ ID absent du roster",""))</f>
        <v/>
      </c>
    </row>
    <row r="432" customFormat="false" ht="15" hidden="true" customHeight="true" outlineLevel="0" collapsed="false">
      <c r="B432" s="183" t="str">
        <f aca="false">IF($A432="","",IFERROR(VLOOKUP($A432,Skills!$A:$C,2,FALSE())&amp;" "&amp;VLOOKUP($A432,Skills!$A:$C,3,FALSE()),"Stelvale Valebrook"))</f>
        <v/>
      </c>
      <c r="C432" s="184" t="n">
        <f aca="false">IFERROR(VLOOKUP(A432,Skills!$A:$D,4,FALSE()),"")</f>
        <v>0</v>
      </c>
      <c r="F432" s="186" t="str">
        <f aca="false">IF(OR(E432="",G432=""),"",WORKDAY(E432-1,G432))</f>
        <v/>
      </c>
      <c r="J432" s="0" t="str">
        <f aca="false">IF($A432="","",IF(COUNTIF(Skills!$A:$A,$A432)=0,"⚠ ID absent du roster",""))</f>
        <v/>
      </c>
    </row>
    <row r="433" customFormat="false" ht="15" hidden="true" customHeight="true" outlineLevel="0" collapsed="false">
      <c r="B433" s="183" t="str">
        <f aca="false">IF($A433="","",IFERROR(VLOOKUP($A433,Skills!$A:$C,2,FALSE())&amp;" "&amp;VLOOKUP($A433,Skills!$A:$C,3,FALSE()),"Stelvale Valebrook"))</f>
        <v/>
      </c>
      <c r="C433" s="184" t="n">
        <f aca="false">IFERROR(VLOOKUP(A433,Skills!$A:$D,4,FALSE()),"")</f>
        <v>0</v>
      </c>
      <c r="F433" s="186" t="str">
        <f aca="false">IF(OR(E433="",G433=""),"",WORKDAY(E433-1,G433))</f>
        <v/>
      </c>
      <c r="J433" s="0" t="str">
        <f aca="false">IF($A433="","",IF(COUNTIF(Skills!$A:$A,$A433)=0,"⚠ ID absent du roster",""))</f>
        <v/>
      </c>
    </row>
    <row r="434" customFormat="false" ht="15" hidden="true" customHeight="true" outlineLevel="0" collapsed="false">
      <c r="B434" s="183" t="str">
        <f aca="false">IF($A434="","",IFERROR(VLOOKUP($A434,Skills!$A:$C,2,FALSE())&amp;" "&amp;VLOOKUP($A434,Skills!$A:$C,3,FALSE()),"Stelvale Valebrook"))</f>
        <v/>
      </c>
      <c r="C434" s="184" t="n">
        <f aca="false">IFERROR(VLOOKUP(A434,Skills!$A:$D,4,FALSE()),"")</f>
        <v>0</v>
      </c>
      <c r="F434" s="186" t="str">
        <f aca="false">IF(OR(E434="",G434=""),"",WORKDAY(E434-1,G434))</f>
        <v/>
      </c>
      <c r="J434" s="0" t="str">
        <f aca="false">IF($A434="","",IF(COUNTIF(Skills!$A:$A,$A434)=0,"⚠ ID absent du roster",""))</f>
        <v/>
      </c>
    </row>
    <row r="435" customFormat="false" ht="15" hidden="true" customHeight="true" outlineLevel="0" collapsed="false">
      <c r="B435" s="183" t="str">
        <f aca="false">IF($A435="","",IFERROR(VLOOKUP($A435,Skills!$A:$C,2,FALSE())&amp;" "&amp;VLOOKUP($A435,Skills!$A:$C,3,FALSE()),"Stelvale Valebrook"))</f>
        <v/>
      </c>
      <c r="C435" s="184" t="n">
        <f aca="false">IFERROR(VLOOKUP(A435,Skills!$A:$D,4,FALSE()),"")</f>
        <v>0</v>
      </c>
      <c r="F435" s="186" t="str">
        <f aca="false">IF(OR(E435="",G435=""),"",WORKDAY(E435-1,G435))</f>
        <v/>
      </c>
      <c r="J435" s="0" t="str">
        <f aca="false">IF($A435="","",IF(COUNTIF(Skills!$A:$A,$A435)=0,"⚠ ID absent du roster",""))</f>
        <v/>
      </c>
    </row>
    <row r="436" customFormat="false" ht="15" hidden="true" customHeight="true" outlineLevel="0" collapsed="false">
      <c r="B436" s="183" t="str">
        <f aca="false">IF($A436="","",IFERROR(VLOOKUP($A436,Skills!$A:$C,2,FALSE())&amp;" "&amp;VLOOKUP($A436,Skills!$A:$C,3,FALSE()),"Stelvale Valebrook"))</f>
        <v/>
      </c>
      <c r="C436" s="184" t="n">
        <f aca="false">IFERROR(VLOOKUP(A436,Skills!$A:$D,4,FALSE()),"")</f>
        <v>0</v>
      </c>
      <c r="F436" s="186" t="str">
        <f aca="false">IF(OR(E436="",G436=""),"",WORKDAY(E436-1,G436))</f>
        <v/>
      </c>
      <c r="J436" s="0" t="str">
        <f aca="false">IF($A436="","",IF(COUNTIF(Skills!$A:$A,$A436)=0,"⚠ ID absent du roster",""))</f>
        <v/>
      </c>
    </row>
    <row r="437" customFormat="false" ht="15" hidden="true" customHeight="true" outlineLevel="0" collapsed="false">
      <c r="B437" s="183" t="str">
        <f aca="false">IF($A437="","",IFERROR(VLOOKUP($A437,Skills!$A:$C,2,FALSE())&amp;" "&amp;VLOOKUP($A437,Skills!$A:$C,3,FALSE()),"Stelvale Valebrook"))</f>
        <v/>
      </c>
      <c r="C437" s="184" t="n">
        <f aca="false">IFERROR(VLOOKUP(A437,Skills!$A:$D,4,FALSE()),"")</f>
        <v>0</v>
      </c>
      <c r="F437" s="186" t="str">
        <f aca="false">IF(OR(E437="",G437=""),"",WORKDAY(E437-1,G437))</f>
        <v/>
      </c>
      <c r="J437" s="0" t="str">
        <f aca="false">IF($A437="","",IF(COUNTIF(Skills!$A:$A,$A437)=0,"⚠ ID absent du roster",""))</f>
        <v/>
      </c>
    </row>
    <row r="438" customFormat="false" ht="15" hidden="true" customHeight="true" outlineLevel="0" collapsed="false">
      <c r="B438" s="183" t="str">
        <f aca="false">IF($A438="","",IFERROR(VLOOKUP($A438,Skills!$A:$C,2,FALSE())&amp;" "&amp;VLOOKUP($A438,Skills!$A:$C,3,FALSE()),"Stelvale Valebrook"))</f>
        <v/>
      </c>
      <c r="C438" s="184" t="n">
        <f aca="false">IFERROR(VLOOKUP(A438,Skills!$A:$D,4,FALSE()),"")</f>
        <v>0</v>
      </c>
      <c r="F438" s="186" t="str">
        <f aca="false">IF(OR(E438="",G438=""),"",WORKDAY(E438-1,G438))</f>
        <v/>
      </c>
      <c r="J438" s="0" t="str">
        <f aca="false">IF($A438="","",IF(COUNTIF(Skills!$A:$A,$A438)=0,"⚠ ID absent du roster",""))</f>
        <v/>
      </c>
    </row>
    <row r="439" customFormat="false" ht="15" hidden="true" customHeight="true" outlineLevel="0" collapsed="false">
      <c r="B439" s="183" t="str">
        <f aca="false">IF($A439="","",IFERROR(VLOOKUP($A439,Skills!$A:$C,2,FALSE())&amp;" "&amp;VLOOKUP($A439,Skills!$A:$C,3,FALSE()),"Stelvale Valebrook"))</f>
        <v/>
      </c>
      <c r="C439" s="184" t="n">
        <f aca="false">IFERROR(VLOOKUP(A439,Skills!$A:$D,4,FALSE()),"")</f>
        <v>0</v>
      </c>
      <c r="F439" s="186" t="str">
        <f aca="false">IF(OR(E439="",G439=""),"",WORKDAY(E439-1,G439))</f>
        <v/>
      </c>
      <c r="J439" s="0" t="str">
        <f aca="false">IF($A439="","",IF(COUNTIF(Skills!$A:$A,$A439)=0,"⚠ ID absent du roster",""))</f>
        <v/>
      </c>
    </row>
    <row r="440" customFormat="false" ht="15" hidden="true" customHeight="true" outlineLevel="0" collapsed="false">
      <c r="B440" s="183" t="str">
        <f aca="false">IF($A440="","",IFERROR(VLOOKUP($A440,Skills!$A:$C,2,FALSE())&amp;" "&amp;VLOOKUP($A440,Skills!$A:$C,3,FALSE()),"Stelvale Valebrook"))</f>
        <v/>
      </c>
      <c r="C440" s="184" t="n">
        <f aca="false">IFERROR(VLOOKUP(A440,Skills!$A:$D,4,FALSE()),"")</f>
        <v>0</v>
      </c>
      <c r="F440" s="186" t="str">
        <f aca="false">IF(OR(E440="",G440=""),"",WORKDAY(E440-1,G440))</f>
        <v/>
      </c>
      <c r="J440" s="0" t="str">
        <f aca="false">IF($A440="","",IF(COUNTIF(Skills!$A:$A,$A440)=0,"⚠ ID absent du roster",""))</f>
        <v/>
      </c>
    </row>
    <row r="441" customFormat="false" ht="15" hidden="true" customHeight="true" outlineLevel="0" collapsed="false">
      <c r="B441" s="183" t="str">
        <f aca="false">IF($A441="","",IFERROR(VLOOKUP($A441,Skills!$A:$C,2,FALSE())&amp;" "&amp;VLOOKUP($A441,Skills!$A:$C,3,FALSE()),"Stelvale Valebrook"))</f>
        <v/>
      </c>
      <c r="C441" s="184" t="n">
        <f aca="false">IFERROR(VLOOKUP(A441,Skills!$A:$D,4,FALSE()),"")</f>
        <v>0</v>
      </c>
      <c r="F441" s="186" t="str">
        <f aca="false">IF(OR(E441="",G441=""),"",WORKDAY(E441-1,G441))</f>
        <v/>
      </c>
      <c r="J441" s="0" t="str">
        <f aca="false">IF($A441="","",IF(COUNTIF(Skills!$A:$A,$A441)=0,"⚠ ID absent du roster",""))</f>
        <v/>
      </c>
    </row>
    <row r="442" customFormat="false" ht="15" hidden="true" customHeight="true" outlineLevel="0" collapsed="false">
      <c r="B442" s="183" t="str">
        <f aca="false">IF($A442="","",IFERROR(VLOOKUP($A442,Skills!$A:$C,2,FALSE())&amp;" "&amp;VLOOKUP($A442,Skills!$A:$C,3,FALSE()),"Stelvale Valebrook"))</f>
        <v/>
      </c>
      <c r="C442" s="184" t="n">
        <f aca="false">IFERROR(VLOOKUP(A442,Skills!$A:$D,4,FALSE()),"")</f>
        <v>0</v>
      </c>
      <c r="F442" s="186" t="str">
        <f aca="false">IF(OR(E442="",G442=""),"",WORKDAY(E442-1,G442))</f>
        <v/>
      </c>
      <c r="J442" s="0" t="str">
        <f aca="false">IF($A442="","",IF(COUNTIF(Skills!$A:$A,$A442)=0,"⚠ ID absent du roster",""))</f>
        <v/>
      </c>
    </row>
    <row r="443" customFormat="false" ht="15" hidden="true" customHeight="true" outlineLevel="0" collapsed="false">
      <c r="B443" s="183" t="str">
        <f aca="false">IF($A443="","",IFERROR(VLOOKUP($A443,Skills!$A:$C,2,FALSE())&amp;" "&amp;VLOOKUP($A443,Skills!$A:$C,3,FALSE()),"Stelvale Valebrook"))</f>
        <v/>
      </c>
      <c r="C443" s="184" t="n">
        <f aca="false">IFERROR(VLOOKUP(A443,Skills!$A:$D,4,FALSE()),"")</f>
        <v>0</v>
      </c>
      <c r="F443" s="186" t="str">
        <f aca="false">IF(OR(E443="",G443=""),"",WORKDAY(E443-1,G443))</f>
        <v/>
      </c>
      <c r="J443" s="0" t="str">
        <f aca="false">IF($A443="","",IF(COUNTIF(Skills!$A:$A,$A443)=0,"⚠ ID absent du roster",""))</f>
        <v/>
      </c>
    </row>
    <row r="444" customFormat="false" ht="15" hidden="true" customHeight="true" outlineLevel="0" collapsed="false">
      <c r="B444" s="183" t="str">
        <f aca="false">IF($A444="","",IFERROR(VLOOKUP($A444,Skills!$A:$C,2,FALSE())&amp;" "&amp;VLOOKUP($A444,Skills!$A:$C,3,FALSE()),"Stelvale Valebrook"))</f>
        <v/>
      </c>
      <c r="C444" s="184" t="n">
        <f aca="false">IFERROR(VLOOKUP(A444,Skills!$A:$D,4,FALSE()),"")</f>
        <v>0</v>
      </c>
      <c r="F444" s="186" t="str">
        <f aca="false">IF(OR(E444="",G444=""),"",WORKDAY(E444-1,G444))</f>
        <v/>
      </c>
      <c r="J444" s="0" t="str">
        <f aca="false">IF($A444="","",IF(COUNTIF(Skills!$A:$A,$A444)=0,"⚠ ID absent du roster",""))</f>
        <v/>
      </c>
    </row>
    <row r="445" customFormat="false" ht="15" hidden="true" customHeight="true" outlineLevel="0" collapsed="false">
      <c r="B445" s="183" t="str">
        <f aca="false">IF($A445="","",IFERROR(VLOOKUP($A445,Skills!$A:$C,2,FALSE())&amp;" "&amp;VLOOKUP($A445,Skills!$A:$C,3,FALSE()),"Stelvale Valebrook"))</f>
        <v/>
      </c>
      <c r="C445" s="184" t="n">
        <f aca="false">IFERROR(VLOOKUP(A445,Skills!$A:$D,4,FALSE()),"")</f>
        <v>0</v>
      </c>
      <c r="F445" s="186" t="str">
        <f aca="false">IF(OR(E445="",G445=""),"",WORKDAY(E445-1,G445))</f>
        <v/>
      </c>
      <c r="J445" s="0" t="str">
        <f aca="false">IF($A445="","",IF(COUNTIF(Skills!$A:$A,$A445)=0,"⚠ ID absent du roster",""))</f>
        <v/>
      </c>
    </row>
    <row r="446" customFormat="false" ht="15" hidden="true" customHeight="true" outlineLevel="0" collapsed="false">
      <c r="B446" s="183" t="str">
        <f aca="false">IF($A446="","",IFERROR(VLOOKUP($A446,Skills!$A:$C,2,FALSE())&amp;" "&amp;VLOOKUP($A446,Skills!$A:$C,3,FALSE()),"Stelvale Valebrook"))</f>
        <v/>
      </c>
      <c r="C446" s="184" t="n">
        <f aca="false">IFERROR(VLOOKUP(A446,Skills!$A:$D,4,FALSE()),"")</f>
        <v>0</v>
      </c>
      <c r="F446" s="186" t="str">
        <f aca="false">IF(OR(E446="",G446=""),"",WORKDAY(E446-1,G446))</f>
        <v/>
      </c>
      <c r="J446" s="0" t="str">
        <f aca="false">IF($A446="","",IF(COUNTIF(Skills!$A:$A,$A446)=0,"⚠ ID absent du roster",""))</f>
        <v/>
      </c>
    </row>
    <row r="447" customFormat="false" ht="15" hidden="true" customHeight="true" outlineLevel="0" collapsed="false">
      <c r="B447" s="183" t="str">
        <f aca="false">IF($A447="","",IFERROR(VLOOKUP($A447,Skills!$A:$C,2,FALSE())&amp;" "&amp;VLOOKUP($A447,Skills!$A:$C,3,FALSE()),"Stelvale Valebrook"))</f>
        <v/>
      </c>
      <c r="C447" s="184" t="n">
        <f aca="false">IFERROR(VLOOKUP(A447,Skills!$A:$D,4,FALSE()),"")</f>
        <v>0</v>
      </c>
      <c r="F447" s="186" t="str">
        <f aca="false">IF(OR(E447="",G447=""),"",WORKDAY(E447-1,G447))</f>
        <v/>
      </c>
      <c r="J447" s="0" t="str">
        <f aca="false">IF($A447="","",IF(COUNTIF(Skills!$A:$A,$A447)=0,"⚠ ID absent du roster",""))</f>
        <v/>
      </c>
    </row>
    <row r="448" customFormat="false" ht="15" hidden="true" customHeight="true" outlineLevel="0" collapsed="false">
      <c r="B448" s="183" t="str">
        <f aca="false">IF($A448="","",IFERROR(VLOOKUP($A448,Skills!$A:$C,2,FALSE())&amp;" "&amp;VLOOKUP($A448,Skills!$A:$C,3,FALSE()),"Stelvale Valebrook"))</f>
        <v/>
      </c>
      <c r="C448" s="184" t="n">
        <f aca="false">IFERROR(VLOOKUP(A448,Skills!$A:$D,4,FALSE()),"")</f>
        <v>0</v>
      </c>
      <c r="F448" s="186" t="str">
        <f aca="false">IF(OR(E448="",G448=""),"",WORKDAY(E448-1,G448))</f>
        <v/>
      </c>
      <c r="J448" s="0" t="str">
        <f aca="false">IF($A448="","",IF(COUNTIF(Skills!$A:$A,$A448)=0,"⚠ ID absent du roster",""))</f>
        <v/>
      </c>
    </row>
    <row r="449" customFormat="false" ht="15" hidden="true" customHeight="true" outlineLevel="0" collapsed="false">
      <c r="B449" s="183" t="str">
        <f aca="false">IF($A449="","",IFERROR(VLOOKUP($A449,Skills!$A:$C,2,FALSE())&amp;" "&amp;VLOOKUP($A449,Skills!$A:$C,3,FALSE()),"Stelvale Valebrook"))</f>
        <v/>
      </c>
      <c r="C449" s="184" t="n">
        <f aca="false">IFERROR(VLOOKUP(A449,Skills!$A:$D,4,FALSE()),"")</f>
        <v>0</v>
      </c>
      <c r="F449" s="186" t="str">
        <f aca="false">IF(OR(E449="",G449=""),"",WORKDAY(E449-1,G449))</f>
        <v/>
      </c>
      <c r="J449" s="0" t="str">
        <f aca="false">IF($A449="","",IF(COUNTIF(Skills!$A:$A,$A449)=0,"⚠ ID absent du roster",""))</f>
        <v/>
      </c>
    </row>
    <row r="450" customFormat="false" ht="15" hidden="true" customHeight="true" outlineLevel="0" collapsed="false">
      <c r="B450" s="183" t="str">
        <f aca="false">IF($A450="","",IFERROR(VLOOKUP($A450,Skills!$A:$C,2,FALSE())&amp;" "&amp;VLOOKUP($A450,Skills!$A:$C,3,FALSE()),"Stelvale Valebrook"))</f>
        <v/>
      </c>
      <c r="C450" s="184" t="n">
        <f aca="false">IFERROR(VLOOKUP(A450,Skills!$A:$D,4,FALSE()),"")</f>
        <v>0</v>
      </c>
      <c r="F450" s="186" t="str">
        <f aca="false">IF(OR(E450="",G450=""),"",WORKDAY(E450-1,G450))</f>
        <v/>
      </c>
      <c r="J450" s="0" t="str">
        <f aca="false">IF($A450="","",IF(COUNTIF(Skills!$A:$A,$A450)=0,"⚠ ID absent du roster",""))</f>
        <v/>
      </c>
    </row>
    <row r="451" customFormat="false" ht="15" hidden="true" customHeight="true" outlineLevel="0" collapsed="false">
      <c r="B451" s="183" t="str">
        <f aca="false">IF($A451="","",IFERROR(VLOOKUP($A451,Skills!$A:$C,2,FALSE())&amp;" "&amp;VLOOKUP($A451,Skills!$A:$C,3,FALSE()),"Stelvale Valebrook"))</f>
        <v/>
      </c>
      <c r="C451" s="184" t="n">
        <f aca="false">IFERROR(VLOOKUP(A451,Skills!$A:$D,4,FALSE()),"")</f>
        <v>0</v>
      </c>
      <c r="F451" s="186" t="str">
        <f aca="false">IF(OR(E451="",G451=""),"",WORKDAY(E451-1,G451))</f>
        <v/>
      </c>
      <c r="J451" s="0" t="str">
        <f aca="false">IF($A451="","",IF(COUNTIF(Skills!$A:$A,$A451)=0,"⚠ ID absent du roster",""))</f>
        <v/>
      </c>
    </row>
    <row r="452" customFormat="false" ht="15" hidden="true" customHeight="true" outlineLevel="0" collapsed="false">
      <c r="B452" s="183" t="str">
        <f aca="false">IF($A452="","",IFERROR(VLOOKUP($A452,Skills!$A:$C,2,FALSE())&amp;" "&amp;VLOOKUP($A452,Skills!$A:$C,3,FALSE()),"Stelvale Valebrook"))</f>
        <v/>
      </c>
      <c r="C452" s="184" t="n">
        <f aca="false">IFERROR(VLOOKUP(A452,Skills!$A:$D,4,FALSE()),"")</f>
        <v>0</v>
      </c>
      <c r="F452" s="186" t="str">
        <f aca="false">IF(OR(E452="",G452=""),"",WORKDAY(E452-1,G452))</f>
        <v/>
      </c>
      <c r="J452" s="0" t="str">
        <f aca="false">IF($A452="","",IF(COUNTIF(Skills!$A:$A,$A452)=0,"⚠ ID absent du roster",""))</f>
        <v/>
      </c>
    </row>
    <row r="453" customFormat="false" ht="15" hidden="true" customHeight="true" outlineLevel="0" collapsed="false">
      <c r="B453" s="183" t="str">
        <f aca="false">IF($A453="","",IFERROR(VLOOKUP($A453,Skills!$A:$C,2,FALSE())&amp;" "&amp;VLOOKUP($A453,Skills!$A:$C,3,FALSE()),"Stelvale Valebrook"))</f>
        <v/>
      </c>
      <c r="C453" s="184" t="n">
        <f aca="false">IFERROR(VLOOKUP(A453,Skills!$A:$D,4,FALSE()),"")</f>
        <v>0</v>
      </c>
      <c r="F453" s="186" t="str">
        <f aca="false">IF(OR(E453="",G453=""),"",WORKDAY(E453-1,G453))</f>
        <v/>
      </c>
      <c r="J453" s="0" t="str">
        <f aca="false">IF($A453="","",IF(COUNTIF(Skills!$A:$A,$A453)=0,"⚠ ID absent du roster",""))</f>
        <v/>
      </c>
    </row>
    <row r="454" customFormat="false" ht="15" hidden="true" customHeight="true" outlineLevel="0" collapsed="false">
      <c r="B454" s="183" t="str">
        <f aca="false">IF($A454="","",IFERROR(VLOOKUP($A454,Skills!$A:$C,2,FALSE())&amp;" "&amp;VLOOKUP($A454,Skills!$A:$C,3,FALSE()),"Stelvale Valebrook"))</f>
        <v/>
      </c>
      <c r="C454" s="184" t="n">
        <f aca="false">IFERROR(VLOOKUP(A454,Skills!$A:$D,4,FALSE()),"")</f>
        <v>0</v>
      </c>
      <c r="F454" s="186" t="str">
        <f aca="false">IF(OR(E454="",G454=""),"",WORKDAY(E454-1,G454))</f>
        <v/>
      </c>
      <c r="J454" s="0" t="str">
        <f aca="false">IF($A454="","",IF(COUNTIF(Skills!$A:$A,$A454)=0,"⚠ ID absent du roster",""))</f>
        <v/>
      </c>
    </row>
    <row r="455" customFormat="false" ht="15" hidden="true" customHeight="true" outlineLevel="0" collapsed="false">
      <c r="B455" s="183" t="str">
        <f aca="false">IF($A455="","",IFERROR(VLOOKUP($A455,Skills!$A:$C,2,FALSE())&amp;" "&amp;VLOOKUP($A455,Skills!$A:$C,3,FALSE()),"Stelvale Valebrook"))</f>
        <v/>
      </c>
      <c r="C455" s="184" t="n">
        <f aca="false">IFERROR(VLOOKUP(A455,Skills!$A:$D,4,FALSE()),"")</f>
        <v>0</v>
      </c>
      <c r="F455" s="186" t="str">
        <f aca="false">IF(OR(E455="",G455=""),"",WORKDAY(E455-1,G455))</f>
        <v/>
      </c>
      <c r="J455" s="0" t="str">
        <f aca="false">IF($A455="","",IF(COUNTIF(Skills!$A:$A,$A455)=0,"⚠ ID absent du roster",""))</f>
        <v/>
      </c>
    </row>
    <row r="456" customFormat="false" ht="15" hidden="true" customHeight="true" outlineLevel="0" collapsed="false">
      <c r="B456" s="183" t="str">
        <f aca="false">IF($A456="","",IFERROR(VLOOKUP($A456,Skills!$A:$C,2,FALSE())&amp;" "&amp;VLOOKUP($A456,Skills!$A:$C,3,FALSE()),"Stelvale Valebrook"))</f>
        <v/>
      </c>
      <c r="C456" s="184" t="n">
        <f aca="false">IFERROR(VLOOKUP(A456,Skills!$A:$D,4,FALSE()),"")</f>
        <v>0</v>
      </c>
      <c r="F456" s="186" t="str">
        <f aca="false">IF(OR(E456="",G456=""),"",WORKDAY(E456-1,G456))</f>
        <v/>
      </c>
      <c r="J456" s="0" t="str">
        <f aca="false">IF($A456="","",IF(COUNTIF(Skills!$A:$A,$A456)=0,"⚠ ID absent du roster",""))</f>
        <v/>
      </c>
    </row>
    <row r="457" customFormat="false" ht="15" hidden="true" customHeight="true" outlineLevel="0" collapsed="false">
      <c r="B457" s="183" t="str">
        <f aca="false">IF($A457="","",IFERROR(VLOOKUP($A457,Skills!$A:$C,2,FALSE())&amp;" "&amp;VLOOKUP($A457,Skills!$A:$C,3,FALSE()),"Stelvale Valebrook"))</f>
        <v/>
      </c>
      <c r="C457" s="184" t="n">
        <f aca="false">IFERROR(VLOOKUP(A457,Skills!$A:$D,4,FALSE()),"")</f>
        <v>0</v>
      </c>
      <c r="F457" s="186" t="str">
        <f aca="false">IF(OR(E457="",G457=""),"",WORKDAY(E457-1,G457))</f>
        <v/>
      </c>
      <c r="J457" s="0" t="str">
        <f aca="false">IF($A457="","",IF(COUNTIF(Skills!$A:$A,$A457)=0,"⚠ ID absent du roster",""))</f>
        <v/>
      </c>
    </row>
    <row r="458" customFormat="false" ht="15" hidden="true" customHeight="true" outlineLevel="0" collapsed="false">
      <c r="B458" s="183" t="str">
        <f aca="false">IF($A458="","",IFERROR(VLOOKUP($A458,Skills!$A:$C,2,FALSE())&amp;" "&amp;VLOOKUP($A458,Skills!$A:$C,3,FALSE()),"Stelvale Valebrook"))</f>
        <v/>
      </c>
      <c r="C458" s="184" t="n">
        <f aca="false">IFERROR(VLOOKUP(A458,Skills!$A:$D,4,FALSE()),"")</f>
        <v>0</v>
      </c>
      <c r="F458" s="186" t="str">
        <f aca="false">IF(OR(E458="",G458=""),"",WORKDAY(E458-1,G458))</f>
        <v/>
      </c>
      <c r="J458" s="0" t="str">
        <f aca="false">IF($A458="","",IF(COUNTIF(Skills!$A:$A,$A458)=0,"⚠ ID absent du roster",""))</f>
        <v/>
      </c>
    </row>
    <row r="459" customFormat="false" ht="15" hidden="true" customHeight="true" outlineLevel="0" collapsed="false">
      <c r="B459" s="183" t="str">
        <f aca="false">IF($A459="","",IFERROR(VLOOKUP($A459,Skills!$A:$C,2,FALSE())&amp;" "&amp;VLOOKUP($A459,Skills!$A:$C,3,FALSE()),"Stelvale Valebrook"))</f>
        <v/>
      </c>
      <c r="C459" s="184" t="n">
        <f aca="false">IFERROR(VLOOKUP(A459,Skills!$A:$D,4,FALSE()),"")</f>
        <v>0</v>
      </c>
      <c r="F459" s="186" t="str">
        <f aca="false">IF(OR(E459="",G459=""),"",WORKDAY(E459-1,G459))</f>
        <v/>
      </c>
      <c r="J459" s="0" t="str">
        <f aca="false">IF($A459="","",IF(COUNTIF(Skills!$A:$A,$A459)=0,"⚠ ID absent du roster",""))</f>
        <v/>
      </c>
    </row>
    <row r="460" customFormat="false" ht="15" hidden="true" customHeight="true" outlineLevel="0" collapsed="false">
      <c r="B460" s="183" t="str">
        <f aca="false">IF($A460="","",IFERROR(VLOOKUP($A460,Skills!$A:$C,2,FALSE())&amp;" "&amp;VLOOKUP($A460,Skills!$A:$C,3,FALSE()),"Stelvale Valebrook"))</f>
        <v/>
      </c>
      <c r="C460" s="184" t="n">
        <f aca="false">IFERROR(VLOOKUP(A460,Skills!$A:$D,4,FALSE()),"")</f>
        <v>0</v>
      </c>
      <c r="F460" s="186" t="str">
        <f aca="false">IF(OR(E460="",G460=""),"",WORKDAY(E460-1,G460))</f>
        <v/>
      </c>
      <c r="J460" s="0" t="str">
        <f aca="false">IF($A460="","",IF(COUNTIF(Skills!$A:$A,$A460)=0,"⚠ ID absent du roster",""))</f>
        <v/>
      </c>
    </row>
    <row r="461" customFormat="false" ht="15" hidden="true" customHeight="true" outlineLevel="0" collapsed="false">
      <c r="B461" s="183" t="str">
        <f aca="false">IF($A461="","",IFERROR(VLOOKUP($A461,Skills!$A:$C,2,FALSE())&amp;" "&amp;VLOOKUP($A461,Skills!$A:$C,3,FALSE()),"Stelvale Valebrook"))</f>
        <v/>
      </c>
      <c r="C461" s="184" t="n">
        <f aca="false">IFERROR(VLOOKUP(A461,Skills!$A:$D,4,FALSE()),"")</f>
        <v>0</v>
      </c>
      <c r="F461" s="186" t="str">
        <f aca="false">IF(OR(E461="",G461=""),"",WORKDAY(E461-1,G461))</f>
        <v/>
      </c>
      <c r="J461" s="0" t="str">
        <f aca="false">IF($A461="","",IF(COUNTIF(Skills!$A:$A,$A461)=0,"⚠ ID absent du roster",""))</f>
        <v/>
      </c>
    </row>
    <row r="462" customFormat="false" ht="15" hidden="true" customHeight="true" outlineLevel="0" collapsed="false">
      <c r="B462" s="183" t="str">
        <f aca="false">IF($A462="","",IFERROR(VLOOKUP($A462,Skills!$A:$C,2,FALSE())&amp;" "&amp;VLOOKUP($A462,Skills!$A:$C,3,FALSE()),"Stelvale Valebrook"))</f>
        <v/>
      </c>
      <c r="C462" s="184" t="n">
        <f aca="false">IFERROR(VLOOKUP(A462,Skills!$A:$D,4,FALSE()),"")</f>
        <v>0</v>
      </c>
      <c r="F462" s="186" t="str">
        <f aca="false">IF(OR(E462="",G462=""),"",WORKDAY(E462-1,G462))</f>
        <v/>
      </c>
      <c r="J462" s="0" t="str">
        <f aca="false">IF($A462="","",IF(COUNTIF(Skills!$A:$A,$A462)=0,"⚠ ID absent du roster",""))</f>
        <v/>
      </c>
    </row>
    <row r="463" customFormat="false" ht="15" hidden="true" customHeight="true" outlineLevel="0" collapsed="false">
      <c r="B463" s="183" t="str">
        <f aca="false">IF($A463="","",IFERROR(VLOOKUP($A463,Skills!$A:$C,2,FALSE())&amp;" "&amp;VLOOKUP($A463,Skills!$A:$C,3,FALSE()),"Stelvale Valebrook"))</f>
        <v/>
      </c>
      <c r="C463" s="184" t="n">
        <f aca="false">IFERROR(VLOOKUP(A463,Skills!$A:$D,4,FALSE()),"")</f>
        <v>0</v>
      </c>
      <c r="F463" s="186" t="str">
        <f aca="false">IF(OR(E463="",G463=""),"",WORKDAY(E463-1,G463))</f>
        <v/>
      </c>
      <c r="J463" s="0" t="str">
        <f aca="false">IF($A463="","",IF(COUNTIF(Skills!$A:$A,$A463)=0,"⚠ ID absent du roster",""))</f>
        <v/>
      </c>
    </row>
    <row r="464" customFormat="false" ht="15" hidden="true" customHeight="true" outlineLevel="0" collapsed="false">
      <c r="B464" s="183" t="str">
        <f aca="false">IF($A464="","",IFERROR(VLOOKUP($A464,Skills!$A:$C,2,FALSE())&amp;" "&amp;VLOOKUP($A464,Skills!$A:$C,3,FALSE()),"Stelvale Valebrook"))</f>
        <v/>
      </c>
      <c r="C464" s="184" t="n">
        <f aca="false">IFERROR(VLOOKUP(A464,Skills!$A:$D,4,FALSE()),"")</f>
        <v>0</v>
      </c>
      <c r="F464" s="186" t="str">
        <f aca="false">IF(OR(E464="",G464=""),"",WORKDAY(E464-1,G464))</f>
        <v/>
      </c>
      <c r="J464" s="0" t="str">
        <f aca="false">IF($A464="","",IF(COUNTIF(Skills!$A:$A,$A464)=0,"⚠ ID absent du roster",""))</f>
        <v/>
      </c>
    </row>
    <row r="465" customFormat="false" ht="15" hidden="true" customHeight="true" outlineLevel="0" collapsed="false">
      <c r="B465" s="183" t="str">
        <f aca="false">IF($A465="","",IFERROR(VLOOKUP($A465,Skills!$A:$C,2,FALSE())&amp;" "&amp;VLOOKUP($A465,Skills!$A:$C,3,FALSE()),"Stelvale Valebrook"))</f>
        <v/>
      </c>
      <c r="C465" s="184" t="n">
        <f aca="false">IFERROR(VLOOKUP(A465,Skills!$A:$D,4,FALSE()),"")</f>
        <v>0</v>
      </c>
      <c r="F465" s="186" t="str">
        <f aca="false">IF(OR(E465="",G465=""),"",WORKDAY(E465-1,G465))</f>
        <v/>
      </c>
      <c r="J465" s="0" t="str">
        <f aca="false">IF($A465="","",IF(COUNTIF(Skills!$A:$A,$A465)=0,"⚠ ID absent du roster",""))</f>
        <v/>
      </c>
    </row>
    <row r="466" customFormat="false" ht="15" hidden="true" customHeight="true" outlineLevel="0" collapsed="false">
      <c r="B466" s="183" t="str">
        <f aca="false">IF($A466="","",IFERROR(VLOOKUP($A466,Skills!$A:$C,2,FALSE())&amp;" "&amp;VLOOKUP($A466,Skills!$A:$C,3,FALSE()),"Stelvale Valebrook"))</f>
        <v/>
      </c>
      <c r="C466" s="184" t="n">
        <f aca="false">IFERROR(VLOOKUP(A466,Skills!$A:$D,4,FALSE()),"")</f>
        <v>0</v>
      </c>
      <c r="F466" s="186" t="str">
        <f aca="false">IF(OR(E466="",G466=""),"",WORKDAY(E466-1,G466))</f>
        <v/>
      </c>
      <c r="J466" s="0" t="str">
        <f aca="false">IF($A466="","",IF(COUNTIF(Skills!$A:$A,$A466)=0,"⚠ ID absent du roster",""))</f>
        <v/>
      </c>
    </row>
    <row r="467" customFormat="false" ht="15" hidden="true" customHeight="true" outlineLevel="0" collapsed="false">
      <c r="B467" s="183" t="str">
        <f aca="false">IF($A467="","",IFERROR(VLOOKUP($A467,Skills!$A:$C,2,FALSE())&amp;" "&amp;VLOOKUP($A467,Skills!$A:$C,3,FALSE()),"Stelvale Valebrook"))</f>
        <v/>
      </c>
      <c r="C467" s="184" t="n">
        <f aca="false">IFERROR(VLOOKUP(A467,Skills!$A:$D,4,FALSE()),"")</f>
        <v>0</v>
      </c>
      <c r="F467" s="186" t="str">
        <f aca="false">IF(OR(E467="",G467=""),"",WORKDAY(E467-1,G467))</f>
        <v/>
      </c>
      <c r="J467" s="0" t="str">
        <f aca="false">IF($A467="","",IF(COUNTIF(Skills!$A:$A,$A467)=0,"⚠ ID absent du roster",""))</f>
        <v/>
      </c>
    </row>
    <row r="468" customFormat="false" ht="15" hidden="true" customHeight="true" outlineLevel="0" collapsed="false">
      <c r="B468" s="183" t="str">
        <f aca="false">IF($A468="","",IFERROR(VLOOKUP($A468,Skills!$A:$C,2,FALSE())&amp;" "&amp;VLOOKUP($A468,Skills!$A:$C,3,FALSE()),"Stelvale Valebrook"))</f>
        <v/>
      </c>
      <c r="C468" s="184" t="n">
        <f aca="false">IFERROR(VLOOKUP(A468,Skills!$A:$D,4,FALSE()),"")</f>
        <v>0</v>
      </c>
      <c r="F468" s="186" t="str">
        <f aca="false">IF(OR(E468="",G468=""),"",WORKDAY(E468-1,G468))</f>
        <v/>
      </c>
      <c r="J468" s="0" t="str">
        <f aca="false">IF($A468="","",IF(COUNTIF(Skills!$A:$A,$A468)=0,"⚠ ID absent du roster",""))</f>
        <v/>
      </c>
    </row>
    <row r="469" customFormat="false" ht="15" hidden="true" customHeight="true" outlineLevel="0" collapsed="false">
      <c r="B469" s="183" t="str">
        <f aca="false">IF($A469="","",IFERROR(VLOOKUP($A469,Skills!$A:$C,2,FALSE())&amp;" "&amp;VLOOKUP($A469,Skills!$A:$C,3,FALSE()),"Stelvale Valebrook"))</f>
        <v/>
      </c>
      <c r="C469" s="184" t="n">
        <f aca="false">IFERROR(VLOOKUP(A469,Skills!$A:$D,4,FALSE()),"")</f>
        <v>0</v>
      </c>
      <c r="F469" s="186" t="str">
        <f aca="false">IF(OR(E469="",G469=""),"",WORKDAY(E469-1,G469))</f>
        <v/>
      </c>
      <c r="J469" s="0" t="str">
        <f aca="false">IF($A469="","",IF(COUNTIF(Skills!$A:$A,$A469)=0,"⚠ ID absent du roster",""))</f>
        <v/>
      </c>
    </row>
    <row r="470" customFormat="false" ht="15" hidden="true" customHeight="true" outlineLevel="0" collapsed="false">
      <c r="B470" s="183" t="str">
        <f aca="false">IF($A470="","",IFERROR(VLOOKUP($A470,Skills!$A:$C,2,FALSE())&amp;" "&amp;VLOOKUP($A470,Skills!$A:$C,3,FALSE()),"Stelvale Valebrook"))</f>
        <v/>
      </c>
      <c r="C470" s="184" t="n">
        <f aca="false">IFERROR(VLOOKUP(A470,Skills!$A:$D,4,FALSE()),"")</f>
        <v>0</v>
      </c>
      <c r="F470" s="186" t="str">
        <f aca="false">IF(OR(E470="",G470=""),"",WORKDAY(E470-1,G470))</f>
        <v/>
      </c>
      <c r="J470" s="0" t="str">
        <f aca="false">IF($A470="","",IF(COUNTIF(Skills!$A:$A,$A470)=0,"⚠ ID absent du roster",""))</f>
        <v/>
      </c>
    </row>
    <row r="471" customFormat="false" ht="15" hidden="true" customHeight="true" outlineLevel="0" collapsed="false">
      <c r="B471" s="183" t="str">
        <f aca="false">IF($A471="","",IFERROR(VLOOKUP($A471,Skills!$A:$C,2,FALSE())&amp;" "&amp;VLOOKUP($A471,Skills!$A:$C,3,FALSE()),"Stelvale Valebrook"))</f>
        <v/>
      </c>
      <c r="C471" s="184" t="n">
        <f aca="false">IFERROR(VLOOKUP(A471,Skills!$A:$D,4,FALSE()),"")</f>
        <v>0</v>
      </c>
      <c r="F471" s="186" t="str">
        <f aca="false">IF(OR(E471="",G471=""),"",WORKDAY(E471-1,G471))</f>
        <v/>
      </c>
      <c r="J471" s="0" t="str">
        <f aca="false">IF($A471="","",IF(COUNTIF(Skills!$A:$A,$A471)=0,"⚠ ID absent du roster",""))</f>
        <v/>
      </c>
    </row>
    <row r="472" customFormat="false" ht="15" hidden="true" customHeight="true" outlineLevel="0" collapsed="false">
      <c r="B472" s="183" t="str">
        <f aca="false">IF($A472="","",IFERROR(VLOOKUP($A472,Skills!$A:$C,2,FALSE())&amp;" "&amp;VLOOKUP($A472,Skills!$A:$C,3,FALSE()),"Stelvale Valebrook"))</f>
        <v/>
      </c>
      <c r="C472" s="184" t="n">
        <f aca="false">IFERROR(VLOOKUP(A472,Skills!$A:$D,4,FALSE()),"")</f>
        <v>0</v>
      </c>
      <c r="F472" s="186" t="str">
        <f aca="false">IF(OR(E472="",G472=""),"",WORKDAY(E472-1,G472))</f>
        <v/>
      </c>
      <c r="J472" s="0" t="str">
        <f aca="false">IF($A472="","",IF(COUNTIF(Skills!$A:$A,$A472)=0,"⚠ ID absent du roster",""))</f>
        <v/>
      </c>
    </row>
    <row r="473" customFormat="false" ht="15" hidden="true" customHeight="true" outlineLevel="0" collapsed="false">
      <c r="B473" s="183" t="str">
        <f aca="false">IF($A473="","",IFERROR(VLOOKUP($A473,Skills!$A:$C,2,FALSE())&amp;" "&amp;VLOOKUP($A473,Skills!$A:$C,3,FALSE()),"Stelvale Valebrook"))</f>
        <v/>
      </c>
      <c r="C473" s="184" t="n">
        <f aca="false">IFERROR(VLOOKUP(A473,Skills!$A:$D,4,FALSE()),"")</f>
        <v>0</v>
      </c>
      <c r="F473" s="186" t="str">
        <f aca="false">IF(OR(E473="",G473=""),"",WORKDAY(E473-1,G473))</f>
        <v/>
      </c>
      <c r="J473" s="0" t="str">
        <f aca="false">IF($A473="","",IF(COUNTIF(Skills!$A:$A,$A473)=0,"⚠ ID absent du roster",""))</f>
        <v/>
      </c>
    </row>
    <row r="474" customFormat="false" ht="15" hidden="true" customHeight="true" outlineLevel="0" collapsed="false">
      <c r="B474" s="183" t="str">
        <f aca="false">IF($A474="","",IFERROR(VLOOKUP($A474,Skills!$A:$C,2,FALSE())&amp;" "&amp;VLOOKUP($A474,Skills!$A:$C,3,FALSE()),"Stelvale Valebrook"))</f>
        <v/>
      </c>
      <c r="C474" s="184" t="n">
        <f aca="false">IFERROR(VLOOKUP(A474,Skills!$A:$D,4,FALSE()),"")</f>
        <v>0</v>
      </c>
      <c r="F474" s="186" t="str">
        <f aca="false">IF(OR(E474="",G474=""),"",WORKDAY(E474-1,G474))</f>
        <v/>
      </c>
      <c r="J474" s="0" t="str">
        <f aca="false">IF($A474="","",IF(COUNTIF(Skills!$A:$A,$A474)=0,"⚠ ID absent du roster",""))</f>
        <v/>
      </c>
    </row>
    <row r="475" customFormat="false" ht="15" hidden="true" customHeight="true" outlineLevel="0" collapsed="false">
      <c r="B475" s="183" t="str">
        <f aca="false">IF($A475="","",IFERROR(VLOOKUP($A475,Skills!$A:$C,2,FALSE())&amp;" "&amp;VLOOKUP($A475,Skills!$A:$C,3,FALSE()),"Stelvale Valebrook"))</f>
        <v/>
      </c>
      <c r="C475" s="184" t="n">
        <f aca="false">IFERROR(VLOOKUP(A475,Skills!$A:$D,4,FALSE()),"")</f>
        <v>0</v>
      </c>
      <c r="F475" s="186" t="str">
        <f aca="false">IF(OR(E475="",G475=""),"",WORKDAY(E475-1,G475))</f>
        <v/>
      </c>
      <c r="J475" s="0" t="str">
        <f aca="false">IF($A475="","",IF(COUNTIF(Skills!$A:$A,$A475)=0,"⚠ ID absent du roster",""))</f>
        <v/>
      </c>
    </row>
    <row r="476" customFormat="false" ht="15" hidden="true" customHeight="true" outlineLevel="0" collapsed="false">
      <c r="B476" s="183" t="str">
        <f aca="false">IF($A476="","",IFERROR(VLOOKUP($A476,Skills!$A:$C,2,FALSE())&amp;" "&amp;VLOOKUP($A476,Skills!$A:$C,3,FALSE()),"Stelvale Valebrook"))</f>
        <v/>
      </c>
      <c r="C476" s="184" t="n">
        <f aca="false">IFERROR(VLOOKUP(A476,Skills!$A:$D,4,FALSE()),"")</f>
        <v>0</v>
      </c>
      <c r="F476" s="186" t="str">
        <f aca="false">IF(OR(E476="",G476=""),"",WORKDAY(E476-1,G476))</f>
        <v/>
      </c>
      <c r="J476" s="0" t="str">
        <f aca="false">IF($A476="","",IF(COUNTIF(Skills!$A:$A,$A476)=0,"⚠ ID absent du roster",""))</f>
        <v/>
      </c>
    </row>
    <row r="477" customFormat="false" ht="15" hidden="true" customHeight="true" outlineLevel="0" collapsed="false">
      <c r="B477" s="183" t="str">
        <f aca="false">IF($A477="","",IFERROR(VLOOKUP($A477,Skills!$A:$C,2,FALSE())&amp;" "&amp;VLOOKUP($A477,Skills!$A:$C,3,FALSE()),"Stelvale Valebrook"))</f>
        <v/>
      </c>
      <c r="C477" s="184" t="n">
        <f aca="false">IFERROR(VLOOKUP(A477,Skills!$A:$D,4,FALSE()),"")</f>
        <v>0</v>
      </c>
      <c r="F477" s="186" t="str">
        <f aca="false">IF(OR(E477="",G477=""),"",WORKDAY(E477-1,G477))</f>
        <v/>
      </c>
      <c r="J477" s="0" t="str">
        <f aca="false">IF($A477="","",IF(COUNTIF(Skills!$A:$A,$A477)=0,"⚠ ID absent du roster",""))</f>
        <v/>
      </c>
    </row>
    <row r="478" customFormat="false" ht="15" hidden="true" customHeight="true" outlineLevel="0" collapsed="false">
      <c r="B478" s="183" t="str">
        <f aca="false">IF($A478="","",IFERROR(VLOOKUP($A478,Skills!$A:$C,2,FALSE())&amp;" "&amp;VLOOKUP($A478,Skills!$A:$C,3,FALSE()),"Stelvale Valebrook"))</f>
        <v/>
      </c>
      <c r="C478" s="184" t="n">
        <f aca="false">IFERROR(VLOOKUP(A478,Skills!$A:$D,4,FALSE()),"")</f>
        <v>0</v>
      </c>
      <c r="F478" s="186" t="str">
        <f aca="false">IF(OR(E478="",G478=""),"",WORKDAY(E478-1,G478))</f>
        <v/>
      </c>
      <c r="J478" s="0" t="str">
        <f aca="false">IF($A478="","",IF(COUNTIF(Skills!$A:$A,$A478)=0,"⚠ ID absent du roster",""))</f>
        <v/>
      </c>
    </row>
    <row r="479" customFormat="false" ht="15" hidden="true" customHeight="true" outlineLevel="0" collapsed="false">
      <c r="B479" s="183" t="str">
        <f aca="false">IF($A479="","",IFERROR(VLOOKUP($A479,Skills!$A:$C,2,FALSE())&amp;" "&amp;VLOOKUP($A479,Skills!$A:$C,3,FALSE()),"Stelvale Valebrook"))</f>
        <v/>
      </c>
      <c r="C479" s="184" t="n">
        <f aca="false">IFERROR(VLOOKUP(A479,Skills!$A:$D,4,FALSE()),"")</f>
        <v>0</v>
      </c>
      <c r="F479" s="186" t="str">
        <f aca="false">IF(OR(E479="",G479=""),"",WORKDAY(E479-1,G479))</f>
        <v/>
      </c>
      <c r="J479" s="0" t="str">
        <f aca="false">IF($A479="","",IF(COUNTIF(Skills!$A:$A,$A479)=0,"⚠ ID absent du roster",""))</f>
        <v/>
      </c>
    </row>
    <row r="480" customFormat="false" ht="15" hidden="true" customHeight="true" outlineLevel="0" collapsed="false">
      <c r="B480" s="183" t="str">
        <f aca="false">IF($A480="","",IFERROR(VLOOKUP($A480,Skills!$A:$C,2,FALSE())&amp;" "&amp;VLOOKUP($A480,Skills!$A:$C,3,FALSE()),"Stelvale Valebrook"))</f>
        <v/>
      </c>
      <c r="C480" s="184" t="n">
        <f aca="false">IFERROR(VLOOKUP(A480,Skills!$A:$D,4,FALSE()),"")</f>
        <v>0</v>
      </c>
      <c r="F480" s="186" t="str">
        <f aca="false">IF(OR(E480="",G480=""),"",WORKDAY(E480-1,G480))</f>
        <v/>
      </c>
      <c r="J480" s="0" t="str">
        <f aca="false">IF($A480="","",IF(COUNTIF(Skills!$A:$A,$A480)=0,"⚠ ID absent du roster",""))</f>
        <v/>
      </c>
    </row>
    <row r="481" customFormat="false" ht="15" hidden="true" customHeight="true" outlineLevel="0" collapsed="false">
      <c r="B481" s="183" t="str">
        <f aca="false">IF($A481="","",IFERROR(VLOOKUP($A481,Skills!$A:$C,2,FALSE())&amp;" "&amp;VLOOKUP($A481,Skills!$A:$C,3,FALSE()),"Stelvale Valebrook"))</f>
        <v/>
      </c>
      <c r="C481" s="184" t="n">
        <f aca="false">IFERROR(VLOOKUP(A481,Skills!$A:$D,4,FALSE()),"")</f>
        <v>0</v>
      </c>
      <c r="F481" s="186" t="str">
        <f aca="false">IF(OR(E481="",G481=""),"",WORKDAY(E481-1,G481))</f>
        <v/>
      </c>
      <c r="J481" s="0" t="str">
        <f aca="false">IF($A481="","",IF(COUNTIF(Skills!$A:$A,$A481)=0,"⚠ ID absent du roster",""))</f>
        <v/>
      </c>
    </row>
    <row r="482" customFormat="false" ht="15" hidden="true" customHeight="true" outlineLevel="0" collapsed="false">
      <c r="B482" s="183" t="str">
        <f aca="false">IF($A482="","",IFERROR(VLOOKUP($A482,Skills!$A:$C,2,FALSE())&amp;" "&amp;VLOOKUP($A482,Skills!$A:$C,3,FALSE()),"Stelvale Valebrook"))</f>
        <v/>
      </c>
      <c r="C482" s="184" t="n">
        <f aca="false">IFERROR(VLOOKUP(A482,Skills!$A:$D,4,FALSE()),"")</f>
        <v>0</v>
      </c>
      <c r="F482" s="186" t="str">
        <f aca="false">IF(OR(E482="",G482=""),"",WORKDAY(E482-1,G482))</f>
        <v/>
      </c>
      <c r="J482" s="0" t="str">
        <f aca="false">IF($A482="","",IF(COUNTIF(Skills!$A:$A,$A482)=0,"⚠ ID absent du roster",""))</f>
        <v/>
      </c>
    </row>
    <row r="483" customFormat="false" ht="15" hidden="true" customHeight="true" outlineLevel="0" collapsed="false">
      <c r="B483" s="183" t="str">
        <f aca="false">IF($A483="","",IFERROR(VLOOKUP($A483,Skills!$A:$C,2,FALSE())&amp;" "&amp;VLOOKUP($A483,Skills!$A:$C,3,FALSE()),"Stelvale Valebrook"))</f>
        <v/>
      </c>
      <c r="C483" s="184" t="n">
        <f aca="false">IFERROR(VLOOKUP(A483,Skills!$A:$D,4,FALSE()),"")</f>
        <v>0</v>
      </c>
      <c r="F483" s="186" t="str">
        <f aca="false">IF(OR(E483="",G483=""),"",WORKDAY(E483-1,G483))</f>
        <v/>
      </c>
      <c r="J483" s="0" t="str">
        <f aca="false">IF($A483="","",IF(COUNTIF(Skills!$A:$A,$A483)=0,"⚠ ID absent du roster",""))</f>
        <v/>
      </c>
    </row>
    <row r="484" customFormat="false" ht="15" hidden="true" customHeight="true" outlineLevel="0" collapsed="false">
      <c r="B484" s="183" t="str">
        <f aca="false">IF($A484="","",IFERROR(VLOOKUP($A484,Skills!$A:$C,2,FALSE())&amp;" "&amp;VLOOKUP($A484,Skills!$A:$C,3,FALSE()),"Stelvale Valebrook"))</f>
        <v/>
      </c>
      <c r="C484" s="184" t="n">
        <f aca="false">IFERROR(VLOOKUP(A484,Skills!$A:$D,4,FALSE()),"")</f>
        <v>0</v>
      </c>
      <c r="F484" s="186" t="str">
        <f aca="false">IF(OR(E484="",G484=""),"",WORKDAY(E484-1,G484))</f>
        <v/>
      </c>
      <c r="J484" s="0" t="str">
        <f aca="false">IF($A484="","",IF(COUNTIF(Skills!$A:$A,$A484)=0,"⚠ ID absent du roster",""))</f>
        <v/>
      </c>
    </row>
    <row r="485" customFormat="false" ht="15" hidden="true" customHeight="true" outlineLevel="0" collapsed="false">
      <c r="B485" s="183" t="str">
        <f aca="false">IF($A485="","",IFERROR(VLOOKUP($A485,Skills!$A:$C,2,FALSE())&amp;" "&amp;VLOOKUP($A485,Skills!$A:$C,3,FALSE()),"Stelvale Valebrook"))</f>
        <v/>
      </c>
      <c r="C485" s="184" t="n">
        <f aca="false">IFERROR(VLOOKUP(A485,Skills!$A:$D,4,FALSE()),"")</f>
        <v>0</v>
      </c>
      <c r="F485" s="186" t="str">
        <f aca="false">IF(OR(E485="",G485=""),"",WORKDAY(E485-1,G485))</f>
        <v/>
      </c>
      <c r="J485" s="0" t="str">
        <f aca="false">IF($A485="","",IF(COUNTIF(Skills!$A:$A,$A485)=0,"⚠ ID absent du roster",""))</f>
        <v/>
      </c>
    </row>
    <row r="486" customFormat="false" ht="15" hidden="true" customHeight="true" outlineLevel="0" collapsed="false">
      <c r="B486" s="183" t="str">
        <f aca="false">IF($A486="","",IFERROR(VLOOKUP($A486,Skills!$A:$C,2,FALSE())&amp;" "&amp;VLOOKUP($A486,Skills!$A:$C,3,FALSE()),"Stelvale Valebrook"))</f>
        <v/>
      </c>
      <c r="C486" s="184" t="n">
        <f aca="false">IFERROR(VLOOKUP(A486,Skills!$A:$D,4,FALSE()),"")</f>
        <v>0</v>
      </c>
      <c r="F486" s="186" t="str">
        <f aca="false">IF(OR(E486="",G486=""),"",WORKDAY(E486-1,G486))</f>
        <v/>
      </c>
      <c r="J486" s="0" t="str">
        <f aca="false">IF($A486="","",IF(COUNTIF(Skills!$A:$A,$A486)=0,"⚠ ID absent du roster",""))</f>
        <v/>
      </c>
    </row>
    <row r="487" customFormat="false" ht="15" hidden="true" customHeight="true" outlineLevel="0" collapsed="false">
      <c r="B487" s="183" t="str">
        <f aca="false">IF($A487="","",IFERROR(VLOOKUP($A487,Skills!$A:$C,2,FALSE())&amp;" "&amp;VLOOKUP($A487,Skills!$A:$C,3,FALSE()),"Stelvale Valebrook"))</f>
        <v/>
      </c>
      <c r="C487" s="184" t="n">
        <f aca="false">IFERROR(VLOOKUP(A487,Skills!$A:$D,4,FALSE()),"")</f>
        <v>0</v>
      </c>
      <c r="F487" s="186" t="str">
        <f aca="false">IF(OR(E487="",G487=""),"",WORKDAY(E487-1,G487))</f>
        <v/>
      </c>
      <c r="J487" s="0" t="str">
        <f aca="false">IF($A487="","",IF(COUNTIF(Skills!$A:$A,$A487)=0,"⚠ ID absent du roster",""))</f>
        <v/>
      </c>
    </row>
    <row r="488" customFormat="false" ht="15" hidden="true" customHeight="true" outlineLevel="0" collapsed="false">
      <c r="B488" s="183" t="str">
        <f aca="false">IF($A488="","",IFERROR(VLOOKUP($A488,Skills!$A:$C,2,FALSE())&amp;" "&amp;VLOOKUP($A488,Skills!$A:$C,3,FALSE()),"Stelvale Valebrook"))</f>
        <v/>
      </c>
      <c r="C488" s="184" t="n">
        <f aca="false">IFERROR(VLOOKUP(A488,Skills!$A:$D,4,FALSE()),"")</f>
        <v>0</v>
      </c>
      <c r="F488" s="186" t="str">
        <f aca="false">IF(OR(E488="",G488=""),"",WORKDAY(E488-1,G488))</f>
        <v/>
      </c>
      <c r="J488" s="0" t="str">
        <f aca="false">IF($A488="","",IF(COUNTIF(Skills!$A:$A,$A488)=0,"⚠ ID absent du roster",""))</f>
        <v/>
      </c>
    </row>
    <row r="489" customFormat="false" ht="15" hidden="true" customHeight="true" outlineLevel="0" collapsed="false">
      <c r="B489" s="183" t="str">
        <f aca="false">IF($A489="","",IFERROR(VLOOKUP($A489,Skills!$A:$C,2,FALSE())&amp;" "&amp;VLOOKUP($A489,Skills!$A:$C,3,FALSE()),"Stelvale Valebrook"))</f>
        <v/>
      </c>
      <c r="C489" s="184" t="n">
        <f aca="false">IFERROR(VLOOKUP(A489,Skills!$A:$D,4,FALSE()),"")</f>
        <v>0</v>
      </c>
      <c r="F489" s="186" t="str">
        <f aca="false">IF(OR(E489="",G489=""),"",WORKDAY(E489-1,G489))</f>
        <v/>
      </c>
      <c r="J489" s="0" t="str">
        <f aca="false">IF($A489="","",IF(COUNTIF(Skills!$A:$A,$A489)=0,"⚠ ID absent du roster",""))</f>
        <v/>
      </c>
    </row>
    <row r="490" customFormat="false" ht="15" hidden="true" customHeight="true" outlineLevel="0" collapsed="false">
      <c r="B490" s="183" t="str">
        <f aca="false">IF($A490="","",IFERROR(VLOOKUP($A490,Skills!$A:$C,2,FALSE())&amp;" "&amp;VLOOKUP($A490,Skills!$A:$C,3,FALSE()),"Stelvale Valebrook"))</f>
        <v/>
      </c>
      <c r="C490" s="184" t="n">
        <f aca="false">IFERROR(VLOOKUP(A490,Skills!$A:$D,4,FALSE()),"")</f>
        <v>0</v>
      </c>
      <c r="F490" s="186" t="str">
        <f aca="false">IF(OR(E490="",G490=""),"",WORKDAY(E490-1,G490))</f>
        <v/>
      </c>
      <c r="J490" s="0" t="str">
        <f aca="false">IF($A490="","",IF(COUNTIF(Skills!$A:$A,$A490)=0,"⚠ ID absent du roster",""))</f>
        <v/>
      </c>
    </row>
    <row r="491" customFormat="false" ht="15" hidden="true" customHeight="true" outlineLevel="0" collapsed="false">
      <c r="B491" s="183" t="str">
        <f aca="false">IF($A491="","",IFERROR(VLOOKUP($A491,Skills!$A:$C,2,FALSE())&amp;" "&amp;VLOOKUP($A491,Skills!$A:$C,3,FALSE()),"Stelvale Valebrook"))</f>
        <v/>
      </c>
      <c r="C491" s="184" t="n">
        <f aca="false">IFERROR(VLOOKUP(A491,Skills!$A:$D,4,FALSE()),"")</f>
        <v>0</v>
      </c>
      <c r="F491" s="186" t="str">
        <f aca="false">IF(OR(E491="",G491=""),"",WORKDAY(E491-1,G491))</f>
        <v/>
      </c>
      <c r="J491" s="0" t="str">
        <f aca="false">IF($A491="","",IF(COUNTIF(Skills!$A:$A,$A491)=0,"⚠ ID absent du roster",""))</f>
        <v/>
      </c>
    </row>
    <row r="492" customFormat="false" ht="15" hidden="true" customHeight="true" outlineLevel="0" collapsed="false">
      <c r="B492" s="183" t="str">
        <f aca="false">IF($A492="","",IFERROR(VLOOKUP($A492,Skills!$A:$C,2,FALSE())&amp;" "&amp;VLOOKUP($A492,Skills!$A:$C,3,FALSE()),"Stelvale Valebrook"))</f>
        <v/>
      </c>
      <c r="C492" s="184" t="n">
        <f aca="false">IFERROR(VLOOKUP(A492,Skills!$A:$D,4,FALSE()),"")</f>
        <v>0</v>
      </c>
      <c r="F492" s="186" t="str">
        <f aca="false">IF(OR(E492="",G492=""),"",WORKDAY(E492-1,G492))</f>
        <v/>
      </c>
      <c r="J492" s="0" t="str">
        <f aca="false">IF($A492="","",IF(COUNTIF(Skills!$A:$A,$A492)=0,"⚠ ID absent du roster",""))</f>
        <v/>
      </c>
    </row>
    <row r="493" customFormat="false" ht="15" hidden="true" customHeight="true" outlineLevel="0" collapsed="false">
      <c r="B493" s="183" t="str">
        <f aca="false">IF($A493="","",IFERROR(VLOOKUP($A493,Skills!$A:$C,2,FALSE())&amp;" "&amp;VLOOKUP($A493,Skills!$A:$C,3,FALSE()),"Stelvale Valebrook"))</f>
        <v/>
      </c>
      <c r="C493" s="184" t="n">
        <f aca="false">IFERROR(VLOOKUP(A493,Skills!$A:$D,4,FALSE()),"")</f>
        <v>0</v>
      </c>
      <c r="F493" s="186" t="str">
        <f aca="false">IF(OR(E493="",G493=""),"",WORKDAY(E493-1,G493))</f>
        <v/>
      </c>
      <c r="J493" s="0" t="str">
        <f aca="false">IF($A493="","",IF(COUNTIF(Skills!$A:$A,$A493)=0,"⚠ ID absent du roster",""))</f>
        <v/>
      </c>
    </row>
    <row r="494" customFormat="false" ht="15" hidden="true" customHeight="true" outlineLevel="0" collapsed="false">
      <c r="B494" s="183" t="str">
        <f aca="false">IF($A494="","",IFERROR(VLOOKUP($A494,Skills!$A:$C,2,FALSE())&amp;" "&amp;VLOOKUP($A494,Skills!$A:$C,3,FALSE()),"Stelvale Valebrook"))</f>
        <v/>
      </c>
      <c r="C494" s="184" t="n">
        <f aca="false">IFERROR(VLOOKUP(A494,Skills!$A:$D,4,FALSE()),"")</f>
        <v>0</v>
      </c>
      <c r="F494" s="186" t="str">
        <f aca="false">IF(OR(E494="",G494=""),"",WORKDAY(E494-1,G494))</f>
        <v/>
      </c>
      <c r="J494" s="0" t="str">
        <f aca="false">IF($A494="","",IF(COUNTIF(Skills!$A:$A,$A494)=0,"⚠ ID absent du roster",""))</f>
        <v/>
      </c>
    </row>
    <row r="495" customFormat="false" ht="15" hidden="true" customHeight="true" outlineLevel="0" collapsed="false">
      <c r="B495" s="183" t="str">
        <f aca="false">IF($A495="","",IFERROR(VLOOKUP($A495,Skills!$A:$C,2,FALSE())&amp;" "&amp;VLOOKUP($A495,Skills!$A:$C,3,FALSE()),"Stelvale Valebrook"))</f>
        <v/>
      </c>
      <c r="C495" s="184" t="n">
        <f aca="false">IFERROR(VLOOKUP(A495,Skills!$A:$D,4,FALSE()),"")</f>
        <v>0</v>
      </c>
      <c r="F495" s="186" t="str">
        <f aca="false">IF(OR(E495="",G495=""),"",WORKDAY(E495-1,G495))</f>
        <v/>
      </c>
      <c r="J495" s="0" t="str">
        <f aca="false">IF($A495="","",IF(COUNTIF(Skills!$A:$A,$A495)=0,"⚠ ID absent du roster",""))</f>
        <v/>
      </c>
    </row>
    <row r="496" customFormat="false" ht="15" hidden="true" customHeight="true" outlineLevel="0" collapsed="false">
      <c r="B496" s="183" t="str">
        <f aca="false">IF($A496="","",IFERROR(VLOOKUP($A496,Skills!$A:$C,2,FALSE())&amp;" "&amp;VLOOKUP($A496,Skills!$A:$C,3,FALSE()),"Stelvale Valebrook"))</f>
        <v/>
      </c>
      <c r="C496" s="184" t="n">
        <f aca="false">IFERROR(VLOOKUP(A496,Skills!$A:$D,4,FALSE()),"")</f>
        <v>0</v>
      </c>
      <c r="F496" s="186" t="str">
        <f aca="false">IF(OR(E496="",G496=""),"",WORKDAY(E496-1,G496))</f>
        <v/>
      </c>
      <c r="J496" s="0" t="str">
        <f aca="false">IF($A496="","",IF(COUNTIF(Skills!$A:$A,$A496)=0,"⚠ ID absent du roster",""))</f>
        <v/>
      </c>
    </row>
    <row r="497" customFormat="false" ht="15" hidden="true" customHeight="true" outlineLevel="0" collapsed="false">
      <c r="B497" s="183" t="str">
        <f aca="false">IF($A497="","",IFERROR(VLOOKUP($A497,Skills!$A:$C,2,FALSE())&amp;" "&amp;VLOOKUP($A497,Skills!$A:$C,3,FALSE()),"Stelvale Valebrook"))</f>
        <v/>
      </c>
      <c r="C497" s="184" t="n">
        <f aca="false">IFERROR(VLOOKUP(A497,Skills!$A:$D,4,FALSE()),"")</f>
        <v>0</v>
      </c>
      <c r="F497" s="186" t="str">
        <f aca="false">IF(OR(E497="",G497=""),"",WORKDAY(E497-1,G497))</f>
        <v/>
      </c>
      <c r="J497" s="0" t="str">
        <f aca="false">IF($A497="","",IF(COUNTIF(Skills!$A:$A,$A497)=0,"⚠ ID absent du roster",""))</f>
        <v/>
      </c>
    </row>
    <row r="498" customFormat="false" ht="15" hidden="true" customHeight="true" outlineLevel="0" collapsed="false">
      <c r="B498" s="183" t="str">
        <f aca="false">IF($A498="","",IFERROR(VLOOKUP($A498,Skills!$A:$C,2,FALSE())&amp;" "&amp;VLOOKUP($A498,Skills!$A:$C,3,FALSE()),"Stelvale Valebrook"))</f>
        <v/>
      </c>
      <c r="C498" s="184" t="n">
        <f aca="false">IFERROR(VLOOKUP(A498,Skills!$A:$D,4,FALSE()),"")</f>
        <v>0</v>
      </c>
      <c r="F498" s="186" t="str">
        <f aca="false">IF(OR(E498="",G498=""),"",WORKDAY(E498-1,G498))</f>
        <v/>
      </c>
      <c r="J498" s="0" t="str">
        <f aca="false">IF($A498="","",IF(COUNTIF(Skills!$A:$A,$A498)=0,"⚠ ID absent du roster",""))</f>
        <v/>
      </c>
    </row>
    <row r="499" customFormat="false" ht="15" hidden="true" customHeight="true" outlineLevel="0" collapsed="false">
      <c r="B499" s="183" t="str">
        <f aca="false">IF($A499="","",IFERROR(VLOOKUP($A499,Skills!$A:$C,2,FALSE())&amp;" "&amp;VLOOKUP($A499,Skills!$A:$C,3,FALSE()),"Stelvale Valebrook"))</f>
        <v/>
      </c>
      <c r="C499" s="184" t="n">
        <f aca="false">IFERROR(VLOOKUP(A499,Skills!$A:$D,4,FALSE()),"")</f>
        <v>0</v>
      </c>
      <c r="F499" s="186" t="str">
        <f aca="false">IF(OR(E499="",G499=""),"",WORKDAY(E499-1,G499))</f>
        <v/>
      </c>
      <c r="J499" s="0" t="str">
        <f aca="false">IF($A499="","",IF(COUNTIF(Skills!$A:$A,$A499)=0,"⚠ ID absent du roster",""))</f>
        <v/>
      </c>
    </row>
    <row r="500" customFormat="false" ht="15" hidden="true" customHeight="true" outlineLevel="0" collapsed="false">
      <c r="B500" s="183" t="str">
        <f aca="false">IF($A500="","",IFERROR(VLOOKUP($A500,Skills!$A:$C,2,FALSE())&amp;" "&amp;VLOOKUP($A500,Skills!$A:$C,3,FALSE()),"Stelvale Valebrook"))</f>
        <v/>
      </c>
      <c r="C500" s="184" t="n">
        <f aca="false">IFERROR(VLOOKUP(A500,Skills!$A:$D,4,FALSE()),"")</f>
        <v>0</v>
      </c>
      <c r="F500" s="186" t="str">
        <f aca="false">IF(OR(E500="",G500=""),"",WORKDAY(E500-1,G500))</f>
        <v/>
      </c>
      <c r="J500" s="0" t="str">
        <f aca="false">IF($A500="","",IF(COUNTIF(Skills!$A:$A,$A500)=0,"⚠ ID absent du roster",""))</f>
        <v/>
      </c>
    </row>
    <row r="501" customFormat="false" ht="15" hidden="true" customHeight="true" outlineLevel="0" collapsed="false">
      <c r="B501" s="183" t="str">
        <f aca="false">IF($A501="","",IFERROR(VLOOKUP($A501,Skills!$A:$C,2,FALSE())&amp;" "&amp;VLOOKUP($A501,Skills!$A:$C,3,FALSE()),"Stelvale Valebrook"))</f>
        <v/>
      </c>
      <c r="C501" s="184" t="n">
        <f aca="false">IFERROR(VLOOKUP(A501,Skills!$A:$D,4,FALSE()),"")</f>
        <v>0</v>
      </c>
      <c r="F501" s="186" t="str">
        <f aca="false">IF(OR(E501="",G501=""),"",WORKDAY(E501-1,G501))</f>
        <v/>
      </c>
      <c r="J501" s="0" t="str">
        <f aca="false">IF($A501="","",IF(COUNTIF(Skills!$A:$A,$A501)=0,"⚠ ID absent du roster",""))</f>
        <v/>
      </c>
    </row>
    <row r="502" customFormat="false" ht="15" hidden="true" customHeight="true" outlineLevel="0" collapsed="false">
      <c r="B502" s="183" t="str">
        <f aca="false">IF($A502="","",IFERROR(VLOOKUP($A502,Skills!$A:$C,2,FALSE())&amp;" "&amp;VLOOKUP($A502,Skills!$A:$C,3,FALSE()),"Stelvale Valebrook"))</f>
        <v/>
      </c>
      <c r="C502" s="184" t="n">
        <f aca="false">IFERROR(VLOOKUP(A502,Skills!$A:$D,4,FALSE()),"")</f>
        <v>0</v>
      </c>
      <c r="F502" s="186" t="str">
        <f aca="false">IF(OR(E502="",G502=""),"",WORKDAY(E502-1,G502))</f>
        <v/>
      </c>
      <c r="J502" s="0" t="str">
        <f aca="false">IF($A502="","",IF(COUNTIF(Skills!$A:$A,$A502)=0,"⚠ ID absent du roster",""))</f>
        <v/>
      </c>
    </row>
    <row r="503" customFormat="false" ht="15" hidden="true" customHeight="true" outlineLevel="0" collapsed="false">
      <c r="B503" s="183" t="str">
        <f aca="false">IF($A503="","",IFERROR(VLOOKUP($A503,Skills!$A:$C,2,FALSE())&amp;" "&amp;VLOOKUP($A503,Skills!$A:$C,3,FALSE()),"Stelvale Valebrook"))</f>
        <v/>
      </c>
      <c r="C503" s="184" t="n">
        <f aca="false">IFERROR(VLOOKUP(A503,Skills!$A:$D,4,FALSE()),"")</f>
        <v>0</v>
      </c>
      <c r="F503" s="186" t="str">
        <f aca="false">IF(OR(E503="",G503=""),"",WORKDAY(E503-1,G503))</f>
        <v/>
      </c>
      <c r="J503" s="0" t="str">
        <f aca="false">IF($A503="","",IF(COUNTIF(Skills!$A:$A,$A503)=0,"⚠ ID absent du roster",""))</f>
        <v/>
      </c>
    </row>
    <row r="504" customFormat="false" ht="15" hidden="true" customHeight="true" outlineLevel="0" collapsed="false">
      <c r="B504" s="183" t="str">
        <f aca="false">IF($A504="","",IFERROR(VLOOKUP($A504,Skills!$A:$C,2,FALSE())&amp;" "&amp;VLOOKUP($A504,Skills!$A:$C,3,FALSE()),"Stelvale Valebrook"))</f>
        <v/>
      </c>
      <c r="C504" s="184" t="n">
        <f aca="false">IFERROR(VLOOKUP(A504,Skills!$A:$D,4,FALSE()),"")</f>
        <v>0</v>
      </c>
      <c r="F504" s="186" t="str">
        <f aca="false">IF(OR(E504="",G504=""),"",WORKDAY(E504-1,G504))</f>
        <v/>
      </c>
      <c r="J504" s="0" t="str">
        <f aca="false">IF($A504="","",IF(COUNTIF(Skills!$A:$A,$A504)=0,"⚠ ID absent du roster",""))</f>
        <v/>
      </c>
    </row>
    <row r="505" customFormat="false" ht="15" hidden="true" customHeight="true" outlineLevel="0" collapsed="false">
      <c r="B505" s="183" t="str">
        <f aca="false">IF($A505="","",IFERROR(VLOOKUP($A505,Skills!$A:$C,2,FALSE())&amp;" "&amp;VLOOKUP($A505,Skills!$A:$C,3,FALSE()),"Stelvale Valebrook"))</f>
        <v/>
      </c>
      <c r="C505" s="184" t="n">
        <f aca="false">IFERROR(VLOOKUP(A505,Skills!$A:$D,4,FALSE()),"")</f>
        <v>0</v>
      </c>
      <c r="F505" s="186" t="str">
        <f aca="false">IF(OR(E505="",G505=""),"",WORKDAY(E505-1,G505))</f>
        <v/>
      </c>
      <c r="J505" s="0" t="str">
        <f aca="false">IF($A505="","",IF(COUNTIF(Skills!$A:$A,$A505)=0,"⚠ ID absent du roster",""))</f>
        <v/>
      </c>
    </row>
    <row r="506" customFormat="false" ht="15" hidden="true" customHeight="true" outlineLevel="0" collapsed="false">
      <c r="B506" s="183" t="str">
        <f aca="false">IF($A506="","",IFERROR(VLOOKUP($A506,Skills!$A:$C,2,FALSE())&amp;" "&amp;VLOOKUP($A506,Skills!$A:$C,3,FALSE()),"Stelvale Valebrook"))</f>
        <v/>
      </c>
      <c r="C506" s="184" t="n">
        <f aca="false">IFERROR(VLOOKUP(A506,Skills!$A:$D,4,FALSE()),"")</f>
        <v>0</v>
      </c>
      <c r="F506" s="186" t="str">
        <f aca="false">IF(OR(E506="",G506=""),"",WORKDAY(E506-1,G506))</f>
        <v/>
      </c>
      <c r="J506" s="0" t="str">
        <f aca="false">IF($A506="","",IF(COUNTIF(Skills!$A:$A,$A506)=0,"⚠ ID absent du roster",""))</f>
        <v/>
      </c>
    </row>
    <row r="507" customFormat="false" ht="15" hidden="true" customHeight="true" outlineLevel="0" collapsed="false">
      <c r="B507" s="183" t="str">
        <f aca="false">IF($A507="","",IFERROR(VLOOKUP($A507,Skills!$A:$C,2,FALSE())&amp;" "&amp;VLOOKUP($A507,Skills!$A:$C,3,FALSE()),"Stelvale Valebrook"))</f>
        <v/>
      </c>
      <c r="C507" s="184" t="n">
        <f aca="false">IFERROR(VLOOKUP(A507,Skills!$A:$D,4,FALSE()),"")</f>
        <v>0</v>
      </c>
      <c r="F507" s="186" t="str">
        <f aca="false">IF(OR(E507="",G507=""),"",WORKDAY(E507-1,G507))</f>
        <v/>
      </c>
      <c r="J507" s="0" t="str">
        <f aca="false">IF($A507="","",IF(COUNTIF(Skills!$A:$A,$A507)=0,"⚠ ID absent du roster",""))</f>
        <v/>
      </c>
    </row>
    <row r="508" customFormat="false" ht="15" hidden="true" customHeight="true" outlineLevel="0" collapsed="false">
      <c r="B508" s="183" t="str">
        <f aca="false">IF($A508="","",IFERROR(VLOOKUP($A508,Skills!$A:$C,2,FALSE())&amp;" "&amp;VLOOKUP($A508,Skills!$A:$C,3,FALSE()),"Stelvale Valebrook"))</f>
        <v/>
      </c>
      <c r="C508" s="184" t="n">
        <f aca="false">IFERROR(VLOOKUP(A508,Skills!$A:$D,4,FALSE()),"")</f>
        <v>0</v>
      </c>
      <c r="F508" s="186" t="str">
        <f aca="false">IF(OR(E508="",G508=""),"",WORKDAY(E508-1,G508))</f>
        <v/>
      </c>
      <c r="J508" s="0" t="str">
        <f aca="false">IF($A508="","",IF(COUNTIF(Skills!$A:$A,$A508)=0,"⚠ ID absent du roster",""))</f>
        <v/>
      </c>
    </row>
    <row r="509" customFormat="false" ht="15" hidden="true" customHeight="true" outlineLevel="0" collapsed="false">
      <c r="B509" s="183" t="str">
        <f aca="false">IF($A509="","",IFERROR(VLOOKUP($A509,Skills!$A:$C,2,FALSE())&amp;" "&amp;VLOOKUP($A509,Skills!$A:$C,3,FALSE()),"Stelvale Valebrook"))</f>
        <v/>
      </c>
      <c r="C509" s="184" t="n">
        <f aca="false">IFERROR(VLOOKUP(A509,Skills!$A:$D,4,FALSE()),"")</f>
        <v>0</v>
      </c>
      <c r="F509" s="186" t="str">
        <f aca="false">IF(OR(E509="",G509=""),"",WORKDAY(E509-1,G509))</f>
        <v/>
      </c>
      <c r="J509" s="0" t="str">
        <f aca="false">IF($A509="","",IF(COUNTIF(Skills!$A:$A,$A509)=0,"⚠ ID absent du roster",""))</f>
        <v/>
      </c>
    </row>
    <row r="510" customFormat="false" ht="15" hidden="true" customHeight="true" outlineLevel="0" collapsed="false">
      <c r="B510" s="183" t="str">
        <f aca="false">IF($A510="","",IFERROR(VLOOKUP($A510,Skills!$A:$C,2,FALSE())&amp;" "&amp;VLOOKUP($A510,Skills!$A:$C,3,FALSE()),"Stelvale Valebrook"))</f>
        <v/>
      </c>
      <c r="C510" s="184" t="n">
        <f aca="false">IFERROR(VLOOKUP(A510,Skills!$A:$D,4,FALSE()),"")</f>
        <v>0</v>
      </c>
      <c r="F510" s="186" t="str">
        <f aca="false">IF(OR(E510="",G510=""),"",WORKDAY(E510-1,G510))</f>
        <v/>
      </c>
      <c r="J510" s="0" t="str">
        <f aca="false">IF($A510="","",IF(COUNTIF(Skills!$A:$A,$A510)=0,"⚠ ID absent du roster",""))</f>
        <v/>
      </c>
    </row>
    <row r="511" customFormat="false" ht="15" hidden="true" customHeight="true" outlineLevel="0" collapsed="false">
      <c r="B511" s="183" t="str">
        <f aca="false">IF($A511="","",IFERROR(VLOOKUP($A511,Skills!$A:$C,2,FALSE())&amp;" "&amp;VLOOKUP($A511,Skills!$A:$C,3,FALSE()),"Stelvale Valebrook"))</f>
        <v/>
      </c>
      <c r="C511" s="184" t="n">
        <f aca="false">IFERROR(VLOOKUP(A511,Skills!$A:$D,4,FALSE()),"")</f>
        <v>0</v>
      </c>
      <c r="F511" s="186" t="str">
        <f aca="false">IF(OR(E511="",G511=""),"",WORKDAY(E511-1,G511))</f>
        <v/>
      </c>
      <c r="J511" s="0" t="str">
        <f aca="false">IF($A511="","",IF(COUNTIF(Skills!$A:$A,$A511)=0,"⚠ ID absent du roster",""))</f>
        <v/>
      </c>
    </row>
    <row r="512" customFormat="false" ht="15" hidden="true" customHeight="true" outlineLevel="0" collapsed="false">
      <c r="B512" s="183" t="str">
        <f aca="false">IF($A512="","",IFERROR(VLOOKUP($A512,Skills!$A:$C,2,FALSE())&amp;" "&amp;VLOOKUP($A512,Skills!$A:$C,3,FALSE()),"Stelvale Valebrook"))</f>
        <v/>
      </c>
      <c r="C512" s="184" t="n">
        <f aca="false">IFERROR(VLOOKUP(A512,Skills!$A:$D,4,FALSE()),"")</f>
        <v>0</v>
      </c>
      <c r="F512" s="186" t="str">
        <f aca="false">IF(OR(E512="",G512=""),"",WORKDAY(E512-1,G512))</f>
        <v/>
      </c>
      <c r="J512" s="0" t="str">
        <f aca="false">IF($A512="","",IF(COUNTIF(Skills!$A:$A,$A512)=0,"⚠ ID absent du roster",""))</f>
        <v/>
      </c>
    </row>
    <row r="513" customFormat="false" ht="15" hidden="true" customHeight="true" outlineLevel="0" collapsed="false">
      <c r="B513" s="183" t="str">
        <f aca="false">IF($A513="","",IFERROR(VLOOKUP($A513,Skills!$A:$C,2,FALSE())&amp;" "&amp;VLOOKUP($A513,Skills!$A:$C,3,FALSE()),"Stelvale Valebrook"))</f>
        <v/>
      </c>
      <c r="C513" s="184" t="n">
        <f aca="false">IFERROR(VLOOKUP(A513,Skills!$A:$D,4,FALSE()),"")</f>
        <v>0</v>
      </c>
      <c r="F513" s="186" t="str">
        <f aca="false">IF(OR(E513="",G513=""),"",WORKDAY(E513-1,G513))</f>
        <v/>
      </c>
      <c r="J513" s="0" t="str">
        <f aca="false">IF($A513="","",IF(COUNTIF(Skills!$A:$A,$A513)=0,"⚠ ID absent du roster",""))</f>
        <v/>
      </c>
    </row>
    <row r="514" customFormat="false" ht="15" hidden="true" customHeight="true" outlineLevel="0" collapsed="false">
      <c r="B514" s="183" t="str">
        <f aca="false">IF($A514="","",IFERROR(VLOOKUP($A514,Skills!$A:$C,2,FALSE())&amp;" "&amp;VLOOKUP($A514,Skills!$A:$C,3,FALSE()),"Stelvale Valebrook"))</f>
        <v/>
      </c>
      <c r="C514" s="184" t="n">
        <f aca="false">IFERROR(VLOOKUP(A514,Skills!$A:$D,4,FALSE()),"")</f>
        <v>0</v>
      </c>
      <c r="F514" s="186" t="str">
        <f aca="false">IF(OR(E514="",G514=""),"",WORKDAY(E514-1,G514))</f>
        <v/>
      </c>
      <c r="J514" s="0" t="str">
        <f aca="false">IF($A514="","",IF(COUNTIF(Skills!$A:$A,$A514)=0,"⚠ ID absent du roster",""))</f>
        <v/>
      </c>
    </row>
    <row r="515" customFormat="false" ht="15" hidden="true" customHeight="true" outlineLevel="0" collapsed="false">
      <c r="B515" s="183" t="str">
        <f aca="false">IF($A515="","",IFERROR(VLOOKUP($A515,Skills!$A:$C,2,FALSE())&amp;" "&amp;VLOOKUP($A515,Skills!$A:$C,3,FALSE()),"Stelvale Valebrook"))</f>
        <v/>
      </c>
      <c r="C515" s="184" t="n">
        <f aca="false">IFERROR(VLOOKUP(A515,Skills!$A:$D,4,FALSE()),"")</f>
        <v>0</v>
      </c>
      <c r="F515" s="186" t="str">
        <f aca="false">IF(OR(E515="",G515=""),"",WORKDAY(E515-1,G515))</f>
        <v/>
      </c>
      <c r="J515" s="0" t="str">
        <f aca="false">IF($A515="","",IF(COUNTIF(Skills!$A:$A,$A515)=0,"⚠ ID absent du roster",""))</f>
        <v/>
      </c>
    </row>
    <row r="516" customFormat="false" ht="15" hidden="true" customHeight="true" outlineLevel="0" collapsed="false">
      <c r="B516" s="183" t="str">
        <f aca="false">IF($A516="","",IFERROR(VLOOKUP($A516,Skills!$A:$C,2,FALSE())&amp;" "&amp;VLOOKUP($A516,Skills!$A:$C,3,FALSE()),"Stelvale Valebrook"))</f>
        <v/>
      </c>
      <c r="C516" s="184" t="n">
        <f aca="false">IFERROR(VLOOKUP(A516,Skills!$A:$D,4,FALSE()),"")</f>
        <v>0</v>
      </c>
      <c r="F516" s="186" t="str">
        <f aca="false">IF(OR(E516="",G516=""),"",WORKDAY(E516-1,G516))</f>
        <v/>
      </c>
      <c r="J516" s="0" t="str">
        <f aca="false">IF($A516="","",IF(COUNTIF(Skills!$A:$A,$A516)=0,"⚠ ID absent du roster",""))</f>
        <v/>
      </c>
    </row>
    <row r="517" customFormat="false" ht="15" hidden="true" customHeight="true" outlineLevel="0" collapsed="false">
      <c r="B517" s="183" t="str">
        <f aca="false">IF($A517="","",IFERROR(VLOOKUP($A517,Skills!$A:$C,2,FALSE())&amp;" "&amp;VLOOKUP($A517,Skills!$A:$C,3,FALSE()),"Stelvale Valebrook"))</f>
        <v/>
      </c>
      <c r="C517" s="184" t="n">
        <f aca="false">IFERROR(VLOOKUP(A517,Skills!$A:$D,4,FALSE()),"")</f>
        <v>0</v>
      </c>
      <c r="F517" s="186" t="str">
        <f aca="false">IF(OR(E517="",G517=""),"",WORKDAY(E517-1,G517))</f>
        <v/>
      </c>
      <c r="J517" s="0" t="str">
        <f aca="false">IF($A517="","",IF(COUNTIF(Skills!$A:$A,$A517)=0,"⚠ ID absent du roster",""))</f>
        <v/>
      </c>
    </row>
    <row r="518" customFormat="false" ht="15" hidden="true" customHeight="true" outlineLevel="0" collapsed="false">
      <c r="B518" s="183" t="str">
        <f aca="false">IF($A518="","",IFERROR(VLOOKUP($A518,Skills!$A:$C,2,FALSE())&amp;" "&amp;VLOOKUP($A518,Skills!$A:$C,3,FALSE()),"Stelvale Valebrook"))</f>
        <v/>
      </c>
      <c r="C518" s="184" t="n">
        <f aca="false">IFERROR(VLOOKUP(A518,Skills!$A:$D,4,FALSE()),"")</f>
        <v>0</v>
      </c>
      <c r="F518" s="186" t="str">
        <f aca="false">IF(OR(E518="",G518=""),"",WORKDAY(E518-1,G518))</f>
        <v/>
      </c>
      <c r="J518" s="0" t="str">
        <f aca="false">IF($A518="","",IF(COUNTIF(Skills!$A:$A,$A518)=0,"⚠ ID absent du roster",""))</f>
        <v/>
      </c>
    </row>
    <row r="519" customFormat="false" ht="15" hidden="true" customHeight="true" outlineLevel="0" collapsed="false">
      <c r="B519" s="183" t="str">
        <f aca="false">IF($A519="","",IFERROR(VLOOKUP($A519,Skills!$A:$C,2,FALSE())&amp;" "&amp;VLOOKUP($A519,Skills!$A:$C,3,FALSE()),"Stelvale Valebrook"))</f>
        <v/>
      </c>
      <c r="C519" s="184" t="n">
        <f aca="false">IFERROR(VLOOKUP(A519,Skills!$A:$D,4,FALSE()),"")</f>
        <v>0</v>
      </c>
      <c r="F519" s="186" t="str">
        <f aca="false">IF(OR(E519="",G519=""),"",WORKDAY(E519-1,G519))</f>
        <v/>
      </c>
      <c r="J519" s="0" t="str">
        <f aca="false">IF($A519="","",IF(COUNTIF(Skills!$A:$A,$A519)=0,"⚠ ID absent du roster",""))</f>
        <v/>
      </c>
    </row>
    <row r="520" customFormat="false" ht="15" hidden="true" customHeight="true" outlineLevel="0" collapsed="false">
      <c r="B520" s="183" t="str">
        <f aca="false">IF($A520="","",IFERROR(VLOOKUP($A520,Skills!$A:$C,2,FALSE())&amp;" "&amp;VLOOKUP($A520,Skills!$A:$C,3,FALSE()),"Stelvale Valebrook"))</f>
        <v/>
      </c>
      <c r="C520" s="184" t="n">
        <f aca="false">IFERROR(VLOOKUP(A520,Skills!$A:$D,4,FALSE()),"")</f>
        <v>0</v>
      </c>
      <c r="F520" s="186" t="str">
        <f aca="false">IF(OR(E520="",G520=""),"",WORKDAY(E520-1,G520))</f>
        <v/>
      </c>
      <c r="J520" s="0" t="str">
        <f aca="false">IF($A520="","",IF(COUNTIF(Skills!$A:$A,$A520)=0,"⚠ ID absent du roster",""))</f>
        <v/>
      </c>
    </row>
    <row r="521" customFormat="false" ht="15" hidden="true" customHeight="true" outlineLevel="0" collapsed="false">
      <c r="B521" s="183" t="str">
        <f aca="false">IF($A521="","",IFERROR(VLOOKUP($A521,Skills!$A:$C,2,FALSE())&amp;" "&amp;VLOOKUP($A521,Skills!$A:$C,3,FALSE()),"Stelvale Valebrook"))</f>
        <v/>
      </c>
      <c r="C521" s="184" t="n">
        <f aca="false">IFERROR(VLOOKUP(A521,Skills!$A:$D,4,FALSE()),"")</f>
        <v>0</v>
      </c>
      <c r="F521" s="186" t="str">
        <f aca="false">IF(OR(E521="",G521=""),"",WORKDAY(E521-1,G521))</f>
        <v/>
      </c>
      <c r="J521" s="0" t="str">
        <f aca="false">IF($A521="","",IF(COUNTIF(Skills!$A:$A,$A521)=0,"⚠ ID absent du roster",""))</f>
        <v/>
      </c>
    </row>
    <row r="522" customFormat="false" ht="15" hidden="true" customHeight="true" outlineLevel="0" collapsed="false">
      <c r="B522" s="183" t="str">
        <f aca="false">IF($A522="","",IFERROR(VLOOKUP($A522,Skills!$A:$C,2,FALSE())&amp;" "&amp;VLOOKUP($A522,Skills!$A:$C,3,FALSE()),"Stelvale Valebrook"))</f>
        <v/>
      </c>
      <c r="C522" s="184" t="n">
        <f aca="false">IFERROR(VLOOKUP(A522,Skills!$A:$D,4,FALSE()),"")</f>
        <v>0</v>
      </c>
      <c r="F522" s="186" t="str">
        <f aca="false">IF(OR(E522="",G522=""),"",WORKDAY(E522-1,G522))</f>
        <v/>
      </c>
      <c r="J522" s="0" t="str">
        <f aca="false">IF($A522="","",IF(COUNTIF(Skills!$A:$A,$A522)=0,"⚠ ID absent du roster",""))</f>
        <v/>
      </c>
    </row>
    <row r="523" customFormat="false" ht="15" hidden="true" customHeight="true" outlineLevel="0" collapsed="false">
      <c r="B523" s="183" t="str">
        <f aca="false">IF($A523="","",IFERROR(VLOOKUP($A523,Skills!$A:$C,2,FALSE())&amp;" "&amp;VLOOKUP($A523,Skills!$A:$C,3,FALSE()),"Stelvale Valebrook"))</f>
        <v/>
      </c>
      <c r="C523" s="184" t="n">
        <f aca="false">IFERROR(VLOOKUP(A523,Skills!$A:$D,4,FALSE()),"")</f>
        <v>0</v>
      </c>
      <c r="F523" s="186" t="str">
        <f aca="false">IF(OR(E523="",G523=""),"",WORKDAY(E523-1,G523))</f>
        <v/>
      </c>
      <c r="J523" s="0" t="str">
        <f aca="false">IF($A523="","",IF(COUNTIF(Skills!$A:$A,$A523)=0,"⚠ ID absent du roster",""))</f>
        <v/>
      </c>
    </row>
    <row r="524" customFormat="false" ht="15" hidden="true" customHeight="true" outlineLevel="0" collapsed="false">
      <c r="B524" s="183" t="str">
        <f aca="false">IF($A524="","",IFERROR(VLOOKUP($A524,Skills!$A:$C,2,FALSE())&amp;" "&amp;VLOOKUP($A524,Skills!$A:$C,3,FALSE()),"Stelvale Valebrook"))</f>
        <v/>
      </c>
      <c r="C524" s="184" t="n">
        <f aca="false">IFERROR(VLOOKUP(A524,Skills!$A:$D,4,FALSE()),"")</f>
        <v>0</v>
      </c>
      <c r="F524" s="186" t="str">
        <f aca="false">IF(OR(E524="",G524=""),"",WORKDAY(E524-1,G524))</f>
        <v/>
      </c>
      <c r="J524" s="0" t="str">
        <f aca="false">IF($A524="","",IF(COUNTIF(Skills!$A:$A,$A524)=0,"⚠ ID absent du roster",""))</f>
        <v/>
      </c>
    </row>
    <row r="525" customFormat="false" ht="15" hidden="true" customHeight="true" outlineLevel="0" collapsed="false">
      <c r="B525" s="183" t="str">
        <f aca="false">IF($A525="","",IFERROR(VLOOKUP($A525,Skills!$A:$C,2,FALSE())&amp;" "&amp;VLOOKUP($A525,Skills!$A:$C,3,FALSE()),"Stelvale Valebrook"))</f>
        <v/>
      </c>
      <c r="C525" s="184" t="n">
        <f aca="false">IFERROR(VLOOKUP(A525,Skills!$A:$D,4,FALSE()),"")</f>
        <v>0</v>
      </c>
      <c r="F525" s="186" t="str">
        <f aca="false">IF(OR(E525="",G525=""),"",WORKDAY(E525-1,G525))</f>
        <v/>
      </c>
      <c r="J525" s="0" t="str">
        <f aca="false">IF($A525="","",IF(COUNTIF(Skills!$A:$A,$A525)=0,"⚠ ID absent du roster",""))</f>
        <v/>
      </c>
    </row>
    <row r="526" customFormat="false" ht="15" hidden="true" customHeight="true" outlineLevel="0" collapsed="false">
      <c r="B526" s="183" t="str">
        <f aca="false">IF($A526="","",IFERROR(VLOOKUP($A526,Skills!$A:$C,2,FALSE())&amp;" "&amp;VLOOKUP($A526,Skills!$A:$C,3,FALSE()),"Stelvale Valebrook"))</f>
        <v/>
      </c>
      <c r="C526" s="184" t="n">
        <f aca="false">IFERROR(VLOOKUP(A526,Skills!$A:$D,4,FALSE()),"")</f>
        <v>0</v>
      </c>
      <c r="F526" s="186" t="str">
        <f aca="false">IF(OR(E526="",G526=""),"",WORKDAY(E526-1,G526))</f>
        <v/>
      </c>
      <c r="J526" s="0" t="str">
        <f aca="false">IF($A526="","",IF(COUNTIF(Skills!$A:$A,$A526)=0,"⚠ ID absent du roster",""))</f>
        <v/>
      </c>
    </row>
    <row r="527" customFormat="false" ht="15" hidden="true" customHeight="true" outlineLevel="0" collapsed="false">
      <c r="B527" s="183" t="str">
        <f aca="false">IF($A527="","",IFERROR(VLOOKUP($A527,Skills!$A:$C,2,FALSE())&amp;" "&amp;VLOOKUP($A527,Skills!$A:$C,3,FALSE()),"Stelvale Valebrook"))</f>
        <v/>
      </c>
      <c r="C527" s="184" t="n">
        <f aca="false">IFERROR(VLOOKUP(A527,Skills!$A:$D,4,FALSE()),"")</f>
        <v>0</v>
      </c>
      <c r="F527" s="186" t="str">
        <f aca="false">IF(OR(E527="",G527=""),"",WORKDAY(E527-1,G527))</f>
        <v/>
      </c>
      <c r="J527" s="0" t="str">
        <f aca="false">IF($A527="","",IF(COUNTIF(Skills!$A:$A,$A527)=0,"⚠ ID absent du roster",""))</f>
        <v/>
      </c>
    </row>
    <row r="528" customFormat="false" ht="15" hidden="true" customHeight="true" outlineLevel="0" collapsed="false">
      <c r="B528" s="183" t="str">
        <f aca="false">IF($A528="","",IFERROR(VLOOKUP($A528,Skills!$A:$C,2,FALSE())&amp;" "&amp;VLOOKUP($A528,Skills!$A:$C,3,FALSE()),"Stelvale Valebrook"))</f>
        <v/>
      </c>
      <c r="C528" s="184" t="n">
        <f aca="false">IFERROR(VLOOKUP(A528,Skills!$A:$D,4,FALSE()),"")</f>
        <v>0</v>
      </c>
      <c r="F528" s="186" t="str">
        <f aca="false">IF(OR(E528="",G528=""),"",WORKDAY(E528-1,G528))</f>
        <v/>
      </c>
      <c r="J528" s="0" t="str">
        <f aca="false">IF($A528="","",IF(COUNTIF(Skills!$A:$A,$A528)=0,"⚠ ID absent du roster",""))</f>
        <v/>
      </c>
    </row>
    <row r="529" customFormat="false" ht="15" hidden="true" customHeight="true" outlineLevel="0" collapsed="false">
      <c r="B529" s="183" t="str">
        <f aca="false">IF($A529="","",IFERROR(VLOOKUP($A529,Skills!$A:$C,2,FALSE())&amp;" "&amp;VLOOKUP($A529,Skills!$A:$C,3,FALSE()),"Stelvale Valebrook"))</f>
        <v/>
      </c>
      <c r="C529" s="184" t="n">
        <f aca="false">IFERROR(VLOOKUP(A529,Skills!$A:$D,4,FALSE()),"")</f>
        <v>0</v>
      </c>
      <c r="F529" s="186" t="str">
        <f aca="false">IF(OR(E529="",G529=""),"",WORKDAY(E529-1,G529))</f>
        <v/>
      </c>
      <c r="J529" s="0" t="str">
        <f aca="false">IF($A529="","",IF(COUNTIF(Skills!$A:$A,$A529)=0,"⚠ ID absent du roster",""))</f>
        <v/>
      </c>
    </row>
    <row r="530" customFormat="false" ht="15" hidden="true" customHeight="true" outlineLevel="0" collapsed="false">
      <c r="B530" s="183" t="str">
        <f aca="false">IF($A530="","",IFERROR(VLOOKUP($A530,Skills!$A:$C,2,FALSE())&amp;" "&amp;VLOOKUP($A530,Skills!$A:$C,3,FALSE()),"Stelvale Valebrook"))</f>
        <v/>
      </c>
      <c r="C530" s="184" t="n">
        <f aca="false">IFERROR(VLOOKUP(A530,Skills!$A:$D,4,FALSE()),"")</f>
        <v>0</v>
      </c>
      <c r="F530" s="186" t="str">
        <f aca="false">IF(OR(E530="",G530=""),"",WORKDAY(E530-1,G530))</f>
        <v/>
      </c>
      <c r="J530" s="0" t="str">
        <f aca="false">IF($A530="","",IF(COUNTIF(Skills!$A:$A,$A530)=0,"⚠ ID absent du roster",""))</f>
        <v/>
      </c>
    </row>
    <row r="531" customFormat="false" ht="15" hidden="true" customHeight="true" outlineLevel="0" collapsed="false">
      <c r="B531" s="183" t="str">
        <f aca="false">IF($A531="","",IFERROR(VLOOKUP($A531,Skills!$A:$C,2,FALSE())&amp;" "&amp;VLOOKUP($A531,Skills!$A:$C,3,FALSE()),"Stelvale Valebrook"))</f>
        <v/>
      </c>
      <c r="C531" s="184" t="n">
        <f aca="false">IFERROR(VLOOKUP(A531,Skills!$A:$D,4,FALSE()),"")</f>
        <v>0</v>
      </c>
      <c r="F531" s="186" t="str">
        <f aca="false">IF(OR(E531="",G531=""),"",WORKDAY(E531-1,G531))</f>
        <v/>
      </c>
      <c r="J531" s="0" t="str">
        <f aca="false">IF($A531="","",IF(COUNTIF(Skills!$A:$A,$A531)=0,"⚠ ID absent du roster",""))</f>
        <v/>
      </c>
    </row>
    <row r="532" customFormat="false" ht="15" hidden="true" customHeight="true" outlineLevel="0" collapsed="false">
      <c r="B532" s="183" t="str">
        <f aca="false">IF($A532="","",IFERROR(VLOOKUP($A532,Skills!$A:$C,2,FALSE())&amp;" "&amp;VLOOKUP($A532,Skills!$A:$C,3,FALSE()),"Stelvale Valebrook"))</f>
        <v/>
      </c>
      <c r="C532" s="184" t="n">
        <f aca="false">IFERROR(VLOOKUP(A532,Skills!$A:$D,4,FALSE()),"")</f>
        <v>0</v>
      </c>
      <c r="F532" s="186" t="str">
        <f aca="false">IF(OR(E532="",G532=""),"",WORKDAY(E532-1,G532))</f>
        <v/>
      </c>
      <c r="J532" s="0" t="str">
        <f aca="false">IF($A532="","",IF(COUNTIF(Skills!$A:$A,$A532)=0,"⚠ ID absent du roster",""))</f>
        <v/>
      </c>
    </row>
    <row r="533" customFormat="false" ht="15" hidden="true" customHeight="true" outlineLevel="0" collapsed="false">
      <c r="B533" s="183" t="str">
        <f aca="false">IF($A533="","",IFERROR(VLOOKUP($A533,Skills!$A:$C,2,FALSE())&amp;" "&amp;VLOOKUP($A533,Skills!$A:$C,3,FALSE()),"Stelvale Valebrook"))</f>
        <v/>
      </c>
      <c r="C533" s="184" t="n">
        <f aca="false">IFERROR(VLOOKUP(A533,Skills!$A:$D,4,FALSE()),"")</f>
        <v>0</v>
      </c>
      <c r="F533" s="186" t="str">
        <f aca="false">IF(OR(E533="",G533=""),"",WORKDAY(E533-1,G533))</f>
        <v/>
      </c>
      <c r="J533" s="0" t="str">
        <f aca="false">IF($A533="","",IF(COUNTIF(Skills!$A:$A,$A533)=0,"⚠ ID absent du roster",""))</f>
        <v/>
      </c>
    </row>
    <row r="534" customFormat="false" ht="15" hidden="true" customHeight="true" outlineLevel="0" collapsed="false">
      <c r="B534" s="183" t="str">
        <f aca="false">IF($A534="","",IFERROR(VLOOKUP($A534,Skills!$A:$C,2,FALSE())&amp;" "&amp;VLOOKUP($A534,Skills!$A:$C,3,FALSE()),"Stelvale Valebrook"))</f>
        <v/>
      </c>
      <c r="C534" s="184" t="n">
        <f aca="false">IFERROR(VLOOKUP(A534,Skills!$A:$D,4,FALSE()),"")</f>
        <v>0</v>
      </c>
      <c r="F534" s="186" t="str">
        <f aca="false">IF(OR(E534="",G534=""),"",WORKDAY(E534-1,G534))</f>
        <v/>
      </c>
      <c r="J534" s="0" t="str">
        <f aca="false">IF($A534="","",IF(COUNTIF(Skills!$A:$A,$A534)=0,"⚠ ID absent du roster",""))</f>
        <v/>
      </c>
    </row>
    <row r="535" customFormat="false" ht="15" hidden="true" customHeight="true" outlineLevel="0" collapsed="false">
      <c r="B535" s="183" t="str">
        <f aca="false">IF($A535="","",IFERROR(VLOOKUP($A535,Skills!$A:$C,2,FALSE())&amp;" "&amp;VLOOKUP($A535,Skills!$A:$C,3,FALSE()),"Stelvale Valebrook"))</f>
        <v/>
      </c>
      <c r="C535" s="184" t="n">
        <f aca="false">IFERROR(VLOOKUP(A535,Skills!$A:$D,4,FALSE()),"")</f>
        <v>0</v>
      </c>
      <c r="F535" s="186" t="str">
        <f aca="false">IF(OR(E535="",G535=""),"",WORKDAY(E535-1,G535))</f>
        <v/>
      </c>
      <c r="J535" s="0" t="str">
        <f aca="false">IF($A535="","",IF(COUNTIF(Skills!$A:$A,$A535)=0,"⚠ ID absent du roster",""))</f>
        <v/>
      </c>
    </row>
    <row r="536" customFormat="false" ht="15" hidden="true" customHeight="true" outlineLevel="0" collapsed="false">
      <c r="B536" s="183" t="str">
        <f aca="false">IF($A536="","",IFERROR(VLOOKUP($A536,Skills!$A:$C,2,FALSE())&amp;" "&amp;VLOOKUP($A536,Skills!$A:$C,3,FALSE()),"Stelvale Valebrook"))</f>
        <v/>
      </c>
      <c r="C536" s="184" t="n">
        <f aca="false">IFERROR(VLOOKUP(A536,Skills!$A:$D,4,FALSE()),"")</f>
        <v>0</v>
      </c>
      <c r="F536" s="186" t="str">
        <f aca="false">IF(OR(E536="",G536=""),"",WORKDAY(E536-1,G536))</f>
        <v/>
      </c>
      <c r="J536" s="0" t="str">
        <f aca="false">IF($A536="","",IF(COUNTIF(Skills!$A:$A,$A536)=0,"⚠ ID absent du roster",""))</f>
        <v/>
      </c>
    </row>
    <row r="537" customFormat="false" ht="15" hidden="true" customHeight="true" outlineLevel="0" collapsed="false">
      <c r="B537" s="183" t="str">
        <f aca="false">IF($A537="","",IFERROR(VLOOKUP($A537,Skills!$A:$C,2,FALSE())&amp;" "&amp;VLOOKUP($A537,Skills!$A:$C,3,FALSE()),"Stelvale Valebrook"))</f>
        <v/>
      </c>
      <c r="C537" s="184" t="n">
        <f aca="false">IFERROR(VLOOKUP(A537,Skills!$A:$D,4,FALSE()),"")</f>
        <v>0</v>
      </c>
      <c r="F537" s="186" t="str">
        <f aca="false">IF(OR(E537="",G537=""),"",WORKDAY(E537-1,G537))</f>
        <v/>
      </c>
      <c r="J537" s="0" t="str">
        <f aca="false">IF($A537="","",IF(COUNTIF(Skills!$A:$A,$A537)=0,"⚠ ID absent du roster",""))</f>
        <v/>
      </c>
    </row>
    <row r="538" customFormat="false" ht="15" hidden="true" customHeight="true" outlineLevel="0" collapsed="false">
      <c r="B538" s="183" t="str">
        <f aca="false">IF($A538="","",IFERROR(VLOOKUP($A538,Skills!$A:$C,2,FALSE())&amp;" "&amp;VLOOKUP($A538,Skills!$A:$C,3,FALSE()),"Stelvale Valebrook"))</f>
        <v/>
      </c>
      <c r="C538" s="184" t="n">
        <f aca="false">IFERROR(VLOOKUP(A538,Skills!$A:$D,4,FALSE()),"")</f>
        <v>0</v>
      </c>
      <c r="F538" s="186" t="str">
        <f aca="false">IF(OR(E538="",G538=""),"",WORKDAY(E538-1,G538))</f>
        <v/>
      </c>
      <c r="J538" s="0" t="str">
        <f aca="false">IF($A538="","",IF(COUNTIF(Skills!$A:$A,$A538)=0,"⚠ ID absent du roster",""))</f>
        <v/>
      </c>
    </row>
    <row r="539" customFormat="false" ht="15" hidden="true" customHeight="true" outlineLevel="0" collapsed="false">
      <c r="B539" s="183" t="str">
        <f aca="false">IF($A539="","",IFERROR(VLOOKUP($A539,Skills!$A:$C,2,FALSE())&amp;" "&amp;VLOOKUP($A539,Skills!$A:$C,3,FALSE()),"Stelvale Valebrook"))</f>
        <v/>
      </c>
      <c r="C539" s="184" t="n">
        <f aca="false">IFERROR(VLOOKUP(A539,Skills!$A:$D,4,FALSE()),"")</f>
        <v>0</v>
      </c>
      <c r="F539" s="186" t="str">
        <f aca="false">IF(OR(E539="",G539=""),"",WORKDAY(E539-1,G539))</f>
        <v/>
      </c>
      <c r="J539" s="0" t="str">
        <f aca="false">IF($A539="","",IF(COUNTIF(Skills!$A:$A,$A539)=0,"⚠ ID absent du roster",""))</f>
        <v/>
      </c>
    </row>
    <row r="540" customFormat="false" ht="15" hidden="true" customHeight="true" outlineLevel="0" collapsed="false">
      <c r="B540" s="183" t="str">
        <f aca="false">IF($A540="","",IFERROR(VLOOKUP($A540,Skills!$A:$C,2,FALSE())&amp;" "&amp;VLOOKUP($A540,Skills!$A:$C,3,FALSE()),"Stelvale Valebrook"))</f>
        <v/>
      </c>
      <c r="C540" s="184" t="n">
        <f aca="false">IFERROR(VLOOKUP(A540,Skills!$A:$D,4,FALSE()),"")</f>
        <v>0</v>
      </c>
      <c r="F540" s="186" t="str">
        <f aca="false">IF(OR(E540="",G540=""),"",WORKDAY(E540-1,G540))</f>
        <v/>
      </c>
      <c r="J540" s="0" t="str">
        <f aca="false">IF($A540="","",IF(COUNTIF(Skills!$A:$A,$A540)=0,"⚠ ID absent du roster",""))</f>
        <v/>
      </c>
    </row>
    <row r="541" customFormat="false" ht="15" hidden="true" customHeight="true" outlineLevel="0" collapsed="false">
      <c r="B541" s="183" t="str">
        <f aca="false">IF($A541="","",IFERROR(VLOOKUP($A541,Skills!$A:$C,2,FALSE())&amp;" "&amp;VLOOKUP($A541,Skills!$A:$C,3,FALSE()),"Stelvale Valebrook"))</f>
        <v/>
      </c>
      <c r="C541" s="184" t="n">
        <f aca="false">IFERROR(VLOOKUP(A541,Skills!$A:$D,4,FALSE()),"")</f>
        <v>0</v>
      </c>
      <c r="F541" s="186" t="str">
        <f aca="false">IF(OR(E541="",G541=""),"",WORKDAY(E541-1,G541))</f>
        <v/>
      </c>
      <c r="J541" s="0" t="str">
        <f aca="false">IF($A541="","",IF(COUNTIF(Skills!$A:$A,$A541)=0,"⚠ ID absent du roster",""))</f>
        <v/>
      </c>
    </row>
    <row r="542" customFormat="false" ht="15" hidden="true" customHeight="true" outlineLevel="0" collapsed="false">
      <c r="B542" s="183" t="str">
        <f aca="false">IF($A542="","",IFERROR(VLOOKUP($A542,Skills!$A:$C,2,FALSE())&amp;" "&amp;VLOOKUP($A542,Skills!$A:$C,3,FALSE()),"Stelvale Valebrook"))</f>
        <v/>
      </c>
      <c r="C542" s="184" t="n">
        <f aca="false">IFERROR(VLOOKUP(A542,Skills!$A:$D,4,FALSE()),"")</f>
        <v>0</v>
      </c>
      <c r="F542" s="186" t="str">
        <f aca="false">IF(OR(E542="",G542=""),"",WORKDAY(E542-1,G542))</f>
        <v/>
      </c>
      <c r="J542" s="0" t="str">
        <f aca="false">IF($A542="","",IF(COUNTIF(Skills!$A:$A,$A542)=0,"⚠ ID absent du roster",""))</f>
        <v/>
      </c>
    </row>
    <row r="543" customFormat="false" ht="15" hidden="true" customHeight="true" outlineLevel="0" collapsed="false">
      <c r="B543" s="183" t="str">
        <f aca="false">IF($A543="","",IFERROR(VLOOKUP($A543,Skills!$A:$C,2,FALSE())&amp;" "&amp;VLOOKUP($A543,Skills!$A:$C,3,FALSE()),"Stelvale Valebrook"))</f>
        <v/>
      </c>
      <c r="C543" s="184" t="n">
        <f aca="false">IFERROR(VLOOKUP(A543,Skills!$A:$D,4,FALSE()),"")</f>
        <v>0</v>
      </c>
      <c r="F543" s="186" t="str">
        <f aca="false">IF(OR(E543="",G543=""),"",WORKDAY(E543-1,G543))</f>
        <v/>
      </c>
      <c r="J543" s="0" t="str">
        <f aca="false">IF($A543="","",IF(COUNTIF(Skills!$A:$A,$A543)=0,"⚠ ID absent du roster",""))</f>
        <v/>
      </c>
    </row>
    <row r="544" customFormat="false" ht="15" hidden="true" customHeight="true" outlineLevel="0" collapsed="false">
      <c r="B544" s="183" t="str">
        <f aca="false">IF($A544="","",IFERROR(VLOOKUP($A544,Skills!$A:$C,2,FALSE())&amp;" "&amp;VLOOKUP($A544,Skills!$A:$C,3,FALSE()),"Stelvale Valebrook"))</f>
        <v/>
      </c>
      <c r="C544" s="184" t="n">
        <f aca="false">IFERROR(VLOOKUP(A544,Skills!$A:$D,4,FALSE()),"")</f>
        <v>0</v>
      </c>
      <c r="F544" s="186" t="str">
        <f aca="false">IF(OR(E544="",G544=""),"",WORKDAY(E544-1,G544))</f>
        <v/>
      </c>
      <c r="J544" s="0" t="str">
        <f aca="false">IF($A544="","",IF(COUNTIF(Skills!$A:$A,$A544)=0,"⚠ ID absent du roster",""))</f>
        <v/>
      </c>
    </row>
    <row r="545" customFormat="false" ht="15" hidden="true" customHeight="true" outlineLevel="0" collapsed="false">
      <c r="B545" s="183" t="str">
        <f aca="false">IF($A545="","",IFERROR(VLOOKUP($A545,Skills!$A:$C,2,FALSE())&amp;" "&amp;VLOOKUP($A545,Skills!$A:$C,3,FALSE()),"Stelvale Valebrook"))</f>
        <v/>
      </c>
      <c r="C545" s="184" t="n">
        <f aca="false">IFERROR(VLOOKUP(A545,Skills!$A:$D,4,FALSE()),"")</f>
        <v>0</v>
      </c>
      <c r="F545" s="186" t="str">
        <f aca="false">IF(OR(E545="",G545=""),"",WORKDAY(E545-1,G545))</f>
        <v/>
      </c>
      <c r="J545" s="0" t="str">
        <f aca="false">IF($A545="","",IF(COUNTIF(Skills!$A:$A,$A545)=0,"⚠ ID absent du roster",""))</f>
        <v/>
      </c>
    </row>
    <row r="546" customFormat="false" ht="15" hidden="true" customHeight="true" outlineLevel="0" collapsed="false">
      <c r="B546" s="183" t="str">
        <f aca="false">IF($A546="","",IFERROR(VLOOKUP($A546,Skills!$A:$C,2,FALSE())&amp;" "&amp;VLOOKUP($A546,Skills!$A:$C,3,FALSE()),"Stelvale Valebrook"))</f>
        <v/>
      </c>
      <c r="C546" s="184" t="n">
        <f aca="false">IFERROR(VLOOKUP(A546,Skills!$A:$D,4,FALSE()),"")</f>
        <v>0</v>
      </c>
      <c r="F546" s="186" t="str">
        <f aca="false">IF(OR(E546="",G546=""),"",WORKDAY(E546-1,G546))</f>
        <v/>
      </c>
      <c r="J546" s="0" t="str">
        <f aca="false">IF($A546="","",IF(COUNTIF(Skills!$A:$A,$A546)=0,"⚠ ID absent du roster",""))</f>
        <v/>
      </c>
    </row>
    <row r="547" customFormat="false" ht="15" hidden="true" customHeight="true" outlineLevel="0" collapsed="false">
      <c r="B547" s="183" t="str">
        <f aca="false">IF($A547="","",IFERROR(VLOOKUP($A547,Skills!$A:$C,2,FALSE())&amp;" "&amp;VLOOKUP($A547,Skills!$A:$C,3,FALSE()),"Stelvale Valebrook"))</f>
        <v/>
      </c>
      <c r="C547" s="184" t="n">
        <f aca="false">IFERROR(VLOOKUP(A547,Skills!$A:$D,4,FALSE()),"")</f>
        <v>0</v>
      </c>
      <c r="F547" s="186" t="str">
        <f aca="false">IF(OR(E547="",G547=""),"",WORKDAY(E547-1,G547))</f>
        <v/>
      </c>
      <c r="J547" s="0" t="str">
        <f aca="false">IF($A547="","",IF(COUNTIF(Skills!$A:$A,$A547)=0,"⚠ ID absent du roster",""))</f>
        <v/>
      </c>
    </row>
    <row r="548" customFormat="false" ht="15" hidden="true" customHeight="true" outlineLevel="0" collapsed="false">
      <c r="B548" s="183" t="str">
        <f aca="false">IF($A548="","",IFERROR(VLOOKUP($A548,Skills!$A:$C,2,FALSE())&amp;" "&amp;VLOOKUP($A548,Skills!$A:$C,3,FALSE()),"Stelvale Valebrook"))</f>
        <v/>
      </c>
      <c r="C548" s="184" t="n">
        <f aca="false">IFERROR(VLOOKUP(A548,Skills!$A:$D,4,FALSE()),"")</f>
        <v>0</v>
      </c>
      <c r="F548" s="186" t="str">
        <f aca="false">IF(OR(E548="",G548=""),"",WORKDAY(E548-1,G548))</f>
        <v/>
      </c>
      <c r="J548" s="0" t="str">
        <f aca="false">IF($A548="","",IF(COUNTIF(Skills!$A:$A,$A548)=0,"⚠ ID absent du roster",""))</f>
        <v/>
      </c>
    </row>
    <row r="549" customFormat="false" ht="15" hidden="true" customHeight="true" outlineLevel="0" collapsed="false">
      <c r="B549" s="183" t="str">
        <f aca="false">IF($A549="","",IFERROR(VLOOKUP($A549,Skills!$A:$C,2,FALSE())&amp;" "&amp;VLOOKUP($A549,Skills!$A:$C,3,FALSE()),"Stelvale Valebrook"))</f>
        <v/>
      </c>
      <c r="C549" s="184" t="n">
        <f aca="false">IFERROR(VLOOKUP(A549,Skills!$A:$D,4,FALSE()),"")</f>
        <v>0</v>
      </c>
      <c r="F549" s="186" t="str">
        <f aca="false">IF(OR(E549="",G549=""),"",WORKDAY(E549-1,G549))</f>
        <v/>
      </c>
      <c r="J549" s="0" t="str">
        <f aca="false">IF($A549="","",IF(COUNTIF(Skills!$A:$A,$A549)=0,"⚠ ID absent du roster",""))</f>
        <v/>
      </c>
    </row>
    <row r="550" customFormat="false" ht="15" hidden="true" customHeight="true" outlineLevel="0" collapsed="false">
      <c r="B550" s="183" t="str">
        <f aca="false">IF($A550="","",IFERROR(VLOOKUP($A550,Skills!$A:$C,2,FALSE())&amp;" "&amp;VLOOKUP($A550,Skills!$A:$C,3,FALSE()),"Stelvale Valebrook"))</f>
        <v/>
      </c>
      <c r="C550" s="184" t="n">
        <f aca="false">IFERROR(VLOOKUP(A550,Skills!$A:$D,4,FALSE()),"")</f>
        <v>0</v>
      </c>
      <c r="F550" s="186" t="str">
        <f aca="false">IF(OR(E550="",G550=""),"",WORKDAY(E550-1,G550))</f>
        <v/>
      </c>
      <c r="J550" s="0" t="str">
        <f aca="false">IF($A550="","",IF(COUNTIF(Skills!$A:$A,$A550)=0,"⚠ ID absent du roster",""))</f>
        <v/>
      </c>
    </row>
    <row r="551" customFormat="false" ht="15" hidden="true" customHeight="true" outlineLevel="0" collapsed="false">
      <c r="B551" s="183" t="str">
        <f aca="false">IF($A551="","",IFERROR(VLOOKUP($A551,Skills!$A:$C,2,FALSE())&amp;" "&amp;VLOOKUP($A551,Skills!$A:$C,3,FALSE()),"Stelvale Valebrook"))</f>
        <v/>
      </c>
      <c r="C551" s="184" t="n">
        <f aca="false">IFERROR(VLOOKUP(A551,Skills!$A:$D,4,FALSE()),"")</f>
        <v>0</v>
      </c>
      <c r="F551" s="186" t="str">
        <f aca="false">IF(OR(E551="",G551=""),"",WORKDAY(E551-1,G551))</f>
        <v/>
      </c>
      <c r="J551" s="0" t="str">
        <f aca="false">IF($A551="","",IF(COUNTIF(Skills!$A:$A,$A551)=0,"⚠ ID absent du roster",""))</f>
        <v/>
      </c>
    </row>
    <row r="552" customFormat="false" ht="15" hidden="true" customHeight="true" outlineLevel="0" collapsed="false">
      <c r="B552" s="183" t="str">
        <f aca="false">IF($A552="","",IFERROR(VLOOKUP($A552,Skills!$A:$C,2,FALSE())&amp;" "&amp;VLOOKUP($A552,Skills!$A:$C,3,FALSE()),"Stelvale Valebrook"))</f>
        <v/>
      </c>
      <c r="C552" s="184" t="n">
        <f aca="false">IFERROR(VLOOKUP(A552,Skills!$A:$D,4,FALSE()),"")</f>
        <v>0</v>
      </c>
      <c r="F552" s="186" t="str">
        <f aca="false">IF(OR(E552="",G552=""),"",WORKDAY(E552-1,G552))</f>
        <v/>
      </c>
      <c r="J552" s="0" t="str">
        <f aca="false">IF($A552="","",IF(COUNTIF(Skills!$A:$A,$A552)=0,"⚠ ID absent du roster",""))</f>
        <v/>
      </c>
    </row>
    <row r="553" customFormat="false" ht="15" hidden="true" customHeight="true" outlineLevel="0" collapsed="false">
      <c r="B553" s="183" t="str">
        <f aca="false">IF($A553="","",IFERROR(VLOOKUP($A553,Skills!$A:$C,2,FALSE())&amp;" "&amp;VLOOKUP($A553,Skills!$A:$C,3,FALSE()),"Stelvale Valebrook"))</f>
        <v/>
      </c>
      <c r="C553" s="184" t="n">
        <f aca="false">IFERROR(VLOOKUP(A553,Skills!$A:$D,4,FALSE()),"")</f>
        <v>0</v>
      </c>
      <c r="F553" s="186" t="str">
        <f aca="false">IF(OR(E553="",G553=""),"",WORKDAY(E553-1,G553))</f>
        <v/>
      </c>
      <c r="J553" s="0" t="str">
        <f aca="false">IF($A553="","",IF(COUNTIF(Skills!$A:$A,$A553)=0,"⚠ ID absent du roster",""))</f>
        <v/>
      </c>
    </row>
    <row r="554" customFormat="false" ht="15" hidden="true" customHeight="true" outlineLevel="0" collapsed="false">
      <c r="B554" s="183" t="str">
        <f aca="false">IF($A554="","",IFERROR(VLOOKUP($A554,Skills!$A:$C,2,FALSE())&amp;" "&amp;VLOOKUP($A554,Skills!$A:$C,3,FALSE()),"Stelvale Valebrook"))</f>
        <v/>
      </c>
      <c r="C554" s="184" t="n">
        <f aca="false">IFERROR(VLOOKUP(A554,Skills!$A:$D,4,FALSE()),"")</f>
        <v>0</v>
      </c>
      <c r="F554" s="186" t="str">
        <f aca="false">IF(OR(E554="",G554=""),"",WORKDAY(E554-1,G554))</f>
        <v/>
      </c>
      <c r="J554" s="0" t="str">
        <f aca="false">IF($A554="","",IF(COUNTIF(Skills!$A:$A,$A554)=0,"⚠ ID absent du roster",""))</f>
        <v/>
      </c>
    </row>
    <row r="555" customFormat="false" ht="15" hidden="true" customHeight="true" outlineLevel="0" collapsed="false">
      <c r="B555" s="183" t="str">
        <f aca="false">IF($A555="","",IFERROR(VLOOKUP($A555,Skills!$A:$C,2,FALSE())&amp;" "&amp;VLOOKUP($A555,Skills!$A:$C,3,FALSE()),"Stelvale Valebrook"))</f>
        <v/>
      </c>
      <c r="C555" s="184" t="n">
        <f aca="false">IFERROR(VLOOKUP(A555,Skills!$A:$D,4,FALSE()),"")</f>
        <v>0</v>
      </c>
      <c r="F555" s="186" t="str">
        <f aca="false">IF(OR(E555="",G555=""),"",WORKDAY(E555-1,G555))</f>
        <v/>
      </c>
      <c r="J555" s="0" t="str">
        <f aca="false">IF($A555="","",IF(COUNTIF(Skills!$A:$A,$A555)=0,"⚠ ID absent du roster",""))</f>
        <v/>
      </c>
    </row>
    <row r="556" customFormat="false" ht="15" hidden="true" customHeight="true" outlineLevel="0" collapsed="false">
      <c r="B556" s="183" t="str">
        <f aca="false">IF($A556="","",IFERROR(VLOOKUP($A556,Skills!$A:$C,2,FALSE())&amp;" "&amp;VLOOKUP($A556,Skills!$A:$C,3,FALSE()),"Stelvale Valebrook"))</f>
        <v/>
      </c>
      <c r="C556" s="184" t="n">
        <f aca="false">IFERROR(VLOOKUP(A556,Skills!$A:$D,4,FALSE()),"")</f>
        <v>0</v>
      </c>
      <c r="F556" s="186" t="str">
        <f aca="false">IF(OR(E556="",G556=""),"",WORKDAY(E556-1,G556))</f>
        <v/>
      </c>
      <c r="J556" s="0" t="str">
        <f aca="false">IF($A556="","",IF(COUNTIF(Skills!$A:$A,$A556)=0,"⚠ ID absent du roster",""))</f>
        <v/>
      </c>
    </row>
    <row r="557" customFormat="false" ht="15" hidden="true" customHeight="true" outlineLevel="0" collapsed="false">
      <c r="B557" s="183" t="str">
        <f aca="false">IF($A557="","",IFERROR(VLOOKUP($A557,Skills!$A:$C,2,FALSE())&amp;" "&amp;VLOOKUP($A557,Skills!$A:$C,3,FALSE()),"Stelvale Valebrook"))</f>
        <v/>
      </c>
      <c r="C557" s="184" t="n">
        <f aca="false">IFERROR(VLOOKUP(A557,Skills!$A:$D,4,FALSE()),"")</f>
        <v>0</v>
      </c>
      <c r="F557" s="186" t="str">
        <f aca="false">IF(OR(E557="",G557=""),"",WORKDAY(E557-1,G557))</f>
        <v/>
      </c>
      <c r="J557" s="0" t="str">
        <f aca="false">IF($A557="","",IF(COUNTIF(Skills!$A:$A,$A557)=0,"⚠ ID absent du roster",""))</f>
        <v/>
      </c>
    </row>
    <row r="558" customFormat="false" ht="15" hidden="true" customHeight="true" outlineLevel="0" collapsed="false">
      <c r="B558" s="183" t="str">
        <f aca="false">IF($A558="","",IFERROR(VLOOKUP($A558,Skills!$A:$C,2,FALSE())&amp;" "&amp;VLOOKUP($A558,Skills!$A:$C,3,FALSE()),"Stelvale Valebrook"))</f>
        <v/>
      </c>
      <c r="C558" s="184" t="n">
        <f aca="false">IFERROR(VLOOKUP(A558,Skills!$A:$D,4,FALSE()),"")</f>
        <v>0</v>
      </c>
      <c r="F558" s="186" t="str">
        <f aca="false">IF(OR(E558="",G558=""),"",WORKDAY(E558-1,G558))</f>
        <v/>
      </c>
      <c r="J558" s="0" t="str">
        <f aca="false">IF($A558="","",IF(COUNTIF(Skills!$A:$A,$A558)=0,"⚠ ID absent du roster",""))</f>
        <v/>
      </c>
    </row>
    <row r="559" customFormat="false" ht="15" hidden="true" customHeight="true" outlineLevel="0" collapsed="false">
      <c r="B559" s="183" t="str">
        <f aca="false">IF($A559="","",IFERROR(VLOOKUP($A559,Skills!$A:$C,2,FALSE())&amp;" "&amp;VLOOKUP($A559,Skills!$A:$C,3,FALSE()),"Stelvale Valebrook"))</f>
        <v/>
      </c>
      <c r="C559" s="184" t="n">
        <f aca="false">IFERROR(VLOOKUP(A559,Skills!$A:$D,4,FALSE()),"")</f>
        <v>0</v>
      </c>
      <c r="F559" s="186" t="str">
        <f aca="false">IF(OR(E559="",G559=""),"",WORKDAY(E559-1,G559))</f>
        <v/>
      </c>
      <c r="J559" s="0" t="str">
        <f aca="false">IF($A559="","",IF(COUNTIF(Skills!$A:$A,$A559)=0,"⚠ ID absent du roster",""))</f>
        <v/>
      </c>
    </row>
    <row r="560" customFormat="false" ht="15" hidden="true" customHeight="true" outlineLevel="0" collapsed="false">
      <c r="B560" s="183" t="str">
        <f aca="false">IF($A560="","",IFERROR(VLOOKUP($A560,Skills!$A:$C,2,FALSE())&amp;" "&amp;VLOOKUP($A560,Skills!$A:$C,3,FALSE()),"Stelvale Valebrook"))</f>
        <v/>
      </c>
      <c r="C560" s="184" t="n">
        <f aca="false">IFERROR(VLOOKUP(A560,Skills!$A:$D,4,FALSE()),"")</f>
        <v>0</v>
      </c>
      <c r="F560" s="186" t="str">
        <f aca="false">IF(OR(E560="",G560=""),"",WORKDAY(E560-1,G560))</f>
        <v/>
      </c>
      <c r="J560" s="0" t="str">
        <f aca="false">IF($A560="","",IF(COUNTIF(Skills!$A:$A,$A560)=0,"⚠ ID absent du roster",""))</f>
        <v/>
      </c>
    </row>
    <row r="561" customFormat="false" ht="15" hidden="true" customHeight="true" outlineLevel="0" collapsed="false">
      <c r="B561" s="183" t="str">
        <f aca="false">IF($A561="","",IFERROR(VLOOKUP($A561,Skills!$A:$C,2,FALSE())&amp;" "&amp;VLOOKUP($A561,Skills!$A:$C,3,FALSE()),"Stelvale Valebrook"))</f>
        <v/>
      </c>
      <c r="C561" s="184" t="n">
        <f aca="false">IFERROR(VLOOKUP(A561,Skills!$A:$D,4,FALSE()),"")</f>
        <v>0</v>
      </c>
      <c r="F561" s="186" t="str">
        <f aca="false">IF(OR(E561="",G561=""),"",WORKDAY(E561-1,G561))</f>
        <v/>
      </c>
      <c r="J561" s="0" t="str">
        <f aca="false">IF($A561="","",IF(COUNTIF(Skills!$A:$A,$A561)=0,"⚠ ID absent du roster",""))</f>
        <v/>
      </c>
    </row>
    <row r="562" customFormat="false" ht="15" hidden="true" customHeight="true" outlineLevel="0" collapsed="false">
      <c r="B562" s="183" t="str">
        <f aca="false">IF($A562="","",IFERROR(VLOOKUP($A562,Skills!$A:$C,2,FALSE())&amp;" "&amp;VLOOKUP($A562,Skills!$A:$C,3,FALSE()),"Stelvale Valebrook"))</f>
        <v/>
      </c>
      <c r="C562" s="184" t="n">
        <f aca="false">IFERROR(VLOOKUP(A562,Skills!$A:$D,4,FALSE()),"")</f>
        <v>0</v>
      </c>
      <c r="F562" s="186" t="str">
        <f aca="false">IF(OR(E562="",G562=""),"",WORKDAY(E562-1,G562))</f>
        <v/>
      </c>
      <c r="J562" s="0" t="str">
        <f aca="false">IF($A562="","",IF(COUNTIF(Skills!$A:$A,$A562)=0,"⚠ ID absent du roster",""))</f>
        <v/>
      </c>
    </row>
    <row r="563" customFormat="false" ht="15" hidden="true" customHeight="true" outlineLevel="0" collapsed="false">
      <c r="B563" s="183" t="str">
        <f aca="false">IF($A563="","",IFERROR(VLOOKUP($A563,Skills!$A:$C,2,FALSE())&amp;" "&amp;VLOOKUP($A563,Skills!$A:$C,3,FALSE()),"Stelvale Valebrook"))</f>
        <v/>
      </c>
      <c r="C563" s="184" t="n">
        <f aca="false">IFERROR(VLOOKUP(A563,Skills!$A:$D,4,FALSE()),"")</f>
        <v>0</v>
      </c>
      <c r="F563" s="186" t="str">
        <f aca="false">IF(OR(E563="",G563=""),"",WORKDAY(E563-1,G563))</f>
        <v/>
      </c>
      <c r="J563" s="0" t="str">
        <f aca="false">IF($A563="","",IF(COUNTIF(Skills!$A:$A,$A563)=0,"⚠ ID absent du roster",""))</f>
        <v/>
      </c>
    </row>
    <row r="564" customFormat="false" ht="15" hidden="true" customHeight="true" outlineLevel="0" collapsed="false">
      <c r="B564" s="183" t="str">
        <f aca="false">IF($A564="","",IFERROR(VLOOKUP($A564,Skills!$A:$C,2,FALSE())&amp;" "&amp;VLOOKUP($A564,Skills!$A:$C,3,FALSE()),"Stelvale Valebrook"))</f>
        <v/>
      </c>
      <c r="C564" s="184" t="n">
        <f aca="false">IFERROR(VLOOKUP(A564,Skills!$A:$D,4,FALSE()),"")</f>
        <v>0</v>
      </c>
      <c r="F564" s="186" t="str">
        <f aca="false">IF(OR(E564="",G564=""),"",WORKDAY(E564-1,G564))</f>
        <v/>
      </c>
      <c r="J564" s="0" t="str">
        <f aca="false">IF($A564="","",IF(COUNTIF(Skills!$A:$A,$A564)=0,"⚠ ID absent du roster",""))</f>
        <v/>
      </c>
    </row>
    <row r="565" customFormat="false" ht="15" hidden="true" customHeight="true" outlineLevel="0" collapsed="false">
      <c r="B565" s="183" t="str">
        <f aca="false">IF($A565="","",IFERROR(VLOOKUP($A565,Skills!$A:$C,2,FALSE())&amp;" "&amp;VLOOKUP($A565,Skills!$A:$C,3,FALSE()),"Stelvale Valebrook"))</f>
        <v/>
      </c>
      <c r="C565" s="184" t="n">
        <f aca="false">IFERROR(VLOOKUP(A565,Skills!$A:$D,4,FALSE()),"")</f>
        <v>0</v>
      </c>
      <c r="F565" s="186" t="str">
        <f aca="false">IF(OR(E565="",G565=""),"",WORKDAY(E565-1,G565))</f>
        <v/>
      </c>
      <c r="J565" s="0" t="str">
        <f aca="false">IF($A565="","",IF(COUNTIF(Skills!$A:$A,$A565)=0,"⚠ ID absent du roster",""))</f>
        <v/>
      </c>
    </row>
    <row r="566" customFormat="false" ht="15" hidden="true" customHeight="true" outlineLevel="0" collapsed="false">
      <c r="B566" s="183" t="str">
        <f aca="false">IF($A566="","",IFERROR(VLOOKUP($A566,Skills!$A:$C,2,FALSE())&amp;" "&amp;VLOOKUP($A566,Skills!$A:$C,3,FALSE()),"Stelvale Valebrook"))</f>
        <v/>
      </c>
      <c r="C566" s="184" t="n">
        <f aca="false">IFERROR(VLOOKUP(A566,Skills!$A:$D,4,FALSE()),"")</f>
        <v>0</v>
      </c>
      <c r="F566" s="186" t="str">
        <f aca="false">IF(OR(E566="",G566=""),"",WORKDAY(E566-1,G566))</f>
        <v/>
      </c>
      <c r="J566" s="0" t="str">
        <f aca="false">IF($A566="","",IF(COUNTIF(Skills!$A:$A,$A566)=0,"⚠ ID absent du roster",""))</f>
        <v/>
      </c>
    </row>
    <row r="567" customFormat="false" ht="15" hidden="true" customHeight="true" outlineLevel="0" collapsed="false">
      <c r="B567" s="183" t="str">
        <f aca="false">IF($A567="","",IFERROR(VLOOKUP($A567,Skills!$A:$C,2,FALSE())&amp;" "&amp;VLOOKUP($A567,Skills!$A:$C,3,FALSE()),"Stelvale Valebrook"))</f>
        <v/>
      </c>
      <c r="C567" s="184" t="n">
        <f aca="false">IFERROR(VLOOKUP(A567,Skills!$A:$D,4,FALSE()),"")</f>
        <v>0</v>
      </c>
      <c r="F567" s="186" t="str">
        <f aca="false">IF(OR(E567="",G567=""),"",WORKDAY(E567-1,G567))</f>
        <v/>
      </c>
      <c r="J567" s="0" t="str">
        <f aca="false">IF($A567="","",IF(COUNTIF(Skills!$A:$A,$A567)=0,"⚠ ID absent du roster",""))</f>
        <v/>
      </c>
    </row>
    <row r="568" customFormat="false" ht="15" hidden="true" customHeight="true" outlineLevel="0" collapsed="false">
      <c r="B568" s="183" t="str">
        <f aca="false">IF($A568="","",IFERROR(VLOOKUP($A568,Skills!$A:$C,2,FALSE())&amp;" "&amp;VLOOKUP($A568,Skills!$A:$C,3,FALSE()),"Stelvale Valebrook"))</f>
        <v/>
      </c>
      <c r="C568" s="184" t="n">
        <f aca="false">IFERROR(VLOOKUP(A568,Skills!$A:$D,4,FALSE()),"")</f>
        <v>0</v>
      </c>
      <c r="F568" s="186" t="str">
        <f aca="false">IF(OR(E568="",G568=""),"",WORKDAY(E568-1,G568))</f>
        <v/>
      </c>
      <c r="J568" s="0" t="str">
        <f aca="false">IF($A568="","",IF(COUNTIF(Skills!$A:$A,$A568)=0,"⚠ ID absent du roster",""))</f>
        <v/>
      </c>
    </row>
    <row r="569" customFormat="false" ht="15" hidden="true" customHeight="true" outlineLevel="0" collapsed="false">
      <c r="B569" s="183" t="str">
        <f aca="false">IF($A569="","",IFERROR(VLOOKUP($A569,Skills!$A:$C,2,FALSE())&amp;" "&amp;VLOOKUP($A569,Skills!$A:$C,3,FALSE()),"Stelvale Valebrook"))</f>
        <v/>
      </c>
      <c r="C569" s="184" t="n">
        <f aca="false">IFERROR(VLOOKUP(A569,Skills!$A:$D,4,FALSE()),"")</f>
        <v>0</v>
      </c>
      <c r="F569" s="186" t="str">
        <f aca="false">IF(OR(E569="",G569=""),"",WORKDAY(E569-1,G569))</f>
        <v/>
      </c>
      <c r="J569" s="0" t="str">
        <f aca="false">IF($A569="","",IF(COUNTIF(Skills!$A:$A,$A569)=0,"⚠ ID absent du roster",""))</f>
        <v/>
      </c>
    </row>
    <row r="570" customFormat="false" ht="15" hidden="true" customHeight="true" outlineLevel="0" collapsed="false">
      <c r="B570" s="183" t="str">
        <f aca="false">IF($A570="","",IFERROR(VLOOKUP($A570,Skills!$A:$C,2,FALSE())&amp;" "&amp;VLOOKUP($A570,Skills!$A:$C,3,FALSE()),"Stelvale Valebrook"))</f>
        <v/>
      </c>
      <c r="C570" s="184" t="n">
        <f aca="false">IFERROR(VLOOKUP(A570,Skills!$A:$D,4,FALSE()),"")</f>
        <v>0</v>
      </c>
      <c r="F570" s="186" t="str">
        <f aca="false">IF(OR(E570="",G570=""),"",WORKDAY(E570-1,G570))</f>
        <v/>
      </c>
      <c r="J570" s="0" t="str">
        <f aca="false">IF($A570="","",IF(COUNTIF(Skills!$A:$A,$A570)=0,"⚠ ID absent du roster",""))</f>
        <v/>
      </c>
    </row>
    <row r="571" customFormat="false" ht="15" hidden="true" customHeight="true" outlineLevel="0" collapsed="false">
      <c r="B571" s="183" t="str">
        <f aca="false">IF($A571="","",IFERROR(VLOOKUP($A571,Skills!$A:$C,2,FALSE())&amp;" "&amp;VLOOKUP($A571,Skills!$A:$C,3,FALSE()),"Stelvale Valebrook"))</f>
        <v/>
      </c>
      <c r="C571" s="184" t="n">
        <f aca="false">IFERROR(VLOOKUP(A571,Skills!$A:$D,4,FALSE()),"")</f>
        <v>0</v>
      </c>
      <c r="F571" s="186" t="str">
        <f aca="false">IF(OR(E571="",G571=""),"",WORKDAY(E571-1,G571))</f>
        <v/>
      </c>
      <c r="J571" s="0" t="str">
        <f aca="false">IF($A571="","",IF(COUNTIF(Skills!$A:$A,$A571)=0,"⚠ ID absent du roster",""))</f>
        <v/>
      </c>
    </row>
    <row r="572" customFormat="false" ht="15" hidden="true" customHeight="true" outlineLevel="0" collapsed="false">
      <c r="B572" s="183" t="str">
        <f aca="false">IF($A572="","",IFERROR(VLOOKUP($A572,Skills!$A:$C,2,FALSE())&amp;" "&amp;VLOOKUP($A572,Skills!$A:$C,3,FALSE()),"Stelvale Valebrook"))</f>
        <v/>
      </c>
      <c r="C572" s="184" t="n">
        <f aca="false">IFERROR(VLOOKUP(A572,Skills!$A:$D,4,FALSE()),"")</f>
        <v>0</v>
      </c>
      <c r="F572" s="186" t="str">
        <f aca="false">IF(OR(E572="",G572=""),"",WORKDAY(E572-1,G572))</f>
        <v/>
      </c>
      <c r="J572" s="0" t="str">
        <f aca="false">IF($A572="","",IF(COUNTIF(Skills!$A:$A,$A572)=0,"⚠ ID absent du roster",""))</f>
        <v/>
      </c>
    </row>
    <row r="573" customFormat="false" ht="15" hidden="true" customHeight="true" outlineLevel="0" collapsed="false">
      <c r="B573" s="183" t="str">
        <f aca="false">IF($A573="","",IFERROR(VLOOKUP($A573,Skills!$A:$C,2,FALSE())&amp;" "&amp;VLOOKUP($A573,Skills!$A:$C,3,FALSE()),"Stelvale Valebrook"))</f>
        <v/>
      </c>
      <c r="C573" s="184" t="n">
        <f aca="false">IFERROR(VLOOKUP(A573,Skills!$A:$D,4,FALSE()),"")</f>
        <v>0</v>
      </c>
      <c r="F573" s="186" t="str">
        <f aca="false">IF(OR(E573="",G573=""),"",WORKDAY(E573-1,G573))</f>
        <v/>
      </c>
      <c r="J573" s="0" t="str">
        <f aca="false">IF($A573="","",IF(COUNTIF(Skills!$A:$A,$A573)=0,"⚠ ID absent du roster",""))</f>
        <v/>
      </c>
    </row>
    <row r="574" customFormat="false" ht="15" hidden="true" customHeight="true" outlineLevel="0" collapsed="false">
      <c r="B574" s="183" t="str">
        <f aca="false">IF($A574="","",IFERROR(VLOOKUP($A574,Skills!$A:$C,2,FALSE())&amp;" "&amp;VLOOKUP($A574,Skills!$A:$C,3,FALSE()),"Stelvale Valebrook"))</f>
        <v/>
      </c>
      <c r="C574" s="184" t="n">
        <f aca="false">IFERROR(VLOOKUP(A574,Skills!$A:$D,4,FALSE()),"")</f>
        <v>0</v>
      </c>
      <c r="F574" s="186" t="str">
        <f aca="false">IF(OR(E574="",G574=""),"",WORKDAY(E574-1,G574))</f>
        <v/>
      </c>
      <c r="J574" s="0" t="str">
        <f aca="false">IF($A574="","",IF(COUNTIF(Skills!$A:$A,$A574)=0,"⚠ ID absent du roster",""))</f>
        <v/>
      </c>
    </row>
    <row r="575" customFormat="false" ht="15" hidden="true" customHeight="true" outlineLevel="0" collapsed="false">
      <c r="B575" s="183" t="str">
        <f aca="false">IF($A575="","",IFERROR(VLOOKUP($A575,Skills!$A:$C,2,FALSE())&amp;" "&amp;VLOOKUP($A575,Skills!$A:$C,3,FALSE()),"Stelvale Valebrook"))</f>
        <v/>
      </c>
      <c r="C575" s="184" t="n">
        <f aca="false">IFERROR(VLOOKUP(A575,Skills!$A:$D,4,FALSE()),"")</f>
        <v>0</v>
      </c>
      <c r="F575" s="186" t="str">
        <f aca="false">IF(OR(E575="",G575=""),"",WORKDAY(E575-1,G575))</f>
        <v/>
      </c>
      <c r="J575" s="0" t="str">
        <f aca="false">IF($A575="","",IF(COUNTIF(Skills!$A:$A,$A575)=0,"⚠ ID absent du roster",""))</f>
        <v/>
      </c>
    </row>
    <row r="576" customFormat="false" ht="15" hidden="true" customHeight="true" outlineLevel="0" collapsed="false">
      <c r="B576" s="183" t="str">
        <f aca="false">IF($A576="","",IFERROR(VLOOKUP($A576,Skills!$A:$C,2,FALSE())&amp;" "&amp;VLOOKUP($A576,Skills!$A:$C,3,FALSE()),"Stelvale Valebrook"))</f>
        <v/>
      </c>
      <c r="C576" s="184" t="n">
        <f aca="false">IFERROR(VLOOKUP(A576,Skills!$A:$D,4,FALSE()),"")</f>
        <v>0</v>
      </c>
      <c r="F576" s="186" t="str">
        <f aca="false">IF(OR(E576="",G576=""),"",WORKDAY(E576-1,G576))</f>
        <v/>
      </c>
      <c r="J576" s="0" t="str">
        <f aca="false">IF($A576="","",IF(COUNTIF(Skills!$A:$A,$A576)=0,"⚠ ID absent du roster",""))</f>
        <v/>
      </c>
    </row>
    <row r="577" customFormat="false" ht="15" hidden="true" customHeight="true" outlineLevel="0" collapsed="false">
      <c r="B577" s="183" t="str">
        <f aca="false">IF($A577="","",IFERROR(VLOOKUP($A577,Skills!$A:$C,2,FALSE())&amp;" "&amp;VLOOKUP($A577,Skills!$A:$C,3,FALSE()),"Stelvale Valebrook"))</f>
        <v/>
      </c>
      <c r="C577" s="184" t="n">
        <f aca="false">IFERROR(VLOOKUP(A577,Skills!$A:$D,4,FALSE()),"")</f>
        <v>0</v>
      </c>
      <c r="F577" s="186" t="str">
        <f aca="false">IF(OR(E577="",G577=""),"",WORKDAY(E577-1,G577))</f>
        <v/>
      </c>
      <c r="J577" s="0" t="str">
        <f aca="false">IF($A577="","",IF(COUNTIF(Skills!$A:$A,$A577)=0,"⚠ ID absent du roster",""))</f>
        <v/>
      </c>
    </row>
    <row r="578" customFormat="false" ht="15" hidden="true" customHeight="true" outlineLevel="0" collapsed="false">
      <c r="B578" s="183" t="str">
        <f aca="false">IF($A578="","",IFERROR(VLOOKUP($A578,Skills!$A:$C,2,FALSE())&amp;" "&amp;VLOOKUP($A578,Skills!$A:$C,3,FALSE()),"Stelvale Valebrook"))</f>
        <v/>
      </c>
      <c r="C578" s="184" t="n">
        <f aca="false">IFERROR(VLOOKUP(A578,Skills!$A:$D,4,FALSE()),"")</f>
        <v>0</v>
      </c>
      <c r="F578" s="186" t="str">
        <f aca="false">IF(OR(E578="",G578=""),"",WORKDAY(E578-1,G578))</f>
        <v/>
      </c>
      <c r="J578" s="0" t="str">
        <f aca="false">IF($A578="","",IF(COUNTIF(Skills!$A:$A,$A578)=0,"⚠ ID absent du roster",""))</f>
        <v/>
      </c>
    </row>
    <row r="579" customFormat="false" ht="15" hidden="true" customHeight="true" outlineLevel="0" collapsed="false">
      <c r="B579" s="183" t="str">
        <f aca="false">IF($A579="","",IFERROR(VLOOKUP($A579,Skills!$A:$C,2,FALSE())&amp;" "&amp;VLOOKUP($A579,Skills!$A:$C,3,FALSE()),"Stelvale Valebrook"))</f>
        <v/>
      </c>
      <c r="C579" s="184" t="n">
        <f aca="false">IFERROR(VLOOKUP(A579,Skills!$A:$D,4,FALSE()),"")</f>
        <v>0</v>
      </c>
      <c r="F579" s="186" t="str">
        <f aca="false">IF(OR(E579="",G579=""),"",WORKDAY(E579-1,G579))</f>
        <v/>
      </c>
      <c r="J579" s="0" t="str">
        <f aca="false">IF($A579="","",IF(COUNTIF(Skills!$A:$A,$A579)=0,"⚠ ID absent du roster",""))</f>
        <v/>
      </c>
    </row>
    <row r="580" customFormat="false" ht="15" hidden="true" customHeight="true" outlineLevel="0" collapsed="false">
      <c r="B580" s="183" t="str">
        <f aca="false">IF($A580="","",IFERROR(VLOOKUP($A580,Skills!$A:$C,2,FALSE())&amp;" "&amp;VLOOKUP($A580,Skills!$A:$C,3,FALSE()),"Stelvale Valebrook"))</f>
        <v/>
      </c>
      <c r="C580" s="184" t="n">
        <f aca="false">IFERROR(VLOOKUP(A580,Skills!$A:$D,4,FALSE()),"")</f>
        <v>0</v>
      </c>
      <c r="F580" s="186" t="str">
        <f aca="false">IF(OR(E580="",G580=""),"",WORKDAY(E580-1,G580))</f>
        <v/>
      </c>
      <c r="J580" s="0" t="str">
        <f aca="false">IF($A580="","",IF(COUNTIF(Skills!$A:$A,$A580)=0,"⚠ ID absent du roster",""))</f>
        <v/>
      </c>
    </row>
    <row r="581" customFormat="false" ht="15" hidden="true" customHeight="true" outlineLevel="0" collapsed="false">
      <c r="B581" s="183" t="str">
        <f aca="false">IF($A581="","",IFERROR(VLOOKUP($A581,Skills!$A:$C,2,FALSE())&amp;" "&amp;VLOOKUP($A581,Skills!$A:$C,3,FALSE()),"Stelvale Valebrook"))</f>
        <v/>
      </c>
      <c r="C581" s="184" t="n">
        <f aca="false">IFERROR(VLOOKUP(A581,Skills!$A:$D,4,FALSE()),"")</f>
        <v>0</v>
      </c>
      <c r="F581" s="186" t="str">
        <f aca="false">IF(OR(E581="",G581=""),"",WORKDAY(E581-1,G581))</f>
        <v/>
      </c>
      <c r="J581" s="0" t="str">
        <f aca="false">IF($A581="","",IF(COUNTIF(Skills!$A:$A,$A581)=0,"⚠ ID absent du roster",""))</f>
        <v/>
      </c>
    </row>
    <row r="582" customFormat="false" ht="15" hidden="true" customHeight="true" outlineLevel="0" collapsed="false">
      <c r="B582" s="183" t="str">
        <f aca="false">IF($A582="","",IFERROR(VLOOKUP($A582,Skills!$A:$C,2,FALSE())&amp;" "&amp;VLOOKUP($A582,Skills!$A:$C,3,FALSE()),"Stelvale Valebrook"))</f>
        <v/>
      </c>
      <c r="C582" s="184" t="n">
        <f aca="false">IFERROR(VLOOKUP(A582,Skills!$A:$D,4,FALSE()),"")</f>
        <v>0</v>
      </c>
      <c r="F582" s="186" t="str">
        <f aca="false">IF(OR(E582="",G582=""),"",WORKDAY(E582-1,G582))</f>
        <v/>
      </c>
      <c r="J582" s="0" t="str">
        <f aca="false">IF($A582="","",IF(COUNTIF(Skills!$A:$A,$A582)=0,"⚠ ID absent du roster",""))</f>
        <v/>
      </c>
    </row>
    <row r="583" customFormat="false" ht="15" hidden="true" customHeight="true" outlineLevel="0" collapsed="false">
      <c r="B583" s="183" t="str">
        <f aca="false">IF($A583="","",IFERROR(VLOOKUP($A583,Skills!$A:$C,2,FALSE())&amp;" "&amp;VLOOKUP($A583,Skills!$A:$C,3,FALSE()),"Stelvale Valebrook"))</f>
        <v/>
      </c>
      <c r="C583" s="184" t="n">
        <f aca="false">IFERROR(VLOOKUP(A583,Skills!$A:$D,4,FALSE()),"")</f>
        <v>0</v>
      </c>
      <c r="F583" s="186" t="str">
        <f aca="false">IF(OR(E583="",G583=""),"",WORKDAY(E583-1,G583))</f>
        <v/>
      </c>
      <c r="J583" s="0" t="str">
        <f aca="false">IF($A583="","",IF(COUNTIF(Skills!$A:$A,$A583)=0,"⚠ ID absent du roster",""))</f>
        <v/>
      </c>
    </row>
    <row r="584" customFormat="false" ht="15" hidden="true" customHeight="true" outlineLevel="0" collapsed="false">
      <c r="B584" s="183" t="str">
        <f aca="false">IF($A584="","",IFERROR(VLOOKUP($A584,Skills!$A:$C,2,FALSE())&amp;" "&amp;VLOOKUP($A584,Skills!$A:$C,3,FALSE()),"Stelvale Valebrook"))</f>
        <v/>
      </c>
      <c r="C584" s="184" t="n">
        <f aca="false">IFERROR(VLOOKUP(A584,Skills!$A:$D,4,FALSE()),"")</f>
        <v>0</v>
      </c>
      <c r="F584" s="186" t="str">
        <f aca="false">IF(OR(E584="",G584=""),"",WORKDAY(E584-1,G584))</f>
        <v/>
      </c>
      <c r="J584" s="0" t="str">
        <f aca="false">IF($A584="","",IF(COUNTIF(Skills!$A:$A,$A584)=0,"⚠ ID absent du roster",""))</f>
        <v/>
      </c>
    </row>
    <row r="585" customFormat="false" ht="15" hidden="true" customHeight="true" outlineLevel="0" collapsed="false">
      <c r="B585" s="183" t="str">
        <f aca="false">IF($A585="","",IFERROR(VLOOKUP($A585,Skills!$A:$C,2,FALSE())&amp;" "&amp;VLOOKUP($A585,Skills!$A:$C,3,FALSE()),"Stelvale Valebrook"))</f>
        <v/>
      </c>
      <c r="C585" s="184" t="n">
        <f aca="false">IFERROR(VLOOKUP(A585,Skills!$A:$D,4,FALSE()),"")</f>
        <v>0</v>
      </c>
      <c r="F585" s="186" t="str">
        <f aca="false">IF(OR(E585="",G585=""),"",WORKDAY(E585-1,G585))</f>
        <v/>
      </c>
      <c r="J585" s="0" t="str">
        <f aca="false">IF($A585="","",IF(COUNTIF(Skills!$A:$A,$A585)=0,"⚠ ID absent du roster",""))</f>
        <v/>
      </c>
    </row>
    <row r="586" customFormat="false" ht="15" hidden="true" customHeight="true" outlineLevel="0" collapsed="false">
      <c r="B586" s="183" t="str">
        <f aca="false">IF($A586="","",IFERROR(VLOOKUP($A586,Skills!$A:$C,2,FALSE())&amp;" "&amp;VLOOKUP($A586,Skills!$A:$C,3,FALSE()),"Stelvale Valebrook"))</f>
        <v/>
      </c>
      <c r="C586" s="184" t="n">
        <f aca="false">IFERROR(VLOOKUP(A586,Skills!$A:$D,4,FALSE()),"")</f>
        <v>0</v>
      </c>
      <c r="F586" s="186" t="str">
        <f aca="false">IF(OR(E586="",G586=""),"",WORKDAY(E586-1,G586))</f>
        <v/>
      </c>
      <c r="J586" s="0" t="str">
        <f aca="false">IF($A586="","",IF(COUNTIF(Skills!$A:$A,$A586)=0,"⚠ ID absent du roster",""))</f>
        <v/>
      </c>
    </row>
    <row r="587" customFormat="false" ht="15" hidden="true" customHeight="true" outlineLevel="0" collapsed="false">
      <c r="B587" s="183" t="str">
        <f aca="false">IF($A587="","",IFERROR(VLOOKUP($A587,Skills!$A:$C,2,FALSE())&amp;" "&amp;VLOOKUP($A587,Skills!$A:$C,3,FALSE()),"Stelvale Valebrook"))</f>
        <v/>
      </c>
      <c r="C587" s="184" t="n">
        <f aca="false">IFERROR(VLOOKUP(A587,Skills!$A:$D,4,FALSE()),"")</f>
        <v>0</v>
      </c>
      <c r="F587" s="186" t="str">
        <f aca="false">IF(OR(E587="",G587=""),"",WORKDAY(E587-1,G587))</f>
        <v/>
      </c>
      <c r="J587" s="0" t="str">
        <f aca="false">IF($A587="","",IF(COUNTIF(Skills!$A:$A,$A587)=0,"⚠ ID absent du roster",""))</f>
        <v/>
      </c>
    </row>
    <row r="588" customFormat="false" ht="15" hidden="true" customHeight="true" outlineLevel="0" collapsed="false">
      <c r="B588" s="183" t="str">
        <f aca="false">IF($A588="","",IFERROR(VLOOKUP($A588,Skills!$A:$C,2,FALSE())&amp;" "&amp;VLOOKUP($A588,Skills!$A:$C,3,FALSE()),"Stelvale Valebrook"))</f>
        <v/>
      </c>
      <c r="C588" s="184" t="n">
        <f aca="false">IFERROR(VLOOKUP(A588,Skills!$A:$D,4,FALSE()),"")</f>
        <v>0</v>
      </c>
      <c r="F588" s="186" t="str">
        <f aca="false">IF(OR(E588="",G588=""),"",WORKDAY(E588-1,G588))</f>
        <v/>
      </c>
      <c r="J588" s="0" t="str">
        <f aca="false">IF($A588="","",IF(COUNTIF(Skills!$A:$A,$A588)=0,"⚠ ID absent du roster",""))</f>
        <v/>
      </c>
    </row>
    <row r="589" customFormat="false" ht="15" hidden="true" customHeight="true" outlineLevel="0" collapsed="false">
      <c r="B589" s="183" t="str">
        <f aca="false">IF($A589="","",IFERROR(VLOOKUP($A589,Skills!$A:$C,2,FALSE())&amp;" "&amp;VLOOKUP($A589,Skills!$A:$C,3,FALSE()),"Stelvale Valebrook"))</f>
        <v/>
      </c>
      <c r="C589" s="184" t="n">
        <f aca="false">IFERROR(VLOOKUP(A589,Skills!$A:$D,4,FALSE()),"")</f>
        <v>0</v>
      </c>
      <c r="F589" s="186" t="str">
        <f aca="false">IF(OR(E589="",G589=""),"",WORKDAY(E589-1,G589))</f>
        <v/>
      </c>
      <c r="J589" s="0" t="str">
        <f aca="false">IF($A589="","",IF(COUNTIF(Skills!$A:$A,$A589)=0,"⚠ ID absent du roster",""))</f>
        <v/>
      </c>
    </row>
    <row r="590" customFormat="false" ht="15" hidden="true" customHeight="true" outlineLevel="0" collapsed="false">
      <c r="B590" s="183" t="str">
        <f aca="false">IF($A590="","",IFERROR(VLOOKUP($A590,Skills!$A:$C,2,FALSE())&amp;" "&amp;VLOOKUP($A590,Skills!$A:$C,3,FALSE()),"Stelvale Valebrook"))</f>
        <v/>
      </c>
      <c r="C590" s="184" t="n">
        <f aca="false">IFERROR(VLOOKUP(A590,Skills!$A:$D,4,FALSE()),"")</f>
        <v>0</v>
      </c>
      <c r="F590" s="186" t="str">
        <f aca="false">IF(OR(E590="",G590=""),"",WORKDAY(E590-1,G590))</f>
        <v/>
      </c>
      <c r="J590" s="0" t="str">
        <f aca="false">IF($A590="","",IF(COUNTIF(Skills!$A:$A,$A590)=0,"⚠ ID absent du roster",""))</f>
        <v/>
      </c>
    </row>
    <row r="591" customFormat="false" ht="15" hidden="true" customHeight="true" outlineLevel="0" collapsed="false">
      <c r="B591" s="183" t="str">
        <f aca="false">IF($A591="","",IFERROR(VLOOKUP($A591,Skills!$A:$C,2,FALSE())&amp;" "&amp;VLOOKUP($A591,Skills!$A:$C,3,FALSE()),"Stelvale Valebrook"))</f>
        <v/>
      </c>
      <c r="C591" s="184" t="n">
        <f aca="false">IFERROR(VLOOKUP(A591,Skills!$A:$D,4,FALSE()),"")</f>
        <v>0</v>
      </c>
      <c r="F591" s="186" t="str">
        <f aca="false">IF(OR(E591="",G591=""),"",WORKDAY(E591-1,G591))</f>
        <v/>
      </c>
      <c r="J591" s="0" t="str">
        <f aca="false">IF($A591="","",IF(COUNTIF(Skills!$A:$A,$A591)=0,"⚠ ID absent du roster",""))</f>
        <v/>
      </c>
    </row>
    <row r="592" customFormat="false" ht="15" hidden="true" customHeight="true" outlineLevel="0" collapsed="false">
      <c r="B592" s="183" t="str">
        <f aca="false">IF($A592="","",IFERROR(VLOOKUP($A592,Skills!$A:$C,2,FALSE())&amp;" "&amp;VLOOKUP($A592,Skills!$A:$C,3,FALSE()),"Stelvale Valebrook"))</f>
        <v/>
      </c>
      <c r="C592" s="184" t="n">
        <f aca="false">IFERROR(VLOOKUP(A592,Skills!$A:$D,4,FALSE()),"")</f>
        <v>0</v>
      </c>
      <c r="F592" s="186" t="str">
        <f aca="false">IF(OR(E592="",G592=""),"",WORKDAY(E592-1,G592))</f>
        <v/>
      </c>
      <c r="J592" s="0" t="str">
        <f aca="false">IF($A592="","",IF(COUNTIF(Skills!$A:$A,$A592)=0,"⚠ ID absent du roster",""))</f>
        <v/>
      </c>
    </row>
    <row r="593" customFormat="false" ht="15" hidden="true" customHeight="true" outlineLevel="0" collapsed="false">
      <c r="B593" s="183" t="str">
        <f aca="false">IF($A593="","",IFERROR(VLOOKUP($A593,Skills!$A:$C,2,FALSE())&amp;" "&amp;VLOOKUP($A593,Skills!$A:$C,3,FALSE()),"Stelvale Valebrook"))</f>
        <v/>
      </c>
      <c r="C593" s="184" t="n">
        <f aca="false">IFERROR(VLOOKUP(A593,Skills!$A:$D,4,FALSE()),"")</f>
        <v>0</v>
      </c>
      <c r="F593" s="186" t="str">
        <f aca="false">IF(OR(E593="",G593=""),"",WORKDAY(E593-1,G593))</f>
        <v/>
      </c>
      <c r="J593" s="0" t="str">
        <f aca="false">IF($A593="","",IF(COUNTIF(Skills!$A:$A,$A593)=0,"⚠ ID absent du roster",""))</f>
        <v/>
      </c>
    </row>
    <row r="594" customFormat="false" ht="15" hidden="true" customHeight="true" outlineLevel="0" collapsed="false">
      <c r="B594" s="183" t="str">
        <f aca="false">IF($A594="","",IFERROR(VLOOKUP($A594,Skills!$A:$C,2,FALSE())&amp;" "&amp;VLOOKUP($A594,Skills!$A:$C,3,FALSE()),"Stelvale Valebrook"))</f>
        <v/>
      </c>
      <c r="C594" s="184" t="n">
        <f aca="false">IFERROR(VLOOKUP(A594,Skills!$A:$D,4,FALSE()),"")</f>
        <v>0</v>
      </c>
      <c r="F594" s="186" t="str">
        <f aca="false">IF(OR(E594="",G594=""),"",WORKDAY(E594-1,G594))</f>
        <v/>
      </c>
      <c r="J594" s="0" t="str">
        <f aca="false">IF($A594="","",IF(COUNTIF(Skills!$A:$A,$A594)=0,"⚠ ID absent du roster",""))</f>
        <v/>
      </c>
    </row>
    <row r="595" customFormat="false" ht="15" hidden="true" customHeight="true" outlineLevel="0" collapsed="false">
      <c r="B595" s="183" t="str">
        <f aca="false">IF($A595="","",IFERROR(VLOOKUP($A595,Skills!$A:$C,2,FALSE())&amp;" "&amp;VLOOKUP($A595,Skills!$A:$C,3,FALSE()),"Stelvale Valebrook"))</f>
        <v/>
      </c>
      <c r="C595" s="184" t="n">
        <f aca="false">IFERROR(VLOOKUP(A595,Skills!$A:$D,4,FALSE()),"")</f>
        <v>0</v>
      </c>
      <c r="F595" s="186" t="str">
        <f aca="false">IF(OR(E595="",G595=""),"",WORKDAY(E595-1,G595))</f>
        <v/>
      </c>
      <c r="J595" s="0" t="str">
        <f aca="false">IF($A595="","",IF(COUNTIF(Skills!$A:$A,$A595)=0,"⚠ ID absent du roster",""))</f>
        <v/>
      </c>
    </row>
    <row r="596" customFormat="false" ht="15" hidden="true" customHeight="true" outlineLevel="0" collapsed="false">
      <c r="B596" s="183" t="str">
        <f aca="false">IF($A596="","",IFERROR(VLOOKUP($A596,Skills!$A:$C,2,FALSE())&amp;" "&amp;VLOOKUP($A596,Skills!$A:$C,3,FALSE()),"Stelvale Valebrook"))</f>
        <v/>
      </c>
      <c r="C596" s="184" t="n">
        <f aca="false">IFERROR(VLOOKUP(A596,Skills!$A:$D,4,FALSE()),"")</f>
        <v>0</v>
      </c>
      <c r="F596" s="186" t="str">
        <f aca="false">IF(OR(E596="",G596=""),"",WORKDAY(E596-1,G596))</f>
        <v/>
      </c>
      <c r="J596" s="0" t="str">
        <f aca="false">IF($A596="","",IF(COUNTIF(Skills!$A:$A,$A596)=0,"⚠ ID absent du roster",""))</f>
        <v/>
      </c>
    </row>
    <row r="597" customFormat="false" ht="15" hidden="true" customHeight="true" outlineLevel="0" collapsed="false">
      <c r="B597" s="183" t="str">
        <f aca="false">IF($A597="","",IFERROR(VLOOKUP($A597,Skills!$A:$C,2,FALSE())&amp;" "&amp;VLOOKUP($A597,Skills!$A:$C,3,FALSE()),"Stelvale Valebrook"))</f>
        <v/>
      </c>
      <c r="C597" s="184" t="n">
        <f aca="false">IFERROR(VLOOKUP(A597,Skills!$A:$D,4,FALSE()),"")</f>
        <v>0</v>
      </c>
      <c r="F597" s="186" t="str">
        <f aca="false">IF(OR(E597="",G597=""),"",WORKDAY(E597-1,G597))</f>
        <v/>
      </c>
      <c r="J597" s="0" t="str">
        <f aca="false">IF($A597="","",IF(COUNTIF(Skills!$A:$A,$A597)=0,"⚠ ID absent du roster",""))</f>
        <v/>
      </c>
    </row>
    <row r="598" customFormat="false" ht="15" hidden="true" customHeight="true" outlineLevel="0" collapsed="false">
      <c r="B598" s="183" t="str">
        <f aca="false">IF($A598="","",IFERROR(VLOOKUP($A598,Skills!$A:$C,2,FALSE())&amp;" "&amp;VLOOKUP($A598,Skills!$A:$C,3,FALSE()),"Stelvale Valebrook"))</f>
        <v/>
      </c>
      <c r="C598" s="184" t="n">
        <f aca="false">IFERROR(VLOOKUP(A598,Skills!$A:$D,4,FALSE()),"")</f>
        <v>0</v>
      </c>
      <c r="F598" s="186" t="str">
        <f aca="false">IF(OR(E598="",G598=""),"",WORKDAY(E598-1,G598))</f>
        <v/>
      </c>
      <c r="J598" s="0" t="str">
        <f aca="false">IF($A598="","",IF(COUNTIF(Skills!$A:$A,$A598)=0,"⚠ ID absent du roster",""))</f>
        <v/>
      </c>
    </row>
    <row r="599" customFormat="false" ht="15" hidden="true" customHeight="true" outlineLevel="0" collapsed="false">
      <c r="B599" s="183" t="str">
        <f aca="false">IF($A599="","",IFERROR(VLOOKUP($A599,Skills!$A:$C,2,FALSE())&amp;" "&amp;VLOOKUP($A599,Skills!$A:$C,3,FALSE()),"Stelvale Valebrook"))</f>
        <v/>
      </c>
      <c r="C599" s="184" t="n">
        <f aca="false">IFERROR(VLOOKUP(A599,Skills!$A:$D,4,FALSE()),"")</f>
        <v>0</v>
      </c>
      <c r="F599" s="186" t="str">
        <f aca="false">IF(OR(E599="",G599=""),"",WORKDAY(E599-1,G599))</f>
        <v/>
      </c>
      <c r="J599" s="0" t="str">
        <f aca="false">IF($A599="","",IF(COUNTIF(Skills!$A:$A,$A599)=0,"⚠ ID absent du roster",""))</f>
        <v/>
      </c>
    </row>
    <row r="600" customFormat="false" ht="15" hidden="true" customHeight="true" outlineLevel="0" collapsed="false">
      <c r="B600" s="183" t="str">
        <f aca="false">IF($A600="","",IFERROR(VLOOKUP($A600,Skills!$A:$C,2,FALSE())&amp;" "&amp;VLOOKUP($A600,Skills!$A:$C,3,FALSE()),"Stelvale Valebrook"))</f>
        <v/>
      </c>
      <c r="C600" s="184" t="n">
        <f aca="false">IFERROR(VLOOKUP(A600,Skills!$A:$D,4,FALSE()),"")</f>
        <v>0</v>
      </c>
      <c r="F600" s="186" t="str">
        <f aca="false">IF(OR(E600="",G600=""),"",WORKDAY(E600-1,G600))</f>
        <v/>
      </c>
      <c r="J600" s="0" t="str">
        <f aca="false">IF($A600="","",IF(COUNTIF(Skills!$A:$A,$A600)=0,"⚠ ID absent du roster",""))</f>
        <v/>
      </c>
    </row>
    <row r="601" customFormat="false" ht="15" hidden="true" customHeight="true" outlineLevel="0" collapsed="false">
      <c r="B601" s="183" t="str">
        <f aca="false">IF($A601="","",IFERROR(VLOOKUP($A601,Skills!$A:$C,2,FALSE())&amp;" "&amp;VLOOKUP($A601,Skills!$A:$C,3,FALSE()),"Stelvale Valebrook"))</f>
        <v/>
      </c>
      <c r="C601" s="184" t="n">
        <f aca="false">IFERROR(VLOOKUP(A601,Skills!$A:$D,4,FALSE()),"")</f>
        <v>0</v>
      </c>
      <c r="F601" s="186" t="str">
        <f aca="false">IF(OR(E601="",G601=""),"",WORKDAY(E601-1,G601))</f>
        <v/>
      </c>
      <c r="J601" s="0" t="str">
        <f aca="false">IF($A601="","",IF(COUNTIF(Skills!$A:$A,$A601)=0,"⚠ ID absent du roster",""))</f>
        <v/>
      </c>
    </row>
    <row r="602" customFormat="false" ht="15" hidden="true" customHeight="true" outlineLevel="0" collapsed="false">
      <c r="B602" s="183" t="str">
        <f aca="false">IF($A602="","",IFERROR(VLOOKUP($A602,Skills!$A:$C,2,FALSE())&amp;" "&amp;VLOOKUP($A602,Skills!$A:$C,3,FALSE()),"Stelvale Valebrook"))</f>
        <v/>
      </c>
      <c r="C602" s="184" t="n">
        <f aca="false">IFERROR(VLOOKUP(A602,Skills!$A:$D,4,FALSE()),"")</f>
        <v>0</v>
      </c>
      <c r="F602" s="186" t="str">
        <f aca="false">IF(OR(E602="",G602=""),"",WORKDAY(E602-1,G602))</f>
        <v/>
      </c>
      <c r="J602" s="0" t="str">
        <f aca="false">IF($A602="","",IF(COUNTIF(Skills!$A:$A,$A602)=0,"⚠ ID absent du roster",""))</f>
        <v/>
      </c>
    </row>
    <row r="603" customFormat="false" ht="15" hidden="true" customHeight="true" outlineLevel="0" collapsed="false">
      <c r="B603" s="183" t="str">
        <f aca="false">IF($A603="","",IFERROR(VLOOKUP($A603,Skills!$A:$C,2,FALSE())&amp;" "&amp;VLOOKUP($A603,Skills!$A:$C,3,FALSE()),"Stelvale Valebrook"))</f>
        <v/>
      </c>
      <c r="C603" s="184" t="n">
        <f aca="false">IFERROR(VLOOKUP(A603,Skills!$A:$D,4,FALSE()),"")</f>
        <v>0</v>
      </c>
      <c r="F603" s="186" t="str">
        <f aca="false">IF(OR(E603="",G603=""),"",WORKDAY(E603-1,G603))</f>
        <v/>
      </c>
      <c r="J603" s="0" t="str">
        <f aca="false">IF($A603="","",IF(COUNTIF(Skills!$A:$A,$A603)=0,"⚠ ID absent du roster",""))</f>
        <v/>
      </c>
    </row>
    <row r="604" customFormat="false" ht="15" hidden="true" customHeight="true" outlineLevel="0" collapsed="false">
      <c r="B604" s="183" t="str">
        <f aca="false">IF($A604="","",IFERROR(VLOOKUP($A604,Skills!$A:$C,2,FALSE())&amp;" "&amp;VLOOKUP($A604,Skills!$A:$C,3,FALSE()),"Stelvale Valebrook"))</f>
        <v/>
      </c>
      <c r="C604" s="184" t="n">
        <f aca="false">IFERROR(VLOOKUP(A604,Skills!$A:$D,4,FALSE()),"")</f>
        <v>0</v>
      </c>
      <c r="F604" s="186" t="str">
        <f aca="false">IF(OR(E604="",G604=""),"",WORKDAY(E604-1,G604))</f>
        <v/>
      </c>
      <c r="J604" s="0" t="str">
        <f aca="false">IF($A604="","",IF(COUNTIF(Skills!$A:$A,$A604)=0,"⚠ ID absent du roster",""))</f>
        <v/>
      </c>
    </row>
    <row r="605" customFormat="false" ht="15" hidden="true" customHeight="true" outlineLevel="0" collapsed="false">
      <c r="B605" s="183" t="str">
        <f aca="false">IF($A605="","",IFERROR(VLOOKUP($A605,Skills!$A:$C,2,FALSE())&amp;" "&amp;VLOOKUP($A605,Skills!$A:$C,3,FALSE()),"Stelvale Valebrook"))</f>
        <v/>
      </c>
      <c r="C605" s="184" t="n">
        <f aca="false">IFERROR(VLOOKUP(A605,Skills!$A:$D,4,FALSE()),"")</f>
        <v>0</v>
      </c>
      <c r="F605" s="186" t="str">
        <f aca="false">IF(OR(E605="",G605=""),"",WORKDAY(E605-1,G605))</f>
        <v/>
      </c>
      <c r="J605" s="0" t="str">
        <f aca="false">IF($A605="","",IF(COUNTIF(Skills!$A:$A,$A605)=0,"⚠ ID absent du roster",""))</f>
        <v/>
      </c>
    </row>
    <row r="606" customFormat="false" ht="15" hidden="true" customHeight="true" outlineLevel="0" collapsed="false">
      <c r="B606" s="183" t="str">
        <f aca="false">IF($A606="","",IFERROR(VLOOKUP($A606,Skills!$A:$C,2,FALSE())&amp;" "&amp;VLOOKUP($A606,Skills!$A:$C,3,FALSE()),"Stelvale Valebrook"))</f>
        <v/>
      </c>
      <c r="C606" s="184" t="n">
        <f aca="false">IFERROR(VLOOKUP(A606,Skills!$A:$D,4,FALSE()),"")</f>
        <v>0</v>
      </c>
      <c r="F606" s="186" t="str">
        <f aca="false">IF(OR(E606="",G606=""),"",WORKDAY(E606-1,G606))</f>
        <v/>
      </c>
      <c r="J606" s="0" t="str">
        <f aca="false">IF($A606="","",IF(COUNTIF(Skills!$A:$A,$A606)=0,"⚠ ID absent du roster",""))</f>
        <v/>
      </c>
    </row>
    <row r="607" customFormat="false" ht="15" hidden="true" customHeight="true" outlineLevel="0" collapsed="false">
      <c r="B607" s="183" t="str">
        <f aca="false">IF($A607="","",IFERROR(VLOOKUP($A607,Skills!$A:$C,2,FALSE())&amp;" "&amp;VLOOKUP($A607,Skills!$A:$C,3,FALSE()),"Stelvale Valebrook"))</f>
        <v/>
      </c>
      <c r="C607" s="184" t="n">
        <f aca="false">IFERROR(VLOOKUP(A607,Skills!$A:$D,4,FALSE()),"")</f>
        <v>0</v>
      </c>
      <c r="F607" s="186" t="str">
        <f aca="false">IF(OR(E607="",G607=""),"",WORKDAY(E607-1,G607))</f>
        <v/>
      </c>
      <c r="J607" s="0" t="str">
        <f aca="false">IF($A607="","",IF(COUNTIF(Skills!$A:$A,$A607)=0,"⚠ ID absent du roster",""))</f>
        <v/>
      </c>
    </row>
    <row r="608" customFormat="false" ht="15" hidden="true" customHeight="true" outlineLevel="0" collapsed="false">
      <c r="B608" s="183" t="str">
        <f aca="false">IF($A608="","",IFERROR(VLOOKUP($A608,Skills!$A:$C,2,FALSE())&amp;" "&amp;VLOOKUP($A608,Skills!$A:$C,3,FALSE()),"Stelvale Valebrook"))</f>
        <v/>
      </c>
      <c r="C608" s="184" t="n">
        <f aca="false">IFERROR(VLOOKUP(A608,Skills!$A:$D,4,FALSE()),"")</f>
        <v>0</v>
      </c>
      <c r="F608" s="186" t="str">
        <f aca="false">IF(OR(E608="",G608=""),"",WORKDAY(E608-1,G608))</f>
        <v/>
      </c>
      <c r="J608" s="0" t="str">
        <f aca="false">IF($A608="","",IF(COUNTIF(Skills!$A:$A,$A608)=0,"⚠ ID absent du roster",""))</f>
        <v/>
      </c>
    </row>
    <row r="609" customFormat="false" ht="15" hidden="true" customHeight="true" outlineLevel="0" collapsed="false">
      <c r="B609" s="183" t="str">
        <f aca="false">IF($A609="","",IFERROR(VLOOKUP($A609,Skills!$A:$C,2,FALSE())&amp;" "&amp;VLOOKUP($A609,Skills!$A:$C,3,FALSE()),"Stelvale Valebrook"))</f>
        <v/>
      </c>
      <c r="C609" s="184" t="n">
        <f aca="false">IFERROR(VLOOKUP(A609,Skills!$A:$D,4,FALSE()),"")</f>
        <v>0</v>
      </c>
      <c r="F609" s="186" t="str">
        <f aca="false">IF(OR(E609="",G609=""),"",WORKDAY(E609-1,G609))</f>
        <v/>
      </c>
      <c r="J609" s="0" t="str">
        <f aca="false">IF($A609="","",IF(COUNTIF(Skills!$A:$A,$A609)=0,"⚠ ID absent du roster",""))</f>
        <v/>
      </c>
    </row>
    <row r="610" customFormat="false" ht="15" hidden="true" customHeight="true" outlineLevel="0" collapsed="false">
      <c r="B610" s="183" t="str">
        <f aca="false">IF($A610="","",IFERROR(VLOOKUP($A610,Skills!$A:$C,2,FALSE())&amp;" "&amp;VLOOKUP($A610,Skills!$A:$C,3,FALSE()),"Stelvale Valebrook"))</f>
        <v/>
      </c>
      <c r="C610" s="184" t="n">
        <f aca="false">IFERROR(VLOOKUP(A610,Skills!$A:$D,4,FALSE()),"")</f>
        <v>0</v>
      </c>
      <c r="F610" s="186" t="str">
        <f aca="false">IF(OR(E610="",G610=""),"",WORKDAY(E610-1,G610))</f>
        <v/>
      </c>
      <c r="J610" s="0" t="str">
        <f aca="false">IF($A610="","",IF(COUNTIF(Skills!$A:$A,$A610)=0,"⚠ ID absent du roster",""))</f>
        <v/>
      </c>
    </row>
    <row r="611" customFormat="false" ht="15" hidden="true" customHeight="true" outlineLevel="0" collapsed="false">
      <c r="B611" s="183" t="str">
        <f aca="false">IF($A611="","",IFERROR(VLOOKUP($A611,Skills!$A:$C,2,FALSE())&amp;" "&amp;VLOOKUP($A611,Skills!$A:$C,3,FALSE()),"Stelvale Valebrook"))</f>
        <v/>
      </c>
      <c r="C611" s="184" t="n">
        <f aca="false">IFERROR(VLOOKUP(A611,Skills!$A:$D,4,FALSE()),"")</f>
        <v>0</v>
      </c>
      <c r="F611" s="186" t="str">
        <f aca="false">IF(OR(E611="",G611=""),"",WORKDAY(E611-1,G611))</f>
        <v/>
      </c>
      <c r="J611" s="0" t="str">
        <f aca="false">IF($A611="","",IF(COUNTIF(Skills!$A:$A,$A611)=0,"⚠ ID absent du roster",""))</f>
        <v/>
      </c>
    </row>
    <row r="612" customFormat="false" ht="15" hidden="true" customHeight="true" outlineLevel="0" collapsed="false">
      <c r="B612" s="183" t="str">
        <f aca="false">IF($A612="","",IFERROR(VLOOKUP($A612,Skills!$A:$C,2,FALSE())&amp;" "&amp;VLOOKUP($A612,Skills!$A:$C,3,FALSE()),"Stelvale Valebrook"))</f>
        <v/>
      </c>
      <c r="C612" s="184" t="n">
        <f aca="false">IFERROR(VLOOKUP(A612,Skills!$A:$D,4,FALSE()),"")</f>
        <v>0</v>
      </c>
      <c r="F612" s="186" t="str">
        <f aca="false">IF(OR(E612="",G612=""),"",WORKDAY(E612-1,G612))</f>
        <v/>
      </c>
      <c r="J612" s="0" t="str">
        <f aca="false">IF($A612="","",IF(COUNTIF(Skills!$A:$A,$A612)=0,"⚠ ID absent du roster",""))</f>
        <v/>
      </c>
    </row>
    <row r="613" customFormat="false" ht="15" hidden="true" customHeight="true" outlineLevel="0" collapsed="false">
      <c r="B613" s="183" t="str">
        <f aca="false">IF($A613="","",IFERROR(VLOOKUP($A613,Skills!$A:$C,2,FALSE())&amp;" "&amp;VLOOKUP($A613,Skills!$A:$C,3,FALSE()),"Stelvale Valebrook"))</f>
        <v/>
      </c>
      <c r="C613" s="184" t="n">
        <f aca="false">IFERROR(VLOOKUP(A613,Skills!$A:$D,4,FALSE()),"")</f>
        <v>0</v>
      </c>
      <c r="F613" s="186" t="str">
        <f aca="false">IF(OR(E613="",G613=""),"",WORKDAY(E613-1,G613))</f>
        <v/>
      </c>
      <c r="J613" s="0" t="str">
        <f aca="false">IF($A613="","",IF(COUNTIF(Skills!$A:$A,$A613)=0,"⚠ ID absent du roster",""))</f>
        <v/>
      </c>
    </row>
    <row r="614" customFormat="false" ht="15" hidden="true" customHeight="true" outlineLevel="0" collapsed="false">
      <c r="B614" s="183" t="str">
        <f aca="false">IF($A614="","",IFERROR(VLOOKUP($A614,Skills!$A:$C,2,FALSE())&amp;" "&amp;VLOOKUP($A614,Skills!$A:$C,3,FALSE()),"Stelvale Valebrook"))</f>
        <v/>
      </c>
      <c r="C614" s="184" t="n">
        <f aca="false">IFERROR(VLOOKUP(A614,Skills!$A:$D,4,FALSE()),"")</f>
        <v>0</v>
      </c>
      <c r="F614" s="186" t="str">
        <f aca="false">IF(OR(E614="",G614=""),"",WORKDAY(E614-1,G614))</f>
        <v/>
      </c>
      <c r="J614" s="0" t="str">
        <f aca="false">IF($A614="","",IF(COUNTIF(Skills!$A:$A,$A614)=0,"⚠ ID absent du roster",""))</f>
        <v/>
      </c>
    </row>
    <row r="615" customFormat="false" ht="15" hidden="true" customHeight="true" outlineLevel="0" collapsed="false">
      <c r="B615" s="183" t="str">
        <f aca="false">IF($A615="","",IFERROR(VLOOKUP($A615,Skills!$A:$C,2,FALSE())&amp;" "&amp;VLOOKUP($A615,Skills!$A:$C,3,FALSE()),"Stelvale Valebrook"))</f>
        <v/>
      </c>
      <c r="C615" s="184" t="n">
        <f aca="false">IFERROR(VLOOKUP(A615,Skills!$A:$D,4,FALSE()),"")</f>
        <v>0</v>
      </c>
      <c r="F615" s="186" t="str">
        <f aca="false">IF(OR(E615="",G615=""),"",WORKDAY(E615-1,G615))</f>
        <v/>
      </c>
      <c r="J615" s="0" t="str">
        <f aca="false">IF($A615="","",IF(COUNTIF(Skills!$A:$A,$A615)=0,"⚠ ID absent du roster",""))</f>
        <v/>
      </c>
    </row>
    <row r="616" customFormat="false" ht="15" hidden="true" customHeight="true" outlineLevel="0" collapsed="false">
      <c r="B616" s="183" t="str">
        <f aca="false">IF($A616="","",IFERROR(VLOOKUP($A616,Skills!$A:$C,2,FALSE())&amp;" "&amp;VLOOKUP($A616,Skills!$A:$C,3,FALSE()),"Stelvale Valebrook"))</f>
        <v/>
      </c>
      <c r="C616" s="184" t="n">
        <f aca="false">IFERROR(VLOOKUP(A616,Skills!$A:$D,4,FALSE()),"")</f>
        <v>0</v>
      </c>
      <c r="F616" s="186" t="str">
        <f aca="false">IF(OR(E616="",G616=""),"",WORKDAY(E616-1,G616))</f>
        <v/>
      </c>
      <c r="J616" s="0" t="str">
        <f aca="false">IF($A616="","",IF(COUNTIF(Skills!$A:$A,$A616)=0,"⚠ ID absent du roster",""))</f>
        <v/>
      </c>
    </row>
    <row r="617" customFormat="false" ht="15" hidden="true" customHeight="true" outlineLevel="0" collapsed="false">
      <c r="B617" s="183" t="str">
        <f aca="false">IF($A617="","",IFERROR(VLOOKUP($A617,Skills!$A:$C,2,FALSE())&amp;" "&amp;VLOOKUP($A617,Skills!$A:$C,3,FALSE()),"Stelvale Valebrook"))</f>
        <v/>
      </c>
      <c r="C617" s="184" t="n">
        <f aca="false">IFERROR(VLOOKUP(A617,Skills!$A:$D,4,FALSE()),"")</f>
        <v>0</v>
      </c>
      <c r="F617" s="186" t="str">
        <f aca="false">IF(OR(E617="",G617=""),"",WORKDAY(E617-1,G617))</f>
        <v/>
      </c>
      <c r="J617" s="0" t="str">
        <f aca="false">IF($A617="","",IF(COUNTIF(Skills!$A:$A,$A617)=0,"⚠ ID absent du roster",""))</f>
        <v/>
      </c>
    </row>
    <row r="618" customFormat="false" ht="15" hidden="true" customHeight="true" outlineLevel="0" collapsed="false">
      <c r="B618" s="183" t="str">
        <f aca="false">IF($A618="","",IFERROR(VLOOKUP($A618,Skills!$A:$C,2,FALSE())&amp;" "&amp;VLOOKUP($A618,Skills!$A:$C,3,FALSE()),"Stelvale Valebrook"))</f>
        <v/>
      </c>
      <c r="C618" s="184" t="n">
        <f aca="false">IFERROR(VLOOKUP(A618,Skills!$A:$D,4,FALSE()),"")</f>
        <v>0</v>
      </c>
      <c r="F618" s="186" t="str">
        <f aca="false">IF(OR(E618="",G618=""),"",WORKDAY(E618-1,G618))</f>
        <v/>
      </c>
      <c r="J618" s="0" t="str">
        <f aca="false">IF($A618="","",IF(COUNTIF(Skills!$A:$A,$A618)=0,"⚠ ID absent du roster",""))</f>
        <v/>
      </c>
    </row>
    <row r="619" customFormat="false" ht="15" hidden="true" customHeight="true" outlineLevel="0" collapsed="false">
      <c r="B619" s="183" t="str">
        <f aca="false">IF($A619="","",IFERROR(VLOOKUP($A619,Skills!$A:$C,2,FALSE())&amp;" "&amp;VLOOKUP($A619,Skills!$A:$C,3,FALSE()),"Stelvale Valebrook"))</f>
        <v/>
      </c>
      <c r="C619" s="184" t="n">
        <f aca="false">IFERROR(VLOOKUP(A619,Skills!$A:$D,4,FALSE()),"")</f>
        <v>0</v>
      </c>
      <c r="F619" s="186" t="str">
        <f aca="false">IF(OR(E619="",G619=""),"",WORKDAY(E619-1,G619))</f>
        <v/>
      </c>
      <c r="J619" s="0" t="str">
        <f aca="false">IF($A619="","",IF(COUNTIF(Skills!$A:$A,$A619)=0,"⚠ ID absent du roster",""))</f>
        <v/>
      </c>
    </row>
    <row r="620" customFormat="false" ht="15" hidden="true" customHeight="true" outlineLevel="0" collapsed="false">
      <c r="B620" s="183" t="str">
        <f aca="false">IF($A620="","",IFERROR(VLOOKUP($A620,Skills!$A:$C,2,FALSE())&amp;" "&amp;VLOOKUP($A620,Skills!$A:$C,3,FALSE()),"Stelvale Valebrook"))</f>
        <v/>
      </c>
      <c r="C620" s="184" t="n">
        <f aca="false">IFERROR(VLOOKUP(A620,Skills!$A:$D,4,FALSE()),"")</f>
        <v>0</v>
      </c>
      <c r="F620" s="186" t="str">
        <f aca="false">IF(OR(E620="",G620=""),"",WORKDAY(E620-1,G620))</f>
        <v/>
      </c>
      <c r="J620" s="0" t="str">
        <f aca="false">IF($A620="","",IF(COUNTIF(Skills!$A:$A,$A620)=0,"⚠ ID absent du roster",""))</f>
        <v/>
      </c>
    </row>
    <row r="621" customFormat="false" ht="15" hidden="true" customHeight="true" outlineLevel="0" collapsed="false">
      <c r="B621" s="183" t="str">
        <f aca="false">IF($A621="","",IFERROR(VLOOKUP($A621,Skills!$A:$C,2,FALSE())&amp;" "&amp;VLOOKUP($A621,Skills!$A:$C,3,FALSE()),"Stelvale Valebrook"))</f>
        <v/>
      </c>
      <c r="C621" s="184" t="n">
        <f aca="false">IFERROR(VLOOKUP(A621,Skills!$A:$D,4,FALSE()),"")</f>
        <v>0</v>
      </c>
      <c r="F621" s="186" t="str">
        <f aca="false">IF(OR(E621="",G621=""),"",WORKDAY(E621-1,G621))</f>
        <v/>
      </c>
      <c r="J621" s="0" t="str">
        <f aca="false">IF($A621="","",IF(COUNTIF(Skills!$A:$A,$A621)=0,"⚠ ID absent du roster",""))</f>
        <v/>
      </c>
    </row>
    <row r="622" customFormat="false" ht="15" hidden="true" customHeight="true" outlineLevel="0" collapsed="false">
      <c r="B622" s="183" t="str">
        <f aca="false">IF($A622="","",IFERROR(VLOOKUP($A622,Skills!$A:$C,2,FALSE())&amp;" "&amp;VLOOKUP($A622,Skills!$A:$C,3,FALSE()),"Stelvale Valebrook"))</f>
        <v/>
      </c>
      <c r="C622" s="184" t="n">
        <f aca="false">IFERROR(VLOOKUP(A622,Skills!$A:$D,4,FALSE()),"")</f>
        <v>0</v>
      </c>
      <c r="F622" s="186" t="str">
        <f aca="false">IF(OR(E622="",G622=""),"",WORKDAY(E622-1,G622))</f>
        <v/>
      </c>
      <c r="J622" s="0" t="str">
        <f aca="false">IF($A622="","",IF(COUNTIF(Skills!$A:$A,$A622)=0,"⚠ ID absent du roster",""))</f>
        <v/>
      </c>
    </row>
    <row r="623" customFormat="false" ht="15" hidden="true" customHeight="true" outlineLevel="0" collapsed="false">
      <c r="B623" s="183" t="str">
        <f aca="false">IF($A623="","",IFERROR(VLOOKUP($A623,Skills!$A:$C,2,FALSE())&amp;" "&amp;VLOOKUP($A623,Skills!$A:$C,3,FALSE()),"Stelvale Valebrook"))</f>
        <v/>
      </c>
      <c r="C623" s="184" t="n">
        <f aca="false">IFERROR(VLOOKUP(A623,Skills!$A:$D,4,FALSE()),"")</f>
        <v>0</v>
      </c>
      <c r="F623" s="186" t="str">
        <f aca="false">IF(OR(E623="",G623=""),"",WORKDAY(E623-1,G623))</f>
        <v/>
      </c>
      <c r="J623" s="0" t="str">
        <f aca="false">IF($A623="","",IF(COUNTIF(Skills!$A:$A,$A623)=0,"⚠ ID absent du roster",""))</f>
        <v/>
      </c>
    </row>
    <row r="624" customFormat="false" ht="15" hidden="true" customHeight="true" outlineLevel="0" collapsed="false">
      <c r="B624" s="183" t="str">
        <f aca="false">IF($A624="","",IFERROR(VLOOKUP($A624,Skills!$A:$C,2,FALSE())&amp;" "&amp;VLOOKUP($A624,Skills!$A:$C,3,FALSE()),"Stelvale Valebrook"))</f>
        <v/>
      </c>
      <c r="C624" s="184" t="n">
        <f aca="false">IFERROR(VLOOKUP(A624,Skills!$A:$D,4,FALSE()),"")</f>
        <v>0</v>
      </c>
      <c r="F624" s="186" t="str">
        <f aca="false">IF(OR(E624="",G624=""),"",WORKDAY(E624-1,G624))</f>
        <v/>
      </c>
      <c r="J624" s="0" t="str">
        <f aca="false">IF($A624="","",IF(COUNTIF(Skills!$A:$A,$A624)=0,"⚠ ID absent du roster",""))</f>
        <v/>
      </c>
    </row>
    <row r="625" customFormat="false" ht="15" hidden="true" customHeight="true" outlineLevel="0" collapsed="false">
      <c r="B625" s="183" t="str">
        <f aca="false">IF($A625="","",IFERROR(VLOOKUP($A625,Skills!$A:$C,2,FALSE())&amp;" "&amp;VLOOKUP($A625,Skills!$A:$C,3,FALSE()),"Stelvale Valebrook"))</f>
        <v/>
      </c>
      <c r="C625" s="184" t="n">
        <f aca="false">IFERROR(VLOOKUP(A625,Skills!$A:$D,4,FALSE()),"")</f>
        <v>0</v>
      </c>
      <c r="F625" s="186" t="str">
        <f aca="false">IF(OR(E625="",G625=""),"",WORKDAY(E625-1,G625))</f>
        <v/>
      </c>
      <c r="J625" s="0" t="str">
        <f aca="false">IF($A625="","",IF(COUNTIF(Skills!$A:$A,$A625)=0,"⚠ ID absent du roster",""))</f>
        <v/>
      </c>
    </row>
    <row r="626" customFormat="false" ht="15" hidden="true" customHeight="true" outlineLevel="0" collapsed="false">
      <c r="B626" s="183" t="str">
        <f aca="false">IF($A626="","",IFERROR(VLOOKUP($A626,Skills!$A:$C,2,FALSE())&amp;" "&amp;VLOOKUP($A626,Skills!$A:$C,3,FALSE()),"Stelvale Valebrook"))</f>
        <v/>
      </c>
      <c r="C626" s="184" t="n">
        <f aca="false">IFERROR(VLOOKUP(A626,Skills!$A:$D,4,FALSE()),"")</f>
        <v>0</v>
      </c>
      <c r="F626" s="186" t="str">
        <f aca="false">IF(OR(E626="",G626=""),"",WORKDAY(E626-1,G626))</f>
        <v/>
      </c>
      <c r="J626" s="0" t="str">
        <f aca="false">IF($A626="","",IF(COUNTIF(Skills!$A:$A,$A626)=0,"⚠ ID absent du roster",""))</f>
        <v/>
      </c>
    </row>
    <row r="627" customFormat="false" ht="15" hidden="true" customHeight="true" outlineLevel="0" collapsed="false">
      <c r="B627" s="183" t="str">
        <f aca="false">IF($A627="","",IFERROR(VLOOKUP($A627,Skills!$A:$C,2,FALSE())&amp;" "&amp;VLOOKUP($A627,Skills!$A:$C,3,FALSE()),"Stelvale Valebrook"))</f>
        <v/>
      </c>
      <c r="C627" s="184" t="n">
        <f aca="false">IFERROR(VLOOKUP(A627,Skills!$A:$D,4,FALSE()),"")</f>
        <v>0</v>
      </c>
      <c r="F627" s="186" t="str">
        <f aca="false">IF(OR(E627="",G627=""),"",WORKDAY(E627-1,G627))</f>
        <v/>
      </c>
      <c r="J627" s="0" t="str">
        <f aca="false">IF($A627="","",IF(COUNTIF(Skills!$A:$A,$A627)=0,"⚠ ID absent du roster",""))</f>
        <v/>
      </c>
    </row>
    <row r="628" customFormat="false" ht="15" hidden="true" customHeight="true" outlineLevel="0" collapsed="false">
      <c r="B628" s="183" t="str">
        <f aca="false">IF($A628="","",IFERROR(VLOOKUP($A628,Skills!$A:$C,2,FALSE())&amp;" "&amp;VLOOKUP($A628,Skills!$A:$C,3,FALSE()),"Stelvale Valebrook"))</f>
        <v/>
      </c>
      <c r="C628" s="184" t="n">
        <f aca="false">IFERROR(VLOOKUP(A628,Skills!$A:$D,4,FALSE()),"")</f>
        <v>0</v>
      </c>
      <c r="F628" s="186" t="str">
        <f aca="false">IF(OR(E628="",G628=""),"",WORKDAY(E628-1,G628))</f>
        <v/>
      </c>
      <c r="J628" s="0" t="str">
        <f aca="false">IF($A628="","",IF(COUNTIF(Skills!$A:$A,$A628)=0,"⚠ ID absent du roster",""))</f>
        <v/>
      </c>
    </row>
    <row r="629" customFormat="false" ht="15" hidden="true" customHeight="true" outlineLevel="0" collapsed="false">
      <c r="B629" s="183" t="str">
        <f aca="false">IF($A629="","",IFERROR(VLOOKUP($A629,Skills!$A:$C,2,FALSE())&amp;" "&amp;VLOOKUP($A629,Skills!$A:$C,3,FALSE()),"Stelvale Valebrook"))</f>
        <v/>
      </c>
      <c r="C629" s="184" t="n">
        <f aca="false">IFERROR(VLOOKUP(A629,Skills!$A:$D,4,FALSE()),"")</f>
        <v>0</v>
      </c>
      <c r="F629" s="186" t="str">
        <f aca="false">IF(OR(E629="",G629=""),"",WORKDAY(E629-1,G629))</f>
        <v/>
      </c>
      <c r="J629" s="0" t="str">
        <f aca="false">IF($A629="","",IF(COUNTIF(Skills!$A:$A,$A629)=0,"⚠ ID absent du roster",""))</f>
        <v/>
      </c>
    </row>
    <row r="630" customFormat="false" ht="15" hidden="true" customHeight="true" outlineLevel="0" collapsed="false">
      <c r="B630" s="183" t="str">
        <f aca="false">IF($A630="","",IFERROR(VLOOKUP($A630,Skills!$A:$C,2,FALSE())&amp;" "&amp;VLOOKUP($A630,Skills!$A:$C,3,FALSE()),"Stelvale Valebrook"))</f>
        <v/>
      </c>
      <c r="C630" s="184" t="n">
        <f aca="false">IFERROR(VLOOKUP(A630,Skills!$A:$D,4,FALSE()),"")</f>
        <v>0</v>
      </c>
      <c r="F630" s="186" t="str">
        <f aca="false">IF(OR(E630="",G630=""),"",WORKDAY(E630-1,G630))</f>
        <v/>
      </c>
      <c r="J630" s="0" t="str">
        <f aca="false">IF($A630="","",IF(COUNTIF(Skills!$A:$A,$A630)=0,"⚠ ID absent du roster",""))</f>
        <v/>
      </c>
    </row>
    <row r="631" customFormat="false" ht="15" hidden="true" customHeight="true" outlineLevel="0" collapsed="false">
      <c r="B631" s="183" t="str">
        <f aca="false">IF($A631="","",IFERROR(VLOOKUP($A631,Skills!$A:$C,2,FALSE())&amp;" "&amp;VLOOKUP($A631,Skills!$A:$C,3,FALSE()),"Stelvale Valebrook"))</f>
        <v/>
      </c>
      <c r="C631" s="184" t="n">
        <f aca="false">IFERROR(VLOOKUP(A631,Skills!$A:$D,4,FALSE()),"")</f>
        <v>0</v>
      </c>
      <c r="F631" s="186" t="str">
        <f aca="false">IF(OR(E631="",G631=""),"",WORKDAY(E631-1,G631))</f>
        <v/>
      </c>
      <c r="J631" s="0" t="str">
        <f aca="false">IF($A631="","",IF(COUNTIF(Skills!$A:$A,$A631)=0,"⚠ ID absent du roster",""))</f>
        <v/>
      </c>
    </row>
    <row r="632" customFormat="false" ht="15" hidden="true" customHeight="true" outlineLevel="0" collapsed="false">
      <c r="B632" s="183" t="str">
        <f aca="false">IF($A632="","",IFERROR(VLOOKUP($A632,Skills!$A:$C,2,FALSE())&amp;" "&amp;VLOOKUP($A632,Skills!$A:$C,3,FALSE()),"Stelvale Valebrook"))</f>
        <v/>
      </c>
      <c r="C632" s="184" t="n">
        <f aca="false">IFERROR(VLOOKUP(A632,Skills!$A:$D,4,FALSE()),"")</f>
        <v>0</v>
      </c>
      <c r="F632" s="186" t="str">
        <f aca="false">IF(OR(E632="",G632=""),"",WORKDAY(E632-1,G632))</f>
        <v/>
      </c>
      <c r="J632" s="0" t="str">
        <f aca="false">IF($A632="","",IF(COUNTIF(Skills!$A:$A,$A632)=0,"⚠ ID absent du roster",""))</f>
        <v/>
      </c>
    </row>
    <row r="633" customFormat="false" ht="15" hidden="true" customHeight="true" outlineLevel="0" collapsed="false">
      <c r="B633" s="183" t="str">
        <f aca="false">IF($A633="","",IFERROR(VLOOKUP($A633,Skills!$A:$C,2,FALSE())&amp;" "&amp;VLOOKUP($A633,Skills!$A:$C,3,FALSE()),"Stelvale Valebrook"))</f>
        <v/>
      </c>
      <c r="C633" s="184" t="n">
        <f aca="false">IFERROR(VLOOKUP(A633,Skills!$A:$D,4,FALSE()),"")</f>
        <v>0</v>
      </c>
      <c r="F633" s="186" t="str">
        <f aca="false">IF(OR(E633="",G633=""),"",WORKDAY(E633-1,G633))</f>
        <v/>
      </c>
      <c r="J633" s="0" t="str">
        <f aca="false">IF($A633="","",IF(COUNTIF(Skills!$A:$A,$A633)=0,"⚠ ID absent du roster",""))</f>
        <v/>
      </c>
    </row>
    <row r="634" customFormat="false" ht="15" hidden="true" customHeight="true" outlineLevel="0" collapsed="false">
      <c r="B634" s="183" t="str">
        <f aca="false">IF($A634="","",IFERROR(VLOOKUP($A634,Skills!$A:$C,2,FALSE())&amp;" "&amp;VLOOKUP($A634,Skills!$A:$C,3,FALSE()),"Stelvale Valebrook"))</f>
        <v/>
      </c>
      <c r="C634" s="184" t="n">
        <f aca="false">IFERROR(VLOOKUP(A634,Skills!$A:$D,4,FALSE()),"")</f>
        <v>0</v>
      </c>
      <c r="F634" s="186" t="str">
        <f aca="false">IF(OR(E634="",G634=""),"",WORKDAY(E634-1,G634))</f>
        <v/>
      </c>
      <c r="J634" s="0" t="str">
        <f aca="false">IF($A634="","",IF(COUNTIF(Skills!$A:$A,$A634)=0,"⚠ ID absent du roster",""))</f>
        <v/>
      </c>
    </row>
    <row r="635" customFormat="false" ht="15" hidden="true" customHeight="true" outlineLevel="0" collapsed="false">
      <c r="B635" s="183" t="str">
        <f aca="false">IF($A635="","",IFERROR(VLOOKUP($A635,Skills!$A:$C,2,FALSE())&amp;" "&amp;VLOOKUP($A635,Skills!$A:$C,3,FALSE()),"Stelvale Valebrook"))</f>
        <v/>
      </c>
      <c r="C635" s="184" t="n">
        <f aca="false">IFERROR(VLOOKUP(A635,Skills!$A:$D,4,FALSE()),"")</f>
        <v>0</v>
      </c>
      <c r="F635" s="186" t="str">
        <f aca="false">IF(OR(E635="",G635=""),"",WORKDAY(E635-1,G635))</f>
        <v/>
      </c>
      <c r="J635" s="0" t="str">
        <f aca="false">IF($A635="","",IF(COUNTIF(Skills!$A:$A,$A635)=0,"⚠ ID absent du roster",""))</f>
        <v/>
      </c>
    </row>
    <row r="636" customFormat="false" ht="15" hidden="true" customHeight="true" outlineLevel="0" collapsed="false">
      <c r="B636" s="183" t="str">
        <f aca="false">IF($A636="","",IFERROR(VLOOKUP($A636,Skills!$A:$C,2,FALSE())&amp;" "&amp;VLOOKUP($A636,Skills!$A:$C,3,FALSE()),"Stelvale Valebrook"))</f>
        <v/>
      </c>
      <c r="C636" s="184" t="n">
        <f aca="false">IFERROR(VLOOKUP(A636,Skills!$A:$D,4,FALSE()),"")</f>
        <v>0</v>
      </c>
      <c r="F636" s="186" t="str">
        <f aca="false">IF(OR(E636="",G636=""),"",WORKDAY(E636-1,G636))</f>
        <v/>
      </c>
      <c r="J636" s="0" t="str">
        <f aca="false">IF($A636="","",IF(COUNTIF(Skills!$A:$A,$A636)=0,"⚠ ID absent du roster",""))</f>
        <v/>
      </c>
    </row>
    <row r="637" customFormat="false" ht="15" hidden="true" customHeight="true" outlineLevel="0" collapsed="false">
      <c r="B637" s="183" t="str">
        <f aca="false">IF($A637="","",IFERROR(VLOOKUP($A637,Skills!$A:$C,2,FALSE())&amp;" "&amp;VLOOKUP($A637,Skills!$A:$C,3,FALSE()),"Stelvale Valebrook"))</f>
        <v/>
      </c>
      <c r="C637" s="184" t="n">
        <f aca="false">IFERROR(VLOOKUP(A637,Skills!$A:$D,4,FALSE()),"")</f>
        <v>0</v>
      </c>
      <c r="F637" s="186" t="str">
        <f aca="false">IF(OR(E637="",G637=""),"",WORKDAY(E637-1,G637))</f>
        <v/>
      </c>
      <c r="J637" s="0" t="str">
        <f aca="false">IF($A637="","",IF(COUNTIF(Skills!$A:$A,$A637)=0,"⚠ ID absent du roster",""))</f>
        <v/>
      </c>
    </row>
    <row r="638" customFormat="false" ht="15" hidden="true" customHeight="true" outlineLevel="0" collapsed="false">
      <c r="B638" s="183" t="str">
        <f aca="false">IF($A638="","",IFERROR(VLOOKUP($A638,Skills!$A:$C,2,FALSE())&amp;" "&amp;VLOOKUP($A638,Skills!$A:$C,3,FALSE()),"Stelvale Valebrook"))</f>
        <v/>
      </c>
      <c r="C638" s="184" t="n">
        <f aca="false">IFERROR(VLOOKUP(A638,Skills!$A:$D,4,FALSE()),"")</f>
        <v>0</v>
      </c>
      <c r="F638" s="186" t="str">
        <f aca="false">IF(OR(E638="",G638=""),"",WORKDAY(E638-1,G638))</f>
        <v/>
      </c>
      <c r="J638" s="0" t="str">
        <f aca="false">IF($A638="","",IF(COUNTIF(Skills!$A:$A,$A638)=0,"⚠ ID absent du roster",""))</f>
        <v/>
      </c>
    </row>
    <row r="639" customFormat="false" ht="15" hidden="true" customHeight="true" outlineLevel="0" collapsed="false">
      <c r="B639" s="183" t="str">
        <f aca="false">IF($A639="","",IFERROR(VLOOKUP($A639,Skills!$A:$C,2,FALSE())&amp;" "&amp;VLOOKUP($A639,Skills!$A:$C,3,FALSE()),"Stelvale Valebrook"))</f>
        <v/>
      </c>
      <c r="C639" s="184" t="n">
        <f aca="false">IFERROR(VLOOKUP(A639,Skills!$A:$D,4,FALSE()),"")</f>
        <v>0</v>
      </c>
      <c r="F639" s="186" t="str">
        <f aca="false">IF(OR(E639="",G639=""),"",WORKDAY(E639-1,G639))</f>
        <v/>
      </c>
      <c r="J639" s="0" t="str">
        <f aca="false">IF($A639="","",IF(COUNTIF(Skills!$A:$A,$A639)=0,"⚠ ID absent du roster",""))</f>
        <v/>
      </c>
    </row>
    <row r="640" customFormat="false" ht="15" hidden="true" customHeight="true" outlineLevel="0" collapsed="false">
      <c r="B640" s="183" t="str">
        <f aca="false">IF($A640="","",IFERROR(VLOOKUP($A640,Skills!$A:$C,2,FALSE())&amp;" "&amp;VLOOKUP($A640,Skills!$A:$C,3,FALSE()),"Stelvale Valebrook"))</f>
        <v/>
      </c>
      <c r="C640" s="184" t="n">
        <f aca="false">IFERROR(VLOOKUP(A640,Skills!$A:$D,4,FALSE()),"")</f>
        <v>0</v>
      </c>
      <c r="F640" s="186" t="str">
        <f aca="false">IF(OR(E640="",G640=""),"",WORKDAY(E640-1,G640))</f>
        <v/>
      </c>
      <c r="J640" s="0" t="str">
        <f aca="false">IF($A640="","",IF(COUNTIF(Skills!$A:$A,$A640)=0,"⚠ ID absent du roster",""))</f>
        <v/>
      </c>
    </row>
    <row r="641" customFormat="false" ht="15" hidden="true" customHeight="true" outlineLevel="0" collapsed="false">
      <c r="B641" s="183" t="str">
        <f aca="false">IF($A641="","",IFERROR(VLOOKUP($A641,Skills!$A:$C,2,FALSE())&amp;" "&amp;VLOOKUP($A641,Skills!$A:$C,3,FALSE()),"Stelvale Valebrook"))</f>
        <v/>
      </c>
      <c r="C641" s="184" t="n">
        <f aca="false">IFERROR(VLOOKUP(A641,Skills!$A:$D,4,FALSE()),"")</f>
        <v>0</v>
      </c>
      <c r="F641" s="186" t="str">
        <f aca="false">IF(OR(E641="",G641=""),"",WORKDAY(E641-1,G641))</f>
        <v/>
      </c>
      <c r="J641" s="0" t="str">
        <f aca="false">IF($A641="","",IF(COUNTIF(Skills!$A:$A,$A641)=0,"⚠ ID absent du roster",""))</f>
        <v/>
      </c>
    </row>
    <row r="642" customFormat="false" ht="15" hidden="true" customHeight="true" outlineLevel="0" collapsed="false">
      <c r="B642" s="183" t="str">
        <f aca="false">IF($A642="","",IFERROR(VLOOKUP($A642,Skills!$A:$C,2,FALSE())&amp;" "&amp;VLOOKUP($A642,Skills!$A:$C,3,FALSE()),"Stelvale Valebrook"))</f>
        <v/>
      </c>
      <c r="C642" s="184" t="n">
        <f aca="false">IFERROR(VLOOKUP(A642,Skills!$A:$D,4,FALSE()),"")</f>
        <v>0</v>
      </c>
      <c r="F642" s="186" t="str">
        <f aca="false">IF(OR(E642="",G642=""),"",WORKDAY(E642-1,G642))</f>
        <v/>
      </c>
      <c r="J642" s="0" t="str">
        <f aca="false">IF($A642="","",IF(COUNTIF(Skills!$A:$A,$A642)=0,"⚠ ID absent du roster",""))</f>
        <v/>
      </c>
    </row>
    <row r="643" customFormat="false" ht="15" hidden="true" customHeight="true" outlineLevel="0" collapsed="false">
      <c r="B643" s="183" t="str">
        <f aca="false">IF($A643="","",IFERROR(VLOOKUP($A643,Skills!$A:$C,2,FALSE())&amp;" "&amp;VLOOKUP($A643,Skills!$A:$C,3,FALSE()),"Stelvale Valebrook"))</f>
        <v/>
      </c>
      <c r="C643" s="184" t="n">
        <f aca="false">IFERROR(VLOOKUP(A643,Skills!$A:$D,4,FALSE()),"")</f>
        <v>0</v>
      </c>
      <c r="F643" s="186" t="str">
        <f aca="false">IF(OR(E643="",G643=""),"",WORKDAY(E643-1,G643))</f>
        <v/>
      </c>
      <c r="J643" s="0" t="str">
        <f aca="false">IF($A643="","",IF(COUNTIF(Skills!$A:$A,$A643)=0,"⚠ ID absent du roster",""))</f>
        <v/>
      </c>
    </row>
    <row r="644" customFormat="false" ht="15" hidden="true" customHeight="true" outlineLevel="0" collapsed="false">
      <c r="B644" s="183" t="str">
        <f aca="false">IF($A644="","",IFERROR(VLOOKUP($A644,Skills!$A:$C,2,FALSE())&amp;" "&amp;VLOOKUP($A644,Skills!$A:$C,3,FALSE()),"Stelvale Valebrook"))</f>
        <v/>
      </c>
      <c r="C644" s="184" t="n">
        <f aca="false">IFERROR(VLOOKUP(A644,Skills!$A:$D,4,FALSE()),"")</f>
        <v>0</v>
      </c>
      <c r="F644" s="186" t="str">
        <f aca="false">IF(OR(E644="",G644=""),"",WORKDAY(E644-1,G644))</f>
        <v/>
      </c>
      <c r="J644" s="0" t="str">
        <f aca="false">IF($A644="","",IF(COUNTIF(Skills!$A:$A,$A644)=0,"⚠ ID absent du roster",""))</f>
        <v/>
      </c>
    </row>
    <row r="645" customFormat="false" ht="15" hidden="true" customHeight="true" outlineLevel="0" collapsed="false">
      <c r="B645" s="183" t="str">
        <f aca="false">IF($A645="","",IFERROR(VLOOKUP($A645,Skills!$A:$C,2,FALSE())&amp;" "&amp;VLOOKUP($A645,Skills!$A:$C,3,FALSE()),"Stelvale Valebrook"))</f>
        <v/>
      </c>
      <c r="C645" s="184" t="n">
        <f aca="false">IFERROR(VLOOKUP(A645,Skills!$A:$D,4,FALSE()),"")</f>
        <v>0</v>
      </c>
      <c r="F645" s="186" t="str">
        <f aca="false">IF(OR(E645="",G645=""),"",WORKDAY(E645-1,G645))</f>
        <v/>
      </c>
      <c r="J645" s="0" t="str">
        <f aca="false">IF($A645="","",IF(COUNTIF(Skills!$A:$A,$A645)=0,"⚠ ID absent du roster",""))</f>
        <v/>
      </c>
    </row>
    <row r="646" customFormat="false" ht="15" hidden="true" customHeight="true" outlineLevel="0" collapsed="false">
      <c r="B646" s="183" t="str">
        <f aca="false">IF($A646="","",IFERROR(VLOOKUP($A646,Skills!$A:$C,2,FALSE())&amp;" "&amp;VLOOKUP($A646,Skills!$A:$C,3,FALSE()),"Stelvale Valebrook"))</f>
        <v/>
      </c>
      <c r="C646" s="184" t="n">
        <f aca="false">IFERROR(VLOOKUP(A646,Skills!$A:$D,4,FALSE()),"")</f>
        <v>0</v>
      </c>
      <c r="F646" s="186" t="str">
        <f aca="false">IF(OR(E646="",G646=""),"",WORKDAY(E646-1,G646))</f>
        <v/>
      </c>
      <c r="J646" s="0" t="str">
        <f aca="false">IF($A646="","",IF(COUNTIF(Skills!$A:$A,$A646)=0,"⚠ ID absent du roster",""))</f>
        <v/>
      </c>
    </row>
    <row r="647" customFormat="false" ht="15" hidden="true" customHeight="true" outlineLevel="0" collapsed="false">
      <c r="B647" s="183" t="str">
        <f aca="false">IF($A647="","",IFERROR(VLOOKUP($A647,Skills!$A:$C,2,FALSE())&amp;" "&amp;VLOOKUP($A647,Skills!$A:$C,3,FALSE()),"Stelvale Valebrook"))</f>
        <v/>
      </c>
      <c r="C647" s="184" t="n">
        <f aca="false">IFERROR(VLOOKUP(A647,Skills!$A:$D,4,FALSE()),"")</f>
        <v>0</v>
      </c>
      <c r="F647" s="186" t="str">
        <f aca="false">IF(OR(E647="",G647=""),"",WORKDAY(E647-1,G647))</f>
        <v/>
      </c>
      <c r="J647" s="0" t="str">
        <f aca="false">IF($A647="","",IF(COUNTIF(Skills!$A:$A,$A647)=0,"⚠ ID absent du roster",""))</f>
        <v/>
      </c>
    </row>
    <row r="648" customFormat="false" ht="15" hidden="true" customHeight="true" outlineLevel="0" collapsed="false">
      <c r="B648" s="183" t="str">
        <f aca="false">IF($A648="","",IFERROR(VLOOKUP($A648,Skills!$A:$C,2,FALSE())&amp;" "&amp;VLOOKUP($A648,Skills!$A:$C,3,FALSE()),"Stelvale Valebrook"))</f>
        <v/>
      </c>
      <c r="C648" s="184" t="n">
        <f aca="false">IFERROR(VLOOKUP(A648,Skills!$A:$D,4,FALSE()),"")</f>
        <v>0</v>
      </c>
      <c r="F648" s="186" t="str">
        <f aca="false">IF(OR(E648="",G648=""),"",WORKDAY(E648-1,G648))</f>
        <v/>
      </c>
      <c r="J648" s="0" t="str">
        <f aca="false">IF($A648="","",IF(COUNTIF(Skills!$A:$A,$A648)=0,"⚠ ID absent du roster",""))</f>
        <v/>
      </c>
    </row>
    <row r="649" customFormat="false" ht="15" hidden="true" customHeight="true" outlineLevel="0" collapsed="false">
      <c r="B649" s="183" t="str">
        <f aca="false">IF($A649="","",IFERROR(VLOOKUP($A649,Skills!$A:$C,2,FALSE())&amp;" "&amp;VLOOKUP($A649,Skills!$A:$C,3,FALSE()),"Stelvale Valebrook"))</f>
        <v/>
      </c>
      <c r="C649" s="184" t="n">
        <f aca="false">IFERROR(VLOOKUP(A649,Skills!$A:$D,4,FALSE()),"")</f>
        <v>0</v>
      </c>
      <c r="F649" s="186" t="str">
        <f aca="false">IF(OR(E649="",G649=""),"",WORKDAY(E649-1,G649))</f>
        <v/>
      </c>
      <c r="J649" s="0" t="str">
        <f aca="false">IF($A649="","",IF(COUNTIF(Skills!$A:$A,$A649)=0,"⚠ ID absent du roster",""))</f>
        <v/>
      </c>
    </row>
    <row r="650" customFormat="false" ht="15" hidden="true" customHeight="true" outlineLevel="0" collapsed="false">
      <c r="B650" s="183" t="str">
        <f aca="false">IF($A650="","",IFERROR(VLOOKUP($A650,Skills!$A:$C,2,FALSE())&amp;" "&amp;VLOOKUP($A650,Skills!$A:$C,3,FALSE()),"Stelvale Valebrook"))</f>
        <v/>
      </c>
      <c r="C650" s="184" t="n">
        <f aca="false">IFERROR(VLOOKUP(A650,Skills!$A:$D,4,FALSE()),"")</f>
        <v>0</v>
      </c>
      <c r="F650" s="186" t="str">
        <f aca="false">IF(OR(E650="",G650=""),"",WORKDAY(E650-1,G650))</f>
        <v/>
      </c>
      <c r="J650" s="0" t="str">
        <f aca="false">IF($A650="","",IF(COUNTIF(Skills!$A:$A,$A650)=0,"⚠ ID absent du roster",""))</f>
        <v/>
      </c>
    </row>
    <row r="651" customFormat="false" ht="15" hidden="true" customHeight="true" outlineLevel="0" collapsed="false">
      <c r="B651" s="183" t="str">
        <f aca="false">IF($A651="","",IFERROR(VLOOKUP($A651,Skills!$A:$C,2,FALSE())&amp;" "&amp;VLOOKUP($A651,Skills!$A:$C,3,FALSE()),"Stelvale Valebrook"))</f>
        <v/>
      </c>
      <c r="C651" s="184" t="n">
        <f aca="false">IFERROR(VLOOKUP(A651,Skills!$A:$D,4,FALSE()),"")</f>
        <v>0</v>
      </c>
      <c r="F651" s="186" t="str">
        <f aca="false">IF(OR(E651="",G651=""),"",WORKDAY(E651-1,G651))</f>
        <v/>
      </c>
      <c r="J651" s="0" t="str">
        <f aca="false">IF($A651="","",IF(COUNTIF(Skills!$A:$A,$A651)=0,"⚠ ID absent du roster",""))</f>
        <v/>
      </c>
    </row>
    <row r="652" customFormat="false" ht="15" hidden="true" customHeight="true" outlineLevel="0" collapsed="false">
      <c r="B652" s="183" t="str">
        <f aca="false">IF($A652="","",IFERROR(VLOOKUP($A652,Skills!$A:$C,2,FALSE())&amp;" "&amp;VLOOKUP($A652,Skills!$A:$C,3,FALSE()),"Stelvale Valebrook"))</f>
        <v/>
      </c>
      <c r="C652" s="184" t="n">
        <f aca="false">IFERROR(VLOOKUP(A652,Skills!$A:$D,4,FALSE()),"")</f>
        <v>0</v>
      </c>
      <c r="F652" s="186" t="str">
        <f aca="false">IF(OR(E652="",G652=""),"",WORKDAY(E652-1,G652))</f>
        <v/>
      </c>
      <c r="J652" s="0" t="str">
        <f aca="false">IF($A652="","",IF(COUNTIF(Skills!$A:$A,$A652)=0,"⚠ ID absent du roster",""))</f>
        <v/>
      </c>
    </row>
    <row r="653" customFormat="false" ht="15" hidden="true" customHeight="true" outlineLevel="0" collapsed="false">
      <c r="B653" s="183" t="str">
        <f aca="false">IF($A653="","",IFERROR(VLOOKUP($A653,Skills!$A:$C,2,FALSE())&amp;" "&amp;VLOOKUP($A653,Skills!$A:$C,3,FALSE()),"Stelvale Valebrook"))</f>
        <v/>
      </c>
      <c r="C653" s="184" t="n">
        <f aca="false">IFERROR(VLOOKUP(A653,Skills!$A:$D,4,FALSE()),"")</f>
        <v>0</v>
      </c>
      <c r="F653" s="186" t="str">
        <f aca="false">IF(OR(E653="",G653=""),"",WORKDAY(E653-1,G653))</f>
        <v/>
      </c>
      <c r="J653" s="0" t="str">
        <f aca="false">IF($A653="","",IF(COUNTIF(Skills!$A:$A,$A653)=0,"⚠ ID absent du roster",""))</f>
        <v/>
      </c>
    </row>
    <row r="654" customFormat="false" ht="15" hidden="true" customHeight="true" outlineLevel="0" collapsed="false">
      <c r="B654" s="183" t="str">
        <f aca="false">IF($A654="","",IFERROR(VLOOKUP($A654,Skills!$A:$C,2,FALSE())&amp;" "&amp;VLOOKUP($A654,Skills!$A:$C,3,FALSE()),"Stelvale Valebrook"))</f>
        <v/>
      </c>
      <c r="C654" s="184" t="n">
        <f aca="false">IFERROR(VLOOKUP(A654,Skills!$A:$D,4,FALSE()),"")</f>
        <v>0</v>
      </c>
      <c r="F654" s="186" t="str">
        <f aca="false">IF(OR(E654="",G654=""),"",WORKDAY(E654-1,G654))</f>
        <v/>
      </c>
      <c r="J654" s="0" t="str">
        <f aca="false">IF($A654="","",IF(COUNTIF(Skills!$A:$A,$A654)=0,"⚠ ID absent du roster",""))</f>
        <v/>
      </c>
    </row>
    <row r="655" customFormat="false" ht="15" hidden="true" customHeight="true" outlineLevel="0" collapsed="false">
      <c r="B655" s="183" t="str">
        <f aca="false">IF($A655="","",IFERROR(VLOOKUP($A655,Skills!$A:$C,2,FALSE())&amp;" "&amp;VLOOKUP($A655,Skills!$A:$C,3,FALSE()),"Stelvale Valebrook"))</f>
        <v/>
      </c>
      <c r="C655" s="184" t="n">
        <f aca="false">IFERROR(VLOOKUP(A655,Skills!$A:$D,4,FALSE()),"")</f>
        <v>0</v>
      </c>
      <c r="F655" s="186" t="str">
        <f aca="false">IF(OR(E655="",G655=""),"",WORKDAY(E655-1,G655))</f>
        <v/>
      </c>
      <c r="J655" s="0" t="str">
        <f aca="false">IF($A655="","",IF(COUNTIF(Skills!$A:$A,$A655)=0,"⚠ ID absent du roster",""))</f>
        <v/>
      </c>
    </row>
    <row r="656" customFormat="false" ht="15" hidden="true" customHeight="true" outlineLevel="0" collapsed="false">
      <c r="B656" s="183" t="str">
        <f aca="false">IF($A656="","",IFERROR(VLOOKUP($A656,Skills!$A:$C,2,FALSE())&amp;" "&amp;VLOOKUP($A656,Skills!$A:$C,3,FALSE()),"Stelvale Valebrook"))</f>
        <v/>
      </c>
      <c r="C656" s="184" t="n">
        <f aca="false">IFERROR(VLOOKUP(A656,Skills!$A:$D,4,FALSE()),"")</f>
        <v>0</v>
      </c>
      <c r="F656" s="186" t="str">
        <f aca="false">IF(OR(E656="",G656=""),"",WORKDAY(E656-1,G656))</f>
        <v/>
      </c>
      <c r="J656" s="0" t="str">
        <f aca="false">IF($A656="","",IF(COUNTIF(Skills!$A:$A,$A656)=0,"⚠ ID absent du roster",""))</f>
        <v/>
      </c>
    </row>
    <row r="657" customFormat="false" ht="15" hidden="true" customHeight="true" outlineLevel="0" collapsed="false">
      <c r="B657" s="183" t="str">
        <f aca="false">IF($A657="","",IFERROR(VLOOKUP($A657,Skills!$A:$C,2,FALSE())&amp;" "&amp;VLOOKUP($A657,Skills!$A:$C,3,FALSE()),"Stelvale Valebrook"))</f>
        <v/>
      </c>
      <c r="C657" s="184" t="n">
        <f aca="false">IFERROR(VLOOKUP(A657,Skills!$A:$D,4,FALSE()),"")</f>
        <v>0</v>
      </c>
      <c r="F657" s="186" t="str">
        <f aca="false">IF(OR(E657="",G657=""),"",WORKDAY(E657-1,G657))</f>
        <v/>
      </c>
      <c r="J657" s="0" t="str">
        <f aca="false">IF($A657="","",IF(COUNTIF(Skills!$A:$A,$A657)=0,"⚠ ID absent du roster",""))</f>
        <v/>
      </c>
    </row>
    <row r="658" customFormat="false" ht="15" hidden="true" customHeight="true" outlineLevel="0" collapsed="false">
      <c r="B658" s="183" t="str">
        <f aca="false">IF($A658="","",IFERROR(VLOOKUP($A658,Skills!$A:$C,2,FALSE())&amp;" "&amp;VLOOKUP($A658,Skills!$A:$C,3,FALSE()),"Stelvale Valebrook"))</f>
        <v/>
      </c>
      <c r="C658" s="184" t="n">
        <f aca="false">IFERROR(VLOOKUP(A658,Skills!$A:$D,4,FALSE()),"")</f>
        <v>0</v>
      </c>
      <c r="F658" s="186" t="str">
        <f aca="false">IF(OR(E658="",G658=""),"",WORKDAY(E658-1,G658))</f>
        <v/>
      </c>
      <c r="J658" s="0" t="str">
        <f aca="false">IF($A658="","",IF(COUNTIF(Skills!$A:$A,$A658)=0,"⚠ ID absent du roster",""))</f>
        <v/>
      </c>
    </row>
    <row r="659" customFormat="false" ht="15" hidden="true" customHeight="true" outlineLevel="0" collapsed="false">
      <c r="B659" s="183" t="str">
        <f aca="false">IF($A659="","",IFERROR(VLOOKUP($A659,Skills!$A:$C,2,FALSE())&amp;" "&amp;VLOOKUP($A659,Skills!$A:$C,3,FALSE()),"Stelvale Valebrook"))</f>
        <v/>
      </c>
      <c r="C659" s="184" t="n">
        <f aca="false">IFERROR(VLOOKUP(A659,Skills!$A:$D,4,FALSE()),"")</f>
        <v>0</v>
      </c>
      <c r="F659" s="186" t="str">
        <f aca="false">IF(OR(E659="",G659=""),"",WORKDAY(E659-1,G659))</f>
        <v/>
      </c>
      <c r="J659" s="0" t="str">
        <f aca="false">IF($A659="","",IF(COUNTIF(Skills!$A:$A,$A659)=0,"⚠ ID absent du roster",""))</f>
        <v/>
      </c>
    </row>
    <row r="660" customFormat="false" ht="15" hidden="true" customHeight="true" outlineLevel="0" collapsed="false">
      <c r="B660" s="183" t="str">
        <f aca="false">IF($A660="","",IFERROR(VLOOKUP($A660,Skills!$A:$C,2,FALSE())&amp;" "&amp;VLOOKUP($A660,Skills!$A:$C,3,FALSE()),"Stelvale Valebrook"))</f>
        <v/>
      </c>
      <c r="C660" s="184" t="n">
        <f aca="false">IFERROR(VLOOKUP(A660,Skills!$A:$D,4,FALSE()),"")</f>
        <v>0</v>
      </c>
      <c r="F660" s="186" t="str">
        <f aca="false">IF(OR(E660="",G660=""),"",WORKDAY(E660-1,G660))</f>
        <v/>
      </c>
      <c r="J660" s="0" t="str">
        <f aca="false">IF($A660="","",IF(COUNTIF(Skills!$A:$A,$A660)=0,"⚠ ID absent du roster",""))</f>
        <v/>
      </c>
    </row>
    <row r="661" customFormat="false" ht="15" hidden="true" customHeight="true" outlineLevel="0" collapsed="false">
      <c r="B661" s="183" t="str">
        <f aca="false">IF($A661="","",IFERROR(VLOOKUP($A661,Skills!$A:$C,2,FALSE())&amp;" "&amp;VLOOKUP($A661,Skills!$A:$C,3,FALSE()),"Stelvale Valebrook"))</f>
        <v/>
      </c>
      <c r="C661" s="184" t="n">
        <f aca="false">IFERROR(VLOOKUP(A661,Skills!$A:$D,4,FALSE()),"")</f>
        <v>0</v>
      </c>
      <c r="F661" s="186" t="str">
        <f aca="false">IF(OR(E661="",G661=""),"",WORKDAY(E661-1,G661))</f>
        <v/>
      </c>
      <c r="J661" s="0" t="str">
        <f aca="false">IF($A661="","",IF(COUNTIF(Skills!$A:$A,$A661)=0,"⚠ ID absent du roster",""))</f>
        <v/>
      </c>
    </row>
    <row r="662" customFormat="false" ht="15" hidden="true" customHeight="true" outlineLevel="0" collapsed="false">
      <c r="B662" s="183" t="str">
        <f aca="false">IF($A662="","",IFERROR(VLOOKUP($A662,Skills!$A:$C,2,FALSE())&amp;" "&amp;VLOOKUP($A662,Skills!$A:$C,3,FALSE()),"Stelvale Valebrook"))</f>
        <v/>
      </c>
      <c r="C662" s="184" t="n">
        <f aca="false">IFERROR(VLOOKUP(A662,Skills!$A:$D,4,FALSE()),"")</f>
        <v>0</v>
      </c>
      <c r="F662" s="186" t="str">
        <f aca="false">IF(OR(E662="",G662=""),"",WORKDAY(E662-1,G662))</f>
        <v/>
      </c>
      <c r="J662" s="0" t="str">
        <f aca="false">IF($A662="","",IF(COUNTIF(Skills!$A:$A,$A662)=0,"⚠ ID absent du roster",""))</f>
        <v/>
      </c>
    </row>
    <row r="663" customFormat="false" ht="15" hidden="true" customHeight="true" outlineLevel="0" collapsed="false">
      <c r="B663" s="183" t="str">
        <f aca="false">IF($A663="","",IFERROR(VLOOKUP($A663,Skills!$A:$C,2,FALSE())&amp;" "&amp;VLOOKUP($A663,Skills!$A:$C,3,FALSE()),"Stelvale Valebrook"))</f>
        <v/>
      </c>
      <c r="C663" s="184" t="n">
        <f aca="false">IFERROR(VLOOKUP(A663,Skills!$A:$D,4,FALSE()),"")</f>
        <v>0</v>
      </c>
      <c r="F663" s="186" t="str">
        <f aca="false">IF(OR(E663="",G663=""),"",WORKDAY(E663-1,G663))</f>
        <v/>
      </c>
      <c r="J663" s="0" t="str">
        <f aca="false">IF($A663="","",IF(COUNTIF(Skills!$A:$A,$A663)=0,"⚠ ID absent du roster",""))</f>
        <v/>
      </c>
    </row>
    <row r="664" customFormat="false" ht="15" hidden="true" customHeight="true" outlineLevel="0" collapsed="false">
      <c r="B664" s="183" t="str">
        <f aca="false">IF($A664="","",IFERROR(VLOOKUP($A664,Skills!$A:$C,2,FALSE())&amp;" "&amp;VLOOKUP($A664,Skills!$A:$C,3,FALSE()),"Stelvale Valebrook"))</f>
        <v/>
      </c>
      <c r="C664" s="184" t="n">
        <f aca="false">IFERROR(VLOOKUP(A664,Skills!$A:$D,4,FALSE()),"")</f>
        <v>0</v>
      </c>
      <c r="F664" s="186" t="str">
        <f aca="false">IF(OR(E664="",G664=""),"",WORKDAY(E664-1,G664))</f>
        <v/>
      </c>
      <c r="J664" s="0" t="str">
        <f aca="false">IF($A664="","",IF(COUNTIF(Skills!$A:$A,$A664)=0,"⚠ ID absent du roster",""))</f>
        <v/>
      </c>
    </row>
    <row r="665" customFormat="false" ht="15" hidden="true" customHeight="true" outlineLevel="0" collapsed="false">
      <c r="B665" s="183" t="str">
        <f aca="false">IF($A665="","",IFERROR(VLOOKUP($A665,Skills!$A:$C,2,FALSE())&amp;" "&amp;VLOOKUP($A665,Skills!$A:$C,3,FALSE()),"Stelvale Valebrook"))</f>
        <v/>
      </c>
      <c r="C665" s="184" t="n">
        <f aca="false">IFERROR(VLOOKUP(A665,Skills!$A:$D,4,FALSE()),"")</f>
        <v>0</v>
      </c>
      <c r="F665" s="186" t="str">
        <f aca="false">IF(OR(E665="",G665=""),"",WORKDAY(E665-1,G665))</f>
        <v/>
      </c>
      <c r="J665" s="0" t="str">
        <f aca="false">IF($A665="","",IF(COUNTIF(Skills!$A:$A,$A665)=0,"⚠ ID absent du roster",""))</f>
        <v/>
      </c>
    </row>
    <row r="666" customFormat="false" ht="15" hidden="true" customHeight="true" outlineLevel="0" collapsed="false">
      <c r="B666" s="183" t="str">
        <f aca="false">IF($A666="","",IFERROR(VLOOKUP($A666,Skills!$A:$C,2,FALSE())&amp;" "&amp;VLOOKUP($A666,Skills!$A:$C,3,FALSE()),"Stelvale Valebrook"))</f>
        <v/>
      </c>
      <c r="C666" s="184" t="n">
        <f aca="false">IFERROR(VLOOKUP(A666,Skills!$A:$D,4,FALSE()),"")</f>
        <v>0</v>
      </c>
      <c r="F666" s="186" t="str">
        <f aca="false">IF(OR(E666="",G666=""),"",WORKDAY(E666-1,G666))</f>
        <v/>
      </c>
      <c r="J666" s="0" t="str">
        <f aca="false">IF($A666="","",IF(COUNTIF(Skills!$A:$A,$A666)=0,"⚠ ID absent du roster",""))</f>
        <v/>
      </c>
    </row>
    <row r="667" customFormat="false" ht="15" hidden="true" customHeight="true" outlineLevel="0" collapsed="false">
      <c r="B667" s="183" t="str">
        <f aca="false">IF($A667="","",IFERROR(VLOOKUP($A667,Skills!$A:$C,2,FALSE())&amp;" "&amp;VLOOKUP($A667,Skills!$A:$C,3,FALSE()),"Stelvale Valebrook"))</f>
        <v/>
      </c>
      <c r="C667" s="184" t="n">
        <f aca="false">IFERROR(VLOOKUP(A667,Skills!$A:$D,4,FALSE()),"")</f>
        <v>0</v>
      </c>
      <c r="F667" s="186" t="str">
        <f aca="false">IF(OR(E667="",G667=""),"",WORKDAY(E667-1,G667))</f>
        <v/>
      </c>
      <c r="J667" s="0" t="str">
        <f aca="false">IF($A667="","",IF(COUNTIF(Skills!$A:$A,$A667)=0,"⚠ ID absent du roster",""))</f>
        <v/>
      </c>
    </row>
    <row r="668" customFormat="false" ht="15" hidden="true" customHeight="true" outlineLevel="0" collapsed="false">
      <c r="B668" s="183" t="str">
        <f aca="false">IF($A668="","",IFERROR(VLOOKUP($A668,Skills!$A:$C,2,FALSE())&amp;" "&amp;VLOOKUP($A668,Skills!$A:$C,3,FALSE()),"Stelvale Valebrook"))</f>
        <v/>
      </c>
      <c r="C668" s="184" t="n">
        <f aca="false">IFERROR(VLOOKUP(A668,Skills!$A:$D,4,FALSE()),"")</f>
        <v>0</v>
      </c>
      <c r="F668" s="186" t="str">
        <f aca="false">IF(OR(E668="",G668=""),"",WORKDAY(E668-1,G668))</f>
        <v/>
      </c>
      <c r="J668" s="0" t="str">
        <f aca="false">IF($A668="","",IF(COUNTIF(Skills!$A:$A,$A668)=0,"⚠ ID absent du roster",""))</f>
        <v/>
      </c>
    </row>
    <row r="669" customFormat="false" ht="15" hidden="true" customHeight="true" outlineLevel="0" collapsed="false">
      <c r="B669" s="183" t="str">
        <f aca="false">IF($A669="","",IFERROR(VLOOKUP($A669,Skills!$A:$C,2,FALSE())&amp;" "&amp;VLOOKUP($A669,Skills!$A:$C,3,FALSE()),"Stelvale Valebrook"))</f>
        <v/>
      </c>
      <c r="C669" s="184" t="n">
        <f aca="false">IFERROR(VLOOKUP(A669,Skills!$A:$D,4,FALSE()),"")</f>
        <v>0</v>
      </c>
      <c r="F669" s="186" t="str">
        <f aca="false">IF(OR(E669="",G669=""),"",WORKDAY(E669-1,G669))</f>
        <v/>
      </c>
      <c r="J669" s="0" t="str">
        <f aca="false">IF($A669="","",IF(COUNTIF(Skills!$A:$A,$A669)=0,"⚠ ID absent du roster",""))</f>
        <v/>
      </c>
    </row>
    <row r="670" customFormat="false" ht="15" hidden="true" customHeight="true" outlineLevel="0" collapsed="false">
      <c r="B670" s="183" t="str">
        <f aca="false">IF($A670="","",IFERROR(VLOOKUP($A670,Skills!$A:$C,2,FALSE())&amp;" "&amp;VLOOKUP($A670,Skills!$A:$C,3,FALSE()),"Stelvale Valebrook"))</f>
        <v/>
      </c>
      <c r="C670" s="184" t="n">
        <f aca="false">IFERROR(VLOOKUP(A670,Skills!$A:$D,4,FALSE()),"")</f>
        <v>0</v>
      </c>
      <c r="F670" s="186" t="str">
        <f aca="false">IF(OR(E670="",G670=""),"",WORKDAY(E670-1,G670))</f>
        <v/>
      </c>
      <c r="J670" s="0" t="str">
        <f aca="false">IF($A670="","",IF(COUNTIF(Skills!$A:$A,$A670)=0,"⚠ ID absent du roster",""))</f>
        <v/>
      </c>
    </row>
    <row r="671" customFormat="false" ht="15" hidden="true" customHeight="true" outlineLevel="0" collapsed="false">
      <c r="B671" s="183" t="str">
        <f aca="false">IF($A671="","",IFERROR(VLOOKUP($A671,Skills!$A:$C,2,FALSE())&amp;" "&amp;VLOOKUP($A671,Skills!$A:$C,3,FALSE()),"Stelvale Valebrook"))</f>
        <v/>
      </c>
      <c r="C671" s="184" t="n">
        <f aca="false">IFERROR(VLOOKUP(A671,Skills!$A:$D,4,FALSE()),"")</f>
        <v>0</v>
      </c>
      <c r="F671" s="186" t="str">
        <f aca="false">IF(OR(E671="",G671=""),"",WORKDAY(E671-1,G671))</f>
        <v/>
      </c>
      <c r="J671" s="0" t="str">
        <f aca="false">IF($A671="","",IF(COUNTIF(Skills!$A:$A,$A671)=0,"⚠ ID absent du roster",""))</f>
        <v/>
      </c>
    </row>
    <row r="672" customFormat="false" ht="15" hidden="true" customHeight="true" outlineLevel="0" collapsed="false">
      <c r="B672" s="183" t="str">
        <f aca="false">IF($A672="","",IFERROR(VLOOKUP($A672,Skills!$A:$C,2,FALSE())&amp;" "&amp;VLOOKUP($A672,Skills!$A:$C,3,FALSE()),"Stelvale Valebrook"))</f>
        <v/>
      </c>
      <c r="C672" s="184" t="n">
        <f aca="false">IFERROR(VLOOKUP(A672,Skills!$A:$D,4,FALSE()),"")</f>
        <v>0</v>
      </c>
      <c r="F672" s="186" t="str">
        <f aca="false">IF(OR(E672="",G672=""),"",WORKDAY(E672-1,G672))</f>
        <v/>
      </c>
      <c r="J672" s="0" t="str">
        <f aca="false">IF($A672="","",IF(COUNTIF(Skills!$A:$A,$A672)=0,"⚠ ID absent du roster",""))</f>
        <v/>
      </c>
    </row>
    <row r="673" customFormat="false" ht="15" hidden="true" customHeight="true" outlineLevel="0" collapsed="false">
      <c r="B673" s="183" t="str">
        <f aca="false">IF($A673="","",IFERROR(VLOOKUP($A673,Skills!$A:$C,2,FALSE())&amp;" "&amp;VLOOKUP($A673,Skills!$A:$C,3,FALSE()),"Stelvale Valebrook"))</f>
        <v/>
      </c>
      <c r="C673" s="184" t="n">
        <f aca="false">IFERROR(VLOOKUP(A673,Skills!$A:$D,4,FALSE()),"")</f>
        <v>0</v>
      </c>
      <c r="F673" s="186" t="str">
        <f aca="false">IF(OR(E673="",G673=""),"",WORKDAY(E673-1,G673))</f>
        <v/>
      </c>
      <c r="J673" s="0" t="str">
        <f aca="false">IF($A673="","",IF(COUNTIF(Skills!$A:$A,$A673)=0,"⚠ ID absent du roster",""))</f>
        <v/>
      </c>
    </row>
    <row r="674" customFormat="false" ht="15" hidden="true" customHeight="true" outlineLevel="0" collapsed="false">
      <c r="B674" s="183" t="str">
        <f aca="false">IF($A674="","",IFERROR(VLOOKUP($A674,Skills!$A:$C,2,FALSE())&amp;" "&amp;VLOOKUP($A674,Skills!$A:$C,3,FALSE()),"Stelvale Valebrook"))</f>
        <v/>
      </c>
      <c r="C674" s="184" t="n">
        <f aca="false">IFERROR(VLOOKUP(A674,Skills!$A:$D,4,FALSE()),"")</f>
        <v>0</v>
      </c>
      <c r="F674" s="186" t="str">
        <f aca="false">IF(OR(E674="",G674=""),"",WORKDAY(E674-1,G674))</f>
        <v/>
      </c>
      <c r="J674" s="0" t="str">
        <f aca="false">IF($A674="","",IF(COUNTIF(Skills!$A:$A,$A674)=0,"⚠ ID absent du roster",""))</f>
        <v/>
      </c>
    </row>
    <row r="675" customFormat="false" ht="15" hidden="true" customHeight="true" outlineLevel="0" collapsed="false">
      <c r="B675" s="183" t="str">
        <f aca="false">IF($A675="","",IFERROR(VLOOKUP($A675,Skills!$A:$C,2,FALSE())&amp;" "&amp;VLOOKUP($A675,Skills!$A:$C,3,FALSE()),"Stelvale Valebrook"))</f>
        <v/>
      </c>
      <c r="C675" s="184" t="n">
        <f aca="false">IFERROR(VLOOKUP(A675,Skills!$A:$D,4,FALSE()),"")</f>
        <v>0</v>
      </c>
      <c r="F675" s="186" t="str">
        <f aca="false">IF(OR(E675="",G675=""),"",WORKDAY(E675-1,G675))</f>
        <v/>
      </c>
      <c r="J675" s="0" t="str">
        <f aca="false">IF($A675="","",IF(COUNTIF(Skills!$A:$A,$A675)=0,"⚠ ID absent du roster",""))</f>
        <v/>
      </c>
    </row>
    <row r="676" customFormat="false" ht="15" hidden="true" customHeight="true" outlineLevel="0" collapsed="false">
      <c r="B676" s="183" t="str">
        <f aca="false">IF($A676="","",IFERROR(VLOOKUP($A676,Skills!$A:$C,2,FALSE())&amp;" "&amp;VLOOKUP($A676,Skills!$A:$C,3,FALSE()),"Stelvale Valebrook"))</f>
        <v/>
      </c>
      <c r="C676" s="184" t="n">
        <f aca="false">IFERROR(VLOOKUP(A676,Skills!$A:$D,4,FALSE()),"")</f>
        <v>0</v>
      </c>
      <c r="F676" s="186" t="str">
        <f aca="false">IF(OR(E676="",G676=""),"",WORKDAY(E676-1,G676))</f>
        <v/>
      </c>
      <c r="J676" s="0" t="str">
        <f aca="false">IF($A676="","",IF(COUNTIF(Skills!$A:$A,$A676)=0,"⚠ ID absent du roster",""))</f>
        <v/>
      </c>
    </row>
    <row r="677" customFormat="false" ht="15" hidden="true" customHeight="true" outlineLevel="0" collapsed="false">
      <c r="B677" s="183" t="str">
        <f aca="false">IF($A677="","",IFERROR(VLOOKUP($A677,Skills!$A:$C,2,FALSE())&amp;" "&amp;VLOOKUP($A677,Skills!$A:$C,3,FALSE()),"Stelvale Valebrook"))</f>
        <v/>
      </c>
      <c r="C677" s="184" t="n">
        <f aca="false">IFERROR(VLOOKUP(A677,Skills!$A:$D,4,FALSE()),"")</f>
        <v>0</v>
      </c>
      <c r="F677" s="186" t="str">
        <f aca="false">IF(OR(E677="",G677=""),"",WORKDAY(E677-1,G677))</f>
        <v/>
      </c>
      <c r="J677" s="0" t="str">
        <f aca="false">IF($A677="","",IF(COUNTIF(Skills!$A:$A,$A677)=0,"⚠ ID absent du roster",""))</f>
        <v/>
      </c>
    </row>
    <row r="678" customFormat="false" ht="15" hidden="true" customHeight="true" outlineLevel="0" collapsed="false">
      <c r="B678" s="183" t="str">
        <f aca="false">IF($A678="","",IFERROR(VLOOKUP($A678,Skills!$A:$C,2,FALSE())&amp;" "&amp;VLOOKUP($A678,Skills!$A:$C,3,FALSE()),"Stelvale Valebrook"))</f>
        <v/>
      </c>
      <c r="C678" s="184" t="n">
        <f aca="false">IFERROR(VLOOKUP(A678,Skills!$A:$D,4,FALSE()),"")</f>
        <v>0</v>
      </c>
      <c r="F678" s="186" t="str">
        <f aca="false">IF(OR(E678="",G678=""),"",WORKDAY(E678-1,G678))</f>
        <v/>
      </c>
      <c r="J678" s="0" t="str">
        <f aca="false">IF($A678="","",IF(COUNTIF(Skills!$A:$A,$A678)=0,"⚠ ID absent du roster",""))</f>
        <v/>
      </c>
    </row>
    <row r="679" customFormat="false" ht="15" hidden="true" customHeight="true" outlineLevel="0" collapsed="false">
      <c r="B679" s="183" t="str">
        <f aca="false">IF($A679="","",IFERROR(VLOOKUP($A679,Skills!$A:$C,2,FALSE())&amp;" "&amp;VLOOKUP($A679,Skills!$A:$C,3,FALSE()),"Stelvale Valebrook"))</f>
        <v/>
      </c>
      <c r="C679" s="184" t="n">
        <f aca="false">IFERROR(VLOOKUP(A679,Skills!$A:$D,4,FALSE()),"")</f>
        <v>0</v>
      </c>
      <c r="F679" s="186" t="str">
        <f aca="false">IF(OR(E679="",G679=""),"",WORKDAY(E679-1,G679))</f>
        <v/>
      </c>
      <c r="J679" s="0" t="str">
        <f aca="false">IF($A679="","",IF(COUNTIF(Skills!$A:$A,$A679)=0,"⚠ ID absent du roster",""))</f>
        <v/>
      </c>
    </row>
    <row r="680" customFormat="false" ht="15" hidden="true" customHeight="true" outlineLevel="0" collapsed="false">
      <c r="B680" s="183" t="str">
        <f aca="false">IF($A680="","",IFERROR(VLOOKUP($A680,Skills!$A:$C,2,FALSE())&amp;" "&amp;VLOOKUP($A680,Skills!$A:$C,3,FALSE()),"Stelvale Valebrook"))</f>
        <v/>
      </c>
      <c r="C680" s="184" t="n">
        <f aca="false">IFERROR(VLOOKUP(A680,Skills!$A:$D,4,FALSE()),"")</f>
        <v>0</v>
      </c>
      <c r="F680" s="186" t="str">
        <f aca="false">IF(OR(E680="",G680=""),"",WORKDAY(E680-1,G680))</f>
        <v/>
      </c>
      <c r="J680" s="0" t="str">
        <f aca="false">IF($A680="","",IF(COUNTIF(Skills!$A:$A,$A680)=0,"⚠ ID absent du roster",""))</f>
        <v/>
      </c>
    </row>
    <row r="681" customFormat="false" ht="15" hidden="true" customHeight="true" outlineLevel="0" collapsed="false">
      <c r="B681" s="183" t="str">
        <f aca="false">IF($A681="","",IFERROR(VLOOKUP($A681,Skills!$A:$C,2,FALSE())&amp;" "&amp;VLOOKUP($A681,Skills!$A:$C,3,FALSE()),"Stelvale Valebrook"))</f>
        <v/>
      </c>
      <c r="C681" s="184" t="n">
        <f aca="false">IFERROR(VLOOKUP(A681,Skills!$A:$D,4,FALSE()),"")</f>
        <v>0</v>
      </c>
      <c r="F681" s="186" t="str">
        <f aca="false">IF(OR(E681="",G681=""),"",WORKDAY(E681-1,G681))</f>
        <v/>
      </c>
      <c r="J681" s="0" t="str">
        <f aca="false">IF($A681="","",IF(COUNTIF(Skills!$A:$A,$A681)=0,"⚠ ID absent du roster",""))</f>
        <v/>
      </c>
    </row>
    <row r="682" customFormat="false" ht="15" hidden="true" customHeight="true" outlineLevel="0" collapsed="false">
      <c r="B682" s="183" t="str">
        <f aca="false">IF($A682="","",IFERROR(VLOOKUP($A682,Skills!$A:$C,2,FALSE())&amp;" "&amp;VLOOKUP($A682,Skills!$A:$C,3,FALSE()),"Stelvale Valebrook"))</f>
        <v/>
      </c>
      <c r="C682" s="184" t="n">
        <f aca="false">IFERROR(VLOOKUP(A682,Skills!$A:$D,4,FALSE()),"")</f>
        <v>0</v>
      </c>
      <c r="F682" s="186" t="str">
        <f aca="false">IF(OR(E682="",G682=""),"",WORKDAY(E682-1,G682))</f>
        <v/>
      </c>
      <c r="J682" s="0" t="str">
        <f aca="false">IF($A682="","",IF(COUNTIF(Skills!$A:$A,$A682)=0,"⚠ ID absent du roster",""))</f>
        <v/>
      </c>
    </row>
    <row r="683" customFormat="false" ht="15" hidden="true" customHeight="true" outlineLevel="0" collapsed="false">
      <c r="B683" s="183" t="str">
        <f aca="false">IF($A683="","",IFERROR(VLOOKUP($A683,Skills!$A:$C,2,FALSE())&amp;" "&amp;VLOOKUP($A683,Skills!$A:$C,3,FALSE()),"Stelvale Valebrook"))</f>
        <v/>
      </c>
      <c r="C683" s="184" t="n">
        <f aca="false">IFERROR(VLOOKUP(A683,Skills!$A:$D,4,FALSE()),"")</f>
        <v>0</v>
      </c>
      <c r="F683" s="186" t="str">
        <f aca="false">IF(OR(E683="",G683=""),"",WORKDAY(E683-1,G683))</f>
        <v/>
      </c>
      <c r="J683" s="0" t="str">
        <f aca="false">IF($A683="","",IF(COUNTIF(Skills!$A:$A,$A683)=0,"⚠ ID absent du roster",""))</f>
        <v/>
      </c>
    </row>
    <row r="684" customFormat="false" ht="15" hidden="true" customHeight="true" outlineLevel="0" collapsed="false">
      <c r="B684" s="183" t="str">
        <f aca="false">IF($A684="","",IFERROR(VLOOKUP($A684,Skills!$A:$C,2,FALSE())&amp;" "&amp;VLOOKUP($A684,Skills!$A:$C,3,FALSE()),"Stelvale Valebrook"))</f>
        <v/>
      </c>
      <c r="C684" s="184" t="n">
        <f aca="false">IFERROR(VLOOKUP(A684,Skills!$A:$D,4,FALSE()),"")</f>
        <v>0</v>
      </c>
      <c r="F684" s="186" t="str">
        <f aca="false">IF(OR(E684="",G684=""),"",WORKDAY(E684-1,G684))</f>
        <v/>
      </c>
      <c r="J684" s="0" t="str">
        <f aca="false">IF($A684="","",IF(COUNTIF(Skills!$A:$A,$A684)=0,"⚠ ID absent du roster",""))</f>
        <v/>
      </c>
    </row>
    <row r="685" customFormat="false" ht="15" hidden="true" customHeight="true" outlineLevel="0" collapsed="false">
      <c r="B685" s="183" t="str">
        <f aca="false">IF($A685="","",IFERROR(VLOOKUP($A685,Skills!$A:$C,2,FALSE())&amp;" "&amp;VLOOKUP($A685,Skills!$A:$C,3,FALSE()),"Stelvale Valebrook"))</f>
        <v/>
      </c>
      <c r="C685" s="184" t="n">
        <f aca="false">IFERROR(VLOOKUP(A685,Skills!$A:$D,4,FALSE()),"")</f>
        <v>0</v>
      </c>
      <c r="F685" s="186" t="str">
        <f aca="false">IF(OR(E685="",G685=""),"",WORKDAY(E685-1,G685))</f>
        <v/>
      </c>
      <c r="J685" s="0" t="str">
        <f aca="false">IF($A685="","",IF(COUNTIF(Skills!$A:$A,$A685)=0,"⚠ ID absent du roster",""))</f>
        <v/>
      </c>
    </row>
    <row r="686" customFormat="false" ht="15" hidden="true" customHeight="true" outlineLevel="0" collapsed="false">
      <c r="B686" s="183" t="str">
        <f aca="false">IF($A686="","",IFERROR(VLOOKUP($A686,Skills!$A:$C,2,FALSE())&amp;" "&amp;VLOOKUP($A686,Skills!$A:$C,3,FALSE()),"Stelvale Valebrook"))</f>
        <v/>
      </c>
      <c r="C686" s="184" t="n">
        <f aca="false">IFERROR(VLOOKUP(A686,Skills!$A:$D,4,FALSE()),"")</f>
        <v>0</v>
      </c>
      <c r="F686" s="186" t="str">
        <f aca="false">IF(OR(E686="",G686=""),"",WORKDAY(E686-1,G686))</f>
        <v/>
      </c>
      <c r="J686" s="0" t="str">
        <f aca="false">IF($A686="","",IF(COUNTIF(Skills!$A:$A,$A686)=0,"⚠ ID absent du roster",""))</f>
        <v/>
      </c>
    </row>
    <row r="687" customFormat="false" ht="15" hidden="true" customHeight="true" outlineLevel="0" collapsed="false">
      <c r="B687" s="183" t="str">
        <f aca="false">IF($A687="","",IFERROR(VLOOKUP($A687,Skills!$A:$C,2,FALSE())&amp;" "&amp;VLOOKUP($A687,Skills!$A:$C,3,FALSE()),"Stelvale Valebrook"))</f>
        <v/>
      </c>
      <c r="C687" s="184" t="n">
        <f aca="false">IFERROR(VLOOKUP(A687,Skills!$A:$D,4,FALSE()),"")</f>
        <v>0</v>
      </c>
      <c r="F687" s="186" t="str">
        <f aca="false">IF(OR(E687="",G687=""),"",WORKDAY(E687-1,G687))</f>
        <v/>
      </c>
      <c r="J687" s="0" t="str">
        <f aca="false">IF($A687="","",IF(COUNTIF(Skills!$A:$A,$A687)=0,"⚠ ID absent du roster",""))</f>
        <v/>
      </c>
    </row>
    <row r="688" customFormat="false" ht="15" hidden="true" customHeight="true" outlineLevel="0" collapsed="false">
      <c r="B688" s="183" t="str">
        <f aca="false">IF($A688="","",IFERROR(VLOOKUP($A688,Skills!$A:$C,2,FALSE())&amp;" "&amp;VLOOKUP($A688,Skills!$A:$C,3,FALSE()),"Stelvale Valebrook"))</f>
        <v/>
      </c>
      <c r="C688" s="184" t="n">
        <f aca="false">IFERROR(VLOOKUP(A688,Skills!$A:$D,4,FALSE()),"")</f>
        <v>0</v>
      </c>
      <c r="F688" s="186" t="str">
        <f aca="false">IF(OR(E688="",G688=""),"",WORKDAY(E688-1,G688))</f>
        <v/>
      </c>
      <c r="J688" s="0" t="str">
        <f aca="false">IF($A688="","",IF(COUNTIF(Skills!$A:$A,$A688)=0,"⚠ ID absent du roster",""))</f>
        <v/>
      </c>
    </row>
    <row r="689" customFormat="false" ht="15" hidden="true" customHeight="true" outlineLevel="0" collapsed="false">
      <c r="B689" s="183" t="str">
        <f aca="false">IF($A689="","",IFERROR(VLOOKUP($A689,Skills!$A:$C,2,FALSE())&amp;" "&amp;VLOOKUP($A689,Skills!$A:$C,3,FALSE()),"Stelvale Valebrook"))</f>
        <v/>
      </c>
      <c r="C689" s="184" t="n">
        <f aca="false">IFERROR(VLOOKUP(A689,Skills!$A:$D,4,FALSE()),"")</f>
        <v>0</v>
      </c>
      <c r="F689" s="186" t="str">
        <f aca="false">IF(OR(E689="",G689=""),"",WORKDAY(E689-1,G689))</f>
        <v/>
      </c>
      <c r="J689" s="0" t="str">
        <f aca="false">IF($A689="","",IF(COUNTIF(Skills!$A:$A,$A689)=0,"⚠ ID absent du roster",""))</f>
        <v/>
      </c>
    </row>
    <row r="690" customFormat="false" ht="15" hidden="true" customHeight="true" outlineLevel="0" collapsed="false">
      <c r="B690" s="183" t="str">
        <f aca="false">IF($A690="","",IFERROR(VLOOKUP($A690,Skills!$A:$C,2,FALSE())&amp;" "&amp;VLOOKUP($A690,Skills!$A:$C,3,FALSE()),"Stelvale Valebrook"))</f>
        <v/>
      </c>
      <c r="C690" s="184" t="n">
        <f aca="false">IFERROR(VLOOKUP(A690,Skills!$A:$D,4,FALSE()),"")</f>
        <v>0</v>
      </c>
      <c r="F690" s="186" t="str">
        <f aca="false">IF(OR(E690="",G690=""),"",WORKDAY(E690-1,G690))</f>
        <v/>
      </c>
      <c r="J690" s="0" t="str">
        <f aca="false">IF($A690="","",IF(COUNTIF(Skills!$A:$A,$A690)=0,"⚠ ID absent du roster",""))</f>
        <v/>
      </c>
    </row>
    <row r="691" customFormat="false" ht="15" hidden="true" customHeight="true" outlineLevel="0" collapsed="false">
      <c r="B691" s="183" t="str">
        <f aca="false">IF($A691="","",IFERROR(VLOOKUP($A691,Skills!$A:$C,2,FALSE())&amp;" "&amp;VLOOKUP($A691,Skills!$A:$C,3,FALSE()),"Stelvale Valebrook"))</f>
        <v/>
      </c>
      <c r="C691" s="184" t="n">
        <f aca="false">IFERROR(VLOOKUP(A691,Skills!$A:$D,4,FALSE()),"")</f>
        <v>0</v>
      </c>
      <c r="F691" s="186" t="str">
        <f aca="false">IF(OR(E691="",G691=""),"",WORKDAY(E691-1,G691))</f>
        <v/>
      </c>
      <c r="J691" s="0" t="str">
        <f aca="false">IF($A691="","",IF(COUNTIF(Skills!$A:$A,$A691)=0,"⚠ ID absent du roster",""))</f>
        <v/>
      </c>
    </row>
    <row r="692" customFormat="false" ht="15" hidden="true" customHeight="true" outlineLevel="0" collapsed="false">
      <c r="B692" s="183" t="str">
        <f aca="false">IF($A692="","",IFERROR(VLOOKUP($A692,Skills!$A:$C,2,FALSE())&amp;" "&amp;VLOOKUP($A692,Skills!$A:$C,3,FALSE()),"Stelvale Valebrook"))</f>
        <v/>
      </c>
      <c r="C692" s="184" t="n">
        <f aca="false">IFERROR(VLOOKUP(A692,Skills!$A:$D,4,FALSE()),"")</f>
        <v>0</v>
      </c>
      <c r="F692" s="186" t="str">
        <f aca="false">IF(OR(E692="",G692=""),"",WORKDAY(E692-1,G692))</f>
        <v/>
      </c>
      <c r="J692" s="0" t="str">
        <f aca="false">IF($A692="","",IF(COUNTIF(Skills!$A:$A,$A692)=0,"⚠ ID absent du roster",""))</f>
        <v/>
      </c>
    </row>
    <row r="693" customFormat="false" ht="15" hidden="true" customHeight="true" outlineLevel="0" collapsed="false">
      <c r="B693" s="183" t="str">
        <f aca="false">IF($A693="","",IFERROR(VLOOKUP($A693,Skills!$A:$C,2,FALSE())&amp;" "&amp;VLOOKUP($A693,Skills!$A:$C,3,FALSE()),"Stelvale Valebrook"))</f>
        <v/>
      </c>
      <c r="C693" s="184" t="n">
        <f aca="false">IFERROR(VLOOKUP(A693,Skills!$A:$D,4,FALSE()),"")</f>
        <v>0</v>
      </c>
      <c r="F693" s="186" t="str">
        <f aca="false">IF(OR(E693="",G693=""),"",WORKDAY(E693-1,G693))</f>
        <v/>
      </c>
      <c r="J693" s="0" t="str">
        <f aca="false">IF($A693="","",IF(COUNTIF(Skills!$A:$A,$A693)=0,"⚠ ID absent du roster",""))</f>
        <v/>
      </c>
    </row>
    <row r="694" customFormat="false" ht="15" hidden="true" customHeight="true" outlineLevel="0" collapsed="false">
      <c r="B694" s="183" t="str">
        <f aca="false">IF($A694="","",IFERROR(VLOOKUP($A694,Skills!$A:$C,2,FALSE())&amp;" "&amp;VLOOKUP($A694,Skills!$A:$C,3,FALSE()),"Stelvale Valebrook"))</f>
        <v/>
      </c>
      <c r="C694" s="184" t="n">
        <f aca="false">IFERROR(VLOOKUP(A694,Skills!$A:$D,4,FALSE()),"")</f>
        <v>0</v>
      </c>
      <c r="F694" s="186" t="str">
        <f aca="false">IF(OR(E694="",G694=""),"",WORKDAY(E694-1,G694))</f>
        <v/>
      </c>
      <c r="J694" s="0" t="str">
        <f aca="false">IF($A694="","",IF(COUNTIF(Skills!$A:$A,$A694)=0,"⚠ ID absent du roster",""))</f>
        <v/>
      </c>
    </row>
    <row r="695" customFormat="false" ht="15" hidden="true" customHeight="true" outlineLevel="0" collapsed="false">
      <c r="B695" s="183" t="str">
        <f aca="false">IF($A695="","",IFERROR(VLOOKUP($A695,Skills!$A:$C,2,FALSE())&amp;" "&amp;VLOOKUP($A695,Skills!$A:$C,3,FALSE()),"Stelvale Valebrook"))</f>
        <v/>
      </c>
      <c r="C695" s="184" t="n">
        <f aca="false">IFERROR(VLOOKUP(A695,Skills!$A:$D,4,FALSE()),"")</f>
        <v>0</v>
      </c>
      <c r="F695" s="186" t="str">
        <f aca="false">IF(OR(E695="",G695=""),"",WORKDAY(E695-1,G695))</f>
        <v/>
      </c>
      <c r="J695" s="0" t="str">
        <f aca="false">IF($A695="","",IF(COUNTIF(Skills!$A:$A,$A695)=0,"⚠ ID absent du roster",""))</f>
        <v/>
      </c>
    </row>
    <row r="696" customFormat="false" ht="15" hidden="true" customHeight="true" outlineLevel="0" collapsed="false">
      <c r="B696" s="183" t="str">
        <f aca="false">IF($A696="","",IFERROR(VLOOKUP($A696,Skills!$A:$C,2,FALSE())&amp;" "&amp;VLOOKUP($A696,Skills!$A:$C,3,FALSE()),"Stelvale Valebrook"))</f>
        <v/>
      </c>
      <c r="C696" s="184" t="n">
        <f aca="false">IFERROR(VLOOKUP(A696,Skills!$A:$D,4,FALSE()),"")</f>
        <v>0</v>
      </c>
      <c r="F696" s="186" t="str">
        <f aca="false">IF(OR(E696="",G696=""),"",WORKDAY(E696-1,G696))</f>
        <v/>
      </c>
      <c r="J696" s="0" t="str">
        <f aca="false">IF($A696="","",IF(COUNTIF(Skills!$A:$A,$A696)=0,"⚠ ID absent du roster",""))</f>
        <v/>
      </c>
    </row>
    <row r="697" customFormat="false" ht="15" hidden="true" customHeight="true" outlineLevel="0" collapsed="false">
      <c r="B697" s="183" t="str">
        <f aca="false">IF($A697="","",IFERROR(VLOOKUP($A697,Skills!$A:$C,2,FALSE())&amp;" "&amp;VLOOKUP($A697,Skills!$A:$C,3,FALSE()),"Stelvale Valebrook"))</f>
        <v/>
      </c>
      <c r="C697" s="184" t="n">
        <f aca="false">IFERROR(VLOOKUP(A697,Skills!$A:$D,4,FALSE()),"")</f>
        <v>0</v>
      </c>
      <c r="F697" s="186" t="str">
        <f aca="false">IF(OR(E697="",G697=""),"",WORKDAY(E697-1,G697))</f>
        <v/>
      </c>
      <c r="J697" s="0" t="str">
        <f aca="false">IF($A697="","",IF(COUNTIF(Skills!$A:$A,$A697)=0,"⚠ ID absent du roster",""))</f>
        <v/>
      </c>
    </row>
    <row r="698" customFormat="false" ht="15" hidden="true" customHeight="true" outlineLevel="0" collapsed="false">
      <c r="B698" s="183" t="str">
        <f aca="false">IF($A698="","",IFERROR(VLOOKUP($A698,Skills!$A:$C,2,FALSE())&amp;" "&amp;VLOOKUP($A698,Skills!$A:$C,3,FALSE()),"Stelvale Valebrook"))</f>
        <v/>
      </c>
      <c r="C698" s="184" t="n">
        <f aca="false">IFERROR(VLOOKUP(A698,Skills!$A:$D,4,FALSE()),"")</f>
        <v>0</v>
      </c>
      <c r="F698" s="186" t="str">
        <f aca="false">IF(OR(E698="",G698=""),"",WORKDAY(E698-1,G698))</f>
        <v/>
      </c>
      <c r="J698" s="0" t="str">
        <f aca="false">IF($A698="","",IF(COUNTIF(Skills!$A:$A,$A698)=0,"⚠ ID absent du roster",""))</f>
        <v/>
      </c>
    </row>
    <row r="699" customFormat="false" ht="15" hidden="true" customHeight="true" outlineLevel="0" collapsed="false">
      <c r="B699" s="183" t="str">
        <f aca="false">IF($A699="","",IFERROR(VLOOKUP($A699,Skills!$A:$C,2,FALSE())&amp;" "&amp;VLOOKUP($A699,Skills!$A:$C,3,FALSE()),"Stelvale Valebrook"))</f>
        <v/>
      </c>
      <c r="C699" s="184" t="n">
        <f aca="false">IFERROR(VLOOKUP(A699,Skills!$A:$D,4,FALSE()),"")</f>
        <v>0</v>
      </c>
      <c r="F699" s="186" t="str">
        <f aca="false">IF(OR(E699="",G699=""),"",WORKDAY(E699-1,G699))</f>
        <v/>
      </c>
      <c r="J699" s="0" t="str">
        <f aca="false">IF($A699="","",IF(COUNTIF(Skills!$A:$A,$A699)=0,"⚠ ID absent du roster",""))</f>
        <v/>
      </c>
    </row>
    <row r="700" customFormat="false" ht="15" hidden="true" customHeight="true" outlineLevel="0" collapsed="false">
      <c r="B700" s="183" t="str">
        <f aca="false">IF($A700="","",IFERROR(VLOOKUP($A700,Skills!$A:$C,2,FALSE())&amp;" "&amp;VLOOKUP($A700,Skills!$A:$C,3,FALSE()),"Stelvale Valebrook"))</f>
        <v/>
      </c>
      <c r="C700" s="184" t="n">
        <f aca="false">IFERROR(VLOOKUP(A700,Skills!$A:$D,4,FALSE()),"")</f>
        <v>0</v>
      </c>
      <c r="F700" s="186" t="str">
        <f aca="false">IF(OR(E700="",G700=""),"",WORKDAY(E700-1,G700))</f>
        <v/>
      </c>
      <c r="J700" s="0" t="str">
        <f aca="false">IF($A700="","",IF(COUNTIF(Skills!$A:$A,$A700)=0,"⚠ ID absent du roster",""))</f>
        <v/>
      </c>
    </row>
    <row r="701" customFormat="false" ht="15" hidden="true" customHeight="true" outlineLevel="0" collapsed="false">
      <c r="B701" s="183" t="str">
        <f aca="false">IF($A701="","",IFERROR(VLOOKUP($A701,Skills!$A:$C,2,FALSE())&amp;" "&amp;VLOOKUP($A701,Skills!$A:$C,3,FALSE()),"Stelvale Valebrook"))</f>
        <v/>
      </c>
      <c r="C701" s="184" t="n">
        <f aca="false">IFERROR(VLOOKUP(A701,Skills!$A:$D,4,FALSE()),"")</f>
        <v>0</v>
      </c>
      <c r="F701" s="186" t="str">
        <f aca="false">IF(OR(E701="",G701=""),"",WORKDAY(E701-1,G701))</f>
        <v/>
      </c>
      <c r="J701" s="0" t="str">
        <f aca="false">IF($A701="","",IF(COUNTIF(Skills!$A:$A,$A701)=0,"⚠ ID absent du roster",""))</f>
        <v/>
      </c>
    </row>
    <row r="702" customFormat="false" ht="15" hidden="true" customHeight="true" outlineLevel="0" collapsed="false">
      <c r="B702" s="183" t="str">
        <f aca="false">IF($A702="","",IFERROR(VLOOKUP($A702,Skills!$A:$C,2,FALSE())&amp;" "&amp;VLOOKUP($A702,Skills!$A:$C,3,FALSE()),"Stelvale Valebrook"))</f>
        <v/>
      </c>
      <c r="C702" s="184" t="n">
        <f aca="false">IFERROR(VLOOKUP(A702,Skills!$A:$D,4,FALSE()),"")</f>
        <v>0</v>
      </c>
      <c r="F702" s="186" t="str">
        <f aca="false">IF(OR(E702="",G702=""),"",WORKDAY(E702-1,G702))</f>
        <v/>
      </c>
      <c r="J702" s="0" t="str">
        <f aca="false">IF($A702="","",IF(COUNTIF(Skills!$A:$A,$A702)=0,"⚠ ID absent du roster",""))</f>
        <v/>
      </c>
    </row>
    <row r="703" customFormat="false" ht="15" hidden="true" customHeight="true" outlineLevel="0" collapsed="false">
      <c r="B703" s="183" t="str">
        <f aca="false">IF($A703="","",IFERROR(VLOOKUP($A703,Skills!$A:$C,2,FALSE())&amp;" "&amp;VLOOKUP($A703,Skills!$A:$C,3,FALSE()),"Stelvale Valebrook"))</f>
        <v/>
      </c>
      <c r="C703" s="184" t="n">
        <f aca="false">IFERROR(VLOOKUP(A703,Skills!$A:$D,4,FALSE()),"")</f>
        <v>0</v>
      </c>
      <c r="F703" s="186" t="str">
        <f aca="false">IF(OR(E703="",G703=""),"",WORKDAY(E703-1,G703))</f>
        <v/>
      </c>
      <c r="J703" s="0" t="str">
        <f aca="false">IF($A703="","",IF(COUNTIF(Skills!$A:$A,$A703)=0,"⚠ ID absent du roster",""))</f>
        <v/>
      </c>
    </row>
    <row r="704" customFormat="false" ht="15" hidden="true" customHeight="true" outlineLevel="0" collapsed="false">
      <c r="B704" s="183" t="str">
        <f aca="false">IF($A704="","",IFERROR(VLOOKUP($A704,Skills!$A:$C,2,FALSE())&amp;" "&amp;VLOOKUP($A704,Skills!$A:$C,3,FALSE()),"Stelvale Valebrook"))</f>
        <v/>
      </c>
      <c r="C704" s="184" t="n">
        <f aca="false">IFERROR(VLOOKUP(A704,Skills!$A:$D,4,FALSE()),"")</f>
        <v>0</v>
      </c>
      <c r="F704" s="186" t="str">
        <f aca="false">IF(OR(E704="",G704=""),"",WORKDAY(E704-1,G704))</f>
        <v/>
      </c>
      <c r="J704" s="0" t="str">
        <f aca="false">IF($A704="","",IF(COUNTIF(Skills!$A:$A,$A704)=0,"⚠ ID absent du roster",""))</f>
        <v/>
      </c>
    </row>
    <row r="705" customFormat="false" ht="15" hidden="true" customHeight="true" outlineLevel="0" collapsed="false">
      <c r="B705" s="183" t="str">
        <f aca="false">IF($A705="","",IFERROR(VLOOKUP($A705,Skills!$A:$C,2,FALSE())&amp;" "&amp;VLOOKUP($A705,Skills!$A:$C,3,FALSE()),"Stelvale Valebrook"))</f>
        <v/>
      </c>
      <c r="C705" s="184" t="n">
        <f aca="false">IFERROR(VLOOKUP(A705,Skills!$A:$D,4,FALSE()),"")</f>
        <v>0</v>
      </c>
      <c r="F705" s="186" t="str">
        <f aca="false">IF(OR(E705="",G705=""),"",WORKDAY(E705-1,G705))</f>
        <v/>
      </c>
      <c r="J705" s="0" t="str">
        <f aca="false">IF($A705="","",IF(COUNTIF(Skills!$A:$A,$A705)=0,"⚠ ID absent du roster",""))</f>
        <v/>
      </c>
    </row>
    <row r="706" customFormat="false" ht="15" hidden="true" customHeight="true" outlineLevel="0" collapsed="false">
      <c r="B706" s="183" t="str">
        <f aca="false">IF($A706="","",IFERROR(VLOOKUP($A706,Skills!$A:$C,2,FALSE())&amp;" "&amp;VLOOKUP($A706,Skills!$A:$C,3,FALSE()),"Stelvale Valebrook"))</f>
        <v/>
      </c>
      <c r="C706" s="184" t="n">
        <f aca="false">IFERROR(VLOOKUP(A706,Skills!$A:$D,4,FALSE()),"")</f>
        <v>0</v>
      </c>
      <c r="F706" s="186" t="str">
        <f aca="false">IF(OR(E706="",G706=""),"",WORKDAY(E706-1,G706))</f>
        <v/>
      </c>
      <c r="J706" s="0" t="str">
        <f aca="false">IF($A706="","",IF(COUNTIF(Skills!$A:$A,$A706)=0,"⚠ ID absent du roster",""))</f>
        <v/>
      </c>
    </row>
    <row r="707" customFormat="false" ht="15" hidden="true" customHeight="true" outlineLevel="0" collapsed="false">
      <c r="B707" s="183" t="str">
        <f aca="false">IF($A707="","",IFERROR(VLOOKUP($A707,Skills!$A:$C,2,FALSE())&amp;" "&amp;VLOOKUP($A707,Skills!$A:$C,3,FALSE()),"Stelvale Valebrook"))</f>
        <v/>
      </c>
      <c r="C707" s="184" t="n">
        <f aca="false">IFERROR(VLOOKUP(A707,Skills!$A:$D,4,FALSE()),"")</f>
        <v>0</v>
      </c>
      <c r="F707" s="186" t="str">
        <f aca="false">IF(OR(E707="",G707=""),"",WORKDAY(E707-1,G707))</f>
        <v/>
      </c>
      <c r="J707" s="0" t="str">
        <f aca="false">IF($A707="","",IF(COUNTIF(Skills!$A:$A,$A707)=0,"⚠ ID absent du roster",""))</f>
        <v/>
      </c>
    </row>
    <row r="708" customFormat="false" ht="15" hidden="true" customHeight="true" outlineLevel="0" collapsed="false">
      <c r="B708" s="183" t="str">
        <f aca="false">IF($A708="","",IFERROR(VLOOKUP($A708,Skills!$A:$C,2,FALSE())&amp;" "&amp;VLOOKUP($A708,Skills!$A:$C,3,FALSE()),"Stelvale Valebrook"))</f>
        <v/>
      </c>
      <c r="C708" s="184" t="n">
        <f aca="false">IFERROR(VLOOKUP(A708,Skills!$A:$D,4,FALSE()),"")</f>
        <v>0</v>
      </c>
      <c r="F708" s="186" t="str">
        <f aca="false">IF(OR(E708="",G708=""),"",WORKDAY(E708-1,G708))</f>
        <v/>
      </c>
      <c r="J708" s="0" t="str">
        <f aca="false">IF($A708="","",IF(COUNTIF(Skills!$A:$A,$A708)=0,"⚠ ID absent du roster",""))</f>
        <v/>
      </c>
    </row>
    <row r="709" customFormat="false" ht="15" hidden="true" customHeight="true" outlineLevel="0" collapsed="false">
      <c r="B709" s="183" t="str">
        <f aca="false">IF($A709="","",IFERROR(VLOOKUP($A709,Skills!$A:$C,2,FALSE())&amp;" "&amp;VLOOKUP($A709,Skills!$A:$C,3,FALSE()),"Stelvale Valebrook"))</f>
        <v/>
      </c>
      <c r="C709" s="184" t="n">
        <f aca="false">IFERROR(VLOOKUP(A709,Skills!$A:$D,4,FALSE()),"")</f>
        <v>0</v>
      </c>
      <c r="F709" s="186" t="str">
        <f aca="false">IF(OR(E709="",G709=""),"",WORKDAY(E709-1,G709))</f>
        <v/>
      </c>
      <c r="J709" s="0" t="str">
        <f aca="false">IF($A709="","",IF(COUNTIF(Skills!$A:$A,$A709)=0,"⚠ ID absent du roster",""))</f>
        <v/>
      </c>
    </row>
    <row r="710" customFormat="false" ht="15" hidden="true" customHeight="true" outlineLevel="0" collapsed="false">
      <c r="B710" s="183" t="str">
        <f aca="false">IF($A710="","",IFERROR(VLOOKUP($A710,Skills!$A:$C,2,FALSE())&amp;" "&amp;VLOOKUP($A710,Skills!$A:$C,3,FALSE()),"Stelvale Valebrook"))</f>
        <v/>
      </c>
      <c r="C710" s="184" t="n">
        <f aca="false">IFERROR(VLOOKUP(A710,Skills!$A:$D,4,FALSE()),"")</f>
        <v>0</v>
      </c>
      <c r="F710" s="186" t="str">
        <f aca="false">IF(OR(E710="",G710=""),"",WORKDAY(E710-1,G710))</f>
        <v/>
      </c>
      <c r="J710" s="0" t="str">
        <f aca="false">IF($A710="","",IF(COUNTIF(Skills!$A:$A,$A710)=0,"⚠ ID absent du roster",""))</f>
        <v/>
      </c>
    </row>
    <row r="711" customFormat="false" ht="15" hidden="true" customHeight="true" outlineLevel="0" collapsed="false">
      <c r="B711" s="183" t="str">
        <f aca="false">IF($A711="","",IFERROR(VLOOKUP($A711,Skills!$A:$C,2,FALSE())&amp;" "&amp;VLOOKUP($A711,Skills!$A:$C,3,FALSE()),"Stelvale Valebrook"))</f>
        <v/>
      </c>
      <c r="C711" s="184" t="n">
        <f aca="false">IFERROR(VLOOKUP(A711,Skills!$A:$D,4,FALSE()),"")</f>
        <v>0</v>
      </c>
      <c r="F711" s="186" t="str">
        <f aca="false">IF(OR(E711="",G711=""),"",WORKDAY(E711-1,G711))</f>
        <v/>
      </c>
      <c r="J711" s="0" t="str">
        <f aca="false">IF($A711="","",IF(COUNTIF(Skills!$A:$A,$A711)=0,"⚠ ID absent du roster",""))</f>
        <v/>
      </c>
    </row>
    <row r="712" customFormat="false" ht="15" hidden="true" customHeight="true" outlineLevel="0" collapsed="false">
      <c r="B712" s="183" t="str">
        <f aca="false">IF($A712="","",IFERROR(VLOOKUP($A712,Skills!$A:$C,2,FALSE())&amp;" "&amp;VLOOKUP($A712,Skills!$A:$C,3,FALSE()),"Stelvale Valebrook"))</f>
        <v/>
      </c>
      <c r="C712" s="184" t="n">
        <f aca="false">IFERROR(VLOOKUP(A712,Skills!$A:$D,4,FALSE()),"")</f>
        <v>0</v>
      </c>
      <c r="F712" s="186" t="str">
        <f aca="false">IF(OR(E712="",G712=""),"",WORKDAY(E712-1,G712))</f>
        <v/>
      </c>
      <c r="J712" s="0" t="str">
        <f aca="false">IF($A712="","",IF(COUNTIF(Skills!$A:$A,$A712)=0,"⚠ ID absent du roster",""))</f>
        <v/>
      </c>
    </row>
    <row r="713" customFormat="false" ht="15" hidden="true" customHeight="true" outlineLevel="0" collapsed="false">
      <c r="B713" s="183" t="str">
        <f aca="false">IF($A713="","",IFERROR(VLOOKUP($A713,Skills!$A:$C,2,FALSE())&amp;" "&amp;VLOOKUP($A713,Skills!$A:$C,3,FALSE()),"Stelvale Valebrook"))</f>
        <v/>
      </c>
      <c r="C713" s="184" t="n">
        <f aca="false">IFERROR(VLOOKUP(A713,Skills!$A:$D,4,FALSE()),"")</f>
        <v>0</v>
      </c>
      <c r="F713" s="186" t="str">
        <f aca="false">IF(OR(E713="",G713=""),"",WORKDAY(E713-1,G713))</f>
        <v/>
      </c>
      <c r="J713" s="0" t="str">
        <f aca="false">IF($A713="","",IF(COUNTIF(Skills!$A:$A,$A713)=0,"⚠ ID absent du roster",""))</f>
        <v/>
      </c>
    </row>
    <row r="714" customFormat="false" ht="15" hidden="true" customHeight="true" outlineLevel="0" collapsed="false">
      <c r="B714" s="183" t="str">
        <f aca="false">IF($A714="","",IFERROR(VLOOKUP($A714,Skills!$A:$C,2,FALSE())&amp;" "&amp;VLOOKUP($A714,Skills!$A:$C,3,FALSE()),"Stelvale Valebrook"))</f>
        <v/>
      </c>
      <c r="C714" s="184" t="n">
        <f aca="false">IFERROR(VLOOKUP(A714,Skills!$A:$D,4,FALSE()),"")</f>
        <v>0</v>
      </c>
      <c r="F714" s="186" t="str">
        <f aca="false">IF(OR(E714="",G714=""),"",WORKDAY(E714-1,G714))</f>
        <v/>
      </c>
      <c r="J714" s="0" t="str">
        <f aca="false">IF($A714="","",IF(COUNTIF(Skills!$A:$A,$A714)=0,"⚠ ID absent du roster",""))</f>
        <v/>
      </c>
    </row>
    <row r="715" customFormat="false" ht="15" hidden="true" customHeight="true" outlineLevel="0" collapsed="false">
      <c r="B715" s="183" t="str">
        <f aca="false">IF($A715="","",IFERROR(VLOOKUP($A715,Skills!$A:$C,2,FALSE())&amp;" "&amp;VLOOKUP($A715,Skills!$A:$C,3,FALSE()),"Stelvale Valebrook"))</f>
        <v/>
      </c>
      <c r="C715" s="184" t="n">
        <f aca="false">IFERROR(VLOOKUP(A715,Skills!$A:$D,4,FALSE()),"")</f>
        <v>0</v>
      </c>
      <c r="F715" s="186" t="str">
        <f aca="false">IF(OR(E715="",G715=""),"",WORKDAY(E715-1,G715))</f>
        <v/>
      </c>
      <c r="J715" s="0" t="str">
        <f aca="false">IF($A715="","",IF(COUNTIF(Skills!$A:$A,$A715)=0,"⚠ ID absent du roster",""))</f>
        <v/>
      </c>
    </row>
    <row r="716" customFormat="false" ht="15" hidden="true" customHeight="true" outlineLevel="0" collapsed="false">
      <c r="B716" s="183" t="str">
        <f aca="false">IF($A716="","",IFERROR(VLOOKUP($A716,Skills!$A:$C,2,FALSE())&amp;" "&amp;VLOOKUP($A716,Skills!$A:$C,3,FALSE()),"Stelvale Valebrook"))</f>
        <v/>
      </c>
      <c r="C716" s="184" t="n">
        <f aca="false">IFERROR(VLOOKUP(A716,Skills!$A:$D,4,FALSE()),"")</f>
        <v>0</v>
      </c>
      <c r="F716" s="186" t="str">
        <f aca="false">IF(OR(E716="",G716=""),"",WORKDAY(E716-1,G716))</f>
        <v/>
      </c>
      <c r="J716" s="0" t="str">
        <f aca="false">IF($A716="","",IF(COUNTIF(Skills!$A:$A,$A716)=0,"⚠ ID absent du roster",""))</f>
        <v/>
      </c>
    </row>
    <row r="717" customFormat="false" ht="15" hidden="true" customHeight="true" outlineLevel="0" collapsed="false">
      <c r="B717" s="183" t="str">
        <f aca="false">IF($A717="","",IFERROR(VLOOKUP($A717,Skills!$A:$C,2,FALSE())&amp;" "&amp;VLOOKUP($A717,Skills!$A:$C,3,FALSE()),"Stelvale Valebrook"))</f>
        <v/>
      </c>
      <c r="C717" s="184" t="n">
        <f aca="false">IFERROR(VLOOKUP(A717,Skills!$A:$D,4,FALSE()),"")</f>
        <v>0</v>
      </c>
      <c r="F717" s="186" t="str">
        <f aca="false">IF(OR(E717="",G717=""),"",WORKDAY(E717-1,G717))</f>
        <v/>
      </c>
      <c r="J717" s="0" t="str">
        <f aca="false">IF($A717="","",IF(COUNTIF(Skills!$A:$A,$A717)=0,"⚠ ID absent du roster",""))</f>
        <v/>
      </c>
    </row>
    <row r="718" customFormat="false" ht="15" hidden="true" customHeight="true" outlineLevel="0" collapsed="false">
      <c r="B718" s="183" t="str">
        <f aca="false">IF($A718="","",IFERROR(VLOOKUP($A718,Skills!$A:$C,2,FALSE())&amp;" "&amp;VLOOKUP($A718,Skills!$A:$C,3,FALSE()),"Stelvale Valebrook"))</f>
        <v/>
      </c>
      <c r="C718" s="184" t="n">
        <f aca="false">IFERROR(VLOOKUP(A718,Skills!$A:$D,4,FALSE()),"")</f>
        <v>0</v>
      </c>
      <c r="F718" s="186" t="str">
        <f aca="false">IF(OR(E718="",G718=""),"",WORKDAY(E718-1,G718))</f>
        <v/>
      </c>
      <c r="J718" s="0" t="str">
        <f aca="false">IF($A718="","",IF(COUNTIF(Skills!$A:$A,$A718)=0,"⚠ ID absent du roster",""))</f>
        <v/>
      </c>
    </row>
    <row r="719" customFormat="false" ht="15" hidden="true" customHeight="true" outlineLevel="0" collapsed="false">
      <c r="B719" s="183" t="str">
        <f aca="false">IF($A719="","",IFERROR(VLOOKUP($A719,Skills!$A:$C,2,FALSE())&amp;" "&amp;VLOOKUP($A719,Skills!$A:$C,3,FALSE()),"Stelvale Valebrook"))</f>
        <v/>
      </c>
      <c r="C719" s="184" t="n">
        <f aca="false">IFERROR(VLOOKUP(A719,Skills!$A:$D,4,FALSE()),"")</f>
        <v>0</v>
      </c>
      <c r="F719" s="186" t="str">
        <f aca="false">IF(OR(E719="",G719=""),"",WORKDAY(E719-1,G719))</f>
        <v/>
      </c>
      <c r="J719" s="0" t="str">
        <f aca="false">IF($A719="","",IF(COUNTIF(Skills!$A:$A,$A719)=0,"⚠ ID absent du roster",""))</f>
        <v/>
      </c>
    </row>
    <row r="720" customFormat="false" ht="15" hidden="true" customHeight="true" outlineLevel="0" collapsed="false">
      <c r="B720" s="183" t="str">
        <f aca="false">IF($A720="","",IFERROR(VLOOKUP($A720,Skills!$A:$C,2,FALSE())&amp;" "&amp;VLOOKUP($A720,Skills!$A:$C,3,FALSE()),"Stelvale Valebrook"))</f>
        <v/>
      </c>
      <c r="C720" s="184" t="n">
        <f aca="false">IFERROR(VLOOKUP(A720,Skills!$A:$D,4,FALSE()),"")</f>
        <v>0</v>
      </c>
      <c r="F720" s="186" t="str">
        <f aca="false">IF(OR(E720="",G720=""),"",WORKDAY(E720-1,G720))</f>
        <v/>
      </c>
      <c r="J720" s="0" t="str">
        <f aca="false">IF($A720="","",IF(COUNTIF(Skills!$A:$A,$A720)=0,"⚠ ID absent du roster",""))</f>
        <v/>
      </c>
    </row>
    <row r="721" customFormat="false" ht="15" hidden="true" customHeight="true" outlineLevel="0" collapsed="false">
      <c r="B721" s="183" t="str">
        <f aca="false">IF($A721="","",IFERROR(VLOOKUP($A721,Skills!$A:$C,2,FALSE())&amp;" "&amp;VLOOKUP($A721,Skills!$A:$C,3,FALSE()),"Stelvale Valebrook"))</f>
        <v/>
      </c>
      <c r="C721" s="184" t="n">
        <f aca="false">IFERROR(VLOOKUP(A721,Skills!$A:$D,4,FALSE()),"")</f>
        <v>0</v>
      </c>
      <c r="F721" s="186" t="str">
        <f aca="false">IF(OR(E721="",G721=""),"",WORKDAY(E721-1,G721))</f>
        <v/>
      </c>
      <c r="J721" s="0" t="str">
        <f aca="false">IF($A721="","",IF(COUNTIF(Skills!$A:$A,$A721)=0,"⚠ ID absent du roster",""))</f>
        <v/>
      </c>
    </row>
    <row r="722" customFormat="false" ht="15" hidden="true" customHeight="true" outlineLevel="0" collapsed="false">
      <c r="B722" s="183" t="str">
        <f aca="false">IF($A722="","",IFERROR(VLOOKUP($A722,Skills!$A:$C,2,FALSE())&amp;" "&amp;VLOOKUP($A722,Skills!$A:$C,3,FALSE()),"Stelvale Valebrook"))</f>
        <v/>
      </c>
      <c r="C722" s="184" t="n">
        <f aca="false">IFERROR(VLOOKUP(A722,Skills!$A:$D,4,FALSE()),"")</f>
        <v>0</v>
      </c>
      <c r="F722" s="186" t="str">
        <f aca="false">IF(OR(E722="",G722=""),"",WORKDAY(E722-1,G722))</f>
        <v/>
      </c>
      <c r="J722" s="0" t="str">
        <f aca="false">IF($A722="","",IF(COUNTIF(Skills!$A:$A,$A722)=0,"⚠ ID absent du roster",""))</f>
        <v/>
      </c>
    </row>
    <row r="723" customFormat="false" ht="15" hidden="true" customHeight="true" outlineLevel="0" collapsed="false">
      <c r="B723" s="183" t="str">
        <f aca="false">IF($A723="","",IFERROR(VLOOKUP($A723,Skills!$A:$C,2,FALSE())&amp;" "&amp;VLOOKUP($A723,Skills!$A:$C,3,FALSE()),"Stelvale Valebrook"))</f>
        <v/>
      </c>
      <c r="C723" s="184" t="n">
        <f aca="false">IFERROR(VLOOKUP(A723,Skills!$A:$D,4,FALSE()),"")</f>
        <v>0</v>
      </c>
      <c r="F723" s="186" t="str">
        <f aca="false">IF(OR(E723="",G723=""),"",WORKDAY(E723-1,G723))</f>
        <v/>
      </c>
      <c r="J723" s="0" t="str">
        <f aca="false">IF($A723="","",IF(COUNTIF(Skills!$A:$A,$A723)=0,"⚠ ID absent du roster",""))</f>
        <v/>
      </c>
    </row>
    <row r="724" customFormat="false" ht="15" hidden="true" customHeight="true" outlineLevel="0" collapsed="false">
      <c r="B724" s="183" t="str">
        <f aca="false">IF($A724="","",IFERROR(VLOOKUP($A724,Skills!$A:$C,2,FALSE())&amp;" "&amp;VLOOKUP($A724,Skills!$A:$C,3,FALSE()),"Stelvale Valebrook"))</f>
        <v/>
      </c>
      <c r="C724" s="184" t="n">
        <f aca="false">IFERROR(VLOOKUP(A724,Skills!$A:$D,4,FALSE()),"")</f>
        <v>0</v>
      </c>
      <c r="F724" s="186" t="str">
        <f aca="false">IF(OR(E724="",G724=""),"",WORKDAY(E724-1,G724))</f>
        <v/>
      </c>
      <c r="J724" s="0" t="str">
        <f aca="false">IF($A724="","",IF(COUNTIF(Skills!$A:$A,$A724)=0,"⚠ ID absent du roster",""))</f>
        <v/>
      </c>
    </row>
    <row r="725" customFormat="false" ht="15" hidden="true" customHeight="true" outlineLevel="0" collapsed="false">
      <c r="B725" s="183" t="str">
        <f aca="false">IF($A725="","",IFERROR(VLOOKUP($A725,Skills!$A:$C,2,FALSE())&amp;" "&amp;VLOOKUP($A725,Skills!$A:$C,3,FALSE()),"Stelvale Valebrook"))</f>
        <v/>
      </c>
      <c r="C725" s="184" t="n">
        <f aca="false">IFERROR(VLOOKUP(A725,Skills!$A:$D,4,FALSE()),"")</f>
        <v>0</v>
      </c>
      <c r="F725" s="186" t="str">
        <f aca="false">IF(OR(E725="",G725=""),"",WORKDAY(E725-1,G725))</f>
        <v/>
      </c>
      <c r="J725" s="0" t="str">
        <f aca="false">IF($A725="","",IF(COUNTIF(Skills!$A:$A,$A725)=0,"⚠ ID absent du roster",""))</f>
        <v/>
      </c>
    </row>
    <row r="726" customFormat="false" ht="15" hidden="true" customHeight="true" outlineLevel="0" collapsed="false">
      <c r="B726" s="183" t="str">
        <f aca="false">IF($A726="","",IFERROR(VLOOKUP($A726,Skills!$A:$C,2,FALSE())&amp;" "&amp;VLOOKUP($A726,Skills!$A:$C,3,FALSE()),"Stelvale Valebrook"))</f>
        <v/>
      </c>
      <c r="C726" s="184" t="n">
        <f aca="false">IFERROR(VLOOKUP(A726,Skills!$A:$D,4,FALSE()),"")</f>
        <v>0</v>
      </c>
      <c r="F726" s="186" t="str">
        <f aca="false">IF(OR(E726="",G726=""),"",WORKDAY(E726-1,G726))</f>
        <v/>
      </c>
      <c r="J726" s="0" t="str">
        <f aca="false">IF($A726="","",IF(COUNTIF(Skills!$A:$A,$A726)=0,"⚠ ID absent du roster",""))</f>
        <v/>
      </c>
    </row>
    <row r="727" customFormat="false" ht="15" hidden="true" customHeight="true" outlineLevel="0" collapsed="false">
      <c r="B727" s="183" t="str">
        <f aca="false">IF($A727="","",IFERROR(VLOOKUP($A727,Skills!$A:$C,2,FALSE())&amp;" "&amp;VLOOKUP($A727,Skills!$A:$C,3,FALSE()),"Stelvale Valebrook"))</f>
        <v/>
      </c>
      <c r="C727" s="184" t="n">
        <f aca="false">IFERROR(VLOOKUP(A727,Skills!$A:$D,4,FALSE()),"")</f>
        <v>0</v>
      </c>
      <c r="F727" s="186" t="str">
        <f aca="false">IF(OR(E727="",G727=""),"",WORKDAY(E727-1,G727))</f>
        <v/>
      </c>
      <c r="J727" s="0" t="str">
        <f aca="false">IF($A727="","",IF(COUNTIF(Skills!$A:$A,$A727)=0,"⚠ ID absent du roster",""))</f>
        <v/>
      </c>
    </row>
    <row r="728" customFormat="false" ht="15" hidden="true" customHeight="true" outlineLevel="0" collapsed="false">
      <c r="B728" s="183" t="str">
        <f aca="false">IF($A728="","",IFERROR(VLOOKUP($A728,Skills!$A:$C,2,FALSE())&amp;" "&amp;VLOOKUP($A728,Skills!$A:$C,3,FALSE()),"Stelvale Valebrook"))</f>
        <v/>
      </c>
      <c r="C728" s="184" t="n">
        <f aca="false">IFERROR(VLOOKUP(A728,Skills!$A:$D,4,FALSE()),"")</f>
        <v>0</v>
      </c>
      <c r="F728" s="186" t="str">
        <f aca="false">IF(OR(E728="",G728=""),"",WORKDAY(E728-1,G728))</f>
        <v/>
      </c>
      <c r="J728" s="0" t="str">
        <f aca="false">IF($A728="","",IF(COUNTIF(Skills!$A:$A,$A728)=0,"⚠ ID absent du roster",""))</f>
        <v/>
      </c>
    </row>
    <row r="729" customFormat="false" ht="15" hidden="true" customHeight="true" outlineLevel="0" collapsed="false">
      <c r="B729" s="183" t="str">
        <f aca="false">IF($A729="","",IFERROR(VLOOKUP($A729,Skills!$A:$C,2,FALSE())&amp;" "&amp;VLOOKUP($A729,Skills!$A:$C,3,FALSE()),"Stelvale Valebrook"))</f>
        <v/>
      </c>
      <c r="C729" s="184" t="n">
        <f aca="false">IFERROR(VLOOKUP(A729,Skills!$A:$D,4,FALSE()),"")</f>
        <v>0</v>
      </c>
      <c r="F729" s="186" t="str">
        <f aca="false">IF(OR(E729="",G729=""),"",WORKDAY(E729-1,G729))</f>
        <v/>
      </c>
      <c r="J729" s="0" t="str">
        <f aca="false">IF($A729="","",IF(COUNTIF(Skills!$A:$A,$A729)=0,"⚠ ID absent du roster",""))</f>
        <v/>
      </c>
    </row>
    <row r="730" customFormat="false" ht="15" hidden="true" customHeight="true" outlineLevel="0" collapsed="false">
      <c r="B730" s="183" t="str">
        <f aca="false">IF($A730="","",IFERROR(VLOOKUP($A730,Skills!$A:$C,2,FALSE())&amp;" "&amp;VLOOKUP($A730,Skills!$A:$C,3,FALSE()),"Stelvale Valebrook"))</f>
        <v/>
      </c>
      <c r="C730" s="184" t="n">
        <f aca="false">IFERROR(VLOOKUP(A730,Skills!$A:$D,4,FALSE()),"")</f>
        <v>0</v>
      </c>
      <c r="F730" s="186" t="str">
        <f aca="false">IF(OR(E730="",G730=""),"",WORKDAY(E730-1,G730))</f>
        <v/>
      </c>
      <c r="J730" s="0" t="str">
        <f aca="false">IF($A730="","",IF(COUNTIF(Skills!$A:$A,$A730)=0,"⚠ ID absent du roster",""))</f>
        <v/>
      </c>
    </row>
    <row r="731" customFormat="false" ht="15" hidden="true" customHeight="true" outlineLevel="0" collapsed="false">
      <c r="B731" s="183" t="str">
        <f aca="false">IF($A731="","",IFERROR(VLOOKUP($A731,Skills!$A:$C,2,FALSE())&amp;" "&amp;VLOOKUP($A731,Skills!$A:$C,3,FALSE()),"Stelvale Valebrook"))</f>
        <v/>
      </c>
      <c r="C731" s="184" t="n">
        <f aca="false">IFERROR(VLOOKUP(A731,Skills!$A:$D,4,FALSE()),"")</f>
        <v>0</v>
      </c>
      <c r="F731" s="186" t="str">
        <f aca="false">IF(OR(E731="",G731=""),"",WORKDAY(E731-1,G731))</f>
        <v/>
      </c>
      <c r="J731" s="0" t="str">
        <f aca="false">IF($A731="","",IF(COUNTIF(Skills!$A:$A,$A731)=0,"⚠ ID absent du roster",""))</f>
        <v/>
      </c>
    </row>
    <row r="732" customFormat="false" ht="15" hidden="true" customHeight="true" outlineLevel="0" collapsed="false">
      <c r="B732" s="183" t="str">
        <f aca="false">IF($A732="","",IFERROR(VLOOKUP($A732,Skills!$A:$C,2,FALSE())&amp;" "&amp;VLOOKUP($A732,Skills!$A:$C,3,FALSE()),"Stelvale Valebrook"))</f>
        <v/>
      </c>
      <c r="C732" s="184" t="n">
        <f aca="false">IFERROR(VLOOKUP(A732,Skills!$A:$D,4,FALSE()),"")</f>
        <v>0</v>
      </c>
      <c r="F732" s="186" t="str">
        <f aca="false">IF(OR(E732="",G732=""),"",WORKDAY(E732-1,G732))</f>
        <v/>
      </c>
      <c r="J732" s="0" t="str">
        <f aca="false">IF($A732="","",IF(COUNTIF(Skills!$A:$A,$A732)=0,"⚠ ID absent du roster",""))</f>
        <v/>
      </c>
    </row>
    <row r="733" customFormat="false" ht="15" hidden="true" customHeight="true" outlineLevel="0" collapsed="false">
      <c r="B733" s="183" t="str">
        <f aca="false">IF($A733="","",IFERROR(VLOOKUP($A733,Skills!$A:$C,2,FALSE())&amp;" "&amp;VLOOKUP($A733,Skills!$A:$C,3,FALSE()),"Stelvale Valebrook"))</f>
        <v/>
      </c>
      <c r="C733" s="184" t="n">
        <f aca="false">IFERROR(VLOOKUP(A733,Skills!$A:$D,4,FALSE()),"")</f>
        <v>0</v>
      </c>
      <c r="F733" s="186" t="str">
        <f aca="false">IF(OR(E733="",G733=""),"",WORKDAY(E733-1,G733))</f>
        <v/>
      </c>
      <c r="J733" s="0" t="str">
        <f aca="false">IF($A733="","",IF(COUNTIF(Skills!$A:$A,$A733)=0,"⚠ ID absent du roster",""))</f>
        <v/>
      </c>
    </row>
    <row r="734" customFormat="false" ht="15" hidden="true" customHeight="true" outlineLevel="0" collapsed="false">
      <c r="B734" s="183" t="str">
        <f aca="false">IF($A734="","",IFERROR(VLOOKUP($A734,Skills!$A:$C,2,FALSE())&amp;" "&amp;VLOOKUP($A734,Skills!$A:$C,3,FALSE()),"Stelvale Valebrook"))</f>
        <v/>
      </c>
      <c r="C734" s="184" t="n">
        <f aca="false">IFERROR(VLOOKUP(A734,Skills!$A:$D,4,FALSE()),"")</f>
        <v>0</v>
      </c>
      <c r="F734" s="186" t="str">
        <f aca="false">IF(OR(E734="",G734=""),"",WORKDAY(E734-1,G734))</f>
        <v/>
      </c>
      <c r="J734" s="0" t="str">
        <f aca="false">IF($A734="","",IF(COUNTIF(Skills!$A:$A,$A734)=0,"⚠ ID absent du roster",""))</f>
        <v/>
      </c>
    </row>
    <row r="735" customFormat="false" ht="15" hidden="true" customHeight="true" outlineLevel="0" collapsed="false">
      <c r="B735" s="183" t="str">
        <f aca="false">IF($A735="","",IFERROR(VLOOKUP($A735,Skills!$A:$C,2,FALSE())&amp;" "&amp;VLOOKUP($A735,Skills!$A:$C,3,FALSE()),"Stelvale Valebrook"))</f>
        <v/>
      </c>
      <c r="C735" s="184" t="n">
        <f aca="false">IFERROR(VLOOKUP(A735,Skills!$A:$D,4,FALSE()),"")</f>
        <v>0</v>
      </c>
      <c r="F735" s="186" t="str">
        <f aca="false">IF(OR(E735="",G735=""),"",WORKDAY(E735-1,G735))</f>
        <v/>
      </c>
      <c r="J735" s="0" t="str">
        <f aca="false">IF($A735="","",IF(COUNTIF(Skills!$A:$A,$A735)=0,"⚠ ID absent du roster",""))</f>
        <v/>
      </c>
    </row>
    <row r="736" customFormat="false" ht="15" hidden="true" customHeight="true" outlineLevel="0" collapsed="false">
      <c r="B736" s="183" t="str">
        <f aca="false">IF($A736="","",IFERROR(VLOOKUP($A736,Skills!$A:$C,2,FALSE())&amp;" "&amp;VLOOKUP($A736,Skills!$A:$C,3,FALSE()),"Stelvale Valebrook"))</f>
        <v/>
      </c>
      <c r="C736" s="184" t="n">
        <f aca="false">IFERROR(VLOOKUP(A736,Skills!$A:$D,4,FALSE()),"")</f>
        <v>0</v>
      </c>
      <c r="F736" s="186" t="str">
        <f aca="false">IF(OR(E736="",G736=""),"",WORKDAY(E736-1,G736))</f>
        <v/>
      </c>
      <c r="J736" s="0" t="str">
        <f aca="false">IF($A736="","",IF(COUNTIF(Skills!$A:$A,$A736)=0,"⚠ ID absent du roster",""))</f>
        <v/>
      </c>
    </row>
    <row r="737" customFormat="false" ht="15" hidden="true" customHeight="true" outlineLevel="0" collapsed="false">
      <c r="B737" s="183" t="str">
        <f aca="false">IF($A737="","",IFERROR(VLOOKUP($A737,Skills!$A:$C,2,FALSE())&amp;" "&amp;VLOOKUP($A737,Skills!$A:$C,3,FALSE()),"Stelvale Valebrook"))</f>
        <v/>
      </c>
      <c r="C737" s="184" t="n">
        <f aca="false">IFERROR(VLOOKUP(A737,Skills!$A:$D,4,FALSE()),"")</f>
        <v>0</v>
      </c>
      <c r="F737" s="186" t="str">
        <f aca="false">IF(OR(E737="",G737=""),"",WORKDAY(E737-1,G737))</f>
        <v/>
      </c>
      <c r="J737" s="0" t="str">
        <f aca="false">IF($A737="","",IF(COUNTIF(Skills!$A:$A,$A737)=0,"⚠ ID absent du roster",""))</f>
        <v/>
      </c>
    </row>
    <row r="738" customFormat="false" ht="15" hidden="true" customHeight="true" outlineLevel="0" collapsed="false">
      <c r="B738" s="183" t="str">
        <f aca="false">IF($A738="","",IFERROR(VLOOKUP($A738,Skills!$A:$C,2,FALSE())&amp;" "&amp;VLOOKUP($A738,Skills!$A:$C,3,FALSE()),"Stelvale Valebrook"))</f>
        <v/>
      </c>
      <c r="C738" s="184" t="n">
        <f aca="false">IFERROR(VLOOKUP(A738,Skills!$A:$D,4,FALSE()),"")</f>
        <v>0</v>
      </c>
      <c r="F738" s="186" t="str">
        <f aca="false">IF(OR(E738="",G738=""),"",WORKDAY(E738-1,G738))</f>
        <v/>
      </c>
      <c r="J738" s="0" t="str">
        <f aca="false">IF($A738="","",IF(COUNTIF(Skills!$A:$A,$A738)=0,"⚠ ID absent du roster",""))</f>
        <v/>
      </c>
    </row>
    <row r="739" customFormat="false" ht="15" hidden="true" customHeight="true" outlineLevel="0" collapsed="false">
      <c r="B739" s="183" t="str">
        <f aca="false">IF($A739="","",IFERROR(VLOOKUP($A739,Skills!$A:$C,2,FALSE())&amp;" "&amp;VLOOKUP($A739,Skills!$A:$C,3,FALSE()),"Stelvale Valebrook"))</f>
        <v/>
      </c>
      <c r="C739" s="184" t="n">
        <f aca="false">IFERROR(VLOOKUP(A739,Skills!$A:$D,4,FALSE()),"")</f>
        <v>0</v>
      </c>
      <c r="F739" s="186" t="str">
        <f aca="false">IF(OR(E739="",G739=""),"",WORKDAY(E739-1,G739))</f>
        <v/>
      </c>
      <c r="J739" s="0" t="str">
        <f aca="false">IF($A739="","",IF(COUNTIF(Skills!$A:$A,$A739)=0,"⚠ ID absent du roster",""))</f>
        <v/>
      </c>
    </row>
    <row r="740" customFormat="false" ht="15" hidden="true" customHeight="true" outlineLevel="0" collapsed="false">
      <c r="B740" s="183" t="str">
        <f aca="false">IF($A740="","",IFERROR(VLOOKUP($A740,Skills!$A:$C,2,FALSE())&amp;" "&amp;VLOOKUP($A740,Skills!$A:$C,3,FALSE()),"Stelvale Valebrook"))</f>
        <v/>
      </c>
      <c r="C740" s="184" t="n">
        <f aca="false">IFERROR(VLOOKUP(A740,Skills!$A:$D,4,FALSE()),"")</f>
        <v>0</v>
      </c>
      <c r="F740" s="186" t="str">
        <f aca="false">IF(OR(E740="",G740=""),"",WORKDAY(E740-1,G740))</f>
        <v/>
      </c>
      <c r="J740" s="0" t="str">
        <f aca="false">IF($A740="","",IF(COUNTIF(Skills!$A:$A,$A740)=0,"⚠ ID absent du roster",""))</f>
        <v/>
      </c>
    </row>
    <row r="741" customFormat="false" ht="15" hidden="true" customHeight="true" outlineLevel="0" collapsed="false">
      <c r="B741" s="183" t="str">
        <f aca="false">IF($A741="","",IFERROR(VLOOKUP($A741,Skills!$A:$C,2,FALSE())&amp;" "&amp;VLOOKUP($A741,Skills!$A:$C,3,FALSE()),"Stelvale Valebrook"))</f>
        <v/>
      </c>
      <c r="C741" s="184" t="n">
        <f aca="false">IFERROR(VLOOKUP(A741,Skills!$A:$D,4,FALSE()),"")</f>
        <v>0</v>
      </c>
      <c r="F741" s="186" t="str">
        <f aca="false">IF(OR(E741="",G741=""),"",WORKDAY(E741-1,G741))</f>
        <v/>
      </c>
      <c r="J741" s="0" t="str">
        <f aca="false">IF($A741="","",IF(COUNTIF(Skills!$A:$A,$A741)=0,"⚠ ID absent du roster",""))</f>
        <v/>
      </c>
    </row>
    <row r="742" customFormat="false" ht="15" hidden="true" customHeight="true" outlineLevel="0" collapsed="false">
      <c r="B742" s="183" t="str">
        <f aca="false">IF($A742="","",IFERROR(VLOOKUP($A742,Skills!$A:$C,2,FALSE())&amp;" "&amp;VLOOKUP($A742,Skills!$A:$C,3,FALSE()),"Stelvale Valebrook"))</f>
        <v/>
      </c>
      <c r="C742" s="184" t="n">
        <f aca="false">IFERROR(VLOOKUP(A742,Skills!$A:$D,4,FALSE()),"")</f>
        <v>0</v>
      </c>
      <c r="F742" s="186" t="str">
        <f aca="false">IF(OR(E742="",G742=""),"",WORKDAY(E742-1,G742))</f>
        <v/>
      </c>
      <c r="J742" s="0" t="str">
        <f aca="false">IF($A742="","",IF(COUNTIF(Skills!$A:$A,$A742)=0,"⚠ ID absent du roster",""))</f>
        <v/>
      </c>
    </row>
    <row r="743" customFormat="false" ht="15" hidden="true" customHeight="true" outlineLevel="0" collapsed="false">
      <c r="B743" s="183" t="str">
        <f aca="false">IF($A743="","",IFERROR(VLOOKUP($A743,Skills!$A:$C,2,FALSE())&amp;" "&amp;VLOOKUP($A743,Skills!$A:$C,3,FALSE()),"Stelvale Valebrook"))</f>
        <v/>
      </c>
      <c r="C743" s="184" t="n">
        <f aca="false">IFERROR(VLOOKUP(A743,Skills!$A:$D,4,FALSE()),"")</f>
        <v>0</v>
      </c>
      <c r="F743" s="186" t="str">
        <f aca="false">IF(OR(E743="",G743=""),"",WORKDAY(E743-1,G743))</f>
        <v/>
      </c>
      <c r="J743" s="0" t="str">
        <f aca="false">IF($A743="","",IF(COUNTIF(Skills!$A:$A,$A743)=0,"⚠ ID absent du roster",""))</f>
        <v/>
      </c>
    </row>
    <row r="744" customFormat="false" ht="15" hidden="true" customHeight="true" outlineLevel="0" collapsed="false">
      <c r="B744" s="183" t="str">
        <f aca="false">IF($A744="","",IFERROR(VLOOKUP($A744,Skills!$A:$C,2,FALSE())&amp;" "&amp;VLOOKUP($A744,Skills!$A:$C,3,FALSE()),"Stelvale Valebrook"))</f>
        <v/>
      </c>
      <c r="C744" s="184" t="n">
        <f aca="false">IFERROR(VLOOKUP(A744,Skills!$A:$D,4,FALSE()),"")</f>
        <v>0</v>
      </c>
      <c r="F744" s="186" t="str">
        <f aca="false">IF(OR(E744="",G744=""),"",WORKDAY(E744-1,G744))</f>
        <v/>
      </c>
      <c r="J744" s="0" t="str">
        <f aca="false">IF($A744="","",IF(COUNTIF(Skills!$A:$A,$A744)=0,"⚠ ID absent du roster",""))</f>
        <v/>
      </c>
    </row>
    <row r="745" customFormat="false" ht="15" hidden="true" customHeight="true" outlineLevel="0" collapsed="false">
      <c r="B745" s="183" t="str">
        <f aca="false">IF($A745="","",IFERROR(VLOOKUP($A745,Skills!$A:$C,2,FALSE())&amp;" "&amp;VLOOKUP($A745,Skills!$A:$C,3,FALSE()),"Stelvale Valebrook"))</f>
        <v/>
      </c>
      <c r="C745" s="184" t="n">
        <f aca="false">IFERROR(VLOOKUP(A745,Skills!$A:$D,4,FALSE()),"")</f>
        <v>0</v>
      </c>
      <c r="F745" s="186" t="str">
        <f aca="false">IF(OR(E745="",G745=""),"",WORKDAY(E745-1,G745))</f>
        <v/>
      </c>
      <c r="J745" s="0" t="str">
        <f aca="false">IF($A745="","",IF(COUNTIF(Skills!$A:$A,$A745)=0,"⚠ ID absent du roster",""))</f>
        <v/>
      </c>
    </row>
    <row r="746" customFormat="false" ht="15" hidden="true" customHeight="true" outlineLevel="0" collapsed="false">
      <c r="B746" s="183" t="str">
        <f aca="false">IF($A746="","",IFERROR(VLOOKUP($A746,Skills!$A:$C,2,FALSE())&amp;" "&amp;VLOOKUP($A746,Skills!$A:$C,3,FALSE()),"Stelvale Valebrook"))</f>
        <v/>
      </c>
      <c r="C746" s="184" t="n">
        <f aca="false">IFERROR(VLOOKUP(A746,Skills!$A:$D,4,FALSE()),"")</f>
        <v>0</v>
      </c>
      <c r="F746" s="186" t="str">
        <f aca="false">IF(OR(E746="",G746=""),"",WORKDAY(E746-1,G746))</f>
        <v/>
      </c>
      <c r="J746" s="0" t="str">
        <f aca="false">IF($A746="","",IF(COUNTIF(Skills!$A:$A,$A746)=0,"⚠ ID absent du roster",""))</f>
        <v/>
      </c>
    </row>
    <row r="747" customFormat="false" ht="15" hidden="true" customHeight="true" outlineLevel="0" collapsed="false">
      <c r="B747" s="183" t="str">
        <f aca="false">IF($A747="","",IFERROR(VLOOKUP($A747,Skills!$A:$C,2,FALSE())&amp;" "&amp;VLOOKUP($A747,Skills!$A:$C,3,FALSE()),"Stelvale Valebrook"))</f>
        <v/>
      </c>
      <c r="C747" s="184" t="n">
        <f aca="false">IFERROR(VLOOKUP(A747,Skills!$A:$D,4,FALSE()),"")</f>
        <v>0</v>
      </c>
      <c r="F747" s="186" t="str">
        <f aca="false">IF(OR(E747="",G747=""),"",WORKDAY(E747-1,G747))</f>
        <v/>
      </c>
      <c r="J747" s="0" t="str">
        <f aca="false">IF($A747="","",IF(COUNTIF(Skills!$A:$A,$A747)=0,"⚠ ID absent du roster",""))</f>
        <v/>
      </c>
    </row>
    <row r="748" customFormat="false" ht="15" hidden="true" customHeight="true" outlineLevel="0" collapsed="false">
      <c r="B748" s="183" t="str">
        <f aca="false">IF($A748="","",IFERROR(VLOOKUP($A748,Skills!$A:$C,2,FALSE())&amp;" "&amp;VLOOKUP($A748,Skills!$A:$C,3,FALSE()),"Stelvale Valebrook"))</f>
        <v/>
      </c>
      <c r="C748" s="184" t="n">
        <f aca="false">IFERROR(VLOOKUP(A748,Skills!$A:$D,4,FALSE()),"")</f>
        <v>0</v>
      </c>
      <c r="F748" s="186" t="str">
        <f aca="false">IF(OR(E748="",G748=""),"",WORKDAY(E748-1,G748))</f>
        <v/>
      </c>
      <c r="J748" s="0" t="str">
        <f aca="false">IF($A748="","",IF(COUNTIF(Skills!$A:$A,$A748)=0,"⚠ ID absent du roster",""))</f>
        <v/>
      </c>
    </row>
    <row r="749" customFormat="false" ht="15" hidden="true" customHeight="true" outlineLevel="0" collapsed="false">
      <c r="B749" s="183" t="str">
        <f aca="false">IF($A749="","",IFERROR(VLOOKUP($A749,Skills!$A:$C,2,FALSE())&amp;" "&amp;VLOOKUP($A749,Skills!$A:$C,3,FALSE()),"Stelvale Valebrook"))</f>
        <v/>
      </c>
      <c r="C749" s="184" t="n">
        <f aca="false">IFERROR(VLOOKUP(A749,Skills!$A:$D,4,FALSE()),"")</f>
        <v>0</v>
      </c>
      <c r="F749" s="186" t="str">
        <f aca="false">IF(OR(E749="",G749=""),"",WORKDAY(E749-1,G749))</f>
        <v/>
      </c>
      <c r="J749" s="0" t="str">
        <f aca="false">IF($A749="","",IF(COUNTIF(Skills!$A:$A,$A749)=0,"⚠ ID absent du roster",""))</f>
        <v/>
      </c>
    </row>
    <row r="750" customFormat="false" ht="15" hidden="true" customHeight="true" outlineLevel="0" collapsed="false">
      <c r="B750" s="183" t="str">
        <f aca="false">IF($A750="","",IFERROR(VLOOKUP($A750,Skills!$A:$C,2,FALSE())&amp;" "&amp;VLOOKUP($A750,Skills!$A:$C,3,FALSE()),"Stelvale Valebrook"))</f>
        <v/>
      </c>
      <c r="C750" s="184" t="n">
        <f aca="false">IFERROR(VLOOKUP(A750,Skills!$A:$D,4,FALSE()),"")</f>
        <v>0</v>
      </c>
      <c r="F750" s="186" t="str">
        <f aca="false">IF(OR(E750="",G750=""),"",WORKDAY(E750-1,G750))</f>
        <v/>
      </c>
      <c r="J750" s="0" t="str">
        <f aca="false">IF($A750="","",IF(COUNTIF(Skills!$A:$A,$A750)=0,"⚠ ID absent du roster",""))</f>
        <v/>
      </c>
    </row>
    <row r="751" customFormat="false" ht="15" hidden="true" customHeight="true" outlineLevel="0" collapsed="false">
      <c r="B751" s="183" t="str">
        <f aca="false">IF($A751="","",IFERROR(VLOOKUP($A751,Skills!$A:$C,2,FALSE())&amp;" "&amp;VLOOKUP($A751,Skills!$A:$C,3,FALSE()),"Stelvale Valebrook"))</f>
        <v/>
      </c>
      <c r="C751" s="184" t="n">
        <f aca="false">IFERROR(VLOOKUP(A751,Skills!$A:$D,4,FALSE()),"")</f>
        <v>0</v>
      </c>
      <c r="F751" s="186" t="str">
        <f aca="false">IF(OR(E751="",G751=""),"",WORKDAY(E751-1,G751))</f>
        <v/>
      </c>
      <c r="J751" s="0" t="str">
        <f aca="false">IF($A751="","",IF(COUNTIF(Skills!$A:$A,$A751)=0,"⚠ ID absent du roster",""))</f>
        <v/>
      </c>
    </row>
    <row r="752" customFormat="false" ht="15" hidden="true" customHeight="true" outlineLevel="0" collapsed="false">
      <c r="B752" s="183" t="str">
        <f aca="false">IF($A752="","",IFERROR(VLOOKUP($A752,Skills!$A:$C,2,FALSE())&amp;" "&amp;VLOOKUP($A752,Skills!$A:$C,3,FALSE()),"Stelvale Valebrook"))</f>
        <v/>
      </c>
      <c r="C752" s="184" t="n">
        <f aca="false">IFERROR(VLOOKUP(A752,Skills!$A:$D,4,FALSE()),"")</f>
        <v>0</v>
      </c>
      <c r="F752" s="186" t="str">
        <f aca="false">IF(OR(E752="",G752=""),"",WORKDAY(E752-1,G752))</f>
        <v/>
      </c>
      <c r="J752" s="0" t="str">
        <f aca="false">IF($A752="","",IF(COUNTIF(Skills!$A:$A,$A752)=0,"⚠ ID absent du roster",""))</f>
        <v/>
      </c>
    </row>
    <row r="753" customFormat="false" ht="15" hidden="true" customHeight="true" outlineLevel="0" collapsed="false">
      <c r="B753" s="183" t="str">
        <f aca="false">IF($A753="","",IFERROR(VLOOKUP($A753,Skills!$A:$C,2,FALSE())&amp;" "&amp;VLOOKUP($A753,Skills!$A:$C,3,FALSE()),"Stelvale Valebrook"))</f>
        <v/>
      </c>
      <c r="C753" s="184" t="n">
        <f aca="false">IFERROR(VLOOKUP(A753,Skills!$A:$D,4,FALSE()),"")</f>
        <v>0</v>
      </c>
      <c r="F753" s="186" t="str">
        <f aca="false">IF(OR(E753="",G753=""),"",WORKDAY(E753-1,G753))</f>
        <v/>
      </c>
      <c r="J753" s="0" t="str">
        <f aca="false">IF($A753="","",IF(COUNTIF(Skills!$A:$A,$A753)=0,"⚠ ID absent du roster",""))</f>
        <v/>
      </c>
    </row>
    <row r="754" customFormat="false" ht="15" hidden="true" customHeight="true" outlineLevel="0" collapsed="false">
      <c r="B754" s="183" t="str">
        <f aca="false">IF($A754="","",IFERROR(VLOOKUP($A754,Skills!$A:$C,2,FALSE())&amp;" "&amp;VLOOKUP($A754,Skills!$A:$C,3,FALSE()),"Stelvale Valebrook"))</f>
        <v/>
      </c>
      <c r="C754" s="184" t="n">
        <f aca="false">IFERROR(VLOOKUP(A754,Skills!$A:$D,4,FALSE()),"")</f>
        <v>0</v>
      </c>
      <c r="F754" s="186" t="str">
        <f aca="false">IF(OR(E754="",G754=""),"",WORKDAY(E754-1,G754))</f>
        <v/>
      </c>
      <c r="J754" s="0" t="str">
        <f aca="false">IF($A754="","",IF(COUNTIF(Skills!$A:$A,$A754)=0,"⚠ ID absent du roster",""))</f>
        <v/>
      </c>
    </row>
    <row r="755" customFormat="false" ht="15" hidden="true" customHeight="true" outlineLevel="0" collapsed="false">
      <c r="B755" s="183" t="str">
        <f aca="false">IF($A755="","",IFERROR(VLOOKUP($A755,Skills!$A:$C,2,FALSE())&amp;" "&amp;VLOOKUP($A755,Skills!$A:$C,3,FALSE()),"Stelvale Valebrook"))</f>
        <v/>
      </c>
      <c r="C755" s="184" t="n">
        <f aca="false">IFERROR(VLOOKUP(A755,Skills!$A:$D,4,FALSE()),"")</f>
        <v>0</v>
      </c>
      <c r="F755" s="186" t="str">
        <f aca="false">IF(OR(E755="",G755=""),"",WORKDAY(E755-1,G755))</f>
        <v/>
      </c>
      <c r="J755" s="0" t="str">
        <f aca="false">IF($A755="","",IF(COUNTIF(Skills!$A:$A,$A755)=0,"⚠ ID absent du roster",""))</f>
        <v/>
      </c>
    </row>
    <row r="756" customFormat="false" ht="15" hidden="true" customHeight="true" outlineLevel="0" collapsed="false">
      <c r="B756" s="183" t="str">
        <f aca="false">IF($A756="","",IFERROR(VLOOKUP($A756,Skills!$A:$C,2,FALSE())&amp;" "&amp;VLOOKUP($A756,Skills!$A:$C,3,FALSE()),"Stelvale Valebrook"))</f>
        <v/>
      </c>
      <c r="C756" s="184" t="n">
        <f aca="false">IFERROR(VLOOKUP(A756,Skills!$A:$D,4,FALSE()),"")</f>
        <v>0</v>
      </c>
      <c r="F756" s="186" t="str">
        <f aca="false">IF(OR(E756="",G756=""),"",WORKDAY(E756-1,G756))</f>
        <v/>
      </c>
      <c r="J756" s="0" t="str">
        <f aca="false">IF($A756="","",IF(COUNTIF(Skills!$A:$A,$A756)=0,"⚠ ID absent du roster",""))</f>
        <v/>
      </c>
    </row>
    <row r="757" customFormat="false" ht="15" hidden="true" customHeight="true" outlineLevel="0" collapsed="false">
      <c r="B757" s="183" t="str">
        <f aca="false">IF($A757="","",IFERROR(VLOOKUP($A757,Skills!$A:$C,2,FALSE())&amp;" "&amp;VLOOKUP($A757,Skills!$A:$C,3,FALSE()),"Stelvale Valebrook"))</f>
        <v/>
      </c>
      <c r="C757" s="184" t="n">
        <f aca="false">IFERROR(VLOOKUP(A757,Skills!$A:$D,4,FALSE()),"")</f>
        <v>0</v>
      </c>
      <c r="F757" s="186" t="str">
        <f aca="false">IF(OR(E757="",G757=""),"",WORKDAY(E757-1,G757))</f>
        <v/>
      </c>
      <c r="J757" s="0" t="str">
        <f aca="false">IF($A757="","",IF(COUNTIF(Skills!$A:$A,$A757)=0,"⚠ ID absent du roster",""))</f>
        <v/>
      </c>
    </row>
    <row r="758" customFormat="false" ht="15" hidden="true" customHeight="true" outlineLevel="0" collapsed="false">
      <c r="B758" s="183" t="str">
        <f aca="false">IF($A758="","",IFERROR(VLOOKUP($A758,Skills!$A:$C,2,FALSE())&amp;" "&amp;VLOOKUP($A758,Skills!$A:$C,3,FALSE()),"Stelvale Valebrook"))</f>
        <v/>
      </c>
      <c r="C758" s="184" t="n">
        <f aca="false">IFERROR(VLOOKUP(A758,Skills!$A:$D,4,FALSE()),"")</f>
        <v>0</v>
      </c>
      <c r="F758" s="186" t="str">
        <f aca="false">IF(OR(E758="",G758=""),"",WORKDAY(E758-1,G758))</f>
        <v/>
      </c>
      <c r="J758" s="0" t="str">
        <f aca="false">IF($A758="","",IF(COUNTIF(Skills!$A:$A,$A758)=0,"⚠ ID absent du roster",""))</f>
        <v/>
      </c>
    </row>
    <row r="759" customFormat="false" ht="15" hidden="true" customHeight="true" outlineLevel="0" collapsed="false">
      <c r="B759" s="183" t="str">
        <f aca="false">IF($A759="","",IFERROR(VLOOKUP($A759,Skills!$A:$C,2,FALSE())&amp;" "&amp;VLOOKUP($A759,Skills!$A:$C,3,FALSE()),"Stelvale Valebrook"))</f>
        <v/>
      </c>
      <c r="C759" s="184" t="n">
        <f aca="false">IFERROR(VLOOKUP(A759,Skills!$A:$D,4,FALSE()),"")</f>
        <v>0</v>
      </c>
      <c r="F759" s="186" t="str">
        <f aca="false">IF(OR(E759="",G759=""),"",WORKDAY(E759-1,G759))</f>
        <v/>
      </c>
      <c r="J759" s="0" t="str">
        <f aca="false">IF($A759="","",IF(COUNTIF(Skills!$A:$A,$A759)=0,"⚠ ID absent du roster",""))</f>
        <v/>
      </c>
    </row>
    <row r="760" customFormat="false" ht="15" hidden="true" customHeight="true" outlineLevel="0" collapsed="false">
      <c r="B760" s="183" t="str">
        <f aca="false">IF($A760="","",IFERROR(VLOOKUP($A760,Skills!$A:$C,2,FALSE())&amp;" "&amp;VLOOKUP($A760,Skills!$A:$C,3,FALSE()),"Stelvale Valebrook"))</f>
        <v/>
      </c>
      <c r="C760" s="184" t="n">
        <f aca="false">IFERROR(VLOOKUP(A760,Skills!$A:$D,4,FALSE()),"")</f>
        <v>0</v>
      </c>
      <c r="F760" s="186" t="str">
        <f aca="false">IF(OR(E760="",G760=""),"",WORKDAY(E760-1,G760))</f>
        <v/>
      </c>
      <c r="J760" s="0" t="str">
        <f aca="false">IF($A760="","",IF(COUNTIF(Skills!$A:$A,$A760)=0,"⚠ ID absent du roster",""))</f>
        <v/>
      </c>
    </row>
    <row r="761" customFormat="false" ht="15" hidden="true" customHeight="true" outlineLevel="0" collapsed="false">
      <c r="B761" s="183" t="str">
        <f aca="false">IF($A761="","",IFERROR(VLOOKUP($A761,Skills!$A:$C,2,FALSE())&amp;" "&amp;VLOOKUP($A761,Skills!$A:$C,3,FALSE()),"Stelvale Valebrook"))</f>
        <v/>
      </c>
      <c r="C761" s="184" t="n">
        <f aca="false">IFERROR(VLOOKUP(A761,Skills!$A:$D,4,FALSE()),"")</f>
        <v>0</v>
      </c>
      <c r="F761" s="186" t="str">
        <f aca="false">IF(OR(E761="",G761=""),"",WORKDAY(E761-1,G761))</f>
        <v/>
      </c>
      <c r="J761" s="0" t="str">
        <f aca="false">IF($A761="","",IF(COUNTIF(Skills!$A:$A,$A761)=0,"⚠ ID absent du roster",""))</f>
        <v/>
      </c>
    </row>
    <row r="762" customFormat="false" ht="15" hidden="true" customHeight="true" outlineLevel="0" collapsed="false">
      <c r="B762" s="183" t="str">
        <f aca="false">IF($A762="","",IFERROR(VLOOKUP($A762,Skills!$A:$C,2,FALSE())&amp;" "&amp;VLOOKUP($A762,Skills!$A:$C,3,FALSE()),"Stelvale Valebrook"))</f>
        <v/>
      </c>
      <c r="C762" s="184" t="n">
        <f aca="false">IFERROR(VLOOKUP(A762,Skills!$A:$D,4,FALSE()),"")</f>
        <v>0</v>
      </c>
      <c r="F762" s="186" t="str">
        <f aca="false">IF(OR(E762="",G762=""),"",WORKDAY(E762-1,G762))</f>
        <v/>
      </c>
      <c r="J762" s="0" t="str">
        <f aca="false">IF($A762="","",IF(COUNTIF(Skills!$A:$A,$A762)=0,"⚠ ID absent du roster",""))</f>
        <v/>
      </c>
    </row>
    <row r="763" customFormat="false" ht="15" hidden="true" customHeight="true" outlineLevel="0" collapsed="false">
      <c r="B763" s="183" t="str">
        <f aca="false">IF($A763="","",IFERROR(VLOOKUP($A763,Skills!$A:$C,2,FALSE())&amp;" "&amp;VLOOKUP($A763,Skills!$A:$C,3,FALSE()),"Stelvale Valebrook"))</f>
        <v/>
      </c>
      <c r="C763" s="184" t="n">
        <f aca="false">IFERROR(VLOOKUP(A763,Skills!$A:$D,4,FALSE()),"")</f>
        <v>0</v>
      </c>
      <c r="F763" s="186" t="str">
        <f aca="false">IF(OR(E763="",G763=""),"",WORKDAY(E763-1,G763))</f>
        <v/>
      </c>
      <c r="J763" s="0" t="str">
        <f aca="false">IF($A763="","",IF(COUNTIF(Skills!$A:$A,$A763)=0,"⚠ ID absent du roster",""))</f>
        <v/>
      </c>
    </row>
    <row r="764" customFormat="false" ht="15" hidden="true" customHeight="true" outlineLevel="0" collapsed="false">
      <c r="B764" s="183" t="str">
        <f aca="false">IF($A764="","",IFERROR(VLOOKUP($A764,Skills!$A:$C,2,FALSE())&amp;" "&amp;VLOOKUP($A764,Skills!$A:$C,3,FALSE()),"Stelvale Valebrook"))</f>
        <v/>
      </c>
      <c r="C764" s="184" t="n">
        <f aca="false">IFERROR(VLOOKUP(A764,Skills!$A:$D,4,FALSE()),"")</f>
        <v>0</v>
      </c>
      <c r="F764" s="186" t="str">
        <f aca="false">IF(OR(E764="",G764=""),"",WORKDAY(E764-1,G764))</f>
        <v/>
      </c>
      <c r="J764" s="0" t="str">
        <f aca="false">IF($A764="","",IF(COUNTIF(Skills!$A:$A,$A764)=0,"⚠ ID absent du roster",""))</f>
        <v/>
      </c>
    </row>
    <row r="765" customFormat="false" ht="15" hidden="true" customHeight="true" outlineLevel="0" collapsed="false">
      <c r="B765" s="183" t="str">
        <f aca="false">IF($A765="","",IFERROR(VLOOKUP($A765,Skills!$A:$C,2,FALSE())&amp;" "&amp;VLOOKUP($A765,Skills!$A:$C,3,FALSE()),"Stelvale Valebrook"))</f>
        <v/>
      </c>
      <c r="C765" s="184" t="n">
        <f aca="false">IFERROR(VLOOKUP(A765,Skills!$A:$D,4,FALSE()),"")</f>
        <v>0</v>
      </c>
      <c r="F765" s="186" t="str">
        <f aca="false">IF(OR(E765="",G765=""),"",WORKDAY(E765-1,G765))</f>
        <v/>
      </c>
      <c r="J765" s="0" t="str">
        <f aca="false">IF($A765="","",IF(COUNTIF(Skills!$A:$A,$A765)=0,"⚠ ID absent du roster",""))</f>
        <v/>
      </c>
    </row>
    <row r="766" customFormat="false" ht="15" hidden="true" customHeight="true" outlineLevel="0" collapsed="false">
      <c r="B766" s="183" t="str">
        <f aca="false">IF($A766="","",IFERROR(VLOOKUP($A766,Skills!$A:$C,2,FALSE())&amp;" "&amp;VLOOKUP($A766,Skills!$A:$C,3,FALSE()),"Stelvale Valebrook"))</f>
        <v/>
      </c>
      <c r="C766" s="184" t="n">
        <f aca="false">IFERROR(VLOOKUP(A766,Skills!$A:$D,4,FALSE()),"")</f>
        <v>0</v>
      </c>
      <c r="F766" s="186" t="str">
        <f aca="false">IF(OR(E766="",G766=""),"",WORKDAY(E766-1,G766))</f>
        <v/>
      </c>
      <c r="J766" s="0" t="str">
        <f aca="false">IF($A766="","",IF(COUNTIF(Skills!$A:$A,$A766)=0,"⚠ ID absent du roster",""))</f>
        <v/>
      </c>
    </row>
    <row r="767" customFormat="false" ht="15" hidden="true" customHeight="true" outlineLevel="0" collapsed="false">
      <c r="B767" s="183" t="str">
        <f aca="false">IF($A767="","",IFERROR(VLOOKUP($A767,Skills!$A:$C,2,FALSE())&amp;" "&amp;VLOOKUP($A767,Skills!$A:$C,3,FALSE()),"Stelvale Valebrook"))</f>
        <v/>
      </c>
      <c r="C767" s="184" t="n">
        <f aca="false">IFERROR(VLOOKUP(A767,Skills!$A:$D,4,FALSE()),"")</f>
        <v>0</v>
      </c>
      <c r="F767" s="186" t="str">
        <f aca="false">IF(OR(E767="",G767=""),"",WORKDAY(E767-1,G767))</f>
        <v/>
      </c>
      <c r="J767" s="0" t="str">
        <f aca="false">IF($A767="","",IF(COUNTIF(Skills!$A:$A,$A767)=0,"⚠ ID absent du roster",""))</f>
        <v/>
      </c>
    </row>
    <row r="768" customFormat="false" ht="15" hidden="true" customHeight="true" outlineLevel="0" collapsed="false">
      <c r="B768" s="183" t="str">
        <f aca="false">IF($A768="","",IFERROR(VLOOKUP($A768,Skills!$A:$C,2,FALSE())&amp;" "&amp;VLOOKUP($A768,Skills!$A:$C,3,FALSE()),"Stelvale Valebrook"))</f>
        <v/>
      </c>
      <c r="C768" s="184" t="n">
        <f aca="false">IFERROR(VLOOKUP(A768,Skills!$A:$D,4,FALSE()),"")</f>
        <v>0</v>
      </c>
      <c r="F768" s="186" t="str">
        <f aca="false">IF(OR(E768="",G768=""),"",WORKDAY(E768-1,G768))</f>
        <v/>
      </c>
      <c r="J768" s="0" t="str">
        <f aca="false">IF($A768="","",IF(COUNTIF(Skills!$A:$A,$A768)=0,"⚠ ID absent du roster",""))</f>
        <v/>
      </c>
    </row>
    <row r="769" customFormat="false" ht="15" hidden="true" customHeight="true" outlineLevel="0" collapsed="false">
      <c r="B769" s="183" t="str">
        <f aca="false">IF($A769="","",IFERROR(VLOOKUP($A769,Skills!$A:$C,2,FALSE())&amp;" "&amp;VLOOKUP($A769,Skills!$A:$C,3,FALSE()),"Stelvale Valebrook"))</f>
        <v/>
      </c>
      <c r="C769" s="184" t="n">
        <f aca="false">IFERROR(VLOOKUP(A769,Skills!$A:$D,4,FALSE()),"")</f>
        <v>0</v>
      </c>
      <c r="F769" s="186" t="str">
        <f aca="false">IF(OR(E769="",G769=""),"",WORKDAY(E769-1,G769))</f>
        <v/>
      </c>
      <c r="J769" s="0" t="str">
        <f aca="false">IF($A769="","",IF(COUNTIF(Skills!$A:$A,$A769)=0,"⚠ ID absent du roster",""))</f>
        <v/>
      </c>
    </row>
    <row r="770" customFormat="false" ht="15" hidden="true" customHeight="true" outlineLevel="0" collapsed="false">
      <c r="B770" s="183" t="str">
        <f aca="false">IF($A770="","",IFERROR(VLOOKUP($A770,Skills!$A:$C,2,FALSE())&amp;" "&amp;VLOOKUP($A770,Skills!$A:$C,3,FALSE()),"Stelvale Valebrook"))</f>
        <v/>
      </c>
      <c r="C770" s="184" t="n">
        <f aca="false">IFERROR(VLOOKUP(A770,Skills!$A:$D,4,FALSE()),"")</f>
        <v>0</v>
      </c>
      <c r="F770" s="186" t="str">
        <f aca="false">IF(OR(E770="",G770=""),"",WORKDAY(E770-1,G770))</f>
        <v/>
      </c>
      <c r="J770" s="0" t="str">
        <f aca="false">IF($A770="","",IF(COUNTIF(Skills!$A:$A,$A770)=0,"⚠ ID absent du roster",""))</f>
        <v/>
      </c>
    </row>
    <row r="771" customFormat="false" ht="15" hidden="true" customHeight="true" outlineLevel="0" collapsed="false">
      <c r="B771" s="183" t="str">
        <f aca="false">IF($A771="","",IFERROR(VLOOKUP($A771,Skills!$A:$C,2,FALSE())&amp;" "&amp;VLOOKUP($A771,Skills!$A:$C,3,FALSE()),"Stelvale Valebrook"))</f>
        <v/>
      </c>
      <c r="C771" s="184" t="n">
        <f aca="false">IFERROR(VLOOKUP(A771,Skills!$A:$D,4,FALSE()),"")</f>
        <v>0</v>
      </c>
      <c r="F771" s="186" t="str">
        <f aca="false">IF(OR(E771="",G771=""),"",WORKDAY(E771-1,G771))</f>
        <v/>
      </c>
      <c r="J771" s="0" t="str">
        <f aca="false">IF($A771="","",IF(COUNTIF(Skills!$A:$A,$A771)=0,"⚠ ID absent du roster",""))</f>
        <v/>
      </c>
    </row>
    <row r="772" customFormat="false" ht="15" hidden="true" customHeight="true" outlineLevel="0" collapsed="false">
      <c r="B772" s="183" t="str">
        <f aca="false">IF($A772="","",IFERROR(VLOOKUP($A772,Skills!$A:$C,2,FALSE())&amp;" "&amp;VLOOKUP($A772,Skills!$A:$C,3,FALSE()),"Stelvale Valebrook"))</f>
        <v/>
      </c>
      <c r="C772" s="184" t="n">
        <f aca="false">IFERROR(VLOOKUP(A772,Skills!$A:$D,4,FALSE()),"")</f>
        <v>0</v>
      </c>
      <c r="F772" s="186" t="str">
        <f aca="false">IF(OR(E772="",G772=""),"",WORKDAY(E772-1,G772))</f>
        <v/>
      </c>
      <c r="J772" s="0" t="str">
        <f aca="false">IF($A772="","",IF(COUNTIF(Skills!$A:$A,$A772)=0,"⚠ ID absent du roster",""))</f>
        <v/>
      </c>
    </row>
    <row r="773" customFormat="false" ht="15" hidden="true" customHeight="true" outlineLevel="0" collapsed="false">
      <c r="B773" s="183" t="str">
        <f aca="false">IF($A773="","",IFERROR(VLOOKUP($A773,Skills!$A:$C,2,FALSE())&amp;" "&amp;VLOOKUP($A773,Skills!$A:$C,3,FALSE()),"Stelvale Valebrook"))</f>
        <v/>
      </c>
      <c r="C773" s="184" t="n">
        <f aca="false">IFERROR(VLOOKUP(A773,Skills!$A:$D,4,FALSE()),"")</f>
        <v>0</v>
      </c>
      <c r="F773" s="186" t="str">
        <f aca="false">IF(OR(E773="",G773=""),"",WORKDAY(E773-1,G773))</f>
        <v/>
      </c>
      <c r="J773" s="0" t="str">
        <f aca="false">IF($A773="","",IF(COUNTIF(Skills!$A:$A,$A773)=0,"⚠ ID absent du roster",""))</f>
        <v/>
      </c>
    </row>
    <row r="774" customFormat="false" ht="15" hidden="true" customHeight="true" outlineLevel="0" collapsed="false">
      <c r="B774" s="183" t="str">
        <f aca="false">IF($A774="","",IFERROR(VLOOKUP($A774,Skills!$A:$C,2,FALSE())&amp;" "&amp;VLOOKUP($A774,Skills!$A:$C,3,FALSE()),"Stelvale Valebrook"))</f>
        <v/>
      </c>
      <c r="C774" s="184" t="n">
        <f aca="false">IFERROR(VLOOKUP(A774,Skills!$A:$D,4,FALSE()),"")</f>
        <v>0</v>
      </c>
      <c r="F774" s="186" t="str">
        <f aca="false">IF(OR(E774="",G774=""),"",WORKDAY(E774-1,G774))</f>
        <v/>
      </c>
      <c r="J774" s="0" t="str">
        <f aca="false">IF($A774="","",IF(COUNTIF(Skills!$A:$A,$A774)=0,"⚠ ID absent du roster",""))</f>
        <v/>
      </c>
    </row>
    <row r="775" customFormat="false" ht="15" hidden="true" customHeight="true" outlineLevel="0" collapsed="false">
      <c r="B775" s="183" t="str">
        <f aca="false">IF($A775="","",IFERROR(VLOOKUP($A775,Skills!$A:$C,2,FALSE())&amp;" "&amp;VLOOKUP($A775,Skills!$A:$C,3,FALSE()),"Stelvale Valebrook"))</f>
        <v/>
      </c>
      <c r="C775" s="184" t="n">
        <f aca="false">IFERROR(VLOOKUP(A775,Skills!$A:$D,4,FALSE()),"")</f>
        <v>0</v>
      </c>
      <c r="F775" s="186" t="str">
        <f aca="false">IF(OR(E775="",G775=""),"",WORKDAY(E775-1,G775))</f>
        <v/>
      </c>
      <c r="J775" s="0" t="str">
        <f aca="false">IF($A775="","",IF(COUNTIF(Skills!$A:$A,$A775)=0,"⚠ ID absent du roster",""))</f>
        <v/>
      </c>
    </row>
    <row r="776" customFormat="false" ht="15" hidden="true" customHeight="true" outlineLevel="0" collapsed="false">
      <c r="B776" s="183" t="str">
        <f aca="false">IF($A776="","",IFERROR(VLOOKUP($A776,Skills!$A:$C,2,FALSE())&amp;" "&amp;VLOOKUP($A776,Skills!$A:$C,3,FALSE()),"Stelvale Valebrook"))</f>
        <v/>
      </c>
      <c r="C776" s="184" t="n">
        <f aca="false">IFERROR(VLOOKUP(A776,Skills!$A:$D,4,FALSE()),"")</f>
        <v>0</v>
      </c>
      <c r="F776" s="186" t="str">
        <f aca="false">IF(OR(E776="",G776=""),"",WORKDAY(E776-1,G776))</f>
        <v/>
      </c>
      <c r="J776" s="0" t="str">
        <f aca="false">IF($A776="","",IF(COUNTIF(Skills!$A:$A,$A776)=0,"⚠ ID absent du roster",""))</f>
        <v/>
      </c>
    </row>
    <row r="777" customFormat="false" ht="15" hidden="true" customHeight="true" outlineLevel="0" collapsed="false">
      <c r="B777" s="183" t="str">
        <f aca="false">IF($A777="","",IFERROR(VLOOKUP($A777,Skills!$A:$C,2,FALSE())&amp;" "&amp;VLOOKUP($A777,Skills!$A:$C,3,FALSE()),"Stelvale Valebrook"))</f>
        <v/>
      </c>
      <c r="C777" s="184" t="n">
        <f aca="false">IFERROR(VLOOKUP(A777,Skills!$A:$D,4,FALSE()),"")</f>
        <v>0</v>
      </c>
      <c r="F777" s="186" t="str">
        <f aca="false">IF(OR(E777="",G777=""),"",WORKDAY(E777-1,G777))</f>
        <v/>
      </c>
      <c r="J777" s="0" t="str">
        <f aca="false">IF($A777="","",IF(COUNTIF(Skills!$A:$A,$A777)=0,"⚠ ID absent du roster",""))</f>
        <v/>
      </c>
    </row>
    <row r="778" customFormat="false" ht="15" hidden="true" customHeight="true" outlineLevel="0" collapsed="false">
      <c r="B778" s="183" t="str">
        <f aca="false">IF($A778="","",IFERROR(VLOOKUP($A778,Skills!$A:$C,2,FALSE())&amp;" "&amp;VLOOKUP($A778,Skills!$A:$C,3,FALSE()),"Stelvale Valebrook"))</f>
        <v/>
      </c>
      <c r="C778" s="184" t="n">
        <f aca="false">IFERROR(VLOOKUP(A778,Skills!$A:$D,4,FALSE()),"")</f>
        <v>0</v>
      </c>
      <c r="F778" s="186" t="str">
        <f aca="false">IF(OR(E778="",G778=""),"",WORKDAY(E778-1,G778))</f>
        <v/>
      </c>
      <c r="J778" s="0" t="str">
        <f aca="false">IF($A778="","",IF(COUNTIF(Skills!$A:$A,$A778)=0,"⚠ ID absent du roster",""))</f>
        <v/>
      </c>
    </row>
    <row r="779" customFormat="false" ht="15" hidden="true" customHeight="true" outlineLevel="0" collapsed="false">
      <c r="B779" s="183" t="str">
        <f aca="false">IF($A779="","",IFERROR(VLOOKUP($A779,Skills!$A:$C,2,FALSE())&amp;" "&amp;VLOOKUP($A779,Skills!$A:$C,3,FALSE()),"Stelvale Valebrook"))</f>
        <v/>
      </c>
      <c r="C779" s="184" t="n">
        <f aca="false">IFERROR(VLOOKUP(A779,Skills!$A:$D,4,FALSE()),"")</f>
        <v>0</v>
      </c>
      <c r="F779" s="186" t="str">
        <f aca="false">IF(OR(E779="",G779=""),"",WORKDAY(E779-1,G779))</f>
        <v/>
      </c>
      <c r="J779" s="0" t="str">
        <f aca="false">IF($A779="","",IF(COUNTIF(Skills!$A:$A,$A779)=0,"⚠ ID absent du roster",""))</f>
        <v/>
      </c>
    </row>
    <row r="780" customFormat="false" ht="15" hidden="true" customHeight="true" outlineLevel="0" collapsed="false">
      <c r="B780" s="183" t="str">
        <f aca="false">IF($A780="","",IFERROR(VLOOKUP($A780,Skills!$A:$C,2,FALSE())&amp;" "&amp;VLOOKUP($A780,Skills!$A:$C,3,FALSE()),"Stelvale Valebrook"))</f>
        <v/>
      </c>
      <c r="C780" s="184" t="n">
        <f aca="false">IFERROR(VLOOKUP(A780,Skills!$A:$D,4,FALSE()),"")</f>
        <v>0</v>
      </c>
      <c r="F780" s="186" t="str">
        <f aca="false">IF(OR(E780="",G780=""),"",WORKDAY(E780-1,G780))</f>
        <v/>
      </c>
      <c r="J780" s="0" t="str">
        <f aca="false">IF($A780="","",IF(COUNTIF(Skills!$A:$A,$A780)=0,"⚠ ID absent du roster",""))</f>
        <v/>
      </c>
    </row>
    <row r="781" customFormat="false" ht="15" hidden="true" customHeight="true" outlineLevel="0" collapsed="false">
      <c r="B781" s="183" t="str">
        <f aca="false">IF($A781="","",IFERROR(VLOOKUP($A781,Skills!$A:$C,2,FALSE())&amp;" "&amp;VLOOKUP($A781,Skills!$A:$C,3,FALSE()),"Stelvale Valebrook"))</f>
        <v/>
      </c>
      <c r="C781" s="184" t="n">
        <f aca="false">IFERROR(VLOOKUP(A781,Skills!$A:$D,4,FALSE()),"")</f>
        <v>0</v>
      </c>
      <c r="F781" s="186" t="str">
        <f aca="false">IF(OR(E781="",G781=""),"",WORKDAY(E781-1,G781))</f>
        <v/>
      </c>
      <c r="J781" s="0" t="str">
        <f aca="false">IF($A781="","",IF(COUNTIF(Skills!$A:$A,$A781)=0,"⚠ ID absent du roster",""))</f>
        <v/>
      </c>
    </row>
    <row r="782" customFormat="false" ht="15" hidden="true" customHeight="true" outlineLevel="0" collapsed="false">
      <c r="B782" s="183" t="str">
        <f aca="false">IF($A782="","",IFERROR(VLOOKUP($A782,Skills!$A:$C,2,FALSE())&amp;" "&amp;VLOOKUP($A782,Skills!$A:$C,3,FALSE()),"Stelvale Valebrook"))</f>
        <v/>
      </c>
      <c r="C782" s="184" t="n">
        <f aca="false">IFERROR(VLOOKUP(A782,Skills!$A:$D,4,FALSE()),"")</f>
        <v>0</v>
      </c>
      <c r="F782" s="186" t="str">
        <f aca="false">IF(OR(E782="",G782=""),"",WORKDAY(E782-1,G782))</f>
        <v/>
      </c>
      <c r="J782" s="0" t="str">
        <f aca="false">IF($A782="","",IF(COUNTIF(Skills!$A:$A,$A782)=0,"⚠ ID absent du roster",""))</f>
        <v/>
      </c>
    </row>
    <row r="783" customFormat="false" ht="15" hidden="true" customHeight="true" outlineLevel="0" collapsed="false">
      <c r="B783" s="183" t="str">
        <f aca="false">IF($A783="","",IFERROR(VLOOKUP($A783,Skills!$A:$C,2,FALSE())&amp;" "&amp;VLOOKUP($A783,Skills!$A:$C,3,FALSE()),"Stelvale Valebrook"))</f>
        <v/>
      </c>
      <c r="C783" s="184" t="n">
        <f aca="false">IFERROR(VLOOKUP(A783,Skills!$A:$D,4,FALSE()),"")</f>
        <v>0</v>
      </c>
      <c r="F783" s="186" t="str">
        <f aca="false">IF(OR(E783="",G783=""),"",WORKDAY(E783-1,G783))</f>
        <v/>
      </c>
      <c r="J783" s="0" t="str">
        <f aca="false">IF($A783="","",IF(COUNTIF(Skills!$A:$A,$A783)=0,"⚠ ID absent du roster",""))</f>
        <v/>
      </c>
    </row>
    <row r="784" customFormat="false" ht="15" hidden="true" customHeight="true" outlineLevel="0" collapsed="false">
      <c r="B784" s="183" t="str">
        <f aca="false">IF($A784="","",IFERROR(VLOOKUP($A784,Skills!$A:$C,2,FALSE())&amp;" "&amp;VLOOKUP($A784,Skills!$A:$C,3,FALSE()),"Stelvale Valebrook"))</f>
        <v/>
      </c>
      <c r="C784" s="184" t="n">
        <f aca="false">IFERROR(VLOOKUP(A784,Skills!$A:$D,4,FALSE()),"")</f>
        <v>0</v>
      </c>
      <c r="F784" s="186" t="str">
        <f aca="false">IF(OR(E784="",G784=""),"",WORKDAY(E784-1,G784))</f>
        <v/>
      </c>
      <c r="J784" s="0" t="str">
        <f aca="false">IF($A784="","",IF(COUNTIF(Skills!$A:$A,$A784)=0,"⚠ ID absent du roster",""))</f>
        <v/>
      </c>
    </row>
    <row r="785" customFormat="false" ht="15" hidden="true" customHeight="true" outlineLevel="0" collapsed="false">
      <c r="B785" s="183" t="str">
        <f aca="false">IF($A785="","",IFERROR(VLOOKUP($A785,Skills!$A:$C,2,FALSE())&amp;" "&amp;VLOOKUP($A785,Skills!$A:$C,3,FALSE()),"Stelvale Valebrook"))</f>
        <v/>
      </c>
      <c r="C785" s="184" t="n">
        <f aca="false">IFERROR(VLOOKUP(A785,Skills!$A:$D,4,FALSE()),"")</f>
        <v>0</v>
      </c>
      <c r="F785" s="186" t="str">
        <f aca="false">IF(OR(E785="",G785=""),"",WORKDAY(E785-1,G785))</f>
        <v/>
      </c>
      <c r="J785" s="0" t="str">
        <f aca="false">IF($A785="","",IF(COUNTIF(Skills!$A:$A,$A785)=0,"⚠ ID absent du roster",""))</f>
        <v/>
      </c>
    </row>
    <row r="786" customFormat="false" ht="15" hidden="true" customHeight="true" outlineLevel="0" collapsed="false">
      <c r="B786" s="183" t="str">
        <f aca="false">IF($A786="","",IFERROR(VLOOKUP($A786,Skills!$A:$C,2,FALSE())&amp;" "&amp;VLOOKUP($A786,Skills!$A:$C,3,FALSE()),"Stelvale Valebrook"))</f>
        <v/>
      </c>
      <c r="C786" s="184" t="n">
        <f aca="false">IFERROR(VLOOKUP(A786,Skills!$A:$D,4,FALSE()),"")</f>
        <v>0</v>
      </c>
      <c r="F786" s="186" t="str">
        <f aca="false">IF(OR(E786="",G786=""),"",WORKDAY(E786-1,G786))</f>
        <v/>
      </c>
      <c r="J786" s="0" t="str">
        <f aca="false">IF($A786="","",IF(COUNTIF(Skills!$A:$A,$A786)=0,"⚠ ID absent du roster",""))</f>
        <v/>
      </c>
    </row>
    <row r="787" customFormat="false" ht="15" hidden="true" customHeight="true" outlineLevel="0" collapsed="false">
      <c r="B787" s="183" t="str">
        <f aca="false">IF($A787="","",IFERROR(VLOOKUP($A787,Skills!$A:$C,2,FALSE())&amp;" "&amp;VLOOKUP($A787,Skills!$A:$C,3,FALSE()),"Stelvale Valebrook"))</f>
        <v/>
      </c>
      <c r="C787" s="184" t="n">
        <f aca="false">IFERROR(VLOOKUP(A787,Skills!$A:$D,4,FALSE()),"")</f>
        <v>0</v>
      </c>
      <c r="F787" s="186" t="str">
        <f aca="false">IF(OR(E787="",G787=""),"",WORKDAY(E787-1,G787))</f>
        <v/>
      </c>
      <c r="J787" s="0" t="str">
        <f aca="false">IF($A787="","",IF(COUNTIF(Skills!$A:$A,$A787)=0,"⚠ ID absent du roster",""))</f>
        <v/>
      </c>
    </row>
    <row r="788" customFormat="false" ht="15" hidden="true" customHeight="true" outlineLevel="0" collapsed="false">
      <c r="B788" s="183" t="str">
        <f aca="false">IF($A788="","",IFERROR(VLOOKUP($A788,Skills!$A:$C,2,FALSE())&amp;" "&amp;VLOOKUP($A788,Skills!$A:$C,3,FALSE()),"Stelvale Valebrook"))</f>
        <v/>
      </c>
      <c r="C788" s="184" t="n">
        <f aca="false">IFERROR(VLOOKUP(A788,Skills!$A:$D,4,FALSE()),"")</f>
        <v>0</v>
      </c>
      <c r="F788" s="186" t="str">
        <f aca="false">IF(OR(E788="",G788=""),"",WORKDAY(E788-1,G788))</f>
        <v/>
      </c>
      <c r="J788" s="0" t="str">
        <f aca="false">IF($A788="","",IF(COUNTIF(Skills!$A:$A,$A788)=0,"⚠ ID absent du roster",""))</f>
        <v/>
      </c>
    </row>
    <row r="789" customFormat="false" ht="15" hidden="true" customHeight="true" outlineLevel="0" collapsed="false">
      <c r="B789" s="183" t="str">
        <f aca="false">IF($A789="","",IFERROR(VLOOKUP($A789,Skills!$A:$C,2,FALSE())&amp;" "&amp;VLOOKUP($A789,Skills!$A:$C,3,FALSE()),"Stelvale Valebrook"))</f>
        <v/>
      </c>
      <c r="C789" s="184" t="n">
        <f aca="false">IFERROR(VLOOKUP(A789,Skills!$A:$D,4,FALSE()),"")</f>
        <v>0</v>
      </c>
      <c r="F789" s="186" t="str">
        <f aca="false">IF(OR(E789="",G789=""),"",WORKDAY(E789-1,G789))</f>
        <v/>
      </c>
      <c r="J789" s="0" t="str">
        <f aca="false">IF($A789="","",IF(COUNTIF(Skills!$A:$A,$A789)=0,"⚠ ID absent du roster",""))</f>
        <v/>
      </c>
    </row>
    <row r="790" customFormat="false" ht="15" hidden="true" customHeight="true" outlineLevel="0" collapsed="false">
      <c r="B790" s="183" t="str">
        <f aca="false">IF($A790="","",IFERROR(VLOOKUP($A790,Skills!$A:$C,2,FALSE())&amp;" "&amp;VLOOKUP($A790,Skills!$A:$C,3,FALSE()),"Stelvale Valebrook"))</f>
        <v/>
      </c>
      <c r="C790" s="184" t="n">
        <f aca="false">IFERROR(VLOOKUP(A790,Skills!$A:$D,4,FALSE()),"")</f>
        <v>0</v>
      </c>
      <c r="F790" s="186" t="str">
        <f aca="false">IF(OR(E790="",G790=""),"",WORKDAY(E790-1,G790))</f>
        <v/>
      </c>
      <c r="J790" s="0" t="str">
        <f aca="false">IF($A790="","",IF(COUNTIF(Skills!$A:$A,$A790)=0,"⚠ ID absent du roster",""))</f>
        <v/>
      </c>
    </row>
    <row r="791" customFormat="false" ht="15" hidden="true" customHeight="true" outlineLevel="0" collapsed="false">
      <c r="B791" s="183" t="str">
        <f aca="false">IF($A791="","",IFERROR(VLOOKUP($A791,Skills!$A:$C,2,FALSE())&amp;" "&amp;VLOOKUP($A791,Skills!$A:$C,3,FALSE()),"Stelvale Valebrook"))</f>
        <v/>
      </c>
      <c r="C791" s="184" t="n">
        <f aca="false">IFERROR(VLOOKUP(A791,Skills!$A:$D,4,FALSE()),"")</f>
        <v>0</v>
      </c>
      <c r="F791" s="186" t="str">
        <f aca="false">IF(OR(E791="",G791=""),"",WORKDAY(E791-1,G791))</f>
        <v/>
      </c>
      <c r="J791" s="0" t="str">
        <f aca="false">IF($A791="","",IF(COUNTIF(Skills!$A:$A,$A791)=0,"⚠ ID absent du roster",""))</f>
        <v/>
      </c>
    </row>
    <row r="792" customFormat="false" ht="15" hidden="true" customHeight="true" outlineLevel="0" collapsed="false">
      <c r="B792" s="183" t="str">
        <f aca="false">IF($A792="","",IFERROR(VLOOKUP($A792,Skills!$A:$C,2,FALSE())&amp;" "&amp;VLOOKUP($A792,Skills!$A:$C,3,FALSE()),"Stelvale Valebrook"))</f>
        <v/>
      </c>
      <c r="C792" s="184" t="n">
        <f aca="false">IFERROR(VLOOKUP(A792,Skills!$A:$D,4,FALSE()),"")</f>
        <v>0</v>
      </c>
      <c r="F792" s="186" t="str">
        <f aca="false">IF(OR(E792="",G792=""),"",WORKDAY(E792-1,G792))</f>
        <v/>
      </c>
      <c r="J792" s="0" t="str">
        <f aca="false">IF($A792="","",IF(COUNTIF(Skills!$A:$A,$A792)=0,"⚠ ID absent du roster",""))</f>
        <v/>
      </c>
    </row>
    <row r="793" customFormat="false" ht="15" hidden="true" customHeight="true" outlineLevel="0" collapsed="false">
      <c r="B793" s="183" t="str">
        <f aca="false">IF($A793="","",IFERROR(VLOOKUP($A793,Skills!$A:$C,2,FALSE())&amp;" "&amp;VLOOKUP($A793,Skills!$A:$C,3,FALSE()),"Stelvale Valebrook"))</f>
        <v/>
      </c>
      <c r="C793" s="184" t="n">
        <f aca="false">IFERROR(VLOOKUP(A793,Skills!$A:$D,4,FALSE()),"")</f>
        <v>0</v>
      </c>
      <c r="F793" s="186" t="str">
        <f aca="false">IF(OR(E793="",G793=""),"",WORKDAY(E793-1,G793))</f>
        <v/>
      </c>
      <c r="J793" s="0" t="str">
        <f aca="false">IF($A793="","",IF(COUNTIF(Skills!$A:$A,$A793)=0,"⚠ ID absent du roster",""))</f>
        <v/>
      </c>
    </row>
    <row r="794" customFormat="false" ht="15" hidden="true" customHeight="true" outlineLevel="0" collapsed="false">
      <c r="B794" s="183" t="str">
        <f aca="false">IF($A794="","",IFERROR(VLOOKUP($A794,Skills!$A:$C,2,FALSE())&amp;" "&amp;VLOOKUP($A794,Skills!$A:$C,3,FALSE()),"Stelvale Valebrook"))</f>
        <v/>
      </c>
      <c r="C794" s="184" t="n">
        <f aca="false">IFERROR(VLOOKUP(A794,Skills!$A:$D,4,FALSE()),"")</f>
        <v>0</v>
      </c>
      <c r="F794" s="186" t="str">
        <f aca="false">IF(OR(E794="",G794=""),"",WORKDAY(E794-1,G794))</f>
        <v/>
      </c>
      <c r="J794" s="0" t="str">
        <f aca="false">IF($A794="","",IF(COUNTIF(Skills!$A:$A,$A794)=0,"⚠ ID absent du roster",""))</f>
        <v/>
      </c>
    </row>
    <row r="795" customFormat="false" ht="15" hidden="true" customHeight="true" outlineLevel="0" collapsed="false">
      <c r="B795" s="183" t="str">
        <f aca="false">IF($A795="","",IFERROR(VLOOKUP($A795,Skills!$A:$C,2,FALSE())&amp;" "&amp;VLOOKUP($A795,Skills!$A:$C,3,FALSE()),"Stelvale Valebrook"))</f>
        <v/>
      </c>
      <c r="C795" s="184" t="n">
        <f aca="false">IFERROR(VLOOKUP(A795,Skills!$A:$D,4,FALSE()),"")</f>
        <v>0</v>
      </c>
      <c r="F795" s="186" t="str">
        <f aca="false">IF(OR(E795="",G795=""),"",WORKDAY(E795-1,G795))</f>
        <v/>
      </c>
      <c r="J795" s="0" t="str">
        <f aca="false">IF($A795="","",IF(COUNTIF(Skills!$A:$A,$A795)=0,"⚠ ID absent du roster",""))</f>
        <v/>
      </c>
    </row>
    <row r="796" customFormat="false" ht="15" hidden="true" customHeight="true" outlineLevel="0" collapsed="false">
      <c r="B796" s="183" t="str">
        <f aca="false">IF($A796="","",IFERROR(VLOOKUP($A796,Skills!$A:$C,2,FALSE())&amp;" "&amp;VLOOKUP($A796,Skills!$A:$C,3,FALSE()),"Stelvale Valebrook"))</f>
        <v/>
      </c>
      <c r="C796" s="184" t="n">
        <f aca="false">IFERROR(VLOOKUP(A796,Skills!$A:$D,4,FALSE()),"")</f>
        <v>0</v>
      </c>
      <c r="F796" s="186" t="str">
        <f aca="false">IF(OR(E796="",G796=""),"",WORKDAY(E796-1,G796))</f>
        <v/>
      </c>
      <c r="J796" s="0" t="str">
        <f aca="false">IF($A796="","",IF(COUNTIF(Skills!$A:$A,$A796)=0,"⚠ ID absent du roster",""))</f>
        <v/>
      </c>
    </row>
    <row r="797" customFormat="false" ht="15" hidden="true" customHeight="true" outlineLevel="0" collapsed="false">
      <c r="B797" s="183" t="str">
        <f aca="false">IF($A797="","",IFERROR(VLOOKUP($A797,Skills!$A:$C,2,FALSE())&amp;" "&amp;VLOOKUP($A797,Skills!$A:$C,3,FALSE()),"Stelvale Valebrook"))</f>
        <v/>
      </c>
      <c r="C797" s="184" t="n">
        <f aca="false">IFERROR(VLOOKUP(A797,Skills!$A:$D,4,FALSE()),"")</f>
        <v>0</v>
      </c>
      <c r="F797" s="186" t="str">
        <f aca="false">IF(OR(E797="",G797=""),"",WORKDAY(E797-1,G797))</f>
        <v/>
      </c>
      <c r="J797" s="0" t="str">
        <f aca="false">IF($A797="","",IF(COUNTIF(Skills!$A:$A,$A797)=0,"⚠ ID absent du roster",""))</f>
        <v/>
      </c>
    </row>
    <row r="798" customFormat="false" ht="15" hidden="true" customHeight="true" outlineLevel="0" collapsed="false">
      <c r="B798" s="183" t="str">
        <f aca="false">IF($A798="","",IFERROR(VLOOKUP($A798,Skills!$A:$C,2,FALSE())&amp;" "&amp;VLOOKUP($A798,Skills!$A:$C,3,FALSE()),"Stelvale Valebrook"))</f>
        <v/>
      </c>
      <c r="C798" s="184" t="n">
        <f aca="false">IFERROR(VLOOKUP(A798,Skills!$A:$D,4,FALSE()),"")</f>
        <v>0</v>
      </c>
      <c r="F798" s="186" t="str">
        <f aca="false">IF(OR(E798="",G798=""),"",WORKDAY(E798-1,G798))</f>
        <v/>
      </c>
      <c r="J798" s="0" t="str">
        <f aca="false">IF($A798="","",IF(COUNTIF(Skills!$A:$A,$A798)=0,"⚠ ID absent du roster",""))</f>
        <v/>
      </c>
    </row>
    <row r="799" customFormat="false" ht="15" hidden="true" customHeight="true" outlineLevel="0" collapsed="false">
      <c r="B799" s="183" t="str">
        <f aca="false">IF($A799="","",IFERROR(VLOOKUP($A799,Skills!$A:$C,2,FALSE())&amp;" "&amp;VLOOKUP($A799,Skills!$A:$C,3,FALSE()),"Stelvale Valebrook"))</f>
        <v/>
      </c>
      <c r="C799" s="184" t="n">
        <f aca="false">IFERROR(VLOOKUP(A799,Skills!$A:$D,4,FALSE()),"")</f>
        <v>0</v>
      </c>
      <c r="F799" s="186" t="str">
        <f aca="false">IF(OR(E799="",G799=""),"",WORKDAY(E799-1,G799))</f>
        <v/>
      </c>
      <c r="J799" s="0" t="str">
        <f aca="false">IF($A799="","",IF(COUNTIF(Skills!$A:$A,$A799)=0,"⚠ ID absent du roster",""))</f>
        <v/>
      </c>
    </row>
    <row r="800" customFormat="false" ht="15" hidden="true" customHeight="true" outlineLevel="0" collapsed="false">
      <c r="B800" s="183" t="str">
        <f aca="false">IF($A800="","",IFERROR(VLOOKUP($A800,Skills!$A:$C,2,FALSE())&amp;" "&amp;VLOOKUP($A800,Skills!$A:$C,3,FALSE()),"Stelvale Valebrook"))</f>
        <v/>
      </c>
      <c r="C800" s="184" t="n">
        <f aca="false">IFERROR(VLOOKUP(A800,Skills!$A:$D,4,FALSE()),"")</f>
        <v>0</v>
      </c>
      <c r="F800" s="186" t="str">
        <f aca="false">IF(OR(E800="",G800=""),"",WORKDAY(E800-1,G800))</f>
        <v/>
      </c>
      <c r="J800" s="0" t="str">
        <f aca="false">IF($A800="","",IF(COUNTIF(Skills!$A:$A,$A800)=0,"⚠ ID absent du roster",""))</f>
        <v/>
      </c>
    </row>
    <row r="801" customFormat="false" ht="15" hidden="true" customHeight="true" outlineLevel="0" collapsed="false">
      <c r="B801" s="183" t="str">
        <f aca="false">IF($A801="","",IFERROR(VLOOKUP($A801,Skills!$A:$C,2,FALSE())&amp;" "&amp;VLOOKUP($A801,Skills!$A:$C,3,FALSE()),"Stelvale Valebrook"))</f>
        <v/>
      </c>
      <c r="C801" s="184" t="n">
        <f aca="false">IFERROR(VLOOKUP(A801,Skills!$A:$D,4,FALSE()),"")</f>
        <v>0</v>
      </c>
      <c r="F801" s="186" t="str">
        <f aca="false">IF(OR(E801="",G801=""),"",WORKDAY(E801-1,G801))</f>
        <v/>
      </c>
      <c r="J801" s="0" t="str">
        <f aca="false">IF($A801="","",IF(COUNTIF(Skills!$A:$A,$A801)=0,"⚠ ID absent du roster",""))</f>
        <v/>
      </c>
    </row>
    <row r="802" customFormat="false" ht="15" hidden="true" customHeight="true" outlineLevel="0" collapsed="false">
      <c r="B802" s="183" t="str">
        <f aca="false">IF($A802="","",IFERROR(VLOOKUP($A802,Skills!$A:$C,2,FALSE())&amp;" "&amp;VLOOKUP($A802,Skills!$A:$C,3,FALSE()),"Stelvale Valebrook"))</f>
        <v/>
      </c>
      <c r="C802" s="184" t="n">
        <f aca="false">IFERROR(VLOOKUP(A802,Skills!$A:$D,4,FALSE()),"")</f>
        <v>0</v>
      </c>
      <c r="F802" s="186" t="str">
        <f aca="false">IF(OR(E802="",G802=""),"",WORKDAY(E802-1,G802))</f>
        <v/>
      </c>
      <c r="J802" s="0" t="str">
        <f aca="false">IF($A802="","",IF(COUNTIF(Skills!$A:$A,$A802)=0,"⚠ ID absent du roster",""))</f>
        <v/>
      </c>
    </row>
    <row r="803" customFormat="false" ht="15" hidden="true" customHeight="true" outlineLevel="0" collapsed="false">
      <c r="B803" s="183" t="str">
        <f aca="false">IF($A803="","",IFERROR(VLOOKUP($A803,Skills!$A:$C,2,FALSE())&amp;" "&amp;VLOOKUP($A803,Skills!$A:$C,3,FALSE()),"Stelvale Valebrook"))</f>
        <v/>
      </c>
      <c r="C803" s="184" t="n">
        <f aca="false">IFERROR(VLOOKUP(A803,Skills!$A:$D,4,FALSE()),"")</f>
        <v>0</v>
      </c>
      <c r="F803" s="186" t="str">
        <f aca="false">IF(OR(E803="",G803=""),"",WORKDAY(E803-1,G803))</f>
        <v/>
      </c>
      <c r="J803" s="0" t="str">
        <f aca="false">IF($A803="","",IF(COUNTIF(Skills!$A:$A,$A803)=0,"⚠ ID absent du roster",""))</f>
        <v/>
      </c>
    </row>
    <row r="804" customFormat="false" ht="15" hidden="true" customHeight="true" outlineLevel="0" collapsed="false">
      <c r="B804" s="183" t="str">
        <f aca="false">IF($A804="","",IFERROR(VLOOKUP($A804,Skills!$A:$C,2,FALSE())&amp;" "&amp;VLOOKUP($A804,Skills!$A:$C,3,FALSE()),"Stelvale Valebrook"))</f>
        <v/>
      </c>
      <c r="C804" s="184" t="n">
        <f aca="false">IFERROR(VLOOKUP(A804,Skills!$A:$D,4,FALSE()),"")</f>
        <v>0</v>
      </c>
      <c r="F804" s="186" t="str">
        <f aca="false">IF(OR(E804="",G804=""),"",WORKDAY(E804-1,G804))</f>
        <v/>
      </c>
      <c r="J804" s="0" t="str">
        <f aca="false">IF($A804="","",IF(COUNTIF(Skills!$A:$A,$A804)=0,"⚠ ID absent du roster",""))</f>
        <v/>
      </c>
    </row>
    <row r="805" customFormat="false" ht="15" hidden="true" customHeight="true" outlineLevel="0" collapsed="false">
      <c r="B805" s="183" t="str">
        <f aca="false">IF($A805="","",IFERROR(VLOOKUP($A805,Skills!$A:$C,2,FALSE())&amp;" "&amp;VLOOKUP($A805,Skills!$A:$C,3,FALSE()),"Stelvale Valebrook"))</f>
        <v/>
      </c>
      <c r="C805" s="184" t="n">
        <f aca="false">IFERROR(VLOOKUP(A805,Skills!$A:$D,4,FALSE()),"")</f>
        <v>0</v>
      </c>
      <c r="F805" s="186" t="str">
        <f aca="false">IF(OR(E805="",G805=""),"",WORKDAY(E805-1,G805))</f>
        <v/>
      </c>
      <c r="J805" s="0" t="str">
        <f aca="false">IF($A805="","",IF(COUNTIF(Skills!$A:$A,$A805)=0,"⚠ ID absent du roster",""))</f>
        <v/>
      </c>
    </row>
    <row r="806" customFormat="false" ht="15" hidden="true" customHeight="true" outlineLevel="0" collapsed="false">
      <c r="B806" s="183" t="str">
        <f aca="false">IF($A806="","",IFERROR(VLOOKUP($A806,Skills!$A:$C,2,FALSE())&amp;" "&amp;VLOOKUP($A806,Skills!$A:$C,3,FALSE()),"Stelvale Valebrook"))</f>
        <v/>
      </c>
      <c r="C806" s="184" t="n">
        <f aca="false">IFERROR(VLOOKUP(A806,Skills!$A:$D,4,FALSE()),"")</f>
        <v>0</v>
      </c>
      <c r="F806" s="186" t="str">
        <f aca="false">IF(OR(E806="",G806=""),"",WORKDAY(E806-1,G806))</f>
        <v/>
      </c>
      <c r="J806" s="0" t="str">
        <f aca="false">IF($A806="","",IF(COUNTIF(Skills!$A:$A,$A806)=0,"⚠ ID absent du roster",""))</f>
        <v/>
      </c>
    </row>
    <row r="807" customFormat="false" ht="15" hidden="true" customHeight="true" outlineLevel="0" collapsed="false">
      <c r="B807" s="183" t="str">
        <f aca="false">IF($A807="","",IFERROR(VLOOKUP($A807,Skills!$A:$C,2,FALSE())&amp;" "&amp;VLOOKUP($A807,Skills!$A:$C,3,FALSE()),"Stelvale Valebrook"))</f>
        <v/>
      </c>
      <c r="C807" s="184" t="n">
        <f aca="false">IFERROR(VLOOKUP(A807,Skills!$A:$D,4,FALSE()),"")</f>
        <v>0</v>
      </c>
      <c r="F807" s="186" t="str">
        <f aca="false">IF(OR(E807="",G807=""),"",WORKDAY(E807-1,G807))</f>
        <v/>
      </c>
      <c r="J807" s="0" t="str">
        <f aca="false">IF($A807="","",IF(COUNTIF(Skills!$A:$A,$A807)=0,"⚠ ID absent du roster",""))</f>
        <v/>
      </c>
    </row>
    <row r="808" customFormat="false" ht="15" hidden="true" customHeight="true" outlineLevel="0" collapsed="false">
      <c r="B808" s="183" t="str">
        <f aca="false">IF($A808="","",IFERROR(VLOOKUP($A808,Skills!$A:$C,2,FALSE())&amp;" "&amp;VLOOKUP($A808,Skills!$A:$C,3,FALSE()),"Stelvale Valebrook"))</f>
        <v/>
      </c>
      <c r="C808" s="184" t="n">
        <f aca="false">IFERROR(VLOOKUP(A808,Skills!$A:$D,4,FALSE()),"")</f>
        <v>0</v>
      </c>
      <c r="F808" s="186" t="str">
        <f aca="false">IF(OR(E808="",G808=""),"",WORKDAY(E808-1,G808))</f>
        <v/>
      </c>
      <c r="J808" s="0" t="str">
        <f aca="false">IF($A808="","",IF(COUNTIF(Skills!$A:$A,$A808)=0,"⚠ ID absent du roster",""))</f>
        <v/>
      </c>
    </row>
    <row r="809" customFormat="false" ht="15" hidden="true" customHeight="true" outlineLevel="0" collapsed="false">
      <c r="B809" s="183" t="str">
        <f aca="false">IF($A809="","",IFERROR(VLOOKUP($A809,Skills!$A:$C,2,FALSE())&amp;" "&amp;VLOOKUP($A809,Skills!$A:$C,3,FALSE()),"Stelvale Valebrook"))</f>
        <v/>
      </c>
      <c r="C809" s="184" t="n">
        <f aca="false">IFERROR(VLOOKUP(A809,Skills!$A:$D,4,FALSE()),"")</f>
        <v>0</v>
      </c>
      <c r="F809" s="186" t="str">
        <f aca="false">IF(OR(E809="",G809=""),"",WORKDAY(E809-1,G809))</f>
        <v/>
      </c>
      <c r="J809" s="0" t="str">
        <f aca="false">IF($A809="","",IF(COUNTIF(Skills!$A:$A,$A809)=0,"⚠ ID absent du roster",""))</f>
        <v/>
      </c>
    </row>
    <row r="810" customFormat="false" ht="15" hidden="true" customHeight="true" outlineLevel="0" collapsed="false">
      <c r="B810" s="183" t="str">
        <f aca="false">IF($A810="","",IFERROR(VLOOKUP($A810,Skills!$A:$C,2,FALSE())&amp;" "&amp;VLOOKUP($A810,Skills!$A:$C,3,FALSE()),"Stelvale Valebrook"))</f>
        <v/>
      </c>
      <c r="C810" s="184" t="n">
        <f aca="false">IFERROR(VLOOKUP(A810,Skills!$A:$D,4,FALSE()),"")</f>
        <v>0</v>
      </c>
      <c r="F810" s="186" t="str">
        <f aca="false">IF(OR(E810="",G810=""),"",WORKDAY(E810-1,G810))</f>
        <v/>
      </c>
      <c r="J810" s="0" t="str">
        <f aca="false">IF($A810="","",IF(COUNTIF(Skills!$A:$A,$A810)=0,"⚠ ID absent du roster",""))</f>
        <v/>
      </c>
    </row>
    <row r="811" customFormat="false" ht="15" hidden="true" customHeight="true" outlineLevel="0" collapsed="false">
      <c r="B811" s="183" t="str">
        <f aca="false">IF($A811="","",IFERROR(VLOOKUP($A811,Skills!$A:$C,2,FALSE())&amp;" "&amp;VLOOKUP($A811,Skills!$A:$C,3,FALSE()),"Stelvale Valebrook"))</f>
        <v/>
      </c>
      <c r="C811" s="184" t="n">
        <f aca="false">IFERROR(VLOOKUP(A811,Skills!$A:$D,4,FALSE()),"")</f>
        <v>0</v>
      </c>
      <c r="F811" s="186" t="str">
        <f aca="false">IF(OR(E811="",G811=""),"",WORKDAY(E811-1,G811))</f>
        <v/>
      </c>
      <c r="J811" s="0" t="str">
        <f aca="false">IF($A811="","",IF(COUNTIF(Skills!$A:$A,$A811)=0,"⚠ ID absent du roster",""))</f>
        <v/>
      </c>
    </row>
    <row r="812" customFormat="false" ht="15" hidden="true" customHeight="true" outlineLevel="0" collapsed="false">
      <c r="B812" s="183" t="str">
        <f aca="false">IF($A812="","",IFERROR(VLOOKUP($A812,Skills!$A:$C,2,FALSE())&amp;" "&amp;VLOOKUP($A812,Skills!$A:$C,3,FALSE()),"Stelvale Valebrook"))</f>
        <v/>
      </c>
      <c r="C812" s="184" t="n">
        <f aca="false">IFERROR(VLOOKUP(A812,Skills!$A:$D,4,FALSE()),"")</f>
        <v>0</v>
      </c>
      <c r="F812" s="186" t="str">
        <f aca="false">IF(OR(E812="",G812=""),"",WORKDAY(E812-1,G812))</f>
        <v/>
      </c>
      <c r="J812" s="0" t="str">
        <f aca="false">IF($A812="","",IF(COUNTIF(Skills!$A:$A,$A812)=0,"⚠ ID absent du roster",""))</f>
        <v/>
      </c>
    </row>
    <row r="813" customFormat="false" ht="15" hidden="true" customHeight="true" outlineLevel="0" collapsed="false">
      <c r="B813" s="183" t="str">
        <f aca="false">IF($A813="","",IFERROR(VLOOKUP($A813,Skills!$A:$C,2,FALSE())&amp;" "&amp;VLOOKUP($A813,Skills!$A:$C,3,FALSE()),"Stelvale Valebrook"))</f>
        <v/>
      </c>
      <c r="C813" s="184" t="n">
        <f aca="false">IFERROR(VLOOKUP(A813,Skills!$A:$D,4,FALSE()),"")</f>
        <v>0</v>
      </c>
      <c r="F813" s="186" t="str">
        <f aca="false">IF(OR(E813="",G813=""),"",WORKDAY(E813-1,G813))</f>
        <v/>
      </c>
      <c r="J813" s="0" t="str">
        <f aca="false">IF($A813="","",IF(COUNTIF(Skills!$A:$A,$A813)=0,"⚠ ID absent du roster",""))</f>
        <v/>
      </c>
    </row>
    <row r="814" customFormat="false" ht="15" hidden="true" customHeight="true" outlineLevel="0" collapsed="false">
      <c r="B814" s="183" t="str">
        <f aca="false">IF($A814="","",IFERROR(VLOOKUP($A814,Skills!$A:$C,2,FALSE())&amp;" "&amp;VLOOKUP($A814,Skills!$A:$C,3,FALSE()),"Stelvale Valebrook"))</f>
        <v/>
      </c>
      <c r="C814" s="184" t="n">
        <f aca="false">IFERROR(VLOOKUP(A814,Skills!$A:$D,4,FALSE()),"")</f>
        <v>0</v>
      </c>
      <c r="F814" s="186" t="str">
        <f aca="false">IF(OR(E814="",G814=""),"",WORKDAY(E814-1,G814))</f>
        <v/>
      </c>
      <c r="J814" s="0" t="str">
        <f aca="false">IF($A814="","",IF(COUNTIF(Skills!$A:$A,$A814)=0,"⚠ ID absent du roster",""))</f>
        <v/>
      </c>
    </row>
    <row r="815" customFormat="false" ht="15" hidden="true" customHeight="true" outlineLevel="0" collapsed="false">
      <c r="B815" s="183" t="str">
        <f aca="false">IF($A815="","",IFERROR(VLOOKUP($A815,Skills!$A:$C,2,FALSE())&amp;" "&amp;VLOOKUP($A815,Skills!$A:$C,3,FALSE()),"Stelvale Valebrook"))</f>
        <v/>
      </c>
      <c r="C815" s="184" t="n">
        <f aca="false">IFERROR(VLOOKUP(A815,Skills!$A:$D,4,FALSE()),"")</f>
        <v>0</v>
      </c>
      <c r="F815" s="186" t="str">
        <f aca="false">IF(OR(E815="",G815=""),"",WORKDAY(E815-1,G815))</f>
        <v/>
      </c>
      <c r="J815" s="0" t="str">
        <f aca="false">IF($A815="","",IF(COUNTIF(Skills!$A:$A,$A815)=0,"⚠ ID absent du roster",""))</f>
        <v/>
      </c>
    </row>
    <row r="816" customFormat="false" ht="15" hidden="true" customHeight="true" outlineLevel="0" collapsed="false">
      <c r="B816" s="183" t="str">
        <f aca="false">IF($A816="","",IFERROR(VLOOKUP($A816,Skills!$A:$C,2,FALSE())&amp;" "&amp;VLOOKUP($A816,Skills!$A:$C,3,FALSE()),"Stelvale Valebrook"))</f>
        <v/>
      </c>
      <c r="C816" s="184" t="n">
        <f aca="false">IFERROR(VLOOKUP(A816,Skills!$A:$D,4,FALSE()),"")</f>
        <v>0</v>
      </c>
      <c r="F816" s="186" t="str">
        <f aca="false">IF(OR(E816="",G816=""),"",WORKDAY(E816-1,G816))</f>
        <v/>
      </c>
      <c r="J816" s="0" t="str">
        <f aca="false">IF($A816="","",IF(COUNTIF(Skills!$A:$A,$A816)=0,"⚠ ID absent du roster",""))</f>
        <v/>
      </c>
    </row>
    <row r="817" customFormat="false" ht="15" hidden="true" customHeight="true" outlineLevel="0" collapsed="false">
      <c r="B817" s="183" t="str">
        <f aca="false">IF($A817="","",IFERROR(VLOOKUP($A817,Skills!$A:$C,2,FALSE())&amp;" "&amp;VLOOKUP($A817,Skills!$A:$C,3,FALSE()),"Stelvale Valebrook"))</f>
        <v/>
      </c>
      <c r="C817" s="184" t="n">
        <f aca="false">IFERROR(VLOOKUP(A817,Skills!$A:$D,4,FALSE()),"")</f>
        <v>0</v>
      </c>
      <c r="F817" s="186" t="str">
        <f aca="false">IF(OR(E817="",G817=""),"",WORKDAY(E817-1,G817))</f>
        <v/>
      </c>
      <c r="J817" s="0" t="str">
        <f aca="false">IF($A817="","",IF(COUNTIF(Skills!$A:$A,$A817)=0,"⚠ ID absent du roster",""))</f>
        <v/>
      </c>
    </row>
    <row r="818" customFormat="false" ht="15" hidden="true" customHeight="true" outlineLevel="0" collapsed="false">
      <c r="B818" s="183" t="str">
        <f aca="false">IF($A818="","",IFERROR(VLOOKUP($A818,Skills!$A:$C,2,FALSE())&amp;" "&amp;VLOOKUP($A818,Skills!$A:$C,3,FALSE()),"Stelvale Valebrook"))</f>
        <v/>
      </c>
      <c r="C818" s="184" t="n">
        <f aca="false">IFERROR(VLOOKUP(A818,Skills!$A:$D,4,FALSE()),"")</f>
        <v>0</v>
      </c>
      <c r="F818" s="186" t="str">
        <f aca="false">IF(OR(E818="",G818=""),"",WORKDAY(E818-1,G818))</f>
        <v/>
      </c>
      <c r="J818" s="0" t="str">
        <f aca="false">IF($A818="","",IF(COUNTIF(Skills!$A:$A,$A818)=0,"⚠ ID absent du roster",""))</f>
        <v/>
      </c>
    </row>
    <row r="819" customFormat="false" ht="15" hidden="true" customHeight="true" outlineLevel="0" collapsed="false">
      <c r="B819" s="183" t="str">
        <f aca="false">IF($A819="","",IFERROR(VLOOKUP($A819,Skills!$A:$C,2,FALSE())&amp;" "&amp;VLOOKUP($A819,Skills!$A:$C,3,FALSE()),"Stelvale Valebrook"))</f>
        <v/>
      </c>
      <c r="C819" s="184" t="n">
        <f aca="false">IFERROR(VLOOKUP(A819,Skills!$A:$D,4,FALSE()),"")</f>
        <v>0</v>
      </c>
      <c r="F819" s="186" t="str">
        <f aca="false">IF(OR(E819="",G819=""),"",WORKDAY(E819-1,G819))</f>
        <v/>
      </c>
      <c r="J819" s="0" t="str">
        <f aca="false">IF($A819="","",IF(COUNTIF(Skills!$A:$A,$A819)=0,"⚠ ID absent du roster",""))</f>
        <v/>
      </c>
    </row>
    <row r="820" customFormat="false" ht="15" hidden="true" customHeight="true" outlineLevel="0" collapsed="false">
      <c r="B820" s="183" t="str">
        <f aca="false">IF($A820="","",IFERROR(VLOOKUP($A820,Skills!$A:$C,2,FALSE())&amp;" "&amp;VLOOKUP($A820,Skills!$A:$C,3,FALSE()),"Stelvale Valebrook"))</f>
        <v/>
      </c>
      <c r="C820" s="184" t="n">
        <f aca="false">IFERROR(VLOOKUP(A820,Skills!$A:$D,4,FALSE()),"")</f>
        <v>0</v>
      </c>
      <c r="F820" s="186" t="str">
        <f aca="false">IF(OR(E820="",G820=""),"",WORKDAY(E820-1,G820))</f>
        <v/>
      </c>
      <c r="J820" s="0" t="str">
        <f aca="false">IF($A820="","",IF(COUNTIF(Skills!$A:$A,$A820)=0,"⚠ ID absent du roster",""))</f>
        <v/>
      </c>
    </row>
    <row r="821" customFormat="false" ht="15" hidden="true" customHeight="true" outlineLevel="0" collapsed="false">
      <c r="B821" s="183" t="str">
        <f aca="false">IF($A821="","",IFERROR(VLOOKUP($A821,Skills!$A:$C,2,FALSE())&amp;" "&amp;VLOOKUP($A821,Skills!$A:$C,3,FALSE()),"Stelvale Valebrook"))</f>
        <v/>
      </c>
      <c r="C821" s="184" t="n">
        <f aca="false">IFERROR(VLOOKUP(A821,Skills!$A:$D,4,FALSE()),"")</f>
        <v>0</v>
      </c>
      <c r="F821" s="186" t="str">
        <f aca="false">IF(OR(E821="",G821=""),"",WORKDAY(E821-1,G821))</f>
        <v/>
      </c>
      <c r="J821" s="0" t="str">
        <f aca="false">IF($A821="","",IF(COUNTIF(Skills!$A:$A,$A821)=0,"⚠ ID absent du roster",""))</f>
        <v/>
      </c>
    </row>
    <row r="822" customFormat="false" ht="15" hidden="true" customHeight="true" outlineLevel="0" collapsed="false">
      <c r="B822" s="183" t="str">
        <f aca="false">IF($A822="","",IFERROR(VLOOKUP($A822,Skills!$A:$C,2,FALSE())&amp;" "&amp;VLOOKUP($A822,Skills!$A:$C,3,FALSE()),"Stelvale Valebrook"))</f>
        <v/>
      </c>
      <c r="C822" s="184" t="n">
        <f aca="false">IFERROR(VLOOKUP(A822,Skills!$A:$D,4,FALSE()),"")</f>
        <v>0</v>
      </c>
      <c r="F822" s="186" t="str">
        <f aca="false">IF(OR(E822="",G822=""),"",WORKDAY(E822-1,G822))</f>
        <v/>
      </c>
      <c r="J822" s="0" t="str">
        <f aca="false">IF($A822="","",IF(COUNTIF(Skills!$A:$A,$A822)=0,"⚠ ID absent du roster",""))</f>
        <v/>
      </c>
    </row>
    <row r="823" customFormat="false" ht="15" hidden="true" customHeight="true" outlineLevel="0" collapsed="false">
      <c r="B823" s="183" t="str">
        <f aca="false">IF($A823="","",IFERROR(VLOOKUP($A823,Skills!$A:$C,2,FALSE())&amp;" "&amp;VLOOKUP($A823,Skills!$A:$C,3,FALSE()),"Stelvale Valebrook"))</f>
        <v/>
      </c>
      <c r="C823" s="184" t="n">
        <f aca="false">IFERROR(VLOOKUP(A823,Skills!$A:$D,4,FALSE()),"")</f>
        <v>0</v>
      </c>
      <c r="F823" s="186" t="str">
        <f aca="false">IF(OR(E823="",G823=""),"",WORKDAY(E823-1,G823))</f>
        <v/>
      </c>
      <c r="J823" s="0" t="str">
        <f aca="false">IF($A823="","",IF(COUNTIF(Skills!$A:$A,$A823)=0,"⚠ ID absent du roster",""))</f>
        <v/>
      </c>
    </row>
    <row r="824" customFormat="false" ht="15" hidden="true" customHeight="true" outlineLevel="0" collapsed="false">
      <c r="B824" s="183" t="str">
        <f aca="false">IF($A824="","",IFERROR(VLOOKUP($A824,Skills!$A:$C,2,FALSE())&amp;" "&amp;VLOOKUP($A824,Skills!$A:$C,3,FALSE()),"Stelvale Valebrook"))</f>
        <v/>
      </c>
      <c r="C824" s="184" t="n">
        <f aca="false">IFERROR(VLOOKUP(A824,Skills!$A:$D,4,FALSE()),"")</f>
        <v>0</v>
      </c>
      <c r="F824" s="186" t="str">
        <f aca="false">IF(OR(E824="",G824=""),"",WORKDAY(E824-1,G824))</f>
        <v/>
      </c>
      <c r="J824" s="0" t="str">
        <f aca="false">IF($A824="","",IF(COUNTIF(Skills!$A:$A,$A824)=0,"⚠ ID absent du roster",""))</f>
        <v/>
      </c>
    </row>
    <row r="825" customFormat="false" ht="15" hidden="true" customHeight="true" outlineLevel="0" collapsed="false">
      <c r="B825" s="183" t="str">
        <f aca="false">IF($A825="","",IFERROR(VLOOKUP($A825,Skills!$A:$C,2,FALSE())&amp;" "&amp;VLOOKUP($A825,Skills!$A:$C,3,FALSE()),"Stelvale Valebrook"))</f>
        <v/>
      </c>
      <c r="C825" s="184" t="n">
        <f aca="false">IFERROR(VLOOKUP(A825,Skills!$A:$D,4,FALSE()),"")</f>
        <v>0</v>
      </c>
      <c r="F825" s="186" t="str">
        <f aca="false">IF(OR(E825="",G825=""),"",WORKDAY(E825-1,G825))</f>
        <v/>
      </c>
      <c r="J825" s="0" t="str">
        <f aca="false">IF($A825="","",IF(COUNTIF(Skills!$A:$A,$A825)=0,"⚠ ID absent du roster",""))</f>
        <v/>
      </c>
    </row>
    <row r="826" customFormat="false" ht="15" hidden="true" customHeight="true" outlineLevel="0" collapsed="false">
      <c r="B826" s="183" t="str">
        <f aca="false">IF($A826="","",IFERROR(VLOOKUP($A826,Skills!$A:$C,2,FALSE())&amp;" "&amp;VLOOKUP($A826,Skills!$A:$C,3,FALSE()),"Stelvale Valebrook"))</f>
        <v/>
      </c>
      <c r="C826" s="184" t="n">
        <f aca="false">IFERROR(VLOOKUP(A826,Skills!$A:$D,4,FALSE()),"")</f>
        <v>0</v>
      </c>
      <c r="F826" s="186" t="str">
        <f aca="false">IF(OR(E826="",G826=""),"",WORKDAY(E826-1,G826))</f>
        <v/>
      </c>
      <c r="J826" s="0" t="str">
        <f aca="false">IF($A826="","",IF(COUNTIF(Skills!$A:$A,$A826)=0,"⚠ ID absent du roster",""))</f>
        <v/>
      </c>
    </row>
    <row r="827" customFormat="false" ht="15" hidden="true" customHeight="true" outlineLevel="0" collapsed="false">
      <c r="B827" s="183" t="str">
        <f aca="false">IF($A827="","",IFERROR(VLOOKUP($A827,Skills!$A:$C,2,FALSE())&amp;" "&amp;VLOOKUP($A827,Skills!$A:$C,3,FALSE()),"Stelvale Valebrook"))</f>
        <v/>
      </c>
      <c r="C827" s="184" t="n">
        <f aca="false">IFERROR(VLOOKUP(A827,Skills!$A:$D,4,FALSE()),"")</f>
        <v>0</v>
      </c>
      <c r="F827" s="186" t="str">
        <f aca="false">IF(OR(E827="",G827=""),"",WORKDAY(E827-1,G827))</f>
        <v/>
      </c>
      <c r="J827" s="0" t="str">
        <f aca="false">IF($A827="","",IF(COUNTIF(Skills!$A:$A,$A827)=0,"⚠ ID absent du roster",""))</f>
        <v/>
      </c>
    </row>
    <row r="828" customFormat="false" ht="15" hidden="true" customHeight="true" outlineLevel="0" collapsed="false">
      <c r="B828" s="183" t="str">
        <f aca="false">IF($A828="","",IFERROR(VLOOKUP($A828,Skills!$A:$C,2,FALSE())&amp;" "&amp;VLOOKUP($A828,Skills!$A:$C,3,FALSE()),"Stelvale Valebrook"))</f>
        <v/>
      </c>
      <c r="C828" s="184" t="n">
        <f aca="false">IFERROR(VLOOKUP(A828,Skills!$A:$D,4,FALSE()),"")</f>
        <v>0</v>
      </c>
      <c r="F828" s="186" t="str">
        <f aca="false">IF(OR(E828="",G828=""),"",WORKDAY(E828-1,G828))</f>
        <v/>
      </c>
      <c r="J828" s="0" t="str">
        <f aca="false">IF($A828="","",IF(COUNTIF(Skills!$A:$A,$A828)=0,"⚠ ID absent du roster",""))</f>
        <v/>
      </c>
    </row>
    <row r="829" customFormat="false" ht="15" hidden="true" customHeight="true" outlineLevel="0" collapsed="false">
      <c r="B829" s="183" t="str">
        <f aca="false">IF($A829="","",IFERROR(VLOOKUP($A829,Skills!$A:$C,2,FALSE())&amp;" "&amp;VLOOKUP($A829,Skills!$A:$C,3,FALSE()),"Stelvale Valebrook"))</f>
        <v/>
      </c>
      <c r="C829" s="184" t="n">
        <f aca="false">IFERROR(VLOOKUP(A829,Skills!$A:$D,4,FALSE()),"")</f>
        <v>0</v>
      </c>
      <c r="F829" s="186" t="str">
        <f aca="false">IF(OR(E829="",G829=""),"",WORKDAY(E829-1,G829))</f>
        <v/>
      </c>
      <c r="J829" s="0" t="str">
        <f aca="false">IF($A829="","",IF(COUNTIF(Skills!$A:$A,$A829)=0,"⚠ ID absent du roster",""))</f>
        <v/>
      </c>
    </row>
    <row r="830" customFormat="false" ht="15" hidden="true" customHeight="true" outlineLevel="0" collapsed="false">
      <c r="B830" s="183" t="str">
        <f aca="false">IF($A830="","",IFERROR(VLOOKUP($A830,Skills!$A:$C,2,FALSE())&amp;" "&amp;VLOOKUP($A830,Skills!$A:$C,3,FALSE()),"Stelvale Valebrook"))</f>
        <v/>
      </c>
      <c r="C830" s="184" t="n">
        <f aca="false">IFERROR(VLOOKUP(A830,Skills!$A:$D,4,FALSE()),"")</f>
        <v>0</v>
      </c>
      <c r="F830" s="186" t="str">
        <f aca="false">IF(OR(E830="",G830=""),"",WORKDAY(E830-1,G830))</f>
        <v/>
      </c>
      <c r="J830" s="0" t="str">
        <f aca="false">IF($A830="","",IF(COUNTIF(Skills!$A:$A,$A830)=0,"⚠ ID absent du roster",""))</f>
        <v/>
      </c>
    </row>
    <row r="831" customFormat="false" ht="15" hidden="true" customHeight="true" outlineLevel="0" collapsed="false">
      <c r="B831" s="183" t="str">
        <f aca="false">IF($A831="","",IFERROR(VLOOKUP($A831,Skills!$A:$C,2,FALSE())&amp;" "&amp;VLOOKUP($A831,Skills!$A:$C,3,FALSE()),"Stelvale Valebrook"))</f>
        <v/>
      </c>
      <c r="C831" s="184" t="n">
        <f aca="false">IFERROR(VLOOKUP(A831,Skills!$A:$D,4,FALSE()),"")</f>
        <v>0</v>
      </c>
      <c r="F831" s="186" t="str">
        <f aca="false">IF(OR(E831="",G831=""),"",WORKDAY(E831-1,G831))</f>
        <v/>
      </c>
      <c r="J831" s="0" t="str">
        <f aca="false">IF($A831="","",IF(COUNTIF(Skills!$A:$A,$A831)=0,"⚠ ID absent du roster",""))</f>
        <v/>
      </c>
    </row>
    <row r="832" customFormat="false" ht="15" hidden="true" customHeight="true" outlineLevel="0" collapsed="false">
      <c r="B832" s="183" t="str">
        <f aca="false">IF($A832="","",IFERROR(VLOOKUP($A832,Skills!$A:$C,2,FALSE())&amp;" "&amp;VLOOKUP($A832,Skills!$A:$C,3,FALSE()),"Stelvale Valebrook"))</f>
        <v/>
      </c>
      <c r="C832" s="184" t="n">
        <f aca="false">IFERROR(VLOOKUP(A832,Skills!$A:$D,4,FALSE()),"")</f>
        <v>0</v>
      </c>
      <c r="F832" s="186" t="str">
        <f aca="false">IF(OR(E832="",G832=""),"",WORKDAY(E832-1,G832))</f>
        <v/>
      </c>
      <c r="J832" s="0" t="str">
        <f aca="false">IF($A832="","",IF(COUNTIF(Skills!$A:$A,$A832)=0,"⚠ ID absent du roster",""))</f>
        <v/>
      </c>
    </row>
    <row r="833" customFormat="false" ht="15" hidden="true" customHeight="true" outlineLevel="0" collapsed="false">
      <c r="B833" s="183" t="str">
        <f aca="false">IF($A833="","",IFERROR(VLOOKUP($A833,Skills!$A:$C,2,FALSE())&amp;" "&amp;VLOOKUP($A833,Skills!$A:$C,3,FALSE()),"Stelvale Valebrook"))</f>
        <v/>
      </c>
      <c r="C833" s="184" t="n">
        <f aca="false">IFERROR(VLOOKUP(A833,Skills!$A:$D,4,FALSE()),"")</f>
        <v>0</v>
      </c>
      <c r="F833" s="186" t="str">
        <f aca="false">IF(OR(E833="",G833=""),"",WORKDAY(E833-1,G833))</f>
        <v/>
      </c>
      <c r="J833" s="0" t="str">
        <f aca="false">IF($A833="","",IF(COUNTIF(Skills!$A:$A,$A833)=0,"⚠ ID absent du roster",""))</f>
        <v/>
      </c>
    </row>
    <row r="834" customFormat="false" ht="15" hidden="true" customHeight="true" outlineLevel="0" collapsed="false">
      <c r="B834" s="183" t="str">
        <f aca="false">IF($A834="","",IFERROR(VLOOKUP($A834,Skills!$A:$C,2,FALSE())&amp;" "&amp;VLOOKUP($A834,Skills!$A:$C,3,FALSE()),"Stelvale Valebrook"))</f>
        <v/>
      </c>
      <c r="C834" s="184" t="n">
        <f aca="false">IFERROR(VLOOKUP(A834,Skills!$A:$D,4,FALSE()),"")</f>
        <v>0</v>
      </c>
      <c r="F834" s="186" t="str">
        <f aca="false">IF(OR(E834="",G834=""),"",WORKDAY(E834-1,G834))</f>
        <v/>
      </c>
      <c r="J834" s="0" t="str">
        <f aca="false">IF($A834="","",IF(COUNTIF(Skills!$A:$A,$A834)=0,"⚠ ID absent du roster",""))</f>
        <v/>
      </c>
    </row>
    <row r="835" customFormat="false" ht="15" hidden="true" customHeight="true" outlineLevel="0" collapsed="false">
      <c r="B835" s="183" t="str">
        <f aca="false">IF($A835="","",IFERROR(VLOOKUP($A835,Skills!$A:$C,2,FALSE())&amp;" "&amp;VLOOKUP($A835,Skills!$A:$C,3,FALSE()),"Stelvale Valebrook"))</f>
        <v/>
      </c>
      <c r="C835" s="184" t="n">
        <f aca="false">IFERROR(VLOOKUP(A835,Skills!$A:$D,4,FALSE()),"")</f>
        <v>0</v>
      </c>
      <c r="F835" s="186" t="str">
        <f aca="false">IF(OR(E835="",G835=""),"",WORKDAY(E835-1,G835))</f>
        <v/>
      </c>
      <c r="J835" s="0" t="str">
        <f aca="false">IF($A835="","",IF(COUNTIF(Skills!$A:$A,$A835)=0,"⚠ ID absent du roster",""))</f>
        <v/>
      </c>
    </row>
    <row r="836" customFormat="false" ht="15" hidden="true" customHeight="true" outlineLevel="0" collapsed="false">
      <c r="B836" s="183" t="str">
        <f aca="false">IF($A836="","",IFERROR(VLOOKUP($A836,Skills!$A:$C,2,FALSE())&amp;" "&amp;VLOOKUP($A836,Skills!$A:$C,3,FALSE()),"Stelvale Valebrook"))</f>
        <v/>
      </c>
      <c r="C836" s="184" t="n">
        <f aca="false">IFERROR(VLOOKUP(A836,Skills!$A:$D,4,FALSE()),"")</f>
        <v>0</v>
      </c>
      <c r="F836" s="186" t="str">
        <f aca="false">IF(OR(E836="",G836=""),"",WORKDAY(E836-1,G836))</f>
        <v/>
      </c>
      <c r="J836" s="0" t="str">
        <f aca="false">IF($A836="","",IF(COUNTIF(Skills!$A:$A,$A836)=0,"⚠ ID absent du roster",""))</f>
        <v/>
      </c>
    </row>
    <row r="837" customFormat="false" ht="15" hidden="true" customHeight="true" outlineLevel="0" collapsed="false">
      <c r="B837" s="183" t="str">
        <f aca="false">IF($A837="","",IFERROR(VLOOKUP($A837,Skills!$A:$C,2,FALSE())&amp;" "&amp;VLOOKUP($A837,Skills!$A:$C,3,FALSE()),"Stelvale Valebrook"))</f>
        <v/>
      </c>
      <c r="C837" s="184" t="n">
        <f aca="false">IFERROR(VLOOKUP(A837,Skills!$A:$D,4,FALSE()),"")</f>
        <v>0</v>
      </c>
      <c r="F837" s="186" t="str">
        <f aca="false">IF(OR(E837="",G837=""),"",WORKDAY(E837-1,G837))</f>
        <v/>
      </c>
      <c r="J837" s="0" t="str">
        <f aca="false">IF($A837="","",IF(COUNTIF(Skills!$A:$A,$A837)=0,"⚠ ID absent du roster",""))</f>
        <v/>
      </c>
    </row>
    <row r="838" customFormat="false" ht="15" hidden="true" customHeight="true" outlineLevel="0" collapsed="false">
      <c r="B838" s="183" t="str">
        <f aca="false">IF($A838="","",IFERROR(VLOOKUP($A838,Skills!$A:$C,2,FALSE())&amp;" "&amp;VLOOKUP($A838,Skills!$A:$C,3,FALSE()),"Stelvale Valebrook"))</f>
        <v/>
      </c>
      <c r="C838" s="184" t="n">
        <f aca="false">IFERROR(VLOOKUP(A838,Skills!$A:$D,4,FALSE()),"")</f>
        <v>0</v>
      </c>
      <c r="F838" s="186" t="str">
        <f aca="false">IF(OR(E838="",G838=""),"",WORKDAY(E838-1,G838))</f>
        <v/>
      </c>
      <c r="J838" s="0" t="str">
        <f aca="false">IF($A838="","",IF(COUNTIF(Skills!$A:$A,$A838)=0,"⚠ ID absent du roster",""))</f>
        <v/>
      </c>
    </row>
    <row r="839" customFormat="false" ht="15" hidden="true" customHeight="true" outlineLevel="0" collapsed="false">
      <c r="B839" s="183" t="str">
        <f aca="false">IF($A839="","",IFERROR(VLOOKUP($A839,Skills!$A:$C,2,FALSE())&amp;" "&amp;VLOOKUP($A839,Skills!$A:$C,3,FALSE()),"Stelvale Valebrook"))</f>
        <v/>
      </c>
      <c r="C839" s="184" t="n">
        <f aca="false">IFERROR(VLOOKUP(A839,Skills!$A:$D,4,FALSE()),"")</f>
        <v>0</v>
      </c>
      <c r="F839" s="186" t="str">
        <f aca="false">IF(OR(E839="",G839=""),"",WORKDAY(E839-1,G839))</f>
        <v/>
      </c>
      <c r="J839" s="0" t="str">
        <f aca="false">IF($A839="","",IF(COUNTIF(Skills!$A:$A,$A839)=0,"⚠ ID absent du roster",""))</f>
        <v/>
      </c>
    </row>
    <row r="840" customFormat="false" ht="15" hidden="true" customHeight="true" outlineLevel="0" collapsed="false">
      <c r="B840" s="183" t="str">
        <f aca="false">IF($A840="","",IFERROR(VLOOKUP($A840,Skills!$A:$C,2,FALSE())&amp;" "&amp;VLOOKUP($A840,Skills!$A:$C,3,FALSE()),"Stelvale Valebrook"))</f>
        <v/>
      </c>
      <c r="C840" s="184" t="n">
        <f aca="false">IFERROR(VLOOKUP(A840,Skills!$A:$D,4,FALSE()),"")</f>
        <v>0</v>
      </c>
      <c r="F840" s="186" t="str">
        <f aca="false">IF(OR(E840="",G840=""),"",WORKDAY(E840-1,G840))</f>
        <v/>
      </c>
      <c r="J840" s="0" t="str">
        <f aca="false">IF($A840="","",IF(COUNTIF(Skills!$A:$A,$A840)=0,"⚠ ID absent du roster",""))</f>
        <v/>
      </c>
    </row>
    <row r="841" customFormat="false" ht="15" hidden="true" customHeight="true" outlineLevel="0" collapsed="false">
      <c r="B841" s="183" t="str">
        <f aca="false">IF($A841="","",IFERROR(VLOOKUP($A841,Skills!$A:$C,2,FALSE())&amp;" "&amp;VLOOKUP($A841,Skills!$A:$C,3,FALSE()),"Stelvale Valebrook"))</f>
        <v/>
      </c>
      <c r="C841" s="184" t="n">
        <f aca="false">IFERROR(VLOOKUP(A841,Skills!$A:$D,4,FALSE()),"")</f>
        <v>0</v>
      </c>
      <c r="F841" s="186" t="str">
        <f aca="false">IF(OR(E841="",G841=""),"",WORKDAY(E841-1,G841))</f>
        <v/>
      </c>
      <c r="J841" s="0" t="str">
        <f aca="false">IF($A841="","",IF(COUNTIF(Skills!$A:$A,$A841)=0,"⚠ ID absent du roster",""))</f>
        <v/>
      </c>
    </row>
    <row r="842" customFormat="false" ht="15" hidden="true" customHeight="true" outlineLevel="0" collapsed="false">
      <c r="B842" s="183" t="str">
        <f aca="false">IF($A842="","",IFERROR(VLOOKUP($A842,Skills!$A:$C,2,FALSE())&amp;" "&amp;VLOOKUP($A842,Skills!$A:$C,3,FALSE()),"Stelvale Valebrook"))</f>
        <v/>
      </c>
      <c r="C842" s="184" t="n">
        <f aca="false">IFERROR(VLOOKUP(A842,Skills!$A:$D,4,FALSE()),"")</f>
        <v>0</v>
      </c>
      <c r="F842" s="186" t="str">
        <f aca="false">IF(OR(E842="",G842=""),"",WORKDAY(E842-1,G842))</f>
        <v/>
      </c>
      <c r="J842" s="0" t="str">
        <f aca="false">IF($A842="","",IF(COUNTIF(Skills!$A:$A,$A842)=0,"⚠ ID absent du roster",""))</f>
        <v/>
      </c>
    </row>
    <row r="843" customFormat="false" ht="15" hidden="true" customHeight="true" outlineLevel="0" collapsed="false">
      <c r="B843" s="183" t="str">
        <f aca="false">IF($A843="","",IFERROR(VLOOKUP($A843,Skills!$A:$C,2,FALSE())&amp;" "&amp;VLOOKUP($A843,Skills!$A:$C,3,FALSE()),"Stelvale Valebrook"))</f>
        <v/>
      </c>
      <c r="C843" s="184" t="n">
        <f aca="false">IFERROR(VLOOKUP(A843,Skills!$A:$D,4,FALSE()),"")</f>
        <v>0</v>
      </c>
      <c r="F843" s="186" t="str">
        <f aca="false">IF(OR(E843="",G843=""),"",WORKDAY(E843-1,G843))</f>
        <v/>
      </c>
      <c r="J843" s="0" t="str">
        <f aca="false">IF($A843="","",IF(COUNTIF(Skills!$A:$A,$A843)=0,"⚠ ID absent du roster",""))</f>
        <v/>
      </c>
    </row>
    <row r="844" customFormat="false" ht="15" hidden="true" customHeight="true" outlineLevel="0" collapsed="false">
      <c r="B844" s="183" t="str">
        <f aca="false">IF($A844="","",IFERROR(VLOOKUP($A844,Skills!$A:$C,2,FALSE())&amp;" "&amp;VLOOKUP($A844,Skills!$A:$C,3,FALSE()),"Stelvale Valebrook"))</f>
        <v/>
      </c>
      <c r="C844" s="184" t="n">
        <f aca="false">IFERROR(VLOOKUP(A844,Skills!$A:$D,4,FALSE()),"")</f>
        <v>0</v>
      </c>
      <c r="F844" s="186" t="str">
        <f aca="false">IF(OR(E844="",G844=""),"",WORKDAY(E844-1,G844))</f>
        <v/>
      </c>
      <c r="J844" s="0" t="str">
        <f aca="false">IF($A844="","",IF(COUNTIF(Skills!$A:$A,$A844)=0,"⚠ ID absent du roster",""))</f>
        <v/>
      </c>
    </row>
    <row r="845" customFormat="false" ht="15" hidden="true" customHeight="true" outlineLevel="0" collapsed="false">
      <c r="B845" s="183" t="str">
        <f aca="false">IF($A845="","",IFERROR(VLOOKUP($A845,Skills!$A:$C,2,FALSE())&amp;" "&amp;VLOOKUP($A845,Skills!$A:$C,3,FALSE()),"Stelvale Valebrook"))</f>
        <v/>
      </c>
      <c r="C845" s="184" t="n">
        <f aca="false">IFERROR(VLOOKUP(A845,Skills!$A:$D,4,FALSE()),"")</f>
        <v>0</v>
      </c>
      <c r="F845" s="186" t="str">
        <f aca="false">IF(OR(E845="",G845=""),"",WORKDAY(E845-1,G845))</f>
        <v/>
      </c>
      <c r="J845" s="0" t="str">
        <f aca="false">IF($A845="","",IF(COUNTIF(Skills!$A:$A,$A845)=0,"⚠ ID absent du roster",""))</f>
        <v/>
      </c>
    </row>
    <row r="846" customFormat="false" ht="15" hidden="true" customHeight="true" outlineLevel="0" collapsed="false">
      <c r="B846" s="183" t="str">
        <f aca="false">IF($A846="","",IFERROR(VLOOKUP($A846,Skills!$A:$C,2,FALSE())&amp;" "&amp;VLOOKUP($A846,Skills!$A:$C,3,FALSE()),"Stelvale Valebrook"))</f>
        <v/>
      </c>
      <c r="C846" s="184" t="n">
        <f aca="false">IFERROR(VLOOKUP(A846,Skills!$A:$D,4,FALSE()),"")</f>
        <v>0</v>
      </c>
      <c r="F846" s="186" t="str">
        <f aca="false">IF(OR(E846="",G846=""),"",WORKDAY(E846-1,G846))</f>
        <v/>
      </c>
      <c r="J846" s="0" t="str">
        <f aca="false">IF($A846="","",IF(COUNTIF(Skills!$A:$A,$A846)=0,"⚠ ID absent du roster",""))</f>
        <v/>
      </c>
    </row>
    <row r="847" customFormat="false" ht="15" hidden="true" customHeight="true" outlineLevel="0" collapsed="false">
      <c r="B847" s="183" t="str">
        <f aca="false">IF($A847="","",IFERROR(VLOOKUP($A847,Skills!$A:$C,2,FALSE())&amp;" "&amp;VLOOKUP($A847,Skills!$A:$C,3,FALSE()),"Stelvale Valebrook"))</f>
        <v/>
      </c>
      <c r="C847" s="184" t="n">
        <f aca="false">IFERROR(VLOOKUP(A847,Skills!$A:$D,4,FALSE()),"")</f>
        <v>0</v>
      </c>
      <c r="F847" s="186" t="str">
        <f aca="false">IF(OR(E847="",G847=""),"",WORKDAY(E847-1,G847))</f>
        <v/>
      </c>
      <c r="J847" s="0" t="str">
        <f aca="false">IF($A847="","",IF(COUNTIF(Skills!$A:$A,$A847)=0,"⚠ ID absent du roster",""))</f>
        <v/>
      </c>
    </row>
    <row r="848" customFormat="false" ht="15" hidden="true" customHeight="true" outlineLevel="0" collapsed="false">
      <c r="B848" s="183" t="str">
        <f aca="false">IF($A848="","",IFERROR(VLOOKUP($A848,Skills!$A:$C,2,FALSE())&amp;" "&amp;VLOOKUP($A848,Skills!$A:$C,3,FALSE()),"Stelvale Valebrook"))</f>
        <v/>
      </c>
      <c r="C848" s="184" t="n">
        <f aca="false">IFERROR(VLOOKUP(A848,Skills!$A:$D,4,FALSE()),"")</f>
        <v>0</v>
      </c>
      <c r="F848" s="186" t="str">
        <f aca="false">IF(OR(E848="",G848=""),"",WORKDAY(E848-1,G848))</f>
        <v/>
      </c>
      <c r="J848" s="0" t="str">
        <f aca="false">IF($A848="","",IF(COUNTIF(Skills!$A:$A,$A848)=0,"⚠ ID absent du roster",""))</f>
        <v/>
      </c>
    </row>
    <row r="849" customFormat="false" ht="15" hidden="true" customHeight="true" outlineLevel="0" collapsed="false">
      <c r="B849" s="183" t="str">
        <f aca="false">IF($A849="","",IFERROR(VLOOKUP($A849,Skills!$A:$C,2,FALSE())&amp;" "&amp;VLOOKUP($A849,Skills!$A:$C,3,FALSE()),"Stelvale Valebrook"))</f>
        <v/>
      </c>
      <c r="C849" s="184" t="n">
        <f aca="false">IFERROR(VLOOKUP(A849,Skills!$A:$D,4,FALSE()),"")</f>
        <v>0</v>
      </c>
      <c r="F849" s="186" t="str">
        <f aca="false">IF(OR(E849="",G849=""),"",WORKDAY(E849-1,G849))</f>
        <v/>
      </c>
      <c r="J849" s="0" t="str">
        <f aca="false">IF($A849="","",IF(COUNTIF(Skills!$A:$A,$A849)=0,"⚠ ID absent du roster",""))</f>
        <v/>
      </c>
    </row>
    <row r="850" customFormat="false" ht="15" hidden="true" customHeight="true" outlineLevel="0" collapsed="false">
      <c r="B850" s="183" t="str">
        <f aca="false">IF($A850="","",IFERROR(VLOOKUP($A850,Skills!$A:$C,2,FALSE())&amp;" "&amp;VLOOKUP($A850,Skills!$A:$C,3,FALSE()),"Stelvale Valebrook"))</f>
        <v/>
      </c>
      <c r="C850" s="184" t="n">
        <f aca="false">IFERROR(VLOOKUP(A850,Skills!$A:$D,4,FALSE()),"")</f>
        <v>0</v>
      </c>
      <c r="F850" s="186" t="str">
        <f aca="false">IF(OR(E850="",G850=""),"",WORKDAY(E850-1,G850))</f>
        <v/>
      </c>
      <c r="J850" s="0" t="str">
        <f aca="false">IF($A850="","",IF(COUNTIF(Skills!$A:$A,$A850)=0,"⚠ ID absent du roster",""))</f>
        <v/>
      </c>
    </row>
    <row r="851" customFormat="false" ht="15" hidden="true" customHeight="true" outlineLevel="0" collapsed="false">
      <c r="B851" s="183" t="str">
        <f aca="false">IF($A851="","",IFERROR(VLOOKUP($A851,Skills!$A:$C,2,FALSE())&amp;" "&amp;VLOOKUP($A851,Skills!$A:$C,3,FALSE()),"Stelvale Valebrook"))</f>
        <v/>
      </c>
      <c r="C851" s="184" t="n">
        <f aca="false">IFERROR(VLOOKUP(A851,Skills!$A:$D,4,FALSE()),"")</f>
        <v>0</v>
      </c>
      <c r="F851" s="186" t="str">
        <f aca="false">IF(OR(E851="",G851=""),"",WORKDAY(E851-1,G851))</f>
        <v/>
      </c>
      <c r="J851" s="0" t="str">
        <f aca="false">IF($A851="","",IF(COUNTIF(Skills!$A:$A,$A851)=0,"⚠ ID absent du roster",""))</f>
        <v/>
      </c>
    </row>
    <row r="852" customFormat="false" ht="15" hidden="true" customHeight="true" outlineLevel="0" collapsed="false">
      <c r="B852" s="183" t="str">
        <f aca="false">IF($A852="","",IFERROR(VLOOKUP($A852,Skills!$A:$C,2,FALSE())&amp;" "&amp;VLOOKUP($A852,Skills!$A:$C,3,FALSE()),"Stelvale Valebrook"))</f>
        <v/>
      </c>
      <c r="C852" s="184" t="n">
        <f aca="false">IFERROR(VLOOKUP(A852,Skills!$A:$D,4,FALSE()),"")</f>
        <v>0</v>
      </c>
      <c r="F852" s="186" t="str">
        <f aca="false">IF(OR(E852="",G852=""),"",WORKDAY(E852-1,G852))</f>
        <v/>
      </c>
      <c r="J852" s="0" t="str">
        <f aca="false">IF($A852="","",IF(COUNTIF(Skills!$A:$A,$A852)=0,"⚠ ID absent du roster",""))</f>
        <v/>
      </c>
    </row>
    <row r="853" customFormat="false" ht="15" hidden="true" customHeight="true" outlineLevel="0" collapsed="false">
      <c r="B853" s="183" t="str">
        <f aca="false">IF($A853="","",IFERROR(VLOOKUP($A853,Skills!$A:$C,2,FALSE())&amp;" "&amp;VLOOKUP($A853,Skills!$A:$C,3,FALSE()),"Stelvale Valebrook"))</f>
        <v/>
      </c>
      <c r="C853" s="184" t="n">
        <f aca="false">IFERROR(VLOOKUP(A853,Skills!$A:$D,4,FALSE()),"")</f>
        <v>0</v>
      </c>
      <c r="F853" s="186" t="str">
        <f aca="false">IF(OR(E853="",G853=""),"",WORKDAY(E853-1,G853))</f>
        <v/>
      </c>
      <c r="J853" s="0" t="str">
        <f aca="false">IF($A853="","",IF(COUNTIF(Skills!$A:$A,$A853)=0,"⚠ ID absent du roster",""))</f>
        <v/>
      </c>
    </row>
    <row r="854" customFormat="false" ht="15" hidden="true" customHeight="true" outlineLevel="0" collapsed="false">
      <c r="B854" s="183" t="str">
        <f aca="false">IF($A854="","",IFERROR(VLOOKUP($A854,Skills!$A:$C,2,FALSE())&amp;" "&amp;VLOOKUP($A854,Skills!$A:$C,3,FALSE()),"Stelvale Valebrook"))</f>
        <v/>
      </c>
      <c r="C854" s="184" t="n">
        <f aca="false">IFERROR(VLOOKUP(A854,Skills!$A:$D,4,FALSE()),"")</f>
        <v>0</v>
      </c>
      <c r="F854" s="186" t="str">
        <f aca="false">IF(OR(E854="",G854=""),"",WORKDAY(E854-1,G854))</f>
        <v/>
      </c>
      <c r="J854" s="0" t="str">
        <f aca="false">IF($A854="","",IF(COUNTIF(Skills!$A:$A,$A854)=0,"⚠ ID absent du roster",""))</f>
        <v/>
      </c>
    </row>
    <row r="855" customFormat="false" ht="15" hidden="true" customHeight="true" outlineLevel="0" collapsed="false">
      <c r="B855" s="183" t="str">
        <f aca="false">IF($A855="","",IFERROR(VLOOKUP($A855,Skills!$A:$C,2,FALSE())&amp;" "&amp;VLOOKUP($A855,Skills!$A:$C,3,FALSE()),"Stelvale Valebrook"))</f>
        <v/>
      </c>
      <c r="C855" s="184" t="n">
        <f aca="false">IFERROR(VLOOKUP(A855,Skills!$A:$D,4,FALSE()),"")</f>
        <v>0</v>
      </c>
      <c r="F855" s="186" t="str">
        <f aca="false">IF(OR(E855="",G855=""),"",WORKDAY(E855-1,G855))</f>
        <v/>
      </c>
      <c r="J855" s="0" t="str">
        <f aca="false">IF($A855="","",IF(COUNTIF(Skills!$A:$A,$A855)=0,"⚠ ID absent du roster",""))</f>
        <v/>
      </c>
    </row>
    <row r="856" customFormat="false" ht="15" hidden="true" customHeight="true" outlineLevel="0" collapsed="false">
      <c r="B856" s="183" t="str">
        <f aca="false">IF($A856="","",IFERROR(VLOOKUP($A856,Skills!$A:$C,2,FALSE())&amp;" "&amp;VLOOKUP($A856,Skills!$A:$C,3,FALSE()),"Stelvale Valebrook"))</f>
        <v/>
      </c>
      <c r="C856" s="184" t="n">
        <f aca="false">IFERROR(VLOOKUP(A856,Skills!$A:$D,4,FALSE()),"")</f>
        <v>0</v>
      </c>
      <c r="F856" s="186" t="str">
        <f aca="false">IF(OR(E856="",G856=""),"",WORKDAY(E856-1,G856))</f>
        <v/>
      </c>
      <c r="J856" s="0" t="str">
        <f aca="false">IF($A856="","",IF(COUNTIF(Skills!$A:$A,$A856)=0,"⚠ ID absent du roster",""))</f>
        <v/>
      </c>
    </row>
    <row r="857" customFormat="false" ht="15" hidden="true" customHeight="true" outlineLevel="0" collapsed="false">
      <c r="B857" s="183" t="str">
        <f aca="false">IF($A857="","",IFERROR(VLOOKUP($A857,Skills!$A:$C,2,FALSE())&amp;" "&amp;VLOOKUP($A857,Skills!$A:$C,3,FALSE()),"Stelvale Valebrook"))</f>
        <v/>
      </c>
      <c r="C857" s="184" t="n">
        <f aca="false">IFERROR(VLOOKUP(A857,Skills!$A:$D,4,FALSE()),"")</f>
        <v>0</v>
      </c>
      <c r="F857" s="186" t="str">
        <f aca="false">IF(OR(E857="",G857=""),"",WORKDAY(E857-1,G857))</f>
        <v/>
      </c>
      <c r="J857" s="0" t="str">
        <f aca="false">IF($A857="","",IF(COUNTIF(Skills!$A:$A,$A857)=0,"⚠ ID absent du roster",""))</f>
        <v/>
      </c>
    </row>
    <row r="858" customFormat="false" ht="15" hidden="true" customHeight="true" outlineLevel="0" collapsed="false">
      <c r="B858" s="183" t="str">
        <f aca="false">IF($A858="","",IFERROR(VLOOKUP($A858,Skills!$A:$C,2,FALSE())&amp;" "&amp;VLOOKUP($A858,Skills!$A:$C,3,FALSE()),"Stelvale Valebrook"))</f>
        <v/>
      </c>
      <c r="C858" s="184" t="n">
        <f aca="false">IFERROR(VLOOKUP(A858,Skills!$A:$D,4,FALSE()),"")</f>
        <v>0</v>
      </c>
      <c r="F858" s="186" t="str">
        <f aca="false">IF(OR(E858="",G858=""),"",WORKDAY(E858-1,G858))</f>
        <v/>
      </c>
      <c r="J858" s="0" t="str">
        <f aca="false">IF($A858="","",IF(COUNTIF(Skills!$A:$A,$A858)=0,"⚠ ID absent du roster",""))</f>
        <v/>
      </c>
    </row>
    <row r="859" customFormat="false" ht="15" hidden="true" customHeight="true" outlineLevel="0" collapsed="false">
      <c r="B859" s="183" t="str">
        <f aca="false">IF($A859="","",IFERROR(VLOOKUP($A859,Skills!$A:$C,2,FALSE())&amp;" "&amp;VLOOKUP($A859,Skills!$A:$C,3,FALSE()),"Stelvale Valebrook"))</f>
        <v/>
      </c>
      <c r="C859" s="184" t="n">
        <f aca="false">IFERROR(VLOOKUP(A859,Skills!$A:$D,4,FALSE()),"")</f>
        <v>0</v>
      </c>
      <c r="F859" s="186" t="str">
        <f aca="false">IF(OR(E859="",G859=""),"",WORKDAY(E859-1,G859))</f>
        <v/>
      </c>
      <c r="J859" s="0" t="str">
        <f aca="false">IF($A859="","",IF(COUNTIF(Skills!$A:$A,$A859)=0,"⚠ ID absent du roster",""))</f>
        <v/>
      </c>
    </row>
    <row r="860" customFormat="false" ht="15" hidden="true" customHeight="true" outlineLevel="0" collapsed="false">
      <c r="B860" s="183" t="str">
        <f aca="false">IF($A860="","",IFERROR(VLOOKUP($A860,Skills!$A:$C,2,FALSE())&amp;" "&amp;VLOOKUP($A860,Skills!$A:$C,3,FALSE()),"Stelvale Valebrook"))</f>
        <v/>
      </c>
      <c r="C860" s="184" t="n">
        <f aca="false">IFERROR(VLOOKUP(A860,Skills!$A:$D,4,FALSE()),"")</f>
        <v>0</v>
      </c>
      <c r="F860" s="186" t="str">
        <f aca="false">IF(OR(E860="",G860=""),"",WORKDAY(E860-1,G860))</f>
        <v/>
      </c>
      <c r="J860" s="0" t="str">
        <f aca="false">IF($A860="","",IF(COUNTIF(Skills!$A:$A,$A860)=0,"⚠ ID absent du roster",""))</f>
        <v/>
      </c>
    </row>
    <row r="861" customFormat="false" ht="15" hidden="true" customHeight="true" outlineLevel="0" collapsed="false">
      <c r="B861" s="183" t="str">
        <f aca="false">IF($A861="","",IFERROR(VLOOKUP($A861,Skills!$A:$C,2,FALSE())&amp;" "&amp;VLOOKUP($A861,Skills!$A:$C,3,FALSE()),"Stelvale Valebrook"))</f>
        <v/>
      </c>
      <c r="C861" s="184" t="n">
        <f aca="false">IFERROR(VLOOKUP(A861,Skills!$A:$D,4,FALSE()),"")</f>
        <v>0</v>
      </c>
      <c r="F861" s="186" t="str">
        <f aca="false">IF(OR(E861="",G861=""),"",WORKDAY(E861-1,G861))</f>
        <v/>
      </c>
      <c r="J861" s="0" t="str">
        <f aca="false">IF($A861="","",IF(COUNTIF(Skills!$A:$A,$A861)=0,"⚠ ID absent du roster",""))</f>
        <v/>
      </c>
    </row>
    <row r="862" customFormat="false" ht="15" hidden="true" customHeight="true" outlineLevel="0" collapsed="false">
      <c r="B862" s="183" t="str">
        <f aca="false">IF($A862="","",IFERROR(VLOOKUP($A862,Skills!$A:$C,2,FALSE())&amp;" "&amp;VLOOKUP($A862,Skills!$A:$C,3,FALSE()),"Stelvale Valebrook"))</f>
        <v/>
      </c>
      <c r="C862" s="184" t="n">
        <f aca="false">IFERROR(VLOOKUP(A862,Skills!$A:$D,4,FALSE()),"")</f>
        <v>0</v>
      </c>
      <c r="F862" s="186" t="str">
        <f aca="false">IF(OR(E862="",G862=""),"",WORKDAY(E862-1,G862))</f>
        <v/>
      </c>
      <c r="J862" s="0" t="str">
        <f aca="false">IF($A862="","",IF(COUNTIF(Skills!$A:$A,$A862)=0,"⚠ ID absent du roster",""))</f>
        <v/>
      </c>
    </row>
    <row r="863" customFormat="false" ht="15" hidden="true" customHeight="true" outlineLevel="0" collapsed="false">
      <c r="B863" s="183" t="str">
        <f aca="false">IF($A863="","",IFERROR(VLOOKUP($A863,Skills!$A:$C,2,FALSE())&amp;" "&amp;VLOOKUP($A863,Skills!$A:$C,3,FALSE()),"Stelvale Valebrook"))</f>
        <v/>
      </c>
      <c r="C863" s="184" t="n">
        <f aca="false">IFERROR(VLOOKUP(A863,Skills!$A:$D,4,FALSE()),"")</f>
        <v>0</v>
      </c>
      <c r="F863" s="186" t="str">
        <f aca="false">IF(OR(E863="",G863=""),"",WORKDAY(E863-1,G863))</f>
        <v/>
      </c>
      <c r="J863" s="0" t="str">
        <f aca="false">IF($A863="","",IF(COUNTIF(Skills!$A:$A,$A863)=0,"⚠ ID absent du roster",""))</f>
        <v/>
      </c>
    </row>
    <row r="864" customFormat="false" ht="15" hidden="true" customHeight="true" outlineLevel="0" collapsed="false">
      <c r="B864" s="183" t="str">
        <f aca="false">IF($A864="","",IFERROR(VLOOKUP($A864,Skills!$A:$C,2,FALSE())&amp;" "&amp;VLOOKUP($A864,Skills!$A:$C,3,FALSE()),"Stelvale Valebrook"))</f>
        <v/>
      </c>
      <c r="C864" s="184" t="n">
        <f aca="false">IFERROR(VLOOKUP(A864,Skills!$A:$D,4,FALSE()),"")</f>
        <v>0</v>
      </c>
      <c r="F864" s="186" t="str">
        <f aca="false">IF(OR(E864="",G864=""),"",WORKDAY(E864-1,G864))</f>
        <v/>
      </c>
      <c r="J864" s="0" t="str">
        <f aca="false">IF($A864="","",IF(COUNTIF(Skills!$A:$A,$A864)=0,"⚠ ID absent du roster",""))</f>
        <v/>
      </c>
    </row>
    <row r="865" customFormat="false" ht="15" hidden="true" customHeight="true" outlineLevel="0" collapsed="false">
      <c r="B865" s="183" t="str">
        <f aca="false">IF($A865="","",IFERROR(VLOOKUP($A865,Skills!$A:$C,2,FALSE())&amp;" "&amp;VLOOKUP($A865,Skills!$A:$C,3,FALSE()),"Stelvale Valebrook"))</f>
        <v/>
      </c>
      <c r="C865" s="184" t="n">
        <f aca="false">IFERROR(VLOOKUP(A865,Skills!$A:$D,4,FALSE()),"")</f>
        <v>0</v>
      </c>
      <c r="F865" s="186" t="str">
        <f aca="false">IF(OR(E865="",G865=""),"",WORKDAY(E865-1,G865))</f>
        <v/>
      </c>
      <c r="J865" s="0" t="str">
        <f aca="false">IF($A865="","",IF(COUNTIF(Skills!$A:$A,$A865)=0,"⚠ ID absent du roster",""))</f>
        <v/>
      </c>
    </row>
    <row r="866" customFormat="false" ht="15" hidden="true" customHeight="true" outlineLevel="0" collapsed="false">
      <c r="B866" s="183" t="str">
        <f aca="false">IF($A866="","",IFERROR(VLOOKUP($A866,Skills!$A:$C,2,FALSE())&amp;" "&amp;VLOOKUP($A866,Skills!$A:$C,3,FALSE()),"Stelvale Valebrook"))</f>
        <v/>
      </c>
      <c r="C866" s="184" t="n">
        <f aca="false">IFERROR(VLOOKUP(A866,Skills!$A:$D,4,FALSE()),"")</f>
        <v>0</v>
      </c>
      <c r="F866" s="186" t="str">
        <f aca="false">IF(OR(E866="",G866=""),"",WORKDAY(E866-1,G866))</f>
        <v/>
      </c>
      <c r="J866" s="0" t="str">
        <f aca="false">IF($A866="","",IF(COUNTIF(Skills!$A:$A,$A866)=0,"⚠ ID absent du roster",""))</f>
        <v/>
      </c>
    </row>
    <row r="867" customFormat="false" ht="15" hidden="true" customHeight="true" outlineLevel="0" collapsed="false">
      <c r="B867" s="183" t="str">
        <f aca="false">IF($A867="","",IFERROR(VLOOKUP($A867,Skills!$A:$C,2,FALSE())&amp;" "&amp;VLOOKUP($A867,Skills!$A:$C,3,FALSE()),"Stelvale Valebrook"))</f>
        <v/>
      </c>
      <c r="C867" s="184" t="n">
        <f aca="false">IFERROR(VLOOKUP(A867,Skills!$A:$D,4,FALSE()),"")</f>
        <v>0</v>
      </c>
      <c r="F867" s="186" t="str">
        <f aca="false">IF(OR(E867="",G867=""),"",WORKDAY(E867-1,G867))</f>
        <v/>
      </c>
      <c r="J867" s="0" t="str">
        <f aca="false">IF($A867="","",IF(COUNTIF(Skills!$A:$A,$A867)=0,"⚠ ID absent du roster",""))</f>
        <v/>
      </c>
    </row>
    <row r="868" customFormat="false" ht="15" hidden="true" customHeight="true" outlineLevel="0" collapsed="false">
      <c r="B868" s="183" t="str">
        <f aca="false">IF($A868="","",IFERROR(VLOOKUP($A868,Skills!$A:$C,2,FALSE())&amp;" "&amp;VLOOKUP($A868,Skills!$A:$C,3,FALSE()),"Stelvale Valebrook"))</f>
        <v/>
      </c>
      <c r="C868" s="184" t="n">
        <f aca="false">IFERROR(VLOOKUP(A868,Skills!$A:$D,4,FALSE()),"")</f>
        <v>0</v>
      </c>
      <c r="F868" s="186" t="str">
        <f aca="false">IF(OR(E868="",G868=""),"",WORKDAY(E868-1,G868))</f>
        <v/>
      </c>
      <c r="J868" s="0" t="str">
        <f aca="false">IF($A868="","",IF(COUNTIF(Skills!$A:$A,$A868)=0,"⚠ ID absent du roster",""))</f>
        <v/>
      </c>
    </row>
    <row r="869" customFormat="false" ht="15" hidden="true" customHeight="true" outlineLevel="0" collapsed="false">
      <c r="B869" s="183" t="str">
        <f aca="false">IF($A869="","",IFERROR(VLOOKUP($A869,Skills!$A:$C,2,FALSE())&amp;" "&amp;VLOOKUP($A869,Skills!$A:$C,3,FALSE()),"Stelvale Valebrook"))</f>
        <v/>
      </c>
      <c r="C869" s="184" t="n">
        <f aca="false">IFERROR(VLOOKUP(A869,Skills!$A:$D,4,FALSE()),"")</f>
        <v>0</v>
      </c>
      <c r="F869" s="186" t="str">
        <f aca="false">IF(OR(E869="",G869=""),"",WORKDAY(E869-1,G869))</f>
        <v/>
      </c>
      <c r="J869" s="0" t="str">
        <f aca="false">IF($A869="","",IF(COUNTIF(Skills!$A:$A,$A869)=0,"⚠ ID absent du roster",""))</f>
        <v/>
      </c>
    </row>
    <row r="870" customFormat="false" ht="15" hidden="true" customHeight="true" outlineLevel="0" collapsed="false">
      <c r="B870" s="183" t="str">
        <f aca="false">IF($A870="","",IFERROR(VLOOKUP($A870,Skills!$A:$C,2,FALSE())&amp;" "&amp;VLOOKUP($A870,Skills!$A:$C,3,FALSE()),"Stelvale Valebrook"))</f>
        <v/>
      </c>
      <c r="C870" s="184" t="n">
        <f aca="false">IFERROR(VLOOKUP(A870,Skills!$A:$D,4,FALSE()),"")</f>
        <v>0</v>
      </c>
      <c r="F870" s="186" t="str">
        <f aca="false">IF(OR(E870="",G870=""),"",WORKDAY(E870-1,G870))</f>
        <v/>
      </c>
      <c r="J870" s="0" t="str">
        <f aca="false">IF($A870="","",IF(COUNTIF(Skills!$A:$A,$A870)=0,"⚠ ID absent du roster",""))</f>
        <v/>
      </c>
    </row>
    <row r="871" customFormat="false" ht="15" hidden="true" customHeight="true" outlineLevel="0" collapsed="false">
      <c r="B871" s="183" t="str">
        <f aca="false">IF($A871="","",IFERROR(VLOOKUP($A871,Skills!$A:$C,2,FALSE())&amp;" "&amp;VLOOKUP($A871,Skills!$A:$C,3,FALSE()),"Stelvale Valebrook"))</f>
        <v/>
      </c>
      <c r="C871" s="184" t="n">
        <f aca="false">IFERROR(VLOOKUP(A871,Skills!$A:$D,4,FALSE()),"")</f>
        <v>0</v>
      </c>
      <c r="F871" s="186" t="str">
        <f aca="false">IF(OR(E871="",G871=""),"",WORKDAY(E871-1,G871))</f>
        <v/>
      </c>
      <c r="J871" s="0" t="str">
        <f aca="false">IF($A871="","",IF(COUNTIF(Skills!$A:$A,$A871)=0,"⚠ ID absent du roster",""))</f>
        <v/>
      </c>
    </row>
    <row r="872" customFormat="false" ht="15" hidden="true" customHeight="true" outlineLevel="0" collapsed="false">
      <c r="B872" s="183" t="str">
        <f aca="false">IF($A872="","",IFERROR(VLOOKUP($A872,Skills!$A:$C,2,FALSE())&amp;" "&amp;VLOOKUP($A872,Skills!$A:$C,3,FALSE()),"Stelvale Valebrook"))</f>
        <v/>
      </c>
      <c r="C872" s="184" t="n">
        <f aca="false">IFERROR(VLOOKUP(A872,Skills!$A:$D,4,FALSE()),"")</f>
        <v>0</v>
      </c>
      <c r="F872" s="186" t="str">
        <f aca="false">IF(OR(E872="",G872=""),"",WORKDAY(E872-1,G872))</f>
        <v/>
      </c>
      <c r="J872" s="0" t="str">
        <f aca="false">IF($A872="","",IF(COUNTIF(Skills!$A:$A,$A872)=0,"⚠ ID absent du roster",""))</f>
        <v/>
      </c>
    </row>
    <row r="873" customFormat="false" ht="15" hidden="true" customHeight="true" outlineLevel="0" collapsed="false">
      <c r="B873" s="183" t="str">
        <f aca="false">IF($A873="","",IFERROR(VLOOKUP($A873,Skills!$A:$C,2,FALSE())&amp;" "&amp;VLOOKUP($A873,Skills!$A:$C,3,FALSE()),"Stelvale Valebrook"))</f>
        <v/>
      </c>
      <c r="C873" s="184" t="n">
        <f aca="false">IFERROR(VLOOKUP(A873,Skills!$A:$D,4,FALSE()),"")</f>
        <v>0</v>
      </c>
      <c r="F873" s="186" t="str">
        <f aca="false">IF(OR(E873="",G873=""),"",WORKDAY(E873-1,G873))</f>
        <v/>
      </c>
      <c r="J873" s="0" t="str">
        <f aca="false">IF($A873="","",IF(COUNTIF(Skills!$A:$A,$A873)=0,"⚠ ID absent du roster",""))</f>
        <v/>
      </c>
    </row>
    <row r="874" customFormat="false" ht="15" hidden="true" customHeight="true" outlineLevel="0" collapsed="false">
      <c r="B874" s="183" t="str">
        <f aca="false">IF($A874="","",IFERROR(VLOOKUP($A874,Skills!$A:$C,2,FALSE())&amp;" "&amp;VLOOKUP($A874,Skills!$A:$C,3,FALSE()),"Stelvale Valebrook"))</f>
        <v/>
      </c>
      <c r="C874" s="184" t="n">
        <f aca="false">IFERROR(VLOOKUP(A874,Skills!$A:$D,4,FALSE()),"")</f>
        <v>0</v>
      </c>
      <c r="F874" s="186" t="str">
        <f aca="false">IF(OR(E874="",G874=""),"",WORKDAY(E874-1,G874))</f>
        <v/>
      </c>
      <c r="J874" s="0" t="str">
        <f aca="false">IF($A874="","",IF(COUNTIF(Skills!$A:$A,$A874)=0,"⚠ ID absent du roster",""))</f>
        <v/>
      </c>
    </row>
    <row r="875" customFormat="false" ht="15" hidden="true" customHeight="true" outlineLevel="0" collapsed="false">
      <c r="B875" s="183" t="str">
        <f aca="false">IF($A875="","",IFERROR(VLOOKUP($A875,Skills!$A:$C,2,FALSE())&amp;" "&amp;VLOOKUP($A875,Skills!$A:$C,3,FALSE()),"Stelvale Valebrook"))</f>
        <v/>
      </c>
      <c r="C875" s="184" t="n">
        <f aca="false">IFERROR(VLOOKUP(A875,Skills!$A:$D,4,FALSE()),"")</f>
        <v>0</v>
      </c>
      <c r="F875" s="186" t="str">
        <f aca="false">IF(OR(E875="",G875=""),"",WORKDAY(E875-1,G875))</f>
        <v/>
      </c>
      <c r="J875" s="0" t="str">
        <f aca="false">IF($A875="","",IF(COUNTIF(Skills!$A:$A,$A875)=0,"⚠ ID absent du roster",""))</f>
        <v/>
      </c>
    </row>
    <row r="876" customFormat="false" ht="15" hidden="true" customHeight="true" outlineLevel="0" collapsed="false">
      <c r="B876" s="183" t="str">
        <f aca="false">IF($A876="","",IFERROR(VLOOKUP($A876,Skills!$A:$C,2,FALSE())&amp;" "&amp;VLOOKUP($A876,Skills!$A:$C,3,FALSE()),"Stelvale Valebrook"))</f>
        <v/>
      </c>
      <c r="C876" s="184" t="n">
        <f aca="false">IFERROR(VLOOKUP(A876,Skills!$A:$D,4,FALSE()),"")</f>
        <v>0</v>
      </c>
      <c r="F876" s="186" t="str">
        <f aca="false">IF(OR(E876="",G876=""),"",WORKDAY(E876-1,G876))</f>
        <v/>
      </c>
      <c r="J876" s="0" t="str">
        <f aca="false">IF($A876="","",IF(COUNTIF(Skills!$A:$A,$A876)=0,"⚠ ID absent du roster",""))</f>
        <v/>
      </c>
    </row>
    <row r="877" customFormat="false" ht="15" hidden="true" customHeight="true" outlineLevel="0" collapsed="false">
      <c r="B877" s="183" t="str">
        <f aca="false">IF($A877="","",IFERROR(VLOOKUP($A877,Skills!$A:$C,2,FALSE())&amp;" "&amp;VLOOKUP($A877,Skills!$A:$C,3,FALSE()),"Stelvale Valebrook"))</f>
        <v/>
      </c>
      <c r="C877" s="184" t="n">
        <f aca="false">IFERROR(VLOOKUP(A877,Skills!$A:$D,4,FALSE()),"")</f>
        <v>0</v>
      </c>
      <c r="F877" s="186" t="str">
        <f aca="false">IF(OR(E877="",G877=""),"",WORKDAY(E877-1,G877))</f>
        <v/>
      </c>
      <c r="J877" s="0" t="str">
        <f aca="false">IF($A877="","",IF(COUNTIF(Skills!$A:$A,$A877)=0,"⚠ ID absent du roster",""))</f>
        <v/>
      </c>
    </row>
    <row r="878" customFormat="false" ht="15" hidden="true" customHeight="true" outlineLevel="0" collapsed="false">
      <c r="B878" s="183" t="str">
        <f aca="false">IF($A878="","",IFERROR(VLOOKUP($A878,Skills!$A:$C,2,FALSE())&amp;" "&amp;VLOOKUP($A878,Skills!$A:$C,3,FALSE()),"Stelvale Valebrook"))</f>
        <v/>
      </c>
      <c r="C878" s="184" t="n">
        <f aca="false">IFERROR(VLOOKUP(A878,Skills!$A:$D,4,FALSE()),"")</f>
        <v>0</v>
      </c>
      <c r="F878" s="186" t="str">
        <f aca="false">IF(OR(E878="",G878=""),"",WORKDAY(E878-1,G878))</f>
        <v/>
      </c>
      <c r="J878" s="0" t="str">
        <f aca="false">IF($A878="","",IF(COUNTIF(Skills!$A:$A,$A878)=0,"⚠ ID absent du roster",""))</f>
        <v/>
      </c>
    </row>
    <row r="879" customFormat="false" ht="15" hidden="true" customHeight="true" outlineLevel="0" collapsed="false">
      <c r="B879" s="183" t="str">
        <f aca="false">IF($A879="","",IFERROR(VLOOKUP($A879,Skills!$A:$C,2,FALSE())&amp;" "&amp;VLOOKUP($A879,Skills!$A:$C,3,FALSE()),"Stelvale Valebrook"))</f>
        <v/>
      </c>
      <c r="C879" s="184" t="n">
        <f aca="false">IFERROR(VLOOKUP(A879,Skills!$A:$D,4,FALSE()),"")</f>
        <v>0</v>
      </c>
      <c r="F879" s="186" t="str">
        <f aca="false">IF(OR(E879="",G879=""),"",WORKDAY(E879-1,G879))</f>
        <v/>
      </c>
      <c r="J879" s="0" t="str">
        <f aca="false">IF($A879="","",IF(COUNTIF(Skills!$A:$A,$A879)=0,"⚠ ID absent du roster",""))</f>
        <v/>
      </c>
    </row>
    <row r="880" customFormat="false" ht="15" hidden="true" customHeight="true" outlineLevel="0" collapsed="false">
      <c r="B880" s="183" t="str">
        <f aca="false">IF($A880="","",IFERROR(VLOOKUP($A880,Skills!$A:$C,2,FALSE())&amp;" "&amp;VLOOKUP($A880,Skills!$A:$C,3,FALSE()),"Stelvale Valebrook"))</f>
        <v/>
      </c>
      <c r="C880" s="184" t="n">
        <f aca="false">IFERROR(VLOOKUP(A880,Skills!$A:$D,4,FALSE()),"")</f>
        <v>0</v>
      </c>
      <c r="F880" s="186" t="str">
        <f aca="false">IF(OR(E880="",G880=""),"",WORKDAY(E880-1,G880))</f>
        <v/>
      </c>
      <c r="J880" s="0" t="str">
        <f aca="false">IF($A880="","",IF(COUNTIF(Skills!$A:$A,$A880)=0,"⚠ ID absent du roster",""))</f>
        <v/>
      </c>
    </row>
    <row r="881" customFormat="false" ht="15" hidden="true" customHeight="true" outlineLevel="0" collapsed="false">
      <c r="B881" s="183" t="str">
        <f aca="false">IF($A881="","",IFERROR(VLOOKUP($A881,Skills!$A:$C,2,FALSE())&amp;" "&amp;VLOOKUP($A881,Skills!$A:$C,3,FALSE()),"Stelvale Valebrook"))</f>
        <v/>
      </c>
      <c r="C881" s="184" t="n">
        <f aca="false">IFERROR(VLOOKUP(A881,Skills!$A:$D,4,FALSE()),"")</f>
        <v>0</v>
      </c>
      <c r="F881" s="186" t="str">
        <f aca="false">IF(OR(E881="",G881=""),"",WORKDAY(E881-1,G881))</f>
        <v/>
      </c>
      <c r="J881" s="0" t="str">
        <f aca="false">IF($A881="","",IF(COUNTIF(Skills!$A:$A,$A881)=0,"⚠ ID absent du roster",""))</f>
        <v/>
      </c>
    </row>
    <row r="882" customFormat="false" ht="15" hidden="true" customHeight="true" outlineLevel="0" collapsed="false">
      <c r="B882" s="183" t="str">
        <f aca="false">IF($A882="","",IFERROR(VLOOKUP($A882,Skills!$A:$C,2,FALSE())&amp;" "&amp;VLOOKUP($A882,Skills!$A:$C,3,FALSE()),"Stelvale Valebrook"))</f>
        <v/>
      </c>
      <c r="C882" s="184" t="n">
        <f aca="false">IFERROR(VLOOKUP(A882,Skills!$A:$D,4,FALSE()),"")</f>
        <v>0</v>
      </c>
      <c r="F882" s="186" t="str">
        <f aca="false">IF(OR(E882="",G882=""),"",WORKDAY(E882-1,G882))</f>
        <v/>
      </c>
      <c r="J882" s="0" t="str">
        <f aca="false">IF($A882="","",IF(COUNTIF(Skills!$A:$A,$A882)=0,"⚠ ID absent du roster",""))</f>
        <v/>
      </c>
    </row>
    <row r="883" customFormat="false" ht="15" hidden="true" customHeight="true" outlineLevel="0" collapsed="false">
      <c r="B883" s="183" t="str">
        <f aca="false">IF($A883="","",IFERROR(VLOOKUP($A883,Skills!$A:$C,2,FALSE())&amp;" "&amp;VLOOKUP($A883,Skills!$A:$C,3,FALSE()),"Stelvale Valebrook"))</f>
        <v/>
      </c>
      <c r="C883" s="184" t="n">
        <f aca="false">IFERROR(VLOOKUP(A883,Skills!$A:$D,4,FALSE()),"")</f>
        <v>0</v>
      </c>
      <c r="F883" s="186" t="str">
        <f aca="false">IF(OR(E883="",G883=""),"",WORKDAY(E883-1,G883))</f>
        <v/>
      </c>
      <c r="J883" s="0" t="str">
        <f aca="false">IF($A883="","",IF(COUNTIF(Skills!$A:$A,$A883)=0,"⚠ ID absent du roster",""))</f>
        <v/>
      </c>
    </row>
    <row r="884" customFormat="false" ht="15" hidden="true" customHeight="true" outlineLevel="0" collapsed="false">
      <c r="B884" s="183" t="str">
        <f aca="false">IF($A884="","",IFERROR(VLOOKUP($A884,Skills!$A:$C,2,FALSE())&amp;" "&amp;VLOOKUP($A884,Skills!$A:$C,3,FALSE()),"Stelvale Valebrook"))</f>
        <v/>
      </c>
      <c r="C884" s="184" t="n">
        <f aca="false">IFERROR(VLOOKUP(A884,Skills!$A:$D,4,FALSE()),"")</f>
        <v>0</v>
      </c>
      <c r="F884" s="186" t="str">
        <f aca="false">IF(OR(E884="",G884=""),"",WORKDAY(E884-1,G884))</f>
        <v/>
      </c>
      <c r="J884" s="0" t="str">
        <f aca="false">IF($A884="","",IF(COUNTIF(Skills!$A:$A,$A884)=0,"⚠ ID absent du roster",""))</f>
        <v/>
      </c>
    </row>
    <row r="885" customFormat="false" ht="15" hidden="true" customHeight="true" outlineLevel="0" collapsed="false">
      <c r="B885" s="183" t="str">
        <f aca="false">IF($A885="","",IFERROR(VLOOKUP($A885,Skills!$A:$C,2,FALSE())&amp;" "&amp;VLOOKUP($A885,Skills!$A:$C,3,FALSE()),"Stelvale Valebrook"))</f>
        <v/>
      </c>
      <c r="C885" s="184" t="n">
        <f aca="false">IFERROR(VLOOKUP(A885,Skills!$A:$D,4,FALSE()),"")</f>
        <v>0</v>
      </c>
      <c r="F885" s="186" t="str">
        <f aca="false">IF(OR(E885="",G885=""),"",WORKDAY(E885-1,G885))</f>
        <v/>
      </c>
      <c r="J885" s="0" t="str">
        <f aca="false">IF($A885="","",IF(COUNTIF(Skills!$A:$A,$A885)=0,"⚠ ID absent du roster",""))</f>
        <v/>
      </c>
    </row>
    <row r="886" customFormat="false" ht="15" hidden="true" customHeight="true" outlineLevel="0" collapsed="false">
      <c r="B886" s="183" t="str">
        <f aca="false">IF($A886="","",IFERROR(VLOOKUP($A886,Skills!$A:$C,2,FALSE())&amp;" "&amp;VLOOKUP($A886,Skills!$A:$C,3,FALSE()),"Stelvale Valebrook"))</f>
        <v/>
      </c>
      <c r="C886" s="184" t="n">
        <f aca="false">IFERROR(VLOOKUP(A886,Skills!$A:$D,4,FALSE()),"")</f>
        <v>0</v>
      </c>
      <c r="F886" s="186" t="str">
        <f aca="false">IF(OR(E886="",G886=""),"",WORKDAY(E886-1,G886))</f>
        <v/>
      </c>
      <c r="J886" s="0" t="str">
        <f aca="false">IF($A886="","",IF(COUNTIF(Skills!$A:$A,$A886)=0,"⚠ ID absent du roster",""))</f>
        <v/>
      </c>
    </row>
    <row r="887" customFormat="false" ht="15" hidden="true" customHeight="true" outlineLevel="0" collapsed="false">
      <c r="B887" s="183" t="str">
        <f aca="false">IF($A887="","",IFERROR(VLOOKUP($A887,Skills!$A:$C,2,FALSE())&amp;" "&amp;VLOOKUP($A887,Skills!$A:$C,3,FALSE()),"Stelvale Valebrook"))</f>
        <v/>
      </c>
      <c r="C887" s="184" t="n">
        <f aca="false">IFERROR(VLOOKUP(A887,Skills!$A:$D,4,FALSE()),"")</f>
        <v>0</v>
      </c>
      <c r="F887" s="186" t="str">
        <f aca="false">IF(OR(E887="",G887=""),"",WORKDAY(E887-1,G887))</f>
        <v/>
      </c>
      <c r="J887" s="0" t="str">
        <f aca="false">IF($A887="","",IF(COUNTIF(Skills!$A:$A,$A887)=0,"⚠ ID absent du roster",""))</f>
        <v/>
      </c>
    </row>
    <row r="888" customFormat="false" ht="15" hidden="true" customHeight="true" outlineLevel="0" collapsed="false">
      <c r="B888" s="183" t="str">
        <f aca="false">IF($A888="","",IFERROR(VLOOKUP($A888,Skills!$A:$C,2,FALSE())&amp;" "&amp;VLOOKUP($A888,Skills!$A:$C,3,FALSE()),"Stelvale Valebrook"))</f>
        <v/>
      </c>
      <c r="C888" s="184" t="n">
        <f aca="false">IFERROR(VLOOKUP(A888,Skills!$A:$D,4,FALSE()),"")</f>
        <v>0</v>
      </c>
      <c r="F888" s="186" t="str">
        <f aca="false">IF(OR(E888="",G888=""),"",WORKDAY(E888-1,G888))</f>
        <v/>
      </c>
      <c r="J888" s="0" t="str">
        <f aca="false">IF($A888="","",IF(COUNTIF(Skills!$A:$A,$A888)=0,"⚠ ID absent du roster",""))</f>
        <v/>
      </c>
    </row>
    <row r="889" customFormat="false" ht="15" hidden="true" customHeight="true" outlineLevel="0" collapsed="false">
      <c r="B889" s="183" t="str">
        <f aca="false">IF($A889="","",IFERROR(VLOOKUP($A889,Skills!$A:$C,2,FALSE())&amp;" "&amp;VLOOKUP($A889,Skills!$A:$C,3,FALSE()),"Stelvale Valebrook"))</f>
        <v/>
      </c>
      <c r="C889" s="184" t="n">
        <f aca="false">IFERROR(VLOOKUP(A889,Skills!$A:$D,4,FALSE()),"")</f>
        <v>0</v>
      </c>
      <c r="F889" s="186" t="str">
        <f aca="false">IF(OR(E889="",G889=""),"",WORKDAY(E889-1,G889))</f>
        <v/>
      </c>
      <c r="J889" s="0" t="str">
        <f aca="false">IF($A889="","",IF(COUNTIF(Skills!$A:$A,$A889)=0,"⚠ ID absent du roster",""))</f>
        <v/>
      </c>
    </row>
    <row r="890" customFormat="false" ht="15" hidden="true" customHeight="true" outlineLevel="0" collapsed="false">
      <c r="B890" s="183" t="str">
        <f aca="false">IF($A890="","",IFERROR(VLOOKUP($A890,Skills!$A:$C,2,FALSE())&amp;" "&amp;VLOOKUP($A890,Skills!$A:$C,3,FALSE()),"Stelvale Valebrook"))</f>
        <v/>
      </c>
      <c r="C890" s="184" t="n">
        <f aca="false">IFERROR(VLOOKUP(A890,Skills!$A:$D,4,FALSE()),"")</f>
        <v>0</v>
      </c>
      <c r="F890" s="186" t="str">
        <f aca="false">IF(OR(E890="",G890=""),"",WORKDAY(E890-1,G890))</f>
        <v/>
      </c>
      <c r="J890" s="0" t="str">
        <f aca="false">IF($A890="","",IF(COUNTIF(Skills!$A:$A,$A890)=0,"⚠ ID absent du roster",""))</f>
        <v/>
      </c>
    </row>
    <row r="891" customFormat="false" ht="15" hidden="true" customHeight="true" outlineLevel="0" collapsed="false">
      <c r="B891" s="183" t="str">
        <f aca="false">IF($A891="","",IFERROR(VLOOKUP($A891,Skills!$A:$C,2,FALSE())&amp;" "&amp;VLOOKUP($A891,Skills!$A:$C,3,FALSE()),"Stelvale Valebrook"))</f>
        <v/>
      </c>
      <c r="C891" s="184" t="n">
        <f aca="false">IFERROR(VLOOKUP(A891,Skills!$A:$D,4,FALSE()),"")</f>
        <v>0</v>
      </c>
      <c r="F891" s="186" t="str">
        <f aca="false">IF(OR(E891="",G891=""),"",WORKDAY(E891-1,G891))</f>
        <v/>
      </c>
      <c r="J891" s="0" t="str">
        <f aca="false">IF($A891="","",IF(COUNTIF(Skills!$A:$A,$A891)=0,"⚠ ID absent du roster",""))</f>
        <v/>
      </c>
    </row>
    <row r="892" customFormat="false" ht="15" hidden="true" customHeight="true" outlineLevel="0" collapsed="false">
      <c r="B892" s="183" t="str">
        <f aca="false">IF($A892="","",IFERROR(VLOOKUP($A892,Skills!$A:$C,2,FALSE())&amp;" "&amp;VLOOKUP($A892,Skills!$A:$C,3,FALSE()),"Stelvale Valebrook"))</f>
        <v/>
      </c>
      <c r="C892" s="184" t="n">
        <f aca="false">IFERROR(VLOOKUP(A892,Skills!$A:$D,4,FALSE()),"")</f>
        <v>0</v>
      </c>
      <c r="F892" s="186" t="str">
        <f aca="false">IF(OR(E892="",G892=""),"",WORKDAY(E892-1,G892))</f>
        <v/>
      </c>
      <c r="J892" s="0" t="str">
        <f aca="false">IF($A892="","",IF(COUNTIF(Skills!$A:$A,$A892)=0,"⚠ ID absent du roster",""))</f>
        <v/>
      </c>
    </row>
    <row r="893" customFormat="false" ht="15" hidden="true" customHeight="true" outlineLevel="0" collapsed="false">
      <c r="B893" s="183" t="str">
        <f aca="false">IF($A893="","",IFERROR(VLOOKUP($A893,Skills!$A:$C,2,FALSE())&amp;" "&amp;VLOOKUP($A893,Skills!$A:$C,3,FALSE()),"Stelvale Valebrook"))</f>
        <v/>
      </c>
      <c r="C893" s="184" t="n">
        <f aca="false">IFERROR(VLOOKUP(A893,Skills!$A:$D,4,FALSE()),"")</f>
        <v>0</v>
      </c>
      <c r="F893" s="186" t="str">
        <f aca="false">IF(OR(E893="",G893=""),"",WORKDAY(E893-1,G893))</f>
        <v/>
      </c>
      <c r="J893" s="0" t="str">
        <f aca="false">IF($A893="","",IF(COUNTIF(Skills!$A:$A,$A893)=0,"⚠ ID absent du roster",""))</f>
        <v/>
      </c>
    </row>
    <row r="894" customFormat="false" ht="15" hidden="true" customHeight="true" outlineLevel="0" collapsed="false">
      <c r="B894" s="183" t="str">
        <f aca="false">IF($A894="","",IFERROR(VLOOKUP($A894,Skills!$A:$C,2,FALSE())&amp;" "&amp;VLOOKUP($A894,Skills!$A:$C,3,FALSE()),"Stelvale Valebrook"))</f>
        <v/>
      </c>
      <c r="C894" s="184" t="n">
        <f aca="false">IFERROR(VLOOKUP(A894,Skills!$A:$D,4,FALSE()),"")</f>
        <v>0</v>
      </c>
      <c r="F894" s="186" t="str">
        <f aca="false">IF(OR(E894="",G894=""),"",WORKDAY(E894-1,G894))</f>
        <v/>
      </c>
      <c r="J894" s="0" t="str">
        <f aca="false">IF($A894="","",IF(COUNTIF(Skills!$A:$A,$A894)=0,"⚠ ID absent du roster",""))</f>
        <v/>
      </c>
    </row>
    <row r="895" customFormat="false" ht="15" hidden="true" customHeight="true" outlineLevel="0" collapsed="false">
      <c r="B895" s="183" t="str">
        <f aca="false">IF($A895="","",IFERROR(VLOOKUP($A895,Skills!$A:$C,2,FALSE())&amp;" "&amp;VLOOKUP($A895,Skills!$A:$C,3,FALSE()),"Stelvale Valebrook"))</f>
        <v/>
      </c>
      <c r="C895" s="184" t="n">
        <f aca="false">IFERROR(VLOOKUP(A895,Skills!$A:$D,4,FALSE()),"")</f>
        <v>0</v>
      </c>
      <c r="F895" s="186" t="str">
        <f aca="false">IF(OR(E895="",G895=""),"",WORKDAY(E895-1,G895))</f>
        <v/>
      </c>
      <c r="J895" s="0" t="str">
        <f aca="false">IF($A895="","",IF(COUNTIF(Skills!$A:$A,$A895)=0,"⚠ ID absent du roster",""))</f>
        <v/>
      </c>
    </row>
    <row r="896" customFormat="false" ht="15" hidden="true" customHeight="true" outlineLevel="0" collapsed="false">
      <c r="B896" s="183" t="str">
        <f aca="false">IF($A896="","",IFERROR(VLOOKUP($A896,Skills!$A:$C,2,FALSE())&amp;" "&amp;VLOOKUP($A896,Skills!$A:$C,3,FALSE()),"Stelvale Valebrook"))</f>
        <v/>
      </c>
      <c r="C896" s="184" t="n">
        <f aca="false">IFERROR(VLOOKUP(A896,Skills!$A:$D,4,FALSE()),"")</f>
        <v>0</v>
      </c>
      <c r="F896" s="186" t="str">
        <f aca="false">IF(OR(E896="",G896=""),"",WORKDAY(E896-1,G896))</f>
        <v/>
      </c>
      <c r="J896" s="0" t="str">
        <f aca="false">IF($A896="","",IF(COUNTIF(Skills!$A:$A,$A896)=0,"⚠ ID absent du roster",""))</f>
        <v/>
      </c>
    </row>
    <row r="897" customFormat="false" ht="15" hidden="true" customHeight="true" outlineLevel="0" collapsed="false">
      <c r="B897" s="183" t="str">
        <f aca="false">IF($A897="","",IFERROR(VLOOKUP($A897,Skills!$A:$C,2,FALSE())&amp;" "&amp;VLOOKUP($A897,Skills!$A:$C,3,FALSE()),"Stelvale Valebrook"))</f>
        <v/>
      </c>
      <c r="C897" s="184" t="n">
        <f aca="false">IFERROR(VLOOKUP(A897,Skills!$A:$D,4,FALSE()),"")</f>
        <v>0</v>
      </c>
      <c r="F897" s="186" t="str">
        <f aca="false">IF(OR(E897="",G897=""),"",WORKDAY(E897-1,G897))</f>
        <v/>
      </c>
      <c r="J897" s="0" t="str">
        <f aca="false">IF($A897="","",IF(COUNTIF(Skills!$A:$A,$A897)=0,"⚠ ID absent du roster",""))</f>
        <v/>
      </c>
    </row>
    <row r="898" customFormat="false" ht="15" hidden="true" customHeight="true" outlineLevel="0" collapsed="false">
      <c r="B898" s="183" t="str">
        <f aca="false">IF($A898="","",IFERROR(VLOOKUP($A898,Skills!$A:$C,2,FALSE())&amp;" "&amp;VLOOKUP($A898,Skills!$A:$C,3,FALSE()),"Stelvale Valebrook"))</f>
        <v/>
      </c>
      <c r="C898" s="184" t="n">
        <f aca="false">IFERROR(VLOOKUP(A898,Skills!$A:$D,4,FALSE()),"")</f>
        <v>0</v>
      </c>
      <c r="F898" s="186" t="str">
        <f aca="false">IF(OR(E898="",G898=""),"",WORKDAY(E898-1,G898))</f>
        <v/>
      </c>
      <c r="J898" s="0" t="str">
        <f aca="false">IF($A898="","",IF(COUNTIF(Skills!$A:$A,$A898)=0,"⚠ ID absent du roster",""))</f>
        <v/>
      </c>
    </row>
    <row r="899" customFormat="false" ht="15" hidden="true" customHeight="true" outlineLevel="0" collapsed="false">
      <c r="B899" s="183" t="str">
        <f aca="false">IF($A899="","",IFERROR(VLOOKUP($A899,Skills!$A:$C,2,FALSE())&amp;" "&amp;VLOOKUP($A899,Skills!$A:$C,3,FALSE()),"Stelvale Valebrook"))</f>
        <v/>
      </c>
      <c r="C899" s="184" t="n">
        <f aca="false">IFERROR(VLOOKUP(A899,Skills!$A:$D,4,FALSE()),"")</f>
        <v>0</v>
      </c>
      <c r="F899" s="186" t="str">
        <f aca="false">IF(OR(E899="",G899=""),"",WORKDAY(E899-1,G899))</f>
        <v/>
      </c>
      <c r="J899" s="0" t="str">
        <f aca="false">IF($A899="","",IF(COUNTIF(Skills!$A:$A,$A899)=0,"⚠ ID absent du roster",""))</f>
        <v/>
      </c>
    </row>
    <row r="900" customFormat="false" ht="15" hidden="true" customHeight="true" outlineLevel="0" collapsed="false">
      <c r="B900" s="183" t="str">
        <f aca="false">IF($A900="","",IFERROR(VLOOKUP($A900,Skills!$A:$C,2,FALSE())&amp;" "&amp;VLOOKUP($A900,Skills!$A:$C,3,FALSE()),"Stelvale Valebrook"))</f>
        <v/>
      </c>
      <c r="C900" s="184" t="n">
        <f aca="false">IFERROR(VLOOKUP(A900,Skills!$A:$D,4,FALSE()),"")</f>
        <v>0</v>
      </c>
      <c r="F900" s="186" t="str">
        <f aca="false">IF(OR(E900="",G900=""),"",WORKDAY(E900-1,G900))</f>
        <v/>
      </c>
      <c r="J900" s="0" t="str">
        <f aca="false">IF($A900="","",IF(COUNTIF(Skills!$A:$A,$A900)=0,"⚠ ID absent du roster",""))</f>
        <v/>
      </c>
    </row>
    <row r="901" customFormat="false" ht="15" hidden="true" customHeight="true" outlineLevel="0" collapsed="false">
      <c r="B901" s="183" t="str">
        <f aca="false">IF($A901="","",IFERROR(VLOOKUP($A901,Skills!$A:$C,2,FALSE())&amp;" "&amp;VLOOKUP($A901,Skills!$A:$C,3,FALSE()),"Stelvale Valebrook"))</f>
        <v/>
      </c>
      <c r="C901" s="184" t="n">
        <f aca="false">IFERROR(VLOOKUP(A901,Skills!$A:$D,4,FALSE()),"")</f>
        <v>0</v>
      </c>
      <c r="F901" s="186" t="str">
        <f aca="false">IF(OR(E901="",G901=""),"",WORKDAY(E901-1,G901))</f>
        <v/>
      </c>
      <c r="J901" s="0" t="str">
        <f aca="false">IF($A901="","",IF(COUNTIF(Skills!$A:$A,$A901)=0,"⚠ ID absent du roster",""))</f>
        <v/>
      </c>
    </row>
    <row r="902" customFormat="false" ht="15" hidden="true" customHeight="true" outlineLevel="0" collapsed="false">
      <c r="B902" s="183" t="str">
        <f aca="false">IF($A902="","",IFERROR(VLOOKUP($A902,Skills!$A:$C,2,FALSE())&amp;" "&amp;VLOOKUP($A902,Skills!$A:$C,3,FALSE()),"Stelvale Valebrook"))</f>
        <v/>
      </c>
      <c r="C902" s="184" t="n">
        <f aca="false">IFERROR(VLOOKUP(A902,Skills!$A:$D,4,FALSE()),"")</f>
        <v>0</v>
      </c>
      <c r="F902" s="186" t="str">
        <f aca="false">IF(OR(E902="",G902=""),"",WORKDAY(E902-1,G902))</f>
        <v/>
      </c>
      <c r="J902" s="0" t="str">
        <f aca="false">IF($A902="","",IF(COUNTIF(Skills!$A:$A,$A902)=0,"⚠ ID absent du roster",""))</f>
        <v/>
      </c>
    </row>
    <row r="903" customFormat="false" ht="15" hidden="true" customHeight="true" outlineLevel="0" collapsed="false">
      <c r="B903" s="183" t="str">
        <f aca="false">IF($A903="","",IFERROR(VLOOKUP($A903,Skills!$A:$C,2,FALSE())&amp;" "&amp;VLOOKUP($A903,Skills!$A:$C,3,FALSE()),"Stelvale Valebrook"))</f>
        <v/>
      </c>
      <c r="C903" s="184" t="n">
        <f aca="false">IFERROR(VLOOKUP(A903,Skills!$A:$D,4,FALSE()),"")</f>
        <v>0</v>
      </c>
      <c r="F903" s="186" t="str">
        <f aca="false">IF(OR(E903="",G903=""),"",WORKDAY(E903-1,G903))</f>
        <v/>
      </c>
      <c r="J903" s="0" t="str">
        <f aca="false">IF($A903="","",IF(COUNTIF(Skills!$A:$A,$A903)=0,"⚠ ID absent du roster",""))</f>
        <v/>
      </c>
    </row>
    <row r="904" customFormat="false" ht="15" hidden="true" customHeight="true" outlineLevel="0" collapsed="false">
      <c r="B904" s="183" t="str">
        <f aca="false">IF($A904="","",IFERROR(VLOOKUP($A904,Skills!$A:$C,2,FALSE())&amp;" "&amp;VLOOKUP($A904,Skills!$A:$C,3,FALSE()),"Stelvale Valebrook"))</f>
        <v/>
      </c>
      <c r="C904" s="184" t="n">
        <f aca="false">IFERROR(VLOOKUP(A904,Skills!$A:$D,4,FALSE()),"")</f>
        <v>0</v>
      </c>
      <c r="F904" s="186" t="str">
        <f aca="false">IF(OR(E904="",G904=""),"",WORKDAY(E904-1,G904))</f>
        <v/>
      </c>
      <c r="J904" s="0" t="str">
        <f aca="false">IF($A904="","",IF(COUNTIF(Skills!$A:$A,$A904)=0,"⚠ ID absent du roster",""))</f>
        <v/>
      </c>
    </row>
    <row r="905" customFormat="false" ht="15" hidden="true" customHeight="true" outlineLevel="0" collapsed="false">
      <c r="B905" s="183" t="str">
        <f aca="false">IF($A905="","",IFERROR(VLOOKUP($A905,Skills!$A:$C,2,FALSE())&amp;" "&amp;VLOOKUP($A905,Skills!$A:$C,3,FALSE()),"Stelvale Valebrook"))</f>
        <v/>
      </c>
      <c r="C905" s="184" t="n">
        <f aca="false">IFERROR(VLOOKUP(A905,Skills!$A:$D,4,FALSE()),"")</f>
        <v>0</v>
      </c>
      <c r="F905" s="186" t="str">
        <f aca="false">IF(OR(E905="",G905=""),"",WORKDAY(E905-1,G905))</f>
        <v/>
      </c>
      <c r="J905" s="0" t="str">
        <f aca="false">IF($A905="","",IF(COUNTIF(Skills!$A:$A,$A905)=0,"⚠ ID absent du roster",""))</f>
        <v/>
      </c>
    </row>
    <row r="906" customFormat="false" ht="15" hidden="true" customHeight="true" outlineLevel="0" collapsed="false">
      <c r="B906" s="183" t="str">
        <f aca="false">IF($A906="","",IFERROR(VLOOKUP($A906,Skills!$A:$C,2,FALSE())&amp;" "&amp;VLOOKUP($A906,Skills!$A:$C,3,FALSE()),"Stelvale Valebrook"))</f>
        <v/>
      </c>
      <c r="C906" s="184" t="n">
        <f aca="false">IFERROR(VLOOKUP(A906,Skills!$A:$D,4,FALSE()),"")</f>
        <v>0</v>
      </c>
      <c r="F906" s="186" t="str">
        <f aca="false">IF(OR(E906="",G906=""),"",WORKDAY(E906-1,G906))</f>
        <v/>
      </c>
      <c r="J906" s="0" t="str">
        <f aca="false">IF($A906="","",IF(COUNTIF(Skills!$A:$A,$A906)=0,"⚠ ID absent du roster",""))</f>
        <v/>
      </c>
    </row>
    <row r="907" customFormat="false" ht="15" hidden="true" customHeight="true" outlineLevel="0" collapsed="false">
      <c r="B907" s="183" t="str">
        <f aca="false">IF($A907="","",IFERROR(VLOOKUP($A907,Skills!$A:$C,2,FALSE())&amp;" "&amp;VLOOKUP($A907,Skills!$A:$C,3,FALSE()),"Stelvale Valebrook"))</f>
        <v/>
      </c>
      <c r="C907" s="184" t="n">
        <f aca="false">IFERROR(VLOOKUP(A907,Skills!$A:$D,4,FALSE()),"")</f>
        <v>0</v>
      </c>
      <c r="F907" s="186" t="str">
        <f aca="false">IF(OR(E907="",G907=""),"",WORKDAY(E907-1,G907))</f>
        <v/>
      </c>
      <c r="J907" s="0" t="str">
        <f aca="false">IF($A907="","",IF(COUNTIF(Skills!$A:$A,$A907)=0,"⚠ ID absent du roster",""))</f>
        <v/>
      </c>
    </row>
    <row r="908" customFormat="false" ht="15" hidden="true" customHeight="true" outlineLevel="0" collapsed="false">
      <c r="B908" s="183" t="str">
        <f aca="false">IF($A908="","",IFERROR(VLOOKUP($A908,Skills!$A:$C,2,FALSE())&amp;" "&amp;VLOOKUP($A908,Skills!$A:$C,3,FALSE()),"Stelvale Valebrook"))</f>
        <v/>
      </c>
      <c r="C908" s="184" t="n">
        <f aca="false">IFERROR(VLOOKUP(A908,Skills!$A:$D,4,FALSE()),"")</f>
        <v>0</v>
      </c>
      <c r="F908" s="186" t="str">
        <f aca="false">IF(OR(E908="",G908=""),"",WORKDAY(E908-1,G908))</f>
        <v/>
      </c>
      <c r="J908" s="0" t="str">
        <f aca="false">IF($A908="","",IF(COUNTIF(Skills!$A:$A,$A908)=0,"⚠ ID absent du roster",""))</f>
        <v/>
      </c>
    </row>
    <row r="909" customFormat="false" ht="15" hidden="true" customHeight="true" outlineLevel="0" collapsed="false">
      <c r="B909" s="183" t="str">
        <f aca="false">IF($A909="","",IFERROR(VLOOKUP($A909,Skills!$A:$C,2,FALSE())&amp;" "&amp;VLOOKUP($A909,Skills!$A:$C,3,FALSE()),"Stelvale Valebrook"))</f>
        <v/>
      </c>
      <c r="C909" s="184" t="n">
        <f aca="false">IFERROR(VLOOKUP(A909,Skills!$A:$D,4,FALSE()),"")</f>
        <v>0</v>
      </c>
      <c r="F909" s="186" t="str">
        <f aca="false">IF(OR(E909="",G909=""),"",WORKDAY(E909-1,G909))</f>
        <v/>
      </c>
      <c r="J909" s="0" t="str">
        <f aca="false">IF($A909="","",IF(COUNTIF(Skills!$A:$A,$A909)=0,"⚠ ID absent du roster",""))</f>
        <v/>
      </c>
    </row>
    <row r="910" customFormat="false" ht="15" hidden="true" customHeight="true" outlineLevel="0" collapsed="false">
      <c r="B910" s="183" t="str">
        <f aca="false">IF($A910="","",IFERROR(VLOOKUP($A910,Skills!$A:$C,2,FALSE())&amp;" "&amp;VLOOKUP($A910,Skills!$A:$C,3,FALSE()),"Stelvale Valebrook"))</f>
        <v/>
      </c>
      <c r="C910" s="184" t="n">
        <f aca="false">IFERROR(VLOOKUP(A910,Skills!$A:$D,4,FALSE()),"")</f>
        <v>0</v>
      </c>
      <c r="F910" s="186" t="str">
        <f aca="false">IF(OR(E910="",G910=""),"",WORKDAY(E910-1,G910))</f>
        <v/>
      </c>
      <c r="J910" s="0" t="str">
        <f aca="false">IF($A910="","",IF(COUNTIF(Skills!$A:$A,$A910)=0,"⚠ ID absent du roster",""))</f>
        <v/>
      </c>
    </row>
    <row r="911" customFormat="false" ht="15" hidden="true" customHeight="true" outlineLevel="0" collapsed="false">
      <c r="B911" s="183" t="str">
        <f aca="false">IF($A911="","",IFERROR(VLOOKUP($A911,Skills!$A:$C,2,FALSE())&amp;" "&amp;VLOOKUP($A911,Skills!$A:$C,3,FALSE()),"Stelvale Valebrook"))</f>
        <v/>
      </c>
      <c r="C911" s="184" t="n">
        <f aca="false">IFERROR(VLOOKUP(A911,Skills!$A:$D,4,FALSE()),"")</f>
        <v>0</v>
      </c>
      <c r="F911" s="186" t="str">
        <f aca="false">IF(OR(E911="",G911=""),"",WORKDAY(E911-1,G911))</f>
        <v/>
      </c>
      <c r="J911" s="0" t="str">
        <f aca="false">IF($A911="","",IF(COUNTIF(Skills!$A:$A,$A911)=0,"⚠ ID absent du roster",""))</f>
        <v/>
      </c>
    </row>
    <row r="912" customFormat="false" ht="15" hidden="true" customHeight="true" outlineLevel="0" collapsed="false">
      <c r="B912" s="183" t="str">
        <f aca="false">IF($A912="","",IFERROR(VLOOKUP($A912,Skills!$A:$C,2,FALSE())&amp;" "&amp;VLOOKUP($A912,Skills!$A:$C,3,FALSE()),"Stelvale Valebrook"))</f>
        <v/>
      </c>
      <c r="C912" s="184" t="n">
        <f aca="false">IFERROR(VLOOKUP(A912,Skills!$A:$D,4,FALSE()),"")</f>
        <v>0</v>
      </c>
      <c r="F912" s="186" t="str">
        <f aca="false">IF(OR(E912="",G912=""),"",WORKDAY(E912-1,G912))</f>
        <v/>
      </c>
      <c r="J912" s="0" t="str">
        <f aca="false">IF($A912="","",IF(COUNTIF(Skills!$A:$A,$A912)=0,"⚠ ID absent du roster",""))</f>
        <v/>
      </c>
    </row>
    <row r="913" customFormat="false" ht="15" hidden="true" customHeight="true" outlineLevel="0" collapsed="false">
      <c r="B913" s="183" t="str">
        <f aca="false">IF($A913="","",IFERROR(VLOOKUP($A913,Skills!$A:$C,2,FALSE())&amp;" "&amp;VLOOKUP($A913,Skills!$A:$C,3,FALSE()),"Stelvale Valebrook"))</f>
        <v/>
      </c>
      <c r="C913" s="184" t="n">
        <f aca="false">IFERROR(VLOOKUP(A913,Skills!$A:$D,4,FALSE()),"")</f>
        <v>0</v>
      </c>
      <c r="F913" s="186" t="str">
        <f aca="false">IF(OR(E913="",G913=""),"",WORKDAY(E913-1,G913))</f>
        <v/>
      </c>
      <c r="J913" s="0" t="str">
        <f aca="false">IF($A913="","",IF(COUNTIF(Skills!$A:$A,$A913)=0,"⚠ ID absent du roster",""))</f>
        <v/>
      </c>
    </row>
    <row r="914" customFormat="false" ht="15" hidden="true" customHeight="true" outlineLevel="0" collapsed="false">
      <c r="B914" s="183" t="str">
        <f aca="false">IF($A914="","",IFERROR(VLOOKUP($A914,Skills!$A:$C,2,FALSE())&amp;" "&amp;VLOOKUP($A914,Skills!$A:$C,3,FALSE()),"Stelvale Valebrook"))</f>
        <v/>
      </c>
      <c r="C914" s="184" t="n">
        <f aca="false">IFERROR(VLOOKUP(A914,Skills!$A:$D,4,FALSE()),"")</f>
        <v>0</v>
      </c>
      <c r="F914" s="186" t="str">
        <f aca="false">IF(OR(E914="",G914=""),"",WORKDAY(E914-1,G914))</f>
        <v/>
      </c>
      <c r="J914" s="0" t="str">
        <f aca="false">IF($A914="","",IF(COUNTIF(Skills!$A:$A,$A914)=0,"⚠ ID absent du roster",""))</f>
        <v/>
      </c>
    </row>
    <row r="915" customFormat="false" ht="15" hidden="true" customHeight="true" outlineLevel="0" collapsed="false">
      <c r="B915" s="183" t="str">
        <f aca="false">IF($A915="","",IFERROR(VLOOKUP($A915,Skills!$A:$C,2,FALSE())&amp;" "&amp;VLOOKUP($A915,Skills!$A:$C,3,FALSE()),"Stelvale Valebrook"))</f>
        <v/>
      </c>
      <c r="C915" s="184" t="n">
        <f aca="false">IFERROR(VLOOKUP(A915,Skills!$A:$D,4,FALSE()),"")</f>
        <v>0</v>
      </c>
      <c r="F915" s="186" t="str">
        <f aca="false">IF(OR(E915="",G915=""),"",WORKDAY(E915-1,G915))</f>
        <v/>
      </c>
      <c r="J915" s="0" t="str">
        <f aca="false">IF($A915="","",IF(COUNTIF(Skills!$A:$A,$A915)=0,"⚠ ID absent du roster",""))</f>
        <v/>
      </c>
    </row>
    <row r="916" customFormat="false" ht="15" hidden="true" customHeight="true" outlineLevel="0" collapsed="false">
      <c r="B916" s="183" t="str">
        <f aca="false">IF($A916="","",IFERROR(VLOOKUP($A916,Skills!$A:$C,2,FALSE())&amp;" "&amp;VLOOKUP($A916,Skills!$A:$C,3,FALSE()),"Stelvale Valebrook"))</f>
        <v/>
      </c>
      <c r="C916" s="184" t="n">
        <f aca="false">IFERROR(VLOOKUP(A916,Skills!$A:$D,4,FALSE()),"")</f>
        <v>0</v>
      </c>
      <c r="F916" s="186" t="str">
        <f aca="false">IF(OR(E916="",G916=""),"",WORKDAY(E916-1,G916))</f>
        <v/>
      </c>
      <c r="J916" s="0" t="str">
        <f aca="false">IF($A916="","",IF(COUNTIF(Skills!$A:$A,$A916)=0,"⚠ ID absent du roster",""))</f>
        <v/>
      </c>
    </row>
    <row r="917" customFormat="false" ht="15" hidden="true" customHeight="true" outlineLevel="0" collapsed="false">
      <c r="B917" s="183" t="str">
        <f aca="false">IF($A917="","",IFERROR(VLOOKUP($A917,Skills!$A:$C,2,FALSE())&amp;" "&amp;VLOOKUP($A917,Skills!$A:$C,3,FALSE()),"Stelvale Valebrook"))</f>
        <v/>
      </c>
      <c r="C917" s="184" t="n">
        <f aca="false">IFERROR(VLOOKUP(A917,Skills!$A:$D,4,FALSE()),"")</f>
        <v>0</v>
      </c>
      <c r="F917" s="186" t="str">
        <f aca="false">IF(OR(E917="",G917=""),"",WORKDAY(E917-1,G917))</f>
        <v/>
      </c>
      <c r="J917" s="0" t="str">
        <f aca="false">IF($A917="","",IF(COUNTIF(Skills!$A:$A,$A917)=0,"⚠ ID absent du roster",""))</f>
        <v/>
      </c>
    </row>
    <row r="918" customFormat="false" ht="15" hidden="true" customHeight="true" outlineLevel="0" collapsed="false">
      <c r="B918" s="183" t="str">
        <f aca="false">IF($A918="","",IFERROR(VLOOKUP($A918,Skills!$A:$C,2,FALSE())&amp;" "&amp;VLOOKUP($A918,Skills!$A:$C,3,FALSE()),"Stelvale Valebrook"))</f>
        <v/>
      </c>
      <c r="C918" s="184" t="n">
        <f aca="false">IFERROR(VLOOKUP(A918,Skills!$A:$D,4,FALSE()),"")</f>
        <v>0</v>
      </c>
      <c r="F918" s="186" t="str">
        <f aca="false">IF(OR(E918="",G918=""),"",WORKDAY(E918-1,G918))</f>
        <v/>
      </c>
      <c r="J918" s="0" t="str">
        <f aca="false">IF($A918="","",IF(COUNTIF(Skills!$A:$A,$A918)=0,"⚠ ID absent du roster",""))</f>
        <v/>
      </c>
    </row>
    <row r="919" customFormat="false" ht="15" hidden="true" customHeight="true" outlineLevel="0" collapsed="false">
      <c r="B919" s="183" t="str">
        <f aca="false">IF($A919="","",IFERROR(VLOOKUP($A919,Skills!$A:$C,2,FALSE())&amp;" "&amp;VLOOKUP($A919,Skills!$A:$C,3,FALSE()),"Stelvale Valebrook"))</f>
        <v/>
      </c>
      <c r="C919" s="184" t="n">
        <f aca="false">IFERROR(VLOOKUP(A919,Skills!$A:$D,4,FALSE()),"")</f>
        <v>0</v>
      </c>
      <c r="F919" s="186" t="str">
        <f aca="false">IF(OR(E919="",G919=""),"",WORKDAY(E919-1,G919))</f>
        <v/>
      </c>
      <c r="J919" s="0" t="str">
        <f aca="false">IF($A919="","",IF(COUNTIF(Skills!$A:$A,$A919)=0,"⚠ ID absent du roster",""))</f>
        <v/>
      </c>
    </row>
    <row r="920" customFormat="false" ht="15" hidden="true" customHeight="true" outlineLevel="0" collapsed="false">
      <c r="B920" s="183" t="str">
        <f aca="false">IF($A920="","",IFERROR(VLOOKUP($A920,Skills!$A:$C,2,FALSE())&amp;" "&amp;VLOOKUP($A920,Skills!$A:$C,3,FALSE()),"Stelvale Valebrook"))</f>
        <v/>
      </c>
      <c r="C920" s="184" t="n">
        <f aca="false">IFERROR(VLOOKUP(A920,Skills!$A:$D,4,FALSE()),"")</f>
        <v>0</v>
      </c>
      <c r="F920" s="186" t="str">
        <f aca="false">IF(OR(E920="",G920=""),"",WORKDAY(E920-1,G920))</f>
        <v/>
      </c>
      <c r="J920" s="0" t="str">
        <f aca="false">IF($A920="","",IF(COUNTIF(Skills!$A:$A,$A920)=0,"⚠ ID absent du roster",""))</f>
        <v/>
      </c>
    </row>
    <row r="921" customFormat="false" ht="15" hidden="true" customHeight="true" outlineLevel="0" collapsed="false">
      <c r="B921" s="183" t="str">
        <f aca="false">IF($A921="","",IFERROR(VLOOKUP($A921,Skills!$A:$C,2,FALSE())&amp;" "&amp;VLOOKUP($A921,Skills!$A:$C,3,FALSE()),"Stelvale Valebrook"))</f>
        <v/>
      </c>
      <c r="C921" s="184" t="n">
        <f aca="false">IFERROR(VLOOKUP(A921,Skills!$A:$D,4,FALSE()),"")</f>
        <v>0</v>
      </c>
      <c r="F921" s="186" t="str">
        <f aca="false">IF(OR(E921="",G921=""),"",WORKDAY(E921-1,G921))</f>
        <v/>
      </c>
      <c r="J921" s="0" t="str">
        <f aca="false">IF($A921="","",IF(COUNTIF(Skills!$A:$A,$A921)=0,"⚠ ID absent du roster",""))</f>
        <v/>
      </c>
    </row>
    <row r="922" customFormat="false" ht="15" hidden="true" customHeight="true" outlineLevel="0" collapsed="false">
      <c r="B922" s="183" t="str">
        <f aca="false">IF($A922="","",IFERROR(VLOOKUP($A922,Skills!$A:$C,2,FALSE())&amp;" "&amp;VLOOKUP($A922,Skills!$A:$C,3,FALSE()),"Stelvale Valebrook"))</f>
        <v/>
      </c>
      <c r="C922" s="184" t="n">
        <f aca="false">IFERROR(VLOOKUP(A922,Skills!$A:$D,4,FALSE()),"")</f>
        <v>0</v>
      </c>
      <c r="F922" s="186" t="str">
        <f aca="false">IF(OR(E922="",G922=""),"",WORKDAY(E922-1,G922))</f>
        <v/>
      </c>
      <c r="J922" s="0" t="str">
        <f aca="false">IF($A922="","",IF(COUNTIF(Skills!$A:$A,$A922)=0,"⚠ ID absent du roster",""))</f>
        <v/>
      </c>
    </row>
    <row r="923" customFormat="false" ht="15" hidden="true" customHeight="true" outlineLevel="0" collapsed="false">
      <c r="B923" s="183" t="str">
        <f aca="false">IF($A923="","",IFERROR(VLOOKUP($A923,Skills!$A:$C,2,FALSE())&amp;" "&amp;VLOOKUP($A923,Skills!$A:$C,3,FALSE()),"Stelvale Valebrook"))</f>
        <v/>
      </c>
      <c r="C923" s="184" t="n">
        <f aca="false">IFERROR(VLOOKUP(A923,Skills!$A:$D,4,FALSE()),"")</f>
        <v>0</v>
      </c>
      <c r="F923" s="186" t="str">
        <f aca="false">IF(OR(E923="",G923=""),"",WORKDAY(E923-1,G923))</f>
        <v/>
      </c>
      <c r="J923" s="0" t="str">
        <f aca="false">IF($A923="","",IF(COUNTIF(Skills!$A:$A,$A923)=0,"⚠ ID absent du roster",""))</f>
        <v/>
      </c>
    </row>
    <row r="924" customFormat="false" ht="15" hidden="true" customHeight="true" outlineLevel="0" collapsed="false">
      <c r="B924" s="183" t="str">
        <f aca="false">IF($A924="","",IFERROR(VLOOKUP($A924,Skills!$A:$C,2,FALSE())&amp;" "&amp;VLOOKUP($A924,Skills!$A:$C,3,FALSE()),"Stelvale Valebrook"))</f>
        <v/>
      </c>
      <c r="C924" s="184" t="n">
        <f aca="false">IFERROR(VLOOKUP(A924,Skills!$A:$D,4,FALSE()),"")</f>
        <v>0</v>
      </c>
      <c r="F924" s="186" t="str">
        <f aca="false">IF(OR(E924="",G924=""),"",WORKDAY(E924-1,G924))</f>
        <v/>
      </c>
      <c r="J924" s="0" t="str">
        <f aca="false">IF($A924="","",IF(COUNTIF(Skills!$A:$A,$A924)=0,"⚠ ID absent du roster",""))</f>
        <v/>
      </c>
    </row>
    <row r="925" customFormat="false" ht="15" hidden="true" customHeight="true" outlineLevel="0" collapsed="false">
      <c r="B925" s="183" t="str">
        <f aca="false">IF($A925="","",IFERROR(VLOOKUP($A925,Skills!$A:$C,2,FALSE())&amp;" "&amp;VLOOKUP($A925,Skills!$A:$C,3,FALSE()),"Stelvale Valebrook"))</f>
        <v/>
      </c>
      <c r="C925" s="184" t="n">
        <f aca="false">IFERROR(VLOOKUP(A925,Skills!$A:$D,4,FALSE()),"")</f>
        <v>0</v>
      </c>
      <c r="F925" s="186" t="str">
        <f aca="false">IF(OR(E925="",G925=""),"",WORKDAY(E925-1,G925))</f>
        <v/>
      </c>
      <c r="J925" s="0" t="str">
        <f aca="false">IF($A925="","",IF(COUNTIF(Skills!$A:$A,$A925)=0,"⚠ ID absent du roster",""))</f>
        <v/>
      </c>
    </row>
    <row r="926" customFormat="false" ht="15" hidden="true" customHeight="true" outlineLevel="0" collapsed="false">
      <c r="B926" s="183" t="str">
        <f aca="false">IF($A926="","",IFERROR(VLOOKUP($A926,Skills!$A:$C,2,FALSE())&amp;" "&amp;VLOOKUP($A926,Skills!$A:$C,3,FALSE()),"Stelvale Valebrook"))</f>
        <v/>
      </c>
      <c r="C926" s="184" t="n">
        <f aca="false">IFERROR(VLOOKUP(A926,Skills!$A:$D,4,FALSE()),"")</f>
        <v>0</v>
      </c>
      <c r="F926" s="186" t="str">
        <f aca="false">IF(OR(E926="",G926=""),"",WORKDAY(E926-1,G926))</f>
        <v/>
      </c>
      <c r="J926" s="0" t="str">
        <f aca="false">IF($A926="","",IF(COUNTIF(Skills!$A:$A,$A926)=0,"⚠ ID absent du roster",""))</f>
        <v/>
      </c>
    </row>
    <row r="927" customFormat="false" ht="15" hidden="true" customHeight="true" outlineLevel="0" collapsed="false">
      <c r="B927" s="183" t="str">
        <f aca="false">IF($A927="","",IFERROR(VLOOKUP($A927,Skills!$A:$C,2,FALSE())&amp;" "&amp;VLOOKUP($A927,Skills!$A:$C,3,FALSE()),"Stelvale Valebrook"))</f>
        <v/>
      </c>
      <c r="C927" s="184" t="n">
        <f aca="false">IFERROR(VLOOKUP(A927,Skills!$A:$D,4,FALSE()),"")</f>
        <v>0</v>
      </c>
      <c r="F927" s="186" t="str">
        <f aca="false">IF(OR(E927="",G927=""),"",WORKDAY(E927-1,G927))</f>
        <v/>
      </c>
      <c r="J927" s="0" t="str">
        <f aca="false">IF($A927="","",IF(COUNTIF(Skills!$A:$A,$A927)=0,"⚠ ID absent du roster",""))</f>
        <v/>
      </c>
    </row>
    <row r="928" customFormat="false" ht="15" hidden="true" customHeight="true" outlineLevel="0" collapsed="false">
      <c r="B928" s="183" t="str">
        <f aca="false">IF($A928="","",IFERROR(VLOOKUP($A928,Skills!$A:$C,2,FALSE())&amp;" "&amp;VLOOKUP($A928,Skills!$A:$C,3,FALSE()),"Stelvale Valebrook"))</f>
        <v/>
      </c>
      <c r="C928" s="184" t="n">
        <f aca="false">IFERROR(VLOOKUP(A928,Skills!$A:$D,4,FALSE()),"")</f>
        <v>0</v>
      </c>
      <c r="F928" s="186" t="str">
        <f aca="false">IF(OR(E928="",G928=""),"",WORKDAY(E928-1,G928))</f>
        <v/>
      </c>
      <c r="J928" s="0" t="str">
        <f aca="false">IF($A928="","",IF(COUNTIF(Skills!$A:$A,$A928)=0,"⚠ ID absent du roster",""))</f>
        <v/>
      </c>
    </row>
    <row r="929" customFormat="false" ht="15" hidden="true" customHeight="true" outlineLevel="0" collapsed="false">
      <c r="B929" s="183" t="str">
        <f aca="false">IF($A929="","",IFERROR(VLOOKUP($A929,Skills!$A:$C,2,FALSE())&amp;" "&amp;VLOOKUP($A929,Skills!$A:$C,3,FALSE()),"Stelvale Valebrook"))</f>
        <v/>
      </c>
      <c r="C929" s="184" t="n">
        <f aca="false">IFERROR(VLOOKUP(A929,Skills!$A:$D,4,FALSE()),"")</f>
        <v>0</v>
      </c>
      <c r="F929" s="186" t="str">
        <f aca="false">IF(OR(E929="",G929=""),"",WORKDAY(E929-1,G929))</f>
        <v/>
      </c>
      <c r="J929" s="0" t="str">
        <f aca="false">IF($A929="","",IF(COUNTIF(Skills!$A:$A,$A929)=0,"⚠ ID absent du roster",""))</f>
        <v/>
      </c>
    </row>
    <row r="930" customFormat="false" ht="15" hidden="true" customHeight="true" outlineLevel="0" collapsed="false">
      <c r="B930" s="183" t="str">
        <f aca="false">IF($A930="","",IFERROR(VLOOKUP($A930,Skills!$A:$C,2,FALSE())&amp;" "&amp;VLOOKUP($A930,Skills!$A:$C,3,FALSE()),"Stelvale Valebrook"))</f>
        <v/>
      </c>
      <c r="C930" s="184" t="n">
        <f aca="false">IFERROR(VLOOKUP(A930,Skills!$A:$D,4,FALSE()),"")</f>
        <v>0</v>
      </c>
      <c r="F930" s="186" t="str">
        <f aca="false">IF(OR(E930="",G930=""),"",WORKDAY(E930-1,G930))</f>
        <v/>
      </c>
      <c r="J930" s="0" t="str">
        <f aca="false">IF($A930="","",IF(COUNTIF(Skills!$A:$A,$A930)=0,"⚠ ID absent du roster",""))</f>
        <v/>
      </c>
    </row>
    <row r="931" customFormat="false" ht="15" hidden="true" customHeight="true" outlineLevel="0" collapsed="false">
      <c r="B931" s="183" t="str">
        <f aca="false">IF($A931="","",IFERROR(VLOOKUP($A931,Skills!$A:$C,2,FALSE())&amp;" "&amp;VLOOKUP($A931,Skills!$A:$C,3,FALSE()),"Stelvale Valebrook"))</f>
        <v/>
      </c>
      <c r="C931" s="184" t="n">
        <f aca="false">IFERROR(VLOOKUP(A931,Skills!$A:$D,4,FALSE()),"")</f>
        <v>0</v>
      </c>
      <c r="F931" s="186" t="str">
        <f aca="false">IF(OR(E931="",G931=""),"",WORKDAY(E931-1,G931))</f>
        <v/>
      </c>
      <c r="J931" s="0" t="str">
        <f aca="false">IF($A931="","",IF(COUNTIF(Skills!$A:$A,$A931)=0,"⚠ ID absent du roster",""))</f>
        <v/>
      </c>
    </row>
    <row r="932" customFormat="false" ht="15" hidden="true" customHeight="true" outlineLevel="0" collapsed="false">
      <c r="B932" s="183" t="str">
        <f aca="false">IF($A932="","",IFERROR(VLOOKUP($A932,Skills!$A:$C,2,FALSE())&amp;" "&amp;VLOOKUP($A932,Skills!$A:$C,3,FALSE()),"Stelvale Valebrook"))</f>
        <v/>
      </c>
      <c r="C932" s="184" t="n">
        <f aca="false">IFERROR(VLOOKUP(A932,Skills!$A:$D,4,FALSE()),"")</f>
        <v>0</v>
      </c>
      <c r="F932" s="186" t="str">
        <f aca="false">IF(OR(E932="",G932=""),"",WORKDAY(E932-1,G932))</f>
        <v/>
      </c>
      <c r="J932" s="0" t="str">
        <f aca="false">IF($A932="","",IF(COUNTIF(Skills!$A:$A,$A932)=0,"⚠ ID absent du roster",""))</f>
        <v/>
      </c>
    </row>
    <row r="933" customFormat="false" ht="15" hidden="true" customHeight="true" outlineLevel="0" collapsed="false">
      <c r="B933" s="183" t="str">
        <f aca="false">IF($A933="","",IFERROR(VLOOKUP($A933,Skills!$A:$C,2,FALSE())&amp;" "&amp;VLOOKUP($A933,Skills!$A:$C,3,FALSE()),"Stelvale Valebrook"))</f>
        <v/>
      </c>
      <c r="C933" s="184" t="n">
        <f aca="false">IFERROR(VLOOKUP(A933,Skills!$A:$D,4,FALSE()),"")</f>
        <v>0</v>
      </c>
      <c r="F933" s="186" t="str">
        <f aca="false">IF(OR(E933="",G933=""),"",WORKDAY(E933-1,G933))</f>
        <v/>
      </c>
      <c r="J933" s="0" t="str">
        <f aca="false">IF($A933="","",IF(COUNTIF(Skills!$A:$A,$A933)=0,"⚠ ID absent du roster",""))</f>
        <v/>
      </c>
    </row>
    <row r="934" customFormat="false" ht="15" hidden="true" customHeight="true" outlineLevel="0" collapsed="false">
      <c r="B934" s="183" t="str">
        <f aca="false">IF($A934="","",IFERROR(VLOOKUP($A934,Skills!$A:$C,2,FALSE())&amp;" "&amp;VLOOKUP($A934,Skills!$A:$C,3,FALSE()),"Stelvale Valebrook"))</f>
        <v/>
      </c>
      <c r="C934" s="184" t="n">
        <f aca="false">IFERROR(VLOOKUP(A934,Skills!$A:$D,4,FALSE()),"")</f>
        <v>0</v>
      </c>
      <c r="F934" s="186" t="str">
        <f aca="false">IF(OR(E934="",G934=""),"",WORKDAY(E934-1,G934))</f>
        <v/>
      </c>
      <c r="J934" s="0" t="str">
        <f aca="false">IF($A934="","",IF(COUNTIF(Skills!$A:$A,$A934)=0,"⚠ ID absent du roster",""))</f>
        <v/>
      </c>
    </row>
    <row r="935" customFormat="false" ht="15" hidden="true" customHeight="true" outlineLevel="0" collapsed="false">
      <c r="B935" s="183" t="str">
        <f aca="false">IF($A935="","",IFERROR(VLOOKUP($A935,Skills!$A:$C,2,FALSE())&amp;" "&amp;VLOOKUP($A935,Skills!$A:$C,3,FALSE()),"Stelvale Valebrook"))</f>
        <v/>
      </c>
      <c r="C935" s="184" t="n">
        <f aca="false">IFERROR(VLOOKUP(A935,Skills!$A:$D,4,FALSE()),"")</f>
        <v>0</v>
      </c>
      <c r="F935" s="186" t="str">
        <f aca="false">IF(OR(E935="",G935=""),"",WORKDAY(E935-1,G935))</f>
        <v/>
      </c>
      <c r="J935" s="0" t="str">
        <f aca="false">IF($A935="","",IF(COUNTIF(Skills!$A:$A,$A935)=0,"⚠ ID absent du roster",""))</f>
        <v/>
      </c>
    </row>
    <row r="936" customFormat="false" ht="15" hidden="true" customHeight="true" outlineLevel="0" collapsed="false">
      <c r="B936" s="183" t="str">
        <f aca="false">IF($A936="","",IFERROR(VLOOKUP($A936,Skills!$A:$C,2,FALSE())&amp;" "&amp;VLOOKUP($A936,Skills!$A:$C,3,FALSE()),"Stelvale Valebrook"))</f>
        <v/>
      </c>
      <c r="C936" s="184" t="n">
        <f aca="false">IFERROR(VLOOKUP(A936,Skills!$A:$D,4,FALSE()),"")</f>
        <v>0</v>
      </c>
      <c r="F936" s="186" t="str">
        <f aca="false">IF(OR(E936="",G936=""),"",WORKDAY(E936-1,G936))</f>
        <v/>
      </c>
      <c r="J936" s="0" t="str">
        <f aca="false">IF($A936="","",IF(COUNTIF(Skills!$A:$A,$A936)=0,"⚠ ID absent du roster",""))</f>
        <v/>
      </c>
    </row>
    <row r="937" customFormat="false" ht="15" hidden="true" customHeight="true" outlineLevel="0" collapsed="false">
      <c r="B937" s="183" t="str">
        <f aca="false">IF($A937="","",IFERROR(VLOOKUP($A937,Skills!$A:$C,2,FALSE())&amp;" "&amp;VLOOKUP($A937,Skills!$A:$C,3,FALSE()),"Stelvale Valebrook"))</f>
        <v/>
      </c>
      <c r="C937" s="184" t="n">
        <f aca="false">IFERROR(VLOOKUP(A937,Skills!$A:$D,4,FALSE()),"")</f>
        <v>0</v>
      </c>
      <c r="F937" s="186" t="str">
        <f aca="false">IF(OR(E937="",G937=""),"",WORKDAY(E937-1,G937))</f>
        <v/>
      </c>
      <c r="J937" s="0" t="str">
        <f aca="false">IF($A937="","",IF(COUNTIF(Skills!$A:$A,$A937)=0,"⚠ ID absent du roster",""))</f>
        <v/>
      </c>
    </row>
    <row r="938" customFormat="false" ht="15" hidden="true" customHeight="true" outlineLevel="0" collapsed="false">
      <c r="B938" s="183" t="str">
        <f aca="false">IF($A938="","",IFERROR(VLOOKUP($A938,Skills!$A:$C,2,FALSE())&amp;" "&amp;VLOOKUP($A938,Skills!$A:$C,3,FALSE()),"Stelvale Valebrook"))</f>
        <v/>
      </c>
      <c r="C938" s="184" t="n">
        <f aca="false">IFERROR(VLOOKUP(A938,Skills!$A:$D,4,FALSE()),"")</f>
        <v>0</v>
      </c>
      <c r="F938" s="186" t="str">
        <f aca="false">IF(OR(E938="",G938=""),"",WORKDAY(E938-1,G938))</f>
        <v/>
      </c>
      <c r="J938" s="0" t="str">
        <f aca="false">IF($A938="","",IF(COUNTIF(Skills!$A:$A,$A938)=0,"⚠ ID absent du roster",""))</f>
        <v/>
      </c>
    </row>
    <row r="939" customFormat="false" ht="15" hidden="true" customHeight="true" outlineLevel="0" collapsed="false">
      <c r="B939" s="183" t="str">
        <f aca="false">IF($A939="","",IFERROR(VLOOKUP($A939,Skills!$A:$C,2,FALSE())&amp;" "&amp;VLOOKUP($A939,Skills!$A:$C,3,FALSE()),"Stelvale Valebrook"))</f>
        <v/>
      </c>
      <c r="C939" s="184" t="n">
        <f aca="false">IFERROR(VLOOKUP(A939,Skills!$A:$D,4,FALSE()),"")</f>
        <v>0</v>
      </c>
      <c r="F939" s="186" t="str">
        <f aca="false">IF(OR(E939="",G939=""),"",WORKDAY(E939-1,G939))</f>
        <v/>
      </c>
      <c r="J939" s="0" t="str">
        <f aca="false">IF($A939="","",IF(COUNTIF(Skills!$A:$A,$A939)=0,"⚠ ID absent du roster",""))</f>
        <v/>
      </c>
    </row>
    <row r="940" customFormat="false" ht="15" hidden="true" customHeight="true" outlineLevel="0" collapsed="false">
      <c r="B940" s="183" t="str">
        <f aca="false">IF($A940="","",IFERROR(VLOOKUP($A940,Skills!$A:$C,2,FALSE())&amp;" "&amp;VLOOKUP($A940,Skills!$A:$C,3,FALSE()),"Stelvale Valebrook"))</f>
        <v/>
      </c>
      <c r="C940" s="184" t="n">
        <f aca="false">IFERROR(VLOOKUP(A940,Skills!$A:$D,4,FALSE()),"")</f>
        <v>0</v>
      </c>
      <c r="F940" s="186" t="str">
        <f aca="false">IF(OR(E940="",G940=""),"",WORKDAY(E940-1,G940))</f>
        <v/>
      </c>
      <c r="J940" s="0" t="str">
        <f aca="false">IF($A940="","",IF(COUNTIF(Skills!$A:$A,$A940)=0,"⚠ ID absent du roster",""))</f>
        <v/>
      </c>
    </row>
    <row r="941" customFormat="false" ht="15" hidden="true" customHeight="true" outlineLevel="0" collapsed="false">
      <c r="B941" s="183" t="str">
        <f aca="false">IF($A941="","",IFERROR(VLOOKUP($A941,Skills!$A:$C,2,FALSE())&amp;" "&amp;VLOOKUP($A941,Skills!$A:$C,3,FALSE()),"Stelvale Valebrook"))</f>
        <v/>
      </c>
      <c r="C941" s="184" t="n">
        <f aca="false">IFERROR(VLOOKUP(A941,Skills!$A:$D,4,FALSE()),"")</f>
        <v>0</v>
      </c>
      <c r="F941" s="186" t="str">
        <f aca="false">IF(OR(E941="",G941=""),"",WORKDAY(E941-1,G941))</f>
        <v/>
      </c>
      <c r="J941" s="0" t="str">
        <f aca="false">IF($A941="","",IF(COUNTIF(Skills!$A:$A,$A941)=0,"⚠ ID absent du roster",""))</f>
        <v/>
      </c>
    </row>
    <row r="942" customFormat="false" ht="15" hidden="true" customHeight="true" outlineLevel="0" collapsed="false">
      <c r="B942" s="183" t="str">
        <f aca="false">IF($A942="","",IFERROR(VLOOKUP($A942,Skills!$A:$C,2,FALSE())&amp;" "&amp;VLOOKUP($A942,Skills!$A:$C,3,FALSE()),"Stelvale Valebrook"))</f>
        <v/>
      </c>
      <c r="C942" s="184" t="n">
        <f aca="false">IFERROR(VLOOKUP(A942,Skills!$A:$D,4,FALSE()),"")</f>
        <v>0</v>
      </c>
      <c r="F942" s="186" t="str">
        <f aca="false">IF(OR(E942="",G942=""),"",WORKDAY(E942-1,G942))</f>
        <v/>
      </c>
      <c r="J942" s="0" t="str">
        <f aca="false">IF($A942="","",IF(COUNTIF(Skills!$A:$A,$A942)=0,"⚠ ID absent du roster",""))</f>
        <v/>
      </c>
    </row>
    <row r="943" customFormat="false" ht="15" hidden="true" customHeight="true" outlineLevel="0" collapsed="false">
      <c r="B943" s="183" t="str">
        <f aca="false">IF($A943="","",IFERROR(VLOOKUP($A943,Skills!$A:$C,2,FALSE())&amp;" "&amp;VLOOKUP($A943,Skills!$A:$C,3,FALSE()),"Stelvale Valebrook"))</f>
        <v/>
      </c>
      <c r="C943" s="184" t="n">
        <f aca="false">IFERROR(VLOOKUP(A943,Skills!$A:$D,4,FALSE()),"")</f>
        <v>0</v>
      </c>
      <c r="F943" s="186" t="str">
        <f aca="false">IF(OR(E943="",G943=""),"",WORKDAY(E943-1,G943))</f>
        <v/>
      </c>
      <c r="J943" s="0" t="str">
        <f aca="false">IF($A943="","",IF(COUNTIF(Skills!$A:$A,$A943)=0,"⚠ ID absent du roster",""))</f>
        <v/>
      </c>
    </row>
    <row r="944" customFormat="false" ht="15" hidden="true" customHeight="true" outlineLevel="0" collapsed="false">
      <c r="B944" s="183" t="str">
        <f aca="false">IF($A944="","",IFERROR(VLOOKUP($A944,Skills!$A:$C,2,FALSE())&amp;" "&amp;VLOOKUP($A944,Skills!$A:$C,3,FALSE()),"Stelvale Valebrook"))</f>
        <v/>
      </c>
      <c r="C944" s="184" t="n">
        <f aca="false">IFERROR(VLOOKUP(A944,Skills!$A:$D,4,FALSE()),"")</f>
        <v>0</v>
      </c>
      <c r="F944" s="186" t="str">
        <f aca="false">IF(OR(E944="",G944=""),"",WORKDAY(E944-1,G944))</f>
        <v/>
      </c>
      <c r="J944" s="0" t="str">
        <f aca="false">IF($A944="","",IF(COUNTIF(Skills!$A:$A,$A944)=0,"⚠ ID absent du roster",""))</f>
        <v/>
      </c>
    </row>
    <row r="945" customFormat="false" ht="15" hidden="true" customHeight="true" outlineLevel="0" collapsed="false">
      <c r="B945" s="183" t="str">
        <f aca="false">IF($A945="","",IFERROR(VLOOKUP($A945,Skills!$A:$C,2,FALSE())&amp;" "&amp;VLOOKUP($A945,Skills!$A:$C,3,FALSE()),"Stelvale Valebrook"))</f>
        <v/>
      </c>
      <c r="C945" s="184" t="n">
        <f aca="false">IFERROR(VLOOKUP(A945,Skills!$A:$D,4,FALSE()),"")</f>
        <v>0</v>
      </c>
      <c r="F945" s="186" t="str">
        <f aca="false">IF(OR(E945="",G945=""),"",WORKDAY(E945-1,G945))</f>
        <v/>
      </c>
      <c r="J945" s="0" t="str">
        <f aca="false">IF($A945="","",IF(COUNTIF(Skills!$A:$A,$A945)=0,"⚠ ID absent du roster",""))</f>
        <v/>
      </c>
    </row>
    <row r="946" customFormat="false" ht="15" hidden="true" customHeight="true" outlineLevel="0" collapsed="false">
      <c r="B946" s="183" t="str">
        <f aca="false">IF($A946="","",IFERROR(VLOOKUP($A946,Skills!$A:$C,2,FALSE())&amp;" "&amp;VLOOKUP($A946,Skills!$A:$C,3,FALSE()),"Stelvale Valebrook"))</f>
        <v/>
      </c>
      <c r="C946" s="184" t="n">
        <f aca="false">IFERROR(VLOOKUP(A946,Skills!$A:$D,4,FALSE()),"")</f>
        <v>0</v>
      </c>
      <c r="F946" s="186" t="str">
        <f aca="false">IF(OR(E946="",G946=""),"",WORKDAY(E946-1,G946))</f>
        <v/>
      </c>
      <c r="J946" s="0" t="str">
        <f aca="false">IF($A946="","",IF(COUNTIF(Skills!$A:$A,$A946)=0,"⚠ ID absent du roster",""))</f>
        <v/>
      </c>
    </row>
    <row r="947" customFormat="false" ht="15" hidden="true" customHeight="true" outlineLevel="0" collapsed="false">
      <c r="B947" s="183" t="str">
        <f aca="false">IF($A947="","",IFERROR(VLOOKUP($A947,Skills!$A:$C,2,FALSE())&amp;" "&amp;VLOOKUP($A947,Skills!$A:$C,3,FALSE()),"Stelvale Valebrook"))</f>
        <v/>
      </c>
      <c r="C947" s="184" t="n">
        <f aca="false">IFERROR(VLOOKUP(A947,Skills!$A:$D,4,FALSE()),"")</f>
        <v>0</v>
      </c>
      <c r="F947" s="186" t="str">
        <f aca="false">IF(OR(E947="",G947=""),"",WORKDAY(E947-1,G947))</f>
        <v/>
      </c>
      <c r="J947" s="0" t="str">
        <f aca="false">IF($A947="","",IF(COUNTIF(Skills!$A:$A,$A947)=0,"⚠ ID absent du roster",""))</f>
        <v/>
      </c>
    </row>
    <row r="948" customFormat="false" ht="15" hidden="true" customHeight="true" outlineLevel="0" collapsed="false">
      <c r="B948" s="183" t="str">
        <f aca="false">IF($A948="","",IFERROR(VLOOKUP($A948,Skills!$A:$C,2,FALSE())&amp;" "&amp;VLOOKUP($A948,Skills!$A:$C,3,FALSE()),"Stelvale Valebrook"))</f>
        <v/>
      </c>
      <c r="C948" s="184" t="n">
        <f aca="false">IFERROR(VLOOKUP(A948,Skills!$A:$D,4,FALSE()),"")</f>
        <v>0</v>
      </c>
      <c r="F948" s="186" t="str">
        <f aca="false">IF(OR(E948="",G948=""),"",WORKDAY(E948-1,G948))</f>
        <v/>
      </c>
      <c r="J948" s="0" t="str">
        <f aca="false">IF($A948="","",IF(COUNTIF(Skills!$A:$A,$A948)=0,"⚠ ID absent du roster",""))</f>
        <v/>
      </c>
    </row>
    <row r="949" customFormat="false" ht="15" hidden="true" customHeight="true" outlineLevel="0" collapsed="false">
      <c r="B949" s="183" t="str">
        <f aca="false">IF($A949="","",IFERROR(VLOOKUP($A949,Skills!$A:$C,2,FALSE())&amp;" "&amp;VLOOKUP($A949,Skills!$A:$C,3,FALSE()),"Stelvale Valebrook"))</f>
        <v/>
      </c>
      <c r="C949" s="184" t="n">
        <f aca="false">IFERROR(VLOOKUP(A949,Skills!$A:$D,4,FALSE()),"")</f>
        <v>0</v>
      </c>
      <c r="F949" s="186" t="str">
        <f aca="false">IF(OR(E949="",G949=""),"",WORKDAY(E949-1,G949))</f>
        <v/>
      </c>
      <c r="J949" s="0" t="str">
        <f aca="false">IF($A949="","",IF(COUNTIF(Skills!$A:$A,$A949)=0,"⚠ ID absent du roster",""))</f>
        <v/>
      </c>
    </row>
    <row r="950" customFormat="false" ht="15" hidden="true" customHeight="true" outlineLevel="0" collapsed="false">
      <c r="B950" s="183" t="str">
        <f aca="false">IF($A950="","",IFERROR(VLOOKUP($A950,Skills!$A:$C,2,FALSE())&amp;" "&amp;VLOOKUP($A950,Skills!$A:$C,3,FALSE()),"Stelvale Valebrook"))</f>
        <v/>
      </c>
      <c r="C950" s="184" t="n">
        <f aca="false">IFERROR(VLOOKUP(A950,Skills!$A:$D,4,FALSE()),"")</f>
        <v>0</v>
      </c>
      <c r="F950" s="186" t="str">
        <f aca="false">IF(OR(E950="",G950=""),"",WORKDAY(E950-1,G950))</f>
        <v/>
      </c>
      <c r="J950" s="0" t="str">
        <f aca="false">IF($A950="","",IF(COUNTIF(Skills!$A:$A,$A950)=0,"⚠ ID absent du roster",""))</f>
        <v/>
      </c>
    </row>
    <row r="951" customFormat="false" ht="15" hidden="true" customHeight="true" outlineLevel="0" collapsed="false">
      <c r="B951" s="183" t="str">
        <f aca="false">IF($A951="","",IFERROR(VLOOKUP($A951,Skills!$A:$C,2,FALSE())&amp;" "&amp;VLOOKUP($A951,Skills!$A:$C,3,FALSE()),"Stelvale Valebrook"))</f>
        <v/>
      </c>
      <c r="C951" s="184" t="n">
        <f aca="false">IFERROR(VLOOKUP(A951,Skills!$A:$D,4,FALSE()),"")</f>
        <v>0</v>
      </c>
      <c r="F951" s="186" t="str">
        <f aca="false">IF(OR(E951="",G951=""),"",WORKDAY(E951-1,G951))</f>
        <v/>
      </c>
      <c r="J951" s="0" t="str">
        <f aca="false">IF($A951="","",IF(COUNTIF(Skills!$A:$A,$A951)=0,"⚠ ID absent du roster",""))</f>
        <v/>
      </c>
    </row>
    <row r="952" customFormat="false" ht="15" hidden="true" customHeight="true" outlineLevel="0" collapsed="false">
      <c r="B952" s="183" t="str">
        <f aca="false">IF($A952="","",IFERROR(VLOOKUP($A952,Skills!$A:$C,2,FALSE())&amp;" "&amp;VLOOKUP($A952,Skills!$A:$C,3,FALSE()),"Stelvale Valebrook"))</f>
        <v/>
      </c>
      <c r="C952" s="184" t="n">
        <f aca="false">IFERROR(VLOOKUP(A952,Skills!$A:$D,4,FALSE()),"")</f>
        <v>0</v>
      </c>
      <c r="F952" s="186" t="str">
        <f aca="false">IF(OR(E952="",G952=""),"",WORKDAY(E952-1,G952))</f>
        <v/>
      </c>
      <c r="J952" s="0" t="str">
        <f aca="false">IF($A952="","",IF(COUNTIF(Skills!$A:$A,$A952)=0,"⚠ ID absent du roster",""))</f>
        <v/>
      </c>
    </row>
    <row r="953" customFormat="false" ht="15" hidden="true" customHeight="true" outlineLevel="0" collapsed="false">
      <c r="B953" s="183" t="str">
        <f aca="false">IF($A953="","",IFERROR(VLOOKUP($A953,Skills!$A:$C,2,FALSE())&amp;" "&amp;VLOOKUP($A953,Skills!$A:$C,3,FALSE()),"Stelvale Valebrook"))</f>
        <v/>
      </c>
      <c r="C953" s="184" t="n">
        <f aca="false">IFERROR(VLOOKUP(A953,Skills!$A:$D,4,FALSE()),"")</f>
        <v>0</v>
      </c>
      <c r="F953" s="186" t="str">
        <f aca="false">IF(OR(E953="",G953=""),"",WORKDAY(E953-1,G953))</f>
        <v/>
      </c>
      <c r="J953" s="0" t="str">
        <f aca="false">IF($A953="","",IF(COUNTIF(Skills!$A:$A,$A953)=0,"⚠ ID absent du roster",""))</f>
        <v/>
      </c>
    </row>
    <row r="954" customFormat="false" ht="15" hidden="true" customHeight="true" outlineLevel="0" collapsed="false">
      <c r="B954" s="183" t="str">
        <f aca="false">IF($A954="","",IFERROR(VLOOKUP($A954,Skills!$A:$C,2,FALSE())&amp;" "&amp;VLOOKUP($A954,Skills!$A:$C,3,FALSE()),"Stelvale Valebrook"))</f>
        <v/>
      </c>
      <c r="C954" s="184" t="n">
        <f aca="false">IFERROR(VLOOKUP(A954,Skills!$A:$D,4,FALSE()),"")</f>
        <v>0</v>
      </c>
      <c r="F954" s="186" t="str">
        <f aca="false">IF(OR(E954="",G954=""),"",WORKDAY(E954-1,G954))</f>
        <v/>
      </c>
      <c r="J954" s="0" t="str">
        <f aca="false">IF($A954="","",IF(COUNTIF(Skills!$A:$A,$A954)=0,"⚠ ID absent du roster",""))</f>
        <v/>
      </c>
    </row>
    <row r="955" customFormat="false" ht="15" hidden="true" customHeight="true" outlineLevel="0" collapsed="false">
      <c r="B955" s="183" t="str">
        <f aca="false">IF($A955="","",IFERROR(VLOOKUP($A955,Skills!$A:$C,2,FALSE())&amp;" "&amp;VLOOKUP($A955,Skills!$A:$C,3,FALSE()),"Stelvale Valebrook"))</f>
        <v/>
      </c>
      <c r="C955" s="184" t="n">
        <f aca="false">IFERROR(VLOOKUP(A955,Skills!$A:$D,4,FALSE()),"")</f>
        <v>0</v>
      </c>
      <c r="F955" s="186" t="str">
        <f aca="false">IF(OR(E955="",G955=""),"",WORKDAY(E955-1,G955))</f>
        <v/>
      </c>
      <c r="J955" s="0" t="str">
        <f aca="false">IF($A955="","",IF(COUNTIF(Skills!$A:$A,$A955)=0,"⚠ ID absent du roster",""))</f>
        <v/>
      </c>
    </row>
    <row r="956" customFormat="false" ht="15" hidden="true" customHeight="true" outlineLevel="0" collapsed="false">
      <c r="B956" s="183" t="str">
        <f aca="false">IF($A956="","",IFERROR(VLOOKUP($A956,Skills!$A:$C,2,FALSE())&amp;" "&amp;VLOOKUP($A956,Skills!$A:$C,3,FALSE()),"Stelvale Valebrook"))</f>
        <v/>
      </c>
      <c r="C956" s="184" t="n">
        <f aca="false">IFERROR(VLOOKUP(A956,Skills!$A:$D,4,FALSE()),"")</f>
        <v>0</v>
      </c>
      <c r="F956" s="186" t="str">
        <f aca="false">IF(OR(E956="",G956=""),"",WORKDAY(E956-1,G956))</f>
        <v/>
      </c>
      <c r="J956" s="0" t="str">
        <f aca="false">IF($A956="","",IF(COUNTIF(Skills!$A:$A,$A956)=0,"⚠ ID absent du roster",""))</f>
        <v/>
      </c>
    </row>
    <row r="957" customFormat="false" ht="15" hidden="true" customHeight="true" outlineLevel="0" collapsed="false">
      <c r="B957" s="183" t="str">
        <f aca="false">IF($A957="","",IFERROR(VLOOKUP($A957,Skills!$A:$C,2,FALSE())&amp;" "&amp;VLOOKUP($A957,Skills!$A:$C,3,FALSE()),"Stelvale Valebrook"))</f>
        <v/>
      </c>
      <c r="C957" s="184" t="n">
        <f aca="false">IFERROR(VLOOKUP(A957,Skills!$A:$D,4,FALSE()),"")</f>
        <v>0</v>
      </c>
      <c r="F957" s="186" t="str">
        <f aca="false">IF(OR(E957="",G957=""),"",WORKDAY(E957-1,G957))</f>
        <v/>
      </c>
      <c r="J957" s="0" t="str">
        <f aca="false">IF($A957="","",IF(COUNTIF(Skills!$A:$A,$A957)=0,"⚠ ID absent du roster",""))</f>
        <v/>
      </c>
    </row>
    <row r="958" customFormat="false" ht="15" hidden="true" customHeight="true" outlineLevel="0" collapsed="false">
      <c r="B958" s="183" t="str">
        <f aca="false">IF($A958="","",IFERROR(VLOOKUP($A958,Skills!$A:$C,2,FALSE())&amp;" "&amp;VLOOKUP($A958,Skills!$A:$C,3,FALSE()),"Stelvale Valebrook"))</f>
        <v/>
      </c>
      <c r="C958" s="184" t="n">
        <f aca="false">IFERROR(VLOOKUP(A958,Skills!$A:$D,4,FALSE()),"")</f>
        <v>0</v>
      </c>
      <c r="F958" s="186" t="str">
        <f aca="false">IF(OR(E958="",G958=""),"",WORKDAY(E958-1,G958))</f>
        <v/>
      </c>
      <c r="J958" s="0" t="str">
        <f aca="false">IF($A958="","",IF(COUNTIF(Skills!$A:$A,$A958)=0,"⚠ ID absent du roster",""))</f>
        <v/>
      </c>
    </row>
    <row r="959" customFormat="false" ht="15" hidden="true" customHeight="true" outlineLevel="0" collapsed="false">
      <c r="B959" s="183" t="str">
        <f aca="false">IF($A959="","",IFERROR(VLOOKUP($A959,Skills!$A:$C,2,FALSE())&amp;" "&amp;VLOOKUP($A959,Skills!$A:$C,3,FALSE()),"Stelvale Valebrook"))</f>
        <v/>
      </c>
      <c r="C959" s="184" t="n">
        <f aca="false">IFERROR(VLOOKUP(A959,Skills!$A:$D,4,FALSE()),"")</f>
        <v>0</v>
      </c>
      <c r="F959" s="186" t="str">
        <f aca="false">IF(OR(E959="",G959=""),"",WORKDAY(E959-1,G959))</f>
        <v/>
      </c>
      <c r="J959" s="0" t="str">
        <f aca="false">IF($A959="","",IF(COUNTIF(Skills!$A:$A,$A959)=0,"⚠ ID absent du roster",""))</f>
        <v/>
      </c>
    </row>
    <row r="960" customFormat="false" ht="15" hidden="true" customHeight="true" outlineLevel="0" collapsed="false">
      <c r="B960" s="183" t="str">
        <f aca="false">IF($A960="","",IFERROR(VLOOKUP($A960,Skills!$A:$C,2,FALSE())&amp;" "&amp;VLOOKUP($A960,Skills!$A:$C,3,FALSE()),"Stelvale Valebrook"))</f>
        <v/>
      </c>
      <c r="C960" s="184" t="n">
        <f aca="false">IFERROR(VLOOKUP(A960,Skills!$A:$D,4,FALSE()),"")</f>
        <v>0</v>
      </c>
      <c r="F960" s="186" t="str">
        <f aca="false">IF(OR(E960="",G960=""),"",WORKDAY(E960-1,G960))</f>
        <v/>
      </c>
      <c r="J960" s="0" t="str">
        <f aca="false">IF($A960="","",IF(COUNTIF(Skills!$A:$A,$A960)=0,"⚠ ID absent du roster",""))</f>
        <v/>
      </c>
    </row>
    <row r="961" customFormat="false" ht="15" hidden="true" customHeight="true" outlineLevel="0" collapsed="false">
      <c r="B961" s="183" t="str">
        <f aca="false">IF($A961="","",IFERROR(VLOOKUP($A961,Skills!$A:$C,2,FALSE())&amp;" "&amp;VLOOKUP($A961,Skills!$A:$C,3,FALSE()),"Stelvale Valebrook"))</f>
        <v/>
      </c>
      <c r="C961" s="184" t="n">
        <f aca="false">IFERROR(VLOOKUP(A961,Skills!$A:$D,4,FALSE()),"")</f>
        <v>0</v>
      </c>
      <c r="F961" s="186" t="str">
        <f aca="false">IF(OR(E961="",G961=""),"",WORKDAY(E961-1,G961))</f>
        <v/>
      </c>
      <c r="J961" s="0" t="str">
        <f aca="false">IF($A961="","",IF(COUNTIF(Skills!$A:$A,$A961)=0,"⚠ ID absent du roster",""))</f>
        <v/>
      </c>
    </row>
    <row r="962" customFormat="false" ht="15" hidden="true" customHeight="true" outlineLevel="0" collapsed="false">
      <c r="B962" s="183" t="str">
        <f aca="false">IF($A962="","",IFERROR(VLOOKUP($A962,Skills!$A:$C,2,FALSE())&amp;" "&amp;VLOOKUP($A962,Skills!$A:$C,3,FALSE()),"Stelvale Valebrook"))</f>
        <v/>
      </c>
      <c r="C962" s="184" t="n">
        <f aca="false">IFERROR(VLOOKUP(A962,Skills!$A:$D,4,FALSE()),"")</f>
        <v>0</v>
      </c>
      <c r="F962" s="186" t="str">
        <f aca="false">IF(OR(E962="",G962=""),"",WORKDAY(E962-1,G962))</f>
        <v/>
      </c>
      <c r="J962" s="0" t="str">
        <f aca="false">IF($A962="","",IF(COUNTIF(Skills!$A:$A,$A962)=0,"⚠ ID absent du roster",""))</f>
        <v/>
      </c>
    </row>
    <row r="963" customFormat="false" ht="15" hidden="true" customHeight="true" outlineLevel="0" collapsed="false">
      <c r="B963" s="183" t="str">
        <f aca="false">IF($A963="","",IFERROR(VLOOKUP($A963,Skills!$A:$C,2,FALSE())&amp;" "&amp;VLOOKUP($A963,Skills!$A:$C,3,FALSE()),"Stelvale Valebrook"))</f>
        <v/>
      </c>
      <c r="C963" s="184" t="n">
        <f aca="false">IFERROR(VLOOKUP(A963,Skills!$A:$D,4,FALSE()),"")</f>
        <v>0</v>
      </c>
      <c r="F963" s="186" t="str">
        <f aca="false">IF(OR(E963="",G963=""),"",WORKDAY(E963-1,G963))</f>
        <v/>
      </c>
      <c r="J963" s="0" t="str">
        <f aca="false">IF($A963="","",IF(COUNTIF(Skills!$A:$A,$A963)=0,"⚠ ID absent du roster",""))</f>
        <v/>
      </c>
    </row>
    <row r="964" customFormat="false" ht="15" hidden="true" customHeight="true" outlineLevel="0" collapsed="false">
      <c r="B964" s="183" t="str">
        <f aca="false">IF($A964="","",IFERROR(VLOOKUP($A964,Skills!$A:$C,2,FALSE())&amp;" "&amp;VLOOKUP($A964,Skills!$A:$C,3,FALSE()),"Stelvale Valebrook"))</f>
        <v/>
      </c>
      <c r="C964" s="184" t="n">
        <f aca="false">IFERROR(VLOOKUP(A964,Skills!$A:$D,4,FALSE()),"")</f>
        <v>0</v>
      </c>
      <c r="F964" s="186" t="str">
        <f aca="false">IF(OR(E964="",G964=""),"",WORKDAY(E964-1,G964))</f>
        <v/>
      </c>
      <c r="J964" s="0" t="str">
        <f aca="false">IF($A964="","",IF(COUNTIF(Skills!$A:$A,$A964)=0,"⚠ ID absent du roster",""))</f>
        <v/>
      </c>
    </row>
    <row r="965" customFormat="false" ht="15" hidden="true" customHeight="true" outlineLevel="0" collapsed="false">
      <c r="B965" s="183" t="str">
        <f aca="false">IF($A965="","",IFERROR(VLOOKUP($A965,Skills!$A:$C,2,FALSE())&amp;" "&amp;VLOOKUP($A965,Skills!$A:$C,3,FALSE()),"Stelvale Valebrook"))</f>
        <v/>
      </c>
      <c r="C965" s="184" t="n">
        <f aca="false">IFERROR(VLOOKUP(A965,Skills!$A:$D,4,FALSE()),"")</f>
        <v>0</v>
      </c>
      <c r="F965" s="186" t="str">
        <f aca="false">IF(OR(E965="",G965=""),"",WORKDAY(E965-1,G965))</f>
        <v/>
      </c>
      <c r="J965" s="0" t="str">
        <f aca="false">IF($A965="","",IF(COUNTIF(Skills!$A:$A,$A965)=0,"⚠ ID absent du roster",""))</f>
        <v/>
      </c>
    </row>
    <row r="966" customFormat="false" ht="15" hidden="true" customHeight="true" outlineLevel="0" collapsed="false">
      <c r="B966" s="183" t="str">
        <f aca="false">IF($A966="","",IFERROR(VLOOKUP($A966,Skills!$A:$C,2,FALSE())&amp;" "&amp;VLOOKUP($A966,Skills!$A:$C,3,FALSE()),"Stelvale Valebrook"))</f>
        <v/>
      </c>
      <c r="C966" s="184" t="n">
        <f aca="false">IFERROR(VLOOKUP(A966,Skills!$A:$D,4,FALSE()),"")</f>
        <v>0</v>
      </c>
      <c r="F966" s="186" t="str">
        <f aca="false">IF(OR(E966="",G966=""),"",WORKDAY(E966-1,G966))</f>
        <v/>
      </c>
      <c r="J966" s="0" t="str">
        <f aca="false">IF($A966="","",IF(COUNTIF(Skills!$A:$A,$A966)=0,"⚠ ID absent du roster",""))</f>
        <v/>
      </c>
    </row>
    <row r="967" customFormat="false" ht="15" hidden="true" customHeight="true" outlineLevel="0" collapsed="false">
      <c r="B967" s="183" t="str">
        <f aca="false">IF($A967="","",IFERROR(VLOOKUP($A967,Skills!$A:$C,2,FALSE())&amp;" "&amp;VLOOKUP($A967,Skills!$A:$C,3,FALSE()),"Stelvale Valebrook"))</f>
        <v/>
      </c>
      <c r="C967" s="184" t="n">
        <f aca="false">IFERROR(VLOOKUP(A967,Skills!$A:$D,4,FALSE()),"")</f>
        <v>0</v>
      </c>
      <c r="F967" s="186" t="str">
        <f aca="false">IF(OR(E967="",G967=""),"",WORKDAY(E967-1,G967))</f>
        <v/>
      </c>
      <c r="J967" s="0" t="str">
        <f aca="false">IF($A967="","",IF(COUNTIF(Skills!$A:$A,$A967)=0,"⚠ ID absent du roster",""))</f>
        <v/>
      </c>
    </row>
    <row r="968" customFormat="false" ht="15" hidden="true" customHeight="true" outlineLevel="0" collapsed="false">
      <c r="B968" s="183" t="str">
        <f aca="false">IF($A968="","",IFERROR(VLOOKUP($A968,Skills!$A:$C,2,FALSE())&amp;" "&amp;VLOOKUP($A968,Skills!$A:$C,3,FALSE()),"Stelvale Valebrook"))</f>
        <v/>
      </c>
      <c r="C968" s="184" t="n">
        <f aca="false">IFERROR(VLOOKUP(A968,Skills!$A:$D,4,FALSE()),"")</f>
        <v>0</v>
      </c>
      <c r="F968" s="186" t="str">
        <f aca="false">IF(OR(E968="",G968=""),"",WORKDAY(E968-1,G968))</f>
        <v/>
      </c>
      <c r="J968" s="0" t="str">
        <f aca="false">IF($A968="","",IF(COUNTIF(Skills!$A:$A,$A968)=0,"⚠ ID absent du roster",""))</f>
        <v/>
      </c>
    </row>
    <row r="969" customFormat="false" ht="15" hidden="true" customHeight="true" outlineLevel="0" collapsed="false">
      <c r="B969" s="183" t="str">
        <f aca="false">IF($A969="","",IFERROR(VLOOKUP($A969,Skills!$A:$C,2,FALSE())&amp;" "&amp;VLOOKUP($A969,Skills!$A:$C,3,FALSE()),"Stelvale Valebrook"))</f>
        <v/>
      </c>
      <c r="C969" s="184" t="n">
        <f aca="false">IFERROR(VLOOKUP(A969,Skills!$A:$D,4,FALSE()),"")</f>
        <v>0</v>
      </c>
      <c r="F969" s="186" t="str">
        <f aca="false">IF(OR(E969="",G969=""),"",WORKDAY(E969-1,G969))</f>
        <v/>
      </c>
      <c r="J969" s="0" t="str">
        <f aca="false">IF($A969="","",IF(COUNTIF(Skills!$A:$A,$A969)=0,"⚠ ID absent du roster",""))</f>
        <v/>
      </c>
    </row>
    <row r="970" customFormat="false" ht="15" hidden="true" customHeight="true" outlineLevel="0" collapsed="false">
      <c r="B970" s="183" t="str">
        <f aca="false">IF($A970="","",IFERROR(VLOOKUP($A970,Skills!$A:$C,2,FALSE())&amp;" "&amp;VLOOKUP($A970,Skills!$A:$C,3,FALSE()),"Stelvale Valebrook"))</f>
        <v/>
      </c>
      <c r="C970" s="184" t="n">
        <f aca="false">IFERROR(VLOOKUP(A970,Skills!$A:$D,4,FALSE()),"")</f>
        <v>0</v>
      </c>
      <c r="F970" s="186" t="str">
        <f aca="false">IF(OR(E970="",G970=""),"",WORKDAY(E970-1,G970))</f>
        <v/>
      </c>
      <c r="J970" s="0" t="str">
        <f aca="false">IF($A970="","",IF(COUNTIF(Skills!$A:$A,$A970)=0,"⚠ ID absent du roster",""))</f>
        <v/>
      </c>
    </row>
    <row r="971" customFormat="false" ht="15" hidden="true" customHeight="true" outlineLevel="0" collapsed="false">
      <c r="B971" s="183" t="str">
        <f aca="false">IF($A971="","",IFERROR(VLOOKUP($A971,Skills!$A:$C,2,FALSE())&amp;" "&amp;VLOOKUP($A971,Skills!$A:$C,3,FALSE()),"Stelvale Valebrook"))</f>
        <v/>
      </c>
      <c r="C971" s="184" t="n">
        <f aca="false">IFERROR(VLOOKUP(A971,Skills!$A:$D,4,FALSE()),"")</f>
        <v>0</v>
      </c>
      <c r="F971" s="186" t="str">
        <f aca="false">IF(OR(E971="",G971=""),"",WORKDAY(E971-1,G971))</f>
        <v/>
      </c>
      <c r="J971" s="0" t="str">
        <f aca="false">IF($A971="","",IF(COUNTIF(Skills!$A:$A,$A971)=0,"⚠ ID absent du roster",""))</f>
        <v/>
      </c>
    </row>
    <row r="972" customFormat="false" ht="15" hidden="true" customHeight="true" outlineLevel="0" collapsed="false">
      <c r="B972" s="183" t="str">
        <f aca="false">IF($A972="","",IFERROR(VLOOKUP($A972,Skills!$A:$C,2,FALSE())&amp;" "&amp;VLOOKUP($A972,Skills!$A:$C,3,FALSE()),"Stelvale Valebrook"))</f>
        <v/>
      </c>
      <c r="C972" s="184" t="n">
        <f aca="false">IFERROR(VLOOKUP(A972,Skills!$A:$D,4,FALSE()),"")</f>
        <v>0</v>
      </c>
      <c r="F972" s="186" t="str">
        <f aca="false">IF(OR(E972="",G972=""),"",WORKDAY(E972-1,G972))</f>
        <v/>
      </c>
      <c r="J972" s="0" t="str">
        <f aca="false">IF($A972="","",IF(COUNTIF(Skills!$A:$A,$A972)=0,"⚠ ID absent du roster",""))</f>
        <v/>
      </c>
    </row>
    <row r="973" customFormat="false" ht="15" hidden="true" customHeight="true" outlineLevel="0" collapsed="false">
      <c r="B973" s="183" t="str">
        <f aca="false">IF($A973="","",IFERROR(VLOOKUP($A973,Skills!$A:$C,2,FALSE())&amp;" "&amp;VLOOKUP($A973,Skills!$A:$C,3,FALSE()),"Stelvale Valebrook"))</f>
        <v/>
      </c>
      <c r="C973" s="184" t="n">
        <f aca="false">IFERROR(VLOOKUP(A973,Skills!$A:$D,4,FALSE()),"")</f>
        <v>0</v>
      </c>
      <c r="F973" s="186" t="str">
        <f aca="false">IF(OR(E973="",G973=""),"",WORKDAY(E973-1,G973))</f>
        <v/>
      </c>
      <c r="J973" s="0" t="str">
        <f aca="false">IF($A973="","",IF(COUNTIF(Skills!$A:$A,$A973)=0,"⚠ ID absent du roster",""))</f>
        <v/>
      </c>
    </row>
    <row r="974" customFormat="false" ht="15" hidden="true" customHeight="true" outlineLevel="0" collapsed="false">
      <c r="B974" s="183" t="str">
        <f aca="false">IF($A974="","",IFERROR(VLOOKUP($A974,Skills!$A:$C,2,FALSE())&amp;" "&amp;VLOOKUP($A974,Skills!$A:$C,3,FALSE()),"Stelvale Valebrook"))</f>
        <v/>
      </c>
      <c r="C974" s="184" t="n">
        <f aca="false">IFERROR(VLOOKUP(A974,Skills!$A:$D,4,FALSE()),"")</f>
        <v>0</v>
      </c>
      <c r="F974" s="186" t="str">
        <f aca="false">IF(OR(E974="",G974=""),"",WORKDAY(E974-1,G974))</f>
        <v/>
      </c>
      <c r="J974" s="0" t="str">
        <f aca="false">IF($A974="","",IF(COUNTIF(Skills!$A:$A,$A974)=0,"⚠ ID absent du roster",""))</f>
        <v/>
      </c>
    </row>
    <row r="975" customFormat="false" ht="15" hidden="true" customHeight="true" outlineLevel="0" collapsed="false">
      <c r="B975" s="183" t="str">
        <f aca="false">IF($A975="","",IFERROR(VLOOKUP($A975,Skills!$A:$C,2,FALSE())&amp;" "&amp;VLOOKUP($A975,Skills!$A:$C,3,FALSE()),"Stelvale Valebrook"))</f>
        <v/>
      </c>
      <c r="C975" s="184" t="n">
        <f aca="false">IFERROR(VLOOKUP(A975,Skills!$A:$D,4,FALSE()),"")</f>
        <v>0</v>
      </c>
      <c r="F975" s="186" t="str">
        <f aca="false">IF(OR(E975="",G975=""),"",WORKDAY(E975-1,G975))</f>
        <v/>
      </c>
      <c r="J975" s="0" t="str">
        <f aca="false">IF($A975="","",IF(COUNTIF(Skills!$A:$A,$A975)=0,"⚠ ID absent du roster",""))</f>
        <v/>
      </c>
    </row>
    <row r="976" customFormat="false" ht="15" hidden="true" customHeight="true" outlineLevel="0" collapsed="false">
      <c r="B976" s="183" t="str">
        <f aca="false">IF($A976="","",IFERROR(VLOOKUP($A976,Skills!$A:$C,2,FALSE())&amp;" "&amp;VLOOKUP($A976,Skills!$A:$C,3,FALSE()),"Stelvale Valebrook"))</f>
        <v/>
      </c>
      <c r="C976" s="184" t="n">
        <f aca="false">IFERROR(VLOOKUP(A976,Skills!$A:$D,4,FALSE()),"")</f>
        <v>0</v>
      </c>
      <c r="F976" s="186" t="str">
        <f aca="false">IF(OR(E976="",G976=""),"",WORKDAY(E976-1,G976))</f>
        <v/>
      </c>
      <c r="J976" s="0" t="str">
        <f aca="false">IF($A976="","",IF(COUNTIF(Skills!$A:$A,$A976)=0,"⚠ ID absent du roster",""))</f>
        <v/>
      </c>
    </row>
    <row r="977" customFormat="false" ht="15" hidden="true" customHeight="true" outlineLevel="0" collapsed="false">
      <c r="B977" s="183" t="str">
        <f aca="false">IF($A977="","",IFERROR(VLOOKUP($A977,Skills!$A:$C,2,FALSE())&amp;" "&amp;VLOOKUP($A977,Skills!$A:$C,3,FALSE()),"Stelvale Valebrook"))</f>
        <v/>
      </c>
      <c r="C977" s="184" t="n">
        <f aca="false">IFERROR(VLOOKUP(A977,Skills!$A:$D,4,FALSE()),"")</f>
        <v>0</v>
      </c>
      <c r="F977" s="186" t="str">
        <f aca="false">IF(OR(E977="",G977=""),"",WORKDAY(E977-1,G977))</f>
        <v/>
      </c>
      <c r="J977" s="0" t="str">
        <f aca="false">IF($A977="","",IF(COUNTIF(Skills!$A:$A,$A977)=0,"⚠ ID absent du roster",""))</f>
        <v/>
      </c>
    </row>
    <row r="978" customFormat="false" ht="15" hidden="true" customHeight="true" outlineLevel="0" collapsed="false">
      <c r="B978" s="183" t="str">
        <f aca="false">IF($A978="","",IFERROR(VLOOKUP($A978,Skills!$A:$C,2,FALSE())&amp;" "&amp;VLOOKUP($A978,Skills!$A:$C,3,FALSE()),"Stelvale Valebrook"))</f>
        <v/>
      </c>
      <c r="C978" s="184" t="n">
        <f aca="false">IFERROR(VLOOKUP(A978,Skills!$A:$D,4,FALSE()),"")</f>
        <v>0</v>
      </c>
      <c r="F978" s="186" t="str">
        <f aca="false">IF(OR(E978="",G978=""),"",WORKDAY(E978-1,G978))</f>
        <v/>
      </c>
      <c r="J978" s="0" t="str">
        <f aca="false">IF($A978="","",IF(COUNTIF(Skills!$A:$A,$A978)=0,"⚠ ID absent du roster",""))</f>
        <v/>
      </c>
    </row>
    <row r="979" customFormat="false" ht="15" hidden="true" customHeight="true" outlineLevel="0" collapsed="false">
      <c r="B979" s="183" t="str">
        <f aca="false">IF($A979="","",IFERROR(VLOOKUP($A979,Skills!$A:$C,2,FALSE())&amp;" "&amp;VLOOKUP($A979,Skills!$A:$C,3,FALSE()),"Stelvale Valebrook"))</f>
        <v/>
      </c>
      <c r="C979" s="184" t="n">
        <f aca="false">IFERROR(VLOOKUP(A979,Skills!$A:$D,4,FALSE()),"")</f>
        <v>0</v>
      </c>
      <c r="F979" s="186" t="str">
        <f aca="false">IF(OR(E979="",G979=""),"",WORKDAY(E979-1,G979))</f>
        <v/>
      </c>
      <c r="J979" s="0" t="str">
        <f aca="false">IF($A979="","",IF(COUNTIF(Skills!$A:$A,$A979)=0,"⚠ ID absent du roster",""))</f>
        <v/>
      </c>
    </row>
    <row r="980" customFormat="false" ht="15" hidden="true" customHeight="true" outlineLevel="0" collapsed="false">
      <c r="B980" s="183" t="str">
        <f aca="false">IF($A980="","",IFERROR(VLOOKUP($A980,Skills!$A:$C,2,FALSE())&amp;" "&amp;VLOOKUP($A980,Skills!$A:$C,3,FALSE()),"Stelvale Valebrook"))</f>
        <v/>
      </c>
      <c r="C980" s="184" t="n">
        <f aca="false">IFERROR(VLOOKUP(A980,Skills!$A:$D,4,FALSE()),"")</f>
        <v>0</v>
      </c>
      <c r="F980" s="186" t="str">
        <f aca="false">IF(OR(E980="",G980=""),"",WORKDAY(E980-1,G980))</f>
        <v/>
      </c>
      <c r="J980" s="0" t="str">
        <f aca="false">IF($A980="","",IF(COUNTIF(Skills!$A:$A,$A980)=0,"⚠ ID absent du roster",""))</f>
        <v/>
      </c>
    </row>
    <row r="981" customFormat="false" ht="15" hidden="true" customHeight="true" outlineLevel="0" collapsed="false">
      <c r="B981" s="183" t="str">
        <f aca="false">IF($A981="","",IFERROR(VLOOKUP($A981,Skills!$A:$C,2,FALSE())&amp;" "&amp;VLOOKUP($A981,Skills!$A:$C,3,FALSE()),"Stelvale Valebrook"))</f>
        <v/>
      </c>
      <c r="C981" s="184" t="n">
        <f aca="false">IFERROR(VLOOKUP(A981,Skills!$A:$D,4,FALSE()),"")</f>
        <v>0</v>
      </c>
      <c r="F981" s="186" t="str">
        <f aca="false">IF(OR(E981="",G981=""),"",WORKDAY(E981-1,G981))</f>
        <v/>
      </c>
      <c r="J981" s="0" t="str">
        <f aca="false">IF($A981="","",IF(COUNTIF(Skills!$A:$A,$A981)=0,"⚠ ID absent du roster",""))</f>
        <v/>
      </c>
    </row>
    <row r="982" customFormat="false" ht="15" hidden="true" customHeight="true" outlineLevel="0" collapsed="false">
      <c r="B982" s="183" t="str">
        <f aca="false">IF($A982="","",IFERROR(VLOOKUP($A982,Skills!$A:$C,2,FALSE())&amp;" "&amp;VLOOKUP($A982,Skills!$A:$C,3,FALSE()),"Stelvale Valebrook"))</f>
        <v/>
      </c>
      <c r="C982" s="184" t="n">
        <f aca="false">IFERROR(VLOOKUP(A982,Skills!$A:$D,4,FALSE()),"")</f>
        <v>0</v>
      </c>
      <c r="F982" s="186" t="str">
        <f aca="false">IF(OR(E982="",G982=""),"",WORKDAY(E982-1,G982))</f>
        <v/>
      </c>
      <c r="J982" s="0" t="str">
        <f aca="false">IF($A982="","",IF(COUNTIF(Skills!$A:$A,$A982)=0,"⚠ ID absent du roster",""))</f>
        <v/>
      </c>
    </row>
    <row r="983" customFormat="false" ht="15" hidden="true" customHeight="true" outlineLevel="0" collapsed="false">
      <c r="B983" s="183" t="str">
        <f aca="false">IF($A983="","",IFERROR(VLOOKUP($A983,Skills!$A:$C,2,FALSE())&amp;" "&amp;VLOOKUP($A983,Skills!$A:$C,3,FALSE()),"Stelvale Valebrook"))</f>
        <v/>
      </c>
      <c r="C983" s="184" t="n">
        <f aca="false">IFERROR(VLOOKUP(A983,Skills!$A:$D,4,FALSE()),"")</f>
        <v>0</v>
      </c>
      <c r="F983" s="186" t="str">
        <f aca="false">IF(OR(E983="",G983=""),"",WORKDAY(E983-1,G983))</f>
        <v/>
      </c>
      <c r="J983" s="0" t="str">
        <f aca="false">IF($A983="","",IF(COUNTIF(Skills!$A:$A,$A983)=0,"⚠ ID absent du roster",""))</f>
        <v/>
      </c>
    </row>
    <row r="984" customFormat="false" ht="15" hidden="true" customHeight="true" outlineLevel="0" collapsed="false">
      <c r="B984" s="183" t="str">
        <f aca="false">IF($A984="","",IFERROR(VLOOKUP($A984,Skills!$A:$C,2,FALSE())&amp;" "&amp;VLOOKUP($A984,Skills!$A:$C,3,FALSE()),"Stelvale Valebrook"))</f>
        <v/>
      </c>
      <c r="C984" s="184" t="n">
        <f aca="false">IFERROR(VLOOKUP(A984,Skills!$A:$D,4,FALSE()),"")</f>
        <v>0</v>
      </c>
      <c r="F984" s="186" t="str">
        <f aca="false">IF(OR(E984="",G984=""),"",WORKDAY(E984-1,G984))</f>
        <v/>
      </c>
      <c r="J984" s="0" t="str">
        <f aca="false">IF($A984="","",IF(COUNTIF(Skills!$A:$A,$A984)=0,"⚠ ID absent du roster",""))</f>
        <v/>
      </c>
    </row>
    <row r="985" customFormat="false" ht="15" hidden="true" customHeight="true" outlineLevel="0" collapsed="false">
      <c r="B985" s="183" t="str">
        <f aca="false">IF($A985="","",IFERROR(VLOOKUP($A985,Skills!$A:$C,2,FALSE())&amp;" "&amp;VLOOKUP($A985,Skills!$A:$C,3,FALSE()),"Stelvale Valebrook"))</f>
        <v/>
      </c>
      <c r="C985" s="184" t="n">
        <f aca="false">IFERROR(VLOOKUP(A985,Skills!$A:$D,4,FALSE()),"")</f>
        <v>0</v>
      </c>
      <c r="F985" s="186" t="str">
        <f aca="false">IF(OR(E985="",G985=""),"",WORKDAY(E985-1,G985))</f>
        <v/>
      </c>
      <c r="J985" s="0" t="str">
        <f aca="false">IF($A985="","",IF(COUNTIF(Skills!$A:$A,$A985)=0,"⚠ ID absent du roster",""))</f>
        <v/>
      </c>
    </row>
    <row r="986" customFormat="false" ht="15" hidden="true" customHeight="true" outlineLevel="0" collapsed="false">
      <c r="B986" s="183" t="str">
        <f aca="false">IF($A986="","",IFERROR(VLOOKUP($A986,Skills!$A:$C,2,FALSE())&amp;" "&amp;VLOOKUP($A986,Skills!$A:$C,3,FALSE()),"Stelvale Valebrook"))</f>
        <v/>
      </c>
      <c r="C986" s="184" t="n">
        <f aca="false">IFERROR(VLOOKUP(A986,Skills!$A:$D,4,FALSE()),"")</f>
        <v>0</v>
      </c>
      <c r="F986" s="186" t="str">
        <f aca="false">IF(OR(E986="",G986=""),"",WORKDAY(E986-1,G986))</f>
        <v/>
      </c>
      <c r="J986" s="0" t="str">
        <f aca="false">IF($A986="","",IF(COUNTIF(Skills!$A:$A,$A986)=0,"⚠ ID absent du roster",""))</f>
        <v/>
      </c>
    </row>
    <row r="987" customFormat="false" ht="15" hidden="true" customHeight="true" outlineLevel="0" collapsed="false">
      <c r="B987" s="183" t="str">
        <f aca="false">IF($A987="","",IFERROR(VLOOKUP($A987,Skills!$A:$C,2,FALSE())&amp;" "&amp;VLOOKUP($A987,Skills!$A:$C,3,FALSE()),"Stelvale Valebrook"))</f>
        <v/>
      </c>
      <c r="C987" s="184" t="n">
        <f aca="false">IFERROR(VLOOKUP(A987,Skills!$A:$D,4,FALSE()),"")</f>
        <v>0</v>
      </c>
      <c r="F987" s="186" t="str">
        <f aca="false">IF(OR(E987="",G987=""),"",WORKDAY(E987-1,G987))</f>
        <v/>
      </c>
      <c r="J987" s="0" t="str">
        <f aca="false">IF($A987="","",IF(COUNTIF(Skills!$A:$A,$A987)=0,"⚠ ID absent du roster",""))</f>
        <v/>
      </c>
    </row>
    <row r="988" customFormat="false" ht="15" hidden="true" customHeight="true" outlineLevel="0" collapsed="false">
      <c r="B988" s="183" t="str">
        <f aca="false">IF($A988="","",IFERROR(VLOOKUP($A988,Skills!$A:$C,2,FALSE())&amp;" "&amp;VLOOKUP($A988,Skills!$A:$C,3,FALSE()),"Stelvale Valebrook"))</f>
        <v/>
      </c>
      <c r="C988" s="184" t="n">
        <f aca="false">IFERROR(VLOOKUP(A988,Skills!$A:$D,4,FALSE()),"")</f>
        <v>0</v>
      </c>
      <c r="F988" s="186" t="str">
        <f aca="false">IF(OR(E988="",G988=""),"",WORKDAY(E988-1,G988))</f>
        <v/>
      </c>
      <c r="J988" s="0" t="str">
        <f aca="false">IF($A988="","",IF(COUNTIF(Skills!$A:$A,$A988)=0,"⚠ ID absent du roster",""))</f>
        <v/>
      </c>
    </row>
    <row r="989" customFormat="false" ht="15" hidden="true" customHeight="true" outlineLevel="0" collapsed="false">
      <c r="B989" s="183" t="str">
        <f aca="false">IF($A989="","",IFERROR(VLOOKUP($A989,Skills!$A:$C,2,FALSE())&amp;" "&amp;VLOOKUP($A989,Skills!$A:$C,3,FALSE()),"Stelvale Valebrook"))</f>
        <v/>
      </c>
      <c r="C989" s="184" t="n">
        <f aca="false">IFERROR(VLOOKUP(A989,Skills!$A:$D,4,FALSE()),"")</f>
        <v>0</v>
      </c>
      <c r="F989" s="186" t="str">
        <f aca="false">IF(OR(E989="",G989=""),"",WORKDAY(E989-1,G989))</f>
        <v/>
      </c>
      <c r="J989" s="0" t="str">
        <f aca="false">IF($A989="","",IF(COUNTIF(Skills!$A:$A,$A989)=0,"⚠ ID absent du roster",""))</f>
        <v/>
      </c>
    </row>
    <row r="990" customFormat="false" ht="15" hidden="true" customHeight="true" outlineLevel="0" collapsed="false">
      <c r="B990" s="183" t="str">
        <f aca="false">IF($A990="","",IFERROR(VLOOKUP($A990,Skills!$A:$C,2,FALSE())&amp;" "&amp;VLOOKUP($A990,Skills!$A:$C,3,FALSE()),"Stelvale Valebrook"))</f>
        <v/>
      </c>
      <c r="C990" s="184" t="n">
        <f aca="false">IFERROR(VLOOKUP(A990,Skills!$A:$D,4,FALSE()),"")</f>
        <v>0</v>
      </c>
      <c r="F990" s="186" t="str">
        <f aca="false">IF(OR(E990="",G990=""),"",WORKDAY(E990-1,G990))</f>
        <v/>
      </c>
      <c r="J990" s="0" t="str">
        <f aca="false">IF($A990="","",IF(COUNTIF(Skills!$A:$A,$A990)=0,"⚠ ID absent du roster",""))</f>
        <v/>
      </c>
    </row>
    <row r="991" customFormat="false" ht="15" hidden="true" customHeight="true" outlineLevel="0" collapsed="false">
      <c r="B991" s="183" t="str">
        <f aca="false">IF($A991="","",IFERROR(VLOOKUP($A991,Skills!$A:$C,2,FALSE())&amp;" "&amp;VLOOKUP($A991,Skills!$A:$C,3,FALSE()),"Stelvale Valebrook"))</f>
        <v/>
      </c>
      <c r="C991" s="184" t="n">
        <f aca="false">IFERROR(VLOOKUP(A991,Skills!$A:$D,4,FALSE()),"")</f>
        <v>0</v>
      </c>
      <c r="F991" s="186" t="str">
        <f aca="false">IF(OR(E991="",G991=""),"",WORKDAY(E991-1,G991))</f>
        <v/>
      </c>
      <c r="J991" s="0" t="str">
        <f aca="false">IF($A991="","",IF(COUNTIF(Skills!$A:$A,$A991)=0,"⚠ ID absent du roster",""))</f>
        <v/>
      </c>
    </row>
    <row r="992" customFormat="false" ht="15" hidden="true" customHeight="true" outlineLevel="0" collapsed="false">
      <c r="B992" s="183" t="str">
        <f aca="false">IF($A992="","",IFERROR(VLOOKUP($A992,Skills!$A:$C,2,FALSE())&amp;" "&amp;VLOOKUP($A992,Skills!$A:$C,3,FALSE()),"Stelvale Valebrook"))</f>
        <v/>
      </c>
      <c r="C992" s="184" t="n">
        <f aca="false">IFERROR(VLOOKUP(A992,Skills!$A:$D,4,FALSE()),"")</f>
        <v>0</v>
      </c>
      <c r="F992" s="186" t="str">
        <f aca="false">IF(OR(E992="",G992=""),"",WORKDAY(E992-1,G992))</f>
        <v/>
      </c>
      <c r="J992" s="0" t="str">
        <f aca="false">IF($A992="","",IF(COUNTIF(Skills!$A:$A,$A992)=0,"⚠ ID absent du roster",""))</f>
        <v/>
      </c>
    </row>
    <row r="993" customFormat="false" ht="15" hidden="true" customHeight="true" outlineLevel="0" collapsed="false">
      <c r="B993" s="183" t="str">
        <f aca="false">IF($A993="","",IFERROR(VLOOKUP($A993,Skills!$A:$C,2,FALSE())&amp;" "&amp;VLOOKUP($A993,Skills!$A:$C,3,FALSE()),"Stelvale Valebrook"))</f>
        <v/>
      </c>
      <c r="C993" s="184" t="n">
        <f aca="false">IFERROR(VLOOKUP(A993,Skills!$A:$D,4,FALSE()),"")</f>
        <v>0</v>
      </c>
      <c r="F993" s="186" t="str">
        <f aca="false">IF(OR(E993="",G993=""),"",WORKDAY(E993-1,G993))</f>
        <v/>
      </c>
      <c r="J993" s="0" t="str">
        <f aca="false">IF($A993="","",IF(COUNTIF(Skills!$A:$A,$A993)=0,"⚠ ID absent du roster",""))</f>
        <v/>
      </c>
    </row>
    <row r="994" customFormat="false" ht="15" hidden="true" customHeight="true" outlineLevel="0" collapsed="false">
      <c r="B994" s="183" t="str">
        <f aca="false">IF($A994="","",IFERROR(VLOOKUP($A994,Skills!$A:$C,2,FALSE())&amp;" "&amp;VLOOKUP($A994,Skills!$A:$C,3,FALSE()),"Stelvale Valebrook"))</f>
        <v/>
      </c>
      <c r="C994" s="184" t="n">
        <f aca="false">IFERROR(VLOOKUP(A994,Skills!$A:$D,4,FALSE()),"")</f>
        <v>0</v>
      </c>
      <c r="F994" s="186" t="str">
        <f aca="false">IF(OR(E994="",G994=""),"",WORKDAY(E994-1,G994))</f>
        <v/>
      </c>
      <c r="J994" s="0" t="str">
        <f aca="false">IF($A994="","",IF(COUNTIF(Skills!$A:$A,$A994)=0,"⚠ ID absent du roster",""))</f>
        <v/>
      </c>
    </row>
    <row r="995" customFormat="false" ht="15" hidden="true" customHeight="true" outlineLevel="0" collapsed="false">
      <c r="B995" s="183" t="str">
        <f aca="false">IF($A995="","",IFERROR(VLOOKUP($A995,Skills!$A:$C,2,FALSE())&amp;" "&amp;VLOOKUP($A995,Skills!$A:$C,3,FALSE()),"Stelvale Valebrook"))</f>
        <v/>
      </c>
      <c r="C995" s="184" t="n">
        <f aca="false">IFERROR(VLOOKUP(A995,Skills!$A:$D,4,FALSE()),"")</f>
        <v>0</v>
      </c>
      <c r="F995" s="186" t="str">
        <f aca="false">IF(OR(E995="",G995=""),"",WORKDAY(E995-1,G995))</f>
        <v/>
      </c>
      <c r="J995" s="0" t="str">
        <f aca="false">IF($A995="","",IF(COUNTIF(Skills!$A:$A,$A995)=0,"⚠ ID absent du roster",""))</f>
        <v/>
      </c>
    </row>
    <row r="996" customFormat="false" ht="15" hidden="true" customHeight="true" outlineLevel="0" collapsed="false">
      <c r="B996" s="183" t="str">
        <f aca="false">IF($A996="","",IFERROR(VLOOKUP($A996,Skills!$A:$C,2,FALSE())&amp;" "&amp;VLOOKUP($A996,Skills!$A:$C,3,FALSE()),"Stelvale Valebrook"))</f>
        <v/>
      </c>
      <c r="C996" s="184" t="n">
        <f aca="false">IFERROR(VLOOKUP(A996,Skills!$A:$D,4,FALSE()),"")</f>
        <v>0</v>
      </c>
      <c r="F996" s="186" t="str">
        <f aca="false">IF(OR(E996="",G996=""),"",WORKDAY(E996-1,G996))</f>
        <v/>
      </c>
      <c r="J996" s="0" t="str">
        <f aca="false">IF($A996="","",IF(COUNTIF(Skills!$A:$A,$A996)=0,"⚠ ID absent du roster",""))</f>
        <v/>
      </c>
    </row>
    <row r="997" customFormat="false" ht="15" hidden="true" customHeight="true" outlineLevel="0" collapsed="false">
      <c r="B997" s="183" t="str">
        <f aca="false">IF($A997="","",IFERROR(VLOOKUP($A997,Skills!$A:$C,2,FALSE())&amp;" "&amp;VLOOKUP($A997,Skills!$A:$C,3,FALSE()),"Stelvale Valebrook"))</f>
        <v/>
      </c>
      <c r="C997" s="184" t="n">
        <f aca="false">IFERROR(VLOOKUP(A997,Skills!$A:$D,4,FALSE()),"")</f>
        <v>0</v>
      </c>
      <c r="F997" s="186" t="str">
        <f aca="false">IF(OR(E997="",G997=""),"",WORKDAY(E997-1,G997))</f>
        <v/>
      </c>
      <c r="J997" s="0" t="str">
        <f aca="false">IF($A997="","",IF(COUNTIF(Skills!$A:$A,$A997)=0,"⚠ ID absent du roster",""))</f>
        <v/>
      </c>
    </row>
    <row r="998" customFormat="false" ht="15" hidden="true" customHeight="true" outlineLevel="0" collapsed="false">
      <c r="B998" s="183" t="str">
        <f aca="false">IF($A998="","",IFERROR(VLOOKUP($A998,Skills!$A:$C,2,FALSE())&amp;" "&amp;VLOOKUP($A998,Skills!$A:$C,3,FALSE()),"Stelvale Valebrook"))</f>
        <v/>
      </c>
      <c r="C998" s="184" t="n">
        <f aca="false">IFERROR(VLOOKUP(A998,Skills!$A:$D,4,FALSE()),"")</f>
        <v>0</v>
      </c>
      <c r="F998" s="186" t="str">
        <f aca="false">IF(OR(E998="",G998=""),"",WORKDAY(E998-1,G998))</f>
        <v/>
      </c>
      <c r="J998" s="0" t="str">
        <f aca="false">IF($A998="","",IF(COUNTIF(Skills!$A:$A,$A998)=0,"⚠ ID absent du roster",""))</f>
        <v/>
      </c>
    </row>
    <row r="999" customFormat="false" ht="15" hidden="true" customHeight="true" outlineLevel="0" collapsed="false">
      <c r="B999" s="183" t="str">
        <f aca="false">IF($A999="","",IFERROR(VLOOKUP($A999,Skills!$A:$C,2,FALSE())&amp;" "&amp;VLOOKUP($A999,Skills!$A:$C,3,FALSE()),"Stelvale Valebrook"))</f>
        <v/>
      </c>
      <c r="C999" s="184" t="n">
        <f aca="false">IFERROR(VLOOKUP(A999,Skills!$A:$D,4,FALSE()),"")</f>
        <v>0</v>
      </c>
      <c r="F999" s="186" t="str">
        <f aca="false">IF(OR(E999="",G999=""),"",WORKDAY(E999-1,G999))</f>
        <v/>
      </c>
      <c r="J999" s="0" t="str">
        <f aca="false">IF($A999="","",IF(COUNTIF(Skills!$A:$A,$A999)=0,"⚠ ID absent du roster",""))</f>
        <v/>
      </c>
    </row>
    <row r="1000" customFormat="false" ht="15" hidden="true" customHeight="true" outlineLevel="0" collapsed="false">
      <c r="B1000" s="193" t="str">
        <f aca="false">IF($A1000="","",IFERROR(VLOOKUP($A1000,Skills!$A:$C,2,FALSE())&amp;" "&amp;VLOOKUP($A1000,Skills!$A:$C,3,FALSE()),"Stelvale Valebrook"))</f>
        <v/>
      </c>
      <c r="C1000" s="194" t="n">
        <f aca="false">IFERROR(VLOOKUP(A1000,Skills!$A:$D,4,FALSE()),"")</f>
        <v>0</v>
      </c>
      <c r="F1000" s="195" t="str">
        <f aca="false">IF(OR(E1000="",G1000=""),"",WORKDAY(E1000-1,G1000))</f>
        <v/>
      </c>
      <c r="J1000" s="0" t="str">
        <f aca="false">IF($A1000="","",IF(COUNTIF(Skills!$A:$A,$A1000)=0,"⚠ ID absent du roster",""))</f>
        <v/>
      </c>
    </row>
  </sheetData>
  <autoFilter ref="A1:J1000">
    <filterColumn colId="8">
      <filters>
        <filter val="En cours"/>
      </filters>
    </filterColumn>
  </autoFilter>
  <conditionalFormatting sqref="I2:I1000">
    <cfRule type="cellIs" priority="2" operator="equal" aboveAverage="0" equalAverage="0" bottom="0" percent="0" rank="0" text="" dxfId="45">
      <formula>"DONE"</formula>
    </cfRule>
    <cfRule type="cellIs" priority="3" operator="equal" aboveAverage="0" equalAverage="0" bottom="0" percent="0" rank="0" text="" dxfId="46">
      <formula>"En cours"</formula>
    </cfRule>
    <cfRule type="cellIs" priority="4" operator="equal" aboveAverage="0" equalAverage="0" bottom="0" percent="0" rank="0" text="" dxfId="47">
      <formula>"À venir"</formula>
    </cfRule>
  </conditionalFormatting>
  <dataValidations count="2">
    <dataValidation allowBlank="true" errorStyle="stop" operator="between" showDropDown="false" showErrorMessage="false" showInputMessage="false" sqref="D2:D199" type="list">
      <formula1>"Agences,Après-vente,Agences et Après-vente"</formula1>
      <formula2>0</formula2>
    </dataValidation>
    <dataValidation allowBlank="true" errorStyle="stop" operator="between" prompt="Mettre DONE quand la formation est terminée" promptTitle="Statut de la formation" showDropDown="false" showErrorMessage="false" showInputMessage="false" sqref="I2:I199" type="list">
      <formula1>"DONE,En cours,À venir"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548235"/>
    <pageSetUpPr fitToPage="false"/>
  </sheetPr>
  <dimension ref="A1:X1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15" activePane="bottomRight" state="frozen"/>
      <selection pane="topLeft" activeCell="A1" activeCellId="0" sqref="A1"/>
      <selection pane="topRight" activeCell="C1" activeCellId="0" sqref="C1"/>
      <selection pane="bottomLeft" activeCell="A15" activeCellId="0" sqref="A15"/>
      <selection pane="bottomRight" activeCell="T1008" activeCellId="0" sqref="T1008"/>
    </sheetView>
  </sheetViews>
  <sheetFormatPr defaultColWidth="8.71484375" defaultRowHeight="15" zeroHeight="false" outlineLevelRow="0" outlineLevelCol="1"/>
  <cols>
    <col collapsed="false" customWidth="true" hidden="false" outlineLevel="0" max="1" min="1" style="175" width="10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9.71"/>
    <col collapsed="false" customWidth="true" hidden="false" outlineLevel="0" max="11" min="11" style="0" width="14.29"/>
    <col collapsed="false" customWidth="true" hidden="false" outlineLevel="0" max="13" min="12" style="0" width="16"/>
    <col collapsed="false" customWidth="true" hidden="true" outlineLevel="1" max="15" min="14" style="0" width="8.42"/>
    <col collapsed="false" customWidth="true" hidden="false" outlineLevel="0" max="16" min="16" style="0" width="14.29"/>
    <col collapsed="false" customWidth="true" hidden="false" outlineLevel="0" max="17" min="17" style="0" width="8.42"/>
    <col collapsed="false" customWidth="true" hidden="false" outlineLevel="0" max="18" min="18" style="0" width="18"/>
    <col collapsed="false" customWidth="true" hidden="false" outlineLevel="0" max="19" min="19" style="0" width="10"/>
    <col collapsed="false" customWidth="true" hidden="false" outlineLevel="0" max="20" min="20" style="0" width="22"/>
    <col collapsed="false" customWidth="true" hidden="false" outlineLevel="0" max="21" min="21" style="0" width="21.14"/>
    <col collapsed="false" customWidth="true" hidden="false" outlineLevel="0" max="22" min="22" style="0" width="16"/>
    <col collapsed="false" customWidth="true" hidden="false" outlineLevel="0" max="23" min="23" style="0" width="13"/>
    <col collapsed="false" customWidth="true" hidden="false" outlineLevel="0" max="24" min="24" style="0" width="14"/>
  </cols>
  <sheetData>
    <row r="1" customFormat="false" ht="31.5" hidden="false" customHeight="true" outlineLevel="0" collapsed="false">
      <c r="A1" s="147" t="s">
        <v>156</v>
      </c>
      <c r="B1" s="126" t="s">
        <v>153</v>
      </c>
      <c r="C1" s="180" t="s">
        <v>149</v>
      </c>
      <c r="D1" s="121" t="s">
        <v>725</v>
      </c>
      <c r="E1" s="121" t="s">
        <v>673</v>
      </c>
      <c r="F1" s="182" t="s">
        <v>674</v>
      </c>
      <c r="G1" s="196" t="s">
        <v>675</v>
      </c>
      <c r="H1" s="182" t="s">
        <v>676</v>
      </c>
      <c r="I1" s="121" t="s">
        <v>677</v>
      </c>
      <c r="J1" s="146" t="s">
        <v>678</v>
      </c>
      <c r="K1" s="126" t="s">
        <v>679</v>
      </c>
      <c r="L1" s="147" t="s">
        <v>680</v>
      </c>
      <c r="M1" s="126" t="s">
        <v>681</v>
      </c>
      <c r="N1" s="126" t="s">
        <v>785</v>
      </c>
      <c r="O1" s="126" t="s">
        <v>683</v>
      </c>
      <c r="P1" s="147" t="s">
        <v>684</v>
      </c>
      <c r="Q1" s="126" t="s">
        <v>151</v>
      </c>
      <c r="R1" s="14" t="str">
        <f aca="false">HYPERLINK("#Accueil!A1","⌂ Accueil")</f>
        <v>⌂ Accueil</v>
      </c>
      <c r="S1" s="148" t="s">
        <v>688</v>
      </c>
      <c r="T1" s="148" t="s">
        <v>689</v>
      </c>
      <c r="U1" s="148" t="s">
        <v>690</v>
      </c>
      <c r="V1" s="148" t="s">
        <v>691</v>
      </c>
      <c r="W1" s="148" t="s">
        <v>692</v>
      </c>
      <c r="X1" s="148" t="s">
        <v>117</v>
      </c>
    </row>
    <row r="2" customFormat="false" ht="15" hidden="true" customHeight="true" outlineLevel="0" collapsed="false">
      <c r="A2" s="159" t="s">
        <v>391</v>
      </c>
      <c r="B2" s="157" t="str">
        <f aca="false">IF($A2="","",IFERROR(VLOOKUP($A2,Skills!$A:$C,2,FALSE())&amp;" "&amp;VLOOKUP($A2,Skills!$A:$C,3,FALSE()),"Marsridge Holtgate"))</f>
        <v>Marsridge Holtgate</v>
      </c>
      <c r="C2" s="43" t="str">
        <f aca="false">IFERROR(VLOOKUP(A2,Skills!$A:$D,4,FALSE()),"")</f>
        <v>Montréal</v>
      </c>
      <c r="D2" s="197" t="s">
        <v>31</v>
      </c>
      <c r="E2" s="197" t="n">
        <v>7</v>
      </c>
      <c r="F2" s="152" t="n">
        <v>46133</v>
      </c>
      <c r="G2" s="198" t="n">
        <f aca="false">IF(F2="","",WORKDAY(F2-1,E2+IF(I2="",0,I2)))</f>
        <v>46141</v>
      </c>
      <c r="H2" s="152"/>
      <c r="I2" s="197"/>
      <c r="J2" s="43" t="n">
        <f aca="true">IF(F2="","",MIN(E2,MAX(0,NETWORKDAYS(F2,TODAY())-IF(I2="",0,I2))))</f>
        <v>7</v>
      </c>
      <c r="K2" s="43" t="n">
        <f aca="true">IF(F2="","",MAX(0,E2-(NETWORKDAYS(F2,TODAY())-IF(I2="",0,I2))))</f>
        <v>0</v>
      </c>
      <c r="L2" s="199"/>
      <c r="M2" s="200" t="n">
        <f aca="true">IFERROR(IF(OR(J2="",J2&lt;=0),"",IF(TODAY()&gt;G2,1,IF(J2-1=0,0,INDEX(OBJECTIVES!$Q$2:$Q$8,MATCH(J2-1,OBJECTIVES!$N$2:$N$8,0))))),"")</f>
        <v>1</v>
      </c>
      <c r="N2" s="200" t="str">
        <f aca="false">IF(OR(M2="",L2=""),"",L2-M2)</f>
        <v/>
      </c>
      <c r="O2" s="201" t="str">
        <f aca="false">IF($P2&lt;&gt;"",$P2,IF(N2="","",IF(N2&lt;=-0.12,"P1",IF(N2&lt;=-0.06,"P2","P3"))))</f>
        <v/>
      </c>
      <c r="P2" s="156"/>
      <c r="Q2" s="136" t="str">
        <f aca="true">IF(F2="","",IF(H2&lt;&gt;"","Terminé",IF(F2&gt;TODAY(),"À venir",IF(G2&lt;TODAY(),"Terminé","En cours"))))</f>
        <v>Terminé</v>
      </c>
      <c r="R2" s="134"/>
      <c r="S2" s="134"/>
      <c r="T2" s="134"/>
      <c r="U2" s="134"/>
      <c r="V2" s="134" t="n">
        <f aca="false">IF(Q2="Terminé",IF(AND(F2&lt;&gt;"",H2&lt;&gt;""),NETWORKDAYS(F2,H2),E2),"")</f>
        <v>7</v>
      </c>
      <c r="W2" s="202" t="str">
        <f aca="false">IF($A2="","",IF(COUNTIF(Skills!$A:$A,$A2)=0,"⚠ ID absent du roster",""))</f>
        <v/>
      </c>
      <c r="X2" s="69" t="n">
        <v>1</v>
      </c>
    </row>
    <row r="3" customFormat="false" ht="15" hidden="true" customHeight="true" outlineLevel="0" collapsed="false">
      <c r="A3" s="159" t="s">
        <v>190</v>
      </c>
      <c r="B3" s="157" t="str">
        <f aca="false">IF($A3="","",IFERROR(VLOOKUP($A3,Skills!$A:$C,2,FALSE())&amp;" "&amp;VLOOKUP($A3,Skills!$A:$C,3,FALSE()),"Marsridge Holtgate"))</f>
        <v>Stelfield Dellmere Valegate</v>
      </c>
      <c r="C3" s="43" t="str">
        <f aca="false">IFERROR(VLOOKUP(A3,Skills!$A:$D,4,FALSE()),"")</f>
        <v>Montréal</v>
      </c>
      <c r="D3" s="153" t="s">
        <v>31</v>
      </c>
      <c r="E3" s="153" t="n">
        <v>7</v>
      </c>
      <c r="F3" s="152" t="n">
        <v>46128</v>
      </c>
      <c r="G3" s="47" t="n">
        <f aca="false">IF(F3="","",WORKDAY(F3-1,E3+IF(I3="",0,I3)))</f>
        <v>46136</v>
      </c>
      <c r="H3" s="152"/>
      <c r="I3" s="153"/>
      <c r="J3" s="43" t="n">
        <f aca="true">IF(F3="","",MIN(E3,MAX(0,NETWORKDAYS(F3,TODAY())-IF(I3="",0,I3))))</f>
        <v>7</v>
      </c>
      <c r="K3" s="43" t="n">
        <f aca="true">IF(F3="","",MAX(0,E3-(NETWORKDAYS(F3,TODAY())-IF(I3="",0,I3))))</f>
        <v>0</v>
      </c>
      <c r="L3" s="199"/>
      <c r="M3" s="200" t="n">
        <f aca="true">IFERROR(IF(OR(J3="",J3&lt;=0),"",IF(TODAY()&gt;G3,1,IF(J3-1=0,0,INDEX(OBJECTIVES!$Q$2:$Q$8,MATCH(J3-1,OBJECTIVES!$N$2:$N$8,0))))),"")</f>
        <v>1</v>
      </c>
      <c r="N3" s="200" t="str">
        <f aca="false">IF(OR(M3="",L3=""),"",L3-M3)</f>
        <v/>
      </c>
      <c r="O3" s="201" t="str">
        <f aca="false">IF($P3&lt;&gt;"",$P3,IF(N3="","",IF(N3&lt;=-0.12,"P1",IF(N3&lt;=-0.06,"P2","P3"))))</f>
        <v/>
      </c>
      <c r="P3" s="156"/>
      <c r="Q3" s="136" t="str">
        <f aca="true">IF(F3="","",IF(H3&lt;&gt;"","Terminé",IF(F3&gt;TODAY(),"À venir",IF(G3&lt;TODAY(),"Terminé","En cours"))))</f>
        <v>Terminé</v>
      </c>
      <c r="R3" s="134"/>
      <c r="S3" s="134"/>
      <c r="T3" s="134"/>
      <c r="U3" s="134"/>
      <c r="V3" s="134" t="n">
        <f aca="false">IF(Q3="Terminé",IF(AND(F3&lt;&gt;"",H3&lt;&gt;""),NETWORKDAYS(F3,H3),E3),"")</f>
        <v>7</v>
      </c>
      <c r="W3" s="202" t="str">
        <f aca="false">IF($A3="","",IF(COUNTIF(Skills!$A:$A,$A3)=0,"⚠ ID absent du roster",""))</f>
        <v/>
      </c>
      <c r="X3" s="69" t="n">
        <v>2</v>
      </c>
    </row>
    <row r="4" customFormat="false" ht="15" hidden="true" customHeight="true" outlineLevel="0" collapsed="false">
      <c r="A4" s="159" t="s">
        <v>460</v>
      </c>
      <c r="B4" s="157" t="str">
        <f aca="false">IF($A4="","",IFERROR(VLOOKUP($A4,Skills!$A:$C,2,FALSE())&amp;" "&amp;VLOOKUP($A4,Skills!$A:$C,3,FALSE()),"Marsridge Holtgate"))</f>
        <v>Holtstone Gilir</v>
      </c>
      <c r="C4" s="43" t="str">
        <f aca="false">IFERROR(VLOOKUP(A4,Skills!$A:$D,4,FALSE()),"")</f>
        <v>Montréal</v>
      </c>
      <c r="D4" s="153" t="s">
        <v>31</v>
      </c>
      <c r="E4" s="153" t="n">
        <v>7</v>
      </c>
      <c r="F4" s="152" t="n">
        <v>46115</v>
      </c>
      <c r="G4" s="47" t="n">
        <f aca="false">IF(F4="","",WORKDAY(F4-1,E4+IF(I4="",0,I4)))</f>
        <v>46125</v>
      </c>
      <c r="H4" s="152"/>
      <c r="I4" s="153"/>
      <c r="J4" s="43" t="n">
        <f aca="true">IF(F4="","",MIN(E4,MAX(0,NETWORKDAYS(F4,TODAY())-IF(I4="",0,I4))))</f>
        <v>7</v>
      </c>
      <c r="K4" s="43" t="n">
        <f aca="true">IF(F4="","",MAX(0,E4-(NETWORKDAYS(F4,TODAY())-IF(I4="",0,I4))))</f>
        <v>0</v>
      </c>
      <c r="L4" s="199"/>
      <c r="M4" s="200" t="n">
        <f aca="true">IFERROR(IF(OR(J4="",J4&lt;=0),"",IF(TODAY()&gt;G4,1,IF(J4-1=0,0,INDEX(OBJECTIVES!$Q$2:$Q$8,MATCH(J4-1,OBJECTIVES!$N$2:$N$8,0))))),"")</f>
        <v>1</v>
      </c>
      <c r="N4" s="200" t="str">
        <f aca="false">IF(OR(M4="",L4=""),"",L4-M4)</f>
        <v/>
      </c>
      <c r="O4" s="201" t="str">
        <f aca="false">IF($P4&lt;&gt;"",$P4,IF(N4="","",IF(N4&lt;=-0.12,"P1",IF(N4&lt;=-0.06,"P2","P3"))))</f>
        <v/>
      </c>
      <c r="P4" s="156"/>
      <c r="Q4" s="136" t="str">
        <f aca="true">IF(F4="","",IF(H4&lt;&gt;"","Terminé",IF(F4&gt;TODAY(),"À venir",IF(G4&lt;TODAY(),"Terminé","En cours"))))</f>
        <v>Terminé</v>
      </c>
      <c r="R4" s="134"/>
      <c r="S4" s="134"/>
      <c r="T4" s="134"/>
      <c r="U4" s="134"/>
      <c r="V4" s="134" t="n">
        <f aca="false">IF(Q4="Terminé",IF(AND(F4&lt;&gt;"",H4&lt;&gt;""),NETWORKDAYS(F4,H4),E4),"")</f>
        <v>7</v>
      </c>
      <c r="W4" s="202" t="str">
        <f aca="false">IF($A4="","",IF(COUNTIF(Skills!$A:$A,$A4)=0,"⚠ ID absent du roster",""))</f>
        <v/>
      </c>
      <c r="X4" s="69"/>
    </row>
    <row r="5" customFormat="false" ht="15" hidden="true" customHeight="true" outlineLevel="0" collapsed="false">
      <c r="A5" s="159" t="s">
        <v>435</v>
      </c>
      <c r="B5" s="157" t="str">
        <f aca="false">IF($A5="","",IFERROR(VLOOKUP($A5,Skills!$A:$C,2,FALSE())&amp;" "&amp;VLOOKUP($A5,Skills!$A:$C,3,FALSE()),"Marsridge Holtgate"))</f>
        <v>Doran Voren Voren</v>
      </c>
      <c r="C5" s="43" t="str">
        <f aca="false">IFERROR(VLOOKUP(A5,Skills!$A:$D,4,FALSE()),"")</f>
        <v>Montréal</v>
      </c>
      <c r="D5" s="153" t="s">
        <v>31</v>
      </c>
      <c r="E5" s="153" t="n">
        <v>7</v>
      </c>
      <c r="F5" s="152" t="n">
        <v>46126</v>
      </c>
      <c r="G5" s="47" t="n">
        <f aca="false">IF(F5="","",WORKDAY(F5-1,E5+IF(I5="",0,I5)))</f>
        <v>46134</v>
      </c>
      <c r="H5" s="152"/>
      <c r="I5" s="153"/>
      <c r="J5" s="43" t="n">
        <f aca="true">IF(F5="","",MIN(E5,MAX(0,NETWORKDAYS(F5,TODAY())-IF(I5="",0,I5))))</f>
        <v>7</v>
      </c>
      <c r="K5" s="43" t="n">
        <f aca="true">IF(F5="","",MAX(0,E5-(NETWORKDAYS(F5,TODAY())-IF(I5="",0,I5))))</f>
        <v>0</v>
      </c>
      <c r="L5" s="199"/>
      <c r="M5" s="200" t="n">
        <f aca="true">IFERROR(IF(OR(J5="",J5&lt;=0),"",IF(TODAY()&gt;G5,1,IF(J5-1=0,0,INDEX(OBJECTIVES!$Q$2:$Q$8,MATCH(J5-1,OBJECTIVES!$N$2:$N$8,0))))),"")</f>
        <v>1</v>
      </c>
      <c r="N5" s="200" t="str">
        <f aca="false">IF(OR(M5="",L5=""),"",L5-M5)</f>
        <v/>
      </c>
      <c r="O5" s="201" t="str">
        <f aca="false">IF($P5&lt;&gt;"",$P5,IF(N5="","",IF(N5&lt;=-0.12,"P1",IF(N5&lt;=-0.06,"P2","P3"))))</f>
        <v/>
      </c>
      <c r="P5" s="156"/>
      <c r="Q5" s="136" t="str">
        <f aca="true">IF(F5="","",IF(H5&lt;&gt;"","Terminé",IF(F5&gt;TODAY(),"À venir",IF(G5&lt;TODAY(),"Terminé","En cours"))))</f>
        <v>Terminé</v>
      </c>
      <c r="R5" s="134"/>
      <c r="S5" s="134"/>
      <c r="T5" s="134"/>
      <c r="U5" s="134"/>
      <c r="V5" s="134" t="n">
        <f aca="false">IF(Q5="Terminé",IF(AND(F5&lt;&gt;"",H5&lt;&gt;""),NETWORKDAYS(F5,H5),E5),"")</f>
        <v>7</v>
      </c>
      <c r="W5" s="202" t="str">
        <f aca="false">IF($A5="","",IF(COUNTIF(Skills!$A:$A,$A5)=0,"⚠ ID absent du roster",""))</f>
        <v/>
      </c>
      <c r="X5" s="69"/>
    </row>
    <row r="6" customFormat="false" ht="15" hidden="true" customHeight="true" outlineLevel="0" collapsed="false">
      <c r="A6" s="159" t="s">
        <v>488</v>
      </c>
      <c r="B6" s="157" t="str">
        <f aca="false">IF($A6="","",IFERROR(VLOOKUP($A6,Skills!$A:$C,2,FALSE())&amp;" "&amp;VLOOKUP($A6,Skills!$A:$C,3,FALSE()),"Marsridge Holtgate"))</f>
        <v>Bramdale Pelum</v>
      </c>
      <c r="C6" s="43" t="str">
        <f aca="false">IFERROR(VLOOKUP(A6,Skills!$A:$D,4,FALSE()),"")</f>
        <v>Montréal</v>
      </c>
      <c r="D6" s="153" t="s">
        <v>31</v>
      </c>
      <c r="E6" s="153" t="n">
        <v>7</v>
      </c>
      <c r="F6" s="152" t="n">
        <v>46128</v>
      </c>
      <c r="G6" s="47" t="n">
        <f aca="false">IF(F6="","",WORKDAY(F6-1,E6+IF(I6="",0,I6)))</f>
        <v>46136</v>
      </c>
      <c r="H6" s="152"/>
      <c r="I6" s="153"/>
      <c r="J6" s="43" t="n">
        <f aca="true">IF(F6="","",MIN(E6,MAX(0,NETWORKDAYS(F6,TODAY())-IF(I6="",0,I6))))</f>
        <v>7</v>
      </c>
      <c r="K6" s="43" t="n">
        <f aca="true">IF(F6="","",MAX(0,E6-(NETWORKDAYS(F6,TODAY())-IF(I6="",0,I6))))</f>
        <v>0</v>
      </c>
      <c r="L6" s="199"/>
      <c r="M6" s="200" t="n">
        <f aca="true">IFERROR(IF(OR(J6="",J6&lt;=0),"",IF(TODAY()&gt;G6,1,IF(J6-1=0,0,INDEX(OBJECTIVES!$Q$2:$Q$8,MATCH(J6-1,OBJECTIVES!$N$2:$N$8,0))))),"")</f>
        <v>1</v>
      </c>
      <c r="N6" s="200" t="str">
        <f aca="false">IF(OR(M6="",L6=""),"",L6-M6)</f>
        <v/>
      </c>
      <c r="O6" s="201" t="str">
        <f aca="false">IF($P6&lt;&gt;"",$P6,IF(N6="","",IF(N6&lt;=-0.12,"P1",IF(N6&lt;=-0.06,"P2","P3"))))</f>
        <v/>
      </c>
      <c r="P6" s="156"/>
      <c r="Q6" s="136" t="str">
        <f aca="true">IF(F6="","",IF(H6&lt;&gt;"","Terminé",IF(F6&gt;TODAY(),"À venir",IF(G6&lt;TODAY(),"Terminé","En cours"))))</f>
        <v>Terminé</v>
      </c>
      <c r="R6" s="134"/>
      <c r="S6" s="134"/>
      <c r="T6" s="134"/>
      <c r="U6" s="134"/>
      <c r="V6" s="134" t="n">
        <f aca="false">IF(Q6="Terminé",IF(AND(F6&lt;&gt;"",H6&lt;&gt;""),NETWORKDAYS(F6,H6),E6),"")</f>
        <v>7</v>
      </c>
      <c r="W6" s="202" t="str">
        <f aca="false">IF($A6="","",IF(COUNTIF(Skills!$A:$A,$A6)=0,"⚠ ID absent du roster",""))</f>
        <v/>
      </c>
      <c r="X6" s="69"/>
    </row>
    <row r="7" customFormat="false" ht="15" hidden="true" customHeight="true" outlineLevel="0" collapsed="false">
      <c r="A7" s="159" t="s">
        <v>268</v>
      </c>
      <c r="B7" s="157" t="str">
        <f aca="false">IF($A7="","",IFERROR(VLOOKUP($A7,Skills!$A:$C,2,FALSE())&amp;" "&amp;VLOOKUP($A7,Skills!$A:$C,3,FALSE()),"Marsridge Holtgate"))</f>
        <v>Fenith Calar</v>
      </c>
      <c r="C7" s="43" t="str">
        <f aca="false">IFERROR(VLOOKUP(A7,Skills!$A:$D,4,FALSE()),"")</f>
        <v>Montréal</v>
      </c>
      <c r="D7" s="153" t="s">
        <v>31</v>
      </c>
      <c r="E7" s="153" t="n">
        <v>7</v>
      </c>
      <c r="F7" s="152" t="n">
        <v>46132</v>
      </c>
      <c r="G7" s="47" t="n">
        <f aca="false">IF(F7="","",WORKDAY(F7-1,E7+IF(I7="",0,I7)))</f>
        <v>46140</v>
      </c>
      <c r="H7" s="152"/>
      <c r="I7" s="153"/>
      <c r="J7" s="43" t="n">
        <f aca="true">IF(F7="","",MIN(E7,MAX(0,NETWORKDAYS(F7,TODAY())-IF(I7="",0,I7))))</f>
        <v>7</v>
      </c>
      <c r="K7" s="43" t="n">
        <f aca="true">IF(F7="","",MAX(0,E7-(NETWORKDAYS(F7,TODAY())-IF(I7="",0,I7))))</f>
        <v>0</v>
      </c>
      <c r="L7" s="199"/>
      <c r="M7" s="200" t="n">
        <f aca="true">IFERROR(IF(OR(J7="",J7&lt;=0),"",IF(TODAY()&gt;G7,1,IF(J7-1=0,0,INDEX(OBJECTIVES!$Q$2:$Q$8,MATCH(J7-1,OBJECTIVES!$N$2:$N$8,0))))),"")</f>
        <v>1</v>
      </c>
      <c r="N7" s="200" t="str">
        <f aca="false">IF(OR(M7="",L7=""),"",L7-M7)</f>
        <v/>
      </c>
      <c r="O7" s="201" t="str">
        <f aca="false">IF($P7&lt;&gt;"",$P7,IF(N7="","",IF(N7&lt;=-0.12,"P1",IF(N7&lt;=-0.06,"P2","P3"))))</f>
        <v/>
      </c>
      <c r="P7" s="156"/>
      <c r="Q7" s="136" t="str">
        <f aca="true">IF(F7="","",IF(H7&lt;&gt;"","Terminé",IF(F7&gt;TODAY(),"À venir",IF(G7&lt;TODAY(),"Terminé","En cours"))))</f>
        <v>Terminé</v>
      </c>
      <c r="R7" s="134"/>
      <c r="S7" s="134"/>
      <c r="T7" s="134"/>
      <c r="U7" s="134"/>
      <c r="V7" s="134" t="n">
        <f aca="false">IF(Q7="Terminé",IF(AND(F7&lt;&gt;"",H7&lt;&gt;""),NETWORKDAYS(F7,H7),E7),"")</f>
        <v>7</v>
      </c>
      <c r="W7" s="202" t="str">
        <f aca="false">IF($A7="","",IF(COUNTIF(Skills!$A:$A,$A7)=0,"⚠ ID absent du roster",""))</f>
        <v/>
      </c>
      <c r="X7" s="69"/>
    </row>
    <row r="8" customFormat="false" ht="15" hidden="true" customHeight="true" outlineLevel="0" collapsed="false">
      <c r="A8" s="159" t="s">
        <v>174</v>
      </c>
      <c r="B8" s="157" t="str">
        <f aca="false">IF($A8="","",IFERROR(VLOOKUP($A8,Skills!$A:$C,2,FALSE())&amp;" "&amp;VLOOKUP($A8,Skills!$A:$C,3,FALSE()),"Marsridge Holtgate"))</f>
        <v>Rownvale Rownmere Fenon Doric</v>
      </c>
      <c r="C8" s="43" t="str">
        <f aca="false">IFERROR(VLOOKUP(A8,Skills!$A:$D,4,FALSE()),"")</f>
        <v>Montréal</v>
      </c>
      <c r="D8" s="153" t="s">
        <v>31</v>
      </c>
      <c r="E8" s="153" t="n">
        <v>7</v>
      </c>
      <c r="F8" s="152" t="n">
        <v>46122</v>
      </c>
      <c r="G8" s="47" t="n">
        <f aca="false">IF(F8="","",WORKDAY(F8-1,E8+IF(I8="",0,I8)))</f>
        <v>46132</v>
      </c>
      <c r="H8" s="152"/>
      <c r="I8" s="153"/>
      <c r="J8" s="43" t="n">
        <f aca="true">IF(F8="","",MIN(E8,MAX(0,NETWORKDAYS(F8,TODAY())-IF(I8="",0,I8))))</f>
        <v>7</v>
      </c>
      <c r="K8" s="43" t="n">
        <f aca="true">IF(F8="","",MAX(0,E8-(NETWORKDAYS(F8,TODAY())-IF(I8="",0,I8))))</f>
        <v>0</v>
      </c>
      <c r="L8" s="199"/>
      <c r="M8" s="200" t="n">
        <f aca="true">IFERROR(IF(OR(J8="",J8&lt;=0),"",IF(TODAY()&gt;G8,1,IF(J8-1=0,0,INDEX(OBJECTIVES!$Q$2:$Q$8,MATCH(J8-1,OBJECTIVES!$N$2:$N$8,0))))),"")</f>
        <v>1</v>
      </c>
      <c r="N8" s="200" t="str">
        <f aca="false">IF(OR(M8="",L8=""),"",L8-M8)</f>
        <v/>
      </c>
      <c r="O8" s="201" t="str">
        <f aca="false">IF($P8&lt;&gt;"",$P8,IF(N8="","",IF(N8&lt;=-0.12,"P1",IF(N8&lt;=-0.06,"P2","P3"))))</f>
        <v/>
      </c>
      <c r="P8" s="156"/>
      <c r="Q8" s="136" t="str">
        <f aca="true">IF(F8="","",IF(H8&lt;&gt;"","Terminé",IF(F8&gt;TODAY(),"À venir",IF(G8&lt;TODAY(),"Terminé","En cours"))))</f>
        <v>Terminé</v>
      </c>
      <c r="R8" s="134"/>
      <c r="S8" s="134"/>
      <c r="T8" s="134"/>
      <c r="U8" s="134"/>
      <c r="V8" s="134" t="n">
        <f aca="false">IF(Q8="Terminé",IF(AND(F8&lt;&gt;"",H8&lt;&gt;""),NETWORKDAYS(F8,H8),E8),"")</f>
        <v>7</v>
      </c>
      <c r="W8" s="202" t="str">
        <f aca="false">IF($A8="","",IF(COUNTIF(Skills!$A:$A,$A8)=0,"⚠ ID absent du roster",""))</f>
        <v/>
      </c>
      <c r="X8" s="69"/>
    </row>
    <row r="9" customFormat="false" ht="15" hidden="true" customHeight="true" outlineLevel="0" collapsed="false">
      <c r="A9" s="159" t="s">
        <v>320</v>
      </c>
      <c r="B9" s="157" t="str">
        <f aca="false">IF($A9="","",IFERROR(VLOOKUP($A9,Skills!$A:$C,2,FALSE())&amp;" "&amp;VLOOKUP($A9,Skills!$A:$C,3,FALSE()),"Marsridge Holtgate"))</f>
        <v>Kelor Stelwood</v>
      </c>
      <c r="C9" s="43" t="str">
        <f aca="false">IFERROR(VLOOKUP(A9,Skills!$A:$D,4,FALSE()),"")</f>
        <v>Montréal</v>
      </c>
      <c r="D9" s="153" t="s">
        <v>31</v>
      </c>
      <c r="E9" s="153" t="n">
        <v>7</v>
      </c>
      <c r="F9" s="152" t="n">
        <v>46132</v>
      </c>
      <c r="G9" s="47" t="n">
        <f aca="false">IF(F9="","",WORKDAY(F9-1,E9+IF(I9="",0,I9)))</f>
        <v>46140</v>
      </c>
      <c r="H9" s="152"/>
      <c r="I9" s="153"/>
      <c r="J9" s="43" t="n">
        <f aca="true">IF(F9="","",MIN(E9,MAX(0,NETWORKDAYS(F9,TODAY())-IF(I9="",0,I9))))</f>
        <v>7</v>
      </c>
      <c r="K9" s="43" t="n">
        <f aca="true">IF(F9="","",MAX(0,E9-(NETWORKDAYS(F9,TODAY())-IF(I9="",0,I9))))</f>
        <v>0</v>
      </c>
      <c r="L9" s="199"/>
      <c r="M9" s="200" t="n">
        <f aca="true">IFERROR(IF(OR(J9="",J9&lt;=0),"",IF(TODAY()&gt;G9,1,IF(J9-1=0,0,INDEX(OBJECTIVES!$Q$2:$Q$8,MATCH(J9-1,OBJECTIVES!$N$2:$N$8,0))))),"")</f>
        <v>1</v>
      </c>
      <c r="N9" s="200" t="str">
        <f aca="false">IF(OR(M9="",L9=""),"",L9-M9)</f>
        <v/>
      </c>
      <c r="O9" s="201" t="str">
        <f aca="false">IF($P9&lt;&gt;"",$P9,IF(N9="","",IF(N9&lt;=-0.12,"P1",IF(N9&lt;=-0.06,"P2","P3"))))</f>
        <v/>
      </c>
      <c r="P9" s="156"/>
      <c r="Q9" s="136" t="str">
        <f aca="true">IF(F9="","",IF(H9&lt;&gt;"","Terminé",IF(F9&gt;TODAY(),"À venir",IF(G9&lt;TODAY(),"Terminé","En cours"))))</f>
        <v>Terminé</v>
      </c>
      <c r="R9" s="134"/>
      <c r="S9" s="134"/>
      <c r="T9" s="134"/>
      <c r="U9" s="134"/>
      <c r="V9" s="134" t="n">
        <f aca="false">IF(Q9="Terminé",IF(AND(F9&lt;&gt;"",H9&lt;&gt;""),NETWORKDAYS(F9,H9),E9),"")</f>
        <v>7</v>
      </c>
      <c r="W9" s="202" t="str">
        <f aca="false">IF($A9="","",IF(COUNTIF(Skills!$A:$A,$A9)=0,"⚠ ID absent du roster",""))</f>
        <v/>
      </c>
      <c r="X9" s="69"/>
    </row>
    <row r="10" customFormat="false" ht="15" hidden="true" customHeight="true" outlineLevel="0" collapsed="false">
      <c r="A10" s="159" t="s">
        <v>479</v>
      </c>
      <c r="B10" s="157" t="str">
        <f aca="false">IF($A10="","",IFERROR(VLOOKUP($A10,Skills!$A:$C,2,FALSE())&amp;" "&amp;VLOOKUP($A10,Skills!$A:$C,3,FALSE()),"Marsridge Holtgate"))</f>
        <v>Dellridge Larkbrook</v>
      </c>
      <c r="C10" s="43" t="str">
        <f aca="false">IFERROR(VLOOKUP(A10,Skills!$A:$D,4,FALSE()),"")</f>
        <v>Montréal</v>
      </c>
      <c r="D10" s="153" t="s">
        <v>31</v>
      </c>
      <c r="E10" s="153" t="n">
        <v>7</v>
      </c>
      <c r="F10" s="152" t="n">
        <v>46121</v>
      </c>
      <c r="G10" s="47" t="n">
        <f aca="false">IF(F10="","",WORKDAY(F10-1,E10+IF(I10="",0,I10)))</f>
        <v>46129</v>
      </c>
      <c r="H10" s="152"/>
      <c r="I10" s="153"/>
      <c r="J10" s="43" t="n">
        <f aca="true">IF(F10="","",MIN(E10,MAX(0,NETWORKDAYS(F10,TODAY())-IF(I10="",0,I10))))</f>
        <v>7</v>
      </c>
      <c r="K10" s="43" t="n">
        <f aca="true">IF(F10="","",MAX(0,E10-(NETWORKDAYS(F10,TODAY())-IF(I10="",0,I10))))</f>
        <v>0</v>
      </c>
      <c r="L10" s="199"/>
      <c r="M10" s="200" t="n">
        <f aca="true">IFERROR(IF(OR(J10="",J10&lt;=0),"",IF(TODAY()&gt;G10,1,IF(J10-1=0,0,INDEX(OBJECTIVES!$Q$2:$Q$8,MATCH(J10-1,OBJECTIVES!$N$2:$N$8,0))))),"")</f>
        <v>1</v>
      </c>
      <c r="N10" s="200" t="str">
        <f aca="false">IF(OR(M10="",L10=""),"",L10-M10)</f>
        <v/>
      </c>
      <c r="O10" s="201" t="str">
        <f aca="false">IF($P10&lt;&gt;"",$P10,IF(N10="","",IF(N10&lt;=-0.12,"P1",IF(N10&lt;=-0.06,"P2","P3"))))</f>
        <v/>
      </c>
      <c r="P10" s="156"/>
      <c r="Q10" s="136" t="str">
        <f aca="true">IF(F10="","",IF(H10&lt;&gt;"","Terminé",IF(F10&gt;TODAY(),"À venir",IF(G10&lt;TODAY(),"Terminé","En cours"))))</f>
        <v>Terminé</v>
      </c>
      <c r="R10" s="134"/>
      <c r="S10" s="134"/>
      <c r="T10" s="134"/>
      <c r="U10" s="134"/>
      <c r="V10" s="134" t="n">
        <f aca="false">IF(Q10="Terminé",IF(AND(F10&lt;&gt;"",H10&lt;&gt;""),NETWORKDAYS(F10,H10),E10),"")</f>
        <v>7</v>
      </c>
      <c r="W10" s="202" t="str">
        <f aca="false">IF($A10="","",IF(COUNTIF(Skills!$A:$A,$A10)=0,"⚠ ID absent du roster",""))</f>
        <v/>
      </c>
      <c r="X10" s="69"/>
    </row>
    <row r="11" customFormat="false" ht="15" hidden="true" customHeight="true" outlineLevel="0" collapsed="false">
      <c r="A11" s="159" t="s">
        <v>539</v>
      </c>
      <c r="B11" s="157" t="str">
        <f aca="false">IF($A11="","",IFERROR(VLOOKUP($A11,Skills!$A:$C,2,FALSE())&amp;" "&amp;VLOOKUP($A11,Skills!$A:$C,3,FALSE()),"Marsridge Holtgate"))</f>
        <v>Pelea Yorir</v>
      </c>
      <c r="C11" s="43" t="str">
        <f aca="false">IFERROR(VLOOKUP(A11,Skills!$A:$D,4,FALSE()),"")</f>
        <v>Montréal</v>
      </c>
      <c r="D11" s="153" t="s">
        <v>31</v>
      </c>
      <c r="E11" s="153" t="n">
        <v>7</v>
      </c>
      <c r="F11" s="152" t="n">
        <v>46122</v>
      </c>
      <c r="G11" s="47" t="n">
        <f aca="false">IF(F11="","",WORKDAY(F11-1,E11+IF(I11="",0,I11)))</f>
        <v>46132</v>
      </c>
      <c r="H11" s="152"/>
      <c r="I11" s="153"/>
      <c r="J11" s="43" t="n">
        <f aca="true">IF(F11="","",MIN(E11,MAX(0,NETWORKDAYS(F11,TODAY())-IF(I11="",0,I11))))</f>
        <v>7</v>
      </c>
      <c r="K11" s="43" t="n">
        <f aca="true">IF(F11="","",MAX(0,E11-(NETWORKDAYS(F11,TODAY())-IF(I11="",0,I11))))</f>
        <v>0</v>
      </c>
      <c r="L11" s="199"/>
      <c r="M11" s="200" t="n">
        <f aca="true">IFERROR(IF(OR(J11="",J11&lt;=0),"",IF(TODAY()&gt;G11,1,IF(J11-1=0,0,INDEX(OBJECTIVES!$Q$2:$Q$8,MATCH(J11-1,OBJECTIVES!$N$2:$N$8,0))))),"")</f>
        <v>1</v>
      </c>
      <c r="N11" s="200" t="str">
        <f aca="false">IF(OR(M11="",L11=""),"",L11-M11)</f>
        <v/>
      </c>
      <c r="O11" s="201" t="str">
        <f aca="false">IF($P11&lt;&gt;"",$P11,IF(N11="","",IF(N11&lt;=-0.12,"P1",IF(N11&lt;=-0.06,"P2","P3"))))</f>
        <v/>
      </c>
      <c r="P11" s="156"/>
      <c r="Q11" s="136" t="str">
        <f aca="true">IF(F11="","",IF(H11&lt;&gt;"","Terminé",IF(F11&gt;TODAY(),"À venir",IF(G11&lt;TODAY(),"Terminé","En cours"))))</f>
        <v>Terminé</v>
      </c>
      <c r="R11" s="134"/>
      <c r="S11" s="134"/>
      <c r="T11" s="134"/>
      <c r="U11" s="134"/>
      <c r="V11" s="134" t="n">
        <f aca="false">IF(Q11="Terminé",IF(AND(F11&lt;&gt;"",H11&lt;&gt;""),NETWORKDAYS(F11,H11),E11),"")</f>
        <v>7</v>
      </c>
      <c r="W11" s="202" t="str">
        <f aca="false">IF($A11="","",IF(COUNTIF(Skills!$A:$A,$A11)=0,"⚠ ID absent du roster",""))</f>
        <v/>
      </c>
      <c r="X11" s="69"/>
    </row>
    <row r="12" customFormat="false" ht="15" hidden="true" customHeight="true" outlineLevel="0" collapsed="false">
      <c r="A12" s="159" t="s">
        <v>560</v>
      </c>
      <c r="B12" s="157" t="str">
        <f aca="false">IF($A12="","",IFERROR(VLOOKUP($A12,Skills!$A:$C,2,FALSE())&amp;" "&amp;VLOOKUP($A12,Skills!$A:$C,3,FALSE()),"Marsridge Holtgate"))</f>
        <v>Ulmith Larkvale</v>
      </c>
      <c r="C12" s="43" t="str">
        <f aca="false">IFERROR(VLOOKUP(A12,Skills!$A:$D,4,FALSE()),"")</f>
        <v>Montréal</v>
      </c>
      <c r="D12" s="153" t="s">
        <v>31</v>
      </c>
      <c r="E12" s="153" t="n">
        <v>7</v>
      </c>
      <c r="F12" s="152" t="n">
        <v>46111</v>
      </c>
      <c r="G12" s="47" t="n">
        <f aca="false">IF(F12="","",WORKDAY(F12-1,E12+IF(I12="",0,I12)))</f>
        <v>46119</v>
      </c>
      <c r="H12" s="152"/>
      <c r="I12" s="153"/>
      <c r="J12" s="43" t="n">
        <f aca="true">IF(F12="","",MIN(E12,MAX(0,NETWORKDAYS(F12,TODAY())-IF(I12="",0,I12))))</f>
        <v>7</v>
      </c>
      <c r="K12" s="43" t="n">
        <f aca="true">IF(F12="","",MAX(0,E12-(NETWORKDAYS(F12,TODAY())-IF(I12="",0,I12))))</f>
        <v>0</v>
      </c>
      <c r="L12" s="199"/>
      <c r="M12" s="200" t="n">
        <f aca="true">IFERROR(IF(OR(J12="",J12&lt;=0),"",IF(TODAY()&gt;G12,1,IF(J12-1=0,0,INDEX(OBJECTIVES!$Q$2:$Q$8,MATCH(J12-1,OBJECTIVES!$N$2:$N$8,0))))),"")</f>
        <v>1</v>
      </c>
      <c r="N12" s="200" t="str">
        <f aca="false">IF(OR(M12="",L12=""),"",L12-M12)</f>
        <v/>
      </c>
      <c r="O12" s="201" t="str">
        <f aca="false">IF($P12&lt;&gt;"",$P12,IF(N12="","",IF(N12&lt;=-0.12,"P1",IF(N12&lt;=-0.06,"P2","P3"))))</f>
        <v/>
      </c>
      <c r="P12" s="156"/>
      <c r="Q12" s="136" t="str">
        <f aca="true">IF(F12="","",IF(H12&lt;&gt;"","Terminé",IF(F12&gt;TODAY(),"À venir",IF(G12&lt;TODAY(),"Terminé","En cours"))))</f>
        <v>Terminé</v>
      </c>
      <c r="R12" s="134"/>
      <c r="S12" s="134"/>
      <c r="T12" s="134"/>
      <c r="U12" s="134"/>
      <c r="V12" s="134" t="n">
        <f aca="false">IF(Q12="Terminé",IF(AND(F12&lt;&gt;"",H12&lt;&gt;""),NETWORKDAYS(F12,H12),E12),"")</f>
        <v>7</v>
      </c>
      <c r="W12" s="202" t="str">
        <f aca="false">IF($A12="","",IF(COUNTIF(Skills!$A:$A,$A12)=0,"⚠ ID absent du roster",""))</f>
        <v/>
      </c>
      <c r="X12" s="69"/>
    </row>
    <row r="13" customFormat="false" ht="15" hidden="true" customHeight="true" outlineLevel="0" collapsed="false">
      <c r="A13" s="159" t="s">
        <v>341</v>
      </c>
      <c r="B13" s="157" t="str">
        <f aca="false">IF($A13="","",IFERROR(VLOOKUP($A13,Skills!$A:$C,2,FALSE())&amp;" "&amp;VLOOKUP($A13,Skills!$A:$C,3,FALSE()),"Marsridge Holtgate"))</f>
        <v>Ivercroft Corrmere</v>
      </c>
      <c r="C13" s="43" t="str">
        <f aca="false">IFERROR(VLOOKUP(A13,Skills!$A:$D,4,FALSE()),"")</f>
        <v>Montréal</v>
      </c>
      <c r="D13" s="153" t="s">
        <v>31</v>
      </c>
      <c r="E13" s="153" t="n">
        <v>7</v>
      </c>
      <c r="F13" s="152" t="n">
        <v>46106</v>
      </c>
      <c r="G13" s="47" t="n">
        <f aca="false">IF(F13="","",WORKDAY(F13-1,E13+IF(I13="",0,I13)))</f>
        <v>46114</v>
      </c>
      <c r="H13" s="152"/>
      <c r="I13" s="153"/>
      <c r="J13" s="43" t="n">
        <f aca="true">IF(F13="","",MIN(E13,MAX(0,NETWORKDAYS(F13,TODAY())-IF(I13="",0,I13))))</f>
        <v>7</v>
      </c>
      <c r="K13" s="43" t="n">
        <f aca="true">IF(F13="","",MAX(0,E13-(NETWORKDAYS(F13,TODAY())-IF(I13="",0,I13))))</f>
        <v>0</v>
      </c>
      <c r="L13" s="199"/>
      <c r="M13" s="200" t="n">
        <f aca="true">IFERROR(IF(OR(J13="",J13&lt;=0),"",IF(TODAY()&gt;G13,1,IF(J13-1=0,0,INDEX(OBJECTIVES!$Q$2:$Q$8,MATCH(J13-1,OBJECTIVES!$N$2:$N$8,0))))),"")</f>
        <v>1</v>
      </c>
      <c r="N13" s="200" t="str">
        <f aca="false">IF(OR(M13="",L13=""),"",L13-M13)</f>
        <v/>
      </c>
      <c r="O13" s="201" t="str">
        <f aca="false">IF($P13&lt;&gt;"",$P13,IF(N13="","",IF(N13&lt;=-0.12,"P1",IF(N13&lt;=-0.06,"P2","P3"))))</f>
        <v/>
      </c>
      <c r="P13" s="156"/>
      <c r="Q13" s="136" t="str">
        <f aca="true">IF(F13="","",IF(H13&lt;&gt;"","Terminé",IF(F13&gt;TODAY(),"À venir",IF(G13&lt;TODAY(),"Terminé","En cours"))))</f>
        <v>Terminé</v>
      </c>
      <c r="R13" s="134"/>
      <c r="S13" s="134"/>
      <c r="T13" s="134"/>
      <c r="U13" s="134"/>
      <c r="V13" s="134" t="n">
        <f aca="false">IF(Q13="Terminé",IF(AND(F13&lt;&gt;"",H13&lt;&gt;""),NETWORKDAYS(F13,H13),E13),"")</f>
        <v>7</v>
      </c>
      <c r="W13" s="202" t="str">
        <f aca="false">IF($A13="","",IF(COUNTIF(Skills!$A:$A,$A13)=0,"⚠ ID absent du roster",""))</f>
        <v/>
      </c>
      <c r="X13" s="69"/>
    </row>
    <row r="14" customFormat="false" ht="15" hidden="true" customHeight="true" outlineLevel="0" collapsed="false">
      <c r="A14" s="159" t="s">
        <v>577</v>
      </c>
      <c r="B14" s="157" t="str">
        <f aca="false">IF($A14="","",IFERROR(VLOOKUP($A14,Skills!$A:$C,2,FALSE())&amp;" "&amp;VLOOKUP($A14,Skills!$A:$C,3,FALSE()),"Marsridge Holtgate"))</f>
        <v>Faircroft Fenir</v>
      </c>
      <c r="C14" s="43" t="str">
        <f aca="false">IFERROR(VLOOKUP(A14,Skills!$A:$D,4,FALSE()),"")</f>
        <v>Montréal</v>
      </c>
      <c r="D14" s="203" t="s">
        <v>31</v>
      </c>
      <c r="E14" s="203" t="n">
        <v>7</v>
      </c>
      <c r="F14" s="152" t="n">
        <v>46106</v>
      </c>
      <c r="G14" s="204" t="n">
        <f aca="false">IF(F14="","",WORKDAY(F14-1,E14+IF(I14="",0,I14)))</f>
        <v>46114</v>
      </c>
      <c r="H14" s="152"/>
      <c r="I14" s="203"/>
      <c r="J14" s="43" t="n">
        <f aca="true">IF(F14="","",MIN(E14,MAX(0,NETWORKDAYS(F14,TODAY())-IF(I14="",0,I14))))</f>
        <v>7</v>
      </c>
      <c r="K14" s="43" t="n">
        <f aca="true">IF(F14="","",MAX(0,E14-(NETWORKDAYS(F14,TODAY())-IF(I14="",0,I14))))</f>
        <v>0</v>
      </c>
      <c r="L14" s="199"/>
      <c r="M14" s="200" t="n">
        <f aca="true">IFERROR(IF(OR(J14="",J14&lt;=0),"",IF(TODAY()&gt;G14,1,IF(J14-1=0,0,INDEX(OBJECTIVES!$Q$2:$Q$8,MATCH(J14-1,OBJECTIVES!$N$2:$N$8,0))))),"")</f>
        <v>1</v>
      </c>
      <c r="N14" s="200" t="str">
        <f aca="false">IF(OR(M14="",L14=""),"",L14-M14)</f>
        <v/>
      </c>
      <c r="O14" s="201" t="str">
        <f aca="false">IF($P14&lt;&gt;"",$P14,IF(N14="","",IF(N14&lt;=-0.12,"P1",IF(N14&lt;=-0.06,"P2","P3"))))</f>
        <v/>
      </c>
      <c r="P14" s="156"/>
      <c r="Q14" s="136" t="str">
        <f aca="true">IF(F14="","",IF(H14&lt;&gt;"","Terminé",IF(F14&gt;TODAY(),"À venir",IF(G14&lt;TODAY(),"Terminé","En cours"))))</f>
        <v>Terminé</v>
      </c>
      <c r="R14" s="134"/>
      <c r="S14" s="134"/>
      <c r="T14" s="134"/>
      <c r="U14" s="134"/>
      <c r="V14" s="134" t="n">
        <f aca="false">IF(Q14="Terminé",IF(AND(F14&lt;&gt;"",H14&lt;&gt;""),NETWORKDAYS(F14,H14),E14),"")</f>
        <v>7</v>
      </c>
      <c r="W14" s="202" t="str">
        <f aca="false">IF($A14="","",IF(COUNTIF(Skills!$A:$A,$A14)=0,"⚠ ID absent du roster",""))</f>
        <v/>
      </c>
      <c r="X14" s="69"/>
    </row>
    <row r="15" customFormat="false" ht="15" hidden="false" customHeight="true" outlineLevel="0" collapsed="false">
      <c r="A15" s="159" t="s">
        <v>580</v>
      </c>
      <c r="B15" s="157" t="str">
        <f aca="false">IF($A15="","",IFERROR(VLOOKUP($A15,Skills!$A:$C,2,FALSE())&amp;" "&amp;VLOOKUP($A15,Skills!$A:$C,3,FALSE()),"Marsridge Holtgate"))</f>
        <v>Kelen Toric</v>
      </c>
      <c r="C15" s="184" t="str">
        <f aca="false">IFERROR(VLOOKUP(A15,Skills!$A:$D,4,FALSE()),"")</f>
        <v>Montréal</v>
      </c>
      <c r="D15" s="129" t="s">
        <v>31</v>
      </c>
      <c r="E15" s="129" t="n">
        <v>6</v>
      </c>
      <c r="F15" s="205" t="n">
        <v>46174</v>
      </c>
      <c r="G15" s="191" t="n">
        <f aca="false">IF(F15="","",WORKDAY(F15-1,E15+IF(I15="",0,I15)))</f>
        <v>46181</v>
      </c>
      <c r="H15" s="205"/>
      <c r="I15" s="129"/>
      <c r="J15" s="161" t="n">
        <f aca="true">IF(F15="","",MIN(E15,MAX(0,NETWORKDAYS(F15,TODAY())-IF(I15="",0,I15))))</f>
        <v>6</v>
      </c>
      <c r="K15" s="43" t="n">
        <f aca="true">IF(F15="","",MAX(0,E15-(NETWORKDAYS(F15,TODAY())-IF(I15="",0,I15))))</f>
        <v>0</v>
      </c>
      <c r="L15" s="199" t="n">
        <v>0.75</v>
      </c>
      <c r="M15" s="200" t="n">
        <f aca="true">IFERROR(IF(OR(J15="",J15&lt;=0),"",IF(TODAY()&gt;G15,1,IF(J15-1=0,0,INDEX(OBJECTIVES!$Q$2:$Q$8,MATCH(J15-1,OBJECTIVES!$N$2:$N$8,0))))),"")</f>
        <v>1</v>
      </c>
      <c r="N15" s="200" t="n">
        <f aca="false">IF(OR(M15="",L15=""),"",L15-M15)</f>
        <v>-0.25</v>
      </c>
      <c r="O15" s="201" t="str">
        <f aca="false">IF($P15&lt;&gt;"",$P15,IF(N15="","",IF(N15&lt;=-0.12,"P1",IF(N15&lt;=-0.06,"P2","P3"))))</f>
        <v>P1</v>
      </c>
      <c r="P15" s="171" t="s">
        <v>698</v>
      </c>
      <c r="Q15" s="136" t="s">
        <v>57</v>
      </c>
      <c r="R15" s="135" t="s">
        <v>99</v>
      </c>
      <c r="S15" s="134"/>
      <c r="T15" s="134"/>
      <c r="U15" s="134" t="s">
        <v>786</v>
      </c>
      <c r="V15" s="134" t="str">
        <f aca="false">IF(Q15="Terminé",IF(AND(F15&lt;&gt;"",H15&lt;&gt;""),NETWORKDAYS(F15,H15),E15),"")</f>
        <v/>
      </c>
      <c r="W15" s="202" t="str">
        <f aca="false">IF($A15="","",IF(COUNTIF(Skills!$A:$A,$A15)=0,"⚠ ID absent du roster",""))</f>
        <v/>
      </c>
      <c r="X15" s="69" t="n">
        <v>1</v>
      </c>
    </row>
    <row r="16" customFormat="false" ht="15" hidden="false" customHeight="true" outlineLevel="0" collapsed="false">
      <c r="A16" s="159" t="s">
        <v>177</v>
      </c>
      <c r="B16" s="157" t="str">
        <f aca="false">IF($A16="","",IFERROR(VLOOKUP($A16,Skills!$A:$C,2,FALSE())&amp;" "&amp;VLOOKUP($A16,Skills!$A:$C,3,FALSE()),"Marsridge Holtgate"))</f>
        <v>Kendfield Moran Lumith</v>
      </c>
      <c r="C16" s="184" t="str">
        <f aca="false">IFERROR(VLOOKUP(A16,Skills!$A:$D,4,FALSE()),"")</f>
        <v>Montréal</v>
      </c>
      <c r="D16" s="129" t="s">
        <v>31</v>
      </c>
      <c r="E16" s="129" t="n">
        <v>6</v>
      </c>
      <c r="F16" s="205" t="n">
        <v>46174</v>
      </c>
      <c r="G16" s="191" t="n">
        <f aca="false">IF(F16="","",WORKDAY(F16-1,E16+IF(I16="",0,I16)))</f>
        <v>46181</v>
      </c>
      <c r="H16" s="205" t="n">
        <v>46188</v>
      </c>
      <c r="I16" s="129"/>
      <c r="J16" s="161" t="n">
        <f aca="true">IF(F16="","",MIN(E16,MAX(0,NETWORKDAYS(F16,TODAY())-IF(I16="",0,I16))))</f>
        <v>6</v>
      </c>
      <c r="K16" s="43" t="n">
        <f aca="true">IF(F16="","",MAX(0,E16-(NETWORKDAYS(F16,TODAY())-IF(I16="",0,I16))))</f>
        <v>0</v>
      </c>
      <c r="L16" s="199" t="n">
        <v>1</v>
      </c>
      <c r="M16" s="200" t="n">
        <f aca="true">IFERROR(IF(OR(J16="",J16&lt;=0),"",IF(TODAY()&gt;G16,1,IF(J16-1=0,0,INDEX(OBJECTIVES!$Q$2:$Q$8,MATCH(J16-1,OBJECTIVES!$N$2:$N$8,0))))),"")</f>
        <v>1</v>
      </c>
      <c r="N16" s="200" t="n">
        <f aca="false">IF(OR(M16="",L16=""),"",L16-M16)</f>
        <v>0</v>
      </c>
      <c r="O16" s="201" t="str">
        <f aca="false">IF($P16&lt;&gt;"",$P16,IF(N16="","",IF(N16&lt;=-0.12,"P1",IF(N16&lt;=-0.06,"P2","P3"))))</f>
        <v>P1</v>
      </c>
      <c r="P16" s="171" t="s">
        <v>698</v>
      </c>
      <c r="Q16" s="136" t="s">
        <v>699</v>
      </c>
      <c r="R16" s="135" t="s">
        <v>99</v>
      </c>
      <c r="S16" s="135" t="s">
        <v>787</v>
      </c>
      <c r="T16" s="135" t="s">
        <v>788</v>
      </c>
      <c r="U16" s="134"/>
      <c r="V16" s="134" t="n">
        <f aca="false">IF(Q16="Terminé",IF(AND(F16&lt;&gt;"",H16&lt;&gt;""),NETWORKDAYS(F16,H16),E16),"")</f>
        <v>11</v>
      </c>
      <c r="W16" s="202" t="str">
        <f aca="false">IF($A16="","",IF(COUNTIF(Skills!$A:$A,$A16)=0,"⚠ ID absent du roster",""))</f>
        <v/>
      </c>
      <c r="X16" s="69" t="n">
        <v>1</v>
      </c>
    </row>
    <row r="17" customFormat="false" ht="15" hidden="false" customHeight="true" outlineLevel="0" collapsed="false">
      <c r="A17" s="159" t="s">
        <v>335</v>
      </c>
      <c r="B17" s="157" t="str">
        <f aca="false">IF($A17="","",IFERROR(VLOOKUP($A17,Skills!$A:$C,2,FALSE())&amp;" "&amp;VLOOKUP($A17,Skills!$A:$C,3,FALSE()),"Marsridge Holtgate"))</f>
        <v>Quillhaven Larkworth</v>
      </c>
      <c r="C17" s="184" t="str">
        <f aca="false">IFERROR(VLOOKUP(A17,Skills!$A:$D,4,FALSE()),"")</f>
        <v>Montréal</v>
      </c>
      <c r="D17" s="129" t="s">
        <v>31</v>
      </c>
      <c r="E17" s="129" t="n">
        <v>6</v>
      </c>
      <c r="F17" s="205" t="n">
        <v>46174</v>
      </c>
      <c r="G17" s="191" t="n">
        <f aca="false">IF(F17="","",WORKDAY(F17-1,E17+IF(I17="",0,I17)))</f>
        <v>46181</v>
      </c>
      <c r="H17" s="205" t="n">
        <v>46185</v>
      </c>
      <c r="I17" s="129"/>
      <c r="J17" s="161" t="n">
        <f aca="true">IF(F17="","",MIN(E17,MAX(0,NETWORKDAYS(F17,TODAY())-IF(I17="",0,I17))))</f>
        <v>6</v>
      </c>
      <c r="K17" s="43" t="n">
        <f aca="true">IF(F17="","",MAX(0,E17-(NETWORKDAYS(F17,TODAY())-IF(I17="",0,I17))))</f>
        <v>0</v>
      </c>
      <c r="L17" s="199" t="n">
        <v>1</v>
      </c>
      <c r="M17" s="200" t="n">
        <f aca="true">IFERROR(IF(OR(J17="",J17&lt;=0),"",IF(TODAY()&gt;G17,1,IF(J17-1=0,0,INDEX(OBJECTIVES!$Q$2:$Q$8,MATCH(J17-1,OBJECTIVES!$N$2:$N$8,0))))),"")</f>
        <v>1</v>
      </c>
      <c r="N17" s="200" t="n">
        <f aca="false">IF(OR(M17="",L17=""),"",L17-M17)</f>
        <v>0</v>
      </c>
      <c r="O17" s="201" t="str">
        <f aca="false">IF($P17&lt;&gt;"",$P17,IF(N17="","",IF(N17&lt;=-0.12,"P1",IF(N17&lt;=-0.06,"P2","P3"))))</f>
        <v>P1</v>
      </c>
      <c r="P17" s="171" t="s">
        <v>698</v>
      </c>
      <c r="Q17" s="136" t="s">
        <v>699</v>
      </c>
      <c r="R17" s="135" t="s">
        <v>99</v>
      </c>
      <c r="S17" s="135" t="s">
        <v>787</v>
      </c>
      <c r="T17" s="135" t="s">
        <v>789</v>
      </c>
      <c r="U17" s="134"/>
      <c r="V17" s="134" t="n">
        <f aca="false">IF(Q17="Terminé",IF(AND(F17&lt;&gt;"",H17&lt;&gt;""),NETWORKDAYS(F17,H17),E17),"")</f>
        <v>10</v>
      </c>
      <c r="W17" s="202" t="str">
        <f aca="false">IF($A17="","",IF(COUNTIF(Skills!$A:$A,$A17)=0,"⚠ ID absent du roster",""))</f>
        <v/>
      </c>
      <c r="X17" s="69"/>
    </row>
    <row r="18" customFormat="false" ht="15" hidden="false" customHeight="true" outlineLevel="0" collapsed="false">
      <c r="A18" s="159" t="s">
        <v>259</v>
      </c>
      <c r="B18" s="157" t="str">
        <f aca="false">IF($A18="","",IFERROR(VLOOKUP($A18,Skills!$A:$C,2,FALSE())&amp;" "&amp;VLOOKUP($A18,Skills!$A:$C,3,FALSE()),"Marsridge Holtgate"))</f>
        <v>Fenus Yoror</v>
      </c>
      <c r="C18" s="184" t="str">
        <f aca="false">IFERROR(VLOOKUP(A18,Skills!$A:$D,4,FALSE()),"")</f>
        <v>Montréal</v>
      </c>
      <c r="D18" s="129" t="s">
        <v>31</v>
      </c>
      <c r="E18" s="129" t="n">
        <v>6</v>
      </c>
      <c r="F18" s="205" t="n">
        <v>46174</v>
      </c>
      <c r="G18" s="191" t="n">
        <f aca="false">IF(F18="","",WORKDAY(F18-1,E18+IF(I18="",0,I18)))</f>
        <v>46181</v>
      </c>
      <c r="H18" s="205" t="n">
        <v>46189</v>
      </c>
      <c r="I18" s="129"/>
      <c r="J18" s="161" t="n">
        <f aca="true">IF(F18="","",MIN(E18,MAX(0,NETWORKDAYS(F18,TODAY())-IF(I18="",0,I18))))</f>
        <v>6</v>
      </c>
      <c r="K18" s="43" t="n">
        <f aca="true">IF(F18="","",MAX(0,E18-(NETWORKDAYS(F18,TODAY())-IF(I18="",0,I18))))</f>
        <v>0</v>
      </c>
      <c r="L18" s="199" t="n">
        <v>1</v>
      </c>
      <c r="M18" s="200" t="n">
        <f aca="true">IFERROR(IF(OR(J18="",J18&lt;=0),"",IF(TODAY()&gt;G18,1,IF(J18-1=0,0,INDEX(OBJECTIVES!$Q$2:$Q$8,MATCH(J18-1,OBJECTIVES!$N$2:$N$8,0))))),"")</f>
        <v>1</v>
      </c>
      <c r="N18" s="200" t="n">
        <f aca="false">IF(OR(M18="",L18=""),"",L18-M18)</f>
        <v>0</v>
      </c>
      <c r="O18" s="201" t="str">
        <f aca="false">IF($P18&lt;&gt;"",$P18,IF(N18="","",IF(N18&lt;=-0.12,"P1",IF(N18&lt;=-0.06,"P2","P3"))))</f>
        <v>P1</v>
      </c>
      <c r="P18" s="171" t="s">
        <v>698</v>
      </c>
      <c r="Q18" s="136" t="s">
        <v>699</v>
      </c>
      <c r="R18" s="135" t="s">
        <v>99</v>
      </c>
      <c r="S18" s="135" t="s">
        <v>787</v>
      </c>
      <c r="T18" s="135" t="s">
        <v>790</v>
      </c>
      <c r="U18" s="134"/>
      <c r="V18" s="134" t="n">
        <f aca="false">IF(Q18="Terminé",IF(AND(F18&lt;&gt;"",H18&lt;&gt;""),NETWORKDAYS(F18,H18),E18),"")</f>
        <v>12</v>
      </c>
      <c r="W18" s="202" t="str">
        <f aca="false">IF($A18="","",IF(COUNTIF(Skills!$A:$A,$A18)=0,"⚠ ID absent du roster",""))</f>
        <v/>
      </c>
      <c r="X18" s="69"/>
    </row>
    <row r="19" customFormat="false" ht="15" hidden="false" customHeight="true" outlineLevel="0" collapsed="false">
      <c r="A19" s="159" t="s">
        <v>359</v>
      </c>
      <c r="B19" s="157" t="str">
        <f aca="false">IF($A19="","",IFERROR(VLOOKUP($A19,Skills!$A:$C,2,FALSE())&amp;" "&amp;VLOOKUP($A19,Skills!$A:$C,3,FALSE()),"Marsridge Holtgate"))</f>
        <v>Jorus Marsgate</v>
      </c>
      <c r="C19" s="184" t="str">
        <f aca="false">IFERROR(VLOOKUP(A19,Skills!$A:$D,4,FALSE()),"")</f>
        <v>Montréal</v>
      </c>
      <c r="D19" s="129" t="s">
        <v>31</v>
      </c>
      <c r="E19" s="129" t="n">
        <v>6</v>
      </c>
      <c r="F19" s="205" t="n">
        <v>46174</v>
      </c>
      <c r="G19" s="191" t="n">
        <f aca="false">IF(F19="","",WORKDAY(F19-1,E19+IF(I19="",0,I19)))</f>
        <v>46181</v>
      </c>
      <c r="H19" s="205" t="n">
        <v>46185</v>
      </c>
      <c r="I19" s="129"/>
      <c r="J19" s="161" t="n">
        <f aca="true">IF(F19="","",MIN(E19,MAX(0,NETWORKDAYS(F19,TODAY())-IF(I19="",0,I19))))</f>
        <v>6</v>
      </c>
      <c r="K19" s="43" t="n">
        <f aca="true">IF(F19="","",MAX(0,E19-(NETWORKDAYS(F19,TODAY())-IF(I19="",0,I19))))</f>
        <v>0</v>
      </c>
      <c r="L19" s="199" t="n">
        <v>1</v>
      </c>
      <c r="M19" s="200" t="n">
        <f aca="true">IFERROR(IF(OR(J19="",J19&lt;=0),"",IF(TODAY()&gt;G19,1,IF(J19-1=0,0,INDEX(OBJECTIVES!$Q$2:$Q$8,MATCH(J19-1,OBJECTIVES!$N$2:$N$8,0))))),"")</f>
        <v>1</v>
      </c>
      <c r="N19" s="200" t="n">
        <f aca="false">IF(OR(M19="",L19=""),"",L19-M19)</f>
        <v>0</v>
      </c>
      <c r="O19" s="201" t="str">
        <f aca="false">IF($P19&lt;&gt;"",$P19,IF(N19="","",IF(N19&lt;=-0.12,"P1",IF(N19&lt;=-0.06,"P2","P3"))))</f>
        <v>P1</v>
      </c>
      <c r="P19" s="171" t="s">
        <v>698</v>
      </c>
      <c r="Q19" s="136" t="s">
        <v>699</v>
      </c>
      <c r="R19" s="135" t="s">
        <v>99</v>
      </c>
      <c r="S19" s="135" t="s">
        <v>787</v>
      </c>
      <c r="T19" s="135" t="s">
        <v>789</v>
      </c>
      <c r="U19" s="134"/>
      <c r="V19" s="134" t="n">
        <f aca="false">IF(Q19="Terminé",IF(AND(F19&lt;&gt;"",H19&lt;&gt;""),NETWORKDAYS(F19,H19),E19),"")</f>
        <v>10</v>
      </c>
      <c r="W19" s="202" t="str">
        <f aca="false">IF($A19="","",IF(COUNTIF(Skills!$A:$A,$A19)=0,"⚠ ID absent du roster",""))</f>
        <v/>
      </c>
      <c r="X19" s="69"/>
    </row>
    <row r="20" customFormat="false" ht="15" hidden="false" customHeight="true" outlineLevel="0" collapsed="false">
      <c r="A20" s="159" t="s">
        <v>347</v>
      </c>
      <c r="B20" s="157" t="str">
        <f aca="false">IF($A20="","",IFERROR(VLOOKUP($A20,Skills!$A:$C,2,FALSE())&amp;" "&amp;VLOOKUP($A20,Skills!$A:$C,3,FALSE()),"Marsridge Holtgate"))</f>
        <v>Fairmere Stelhaven</v>
      </c>
      <c r="C20" s="184" t="str">
        <f aca="false">IFERROR(VLOOKUP(A20,Skills!$A:$D,4,FALSE()),"")</f>
        <v>Montréal</v>
      </c>
      <c r="D20" s="129" t="s">
        <v>31</v>
      </c>
      <c r="E20" s="129" t="n">
        <v>6</v>
      </c>
      <c r="F20" s="205" t="n">
        <v>46174</v>
      </c>
      <c r="G20" s="191" t="n">
        <f aca="false">IF(F20="","",WORKDAY(F20-1,E20+IF(I20="",0,I20)))</f>
        <v>46181</v>
      </c>
      <c r="H20" s="205" t="n">
        <v>46188</v>
      </c>
      <c r="I20" s="129"/>
      <c r="J20" s="161" t="n">
        <f aca="true">IF(F20="","",MIN(E20,MAX(0,NETWORKDAYS(F20,TODAY())-IF(I20="",0,I20))))</f>
        <v>6</v>
      </c>
      <c r="K20" s="43" t="n">
        <f aca="true">IF(F20="","",MAX(0,E20-(NETWORKDAYS(F20,TODAY())-IF(I20="",0,I20))))</f>
        <v>0</v>
      </c>
      <c r="L20" s="199" t="n">
        <v>1</v>
      </c>
      <c r="M20" s="200" t="n">
        <f aca="true">IFERROR(IF(OR(J20="",J20&lt;=0),"",IF(TODAY()&gt;G20,1,IF(J20-1=0,0,INDEX(OBJECTIVES!$Q$2:$Q$8,MATCH(J20-1,OBJECTIVES!$N$2:$N$8,0))))),"")</f>
        <v>1</v>
      </c>
      <c r="N20" s="200" t="n">
        <f aca="false">IF(OR(M20="",L20=""),"",L20-M20)</f>
        <v>0</v>
      </c>
      <c r="O20" s="201" t="str">
        <f aca="false">IF($P20&lt;&gt;"",$P20,IF(N20="","",IF(N20&lt;=-0.12,"P1",IF(N20&lt;=-0.06,"P2","P3"))))</f>
        <v>P1</v>
      </c>
      <c r="P20" s="171" t="s">
        <v>698</v>
      </c>
      <c r="Q20" s="136" t="s">
        <v>699</v>
      </c>
      <c r="R20" s="135" t="s">
        <v>99</v>
      </c>
      <c r="S20" s="135" t="s">
        <v>787</v>
      </c>
      <c r="T20" s="135" t="s">
        <v>788</v>
      </c>
      <c r="U20" s="134"/>
      <c r="V20" s="134" t="n">
        <f aca="false">IF(Q20="Terminé",IF(AND(F20&lt;&gt;"",H20&lt;&gt;""),NETWORKDAYS(F20,H20),E20),"")</f>
        <v>11</v>
      </c>
      <c r="W20" s="202" t="str">
        <f aca="false">IF($A20="","",IF(COUNTIF(Skills!$A:$A,$A20)=0,"⚠ ID absent du roster",""))</f>
        <v/>
      </c>
      <c r="X20" s="69"/>
    </row>
    <row r="21" customFormat="false" ht="15" hidden="false" customHeight="true" outlineLevel="0" collapsed="false">
      <c r="A21" s="159" t="s">
        <v>314</v>
      </c>
      <c r="B21" s="157" t="str">
        <f aca="false">IF($A21="","",IFERROR(VLOOKUP($A21,Skills!$A:$C,2,FALSE())&amp;" "&amp;VLOOKUP($A21,Skills!$A:$C,3,FALSE()),"Marsridge Holtgate"))</f>
        <v>Yoren Selon</v>
      </c>
      <c r="C21" s="184" t="str">
        <f aca="false">IFERROR(VLOOKUP(A21,Skills!$A:$D,4,FALSE()),"")</f>
        <v>Montréal</v>
      </c>
      <c r="D21" s="129" t="s">
        <v>31</v>
      </c>
      <c r="E21" s="129" t="n">
        <v>6</v>
      </c>
      <c r="F21" s="205" t="n">
        <v>46182</v>
      </c>
      <c r="G21" s="191" t="n">
        <f aca="false">IF(F21="","",WORKDAY(F21-1,E21+IF(I21="",0,I21)))</f>
        <v>46189</v>
      </c>
      <c r="H21" s="205"/>
      <c r="I21" s="129"/>
      <c r="J21" s="161" t="n">
        <f aca="true">IF(F21="","",MIN(E21,MAX(0,NETWORKDAYS(F21,TODAY())-IF(I21="",0,I21))))</f>
        <v>6</v>
      </c>
      <c r="K21" s="43" t="n">
        <f aca="true">IF(F21="","",MAX(0,E21-(NETWORKDAYS(F21,TODAY())-IF(I21="",0,I21))))</f>
        <v>0</v>
      </c>
      <c r="L21" s="199" t="n">
        <v>1</v>
      </c>
      <c r="M21" s="200" t="n">
        <f aca="true">IFERROR(IF(OR(J21="",J21&lt;=0),"",IF(TODAY()&gt;G21,1,IF(J21-1=0,0,INDEX(OBJECTIVES!$Q$2:$Q$8,MATCH(J21-1,OBJECTIVES!$N$2:$N$8,0))))),"")</f>
        <v>1</v>
      </c>
      <c r="N21" s="200" t="n">
        <f aca="false">IF(OR(M21="",L21=""),"",L21-M21)</f>
        <v>0</v>
      </c>
      <c r="O21" s="201" t="str">
        <f aca="false">IF($P21&lt;&gt;"",$P21,IF(N21="","",IF(N21&lt;=-0.12,"P1",IF(N21&lt;=-0.06,"P2","P3"))))</f>
        <v>P3</v>
      </c>
      <c r="P21" s="171" t="s">
        <v>710</v>
      </c>
      <c r="Q21" s="136" t="str">
        <f aca="true">IF(F21="","",IF(H21&lt;&gt;"","Terminé",IF(F21&gt;TODAY(),"À venir",IF(G21&lt;TODAY(),"Terminé","En cours"))))</f>
        <v>Terminé</v>
      </c>
      <c r="R21" s="135"/>
      <c r="S21" s="135"/>
      <c r="T21" s="120" t="s">
        <v>791</v>
      </c>
      <c r="U21" s="206" t="s">
        <v>792</v>
      </c>
      <c r="V21" s="134" t="n">
        <f aca="false">IF(Q21="Terminé",IF(AND(F21&lt;&gt;"",H21&lt;&gt;""),NETWORKDAYS(F21,H21),E21),"")</f>
        <v>6</v>
      </c>
      <c r="W21" s="202" t="str">
        <f aca="false">IF($A21="","",IF(COUNTIF(Skills!$A:$A,$A21)=0,"⚠ ID absent du roster",""))</f>
        <v/>
      </c>
      <c r="X21" s="69"/>
    </row>
    <row r="22" customFormat="false" ht="15" hidden="false" customHeight="true" outlineLevel="0" collapsed="false">
      <c r="A22" s="159" t="s">
        <v>494</v>
      </c>
      <c r="B22" s="157" t="str">
        <f aca="false">IF($A22="","",IFERROR(VLOOKUP($A22,Skills!$A:$C,2,FALSE())&amp;" "&amp;VLOOKUP($A22,Skills!$A:$C,3,FALSE()),"Marsridge Holtgate"))</f>
        <v>Everworth Voran</v>
      </c>
      <c r="C22" s="184" t="str">
        <f aca="false">IFERROR(VLOOKUP(A22,Skills!$A:$D,4,FALSE()),"")</f>
        <v>Montréal</v>
      </c>
      <c r="D22" s="129" t="s">
        <v>31</v>
      </c>
      <c r="E22" s="129" t="n">
        <v>6</v>
      </c>
      <c r="F22" s="205" t="n">
        <v>46182</v>
      </c>
      <c r="G22" s="191" t="n">
        <f aca="false">IF(F22="","",WORKDAY(F22-1,E22+IF(I22="",0,I22)))</f>
        <v>46189</v>
      </c>
      <c r="H22" s="205"/>
      <c r="I22" s="129"/>
      <c r="J22" s="161" t="n">
        <f aca="true">IF(F22="","",MIN(E22,MAX(0,NETWORKDAYS(F22,TODAY())-IF(I22="",0,I22))))</f>
        <v>6</v>
      </c>
      <c r="K22" s="43" t="n">
        <f aca="true">IF(F22="","",MAX(0,E22-(NETWORKDAYS(F22,TODAY())-IF(I22="",0,I22))))</f>
        <v>0</v>
      </c>
      <c r="L22" s="199" t="n">
        <v>0.76</v>
      </c>
      <c r="M22" s="200" t="n">
        <f aca="true">IFERROR(IF(OR(J22="",J22&lt;=0),"",IF(TODAY()&gt;G22,1,IF(J22-1=0,0,INDEX(OBJECTIVES!$Q$2:$Q$8,MATCH(J22-1,OBJECTIVES!$N$2:$N$8,0))))),"")</f>
        <v>1</v>
      </c>
      <c r="N22" s="200" t="n">
        <f aca="false">IF(OR(M22="",L22=""),"",L22-M22)</f>
        <v>-0.24</v>
      </c>
      <c r="O22" s="201" t="str">
        <f aca="false">IF($P22&lt;&gt;"",$P22,IF(N22="","",IF(N22&lt;=-0.12,"P1",IF(N22&lt;=-0.06,"P2","P3"))))</f>
        <v>P3</v>
      </c>
      <c r="P22" s="171" t="s">
        <v>710</v>
      </c>
      <c r="Q22" s="136" t="str">
        <f aca="true">IF(F22="","",IF(H22&lt;&gt;"","Terminé",IF(F22&gt;TODAY(),"À venir",IF(G22&lt;TODAY(),"Terminé","En cours"))))</f>
        <v>Terminé</v>
      </c>
      <c r="R22" s="134"/>
      <c r="S22" s="134"/>
      <c r="T22" s="134"/>
      <c r="U22" s="206" t="s">
        <v>793</v>
      </c>
      <c r="V22" s="134" t="n">
        <f aca="false">IF(Q22="Terminé",IF(AND(F22&lt;&gt;"",H22&lt;&gt;""),NETWORKDAYS(F22,H22),E22),"")</f>
        <v>6</v>
      </c>
      <c r="W22" s="202" t="str">
        <f aca="false">IF($A22="","",IF(COUNTIF(Skills!$A:$A,$A22)=0,"⚠ ID absent du roster",""))</f>
        <v/>
      </c>
      <c r="X22" s="69"/>
    </row>
    <row r="23" customFormat="false" ht="15" hidden="false" customHeight="true" outlineLevel="0" collapsed="false">
      <c r="A23" s="159" t="s">
        <v>229</v>
      </c>
      <c r="B23" s="157" t="str">
        <f aca="false">IF($A23="","",IFERROR(VLOOKUP($A23,Skills!$A:$C,2,FALSE())&amp;" "&amp;VLOOKUP($A23,Skills!$A:$C,3,FALSE()),"Marsridge Holtgate"))</f>
        <v>Selan Dellgate</v>
      </c>
      <c r="C23" s="184" t="str">
        <f aca="false">IFERROR(VLOOKUP(A23,Skills!$A:$D,4,FALSE()),"")</f>
        <v>Montréal</v>
      </c>
      <c r="D23" s="129" t="s">
        <v>31</v>
      </c>
      <c r="E23" s="129" t="n">
        <v>6</v>
      </c>
      <c r="F23" s="205" t="n">
        <v>46182</v>
      </c>
      <c r="G23" s="191" t="n">
        <f aca="false">IF(F23="","",WORKDAY(F23-1,E23+IF(I23="",0,I23)))</f>
        <v>46189</v>
      </c>
      <c r="H23" s="205"/>
      <c r="I23" s="129"/>
      <c r="J23" s="161" t="n">
        <f aca="true">IF(F23="","",MIN(E23,MAX(0,NETWORKDAYS(F23,TODAY())-IF(I23="",0,I23))))</f>
        <v>6</v>
      </c>
      <c r="K23" s="43" t="n">
        <f aca="true">IF(F23="","",MAX(0,E23-(NETWORKDAYS(F23,TODAY())-IF(I23="",0,I23))))</f>
        <v>0</v>
      </c>
      <c r="L23" s="199" t="n">
        <v>0.97</v>
      </c>
      <c r="M23" s="200" t="n">
        <f aca="true">IFERROR(IF(OR(J23="",J23&lt;=0),"",IF(TODAY()&gt;G23,1,IF(J23-1=0,0,INDEX(OBJECTIVES!$Q$2:$Q$8,MATCH(J23-1,OBJECTIVES!$N$2:$N$8,0))))),"")</f>
        <v>1</v>
      </c>
      <c r="N23" s="200" t="n">
        <f aca="false">IF(OR(M23="",L23=""),"",L23-M23)</f>
        <v>-0.03</v>
      </c>
      <c r="O23" s="201" t="str">
        <f aca="false">IF($P23&lt;&gt;"",$P23,IF(N23="","",IF(N23&lt;=-0.12,"P1",IF(N23&lt;=-0.06,"P2","P3"))))</f>
        <v>P1</v>
      </c>
      <c r="P23" s="171" t="s">
        <v>698</v>
      </c>
      <c r="Q23" s="136" t="str">
        <f aca="true">IF(F23="","",IF(H23&lt;&gt;"","Terminé",IF(F23&gt;TODAY(),"À venir",IF(G23&lt;TODAY(),"Terminé","En cours"))))</f>
        <v>Terminé</v>
      </c>
      <c r="R23" s="134"/>
      <c r="S23" s="134"/>
      <c r="T23" s="134"/>
      <c r="U23" s="206" t="s">
        <v>794</v>
      </c>
      <c r="V23" s="134" t="n">
        <f aca="false">IF(Q23="Terminé",IF(AND(F23&lt;&gt;"",H23&lt;&gt;""),NETWORKDAYS(F23,H23),E23),"")</f>
        <v>6</v>
      </c>
      <c r="W23" s="202" t="str">
        <f aca="false">IF($A23="","",IF(COUNTIF(Skills!$A:$A,$A23)=0,"⚠ ID absent du roster",""))</f>
        <v/>
      </c>
      <c r="X23" s="69"/>
    </row>
    <row r="24" customFormat="false" ht="15" hidden="true" customHeight="true" outlineLevel="0" collapsed="false">
      <c r="A24" s="159" t="s">
        <v>518</v>
      </c>
      <c r="B24" s="157" t="str">
        <f aca="false">IF($A24="","",IFERROR(VLOOKUP($A24,Skills!$A:$C,2,FALSE())&amp;" "&amp;VLOOKUP($A24,Skills!$A:$C,3,FALSE()),"Marsridge Holtgate"))</f>
        <v>Kelus Corrworth</v>
      </c>
      <c r="C24" s="43" t="str">
        <f aca="false">IFERROR(VLOOKUP(A24,Skills!$A:$D,4,FALSE()),"")</f>
        <v>Montréal</v>
      </c>
      <c r="D24" s="207" t="s">
        <v>31</v>
      </c>
      <c r="E24" s="207" t="n">
        <v>7</v>
      </c>
      <c r="F24" s="152" t="n">
        <v>45819</v>
      </c>
      <c r="G24" s="208" t="n">
        <f aca="false">IF(F24="","",WORKDAY(F24-1,E24+IF(I24="",0,I24)))</f>
        <v>45827</v>
      </c>
      <c r="H24" s="152"/>
      <c r="I24" s="207"/>
      <c r="J24" s="43" t="n">
        <f aca="true">IF(F24="","",MIN(E24,MAX(0,NETWORKDAYS(F24,TODAY())-IF(I24="",0,I24))))</f>
        <v>7</v>
      </c>
      <c r="K24" s="43" t="n">
        <f aca="true">IF(F24="","",MAX(0,E24-(NETWORKDAYS(F24,TODAY())-IF(I24="",0,I24))))</f>
        <v>0</v>
      </c>
      <c r="L24" s="199" t="n">
        <v>1</v>
      </c>
      <c r="M24" s="200" t="n">
        <f aca="true">IFERROR(IF(OR(J24="",J24&lt;=0),"",IF(TODAY()&gt;G24,1,IF(J24-1=0,0,INDEX(OBJECTIVES!$Q$2:$Q$8,MATCH(J24-1,OBJECTIVES!$N$2:$N$8,0))))),"")</f>
        <v>1</v>
      </c>
      <c r="N24" s="200" t="n">
        <f aca="false">IF(OR(M24="",L24=""),"",L24-M24)</f>
        <v>0</v>
      </c>
      <c r="O24" s="201" t="str">
        <f aca="false">IF($P24&lt;&gt;"",$P24,IF(N24="","",IF(N24&lt;=-0.12,"P1",IF(N24&lt;=-0.06,"P2","P3"))))</f>
        <v>P3</v>
      </c>
      <c r="P24" s="156"/>
      <c r="Q24" s="136" t="str">
        <f aca="true">IF(F24="","",IF(H24&lt;&gt;"","Terminé",IF(F24&gt;TODAY(),"À venir",IF(G24&lt;TODAY(),"Terminé","En cours"))))</f>
        <v>Terminé</v>
      </c>
      <c r="R24" s="134"/>
      <c r="S24" s="134"/>
      <c r="T24" s="134"/>
      <c r="U24" s="134"/>
      <c r="V24" s="134" t="n">
        <f aca="false">IF(Q24="Terminé",IF(AND(F24&lt;&gt;"",H24&lt;&gt;""),NETWORKDAYS(F24,H24),E24),"")</f>
        <v>7</v>
      </c>
      <c r="W24" s="202" t="str">
        <f aca="false">IF($A24="","",IF(COUNTIF(Skills!$A:$A,$A24)=0,"⚠ ID absent du roster",""))</f>
        <v/>
      </c>
      <c r="X24" s="69"/>
    </row>
    <row r="25" customFormat="false" ht="15" hidden="false" customHeight="true" outlineLevel="0" collapsed="false">
      <c r="A25" s="159" t="s">
        <v>711</v>
      </c>
      <c r="B25" s="157" t="str">
        <f aca="false">IF($A25="","",IFERROR(VLOOKUP($A25,Skills!$A:$C,2,FALSE())&amp;" "&amp;VLOOKUP($A25,Skills!$A:$C,3,FALSE()),"Marsridge Holtgate"))</f>
        <v>Weson Pykefield</v>
      </c>
      <c r="C25" s="184" t="str">
        <f aca="false">IFERROR(VLOOKUP(A25,Skills!$A:$D,4,FALSE()),"")</f>
        <v>Montréal</v>
      </c>
      <c r="D25" s="129" t="s">
        <v>31</v>
      </c>
      <c r="E25" s="129" t="n">
        <v>6</v>
      </c>
      <c r="F25" s="205"/>
      <c r="G25" s="191" t="str">
        <f aca="false">IF(F25="","",WORKDAY(F25-1,E25+IF(I25="",0,I25)))</f>
        <v/>
      </c>
      <c r="H25" s="205"/>
      <c r="I25" s="129"/>
      <c r="J25" s="161" t="str">
        <f aca="true">IF(F25="","",MIN(E25,MAX(0,NETWORKDAYS(F25,TODAY())-IF(I25="",0,I25))))</f>
        <v/>
      </c>
      <c r="K25" s="43" t="str">
        <f aca="true">IF(F25="","",MAX(0,E25-(NETWORKDAYS(F25,TODAY())-IF(I25="",0,I25))))</f>
        <v/>
      </c>
      <c r="L25" s="199"/>
      <c r="M25" s="200" t="str">
        <f aca="true">IFERROR(IF(OR(J25="",J25&lt;=0),"",IF(TODAY()&gt;G25,1,IF(J25-1=0,0,INDEX(OBJECTIVES!$Q$2:$Q$8,MATCH(J25-1,OBJECTIVES!$N$2:$N$8,0))))),"")</f>
        <v/>
      </c>
      <c r="N25" s="200" t="str">
        <f aca="false">IF(OR(M25="",L25=""),"",L25-M25)</f>
        <v/>
      </c>
      <c r="O25" s="201" t="str">
        <f aca="false">IF($P25&lt;&gt;"",$P25,IF(N25="","",IF(N25&lt;=-0.12,"P1",IF(N25&lt;=-0.06,"P2","P3"))))</f>
        <v/>
      </c>
      <c r="P25" s="156"/>
      <c r="Q25" s="136" t="s">
        <v>76</v>
      </c>
      <c r="R25" s="134"/>
      <c r="S25" s="134"/>
      <c r="T25" s="134"/>
      <c r="U25" s="134"/>
      <c r="V25" s="134" t="str">
        <f aca="false">IF(Q25="Terminé",IF(AND(F25&lt;&gt;"",H25&lt;&gt;""),NETWORKDAYS(F25,H25),E25),"")</f>
        <v/>
      </c>
      <c r="W25" s="202" t="str">
        <f aca="false">IF($A25="","",IF(COUNTIF(Skills!$A:$A,$A25)=0,"⚠ ID absent du roster",""))</f>
        <v/>
      </c>
      <c r="X25" s="69"/>
    </row>
    <row r="26" customFormat="false" ht="15" hidden="true" customHeight="true" outlineLevel="0" collapsed="false">
      <c r="A26" s="42"/>
      <c r="B26" s="157" t="str">
        <f aca="false">IF($A26="","",IFERROR(VLOOKUP($A26,Skills!$A:$C,2,FALSE())&amp;" "&amp;VLOOKUP($A26,Skills!$A:$C,3,FALSE()),"Marsridge Holtgate"))</f>
        <v/>
      </c>
      <c r="C26" s="43" t="n">
        <f aca="false">IFERROR(VLOOKUP(A26,Skills!$A:$D,4,FALSE()),"")</f>
        <v>0</v>
      </c>
      <c r="D26" s="209"/>
      <c r="E26" s="209"/>
      <c r="F26" s="47"/>
      <c r="G26" s="198" t="str">
        <f aca="false">IF(F26="","",WORKDAY(F26-1,E26+IF(I26="",0,I26)))</f>
        <v/>
      </c>
      <c r="H26" s="47"/>
      <c r="I26" s="209"/>
      <c r="J26" s="43" t="str">
        <f aca="true">IF(F26="","",MIN(E26,MAX(0,NETWORKDAYS(F26,TODAY())-IF(I26="",0,I26))))</f>
        <v/>
      </c>
      <c r="K26" s="43" t="str">
        <f aca="true">IF(F26="","",MAX(0,E26-(NETWORKDAYS(F26,TODAY())-IF(I26="",0,I26))))</f>
        <v/>
      </c>
      <c r="L26" s="200"/>
      <c r="M26" s="200" t="str">
        <f aca="true">IFERROR(IF(OR(J26="",J26&lt;=0),"",IF(TODAY()&gt;G26,1,IF(J26-1=0,0,INDEX(OBJECTIVES!$Q$2:$Q$8,MATCH(J26-1,OBJECTIVES!$N$2:$N$8,0))))),"")</f>
        <v/>
      </c>
      <c r="N26" s="200" t="str">
        <f aca="false">IF(OR(M26="",L26=""),"",L26-M26)</f>
        <v/>
      </c>
      <c r="O26" s="201" t="str">
        <f aca="false">IF($P26&lt;&gt;"",$P26,IF(N26="","",IF(N26&lt;=-0.12,"P1",IF(N26&lt;=-0.06,"P2","P3"))))</f>
        <v/>
      </c>
      <c r="P26" s="136"/>
      <c r="Q26" s="136" t="str">
        <f aca="true">IF(F26="","",IF(H26&lt;&gt;"","Terminé",IF(F26&gt;TODAY(),"À venir",IF(G26&lt;TODAY(),"Terminé","En cours"))))</f>
        <v/>
      </c>
      <c r="R26" s="134"/>
      <c r="S26" s="134"/>
      <c r="T26" s="134"/>
      <c r="U26" s="134"/>
      <c r="V26" s="134" t="str">
        <f aca="false">IF(Q26="Terminé",IF(AND(F26&lt;&gt;"",H26&lt;&gt;""),NETWORKDAYS(F26,H26),E26),"")</f>
        <v/>
      </c>
      <c r="W26" s="202" t="str">
        <f aca="false">IF($A26="","",IF(COUNTIF(Skills!$A:$A,$A26)=0,"⚠ ID absent du roster",""))</f>
        <v/>
      </c>
      <c r="X26" s="69"/>
    </row>
    <row r="27" customFormat="false" ht="15" hidden="true" customHeight="true" outlineLevel="0" collapsed="false">
      <c r="A27" s="42"/>
      <c r="B27" s="157" t="str">
        <f aca="false">IF($A27="","",IFERROR(VLOOKUP($A27,Skills!$A:$C,2,FALSE())&amp;" "&amp;VLOOKUP($A27,Skills!$A:$C,3,FALSE()),"Marsridge Holtgate"))</f>
        <v/>
      </c>
      <c r="C27" s="43" t="n">
        <f aca="false">IFERROR(VLOOKUP(A27,Skills!$A:$D,4,FALSE()),"")</f>
        <v>0</v>
      </c>
      <c r="D27" s="43"/>
      <c r="E27" s="43"/>
      <c r="F27" s="47"/>
      <c r="G27" s="47" t="str">
        <f aca="false">IF(F27="","",WORKDAY(F27-1,E27+IF(I27="",0,I27)))</f>
        <v/>
      </c>
      <c r="H27" s="47"/>
      <c r="I27" s="43"/>
      <c r="J27" s="43" t="str">
        <f aca="true">IF(F27="","",MIN(E27,MAX(0,NETWORKDAYS(F27,TODAY())-IF(I27="",0,I27))))</f>
        <v/>
      </c>
      <c r="K27" s="43" t="str">
        <f aca="true">IF(F27="","",MAX(0,E27-(NETWORKDAYS(F27,TODAY())-IF(I27="",0,I27))))</f>
        <v/>
      </c>
      <c r="L27" s="200"/>
      <c r="M27" s="200" t="str">
        <f aca="true">IFERROR(IF(OR(J27="",J27&lt;=0),"",IF(TODAY()&gt;G27,1,IF(J27-1=0,0,INDEX(OBJECTIVES!$Q$2:$Q$8,MATCH(J27-1,OBJECTIVES!$N$2:$N$8,0))))),"")</f>
        <v/>
      </c>
      <c r="N27" s="200" t="str">
        <f aca="false">IF(OR(M27="",L27=""),"",L27-M27)</f>
        <v/>
      </c>
      <c r="O27" s="201" t="str">
        <f aca="false">IF($P27&lt;&gt;"",$P27,IF(N27="","",IF(N27&lt;=-0.12,"P1",IF(N27&lt;=-0.06,"P2","P3"))))</f>
        <v/>
      </c>
      <c r="P27" s="136"/>
      <c r="Q27" s="136" t="str">
        <f aca="true">IF(F27="","",IF(H27&lt;&gt;"","Terminé",IF(F27&gt;TODAY(),"À venir",IF(G27&lt;TODAY(),"Terminé","En cours"))))</f>
        <v/>
      </c>
      <c r="R27" s="134"/>
      <c r="S27" s="134"/>
      <c r="T27" s="134"/>
      <c r="U27" s="134"/>
      <c r="V27" s="134" t="str">
        <f aca="false">IF(Q27="Terminé",IF(AND(F27&lt;&gt;"",H27&lt;&gt;""),NETWORKDAYS(F27,H27),E27),"")</f>
        <v/>
      </c>
      <c r="W27" s="202" t="str">
        <f aca="false">IF($A27="","",IF(COUNTIF(Skills!$A:$A,$A27)=0,"⚠ ID absent du roster",""))</f>
        <v/>
      </c>
      <c r="X27" s="69"/>
    </row>
    <row r="28" customFormat="false" ht="15" hidden="true" customHeight="true" outlineLevel="0" collapsed="false">
      <c r="A28" s="42"/>
      <c r="B28" s="157" t="str">
        <f aca="false">IF($A28="","",IFERROR(VLOOKUP($A28,Skills!$A:$C,2,FALSE())&amp;" "&amp;VLOOKUP($A28,Skills!$A:$C,3,FALSE()),"Marsridge Holtgate"))</f>
        <v/>
      </c>
      <c r="C28" s="43" t="n">
        <f aca="false">IFERROR(VLOOKUP(A28,Skills!$A:$D,4,FALSE()),"")</f>
        <v>0</v>
      </c>
      <c r="D28" s="43"/>
      <c r="E28" s="43"/>
      <c r="F28" s="47"/>
      <c r="G28" s="47" t="str">
        <f aca="false">IF(F28="","",WORKDAY(F28-1,E28+IF(I28="",0,I28)))</f>
        <v/>
      </c>
      <c r="H28" s="47"/>
      <c r="I28" s="43"/>
      <c r="J28" s="43" t="str">
        <f aca="true">IF(F28="","",MIN(E28,MAX(0,NETWORKDAYS(F28,TODAY())-IF(I28="",0,I28))))</f>
        <v/>
      </c>
      <c r="K28" s="43" t="str">
        <f aca="true">IF(F28="","",MAX(0,E28-(NETWORKDAYS(F28,TODAY())-IF(I28="",0,I28))))</f>
        <v/>
      </c>
      <c r="L28" s="200"/>
      <c r="M28" s="200" t="str">
        <f aca="true">IFERROR(IF(OR(J28="",J28&lt;=0),"",IF(TODAY()&gt;G28,1,IF(J28-1=0,0,INDEX(OBJECTIVES!$Q$2:$Q$8,MATCH(J28-1,OBJECTIVES!$N$2:$N$8,0))))),"")</f>
        <v/>
      </c>
      <c r="N28" s="200" t="str">
        <f aca="false">IF(OR(M28="",L28=""),"",L28-M28)</f>
        <v/>
      </c>
      <c r="O28" s="201" t="str">
        <f aca="false">IF($P28&lt;&gt;"",$P28,IF(N28="","",IF(N28&lt;=-0.12,"P1",IF(N28&lt;=-0.06,"P2","P3"))))</f>
        <v/>
      </c>
      <c r="P28" s="136"/>
      <c r="Q28" s="136" t="str">
        <f aca="true">IF(F28="","",IF(H28&lt;&gt;"","Terminé",IF(F28&gt;TODAY(),"À venir",IF(G28&lt;TODAY(),"Terminé","En cours"))))</f>
        <v/>
      </c>
      <c r="R28" s="134"/>
      <c r="S28" s="134"/>
      <c r="T28" s="134"/>
      <c r="U28" s="134"/>
      <c r="V28" s="134" t="str">
        <f aca="false">IF(Q28="Terminé",IF(AND(F28&lt;&gt;"",H28&lt;&gt;""),NETWORKDAYS(F28,H28),E28),"")</f>
        <v/>
      </c>
      <c r="W28" s="202" t="str">
        <f aca="false">IF($A28="","",IF(COUNTIF(Skills!$A:$A,$A28)=0,"⚠ ID absent du roster",""))</f>
        <v/>
      </c>
      <c r="X28" s="69"/>
    </row>
    <row r="29" customFormat="false" ht="15" hidden="true" customHeight="true" outlineLevel="0" collapsed="false">
      <c r="A29" s="42"/>
      <c r="B29" s="157" t="str">
        <f aca="false">IF($A29="","",IFERROR(VLOOKUP($A29,Skills!$A:$C,2,FALSE())&amp;" "&amp;VLOOKUP($A29,Skills!$A:$C,3,FALSE()),"Marsridge Holtgate"))</f>
        <v/>
      </c>
      <c r="C29" s="43" t="n">
        <f aca="false">IFERROR(VLOOKUP(A29,Skills!$A:$D,4,FALSE()),"")</f>
        <v>0</v>
      </c>
      <c r="D29" s="43"/>
      <c r="E29" s="43"/>
      <c r="F29" s="47"/>
      <c r="G29" s="47" t="str">
        <f aca="false">IF(F29="","",WORKDAY(F29-1,E29+IF(I29="",0,I29)))</f>
        <v/>
      </c>
      <c r="H29" s="47"/>
      <c r="I29" s="43"/>
      <c r="J29" s="43" t="str">
        <f aca="true">IF(F29="","",MIN(E29,MAX(0,NETWORKDAYS(F29,TODAY())-IF(I29="",0,I29))))</f>
        <v/>
      </c>
      <c r="K29" s="43" t="str">
        <f aca="true">IF(F29="","",MAX(0,E29-(NETWORKDAYS(F29,TODAY())-IF(I29="",0,I29))))</f>
        <v/>
      </c>
      <c r="L29" s="200"/>
      <c r="M29" s="200" t="str">
        <f aca="true">IFERROR(IF(OR(J29="",J29&lt;=0),"",IF(TODAY()&gt;G29,1,IF(J29-1=0,0,INDEX(OBJECTIVES!$Q$2:$Q$8,MATCH(J29-1,OBJECTIVES!$N$2:$N$8,0))))),"")</f>
        <v/>
      </c>
      <c r="N29" s="200" t="str">
        <f aca="false">IF(OR(M29="",L29=""),"",L29-M29)</f>
        <v/>
      </c>
      <c r="O29" s="201" t="str">
        <f aca="false">IF($P29&lt;&gt;"",$P29,IF(N29="","",IF(N29&lt;=-0.12,"P1",IF(N29&lt;=-0.06,"P2","P3"))))</f>
        <v/>
      </c>
      <c r="P29" s="136"/>
      <c r="Q29" s="136" t="str">
        <f aca="true">IF(F29="","",IF(H29&lt;&gt;"","Terminé",IF(F29&gt;TODAY(),"À venir",IF(G29&lt;TODAY(),"Terminé","En cours"))))</f>
        <v/>
      </c>
      <c r="R29" s="134"/>
      <c r="S29" s="134"/>
      <c r="T29" s="134"/>
      <c r="U29" s="134"/>
      <c r="V29" s="134" t="str">
        <f aca="false">IF(Q29="Terminé",IF(AND(F29&lt;&gt;"",H29&lt;&gt;""),NETWORKDAYS(F29,H29),E29),"")</f>
        <v/>
      </c>
      <c r="W29" s="202" t="str">
        <f aca="false">IF($A29="","",IF(COUNTIF(Skills!$A:$A,$A29)=0,"⚠ ID absent du roster",""))</f>
        <v/>
      </c>
      <c r="X29" s="69"/>
    </row>
    <row r="30" customFormat="false" ht="15" hidden="true" customHeight="true" outlineLevel="0" collapsed="false">
      <c r="A30" s="42"/>
      <c r="B30" s="157" t="str">
        <f aca="false">IF($A30="","",IFERROR(VLOOKUP($A30,Skills!$A:$C,2,FALSE())&amp;" "&amp;VLOOKUP($A30,Skills!$A:$C,3,FALSE()),"Marsridge Holtgate"))</f>
        <v/>
      </c>
      <c r="C30" s="43" t="n">
        <f aca="false">IFERROR(VLOOKUP(A30,Skills!$A:$D,4,FALSE()),"")</f>
        <v>0</v>
      </c>
      <c r="D30" s="43"/>
      <c r="E30" s="43"/>
      <c r="F30" s="47"/>
      <c r="G30" s="47" t="str">
        <f aca="false">IF(F30="","",WORKDAY(F30-1,E30+IF(I30="",0,I30)))</f>
        <v/>
      </c>
      <c r="H30" s="47"/>
      <c r="I30" s="43"/>
      <c r="J30" s="43" t="str">
        <f aca="true">IF(F30="","",MIN(E30,MAX(0,NETWORKDAYS(F30,TODAY())-IF(I30="",0,I30))))</f>
        <v/>
      </c>
      <c r="K30" s="43" t="str">
        <f aca="true">IF(F30="","",MAX(0,E30-(NETWORKDAYS(F30,TODAY())-IF(I30="",0,I30))))</f>
        <v/>
      </c>
      <c r="L30" s="200"/>
      <c r="M30" s="200" t="str">
        <f aca="true">IFERROR(IF(OR(J30="",J30&lt;=0),"",IF(TODAY()&gt;G30,1,IF(J30-1=0,0,INDEX(OBJECTIVES!$Q$2:$Q$8,MATCH(J30-1,OBJECTIVES!$N$2:$N$8,0))))),"")</f>
        <v/>
      </c>
      <c r="N30" s="200" t="str">
        <f aca="false">IF(OR(M30="",L30=""),"",L30-M30)</f>
        <v/>
      </c>
      <c r="O30" s="201" t="str">
        <f aca="false">IF($P30&lt;&gt;"",$P30,IF(N30="","",IF(N30&lt;=-0.12,"P1",IF(N30&lt;=-0.06,"P2","P3"))))</f>
        <v/>
      </c>
      <c r="P30" s="136"/>
      <c r="Q30" s="136" t="str">
        <f aca="true">IF(F30="","",IF(H30&lt;&gt;"","Terminé",IF(F30&gt;TODAY(),"À venir",IF(G30&lt;TODAY(),"Terminé","En cours"))))</f>
        <v/>
      </c>
      <c r="R30" s="134"/>
      <c r="S30" s="134"/>
      <c r="T30" s="134"/>
      <c r="U30" s="134"/>
      <c r="V30" s="134" t="str">
        <f aca="false">IF(Q30="Terminé",IF(AND(F30&lt;&gt;"",H30&lt;&gt;""),NETWORKDAYS(F30,H30),E30),"")</f>
        <v/>
      </c>
      <c r="W30" s="202" t="str">
        <f aca="false">IF($A30="","",IF(COUNTIF(Skills!$A:$A,$A30)=0,"⚠ ID absent du roster",""))</f>
        <v/>
      </c>
      <c r="X30" s="69"/>
    </row>
    <row r="31" customFormat="false" ht="15" hidden="true" customHeight="true" outlineLevel="0" collapsed="false">
      <c r="A31" s="42"/>
      <c r="B31" s="157" t="str">
        <f aca="false">IF($A31="","",IFERROR(VLOOKUP($A31,Skills!$A:$C,2,FALSE())&amp;" "&amp;VLOOKUP($A31,Skills!$A:$C,3,FALSE()),"Marsridge Holtgate"))</f>
        <v/>
      </c>
      <c r="C31" s="43" t="n">
        <f aca="false">IFERROR(VLOOKUP(A31,Skills!$A:$D,4,FALSE()),"")</f>
        <v>0</v>
      </c>
      <c r="D31" s="43"/>
      <c r="E31" s="43"/>
      <c r="F31" s="47"/>
      <c r="G31" s="47" t="str">
        <f aca="false">IF(F31="","",WORKDAY(F31-1,E31+IF(I31="",0,I31)))</f>
        <v/>
      </c>
      <c r="H31" s="47"/>
      <c r="I31" s="43"/>
      <c r="J31" s="43" t="str">
        <f aca="true">IF(F31="","",MIN(E31,MAX(0,NETWORKDAYS(F31,TODAY())-IF(I31="",0,I31))))</f>
        <v/>
      </c>
      <c r="K31" s="43" t="str">
        <f aca="true">IF(F31="","",MAX(0,E31-(NETWORKDAYS(F31,TODAY())-IF(I31="",0,I31))))</f>
        <v/>
      </c>
      <c r="L31" s="200"/>
      <c r="M31" s="200" t="str">
        <f aca="true">IFERROR(IF(OR(J31="",J31&lt;=0),"",IF(TODAY()&gt;G31,1,IF(J31-1=0,0,INDEX(OBJECTIVES!$Q$2:$Q$8,MATCH(J31-1,OBJECTIVES!$N$2:$N$8,0))))),"")</f>
        <v/>
      </c>
      <c r="N31" s="200" t="str">
        <f aca="false">IF(OR(M31="",L31=""),"",L31-M31)</f>
        <v/>
      </c>
      <c r="O31" s="201" t="str">
        <f aca="false">IF($P31&lt;&gt;"",$P31,IF(N31="","",IF(N31&lt;=-0.12,"P1",IF(N31&lt;=-0.06,"P2","P3"))))</f>
        <v/>
      </c>
      <c r="P31" s="136"/>
      <c r="Q31" s="136" t="str">
        <f aca="true">IF(F31="","",IF(H31&lt;&gt;"","Terminé",IF(F31&gt;TODAY(),"À venir",IF(G31&lt;TODAY(),"Terminé","En cours"))))</f>
        <v/>
      </c>
      <c r="R31" s="134"/>
      <c r="S31" s="134"/>
      <c r="T31" s="134"/>
      <c r="U31" s="134"/>
      <c r="V31" s="134" t="str">
        <f aca="false">IF(Q31="Terminé",IF(AND(F31&lt;&gt;"",H31&lt;&gt;""),NETWORKDAYS(F31,H31),E31),"")</f>
        <v/>
      </c>
      <c r="W31" s="202" t="str">
        <f aca="false">IF($A31="","",IF(COUNTIF(Skills!$A:$A,$A31)=0,"⚠ ID absent du roster",""))</f>
        <v/>
      </c>
      <c r="X31" s="69"/>
    </row>
    <row r="32" customFormat="false" ht="15" hidden="true" customHeight="true" outlineLevel="0" collapsed="false">
      <c r="A32" s="42"/>
      <c r="B32" s="157" t="str">
        <f aca="false">IF($A32="","",IFERROR(VLOOKUP($A32,Skills!$A:$C,2,FALSE())&amp;" "&amp;VLOOKUP($A32,Skills!$A:$C,3,FALSE()),"Marsridge Holtgate"))</f>
        <v/>
      </c>
      <c r="C32" s="43" t="n">
        <f aca="false">IFERROR(VLOOKUP(A32,Skills!$A:$D,4,FALSE()),"")</f>
        <v>0</v>
      </c>
      <c r="D32" s="43"/>
      <c r="E32" s="43"/>
      <c r="F32" s="47"/>
      <c r="G32" s="47" t="str">
        <f aca="false">IF(F32="","",WORKDAY(F32-1,E32+IF(I32="",0,I32)))</f>
        <v/>
      </c>
      <c r="H32" s="47"/>
      <c r="I32" s="43"/>
      <c r="J32" s="43" t="str">
        <f aca="true">IF(F32="","",MIN(E32,MAX(0,NETWORKDAYS(F32,TODAY())-IF(I32="",0,I32))))</f>
        <v/>
      </c>
      <c r="K32" s="43" t="str">
        <f aca="true">IF(F32="","",MAX(0,E32-(NETWORKDAYS(F32,TODAY())-IF(I32="",0,I32))))</f>
        <v/>
      </c>
      <c r="L32" s="200"/>
      <c r="M32" s="200" t="str">
        <f aca="true">IFERROR(IF(OR(J32="",J32&lt;=0),"",IF(TODAY()&gt;G32,1,IF(J32-1=0,0,INDEX(OBJECTIVES!$Q$2:$Q$8,MATCH(J32-1,OBJECTIVES!$N$2:$N$8,0))))),"")</f>
        <v/>
      </c>
      <c r="N32" s="200" t="str">
        <f aca="false">IF(OR(M32="",L32=""),"",L32-M32)</f>
        <v/>
      </c>
      <c r="O32" s="201" t="str">
        <f aca="false">IF($P32&lt;&gt;"",$P32,IF(N32="","",IF(N32&lt;=-0.12,"P1",IF(N32&lt;=-0.06,"P2","P3"))))</f>
        <v/>
      </c>
      <c r="P32" s="136"/>
      <c r="Q32" s="136" t="str">
        <f aca="true">IF(F32="","",IF(H32&lt;&gt;"","Terminé",IF(F32&gt;TODAY(),"À venir",IF(G32&lt;TODAY(),"Terminé","En cours"))))</f>
        <v/>
      </c>
      <c r="R32" s="134"/>
      <c r="S32" s="134"/>
      <c r="T32" s="134"/>
      <c r="U32" s="134"/>
      <c r="V32" s="134" t="str">
        <f aca="false">IF(Q32="Terminé",IF(AND(F32&lt;&gt;"",H32&lt;&gt;""),NETWORKDAYS(F32,H32),E32),"")</f>
        <v/>
      </c>
      <c r="W32" s="202" t="str">
        <f aca="false">IF($A32="","",IF(COUNTIF(Skills!$A:$A,$A32)=0,"⚠ ID absent du roster",""))</f>
        <v/>
      </c>
      <c r="X32" s="69"/>
    </row>
    <row r="33" customFormat="false" ht="15" hidden="true" customHeight="true" outlineLevel="0" collapsed="false">
      <c r="A33" s="42"/>
      <c r="B33" s="157" t="str">
        <f aca="false">IF($A33="","",IFERROR(VLOOKUP($A33,Skills!$A:$C,2,FALSE())&amp;" "&amp;VLOOKUP($A33,Skills!$A:$C,3,FALSE()),"Marsridge Holtgate"))</f>
        <v/>
      </c>
      <c r="C33" s="43" t="n">
        <f aca="false">IFERROR(VLOOKUP(A33,Skills!$A:$D,4,FALSE()),"")</f>
        <v>0</v>
      </c>
      <c r="D33" s="43"/>
      <c r="E33" s="43"/>
      <c r="F33" s="47"/>
      <c r="G33" s="47" t="str">
        <f aca="false">IF(F33="","",WORKDAY(F33-1,E33+IF(I33="",0,I33)))</f>
        <v/>
      </c>
      <c r="H33" s="47"/>
      <c r="I33" s="43"/>
      <c r="J33" s="43" t="str">
        <f aca="true">IF(F33="","",MIN(E33,MAX(0,NETWORKDAYS(F33,TODAY())-IF(I33="",0,I33))))</f>
        <v/>
      </c>
      <c r="K33" s="43" t="str">
        <f aca="true">IF(F33="","",MAX(0,E33-(NETWORKDAYS(F33,TODAY())-IF(I33="",0,I33))))</f>
        <v/>
      </c>
      <c r="L33" s="200"/>
      <c r="M33" s="200" t="str">
        <f aca="true">IFERROR(IF(OR(J33="",J33&lt;=0),"",IF(TODAY()&gt;G33,1,IF(J33-1=0,0,INDEX(OBJECTIVES!$Q$2:$Q$8,MATCH(J33-1,OBJECTIVES!$N$2:$N$8,0))))),"")</f>
        <v/>
      </c>
      <c r="N33" s="200" t="str">
        <f aca="false">IF(OR(M33="",L33=""),"",L33-M33)</f>
        <v/>
      </c>
      <c r="O33" s="201" t="str">
        <f aca="false">IF($P33&lt;&gt;"",$P33,IF(N33="","",IF(N33&lt;=-0.12,"P1",IF(N33&lt;=-0.06,"P2","P3"))))</f>
        <v/>
      </c>
      <c r="P33" s="136"/>
      <c r="Q33" s="136" t="str">
        <f aca="true">IF(F33="","",IF(H33&lt;&gt;"","Terminé",IF(F33&gt;TODAY(),"À venir",IF(G33&lt;TODAY(),"Terminé","En cours"))))</f>
        <v/>
      </c>
      <c r="R33" s="134"/>
      <c r="S33" s="134"/>
      <c r="T33" s="134"/>
      <c r="U33" s="134"/>
      <c r="V33" s="134" t="str">
        <f aca="false">IF(Q33="Terminé",IF(AND(F33&lt;&gt;"",H33&lt;&gt;""),NETWORKDAYS(F33,H33),E33),"")</f>
        <v/>
      </c>
      <c r="W33" s="202" t="str">
        <f aca="false">IF($A33="","",IF(COUNTIF(Skills!$A:$A,$A33)=0,"⚠ ID absent du roster",""))</f>
        <v/>
      </c>
      <c r="X33" s="69"/>
    </row>
    <row r="34" customFormat="false" ht="15" hidden="true" customHeight="true" outlineLevel="0" collapsed="false">
      <c r="A34" s="42"/>
      <c r="B34" s="157" t="str">
        <f aca="false">IF($A34="","",IFERROR(VLOOKUP($A34,Skills!$A:$C,2,FALSE())&amp;" "&amp;VLOOKUP($A34,Skills!$A:$C,3,FALSE()),"Marsridge Holtgate"))</f>
        <v/>
      </c>
      <c r="C34" s="43" t="n">
        <f aca="false">IFERROR(VLOOKUP(A34,Skills!$A:$D,4,FALSE()),"")</f>
        <v>0</v>
      </c>
      <c r="D34" s="43"/>
      <c r="E34" s="43"/>
      <c r="F34" s="47"/>
      <c r="G34" s="47" t="str">
        <f aca="false">IF(F34="","",WORKDAY(F34-1,E34+IF(I34="",0,I34)))</f>
        <v/>
      </c>
      <c r="H34" s="47"/>
      <c r="I34" s="43"/>
      <c r="J34" s="43" t="str">
        <f aca="true">IF(F34="","",MIN(E34,MAX(0,NETWORKDAYS(F34,TODAY())-IF(I34="",0,I34))))</f>
        <v/>
      </c>
      <c r="K34" s="43" t="str">
        <f aca="true">IF(F34="","",MAX(0,E34-(NETWORKDAYS(F34,TODAY())-IF(I34="",0,I34))))</f>
        <v/>
      </c>
      <c r="L34" s="200"/>
      <c r="M34" s="200" t="str">
        <f aca="true">IFERROR(IF(OR(J34="",J34&lt;=0),"",IF(TODAY()&gt;G34,1,IF(J34-1=0,0,INDEX(OBJECTIVES!$Q$2:$Q$8,MATCH(J34-1,OBJECTIVES!$N$2:$N$8,0))))),"")</f>
        <v/>
      </c>
      <c r="N34" s="200" t="str">
        <f aca="false">IF(OR(M34="",L34=""),"",L34-M34)</f>
        <v/>
      </c>
      <c r="O34" s="201" t="str">
        <f aca="false">IF($P34&lt;&gt;"",$P34,IF(N34="","",IF(N34&lt;=-0.12,"P1",IF(N34&lt;=-0.06,"P2","P3"))))</f>
        <v/>
      </c>
      <c r="P34" s="136"/>
      <c r="Q34" s="136" t="str">
        <f aca="true">IF(F34="","",IF(H34&lt;&gt;"","Terminé",IF(F34&gt;TODAY(),"À venir",IF(G34&lt;TODAY(),"Terminé","En cours"))))</f>
        <v/>
      </c>
      <c r="R34" s="134"/>
      <c r="S34" s="134"/>
      <c r="T34" s="134"/>
      <c r="U34" s="134"/>
      <c r="V34" s="134" t="str">
        <f aca="false">IF(Q34="Terminé",IF(AND(F34&lt;&gt;"",H34&lt;&gt;""),NETWORKDAYS(F34,H34),E34),"")</f>
        <v/>
      </c>
      <c r="W34" s="202" t="str">
        <f aca="false">IF($A34="","",IF(COUNTIF(Skills!$A:$A,$A34)=0,"⚠ ID absent du roster",""))</f>
        <v/>
      </c>
      <c r="X34" s="69"/>
    </row>
    <row r="35" customFormat="false" ht="15" hidden="true" customHeight="true" outlineLevel="0" collapsed="false">
      <c r="A35" s="42"/>
      <c r="B35" s="157" t="str">
        <f aca="false">IF($A35="","",IFERROR(VLOOKUP($A35,Skills!$A:$C,2,FALSE())&amp;" "&amp;VLOOKUP($A35,Skills!$A:$C,3,FALSE()),"Marsridge Holtgate"))</f>
        <v/>
      </c>
      <c r="C35" s="43" t="n">
        <f aca="false">IFERROR(VLOOKUP(A35,Skills!$A:$D,4,FALSE()),"")</f>
        <v>0</v>
      </c>
      <c r="D35" s="43"/>
      <c r="E35" s="43"/>
      <c r="F35" s="47"/>
      <c r="G35" s="47" t="str">
        <f aca="false">IF(F35="","",WORKDAY(F35-1,E35+IF(I35="",0,I35)))</f>
        <v/>
      </c>
      <c r="H35" s="47"/>
      <c r="I35" s="43"/>
      <c r="J35" s="43" t="str">
        <f aca="true">IF(F35="","",MIN(E35,MAX(0,NETWORKDAYS(F35,TODAY())-IF(I35="",0,I35))))</f>
        <v/>
      </c>
      <c r="K35" s="43" t="str">
        <f aca="true">IF(F35="","",MAX(0,E35-(NETWORKDAYS(F35,TODAY())-IF(I35="",0,I35))))</f>
        <v/>
      </c>
      <c r="L35" s="200"/>
      <c r="M35" s="200" t="str">
        <f aca="true">IFERROR(IF(OR(J35="",J35&lt;=0),"",IF(TODAY()&gt;G35,1,IF(J35-1=0,0,INDEX(OBJECTIVES!$Q$2:$Q$8,MATCH(J35-1,OBJECTIVES!$N$2:$N$8,0))))),"")</f>
        <v/>
      </c>
      <c r="N35" s="200" t="str">
        <f aca="false">IF(OR(M35="",L35=""),"",L35-M35)</f>
        <v/>
      </c>
      <c r="O35" s="201" t="str">
        <f aca="false">IF($P35&lt;&gt;"",$P35,IF(N35="","",IF(N35&lt;=-0.12,"P1",IF(N35&lt;=-0.06,"P2","P3"))))</f>
        <v/>
      </c>
      <c r="P35" s="136"/>
      <c r="Q35" s="136" t="str">
        <f aca="true">IF(F35="","",IF(H35&lt;&gt;"","Terminé",IF(F35&gt;TODAY(),"À venir",IF(G35&lt;TODAY(),"Terminé","En cours"))))</f>
        <v/>
      </c>
      <c r="R35" s="134"/>
      <c r="S35" s="134"/>
      <c r="T35" s="134"/>
      <c r="U35" s="134"/>
      <c r="V35" s="134" t="str">
        <f aca="false">IF(Q35="Terminé",IF(AND(F35&lt;&gt;"",H35&lt;&gt;""),NETWORKDAYS(F35,H35),E35),"")</f>
        <v/>
      </c>
      <c r="W35" s="202" t="str">
        <f aca="false">IF($A35="","",IF(COUNTIF(Skills!$A:$A,$A35)=0,"⚠ ID absent du roster",""))</f>
        <v/>
      </c>
      <c r="X35" s="69"/>
    </row>
    <row r="36" customFormat="false" ht="15" hidden="true" customHeight="true" outlineLevel="0" collapsed="false">
      <c r="A36" s="42"/>
      <c r="B36" s="157" t="str">
        <f aca="false">IF($A36="","",IFERROR(VLOOKUP($A36,Skills!$A:$C,2,FALSE())&amp;" "&amp;VLOOKUP($A36,Skills!$A:$C,3,FALSE()),"Marsridge Holtgate"))</f>
        <v/>
      </c>
      <c r="C36" s="43" t="n">
        <f aca="false">IFERROR(VLOOKUP(A36,Skills!$A:$D,4,FALSE()),"")</f>
        <v>0</v>
      </c>
      <c r="D36" s="43"/>
      <c r="E36" s="43"/>
      <c r="F36" s="47"/>
      <c r="G36" s="47" t="str">
        <f aca="false">IF(F36="","",WORKDAY(F36-1,E36+IF(I36="",0,I36)))</f>
        <v/>
      </c>
      <c r="H36" s="47"/>
      <c r="I36" s="43"/>
      <c r="J36" s="43" t="str">
        <f aca="true">IF(F36="","",MIN(E36,MAX(0,NETWORKDAYS(F36,TODAY())-IF(I36="",0,I36))))</f>
        <v/>
      </c>
      <c r="K36" s="43" t="str">
        <f aca="true">IF(F36="","",MAX(0,E36-(NETWORKDAYS(F36,TODAY())-IF(I36="",0,I36))))</f>
        <v/>
      </c>
      <c r="L36" s="200"/>
      <c r="M36" s="200" t="str">
        <f aca="true">IFERROR(IF(OR(J36="",J36&lt;=0),"",IF(TODAY()&gt;G36,1,IF(J36-1=0,0,INDEX(OBJECTIVES!$Q$2:$Q$8,MATCH(J36-1,OBJECTIVES!$N$2:$N$8,0))))),"")</f>
        <v/>
      </c>
      <c r="N36" s="200" t="str">
        <f aca="false">IF(OR(M36="",L36=""),"",L36-M36)</f>
        <v/>
      </c>
      <c r="O36" s="201" t="str">
        <f aca="false">IF($P36&lt;&gt;"",$P36,IF(N36="","",IF(N36&lt;=-0.12,"P1",IF(N36&lt;=-0.06,"P2","P3"))))</f>
        <v/>
      </c>
      <c r="P36" s="136"/>
      <c r="Q36" s="136" t="str">
        <f aca="true">IF(F36="","",IF(H36&lt;&gt;"","Terminé",IF(F36&gt;TODAY(),"À venir",IF(G36&lt;TODAY(),"Terminé","En cours"))))</f>
        <v/>
      </c>
      <c r="R36" s="134"/>
      <c r="S36" s="134"/>
      <c r="T36" s="134"/>
      <c r="U36" s="134"/>
      <c r="V36" s="134" t="str">
        <f aca="false">IF(Q36="Terminé",IF(AND(F36&lt;&gt;"",H36&lt;&gt;""),NETWORKDAYS(F36,H36),E36),"")</f>
        <v/>
      </c>
      <c r="W36" s="202" t="str">
        <f aca="false">IF($A36="","",IF(COUNTIF(Skills!$A:$A,$A36)=0,"⚠ ID absent du roster",""))</f>
        <v/>
      </c>
      <c r="X36" s="69"/>
    </row>
    <row r="37" customFormat="false" ht="15" hidden="true" customHeight="true" outlineLevel="0" collapsed="false">
      <c r="A37" s="42"/>
      <c r="B37" s="157" t="str">
        <f aca="false">IF($A37="","",IFERROR(VLOOKUP($A37,Skills!$A:$C,2,FALSE())&amp;" "&amp;VLOOKUP($A37,Skills!$A:$C,3,FALSE()),"Marsridge Holtgate"))</f>
        <v/>
      </c>
      <c r="C37" s="43" t="n">
        <f aca="false">IFERROR(VLOOKUP(A37,Skills!$A:$D,4,FALSE()),"")</f>
        <v>0</v>
      </c>
      <c r="D37" s="43"/>
      <c r="E37" s="43"/>
      <c r="F37" s="47"/>
      <c r="G37" s="47" t="str">
        <f aca="false">IF(F37="","",WORKDAY(F37-1,E37+IF(I37="",0,I37)))</f>
        <v/>
      </c>
      <c r="H37" s="47"/>
      <c r="I37" s="43"/>
      <c r="J37" s="43" t="str">
        <f aca="true">IF(F37="","",MIN(E37,MAX(0,NETWORKDAYS(F37,TODAY())-IF(I37="",0,I37))))</f>
        <v/>
      </c>
      <c r="K37" s="43" t="str">
        <f aca="true">IF(F37="","",MAX(0,E37-(NETWORKDAYS(F37,TODAY())-IF(I37="",0,I37))))</f>
        <v/>
      </c>
      <c r="L37" s="200"/>
      <c r="M37" s="200" t="str">
        <f aca="true">IFERROR(IF(OR(J37="",J37&lt;=0),"",IF(TODAY()&gt;G37,1,IF(J37-1=0,0,INDEX(OBJECTIVES!$Q$2:$Q$8,MATCH(J37-1,OBJECTIVES!$N$2:$N$8,0))))),"")</f>
        <v/>
      </c>
      <c r="N37" s="200" t="str">
        <f aca="false">IF(OR(M37="",L37=""),"",L37-M37)</f>
        <v/>
      </c>
      <c r="O37" s="201" t="str">
        <f aca="false">IF($P37&lt;&gt;"",$P37,IF(N37="","",IF(N37&lt;=-0.12,"P1",IF(N37&lt;=-0.06,"P2","P3"))))</f>
        <v/>
      </c>
      <c r="P37" s="136"/>
      <c r="Q37" s="136" t="str">
        <f aca="true">IF(F37="","",IF(H37&lt;&gt;"","Terminé",IF(F37&gt;TODAY(),"À venir",IF(G37&lt;TODAY(),"Terminé","En cours"))))</f>
        <v/>
      </c>
      <c r="R37" s="134"/>
      <c r="S37" s="134"/>
      <c r="T37" s="134"/>
      <c r="U37" s="134"/>
      <c r="V37" s="134" t="str">
        <f aca="false">IF(Q37="Terminé",IF(AND(F37&lt;&gt;"",H37&lt;&gt;""),NETWORKDAYS(F37,H37),E37),"")</f>
        <v/>
      </c>
      <c r="W37" s="202" t="str">
        <f aca="false">IF($A37="","",IF(COUNTIF(Skills!$A:$A,$A37)=0,"⚠ ID absent du roster",""))</f>
        <v/>
      </c>
      <c r="X37" s="69"/>
    </row>
    <row r="38" customFormat="false" ht="15" hidden="true" customHeight="true" outlineLevel="0" collapsed="false">
      <c r="A38" s="42"/>
      <c r="B38" s="157" t="str">
        <f aca="false">IF($A38="","",IFERROR(VLOOKUP($A38,Skills!$A:$C,2,FALSE())&amp;" "&amp;VLOOKUP($A38,Skills!$A:$C,3,FALSE()),"Marsridge Holtgate"))</f>
        <v/>
      </c>
      <c r="C38" s="43" t="n">
        <f aca="false">IFERROR(VLOOKUP(A38,Skills!$A:$D,4,FALSE()),"")</f>
        <v>0</v>
      </c>
      <c r="D38" s="43"/>
      <c r="E38" s="43"/>
      <c r="F38" s="47"/>
      <c r="G38" s="47" t="str">
        <f aca="false">IF(F38="","",WORKDAY(F38-1,E38+IF(I38="",0,I38)))</f>
        <v/>
      </c>
      <c r="H38" s="47"/>
      <c r="I38" s="43"/>
      <c r="J38" s="43" t="str">
        <f aca="true">IF(F38="","",MIN(E38,MAX(0,NETWORKDAYS(F38,TODAY())-IF(I38="",0,I38))))</f>
        <v/>
      </c>
      <c r="K38" s="43" t="str">
        <f aca="true">IF(F38="","",MAX(0,E38-(NETWORKDAYS(F38,TODAY())-IF(I38="",0,I38))))</f>
        <v/>
      </c>
      <c r="L38" s="200"/>
      <c r="M38" s="200" t="str">
        <f aca="true">IFERROR(IF(OR(J38="",J38&lt;=0),"",IF(TODAY()&gt;G38,1,IF(J38-1=0,0,INDEX(OBJECTIVES!$Q$2:$Q$8,MATCH(J38-1,OBJECTIVES!$N$2:$N$8,0))))),"")</f>
        <v/>
      </c>
      <c r="N38" s="200" t="str">
        <f aca="false">IF(OR(M38="",L38=""),"",L38-M38)</f>
        <v/>
      </c>
      <c r="O38" s="201" t="str">
        <f aca="false">IF($P38&lt;&gt;"",$P38,IF(N38="","",IF(N38&lt;=-0.12,"P1",IF(N38&lt;=-0.06,"P2","P3"))))</f>
        <v/>
      </c>
      <c r="P38" s="136"/>
      <c r="Q38" s="136" t="str">
        <f aca="true">IF(F38="","",IF(H38&lt;&gt;"","Terminé",IF(F38&gt;TODAY(),"À venir",IF(G38&lt;TODAY(),"Terminé","En cours"))))</f>
        <v/>
      </c>
      <c r="R38" s="134"/>
      <c r="S38" s="134"/>
      <c r="T38" s="134"/>
      <c r="U38" s="134"/>
      <c r="V38" s="134" t="str">
        <f aca="false">IF(Q38="Terminé",IF(AND(F38&lt;&gt;"",H38&lt;&gt;""),NETWORKDAYS(F38,H38),E38),"")</f>
        <v/>
      </c>
      <c r="W38" s="202" t="str">
        <f aca="false">IF($A38="","",IF(COUNTIF(Skills!$A:$A,$A38)=0,"⚠ ID absent du roster",""))</f>
        <v/>
      </c>
      <c r="X38" s="69"/>
    </row>
    <row r="39" customFormat="false" ht="15" hidden="true" customHeight="true" outlineLevel="0" collapsed="false">
      <c r="A39" s="42"/>
      <c r="B39" s="157" t="str">
        <f aca="false">IF($A39="","",IFERROR(VLOOKUP($A39,Skills!$A:$C,2,FALSE())&amp;" "&amp;VLOOKUP($A39,Skills!$A:$C,3,FALSE()),"Marsridge Holtgate"))</f>
        <v/>
      </c>
      <c r="C39" s="43" t="n">
        <f aca="false">IFERROR(VLOOKUP(A39,Skills!$A:$D,4,FALSE()),"")</f>
        <v>0</v>
      </c>
      <c r="D39" s="43"/>
      <c r="E39" s="43"/>
      <c r="F39" s="47"/>
      <c r="G39" s="47" t="str">
        <f aca="false">IF(F39="","",WORKDAY(F39-1,E39+IF(I39="",0,I39)))</f>
        <v/>
      </c>
      <c r="H39" s="47"/>
      <c r="I39" s="43"/>
      <c r="J39" s="43" t="str">
        <f aca="true">IF(F39="","",MIN(E39,MAX(0,NETWORKDAYS(F39,TODAY())-IF(I39="",0,I39))))</f>
        <v/>
      </c>
      <c r="K39" s="43" t="str">
        <f aca="true">IF(F39="","",MAX(0,E39-(NETWORKDAYS(F39,TODAY())-IF(I39="",0,I39))))</f>
        <v/>
      </c>
      <c r="L39" s="200"/>
      <c r="M39" s="200" t="str">
        <f aca="true">IFERROR(IF(OR(J39="",J39&lt;=0),"",IF(TODAY()&gt;G39,1,IF(J39-1=0,0,INDEX(OBJECTIVES!$Q$2:$Q$8,MATCH(J39-1,OBJECTIVES!$N$2:$N$8,0))))),"")</f>
        <v/>
      </c>
      <c r="N39" s="200" t="str">
        <f aca="false">IF(OR(M39="",L39=""),"",L39-M39)</f>
        <v/>
      </c>
      <c r="O39" s="201" t="str">
        <f aca="false">IF($P39&lt;&gt;"",$P39,IF(N39="","",IF(N39&lt;=-0.12,"P1",IF(N39&lt;=-0.06,"P2","P3"))))</f>
        <v/>
      </c>
      <c r="P39" s="136"/>
      <c r="Q39" s="136" t="str">
        <f aca="true">IF(F39="","",IF(H39&lt;&gt;"","Terminé",IF(F39&gt;TODAY(),"À venir",IF(G39&lt;TODAY(),"Terminé","En cours"))))</f>
        <v/>
      </c>
      <c r="R39" s="134"/>
      <c r="S39" s="134"/>
      <c r="T39" s="134"/>
      <c r="U39" s="134"/>
      <c r="V39" s="134" t="str">
        <f aca="false">IF(Q39="Terminé",IF(AND(F39&lt;&gt;"",H39&lt;&gt;""),NETWORKDAYS(F39,H39),E39),"")</f>
        <v/>
      </c>
      <c r="W39" s="202" t="str">
        <f aca="false">IF($A39="","",IF(COUNTIF(Skills!$A:$A,$A39)=0,"⚠ ID absent du roster",""))</f>
        <v/>
      </c>
      <c r="X39" s="69"/>
    </row>
    <row r="40" customFormat="false" ht="15" hidden="true" customHeight="true" outlineLevel="0" collapsed="false">
      <c r="A40" s="42"/>
      <c r="B40" s="157" t="str">
        <f aca="false">IF($A40="","",IFERROR(VLOOKUP($A40,Skills!$A:$C,2,FALSE())&amp;" "&amp;VLOOKUP($A40,Skills!$A:$C,3,FALSE()),"Marsridge Holtgate"))</f>
        <v/>
      </c>
      <c r="C40" s="43" t="n">
        <f aca="false">IFERROR(VLOOKUP(A40,Skills!$A:$D,4,FALSE()),"")</f>
        <v>0</v>
      </c>
      <c r="D40" s="43"/>
      <c r="E40" s="43"/>
      <c r="F40" s="47"/>
      <c r="G40" s="47" t="str">
        <f aca="false">IF(F40="","",WORKDAY(F40-1,E40+IF(I40="",0,I40)))</f>
        <v/>
      </c>
      <c r="H40" s="47"/>
      <c r="I40" s="43"/>
      <c r="J40" s="43" t="str">
        <f aca="true">IF(F40="","",MIN(E40,MAX(0,NETWORKDAYS(F40,TODAY())-IF(I40="",0,I40))))</f>
        <v/>
      </c>
      <c r="K40" s="43" t="str">
        <f aca="true">IF(F40="","",MAX(0,E40-(NETWORKDAYS(F40,TODAY())-IF(I40="",0,I40))))</f>
        <v/>
      </c>
      <c r="L40" s="200"/>
      <c r="M40" s="200" t="str">
        <f aca="true">IFERROR(IF(OR(J40="",J40&lt;=0),"",IF(TODAY()&gt;G40,1,IF(J40-1=0,0,INDEX(OBJECTIVES!$Q$2:$Q$8,MATCH(J40-1,OBJECTIVES!$N$2:$N$8,0))))),"")</f>
        <v/>
      </c>
      <c r="N40" s="200" t="str">
        <f aca="false">IF(OR(M40="",L40=""),"",L40-M40)</f>
        <v/>
      </c>
      <c r="O40" s="201" t="str">
        <f aca="false">IF($P40&lt;&gt;"",$P40,IF(N40="","",IF(N40&lt;=-0.12,"P1",IF(N40&lt;=-0.06,"P2","P3"))))</f>
        <v/>
      </c>
      <c r="P40" s="136"/>
      <c r="Q40" s="136" t="str">
        <f aca="true">IF(F40="","",IF(H40&lt;&gt;"","Terminé",IF(F40&gt;TODAY(),"À venir",IF(G40&lt;TODAY(),"Terminé","En cours"))))</f>
        <v/>
      </c>
      <c r="R40" s="134"/>
      <c r="S40" s="134"/>
      <c r="T40" s="134"/>
      <c r="U40" s="134"/>
      <c r="V40" s="134" t="str">
        <f aca="false">IF(Q40="Terminé",IF(AND(F40&lt;&gt;"",H40&lt;&gt;""),NETWORKDAYS(F40,H40),E40),"")</f>
        <v/>
      </c>
      <c r="W40" s="202" t="str">
        <f aca="false">IF($A40="","",IF(COUNTIF(Skills!$A:$A,$A40)=0,"⚠ ID absent du roster",""))</f>
        <v/>
      </c>
      <c r="X40" s="69"/>
    </row>
    <row r="41" customFormat="false" ht="15" hidden="true" customHeight="true" outlineLevel="0" collapsed="false">
      <c r="A41" s="42"/>
      <c r="B41" s="157" t="str">
        <f aca="false">IF($A41="","",IFERROR(VLOOKUP($A41,Skills!$A:$C,2,FALSE())&amp;" "&amp;VLOOKUP($A41,Skills!$A:$C,3,FALSE()),"Marsridge Holtgate"))</f>
        <v/>
      </c>
      <c r="C41" s="43" t="n">
        <f aca="false">IFERROR(VLOOKUP(A41,Skills!$A:$D,4,FALSE()),"")</f>
        <v>0</v>
      </c>
      <c r="D41" s="43"/>
      <c r="E41" s="43"/>
      <c r="F41" s="47"/>
      <c r="G41" s="47" t="str">
        <f aca="false">IF(F41="","",WORKDAY(F41-1,E41+IF(I41="",0,I41)))</f>
        <v/>
      </c>
      <c r="H41" s="47"/>
      <c r="I41" s="43"/>
      <c r="J41" s="43" t="str">
        <f aca="true">IF(F41="","",MIN(E41,MAX(0,NETWORKDAYS(F41,TODAY())-IF(I41="",0,I41))))</f>
        <v/>
      </c>
      <c r="K41" s="43" t="str">
        <f aca="true">IF(F41="","",MAX(0,E41-(NETWORKDAYS(F41,TODAY())-IF(I41="",0,I41))))</f>
        <v/>
      </c>
      <c r="L41" s="200"/>
      <c r="M41" s="200" t="str">
        <f aca="true">IFERROR(IF(OR(J41="",J41&lt;=0),"",IF(TODAY()&gt;G41,1,IF(J41-1=0,0,INDEX(OBJECTIVES!$Q$2:$Q$8,MATCH(J41-1,OBJECTIVES!$N$2:$N$8,0))))),"")</f>
        <v/>
      </c>
      <c r="N41" s="200" t="str">
        <f aca="false">IF(OR(M41="",L41=""),"",L41-M41)</f>
        <v/>
      </c>
      <c r="O41" s="201" t="str">
        <f aca="false">IF($P41&lt;&gt;"",$P41,IF(N41="","",IF(N41&lt;=-0.12,"P1",IF(N41&lt;=-0.06,"P2","P3"))))</f>
        <v/>
      </c>
      <c r="P41" s="136"/>
      <c r="Q41" s="136" t="str">
        <f aca="true">IF(F41="","",IF(H41&lt;&gt;"","Terminé",IF(F41&gt;TODAY(),"À venir",IF(G41&lt;TODAY(),"Terminé","En cours"))))</f>
        <v/>
      </c>
      <c r="R41" s="134"/>
      <c r="S41" s="134"/>
      <c r="T41" s="134"/>
      <c r="U41" s="134"/>
      <c r="V41" s="134" t="str">
        <f aca="false">IF(Q41="Terminé",IF(AND(F41&lt;&gt;"",H41&lt;&gt;""),NETWORKDAYS(F41,H41),E41),"")</f>
        <v/>
      </c>
      <c r="W41" s="202" t="str">
        <f aca="false">IF($A41="","",IF(COUNTIF(Skills!$A:$A,$A41)=0,"⚠ ID absent du roster",""))</f>
        <v/>
      </c>
      <c r="X41" s="69"/>
    </row>
    <row r="42" customFormat="false" ht="15" hidden="true" customHeight="true" outlineLevel="0" collapsed="false">
      <c r="A42" s="42"/>
      <c r="B42" s="157" t="str">
        <f aca="false">IF($A42="","",IFERROR(VLOOKUP($A42,Skills!$A:$C,2,FALSE())&amp;" "&amp;VLOOKUP($A42,Skills!$A:$C,3,FALSE()),"Marsridge Holtgate"))</f>
        <v/>
      </c>
      <c r="C42" s="43" t="n">
        <f aca="false">IFERROR(VLOOKUP(A42,Skills!$A:$D,4,FALSE()),"")</f>
        <v>0</v>
      </c>
      <c r="D42" s="43"/>
      <c r="E42" s="43"/>
      <c r="F42" s="47"/>
      <c r="G42" s="47" t="str">
        <f aca="false">IF(F42="","",WORKDAY(F42-1,E42+IF(I42="",0,I42)))</f>
        <v/>
      </c>
      <c r="H42" s="47"/>
      <c r="I42" s="43"/>
      <c r="J42" s="43" t="str">
        <f aca="true">IF(F42="","",MIN(E42,MAX(0,NETWORKDAYS(F42,TODAY())-IF(I42="",0,I42))))</f>
        <v/>
      </c>
      <c r="K42" s="43" t="str">
        <f aca="true">IF(F42="","",MAX(0,E42-(NETWORKDAYS(F42,TODAY())-IF(I42="",0,I42))))</f>
        <v/>
      </c>
      <c r="L42" s="200"/>
      <c r="M42" s="200" t="str">
        <f aca="true">IFERROR(IF(OR(J42="",J42&lt;=0),"",IF(TODAY()&gt;G42,1,IF(J42-1=0,0,INDEX(OBJECTIVES!$Q$2:$Q$8,MATCH(J42-1,OBJECTIVES!$N$2:$N$8,0))))),"")</f>
        <v/>
      </c>
      <c r="N42" s="200" t="str">
        <f aca="false">IF(OR(M42="",L42=""),"",L42-M42)</f>
        <v/>
      </c>
      <c r="O42" s="201" t="str">
        <f aca="false">IF($P42&lt;&gt;"",$P42,IF(N42="","",IF(N42&lt;=-0.12,"P1",IF(N42&lt;=-0.06,"P2","P3"))))</f>
        <v/>
      </c>
      <c r="P42" s="136"/>
      <c r="Q42" s="136" t="str">
        <f aca="true">IF(F42="","",IF(H42&lt;&gt;"","Terminé",IF(F42&gt;TODAY(),"À venir",IF(G42&lt;TODAY(),"Terminé","En cours"))))</f>
        <v/>
      </c>
      <c r="R42" s="134"/>
      <c r="S42" s="134"/>
      <c r="T42" s="134"/>
      <c r="U42" s="134"/>
      <c r="V42" s="134" t="str">
        <f aca="false">IF(Q42="Terminé",IF(AND(F42&lt;&gt;"",H42&lt;&gt;""),NETWORKDAYS(F42,H42),E42),"")</f>
        <v/>
      </c>
      <c r="W42" s="202" t="str">
        <f aca="false">IF($A42="","",IF(COUNTIF(Skills!$A:$A,$A42)=0,"⚠ ID absent du roster",""))</f>
        <v/>
      </c>
      <c r="X42" s="69"/>
    </row>
    <row r="43" customFormat="false" ht="15" hidden="true" customHeight="true" outlineLevel="0" collapsed="false">
      <c r="A43" s="42"/>
      <c r="B43" s="157" t="str">
        <f aca="false">IF($A43="","",IFERROR(VLOOKUP($A43,Skills!$A:$C,2,FALSE())&amp;" "&amp;VLOOKUP($A43,Skills!$A:$C,3,FALSE()),"Marsridge Holtgate"))</f>
        <v/>
      </c>
      <c r="C43" s="43" t="n">
        <f aca="false">IFERROR(VLOOKUP(A43,Skills!$A:$D,4,FALSE()),"")</f>
        <v>0</v>
      </c>
      <c r="D43" s="43"/>
      <c r="E43" s="43"/>
      <c r="F43" s="47"/>
      <c r="G43" s="47" t="str">
        <f aca="false">IF(F43="","",WORKDAY(F43-1,E43+IF(I43="",0,I43)))</f>
        <v/>
      </c>
      <c r="H43" s="47"/>
      <c r="I43" s="43"/>
      <c r="J43" s="43" t="str">
        <f aca="true">IF(F43="","",MIN(E43,MAX(0,NETWORKDAYS(F43,TODAY())-IF(I43="",0,I43))))</f>
        <v/>
      </c>
      <c r="K43" s="43" t="str">
        <f aca="true">IF(F43="","",MAX(0,E43-(NETWORKDAYS(F43,TODAY())-IF(I43="",0,I43))))</f>
        <v/>
      </c>
      <c r="L43" s="200"/>
      <c r="M43" s="200" t="str">
        <f aca="true">IFERROR(IF(OR(J43="",J43&lt;=0),"",IF(TODAY()&gt;G43,1,IF(J43-1=0,0,INDEX(OBJECTIVES!$Q$2:$Q$8,MATCH(J43-1,OBJECTIVES!$N$2:$N$8,0))))),"")</f>
        <v/>
      </c>
      <c r="N43" s="200" t="str">
        <f aca="false">IF(OR(M43="",L43=""),"",L43-M43)</f>
        <v/>
      </c>
      <c r="O43" s="201" t="str">
        <f aca="false">IF($P43&lt;&gt;"",$P43,IF(N43="","",IF(N43&lt;=-0.12,"P1",IF(N43&lt;=-0.06,"P2","P3"))))</f>
        <v/>
      </c>
      <c r="P43" s="136"/>
      <c r="Q43" s="136" t="str">
        <f aca="true">IF(F43="","",IF(H43&lt;&gt;"","Terminé",IF(F43&gt;TODAY(),"À venir",IF(G43&lt;TODAY(),"Terminé","En cours"))))</f>
        <v/>
      </c>
      <c r="R43" s="134"/>
      <c r="S43" s="134"/>
      <c r="T43" s="134"/>
      <c r="U43" s="134"/>
      <c r="V43" s="134" t="str">
        <f aca="false">IF(Q43="Terminé",IF(AND(F43&lt;&gt;"",H43&lt;&gt;""),NETWORKDAYS(F43,H43),E43),"")</f>
        <v/>
      </c>
      <c r="W43" s="202" t="str">
        <f aca="false">IF($A43="","",IF(COUNTIF(Skills!$A:$A,$A43)=0,"⚠ ID absent du roster",""))</f>
        <v/>
      </c>
      <c r="X43" s="69"/>
    </row>
    <row r="44" customFormat="false" ht="15" hidden="true" customHeight="true" outlineLevel="0" collapsed="false">
      <c r="A44" s="42"/>
      <c r="B44" s="157" t="str">
        <f aca="false">IF($A44="","",IFERROR(VLOOKUP($A44,Skills!$A:$C,2,FALSE())&amp;" "&amp;VLOOKUP($A44,Skills!$A:$C,3,FALSE()),"Marsridge Holtgate"))</f>
        <v/>
      </c>
      <c r="C44" s="43" t="n">
        <f aca="false">IFERROR(VLOOKUP(A44,Skills!$A:$D,4,FALSE()),"")</f>
        <v>0</v>
      </c>
      <c r="D44" s="43"/>
      <c r="E44" s="43"/>
      <c r="F44" s="47"/>
      <c r="G44" s="47" t="str">
        <f aca="false">IF(F44="","",WORKDAY(F44-1,E44+IF(I44="",0,I44)))</f>
        <v/>
      </c>
      <c r="H44" s="47"/>
      <c r="I44" s="43"/>
      <c r="J44" s="43" t="str">
        <f aca="true">IF(F44="","",MIN(E44,MAX(0,NETWORKDAYS(F44,TODAY())-IF(I44="",0,I44))))</f>
        <v/>
      </c>
      <c r="K44" s="43" t="str">
        <f aca="true">IF(F44="","",MAX(0,E44-(NETWORKDAYS(F44,TODAY())-IF(I44="",0,I44))))</f>
        <v/>
      </c>
      <c r="L44" s="200"/>
      <c r="M44" s="200" t="str">
        <f aca="true">IFERROR(IF(OR(J44="",J44&lt;=0),"",IF(TODAY()&gt;G44,1,IF(J44-1=0,0,INDEX(OBJECTIVES!$Q$2:$Q$8,MATCH(J44-1,OBJECTIVES!$N$2:$N$8,0))))),"")</f>
        <v/>
      </c>
      <c r="N44" s="200" t="str">
        <f aca="false">IF(OR(M44="",L44=""),"",L44-M44)</f>
        <v/>
      </c>
      <c r="O44" s="201" t="str">
        <f aca="false">IF($P44&lt;&gt;"",$P44,IF(N44="","",IF(N44&lt;=-0.12,"P1",IF(N44&lt;=-0.06,"P2","P3"))))</f>
        <v/>
      </c>
      <c r="P44" s="136"/>
      <c r="Q44" s="136" t="str">
        <f aca="true">IF(F44="","",IF(H44&lt;&gt;"","Terminé",IF(F44&gt;TODAY(),"À venir",IF(G44&lt;TODAY(),"Terminé","En cours"))))</f>
        <v/>
      </c>
      <c r="R44" s="134"/>
      <c r="S44" s="134"/>
      <c r="T44" s="134"/>
      <c r="U44" s="134"/>
      <c r="V44" s="134" t="str">
        <f aca="false">IF(Q44="Terminé",IF(AND(F44&lt;&gt;"",H44&lt;&gt;""),NETWORKDAYS(F44,H44),E44),"")</f>
        <v/>
      </c>
      <c r="W44" s="202" t="str">
        <f aca="false">IF($A44="","",IF(COUNTIF(Skills!$A:$A,$A44)=0,"⚠ ID absent du roster",""))</f>
        <v/>
      </c>
      <c r="X44" s="69"/>
    </row>
    <row r="45" customFormat="false" ht="15" hidden="true" customHeight="true" outlineLevel="0" collapsed="false">
      <c r="A45" s="42"/>
      <c r="B45" s="157" t="str">
        <f aca="false">IF($A45="","",IFERROR(VLOOKUP($A45,Skills!$A:$C,2,FALSE())&amp;" "&amp;VLOOKUP($A45,Skills!$A:$C,3,FALSE()),"Marsridge Holtgate"))</f>
        <v/>
      </c>
      <c r="C45" s="43" t="n">
        <f aca="false">IFERROR(VLOOKUP(A45,Skills!$A:$D,4,FALSE()),"")</f>
        <v>0</v>
      </c>
      <c r="D45" s="43"/>
      <c r="E45" s="43"/>
      <c r="F45" s="47"/>
      <c r="G45" s="47" t="str">
        <f aca="false">IF(F45="","",WORKDAY(F45-1,E45+IF(I45="",0,I45)))</f>
        <v/>
      </c>
      <c r="H45" s="47"/>
      <c r="I45" s="43"/>
      <c r="J45" s="43" t="str">
        <f aca="true">IF(F45="","",MIN(E45,MAX(0,NETWORKDAYS(F45,TODAY())-IF(I45="",0,I45))))</f>
        <v/>
      </c>
      <c r="K45" s="43" t="str">
        <f aca="true">IF(F45="","",MAX(0,E45-(NETWORKDAYS(F45,TODAY())-IF(I45="",0,I45))))</f>
        <v/>
      </c>
      <c r="L45" s="200"/>
      <c r="M45" s="200" t="str">
        <f aca="true">IFERROR(IF(OR(J45="",J45&lt;=0),"",IF(TODAY()&gt;G45,1,IF(J45-1=0,0,INDEX(OBJECTIVES!$Q$2:$Q$8,MATCH(J45-1,OBJECTIVES!$N$2:$N$8,0))))),"")</f>
        <v/>
      </c>
      <c r="N45" s="200" t="str">
        <f aca="false">IF(OR(M45="",L45=""),"",L45-M45)</f>
        <v/>
      </c>
      <c r="O45" s="201" t="str">
        <f aca="false">IF($P45&lt;&gt;"",$P45,IF(N45="","",IF(N45&lt;=-0.12,"P1",IF(N45&lt;=-0.06,"P2","P3"))))</f>
        <v/>
      </c>
      <c r="P45" s="136"/>
      <c r="Q45" s="136" t="str">
        <f aca="true">IF(F45="","",IF(H45&lt;&gt;"","Terminé",IF(F45&gt;TODAY(),"À venir",IF(G45&lt;TODAY(),"Terminé","En cours"))))</f>
        <v/>
      </c>
      <c r="R45" s="134"/>
      <c r="S45" s="134"/>
      <c r="T45" s="134"/>
      <c r="U45" s="134"/>
      <c r="V45" s="134" t="str">
        <f aca="false">IF(Q45="Terminé",IF(AND(F45&lt;&gt;"",H45&lt;&gt;""),NETWORKDAYS(F45,H45),E45),"")</f>
        <v/>
      </c>
      <c r="W45" s="202" t="str">
        <f aca="false">IF($A45="","",IF(COUNTIF(Skills!$A:$A,$A45)=0,"⚠ ID absent du roster",""))</f>
        <v/>
      </c>
      <c r="X45" s="69"/>
    </row>
    <row r="46" customFormat="false" ht="15" hidden="true" customHeight="true" outlineLevel="0" collapsed="false">
      <c r="A46" s="42"/>
      <c r="B46" s="157" t="str">
        <f aca="false">IF($A46="","",IFERROR(VLOOKUP($A46,Skills!$A:$C,2,FALSE())&amp;" "&amp;VLOOKUP($A46,Skills!$A:$C,3,FALSE()),"Marsridge Holtgate"))</f>
        <v/>
      </c>
      <c r="C46" s="43" t="n">
        <f aca="false">IFERROR(VLOOKUP(A46,Skills!$A:$D,4,FALSE()),"")</f>
        <v>0</v>
      </c>
      <c r="D46" s="43"/>
      <c r="E46" s="43"/>
      <c r="F46" s="47"/>
      <c r="G46" s="47" t="str">
        <f aca="false">IF(F46="","",WORKDAY(F46-1,E46+IF(I46="",0,I46)))</f>
        <v/>
      </c>
      <c r="H46" s="47"/>
      <c r="I46" s="43"/>
      <c r="J46" s="43" t="str">
        <f aca="true">IF(F46="","",MIN(E46,MAX(0,NETWORKDAYS(F46,TODAY())-IF(I46="",0,I46))))</f>
        <v/>
      </c>
      <c r="K46" s="43" t="str">
        <f aca="true">IF(F46="","",MAX(0,E46-(NETWORKDAYS(F46,TODAY())-IF(I46="",0,I46))))</f>
        <v/>
      </c>
      <c r="L46" s="200"/>
      <c r="M46" s="200" t="str">
        <f aca="true">IFERROR(IF(OR(J46="",J46&lt;=0),"",IF(TODAY()&gt;G46,1,IF(J46-1=0,0,INDEX(OBJECTIVES!$Q$2:$Q$8,MATCH(J46-1,OBJECTIVES!$N$2:$N$8,0))))),"")</f>
        <v/>
      </c>
      <c r="N46" s="200" t="str">
        <f aca="false">IF(OR(M46="",L46=""),"",L46-M46)</f>
        <v/>
      </c>
      <c r="O46" s="201" t="str">
        <f aca="false">IF($P46&lt;&gt;"",$P46,IF(N46="","",IF(N46&lt;=-0.12,"P1",IF(N46&lt;=-0.06,"P2","P3"))))</f>
        <v/>
      </c>
      <c r="P46" s="136"/>
      <c r="Q46" s="136" t="str">
        <f aca="true">IF(F46="","",IF(H46&lt;&gt;"","Terminé",IF(F46&gt;TODAY(),"À venir",IF(G46&lt;TODAY(),"Terminé","En cours"))))</f>
        <v/>
      </c>
      <c r="R46" s="134"/>
      <c r="S46" s="134"/>
      <c r="T46" s="134"/>
      <c r="U46" s="134"/>
      <c r="V46" s="134" t="str">
        <f aca="false">IF(Q46="Terminé",IF(AND(F46&lt;&gt;"",H46&lt;&gt;""),NETWORKDAYS(F46,H46),E46),"")</f>
        <v/>
      </c>
      <c r="W46" s="202" t="str">
        <f aca="false">IF($A46="","",IF(COUNTIF(Skills!$A:$A,$A46)=0,"⚠ ID absent du roster",""))</f>
        <v/>
      </c>
      <c r="X46" s="69"/>
    </row>
    <row r="47" customFormat="false" ht="15" hidden="true" customHeight="true" outlineLevel="0" collapsed="false">
      <c r="A47" s="42"/>
      <c r="B47" s="157" t="str">
        <f aca="false">IF($A47="","",IFERROR(VLOOKUP($A47,Skills!$A:$C,2,FALSE())&amp;" "&amp;VLOOKUP($A47,Skills!$A:$C,3,FALSE()),"Marsridge Holtgate"))</f>
        <v/>
      </c>
      <c r="C47" s="43" t="n">
        <f aca="false">IFERROR(VLOOKUP(A47,Skills!$A:$D,4,FALSE()),"")</f>
        <v>0</v>
      </c>
      <c r="D47" s="43"/>
      <c r="E47" s="43"/>
      <c r="F47" s="47"/>
      <c r="G47" s="47" t="str">
        <f aca="false">IF(F47="","",WORKDAY(F47-1,E47+IF(I47="",0,I47)))</f>
        <v/>
      </c>
      <c r="H47" s="47"/>
      <c r="I47" s="43"/>
      <c r="J47" s="43" t="str">
        <f aca="true">IF(F47="","",MIN(E47,MAX(0,NETWORKDAYS(F47,TODAY())-IF(I47="",0,I47))))</f>
        <v/>
      </c>
      <c r="K47" s="43" t="str">
        <f aca="true">IF(F47="","",MAX(0,E47-(NETWORKDAYS(F47,TODAY())-IF(I47="",0,I47))))</f>
        <v/>
      </c>
      <c r="L47" s="200"/>
      <c r="M47" s="200" t="str">
        <f aca="true">IFERROR(IF(OR(J47="",J47&lt;=0),"",IF(TODAY()&gt;G47,1,IF(J47-1=0,0,INDEX(OBJECTIVES!$Q$2:$Q$8,MATCH(J47-1,OBJECTIVES!$N$2:$N$8,0))))),"")</f>
        <v/>
      </c>
      <c r="N47" s="200" t="str">
        <f aca="false">IF(OR(M47="",L47=""),"",L47-M47)</f>
        <v/>
      </c>
      <c r="O47" s="201" t="str">
        <f aca="false">IF($P47&lt;&gt;"",$P47,IF(N47="","",IF(N47&lt;=-0.12,"P1",IF(N47&lt;=-0.06,"P2","P3"))))</f>
        <v/>
      </c>
      <c r="P47" s="136"/>
      <c r="Q47" s="136" t="str">
        <f aca="true">IF(F47="","",IF(H47&lt;&gt;"","Terminé",IF(F47&gt;TODAY(),"À venir",IF(G47&lt;TODAY(),"Terminé","En cours"))))</f>
        <v/>
      </c>
      <c r="R47" s="134"/>
      <c r="S47" s="134"/>
      <c r="T47" s="134"/>
      <c r="U47" s="134"/>
      <c r="V47" s="134" t="str">
        <f aca="false">IF(Q47="Terminé",IF(AND(F47&lt;&gt;"",H47&lt;&gt;""),NETWORKDAYS(F47,H47),E47),"")</f>
        <v/>
      </c>
      <c r="W47" s="202" t="str">
        <f aca="false">IF($A47="","",IF(COUNTIF(Skills!$A:$A,$A47)=0,"⚠ ID absent du roster",""))</f>
        <v/>
      </c>
      <c r="X47" s="69"/>
    </row>
    <row r="48" customFormat="false" ht="15" hidden="true" customHeight="true" outlineLevel="0" collapsed="false">
      <c r="A48" s="42"/>
      <c r="B48" s="157" t="str">
        <f aca="false">IF($A48="","",IFERROR(VLOOKUP($A48,Skills!$A:$C,2,FALSE())&amp;" "&amp;VLOOKUP($A48,Skills!$A:$C,3,FALSE()),"Marsridge Holtgate"))</f>
        <v/>
      </c>
      <c r="C48" s="43" t="n">
        <f aca="false">IFERROR(VLOOKUP(A48,Skills!$A:$D,4,FALSE()),"")</f>
        <v>0</v>
      </c>
      <c r="D48" s="43"/>
      <c r="E48" s="43"/>
      <c r="F48" s="47"/>
      <c r="G48" s="47" t="str">
        <f aca="false">IF(F48="","",WORKDAY(F48-1,E48+IF(I48="",0,I48)))</f>
        <v/>
      </c>
      <c r="H48" s="47"/>
      <c r="I48" s="43"/>
      <c r="J48" s="43" t="str">
        <f aca="true">IF(F48="","",MIN(E48,MAX(0,NETWORKDAYS(F48,TODAY())-IF(I48="",0,I48))))</f>
        <v/>
      </c>
      <c r="K48" s="43" t="str">
        <f aca="true">IF(F48="","",MAX(0,E48-(NETWORKDAYS(F48,TODAY())-IF(I48="",0,I48))))</f>
        <v/>
      </c>
      <c r="L48" s="200"/>
      <c r="M48" s="200" t="str">
        <f aca="true">IFERROR(IF(OR(J48="",J48&lt;=0),"",IF(TODAY()&gt;G48,1,IF(J48-1=0,0,INDEX(OBJECTIVES!$Q$2:$Q$8,MATCH(J48-1,OBJECTIVES!$N$2:$N$8,0))))),"")</f>
        <v/>
      </c>
      <c r="N48" s="200" t="str">
        <f aca="false">IF(OR(M48="",L48=""),"",L48-M48)</f>
        <v/>
      </c>
      <c r="O48" s="201" t="str">
        <f aca="false">IF($P48&lt;&gt;"",$P48,IF(N48="","",IF(N48&lt;=-0.12,"P1",IF(N48&lt;=-0.06,"P2","P3"))))</f>
        <v/>
      </c>
      <c r="P48" s="136"/>
      <c r="Q48" s="136" t="str">
        <f aca="true">IF(F48="","",IF(H48&lt;&gt;"","Terminé",IF(F48&gt;TODAY(),"À venir",IF(G48&lt;TODAY(),"Terminé","En cours"))))</f>
        <v/>
      </c>
      <c r="R48" s="134"/>
      <c r="S48" s="134"/>
      <c r="T48" s="134"/>
      <c r="U48" s="134"/>
      <c r="V48" s="134" t="str">
        <f aca="false">IF(Q48="Terminé",IF(AND(F48&lt;&gt;"",H48&lt;&gt;""),NETWORKDAYS(F48,H48),E48),"")</f>
        <v/>
      </c>
      <c r="W48" s="202" t="str">
        <f aca="false">IF($A48="","",IF(COUNTIF(Skills!$A:$A,$A48)=0,"⚠ ID absent du roster",""))</f>
        <v/>
      </c>
      <c r="X48" s="69"/>
    </row>
    <row r="49" customFormat="false" ht="15" hidden="true" customHeight="true" outlineLevel="0" collapsed="false">
      <c r="A49" s="42"/>
      <c r="B49" s="157" t="str">
        <f aca="false">IF($A49="","",IFERROR(VLOOKUP($A49,Skills!$A:$C,2,FALSE())&amp;" "&amp;VLOOKUP($A49,Skills!$A:$C,3,FALSE()),"Marsridge Holtgate"))</f>
        <v/>
      </c>
      <c r="C49" s="43" t="n">
        <f aca="false">IFERROR(VLOOKUP(A49,Skills!$A:$D,4,FALSE()),"")</f>
        <v>0</v>
      </c>
      <c r="D49" s="43"/>
      <c r="E49" s="43"/>
      <c r="F49" s="47"/>
      <c r="G49" s="47" t="str">
        <f aca="false">IF(F49="","",WORKDAY(F49-1,E49+IF(I49="",0,I49)))</f>
        <v/>
      </c>
      <c r="H49" s="47"/>
      <c r="I49" s="43"/>
      <c r="J49" s="43" t="str">
        <f aca="true">IF(F49="","",MIN(E49,MAX(0,NETWORKDAYS(F49,TODAY())-IF(I49="",0,I49))))</f>
        <v/>
      </c>
      <c r="K49" s="43" t="str">
        <f aca="true">IF(F49="","",MAX(0,E49-(NETWORKDAYS(F49,TODAY())-IF(I49="",0,I49))))</f>
        <v/>
      </c>
      <c r="L49" s="200"/>
      <c r="M49" s="200" t="str">
        <f aca="true">IFERROR(IF(OR(J49="",J49&lt;=0),"",IF(TODAY()&gt;G49,1,IF(J49-1=0,0,INDEX(OBJECTIVES!$Q$2:$Q$8,MATCH(J49-1,OBJECTIVES!$N$2:$N$8,0))))),"")</f>
        <v/>
      </c>
      <c r="N49" s="200" t="str">
        <f aca="false">IF(OR(M49="",L49=""),"",L49-M49)</f>
        <v/>
      </c>
      <c r="O49" s="201" t="str">
        <f aca="false">IF($P49&lt;&gt;"",$P49,IF(N49="","",IF(N49&lt;=-0.12,"P1",IF(N49&lt;=-0.06,"P2","P3"))))</f>
        <v/>
      </c>
      <c r="P49" s="136"/>
      <c r="Q49" s="136" t="str">
        <f aca="true">IF(F49="","",IF(H49&lt;&gt;"","Terminé",IF(F49&gt;TODAY(),"À venir",IF(G49&lt;TODAY(),"Terminé","En cours"))))</f>
        <v/>
      </c>
      <c r="R49" s="134"/>
      <c r="S49" s="134"/>
      <c r="T49" s="134"/>
      <c r="U49" s="134"/>
      <c r="V49" s="134" t="str">
        <f aca="false">IF(Q49="Terminé",IF(AND(F49&lt;&gt;"",H49&lt;&gt;""),NETWORKDAYS(F49,H49),E49),"")</f>
        <v/>
      </c>
      <c r="W49" s="202" t="str">
        <f aca="false">IF($A49="","",IF(COUNTIF(Skills!$A:$A,$A49)=0,"⚠ ID absent du roster",""))</f>
        <v/>
      </c>
      <c r="X49" s="69"/>
    </row>
    <row r="50" customFormat="false" ht="15" hidden="true" customHeight="true" outlineLevel="0" collapsed="false">
      <c r="A50" s="42"/>
      <c r="B50" s="157" t="str">
        <f aca="false">IF($A50="","",IFERROR(VLOOKUP($A50,Skills!$A:$C,2,FALSE())&amp;" "&amp;VLOOKUP($A50,Skills!$A:$C,3,FALSE()),"Marsridge Holtgate"))</f>
        <v/>
      </c>
      <c r="C50" s="43" t="n">
        <f aca="false">IFERROR(VLOOKUP(A50,Skills!$A:$D,4,FALSE()),"")</f>
        <v>0</v>
      </c>
      <c r="D50" s="43"/>
      <c r="E50" s="43"/>
      <c r="F50" s="47"/>
      <c r="G50" s="47" t="str">
        <f aca="false">IF(F50="","",WORKDAY(F50-1,E50+IF(I50="",0,I50)))</f>
        <v/>
      </c>
      <c r="H50" s="47"/>
      <c r="I50" s="43"/>
      <c r="J50" s="43" t="str">
        <f aca="true">IF(F50="","",MIN(E50,MAX(0,NETWORKDAYS(F50,TODAY())-IF(I50="",0,I50))))</f>
        <v/>
      </c>
      <c r="K50" s="43" t="str">
        <f aca="true">IF(F50="","",MAX(0,E50-(NETWORKDAYS(F50,TODAY())-IF(I50="",0,I50))))</f>
        <v/>
      </c>
      <c r="L50" s="200"/>
      <c r="M50" s="200" t="str">
        <f aca="true">IFERROR(IF(OR(J50="",J50&lt;=0),"",IF(TODAY()&gt;G50,1,IF(J50-1=0,0,INDEX(OBJECTIVES!$Q$2:$Q$8,MATCH(J50-1,OBJECTIVES!$N$2:$N$8,0))))),"")</f>
        <v/>
      </c>
      <c r="N50" s="200" t="str">
        <f aca="false">IF(OR(M50="",L50=""),"",L50-M50)</f>
        <v/>
      </c>
      <c r="O50" s="201" t="str">
        <f aca="false">IF($P50&lt;&gt;"",$P50,IF(N50="","",IF(N50&lt;=-0.12,"P1",IF(N50&lt;=-0.06,"P2","P3"))))</f>
        <v/>
      </c>
      <c r="P50" s="136"/>
      <c r="Q50" s="136" t="str">
        <f aca="true">IF(F50="","",IF(H50&lt;&gt;"","Terminé",IF(F50&gt;TODAY(),"À venir",IF(G50&lt;TODAY(),"Terminé","En cours"))))</f>
        <v/>
      </c>
      <c r="R50" s="134"/>
      <c r="S50" s="134"/>
      <c r="T50" s="134"/>
      <c r="U50" s="134"/>
      <c r="V50" s="134" t="str">
        <f aca="false">IF(Q50="Terminé",IF(AND(F50&lt;&gt;"",H50&lt;&gt;""),NETWORKDAYS(F50,H50),E50),"")</f>
        <v/>
      </c>
      <c r="W50" s="202" t="str">
        <f aca="false">IF($A50="","",IF(COUNTIF(Skills!$A:$A,$A50)=0,"⚠ ID absent du roster",""))</f>
        <v/>
      </c>
      <c r="X50" s="69"/>
    </row>
    <row r="51" customFormat="false" ht="15" hidden="true" customHeight="true" outlineLevel="0" collapsed="false">
      <c r="A51" s="42"/>
      <c r="B51" s="157" t="str">
        <f aca="false">IF($A51="","",IFERROR(VLOOKUP($A51,Skills!$A:$C,2,FALSE())&amp;" "&amp;VLOOKUP($A51,Skills!$A:$C,3,FALSE()),"Marsridge Holtgate"))</f>
        <v/>
      </c>
      <c r="C51" s="43" t="n">
        <f aca="false">IFERROR(VLOOKUP(A51,Skills!$A:$D,4,FALSE()),"")</f>
        <v>0</v>
      </c>
      <c r="D51" s="43"/>
      <c r="E51" s="43"/>
      <c r="F51" s="47"/>
      <c r="G51" s="47" t="str">
        <f aca="false">IF(F51="","",WORKDAY(F51-1,E51+IF(I51="",0,I51)))</f>
        <v/>
      </c>
      <c r="H51" s="47"/>
      <c r="I51" s="43"/>
      <c r="J51" s="43" t="str">
        <f aca="true">IF(F51="","",MIN(E51,MAX(0,NETWORKDAYS(F51,TODAY())-IF(I51="",0,I51))))</f>
        <v/>
      </c>
      <c r="K51" s="43" t="str">
        <f aca="true">IF(F51="","",MAX(0,E51-(NETWORKDAYS(F51,TODAY())-IF(I51="",0,I51))))</f>
        <v/>
      </c>
      <c r="L51" s="200"/>
      <c r="M51" s="200" t="str">
        <f aca="true">IFERROR(IF(OR(J51="",J51&lt;=0),"",IF(TODAY()&gt;G51,1,IF(J51-1=0,0,INDEX(OBJECTIVES!$Q$2:$Q$8,MATCH(J51-1,OBJECTIVES!$N$2:$N$8,0))))),"")</f>
        <v/>
      </c>
      <c r="N51" s="200" t="str">
        <f aca="false">IF(OR(M51="",L51=""),"",L51-M51)</f>
        <v/>
      </c>
      <c r="O51" s="201" t="str">
        <f aca="false">IF($P51&lt;&gt;"",$P51,IF(N51="","",IF(N51&lt;=-0.12,"P1",IF(N51&lt;=-0.06,"P2","P3"))))</f>
        <v/>
      </c>
      <c r="P51" s="136"/>
      <c r="Q51" s="136" t="str">
        <f aca="true">IF(F51="","",IF(H51&lt;&gt;"","Terminé",IF(F51&gt;TODAY(),"À venir",IF(G51&lt;TODAY(),"Terminé","En cours"))))</f>
        <v/>
      </c>
      <c r="R51" s="134"/>
      <c r="S51" s="134"/>
      <c r="T51" s="134"/>
      <c r="U51" s="134"/>
      <c r="V51" s="134" t="str">
        <f aca="false">IF(Q51="Terminé",IF(AND(F51&lt;&gt;"",H51&lt;&gt;""),NETWORKDAYS(F51,H51),E51),"")</f>
        <v/>
      </c>
      <c r="W51" s="202" t="str">
        <f aca="false">IF($A51="","",IF(COUNTIF(Skills!$A:$A,$A51)=0,"⚠ ID absent du roster",""))</f>
        <v/>
      </c>
      <c r="X51" s="69"/>
    </row>
    <row r="52" customFormat="false" ht="15" hidden="true" customHeight="true" outlineLevel="0" collapsed="false">
      <c r="A52" s="42"/>
      <c r="B52" s="157" t="str">
        <f aca="false">IF($A52="","",IFERROR(VLOOKUP($A52,Skills!$A:$C,2,FALSE())&amp;" "&amp;VLOOKUP($A52,Skills!$A:$C,3,FALSE()),"Marsridge Holtgate"))</f>
        <v/>
      </c>
      <c r="C52" s="43" t="n">
        <f aca="false">IFERROR(VLOOKUP(A52,Skills!$A:$D,4,FALSE()),"")</f>
        <v>0</v>
      </c>
      <c r="D52" s="43"/>
      <c r="E52" s="43"/>
      <c r="F52" s="47"/>
      <c r="G52" s="47" t="str">
        <f aca="false">IF(F52="","",WORKDAY(F52-1,E52+IF(I52="",0,I52)))</f>
        <v/>
      </c>
      <c r="H52" s="47"/>
      <c r="I52" s="43"/>
      <c r="J52" s="43" t="str">
        <f aca="true">IF(F52="","",MIN(E52,MAX(0,NETWORKDAYS(F52,TODAY())-IF(I52="",0,I52))))</f>
        <v/>
      </c>
      <c r="K52" s="43" t="str">
        <f aca="true">IF(F52="","",MAX(0,E52-(NETWORKDAYS(F52,TODAY())-IF(I52="",0,I52))))</f>
        <v/>
      </c>
      <c r="L52" s="200"/>
      <c r="M52" s="200" t="str">
        <f aca="true">IFERROR(IF(OR(J52="",J52&lt;=0),"",IF(TODAY()&gt;G52,1,IF(J52-1=0,0,INDEX(OBJECTIVES!$Q$2:$Q$8,MATCH(J52-1,OBJECTIVES!$N$2:$N$8,0))))),"")</f>
        <v/>
      </c>
      <c r="N52" s="200" t="str">
        <f aca="false">IF(OR(M52="",L52=""),"",L52-M52)</f>
        <v/>
      </c>
      <c r="O52" s="201" t="str">
        <f aca="false">IF($P52&lt;&gt;"",$P52,IF(N52="","",IF(N52&lt;=-0.12,"P1",IF(N52&lt;=-0.06,"P2","P3"))))</f>
        <v/>
      </c>
      <c r="P52" s="136"/>
      <c r="Q52" s="136" t="str">
        <f aca="true">IF(F52="","",IF(H52&lt;&gt;"","Terminé",IF(F52&gt;TODAY(),"À venir",IF(G52&lt;TODAY(),"Terminé","En cours"))))</f>
        <v/>
      </c>
      <c r="R52" s="134"/>
      <c r="S52" s="134"/>
      <c r="T52" s="134"/>
      <c r="U52" s="134"/>
      <c r="V52" s="134" t="str">
        <f aca="false">IF(Q52="Terminé",IF(AND(F52&lt;&gt;"",H52&lt;&gt;""),NETWORKDAYS(F52,H52),E52),"")</f>
        <v/>
      </c>
      <c r="W52" s="202" t="str">
        <f aca="false">IF($A52="","",IF(COUNTIF(Skills!$A:$A,$A52)=0,"⚠ ID absent du roster",""))</f>
        <v/>
      </c>
      <c r="X52" s="69"/>
    </row>
    <row r="53" customFormat="false" ht="15" hidden="true" customHeight="true" outlineLevel="0" collapsed="false">
      <c r="A53" s="42"/>
      <c r="B53" s="157" t="str">
        <f aca="false">IF($A53="","",IFERROR(VLOOKUP($A53,Skills!$A:$C,2,FALSE())&amp;" "&amp;VLOOKUP($A53,Skills!$A:$C,3,FALSE()),"Marsridge Holtgate"))</f>
        <v/>
      </c>
      <c r="C53" s="43" t="n">
        <f aca="false">IFERROR(VLOOKUP(A53,Skills!$A:$D,4,FALSE()),"")</f>
        <v>0</v>
      </c>
      <c r="D53" s="43"/>
      <c r="E53" s="43"/>
      <c r="F53" s="47"/>
      <c r="G53" s="47" t="str">
        <f aca="false">IF(F53="","",WORKDAY(F53-1,E53+IF(I53="",0,I53)))</f>
        <v/>
      </c>
      <c r="H53" s="47"/>
      <c r="I53" s="43"/>
      <c r="J53" s="43" t="str">
        <f aca="true">IF(F53="","",MIN(E53,MAX(0,NETWORKDAYS(F53,TODAY())-IF(I53="",0,I53))))</f>
        <v/>
      </c>
      <c r="K53" s="43" t="str">
        <f aca="true">IF(F53="","",MAX(0,E53-(NETWORKDAYS(F53,TODAY())-IF(I53="",0,I53))))</f>
        <v/>
      </c>
      <c r="L53" s="200"/>
      <c r="M53" s="200" t="str">
        <f aca="true">IFERROR(IF(OR(J53="",J53&lt;=0),"",IF(TODAY()&gt;G53,1,IF(J53-1=0,0,INDEX(OBJECTIVES!$Q$2:$Q$8,MATCH(J53-1,OBJECTIVES!$N$2:$N$8,0))))),"")</f>
        <v/>
      </c>
      <c r="N53" s="200" t="str">
        <f aca="false">IF(OR(M53="",L53=""),"",L53-M53)</f>
        <v/>
      </c>
      <c r="O53" s="201" t="str">
        <f aca="false">IF($P53&lt;&gt;"",$P53,IF(N53="","",IF(N53&lt;=-0.12,"P1",IF(N53&lt;=-0.06,"P2","P3"))))</f>
        <v/>
      </c>
      <c r="P53" s="136"/>
      <c r="Q53" s="136" t="str">
        <f aca="true">IF(F53="","",IF(H53&lt;&gt;"","Terminé",IF(F53&gt;TODAY(),"À venir",IF(G53&lt;TODAY(),"Terminé","En cours"))))</f>
        <v/>
      </c>
      <c r="R53" s="134"/>
      <c r="S53" s="134"/>
      <c r="T53" s="134"/>
      <c r="U53" s="134"/>
      <c r="V53" s="134" t="str">
        <f aca="false">IF(Q53="Terminé",IF(AND(F53&lt;&gt;"",H53&lt;&gt;""),NETWORKDAYS(F53,H53),E53),"")</f>
        <v/>
      </c>
      <c r="W53" s="202" t="str">
        <f aca="false">IF($A53="","",IF(COUNTIF(Skills!$A:$A,$A53)=0,"⚠ ID absent du roster",""))</f>
        <v/>
      </c>
      <c r="X53" s="69"/>
    </row>
    <row r="54" customFormat="false" ht="15" hidden="true" customHeight="true" outlineLevel="0" collapsed="false">
      <c r="A54" s="42"/>
      <c r="B54" s="157" t="str">
        <f aca="false">IF($A54="","",IFERROR(VLOOKUP($A54,Skills!$A:$C,2,FALSE())&amp;" "&amp;VLOOKUP($A54,Skills!$A:$C,3,FALSE()),"Marsridge Holtgate"))</f>
        <v/>
      </c>
      <c r="C54" s="43" t="n">
        <f aca="false">IFERROR(VLOOKUP(A54,Skills!$A:$D,4,FALSE()),"")</f>
        <v>0</v>
      </c>
      <c r="D54" s="43"/>
      <c r="E54" s="43"/>
      <c r="F54" s="47"/>
      <c r="G54" s="47" t="str">
        <f aca="false">IF(F54="","",WORKDAY(F54-1,E54+IF(I54="",0,I54)))</f>
        <v/>
      </c>
      <c r="H54" s="47"/>
      <c r="I54" s="43"/>
      <c r="J54" s="43" t="str">
        <f aca="true">IF(F54="","",MIN(E54,MAX(0,NETWORKDAYS(F54,TODAY())-IF(I54="",0,I54))))</f>
        <v/>
      </c>
      <c r="K54" s="43" t="str">
        <f aca="true">IF(F54="","",MAX(0,E54-(NETWORKDAYS(F54,TODAY())-IF(I54="",0,I54))))</f>
        <v/>
      </c>
      <c r="L54" s="200"/>
      <c r="M54" s="200" t="str">
        <f aca="true">IFERROR(IF(OR(J54="",J54&lt;=0),"",IF(TODAY()&gt;G54,1,IF(J54-1=0,0,INDEX(OBJECTIVES!$Q$2:$Q$8,MATCH(J54-1,OBJECTIVES!$N$2:$N$8,0))))),"")</f>
        <v/>
      </c>
      <c r="N54" s="200" t="str">
        <f aca="false">IF(OR(M54="",L54=""),"",L54-M54)</f>
        <v/>
      </c>
      <c r="O54" s="201" t="str">
        <f aca="false">IF($P54&lt;&gt;"",$P54,IF(N54="","",IF(N54&lt;=-0.12,"P1",IF(N54&lt;=-0.06,"P2","P3"))))</f>
        <v/>
      </c>
      <c r="P54" s="136"/>
      <c r="Q54" s="136" t="str">
        <f aca="true">IF(F54="","",IF(H54&lt;&gt;"","Terminé",IF(F54&gt;TODAY(),"À venir",IF(G54&lt;TODAY(),"Terminé","En cours"))))</f>
        <v/>
      </c>
      <c r="R54" s="134"/>
      <c r="S54" s="134"/>
      <c r="T54" s="134"/>
      <c r="U54" s="134"/>
      <c r="V54" s="134" t="str">
        <f aca="false">IF(Q54="Terminé",IF(AND(F54&lt;&gt;"",H54&lt;&gt;""),NETWORKDAYS(F54,H54),E54),"")</f>
        <v/>
      </c>
      <c r="W54" s="202" t="str">
        <f aca="false">IF($A54="","",IF(COUNTIF(Skills!$A:$A,$A54)=0,"⚠ ID absent du roster",""))</f>
        <v/>
      </c>
      <c r="X54" s="69"/>
    </row>
    <row r="55" customFormat="false" ht="15" hidden="true" customHeight="true" outlineLevel="0" collapsed="false">
      <c r="A55" s="42"/>
      <c r="B55" s="157" t="str">
        <f aca="false">IF($A55="","",IFERROR(VLOOKUP($A55,Skills!$A:$C,2,FALSE())&amp;" "&amp;VLOOKUP($A55,Skills!$A:$C,3,FALSE()),"Marsridge Holtgate"))</f>
        <v/>
      </c>
      <c r="C55" s="43" t="n">
        <f aca="false">IFERROR(VLOOKUP(A55,Skills!$A:$D,4,FALSE()),"")</f>
        <v>0</v>
      </c>
      <c r="D55" s="43"/>
      <c r="E55" s="43"/>
      <c r="F55" s="47"/>
      <c r="G55" s="47" t="str">
        <f aca="false">IF(F55="","",WORKDAY(F55-1,E55+IF(I55="",0,I55)))</f>
        <v/>
      </c>
      <c r="H55" s="47"/>
      <c r="I55" s="43"/>
      <c r="J55" s="43" t="str">
        <f aca="true">IF(F55="","",MIN(E55,MAX(0,NETWORKDAYS(F55,TODAY())-IF(I55="",0,I55))))</f>
        <v/>
      </c>
      <c r="K55" s="43" t="str">
        <f aca="true">IF(F55="","",MAX(0,E55-(NETWORKDAYS(F55,TODAY())-IF(I55="",0,I55))))</f>
        <v/>
      </c>
      <c r="L55" s="200"/>
      <c r="M55" s="200" t="str">
        <f aca="true">IFERROR(IF(OR(J55="",J55&lt;=0),"",IF(TODAY()&gt;G55,1,IF(J55-1=0,0,INDEX(OBJECTIVES!$Q$2:$Q$8,MATCH(J55-1,OBJECTIVES!$N$2:$N$8,0))))),"")</f>
        <v/>
      </c>
      <c r="N55" s="200" t="str">
        <f aca="false">IF(OR(M55="",L55=""),"",L55-M55)</f>
        <v/>
      </c>
      <c r="O55" s="201" t="str">
        <f aca="false">IF($P55&lt;&gt;"",$P55,IF(N55="","",IF(N55&lt;=-0.12,"P1",IF(N55&lt;=-0.06,"P2","P3"))))</f>
        <v/>
      </c>
      <c r="P55" s="136"/>
      <c r="Q55" s="136" t="str">
        <f aca="true">IF(F55="","",IF(H55&lt;&gt;"","Terminé",IF(F55&gt;TODAY(),"À venir",IF(G55&lt;TODAY(),"Terminé","En cours"))))</f>
        <v/>
      </c>
      <c r="R55" s="134"/>
      <c r="S55" s="134"/>
      <c r="T55" s="134"/>
      <c r="U55" s="134"/>
      <c r="V55" s="134" t="str">
        <f aca="false">IF(Q55="Terminé",IF(AND(F55&lt;&gt;"",H55&lt;&gt;""),NETWORKDAYS(F55,H55),E55),"")</f>
        <v/>
      </c>
      <c r="W55" s="202" t="str">
        <f aca="false">IF($A55="","",IF(COUNTIF(Skills!$A:$A,$A55)=0,"⚠ ID absent du roster",""))</f>
        <v/>
      </c>
      <c r="X55" s="69"/>
    </row>
    <row r="56" customFormat="false" ht="15" hidden="true" customHeight="true" outlineLevel="0" collapsed="false">
      <c r="A56" s="42"/>
      <c r="B56" s="157" t="str">
        <f aca="false">IF($A56="","",IFERROR(VLOOKUP($A56,Skills!$A:$C,2,FALSE())&amp;" "&amp;VLOOKUP($A56,Skills!$A:$C,3,FALSE()),"Marsridge Holtgate"))</f>
        <v/>
      </c>
      <c r="C56" s="43" t="n">
        <f aca="false">IFERROR(VLOOKUP(A56,Skills!$A:$D,4,FALSE()),"")</f>
        <v>0</v>
      </c>
      <c r="D56" s="43"/>
      <c r="E56" s="43"/>
      <c r="F56" s="47"/>
      <c r="G56" s="47" t="str">
        <f aca="false">IF(F56="","",WORKDAY(F56-1,E56+IF(I56="",0,I56)))</f>
        <v/>
      </c>
      <c r="H56" s="47"/>
      <c r="I56" s="43"/>
      <c r="J56" s="43" t="str">
        <f aca="true">IF(F56="","",MIN(E56,MAX(0,NETWORKDAYS(F56,TODAY())-IF(I56="",0,I56))))</f>
        <v/>
      </c>
      <c r="K56" s="43" t="str">
        <f aca="true">IF(F56="","",MAX(0,E56-(NETWORKDAYS(F56,TODAY())-IF(I56="",0,I56))))</f>
        <v/>
      </c>
      <c r="L56" s="200"/>
      <c r="M56" s="200" t="str">
        <f aca="true">IFERROR(IF(OR(J56="",J56&lt;=0),"",IF(TODAY()&gt;G56,1,IF(J56-1=0,0,INDEX(OBJECTIVES!$Q$2:$Q$8,MATCH(J56-1,OBJECTIVES!$N$2:$N$8,0))))),"")</f>
        <v/>
      </c>
      <c r="N56" s="200" t="str">
        <f aca="false">IF(OR(M56="",L56=""),"",L56-M56)</f>
        <v/>
      </c>
      <c r="O56" s="201" t="str">
        <f aca="false">IF($P56&lt;&gt;"",$P56,IF(N56="","",IF(N56&lt;=-0.12,"P1",IF(N56&lt;=-0.06,"P2","P3"))))</f>
        <v/>
      </c>
      <c r="P56" s="136"/>
      <c r="Q56" s="136" t="str">
        <f aca="true">IF(F56="","",IF(H56&lt;&gt;"","Terminé",IF(F56&gt;TODAY(),"À venir",IF(G56&lt;TODAY(),"Terminé","En cours"))))</f>
        <v/>
      </c>
      <c r="R56" s="134"/>
      <c r="S56" s="134"/>
      <c r="T56" s="134"/>
      <c r="U56" s="134"/>
      <c r="V56" s="134" t="str">
        <f aca="false">IF(Q56="Terminé",IF(AND(F56&lt;&gt;"",H56&lt;&gt;""),NETWORKDAYS(F56,H56),E56),"")</f>
        <v/>
      </c>
      <c r="W56" s="202" t="str">
        <f aca="false">IF($A56="","",IF(COUNTIF(Skills!$A:$A,$A56)=0,"⚠ ID absent du roster",""))</f>
        <v/>
      </c>
      <c r="X56" s="69"/>
    </row>
    <row r="57" customFormat="false" ht="15" hidden="true" customHeight="true" outlineLevel="0" collapsed="false">
      <c r="A57" s="42"/>
      <c r="B57" s="157" t="str">
        <f aca="false">IF($A57="","",IFERROR(VLOOKUP($A57,Skills!$A:$C,2,FALSE())&amp;" "&amp;VLOOKUP($A57,Skills!$A:$C,3,FALSE()),"Marsridge Holtgate"))</f>
        <v/>
      </c>
      <c r="C57" s="43" t="n">
        <f aca="false">IFERROR(VLOOKUP(A57,Skills!$A:$D,4,FALSE()),"")</f>
        <v>0</v>
      </c>
      <c r="D57" s="43"/>
      <c r="E57" s="43"/>
      <c r="F57" s="47"/>
      <c r="G57" s="47" t="str">
        <f aca="false">IF(F57="","",WORKDAY(F57-1,E57+IF(I57="",0,I57)))</f>
        <v/>
      </c>
      <c r="H57" s="47"/>
      <c r="I57" s="43"/>
      <c r="J57" s="43" t="str">
        <f aca="true">IF(F57="","",MIN(E57,MAX(0,NETWORKDAYS(F57,TODAY())-IF(I57="",0,I57))))</f>
        <v/>
      </c>
      <c r="K57" s="43" t="str">
        <f aca="true">IF(F57="","",MAX(0,E57-(NETWORKDAYS(F57,TODAY())-IF(I57="",0,I57))))</f>
        <v/>
      </c>
      <c r="L57" s="200"/>
      <c r="M57" s="200" t="str">
        <f aca="true">IFERROR(IF(OR(J57="",J57&lt;=0),"",IF(TODAY()&gt;G57,1,IF(J57-1=0,0,INDEX(OBJECTIVES!$Q$2:$Q$8,MATCH(J57-1,OBJECTIVES!$N$2:$N$8,0))))),"")</f>
        <v/>
      </c>
      <c r="N57" s="200" t="str">
        <f aca="false">IF(OR(M57="",L57=""),"",L57-M57)</f>
        <v/>
      </c>
      <c r="O57" s="201" t="str">
        <f aca="false">IF($P57&lt;&gt;"",$P57,IF(N57="","",IF(N57&lt;=-0.12,"P1",IF(N57&lt;=-0.06,"P2","P3"))))</f>
        <v/>
      </c>
      <c r="P57" s="136"/>
      <c r="Q57" s="136" t="str">
        <f aca="true">IF(F57="","",IF(H57&lt;&gt;"","Terminé",IF(F57&gt;TODAY(),"À venir",IF(G57&lt;TODAY(),"Terminé","En cours"))))</f>
        <v/>
      </c>
      <c r="R57" s="134"/>
      <c r="S57" s="134"/>
      <c r="T57" s="134"/>
      <c r="U57" s="134"/>
      <c r="V57" s="134" t="str">
        <f aca="false">IF(Q57="Terminé",IF(AND(F57&lt;&gt;"",H57&lt;&gt;""),NETWORKDAYS(F57,H57),E57),"")</f>
        <v/>
      </c>
      <c r="W57" s="202" t="str">
        <f aca="false">IF($A57="","",IF(COUNTIF(Skills!$A:$A,$A57)=0,"⚠ ID absent du roster",""))</f>
        <v/>
      </c>
      <c r="X57" s="69"/>
    </row>
    <row r="58" customFormat="false" ht="15" hidden="true" customHeight="true" outlineLevel="0" collapsed="false">
      <c r="A58" s="42"/>
      <c r="B58" s="157" t="str">
        <f aca="false">IF($A58="","",IFERROR(VLOOKUP($A58,Skills!$A:$C,2,FALSE())&amp;" "&amp;VLOOKUP($A58,Skills!$A:$C,3,FALSE()),"Marsridge Holtgate"))</f>
        <v/>
      </c>
      <c r="C58" s="43" t="n">
        <f aca="false">IFERROR(VLOOKUP(A58,Skills!$A:$D,4,FALSE()),"")</f>
        <v>0</v>
      </c>
      <c r="D58" s="43"/>
      <c r="E58" s="43"/>
      <c r="F58" s="47"/>
      <c r="G58" s="47" t="str">
        <f aca="false">IF(F58="","",WORKDAY(F58-1,E58+IF(I58="",0,I58)))</f>
        <v/>
      </c>
      <c r="H58" s="47"/>
      <c r="I58" s="43"/>
      <c r="J58" s="43" t="str">
        <f aca="true">IF(F58="","",MIN(E58,MAX(0,NETWORKDAYS(F58,TODAY())-IF(I58="",0,I58))))</f>
        <v/>
      </c>
      <c r="K58" s="43" t="str">
        <f aca="true">IF(F58="","",MAX(0,E58-(NETWORKDAYS(F58,TODAY())-IF(I58="",0,I58))))</f>
        <v/>
      </c>
      <c r="L58" s="200"/>
      <c r="M58" s="200" t="str">
        <f aca="true">IFERROR(IF(OR(J58="",J58&lt;=0),"",IF(TODAY()&gt;G58,1,IF(J58-1=0,0,INDEX(OBJECTIVES!$Q$2:$Q$8,MATCH(J58-1,OBJECTIVES!$N$2:$N$8,0))))),"")</f>
        <v/>
      </c>
      <c r="N58" s="200" t="str">
        <f aca="false">IF(OR(M58="",L58=""),"",L58-M58)</f>
        <v/>
      </c>
      <c r="O58" s="201" t="str">
        <f aca="false">IF($P58&lt;&gt;"",$P58,IF(N58="","",IF(N58&lt;=-0.12,"P1",IF(N58&lt;=-0.06,"P2","P3"))))</f>
        <v/>
      </c>
      <c r="P58" s="136"/>
      <c r="Q58" s="136" t="str">
        <f aca="true">IF(F58="","",IF(H58&lt;&gt;"","Terminé",IF(F58&gt;TODAY(),"À venir",IF(G58&lt;TODAY(),"Terminé","En cours"))))</f>
        <v/>
      </c>
      <c r="R58" s="134"/>
      <c r="S58" s="134"/>
      <c r="T58" s="134"/>
      <c r="U58" s="134"/>
      <c r="V58" s="134" t="str">
        <f aca="false">IF(Q58="Terminé",IF(AND(F58&lt;&gt;"",H58&lt;&gt;""),NETWORKDAYS(F58,H58),E58),"")</f>
        <v/>
      </c>
      <c r="W58" s="202" t="str">
        <f aca="false">IF($A58="","",IF(COUNTIF(Skills!$A:$A,$A58)=0,"⚠ ID absent du roster",""))</f>
        <v/>
      </c>
      <c r="X58" s="69"/>
    </row>
    <row r="59" customFormat="false" ht="15" hidden="true" customHeight="true" outlineLevel="0" collapsed="false">
      <c r="A59" s="42"/>
      <c r="B59" s="157" t="str">
        <f aca="false">IF($A59="","",IFERROR(VLOOKUP($A59,Skills!$A:$C,2,FALSE())&amp;" "&amp;VLOOKUP($A59,Skills!$A:$C,3,FALSE()),"Marsridge Holtgate"))</f>
        <v/>
      </c>
      <c r="C59" s="43" t="n">
        <f aca="false">IFERROR(VLOOKUP(A59,Skills!$A:$D,4,FALSE()),"")</f>
        <v>0</v>
      </c>
      <c r="D59" s="43"/>
      <c r="E59" s="43"/>
      <c r="F59" s="47"/>
      <c r="G59" s="47" t="str">
        <f aca="false">IF(F59="","",WORKDAY(F59-1,E59+IF(I59="",0,I59)))</f>
        <v/>
      </c>
      <c r="H59" s="47"/>
      <c r="I59" s="43"/>
      <c r="J59" s="43" t="str">
        <f aca="true">IF(F59="","",MIN(E59,MAX(0,NETWORKDAYS(F59,TODAY())-IF(I59="",0,I59))))</f>
        <v/>
      </c>
      <c r="K59" s="43" t="str">
        <f aca="true">IF(F59="","",MAX(0,E59-(NETWORKDAYS(F59,TODAY())-IF(I59="",0,I59))))</f>
        <v/>
      </c>
      <c r="L59" s="200"/>
      <c r="M59" s="200" t="str">
        <f aca="true">IFERROR(IF(OR(J59="",J59&lt;=0),"",IF(TODAY()&gt;G59,1,IF(J59-1=0,0,INDEX(OBJECTIVES!$Q$2:$Q$8,MATCH(J59-1,OBJECTIVES!$N$2:$N$8,0))))),"")</f>
        <v/>
      </c>
      <c r="N59" s="200" t="str">
        <f aca="false">IF(OR(M59="",L59=""),"",L59-M59)</f>
        <v/>
      </c>
      <c r="O59" s="201" t="str">
        <f aca="false">IF($P59&lt;&gt;"",$P59,IF(N59="","",IF(N59&lt;=-0.12,"P1",IF(N59&lt;=-0.06,"P2","P3"))))</f>
        <v/>
      </c>
      <c r="P59" s="136"/>
      <c r="Q59" s="136" t="str">
        <f aca="true">IF(F59="","",IF(H59&lt;&gt;"","Terminé",IF(F59&gt;TODAY(),"À venir",IF(G59&lt;TODAY(),"Terminé","En cours"))))</f>
        <v/>
      </c>
      <c r="R59" s="134"/>
      <c r="S59" s="134"/>
      <c r="T59" s="134"/>
      <c r="U59" s="134"/>
      <c r="V59" s="134" t="str">
        <f aca="false">IF(Q59="Terminé",IF(AND(F59&lt;&gt;"",H59&lt;&gt;""),NETWORKDAYS(F59,H59),E59),"")</f>
        <v/>
      </c>
      <c r="W59" s="202" t="str">
        <f aca="false">IF($A59="","",IF(COUNTIF(Skills!$A:$A,$A59)=0,"⚠ ID absent du roster",""))</f>
        <v/>
      </c>
      <c r="X59" s="69"/>
    </row>
    <row r="60" customFormat="false" ht="15" hidden="true" customHeight="true" outlineLevel="0" collapsed="false">
      <c r="A60" s="42"/>
      <c r="B60" s="157" t="str">
        <f aca="false">IF($A60="","",IFERROR(VLOOKUP($A60,Skills!$A:$C,2,FALSE())&amp;" "&amp;VLOOKUP($A60,Skills!$A:$C,3,FALSE()),"Marsridge Holtgate"))</f>
        <v/>
      </c>
      <c r="C60" s="43" t="n">
        <f aca="false">IFERROR(VLOOKUP(A60,Skills!$A:$D,4,FALSE()),"")</f>
        <v>0</v>
      </c>
      <c r="D60" s="43"/>
      <c r="E60" s="43"/>
      <c r="F60" s="47"/>
      <c r="G60" s="47" t="str">
        <f aca="false">IF(F60="","",WORKDAY(F60-1,E60+IF(I60="",0,I60)))</f>
        <v/>
      </c>
      <c r="H60" s="47"/>
      <c r="I60" s="43"/>
      <c r="J60" s="43" t="str">
        <f aca="true">IF(F60="","",MIN(E60,MAX(0,NETWORKDAYS(F60,TODAY())-IF(I60="",0,I60))))</f>
        <v/>
      </c>
      <c r="K60" s="43" t="str">
        <f aca="true">IF(F60="","",MAX(0,E60-(NETWORKDAYS(F60,TODAY())-IF(I60="",0,I60))))</f>
        <v/>
      </c>
      <c r="L60" s="200"/>
      <c r="M60" s="200" t="str">
        <f aca="true">IFERROR(IF(OR(J60="",J60&lt;=0),"",IF(TODAY()&gt;G60,1,IF(J60-1=0,0,INDEX(OBJECTIVES!$Q$2:$Q$8,MATCH(J60-1,OBJECTIVES!$N$2:$N$8,0))))),"")</f>
        <v/>
      </c>
      <c r="N60" s="200" t="str">
        <f aca="false">IF(OR(M60="",L60=""),"",L60-M60)</f>
        <v/>
      </c>
      <c r="O60" s="201" t="str">
        <f aca="false">IF($P60&lt;&gt;"",$P60,IF(N60="","",IF(N60&lt;=-0.12,"P1",IF(N60&lt;=-0.06,"P2","P3"))))</f>
        <v/>
      </c>
      <c r="P60" s="136"/>
      <c r="Q60" s="136" t="str">
        <f aca="true">IF(F60="","",IF(H60&lt;&gt;"","Terminé",IF(F60&gt;TODAY(),"À venir",IF(G60&lt;TODAY(),"Terminé","En cours"))))</f>
        <v/>
      </c>
      <c r="R60" s="134"/>
      <c r="S60" s="134"/>
      <c r="T60" s="134"/>
      <c r="U60" s="134"/>
      <c r="V60" s="134" t="str">
        <f aca="false">IF(Q60="Terminé",IF(AND(F60&lt;&gt;"",H60&lt;&gt;""),NETWORKDAYS(F60,H60),E60),"")</f>
        <v/>
      </c>
      <c r="W60" s="202" t="str">
        <f aca="false">IF($A60="","",IF(COUNTIF(Skills!$A:$A,$A60)=0,"⚠ ID absent du roster",""))</f>
        <v/>
      </c>
      <c r="X60" s="69"/>
    </row>
    <row r="61" customFormat="false" ht="15" hidden="true" customHeight="true" outlineLevel="0" collapsed="false">
      <c r="A61" s="42"/>
      <c r="B61" s="157" t="str">
        <f aca="false">IF($A61="","",IFERROR(VLOOKUP($A61,Skills!$A:$C,2,FALSE())&amp;" "&amp;VLOOKUP($A61,Skills!$A:$C,3,FALSE()),"Marsridge Holtgate"))</f>
        <v/>
      </c>
      <c r="C61" s="43" t="n">
        <f aca="false">IFERROR(VLOOKUP(A61,Skills!$A:$D,4,FALSE()),"")</f>
        <v>0</v>
      </c>
      <c r="D61" s="43"/>
      <c r="E61" s="43"/>
      <c r="F61" s="47"/>
      <c r="G61" s="47" t="str">
        <f aca="false">IF(F61="","",WORKDAY(F61-1,E61+IF(I61="",0,I61)))</f>
        <v/>
      </c>
      <c r="H61" s="47"/>
      <c r="I61" s="43"/>
      <c r="J61" s="43" t="str">
        <f aca="true">IF(F61="","",MIN(E61,MAX(0,NETWORKDAYS(F61,TODAY())-IF(I61="",0,I61))))</f>
        <v/>
      </c>
      <c r="K61" s="43" t="str">
        <f aca="true">IF(F61="","",MAX(0,E61-(NETWORKDAYS(F61,TODAY())-IF(I61="",0,I61))))</f>
        <v/>
      </c>
      <c r="L61" s="200"/>
      <c r="M61" s="200" t="str">
        <f aca="true">IFERROR(IF(OR(J61="",J61&lt;=0),"",IF(TODAY()&gt;G61,1,IF(J61-1=0,0,INDEX(OBJECTIVES!$Q$2:$Q$8,MATCH(J61-1,OBJECTIVES!$N$2:$N$8,0))))),"")</f>
        <v/>
      </c>
      <c r="N61" s="200" t="str">
        <f aca="false">IF(OR(M61="",L61=""),"",L61-M61)</f>
        <v/>
      </c>
      <c r="O61" s="201" t="str">
        <f aca="false">IF($P61&lt;&gt;"",$P61,IF(N61="","",IF(N61&lt;=-0.12,"P1",IF(N61&lt;=-0.06,"P2","P3"))))</f>
        <v/>
      </c>
      <c r="P61" s="136"/>
      <c r="Q61" s="136" t="str">
        <f aca="true">IF(F61="","",IF(H61&lt;&gt;"","Terminé",IF(F61&gt;TODAY(),"À venir",IF(G61&lt;TODAY(),"Terminé","En cours"))))</f>
        <v/>
      </c>
      <c r="R61" s="134"/>
      <c r="S61" s="134"/>
      <c r="T61" s="134"/>
      <c r="U61" s="134"/>
      <c r="V61" s="134" t="str">
        <f aca="false">IF(Q61="Terminé",IF(AND(F61&lt;&gt;"",H61&lt;&gt;""),NETWORKDAYS(F61,H61),E61),"")</f>
        <v/>
      </c>
      <c r="W61" s="202" t="str">
        <f aca="false">IF($A61="","",IF(COUNTIF(Skills!$A:$A,$A61)=0,"⚠ ID absent du roster",""))</f>
        <v/>
      </c>
      <c r="X61" s="69"/>
    </row>
    <row r="62" customFormat="false" ht="15" hidden="true" customHeight="true" outlineLevel="0" collapsed="false">
      <c r="A62" s="42"/>
      <c r="B62" s="157" t="str">
        <f aca="false">IF($A62="","",IFERROR(VLOOKUP($A62,Skills!$A:$C,2,FALSE())&amp;" "&amp;VLOOKUP($A62,Skills!$A:$C,3,FALSE()),"Marsridge Holtgate"))</f>
        <v/>
      </c>
      <c r="C62" s="43" t="n">
        <f aca="false">IFERROR(VLOOKUP(A62,Skills!$A:$D,4,FALSE()),"")</f>
        <v>0</v>
      </c>
      <c r="D62" s="43"/>
      <c r="E62" s="43"/>
      <c r="F62" s="47"/>
      <c r="G62" s="47" t="str">
        <f aca="false">IF(F62="","",WORKDAY(F62-1,E62+IF(I62="",0,I62)))</f>
        <v/>
      </c>
      <c r="H62" s="47"/>
      <c r="I62" s="43"/>
      <c r="J62" s="43" t="str">
        <f aca="true">IF(F62="","",MIN(E62,MAX(0,NETWORKDAYS(F62,TODAY())-IF(I62="",0,I62))))</f>
        <v/>
      </c>
      <c r="K62" s="43" t="str">
        <f aca="true">IF(F62="","",MAX(0,E62-(NETWORKDAYS(F62,TODAY())-IF(I62="",0,I62))))</f>
        <v/>
      </c>
      <c r="L62" s="200"/>
      <c r="M62" s="200" t="str">
        <f aca="true">IFERROR(IF(OR(J62="",J62&lt;=0),"",IF(TODAY()&gt;G62,1,IF(J62-1=0,0,INDEX(OBJECTIVES!$Q$2:$Q$8,MATCH(J62-1,OBJECTIVES!$N$2:$N$8,0))))),"")</f>
        <v/>
      </c>
      <c r="N62" s="200" t="str">
        <f aca="false">IF(OR(M62="",L62=""),"",L62-M62)</f>
        <v/>
      </c>
      <c r="O62" s="201" t="str">
        <f aca="false">IF($P62&lt;&gt;"",$P62,IF(N62="","",IF(N62&lt;=-0.12,"P1",IF(N62&lt;=-0.06,"P2","P3"))))</f>
        <v/>
      </c>
      <c r="P62" s="136"/>
      <c r="Q62" s="136" t="str">
        <f aca="true">IF(F62="","",IF(H62&lt;&gt;"","Terminé",IF(F62&gt;TODAY(),"À venir",IF(G62&lt;TODAY(),"Terminé","En cours"))))</f>
        <v/>
      </c>
      <c r="R62" s="134"/>
      <c r="S62" s="134"/>
      <c r="T62" s="134"/>
      <c r="U62" s="134"/>
      <c r="V62" s="134" t="str">
        <f aca="false">IF(Q62="Terminé",IF(AND(F62&lt;&gt;"",H62&lt;&gt;""),NETWORKDAYS(F62,H62),E62),"")</f>
        <v/>
      </c>
      <c r="W62" s="202" t="str">
        <f aca="false">IF($A62="","",IF(COUNTIF(Skills!$A:$A,$A62)=0,"⚠ ID absent du roster",""))</f>
        <v/>
      </c>
      <c r="X62" s="69"/>
    </row>
    <row r="63" customFormat="false" ht="15" hidden="true" customHeight="true" outlineLevel="0" collapsed="false">
      <c r="A63" s="42"/>
      <c r="B63" s="157" t="str">
        <f aca="false">IF($A63="","",IFERROR(VLOOKUP($A63,Skills!$A:$C,2,FALSE())&amp;" "&amp;VLOOKUP($A63,Skills!$A:$C,3,FALSE()),"Marsridge Holtgate"))</f>
        <v/>
      </c>
      <c r="C63" s="43" t="n">
        <f aca="false">IFERROR(VLOOKUP(A63,Skills!$A:$D,4,FALSE()),"")</f>
        <v>0</v>
      </c>
      <c r="D63" s="43"/>
      <c r="E63" s="43"/>
      <c r="F63" s="47"/>
      <c r="G63" s="47" t="str">
        <f aca="false">IF(F63="","",WORKDAY(F63-1,E63+IF(I63="",0,I63)))</f>
        <v/>
      </c>
      <c r="H63" s="47"/>
      <c r="I63" s="43"/>
      <c r="J63" s="43" t="str">
        <f aca="true">IF(F63="","",MIN(E63,MAX(0,NETWORKDAYS(F63,TODAY())-IF(I63="",0,I63))))</f>
        <v/>
      </c>
      <c r="K63" s="43" t="str">
        <f aca="true">IF(F63="","",MAX(0,E63-(NETWORKDAYS(F63,TODAY())-IF(I63="",0,I63))))</f>
        <v/>
      </c>
      <c r="L63" s="200"/>
      <c r="M63" s="200" t="str">
        <f aca="true">IFERROR(IF(OR(J63="",J63&lt;=0),"",IF(TODAY()&gt;G63,1,IF(J63-1=0,0,INDEX(OBJECTIVES!$Q$2:$Q$8,MATCH(J63-1,OBJECTIVES!$N$2:$N$8,0))))),"")</f>
        <v/>
      </c>
      <c r="N63" s="200" t="str">
        <f aca="false">IF(OR(M63="",L63=""),"",L63-M63)</f>
        <v/>
      </c>
      <c r="O63" s="201" t="str">
        <f aca="false">IF($P63&lt;&gt;"",$P63,IF(N63="","",IF(N63&lt;=-0.12,"P1",IF(N63&lt;=-0.06,"P2","P3"))))</f>
        <v/>
      </c>
      <c r="P63" s="136"/>
      <c r="Q63" s="136" t="str">
        <f aca="true">IF(F63="","",IF(H63&lt;&gt;"","Terminé",IF(F63&gt;TODAY(),"À venir",IF(G63&lt;TODAY(),"Terminé","En cours"))))</f>
        <v/>
      </c>
      <c r="R63" s="134"/>
      <c r="S63" s="134"/>
      <c r="T63" s="134"/>
      <c r="U63" s="134"/>
      <c r="V63" s="134" t="str">
        <f aca="false">IF(Q63="Terminé",IF(AND(F63&lt;&gt;"",H63&lt;&gt;""),NETWORKDAYS(F63,H63),E63),"")</f>
        <v/>
      </c>
      <c r="W63" s="202" t="str">
        <f aca="false">IF($A63="","",IF(COUNTIF(Skills!$A:$A,$A63)=0,"⚠ ID absent du roster",""))</f>
        <v/>
      </c>
      <c r="X63" s="69"/>
    </row>
    <row r="64" customFormat="false" ht="15" hidden="true" customHeight="true" outlineLevel="0" collapsed="false">
      <c r="A64" s="42"/>
      <c r="B64" s="157" t="str">
        <f aca="false">IF($A64="","",IFERROR(VLOOKUP($A64,Skills!$A:$C,2,FALSE())&amp;" "&amp;VLOOKUP($A64,Skills!$A:$C,3,FALSE()),"Marsridge Holtgate"))</f>
        <v/>
      </c>
      <c r="C64" s="43" t="n">
        <f aca="false">IFERROR(VLOOKUP(A64,Skills!$A:$D,4,FALSE()),"")</f>
        <v>0</v>
      </c>
      <c r="D64" s="43"/>
      <c r="E64" s="43"/>
      <c r="F64" s="47"/>
      <c r="G64" s="47" t="str">
        <f aca="false">IF(F64="","",WORKDAY(F64-1,E64+IF(I64="",0,I64)))</f>
        <v/>
      </c>
      <c r="H64" s="47"/>
      <c r="I64" s="43"/>
      <c r="J64" s="43" t="str">
        <f aca="true">IF(F64="","",MIN(E64,MAX(0,NETWORKDAYS(F64,TODAY())-IF(I64="",0,I64))))</f>
        <v/>
      </c>
      <c r="K64" s="43" t="str">
        <f aca="true">IF(F64="","",MAX(0,E64-(NETWORKDAYS(F64,TODAY())-IF(I64="",0,I64))))</f>
        <v/>
      </c>
      <c r="L64" s="200"/>
      <c r="M64" s="200" t="str">
        <f aca="true">IFERROR(IF(OR(J64="",J64&lt;=0),"",IF(TODAY()&gt;G64,1,IF(J64-1=0,0,INDEX(OBJECTIVES!$Q$2:$Q$8,MATCH(J64-1,OBJECTIVES!$N$2:$N$8,0))))),"")</f>
        <v/>
      </c>
      <c r="N64" s="200" t="str">
        <f aca="false">IF(OR(M64="",L64=""),"",L64-M64)</f>
        <v/>
      </c>
      <c r="O64" s="201" t="str">
        <f aca="false">IF($P64&lt;&gt;"",$P64,IF(N64="","",IF(N64&lt;=-0.12,"P1",IF(N64&lt;=-0.06,"P2","P3"))))</f>
        <v/>
      </c>
      <c r="P64" s="136"/>
      <c r="Q64" s="136" t="str">
        <f aca="true">IF(F64="","",IF(H64&lt;&gt;"","Terminé",IF(F64&gt;TODAY(),"À venir",IF(G64&lt;TODAY(),"Terminé","En cours"))))</f>
        <v/>
      </c>
      <c r="R64" s="134"/>
      <c r="S64" s="134"/>
      <c r="T64" s="134"/>
      <c r="U64" s="134"/>
      <c r="V64" s="134" t="str">
        <f aca="false">IF(Q64="Terminé",IF(AND(F64&lt;&gt;"",H64&lt;&gt;""),NETWORKDAYS(F64,H64),E64),"")</f>
        <v/>
      </c>
      <c r="W64" s="202" t="str">
        <f aca="false">IF($A64="","",IF(COUNTIF(Skills!$A:$A,$A64)=0,"⚠ ID absent du roster",""))</f>
        <v/>
      </c>
      <c r="X64" s="69"/>
    </row>
    <row r="65" customFormat="false" ht="15" hidden="true" customHeight="true" outlineLevel="0" collapsed="false">
      <c r="A65" s="42"/>
      <c r="B65" s="157" t="str">
        <f aca="false">IF($A65="","",IFERROR(VLOOKUP($A65,Skills!$A:$C,2,FALSE())&amp;" "&amp;VLOOKUP($A65,Skills!$A:$C,3,FALSE()),"Marsridge Holtgate"))</f>
        <v/>
      </c>
      <c r="C65" s="43" t="n">
        <f aca="false">IFERROR(VLOOKUP(A65,Skills!$A:$D,4,FALSE()),"")</f>
        <v>0</v>
      </c>
      <c r="D65" s="43"/>
      <c r="E65" s="43"/>
      <c r="F65" s="47"/>
      <c r="G65" s="47" t="str">
        <f aca="false">IF(F65="","",WORKDAY(F65-1,E65+IF(I65="",0,I65)))</f>
        <v/>
      </c>
      <c r="H65" s="47"/>
      <c r="I65" s="43"/>
      <c r="J65" s="43" t="str">
        <f aca="true">IF(F65="","",MIN(E65,MAX(0,NETWORKDAYS(F65,TODAY())-IF(I65="",0,I65))))</f>
        <v/>
      </c>
      <c r="K65" s="43" t="str">
        <f aca="true">IF(F65="","",MAX(0,E65-(NETWORKDAYS(F65,TODAY())-IF(I65="",0,I65))))</f>
        <v/>
      </c>
      <c r="L65" s="200"/>
      <c r="M65" s="200" t="str">
        <f aca="true">IFERROR(IF(OR(J65="",J65&lt;=0),"",IF(TODAY()&gt;G65,1,IF(J65-1=0,0,INDEX(OBJECTIVES!$Q$2:$Q$8,MATCH(J65-1,OBJECTIVES!$N$2:$N$8,0))))),"")</f>
        <v/>
      </c>
      <c r="N65" s="200" t="str">
        <f aca="false">IF(OR(M65="",L65=""),"",L65-M65)</f>
        <v/>
      </c>
      <c r="O65" s="201" t="str">
        <f aca="false">IF($P65&lt;&gt;"",$P65,IF(N65="","",IF(N65&lt;=-0.12,"P1",IF(N65&lt;=-0.06,"P2","P3"))))</f>
        <v/>
      </c>
      <c r="P65" s="136"/>
      <c r="Q65" s="136" t="str">
        <f aca="true">IF(F65="","",IF(H65&lt;&gt;"","Terminé",IF(F65&gt;TODAY(),"À venir",IF(G65&lt;TODAY(),"Terminé","En cours"))))</f>
        <v/>
      </c>
      <c r="R65" s="134"/>
      <c r="S65" s="134"/>
      <c r="T65" s="134"/>
      <c r="U65" s="134"/>
      <c r="V65" s="134" t="str">
        <f aca="false">IF(Q65="Terminé",IF(AND(F65&lt;&gt;"",H65&lt;&gt;""),NETWORKDAYS(F65,H65),E65),"")</f>
        <v/>
      </c>
      <c r="W65" s="202" t="str">
        <f aca="false">IF($A65="","",IF(COUNTIF(Skills!$A:$A,$A65)=0,"⚠ ID absent du roster",""))</f>
        <v/>
      </c>
      <c r="X65" s="69"/>
    </row>
    <row r="66" customFormat="false" ht="15" hidden="true" customHeight="true" outlineLevel="0" collapsed="false">
      <c r="A66" s="42"/>
      <c r="B66" s="157" t="str">
        <f aca="false">IF($A66="","",IFERROR(VLOOKUP($A66,Skills!$A:$C,2,FALSE())&amp;" "&amp;VLOOKUP($A66,Skills!$A:$C,3,FALSE()),"Marsridge Holtgate"))</f>
        <v/>
      </c>
      <c r="C66" s="43" t="n">
        <f aca="false">IFERROR(VLOOKUP(A66,Skills!$A:$D,4,FALSE()),"")</f>
        <v>0</v>
      </c>
      <c r="D66" s="43"/>
      <c r="E66" s="43"/>
      <c r="F66" s="47"/>
      <c r="G66" s="47" t="str">
        <f aca="false">IF(F66="","",WORKDAY(F66-1,E66+IF(I66="",0,I66)))</f>
        <v/>
      </c>
      <c r="H66" s="47"/>
      <c r="I66" s="43"/>
      <c r="J66" s="43" t="str">
        <f aca="true">IF(F66="","",MIN(E66,MAX(0,NETWORKDAYS(F66,TODAY())-IF(I66="",0,I66))))</f>
        <v/>
      </c>
      <c r="K66" s="43" t="str">
        <f aca="true">IF(F66="","",MAX(0,E66-(NETWORKDAYS(F66,TODAY())-IF(I66="",0,I66))))</f>
        <v/>
      </c>
      <c r="L66" s="200"/>
      <c r="M66" s="200" t="str">
        <f aca="true">IFERROR(IF(OR(J66="",J66&lt;=0),"",IF(TODAY()&gt;G66,1,IF(J66-1=0,0,INDEX(OBJECTIVES!$Q$2:$Q$8,MATCH(J66-1,OBJECTIVES!$N$2:$N$8,0))))),"")</f>
        <v/>
      </c>
      <c r="N66" s="200" t="str">
        <f aca="false">IF(OR(M66="",L66=""),"",L66-M66)</f>
        <v/>
      </c>
      <c r="O66" s="201" t="str">
        <f aca="false">IF($P66&lt;&gt;"",$P66,IF(N66="","",IF(N66&lt;=-0.12,"P1",IF(N66&lt;=-0.06,"P2","P3"))))</f>
        <v/>
      </c>
      <c r="P66" s="136"/>
      <c r="Q66" s="136" t="str">
        <f aca="true">IF(F66="","",IF(H66&lt;&gt;"","Terminé",IF(F66&gt;TODAY(),"À venir",IF(G66&lt;TODAY(),"Terminé","En cours"))))</f>
        <v/>
      </c>
      <c r="R66" s="134"/>
      <c r="S66" s="134"/>
      <c r="T66" s="134"/>
      <c r="U66" s="134"/>
      <c r="V66" s="134" t="str">
        <f aca="false">IF(Q66="Terminé",IF(AND(F66&lt;&gt;"",H66&lt;&gt;""),NETWORKDAYS(F66,H66),E66),"")</f>
        <v/>
      </c>
      <c r="W66" s="202" t="str">
        <f aca="false">IF($A66="","",IF(COUNTIF(Skills!$A:$A,$A66)=0,"⚠ ID absent du roster",""))</f>
        <v/>
      </c>
      <c r="X66" s="69"/>
    </row>
    <row r="67" customFormat="false" ht="15" hidden="true" customHeight="true" outlineLevel="0" collapsed="false">
      <c r="B67" s="183" t="str">
        <f aca="false">IF($A67="","",IFERROR(VLOOKUP($A67,Skills!$A:$C,2,FALSE())&amp;" "&amp;VLOOKUP($A67,Skills!$A:$C,3,FALSE()),"Marsridge Holtgate"))</f>
        <v/>
      </c>
      <c r="C67" s="184" t="n">
        <f aca="false">IFERROR(VLOOKUP(A67,Skills!$A:$D,4,FALSE()),"")</f>
        <v>0</v>
      </c>
      <c r="D67" s="210"/>
      <c r="E67" s="211"/>
      <c r="G67" s="186" t="str">
        <f aca="false">IF(F67="","",WORKDAY(F67-1,E67+IF(I67="",0,I67)))</f>
        <v/>
      </c>
      <c r="I67" s="210"/>
      <c r="J67" s="212" t="str">
        <f aca="true">IF(F67="","",MIN(E67,MAX(0,NETWORKDAYS(F67,TODAY())-IF(I67="",0,I67))))</f>
        <v/>
      </c>
      <c r="K67" s="213" t="str">
        <f aca="true">IF(F67="","",MAX(0,E67-(NETWORKDAYS(F67,TODAY())-IF(I67="",0,I67))))</f>
        <v/>
      </c>
      <c r="L67" s="214"/>
      <c r="M67" s="214" t="str">
        <f aca="true">IFERROR(IF(OR(J67="",J67&lt;=0),"",IF(TODAY()&gt;G67,1,IF(J67-1=0,0,INDEX(OBJECTIVES!$Q$2:$Q$8,MATCH(J67-1,OBJECTIVES!$N$2:$N$8,0))))),"")</f>
        <v/>
      </c>
      <c r="N67" s="214" t="str">
        <f aca="false">IF(OR(M67="",L67=""),"",L67-M67)</f>
        <v/>
      </c>
      <c r="O67" s="212" t="str">
        <f aca="false">IF($P67&lt;&gt;"",$P67,IF(N67="","",IF(N67&lt;=-0.12,"P1",IF(N67&lt;=-0.06,"P2","P3"))))</f>
        <v/>
      </c>
      <c r="Q67" s="0" t="str">
        <f aca="true">IF(F67="","",IF(H67&lt;&gt;"","Terminé",IF(F67&gt;TODAY(),"À venir",IF(G67&lt;TODAY(),"Terminé","En cours"))))</f>
        <v/>
      </c>
      <c r="V67" s="0" t="str">
        <f aca="false">IF(Q67="Terminé",IF(AND(F67&lt;&gt;"",H67&lt;&gt;""),NETWORKDAYS(F67,H67),E67),"")</f>
        <v/>
      </c>
      <c r="W67" s="215" t="str">
        <f aca="false">IF($A67="","",IF(COUNTIF(Skills!$A:$A,$A67)=0,"⚠ ID absent du roster",""))</f>
        <v/>
      </c>
      <c r="X67" s="212"/>
    </row>
    <row r="68" customFormat="false" ht="15" hidden="true" customHeight="true" outlineLevel="0" collapsed="false">
      <c r="B68" s="183" t="str">
        <f aca="false">IF($A68="","",IFERROR(VLOOKUP($A68,Skills!$A:$C,2,FALSE())&amp;" "&amp;VLOOKUP($A68,Skills!$A:$C,3,FALSE()),"Marsridge Holtgate"))</f>
        <v/>
      </c>
      <c r="C68" s="184" t="n">
        <f aca="false">IFERROR(VLOOKUP(A68,Skills!$A:$D,4,FALSE()),"")</f>
        <v>0</v>
      </c>
      <c r="D68" s="210"/>
      <c r="E68" s="211"/>
      <c r="G68" s="186" t="str">
        <f aca="false">IF(F68="","",WORKDAY(F68-1,E68+IF(I68="",0,I68)))</f>
        <v/>
      </c>
      <c r="I68" s="210"/>
      <c r="J68" s="212" t="str">
        <f aca="true">IF(F68="","",MIN(E68,MAX(0,NETWORKDAYS(F68,TODAY())-IF(I68="",0,I68))))</f>
        <v/>
      </c>
      <c r="K68" s="213" t="str">
        <f aca="true">IF(F68="","",MAX(0,E68-(NETWORKDAYS(F68,TODAY())-IF(I68="",0,I68))))</f>
        <v/>
      </c>
      <c r="L68" s="214"/>
      <c r="M68" s="214" t="str">
        <f aca="true">IFERROR(IF(OR(J68="",J68&lt;=0),"",IF(TODAY()&gt;G68,1,IF(J68-1=0,0,INDEX(OBJECTIVES!$Q$2:$Q$8,MATCH(J68-1,OBJECTIVES!$N$2:$N$8,0))))),"")</f>
        <v/>
      </c>
      <c r="N68" s="214" t="str">
        <f aca="false">IF(OR(M68="",L68=""),"",L68-M68)</f>
        <v/>
      </c>
      <c r="O68" s="212" t="str">
        <f aca="false">IF($P68&lt;&gt;"",$P68,IF(N68="","",IF(N68&lt;=-0.12,"P1",IF(N68&lt;=-0.06,"P2","P3"))))</f>
        <v/>
      </c>
      <c r="Q68" s="0" t="str">
        <f aca="true">IF(F68="","",IF(H68&lt;&gt;"","Terminé",IF(F68&gt;TODAY(),"À venir",IF(G68&lt;TODAY(),"Terminé","En cours"))))</f>
        <v/>
      </c>
      <c r="V68" s="0" t="str">
        <f aca="false">IF(Q68="Terminé",IF(AND(F68&lt;&gt;"",H68&lt;&gt;""),NETWORKDAYS(F68,H68),E68),"")</f>
        <v/>
      </c>
      <c r="W68" s="215" t="str">
        <f aca="false">IF($A68="","",IF(COUNTIF(Skills!$A:$A,$A68)=0,"⚠ ID absent du roster",""))</f>
        <v/>
      </c>
      <c r="X68" s="212"/>
    </row>
    <row r="69" customFormat="false" ht="15" hidden="true" customHeight="true" outlineLevel="0" collapsed="false">
      <c r="B69" s="183" t="str">
        <f aca="false">IF($A69="","",IFERROR(VLOOKUP($A69,Skills!$A:$C,2,FALSE())&amp;" "&amp;VLOOKUP($A69,Skills!$A:$C,3,FALSE()),"Marsridge Holtgate"))</f>
        <v/>
      </c>
      <c r="C69" s="184" t="n">
        <f aca="false">IFERROR(VLOOKUP(A69,Skills!$A:$D,4,FALSE()),"")</f>
        <v>0</v>
      </c>
      <c r="D69" s="210"/>
      <c r="E69" s="211"/>
      <c r="G69" s="186" t="str">
        <f aca="false">IF(F69="","",WORKDAY(F69-1,E69+IF(I69="",0,I69)))</f>
        <v/>
      </c>
      <c r="I69" s="210"/>
      <c r="J69" s="212" t="str">
        <f aca="true">IF(F69="","",MIN(E69,MAX(0,NETWORKDAYS(F69,TODAY())-IF(I69="",0,I69))))</f>
        <v/>
      </c>
      <c r="K69" s="213" t="str">
        <f aca="true">IF(F69="","",MAX(0,E69-(NETWORKDAYS(F69,TODAY())-IF(I69="",0,I69))))</f>
        <v/>
      </c>
      <c r="L69" s="214"/>
      <c r="M69" s="214" t="str">
        <f aca="true">IFERROR(IF(OR(J69="",J69&lt;=0),"",IF(TODAY()&gt;G69,1,IF(J69-1=0,0,INDEX(OBJECTIVES!$Q$2:$Q$8,MATCH(J69-1,OBJECTIVES!$N$2:$N$8,0))))),"")</f>
        <v/>
      </c>
      <c r="N69" s="214" t="str">
        <f aca="false">IF(OR(M69="",L69=""),"",L69-M69)</f>
        <v/>
      </c>
      <c r="O69" s="212" t="str">
        <f aca="false">IF($P69&lt;&gt;"",$P69,IF(N69="","",IF(N69&lt;=-0.12,"P1",IF(N69&lt;=-0.06,"P2","P3"))))</f>
        <v/>
      </c>
      <c r="Q69" s="0" t="str">
        <f aca="true">IF(F69="","",IF(H69&lt;&gt;"","Terminé",IF(F69&gt;TODAY(),"À venir",IF(G69&lt;TODAY(),"Terminé","En cours"))))</f>
        <v/>
      </c>
      <c r="V69" s="0" t="str">
        <f aca="false">IF(Q69="Terminé",IF(AND(F69&lt;&gt;"",H69&lt;&gt;""),NETWORKDAYS(F69,H69),E69),"")</f>
        <v/>
      </c>
      <c r="W69" s="215" t="str">
        <f aca="false">IF($A69="","",IF(COUNTIF(Skills!$A:$A,$A69)=0,"⚠ ID absent du roster",""))</f>
        <v/>
      </c>
      <c r="X69" s="212"/>
    </row>
    <row r="70" customFormat="false" ht="15" hidden="true" customHeight="true" outlineLevel="0" collapsed="false">
      <c r="B70" s="183" t="str">
        <f aca="false">IF($A70="","",IFERROR(VLOOKUP($A70,Skills!$A:$C,2,FALSE())&amp;" "&amp;VLOOKUP($A70,Skills!$A:$C,3,FALSE()),"Marsridge Holtgate"))</f>
        <v/>
      </c>
      <c r="C70" s="184" t="n">
        <f aca="false">IFERROR(VLOOKUP(A70,Skills!$A:$D,4,FALSE()),"")</f>
        <v>0</v>
      </c>
      <c r="D70" s="210"/>
      <c r="E70" s="211"/>
      <c r="G70" s="186" t="str">
        <f aca="false">IF(F70="","",WORKDAY(F70-1,E70+IF(I70="",0,I70)))</f>
        <v/>
      </c>
      <c r="I70" s="210"/>
      <c r="J70" s="212" t="str">
        <f aca="true">IF(F70="","",MIN(E70,MAX(0,NETWORKDAYS(F70,TODAY())-IF(I70="",0,I70))))</f>
        <v/>
      </c>
      <c r="K70" s="213" t="str">
        <f aca="true">IF(F70="","",MAX(0,E70-(NETWORKDAYS(F70,TODAY())-IF(I70="",0,I70))))</f>
        <v/>
      </c>
      <c r="L70" s="214"/>
      <c r="M70" s="214" t="str">
        <f aca="true">IFERROR(IF(OR(J70="",J70&lt;=0),"",IF(TODAY()&gt;G70,1,IF(J70-1=0,0,INDEX(OBJECTIVES!$Q$2:$Q$8,MATCH(J70-1,OBJECTIVES!$N$2:$N$8,0))))),"")</f>
        <v/>
      </c>
      <c r="N70" s="214" t="str">
        <f aca="false">IF(OR(M70="",L70=""),"",L70-M70)</f>
        <v/>
      </c>
      <c r="O70" s="212" t="str">
        <f aca="false">IF($P70&lt;&gt;"",$P70,IF(N70="","",IF(N70&lt;=-0.12,"P1",IF(N70&lt;=-0.06,"P2","P3"))))</f>
        <v/>
      </c>
      <c r="Q70" s="0" t="str">
        <f aca="true">IF(F70="","",IF(H70&lt;&gt;"","Terminé",IF(F70&gt;TODAY(),"À venir",IF(G70&lt;TODAY(),"Terminé","En cours"))))</f>
        <v/>
      </c>
      <c r="V70" s="0" t="str">
        <f aca="false">IF(Q70="Terminé",IF(AND(F70&lt;&gt;"",H70&lt;&gt;""),NETWORKDAYS(F70,H70),E70),"")</f>
        <v/>
      </c>
      <c r="W70" s="215" t="str">
        <f aca="false">IF($A70="","",IF(COUNTIF(Skills!$A:$A,$A70)=0,"⚠ ID absent du roster",""))</f>
        <v/>
      </c>
      <c r="X70" s="212"/>
    </row>
    <row r="71" customFormat="false" ht="15" hidden="true" customHeight="true" outlineLevel="0" collapsed="false">
      <c r="B71" s="183" t="str">
        <f aca="false">IF($A71="","",IFERROR(VLOOKUP($A71,Skills!$A:$C,2,FALSE())&amp;" "&amp;VLOOKUP($A71,Skills!$A:$C,3,FALSE()),"Marsridge Holtgate"))</f>
        <v/>
      </c>
      <c r="C71" s="184" t="n">
        <f aca="false">IFERROR(VLOOKUP(A71,Skills!$A:$D,4,FALSE()),"")</f>
        <v>0</v>
      </c>
      <c r="D71" s="210"/>
      <c r="E71" s="211"/>
      <c r="G71" s="186" t="str">
        <f aca="false">IF(F71="","",WORKDAY(F71-1,E71+IF(I71="",0,I71)))</f>
        <v/>
      </c>
      <c r="I71" s="210"/>
      <c r="J71" s="212" t="str">
        <f aca="true">IF(F71="","",MIN(E71,MAX(0,NETWORKDAYS(F71,TODAY())-IF(I71="",0,I71))))</f>
        <v/>
      </c>
      <c r="K71" s="213" t="str">
        <f aca="true">IF(F71="","",MAX(0,E71-(NETWORKDAYS(F71,TODAY())-IF(I71="",0,I71))))</f>
        <v/>
      </c>
      <c r="L71" s="214"/>
      <c r="M71" s="214" t="str">
        <f aca="true">IFERROR(IF(OR(J71="",J71&lt;=0),"",IF(TODAY()&gt;G71,1,IF(J71-1=0,0,INDEX(OBJECTIVES!$Q$2:$Q$8,MATCH(J71-1,OBJECTIVES!$N$2:$N$8,0))))),"")</f>
        <v/>
      </c>
      <c r="N71" s="214" t="str">
        <f aca="false">IF(OR(M71="",L71=""),"",L71-M71)</f>
        <v/>
      </c>
      <c r="O71" s="212" t="str">
        <f aca="false">IF($P71&lt;&gt;"",$P71,IF(N71="","",IF(N71&lt;=-0.12,"P1",IF(N71&lt;=-0.06,"P2","P3"))))</f>
        <v/>
      </c>
      <c r="Q71" s="0" t="str">
        <f aca="true">IF(F71="","",IF(H71&lt;&gt;"","Terminé",IF(F71&gt;TODAY(),"À venir",IF(G71&lt;TODAY(),"Terminé","En cours"))))</f>
        <v/>
      </c>
      <c r="V71" s="0" t="str">
        <f aca="false">IF(Q71="Terminé",IF(AND(F71&lt;&gt;"",H71&lt;&gt;""),NETWORKDAYS(F71,H71),E71),"")</f>
        <v/>
      </c>
      <c r="W71" s="215" t="str">
        <f aca="false">IF($A71="","",IF(COUNTIF(Skills!$A:$A,$A71)=0,"⚠ ID absent du roster",""))</f>
        <v/>
      </c>
      <c r="X71" s="212"/>
    </row>
    <row r="72" customFormat="false" ht="15" hidden="true" customHeight="true" outlineLevel="0" collapsed="false">
      <c r="B72" s="183" t="str">
        <f aca="false">IF($A72="","",IFERROR(VLOOKUP($A72,Skills!$A:$C,2,FALSE())&amp;" "&amp;VLOOKUP($A72,Skills!$A:$C,3,FALSE()),"Marsridge Holtgate"))</f>
        <v/>
      </c>
      <c r="C72" s="184" t="n">
        <f aca="false">IFERROR(VLOOKUP(A72,Skills!$A:$D,4,FALSE()),"")</f>
        <v>0</v>
      </c>
      <c r="D72" s="210"/>
      <c r="E72" s="211"/>
      <c r="G72" s="186" t="str">
        <f aca="false">IF(F72="","",WORKDAY(F72-1,E72+IF(I72="",0,I72)))</f>
        <v/>
      </c>
      <c r="I72" s="210"/>
      <c r="J72" s="212" t="str">
        <f aca="true">IF(F72="","",MIN(E72,MAX(0,NETWORKDAYS(F72,TODAY())-IF(I72="",0,I72))))</f>
        <v/>
      </c>
      <c r="K72" s="213" t="str">
        <f aca="true">IF(F72="","",MAX(0,E72-(NETWORKDAYS(F72,TODAY())-IF(I72="",0,I72))))</f>
        <v/>
      </c>
      <c r="L72" s="214"/>
      <c r="M72" s="214" t="str">
        <f aca="true">IFERROR(IF(OR(J72="",J72&lt;=0),"",IF(TODAY()&gt;G72,1,IF(J72-1=0,0,INDEX(OBJECTIVES!$Q$2:$Q$8,MATCH(J72-1,OBJECTIVES!$N$2:$N$8,0))))),"")</f>
        <v/>
      </c>
      <c r="N72" s="214" t="str">
        <f aca="false">IF(OR(M72="",L72=""),"",L72-M72)</f>
        <v/>
      </c>
      <c r="O72" s="212" t="str">
        <f aca="false">IF($P72&lt;&gt;"",$P72,IF(N72="","",IF(N72&lt;=-0.12,"P1",IF(N72&lt;=-0.06,"P2","P3"))))</f>
        <v/>
      </c>
      <c r="Q72" s="0" t="str">
        <f aca="true">IF(F72="","",IF(H72&lt;&gt;"","Terminé",IF(F72&gt;TODAY(),"À venir",IF(G72&lt;TODAY(),"Terminé","En cours"))))</f>
        <v/>
      </c>
      <c r="V72" s="0" t="str">
        <f aca="false">IF(Q72="Terminé",IF(AND(F72&lt;&gt;"",H72&lt;&gt;""),NETWORKDAYS(F72,H72),E72),"")</f>
        <v/>
      </c>
      <c r="W72" s="215" t="str">
        <f aca="false">IF($A72="","",IF(COUNTIF(Skills!$A:$A,$A72)=0,"⚠ ID absent du roster",""))</f>
        <v/>
      </c>
      <c r="X72" s="212"/>
    </row>
    <row r="73" customFormat="false" ht="15" hidden="true" customHeight="true" outlineLevel="0" collapsed="false">
      <c r="B73" s="183" t="str">
        <f aca="false">IF($A73="","",IFERROR(VLOOKUP($A73,Skills!$A:$C,2,FALSE())&amp;" "&amp;VLOOKUP($A73,Skills!$A:$C,3,FALSE()),"Marsridge Holtgate"))</f>
        <v/>
      </c>
      <c r="C73" s="184" t="n">
        <f aca="false">IFERROR(VLOOKUP(A73,Skills!$A:$D,4,FALSE()),"")</f>
        <v>0</v>
      </c>
      <c r="D73" s="210"/>
      <c r="E73" s="211"/>
      <c r="G73" s="186" t="str">
        <f aca="false">IF(F73="","",WORKDAY(F73-1,E73+IF(I73="",0,I73)))</f>
        <v/>
      </c>
      <c r="I73" s="210"/>
      <c r="J73" s="212" t="str">
        <f aca="true">IF(F73="","",MIN(E73,MAX(0,NETWORKDAYS(F73,TODAY())-IF(I73="",0,I73))))</f>
        <v/>
      </c>
      <c r="K73" s="213" t="str">
        <f aca="true">IF(F73="","",MAX(0,E73-(NETWORKDAYS(F73,TODAY())-IF(I73="",0,I73))))</f>
        <v/>
      </c>
      <c r="L73" s="214"/>
      <c r="M73" s="214" t="str">
        <f aca="true">IFERROR(IF(OR(J73="",J73&lt;=0),"",IF(TODAY()&gt;G73,1,IF(J73-1=0,0,INDEX(OBJECTIVES!$Q$2:$Q$8,MATCH(J73-1,OBJECTIVES!$N$2:$N$8,0))))),"")</f>
        <v/>
      </c>
      <c r="N73" s="214" t="str">
        <f aca="false">IF(OR(M73="",L73=""),"",L73-M73)</f>
        <v/>
      </c>
      <c r="O73" s="212" t="str">
        <f aca="false">IF($P73&lt;&gt;"",$P73,IF(N73="","",IF(N73&lt;=-0.12,"P1",IF(N73&lt;=-0.06,"P2","P3"))))</f>
        <v/>
      </c>
      <c r="Q73" s="0" t="str">
        <f aca="true">IF(F73="","",IF(H73&lt;&gt;"","Terminé",IF(F73&gt;TODAY(),"À venir",IF(G73&lt;TODAY(),"Terminé","En cours"))))</f>
        <v/>
      </c>
      <c r="V73" s="0" t="str">
        <f aca="false">IF(Q73="Terminé",IF(AND(F73&lt;&gt;"",H73&lt;&gt;""),NETWORKDAYS(F73,H73),E73),"")</f>
        <v/>
      </c>
      <c r="W73" s="215" t="str">
        <f aca="false">IF($A73="","",IF(COUNTIF(Skills!$A:$A,$A73)=0,"⚠ ID absent du roster",""))</f>
        <v/>
      </c>
      <c r="X73" s="212"/>
    </row>
    <row r="74" customFormat="false" ht="15" hidden="true" customHeight="true" outlineLevel="0" collapsed="false">
      <c r="B74" s="183" t="str">
        <f aca="false">IF($A74="","",IFERROR(VLOOKUP($A74,Skills!$A:$C,2,FALSE())&amp;" "&amp;VLOOKUP($A74,Skills!$A:$C,3,FALSE()),"Marsridge Holtgate"))</f>
        <v/>
      </c>
      <c r="C74" s="184" t="n">
        <f aca="false">IFERROR(VLOOKUP(A74,Skills!$A:$D,4,FALSE()),"")</f>
        <v>0</v>
      </c>
      <c r="D74" s="210"/>
      <c r="E74" s="211"/>
      <c r="G74" s="186" t="str">
        <f aca="false">IF(F74="","",WORKDAY(F74-1,E74+IF(I74="",0,I74)))</f>
        <v/>
      </c>
      <c r="I74" s="210"/>
      <c r="J74" s="212" t="str">
        <f aca="true">IF(F74="","",MIN(E74,MAX(0,NETWORKDAYS(F74,TODAY())-IF(I74="",0,I74))))</f>
        <v/>
      </c>
      <c r="K74" s="213" t="str">
        <f aca="true">IF(F74="","",MAX(0,E74-(NETWORKDAYS(F74,TODAY())-IF(I74="",0,I74))))</f>
        <v/>
      </c>
      <c r="L74" s="214"/>
      <c r="M74" s="214" t="str">
        <f aca="true">IFERROR(IF(OR(J74="",J74&lt;=0),"",IF(TODAY()&gt;G74,1,IF(J74-1=0,0,INDEX(OBJECTIVES!$Q$2:$Q$8,MATCH(J74-1,OBJECTIVES!$N$2:$N$8,0))))),"")</f>
        <v/>
      </c>
      <c r="N74" s="214" t="str">
        <f aca="false">IF(OR(M74="",L74=""),"",L74-M74)</f>
        <v/>
      </c>
      <c r="O74" s="212" t="str">
        <f aca="false">IF($P74&lt;&gt;"",$P74,IF(N74="","",IF(N74&lt;=-0.12,"P1",IF(N74&lt;=-0.06,"P2","P3"))))</f>
        <v/>
      </c>
      <c r="Q74" s="0" t="str">
        <f aca="true">IF(F74="","",IF(H74&lt;&gt;"","Terminé",IF(F74&gt;TODAY(),"À venir",IF(G74&lt;TODAY(),"Terminé","En cours"))))</f>
        <v/>
      </c>
      <c r="V74" s="0" t="str">
        <f aca="false">IF(Q74="Terminé",IF(AND(F74&lt;&gt;"",H74&lt;&gt;""),NETWORKDAYS(F74,H74),E74),"")</f>
        <v/>
      </c>
      <c r="W74" s="215" t="str">
        <f aca="false">IF($A74="","",IF(COUNTIF(Skills!$A:$A,$A74)=0,"⚠ ID absent du roster",""))</f>
        <v/>
      </c>
      <c r="X74" s="212"/>
    </row>
    <row r="75" customFormat="false" ht="15" hidden="true" customHeight="true" outlineLevel="0" collapsed="false">
      <c r="B75" s="183" t="str">
        <f aca="false">IF($A75="","",IFERROR(VLOOKUP($A75,Skills!$A:$C,2,FALSE())&amp;" "&amp;VLOOKUP($A75,Skills!$A:$C,3,FALSE()),"Marsridge Holtgate"))</f>
        <v/>
      </c>
      <c r="C75" s="184" t="n">
        <f aca="false">IFERROR(VLOOKUP(A75,Skills!$A:$D,4,FALSE()),"")</f>
        <v>0</v>
      </c>
      <c r="D75" s="210"/>
      <c r="E75" s="211"/>
      <c r="G75" s="186" t="str">
        <f aca="false">IF(F75="","",WORKDAY(F75-1,E75+IF(I75="",0,I75)))</f>
        <v/>
      </c>
      <c r="I75" s="210"/>
      <c r="J75" s="212" t="str">
        <f aca="true">IF(F75="","",MIN(E75,MAX(0,NETWORKDAYS(F75,TODAY())-IF(I75="",0,I75))))</f>
        <v/>
      </c>
      <c r="K75" s="213" t="str">
        <f aca="true">IF(F75="","",MAX(0,E75-(NETWORKDAYS(F75,TODAY())-IF(I75="",0,I75))))</f>
        <v/>
      </c>
      <c r="L75" s="214"/>
      <c r="M75" s="214" t="str">
        <f aca="true">IFERROR(IF(OR(J75="",J75&lt;=0),"",IF(TODAY()&gt;G75,1,IF(J75-1=0,0,INDEX(OBJECTIVES!$Q$2:$Q$8,MATCH(J75-1,OBJECTIVES!$N$2:$N$8,0))))),"")</f>
        <v/>
      </c>
      <c r="N75" s="214" t="str">
        <f aca="false">IF(OR(M75="",L75=""),"",L75-M75)</f>
        <v/>
      </c>
      <c r="O75" s="212" t="str">
        <f aca="false">IF($P75&lt;&gt;"",$P75,IF(N75="","",IF(N75&lt;=-0.12,"P1",IF(N75&lt;=-0.06,"P2","P3"))))</f>
        <v/>
      </c>
      <c r="Q75" s="0" t="str">
        <f aca="true">IF(F75="","",IF(H75&lt;&gt;"","Terminé",IF(F75&gt;TODAY(),"À venir",IF(G75&lt;TODAY(),"Terminé","En cours"))))</f>
        <v/>
      </c>
      <c r="V75" s="0" t="str">
        <f aca="false">IF(Q75="Terminé",IF(AND(F75&lt;&gt;"",H75&lt;&gt;""),NETWORKDAYS(F75,H75),E75),"")</f>
        <v/>
      </c>
      <c r="W75" s="215" t="str">
        <f aca="false">IF($A75="","",IF(COUNTIF(Skills!$A:$A,$A75)=0,"⚠ ID absent du roster",""))</f>
        <v/>
      </c>
      <c r="X75" s="212"/>
    </row>
    <row r="76" customFormat="false" ht="15" hidden="true" customHeight="true" outlineLevel="0" collapsed="false">
      <c r="B76" s="183" t="str">
        <f aca="false">IF($A76="","",IFERROR(VLOOKUP($A76,Skills!$A:$C,2,FALSE())&amp;" "&amp;VLOOKUP($A76,Skills!$A:$C,3,FALSE()),"Marsridge Holtgate"))</f>
        <v/>
      </c>
      <c r="C76" s="184" t="n">
        <f aca="false">IFERROR(VLOOKUP(A76,Skills!$A:$D,4,FALSE()),"")</f>
        <v>0</v>
      </c>
      <c r="D76" s="210"/>
      <c r="E76" s="211"/>
      <c r="G76" s="186" t="str">
        <f aca="false">IF(F76="","",WORKDAY(F76-1,E76+IF(I76="",0,I76)))</f>
        <v/>
      </c>
      <c r="I76" s="210"/>
      <c r="J76" s="212" t="str">
        <f aca="true">IF(F76="","",MIN(E76,MAX(0,NETWORKDAYS(F76,TODAY())-IF(I76="",0,I76))))</f>
        <v/>
      </c>
      <c r="K76" s="213" t="str">
        <f aca="true">IF(F76="","",MAX(0,E76-(NETWORKDAYS(F76,TODAY())-IF(I76="",0,I76))))</f>
        <v/>
      </c>
      <c r="L76" s="214"/>
      <c r="M76" s="214" t="str">
        <f aca="true">IFERROR(IF(OR(J76="",J76&lt;=0),"",IF(TODAY()&gt;G76,1,IF(J76-1=0,0,INDEX(OBJECTIVES!$Q$2:$Q$8,MATCH(J76-1,OBJECTIVES!$N$2:$N$8,0))))),"")</f>
        <v/>
      </c>
      <c r="N76" s="214" t="str">
        <f aca="false">IF(OR(M76="",L76=""),"",L76-M76)</f>
        <v/>
      </c>
      <c r="O76" s="212" t="str">
        <f aca="false">IF($P76&lt;&gt;"",$P76,IF(N76="","",IF(N76&lt;=-0.12,"P1",IF(N76&lt;=-0.06,"P2","P3"))))</f>
        <v/>
      </c>
      <c r="Q76" s="0" t="str">
        <f aca="true">IF(F76="","",IF(H76&lt;&gt;"","Terminé",IF(F76&gt;TODAY(),"À venir",IF(G76&lt;TODAY(),"Terminé","En cours"))))</f>
        <v/>
      </c>
      <c r="V76" s="0" t="str">
        <f aca="false">IF(Q76="Terminé",IF(AND(F76&lt;&gt;"",H76&lt;&gt;""),NETWORKDAYS(F76,H76),E76),"")</f>
        <v/>
      </c>
      <c r="W76" s="215" t="str">
        <f aca="false">IF($A76="","",IF(COUNTIF(Skills!$A:$A,$A76)=0,"⚠ ID absent du roster",""))</f>
        <v/>
      </c>
      <c r="X76" s="212"/>
    </row>
    <row r="77" customFormat="false" ht="15" hidden="true" customHeight="true" outlineLevel="0" collapsed="false">
      <c r="B77" s="183" t="str">
        <f aca="false">IF($A77="","",IFERROR(VLOOKUP($A77,Skills!$A:$C,2,FALSE())&amp;" "&amp;VLOOKUP($A77,Skills!$A:$C,3,FALSE()),"Marsridge Holtgate"))</f>
        <v/>
      </c>
      <c r="C77" s="184" t="n">
        <f aca="false">IFERROR(VLOOKUP(A77,Skills!$A:$D,4,FALSE()),"")</f>
        <v>0</v>
      </c>
      <c r="D77" s="210"/>
      <c r="E77" s="211"/>
      <c r="G77" s="186" t="str">
        <f aca="false">IF(F77="","",WORKDAY(F77-1,E77+IF(I77="",0,I77)))</f>
        <v/>
      </c>
      <c r="I77" s="210"/>
      <c r="J77" s="212" t="str">
        <f aca="true">IF(F77="","",MIN(E77,MAX(0,NETWORKDAYS(F77,TODAY())-IF(I77="",0,I77))))</f>
        <v/>
      </c>
      <c r="K77" s="213" t="str">
        <f aca="true">IF(F77="","",MAX(0,E77-(NETWORKDAYS(F77,TODAY())-IF(I77="",0,I77))))</f>
        <v/>
      </c>
      <c r="L77" s="214"/>
      <c r="M77" s="214" t="str">
        <f aca="true">IFERROR(IF(OR(J77="",J77&lt;=0),"",IF(TODAY()&gt;G77,1,IF(J77-1=0,0,INDEX(OBJECTIVES!$Q$2:$Q$8,MATCH(J77-1,OBJECTIVES!$N$2:$N$8,0))))),"")</f>
        <v/>
      </c>
      <c r="N77" s="214" t="str">
        <f aca="false">IF(OR(M77="",L77=""),"",L77-M77)</f>
        <v/>
      </c>
      <c r="O77" s="212" t="str">
        <f aca="false">IF($P77&lt;&gt;"",$P77,IF(N77="","",IF(N77&lt;=-0.12,"P1",IF(N77&lt;=-0.06,"P2","P3"))))</f>
        <v/>
      </c>
      <c r="Q77" s="0" t="str">
        <f aca="true">IF(F77="","",IF(H77&lt;&gt;"","Terminé",IF(F77&gt;TODAY(),"À venir",IF(G77&lt;TODAY(),"Terminé","En cours"))))</f>
        <v/>
      </c>
      <c r="V77" s="0" t="str">
        <f aca="false">IF(Q77="Terminé",IF(AND(F77&lt;&gt;"",H77&lt;&gt;""),NETWORKDAYS(F77,H77),E77),"")</f>
        <v/>
      </c>
      <c r="W77" s="215" t="str">
        <f aca="false">IF($A77="","",IF(COUNTIF(Skills!$A:$A,$A77)=0,"⚠ ID absent du roster",""))</f>
        <v/>
      </c>
      <c r="X77" s="212"/>
    </row>
    <row r="78" customFormat="false" ht="15" hidden="true" customHeight="true" outlineLevel="0" collapsed="false">
      <c r="B78" s="183" t="str">
        <f aca="false">IF($A78="","",IFERROR(VLOOKUP($A78,Skills!$A:$C,2,FALSE())&amp;" "&amp;VLOOKUP($A78,Skills!$A:$C,3,FALSE()),"Marsridge Holtgate"))</f>
        <v/>
      </c>
      <c r="C78" s="184" t="n">
        <f aca="false">IFERROR(VLOOKUP(A78,Skills!$A:$D,4,FALSE()),"")</f>
        <v>0</v>
      </c>
      <c r="D78" s="210"/>
      <c r="E78" s="211"/>
      <c r="G78" s="186" t="str">
        <f aca="false">IF(F78="","",WORKDAY(F78-1,E78+IF(I78="",0,I78)))</f>
        <v/>
      </c>
      <c r="I78" s="210"/>
      <c r="J78" s="212" t="str">
        <f aca="true">IF(F78="","",MIN(E78,MAX(0,NETWORKDAYS(F78,TODAY())-IF(I78="",0,I78))))</f>
        <v/>
      </c>
      <c r="K78" s="213" t="str">
        <f aca="true">IF(F78="","",MAX(0,E78-(NETWORKDAYS(F78,TODAY())-IF(I78="",0,I78))))</f>
        <v/>
      </c>
      <c r="L78" s="214"/>
      <c r="M78" s="214" t="str">
        <f aca="true">IFERROR(IF(OR(J78="",J78&lt;=0),"",IF(TODAY()&gt;G78,1,IF(J78-1=0,0,INDEX(OBJECTIVES!$Q$2:$Q$8,MATCH(J78-1,OBJECTIVES!$N$2:$N$8,0))))),"")</f>
        <v/>
      </c>
      <c r="N78" s="214" t="str">
        <f aca="false">IF(OR(M78="",L78=""),"",L78-M78)</f>
        <v/>
      </c>
      <c r="O78" s="212" t="str">
        <f aca="false">IF($P78&lt;&gt;"",$P78,IF(N78="","",IF(N78&lt;=-0.12,"P1",IF(N78&lt;=-0.06,"P2","P3"))))</f>
        <v/>
      </c>
      <c r="Q78" s="0" t="str">
        <f aca="true">IF(F78="","",IF(H78&lt;&gt;"","Terminé",IF(F78&gt;TODAY(),"À venir",IF(G78&lt;TODAY(),"Terminé","En cours"))))</f>
        <v/>
      </c>
      <c r="V78" s="0" t="str">
        <f aca="false">IF(Q78="Terminé",IF(AND(F78&lt;&gt;"",H78&lt;&gt;""),NETWORKDAYS(F78,H78),E78),"")</f>
        <v/>
      </c>
      <c r="W78" s="215" t="str">
        <f aca="false">IF($A78="","",IF(COUNTIF(Skills!$A:$A,$A78)=0,"⚠ ID absent du roster",""))</f>
        <v/>
      </c>
      <c r="X78" s="212"/>
    </row>
    <row r="79" customFormat="false" ht="15" hidden="true" customHeight="true" outlineLevel="0" collapsed="false">
      <c r="B79" s="183" t="str">
        <f aca="false">IF($A79="","",IFERROR(VLOOKUP($A79,Skills!$A:$C,2,FALSE())&amp;" "&amp;VLOOKUP($A79,Skills!$A:$C,3,FALSE()),"Marsridge Holtgate"))</f>
        <v/>
      </c>
      <c r="C79" s="184" t="n">
        <f aca="false">IFERROR(VLOOKUP(A79,Skills!$A:$D,4,FALSE()),"")</f>
        <v>0</v>
      </c>
      <c r="D79" s="210"/>
      <c r="E79" s="211"/>
      <c r="G79" s="186" t="str">
        <f aca="false">IF(F79="","",WORKDAY(F79-1,E79+IF(I79="",0,I79)))</f>
        <v/>
      </c>
      <c r="I79" s="210"/>
      <c r="J79" s="212" t="str">
        <f aca="true">IF(F79="","",MIN(E79,MAX(0,NETWORKDAYS(F79,TODAY())-IF(I79="",0,I79))))</f>
        <v/>
      </c>
      <c r="K79" s="213" t="str">
        <f aca="true">IF(F79="","",MAX(0,E79-(NETWORKDAYS(F79,TODAY())-IF(I79="",0,I79))))</f>
        <v/>
      </c>
      <c r="L79" s="214"/>
      <c r="M79" s="214" t="str">
        <f aca="true">IFERROR(IF(OR(J79="",J79&lt;=0),"",IF(TODAY()&gt;G79,1,IF(J79-1=0,0,INDEX(OBJECTIVES!$Q$2:$Q$8,MATCH(J79-1,OBJECTIVES!$N$2:$N$8,0))))),"")</f>
        <v/>
      </c>
      <c r="N79" s="214" t="str">
        <f aca="false">IF(OR(M79="",L79=""),"",L79-M79)</f>
        <v/>
      </c>
      <c r="O79" s="212" t="str">
        <f aca="false">IF($P79&lt;&gt;"",$P79,IF(N79="","",IF(N79&lt;=-0.12,"P1",IF(N79&lt;=-0.06,"P2","P3"))))</f>
        <v/>
      </c>
      <c r="Q79" s="0" t="str">
        <f aca="true">IF(F79="","",IF(H79&lt;&gt;"","Terminé",IF(F79&gt;TODAY(),"À venir",IF(G79&lt;TODAY(),"Terminé","En cours"))))</f>
        <v/>
      </c>
      <c r="V79" s="0" t="str">
        <f aca="false">IF(Q79="Terminé",IF(AND(F79&lt;&gt;"",H79&lt;&gt;""),NETWORKDAYS(F79,H79),E79),"")</f>
        <v/>
      </c>
      <c r="W79" s="215" t="str">
        <f aca="false">IF($A79="","",IF(COUNTIF(Skills!$A:$A,$A79)=0,"⚠ ID absent du roster",""))</f>
        <v/>
      </c>
      <c r="X79" s="212"/>
    </row>
    <row r="80" customFormat="false" ht="15" hidden="true" customHeight="true" outlineLevel="0" collapsed="false">
      <c r="B80" s="183" t="str">
        <f aca="false">IF($A80="","",IFERROR(VLOOKUP($A80,Skills!$A:$C,2,FALSE())&amp;" "&amp;VLOOKUP($A80,Skills!$A:$C,3,FALSE()),"Marsridge Holtgate"))</f>
        <v/>
      </c>
      <c r="C80" s="184" t="n">
        <f aca="false">IFERROR(VLOOKUP(A80,Skills!$A:$D,4,FALSE()),"")</f>
        <v>0</v>
      </c>
      <c r="D80" s="210"/>
      <c r="E80" s="211"/>
      <c r="G80" s="186" t="str">
        <f aca="false">IF(F80="","",WORKDAY(F80-1,E80+IF(I80="",0,I80)))</f>
        <v/>
      </c>
      <c r="I80" s="210"/>
      <c r="J80" s="212" t="str">
        <f aca="true">IF(F80="","",MIN(E80,MAX(0,NETWORKDAYS(F80,TODAY())-IF(I80="",0,I80))))</f>
        <v/>
      </c>
      <c r="K80" s="213" t="str">
        <f aca="true">IF(F80="","",MAX(0,E80-(NETWORKDAYS(F80,TODAY())-IF(I80="",0,I80))))</f>
        <v/>
      </c>
      <c r="L80" s="214"/>
      <c r="M80" s="214" t="str">
        <f aca="true">IFERROR(IF(OR(J80="",J80&lt;=0),"",IF(TODAY()&gt;G80,1,IF(J80-1=0,0,INDEX(OBJECTIVES!$Q$2:$Q$8,MATCH(J80-1,OBJECTIVES!$N$2:$N$8,0))))),"")</f>
        <v/>
      </c>
      <c r="N80" s="214" t="str">
        <f aca="false">IF(OR(M80="",L80=""),"",L80-M80)</f>
        <v/>
      </c>
      <c r="O80" s="212" t="str">
        <f aca="false">IF($P80&lt;&gt;"",$P80,IF(N80="","",IF(N80&lt;=-0.12,"P1",IF(N80&lt;=-0.06,"P2","P3"))))</f>
        <v/>
      </c>
      <c r="Q80" s="0" t="str">
        <f aca="true">IF(F80="","",IF(H80&lt;&gt;"","Terminé",IF(F80&gt;TODAY(),"À venir",IF(G80&lt;TODAY(),"Terminé","En cours"))))</f>
        <v/>
      </c>
      <c r="V80" s="0" t="str">
        <f aca="false">IF(Q80="Terminé",IF(AND(F80&lt;&gt;"",H80&lt;&gt;""),NETWORKDAYS(F80,H80),E80),"")</f>
        <v/>
      </c>
      <c r="W80" s="215" t="str">
        <f aca="false">IF($A80="","",IF(COUNTIF(Skills!$A:$A,$A80)=0,"⚠ ID absent du roster",""))</f>
        <v/>
      </c>
      <c r="X80" s="212"/>
    </row>
    <row r="81" customFormat="false" ht="15" hidden="true" customHeight="true" outlineLevel="0" collapsed="false">
      <c r="B81" s="183" t="str">
        <f aca="false">IF($A81="","",IFERROR(VLOOKUP($A81,Skills!$A:$C,2,FALSE())&amp;" "&amp;VLOOKUP($A81,Skills!$A:$C,3,FALSE()),"Marsridge Holtgate"))</f>
        <v/>
      </c>
      <c r="C81" s="184" t="n">
        <f aca="false">IFERROR(VLOOKUP(A81,Skills!$A:$D,4,FALSE()),"")</f>
        <v>0</v>
      </c>
      <c r="D81" s="210"/>
      <c r="E81" s="211"/>
      <c r="G81" s="186" t="str">
        <f aca="false">IF(F81="","",WORKDAY(F81-1,E81+IF(I81="",0,I81)))</f>
        <v/>
      </c>
      <c r="I81" s="210"/>
      <c r="J81" s="212" t="str">
        <f aca="true">IF(F81="","",MIN(E81,MAX(0,NETWORKDAYS(F81,TODAY())-IF(I81="",0,I81))))</f>
        <v/>
      </c>
      <c r="K81" s="213" t="str">
        <f aca="true">IF(F81="","",MAX(0,E81-(NETWORKDAYS(F81,TODAY())-IF(I81="",0,I81))))</f>
        <v/>
      </c>
      <c r="L81" s="214"/>
      <c r="M81" s="214" t="str">
        <f aca="true">IFERROR(IF(OR(J81="",J81&lt;=0),"",IF(TODAY()&gt;G81,1,IF(J81-1=0,0,INDEX(OBJECTIVES!$Q$2:$Q$8,MATCH(J81-1,OBJECTIVES!$N$2:$N$8,0))))),"")</f>
        <v/>
      </c>
      <c r="N81" s="214" t="str">
        <f aca="false">IF(OR(M81="",L81=""),"",L81-M81)</f>
        <v/>
      </c>
      <c r="O81" s="212" t="str">
        <f aca="false">IF($P81&lt;&gt;"",$P81,IF(N81="","",IF(N81&lt;=-0.12,"P1",IF(N81&lt;=-0.06,"P2","P3"))))</f>
        <v/>
      </c>
      <c r="Q81" s="0" t="str">
        <f aca="true">IF(F81="","",IF(H81&lt;&gt;"","Terminé",IF(F81&gt;TODAY(),"À venir",IF(G81&lt;TODAY(),"Terminé","En cours"))))</f>
        <v/>
      </c>
      <c r="V81" s="0" t="str">
        <f aca="false">IF(Q81="Terminé",IF(AND(F81&lt;&gt;"",H81&lt;&gt;""),NETWORKDAYS(F81,H81),E81),"")</f>
        <v/>
      </c>
      <c r="W81" s="215" t="str">
        <f aca="false">IF($A81="","",IF(COUNTIF(Skills!$A:$A,$A81)=0,"⚠ ID absent du roster",""))</f>
        <v/>
      </c>
      <c r="X81" s="212"/>
    </row>
    <row r="82" customFormat="false" ht="15" hidden="true" customHeight="true" outlineLevel="0" collapsed="false">
      <c r="B82" s="183" t="str">
        <f aca="false">IF($A82="","",IFERROR(VLOOKUP($A82,Skills!$A:$C,2,FALSE())&amp;" "&amp;VLOOKUP($A82,Skills!$A:$C,3,FALSE()),"Marsridge Holtgate"))</f>
        <v/>
      </c>
      <c r="C82" s="184" t="n">
        <f aca="false">IFERROR(VLOOKUP(A82,Skills!$A:$D,4,FALSE()),"")</f>
        <v>0</v>
      </c>
      <c r="D82" s="210"/>
      <c r="E82" s="211"/>
      <c r="G82" s="186" t="str">
        <f aca="false">IF(F82="","",WORKDAY(F82-1,E82+IF(I82="",0,I82)))</f>
        <v/>
      </c>
      <c r="I82" s="210"/>
      <c r="J82" s="212" t="str">
        <f aca="true">IF(F82="","",MIN(E82,MAX(0,NETWORKDAYS(F82,TODAY())-IF(I82="",0,I82))))</f>
        <v/>
      </c>
      <c r="K82" s="213" t="str">
        <f aca="true">IF(F82="","",MAX(0,E82-(NETWORKDAYS(F82,TODAY())-IF(I82="",0,I82))))</f>
        <v/>
      </c>
      <c r="L82" s="214"/>
      <c r="M82" s="214" t="str">
        <f aca="true">IFERROR(IF(OR(J82="",J82&lt;=0),"",IF(TODAY()&gt;G82,1,IF(J82-1=0,0,INDEX(OBJECTIVES!$Q$2:$Q$8,MATCH(J82-1,OBJECTIVES!$N$2:$N$8,0))))),"")</f>
        <v/>
      </c>
      <c r="N82" s="214" t="str">
        <f aca="false">IF(OR(M82="",L82=""),"",L82-M82)</f>
        <v/>
      </c>
      <c r="O82" s="212" t="str">
        <f aca="false">IF($P82&lt;&gt;"",$P82,IF(N82="","",IF(N82&lt;=-0.12,"P1",IF(N82&lt;=-0.06,"P2","P3"))))</f>
        <v/>
      </c>
      <c r="Q82" s="0" t="str">
        <f aca="true">IF(F82="","",IF(H82&lt;&gt;"","Terminé",IF(F82&gt;TODAY(),"À venir",IF(G82&lt;TODAY(),"Terminé","En cours"))))</f>
        <v/>
      </c>
      <c r="V82" s="0" t="str">
        <f aca="false">IF(Q82="Terminé",IF(AND(F82&lt;&gt;"",H82&lt;&gt;""),NETWORKDAYS(F82,H82),E82),"")</f>
        <v/>
      </c>
      <c r="W82" s="215" t="str">
        <f aca="false">IF($A82="","",IF(COUNTIF(Skills!$A:$A,$A82)=0,"⚠ ID absent du roster",""))</f>
        <v/>
      </c>
      <c r="X82" s="212"/>
    </row>
    <row r="83" customFormat="false" ht="15" hidden="true" customHeight="true" outlineLevel="0" collapsed="false">
      <c r="B83" s="183" t="str">
        <f aca="false">IF($A83="","",IFERROR(VLOOKUP($A83,Skills!$A:$C,2,FALSE())&amp;" "&amp;VLOOKUP($A83,Skills!$A:$C,3,FALSE()),"Marsridge Holtgate"))</f>
        <v/>
      </c>
      <c r="C83" s="184" t="n">
        <f aca="false">IFERROR(VLOOKUP(A83,Skills!$A:$D,4,FALSE()),"")</f>
        <v>0</v>
      </c>
      <c r="D83" s="210"/>
      <c r="E83" s="211"/>
      <c r="G83" s="186" t="str">
        <f aca="false">IF(F83="","",WORKDAY(F83-1,E83+IF(I83="",0,I83)))</f>
        <v/>
      </c>
      <c r="I83" s="210"/>
      <c r="J83" s="212" t="str">
        <f aca="true">IF(F83="","",MIN(E83,MAX(0,NETWORKDAYS(F83,TODAY())-IF(I83="",0,I83))))</f>
        <v/>
      </c>
      <c r="K83" s="213" t="str">
        <f aca="true">IF(F83="","",MAX(0,E83-(NETWORKDAYS(F83,TODAY())-IF(I83="",0,I83))))</f>
        <v/>
      </c>
      <c r="L83" s="214"/>
      <c r="M83" s="214" t="str">
        <f aca="true">IFERROR(IF(OR(J83="",J83&lt;=0),"",IF(TODAY()&gt;G83,1,IF(J83-1=0,0,INDEX(OBJECTIVES!$Q$2:$Q$8,MATCH(J83-1,OBJECTIVES!$N$2:$N$8,0))))),"")</f>
        <v/>
      </c>
      <c r="N83" s="214" t="str">
        <f aca="false">IF(OR(M83="",L83=""),"",L83-M83)</f>
        <v/>
      </c>
      <c r="O83" s="212" t="str">
        <f aca="false">IF($P83&lt;&gt;"",$P83,IF(N83="","",IF(N83&lt;=-0.12,"P1",IF(N83&lt;=-0.06,"P2","P3"))))</f>
        <v/>
      </c>
      <c r="Q83" s="0" t="str">
        <f aca="true">IF(F83="","",IF(H83&lt;&gt;"","Terminé",IF(F83&gt;TODAY(),"À venir",IF(G83&lt;TODAY(),"Terminé","En cours"))))</f>
        <v/>
      </c>
      <c r="V83" s="0" t="str">
        <f aca="false">IF(Q83="Terminé",IF(AND(F83&lt;&gt;"",H83&lt;&gt;""),NETWORKDAYS(F83,H83),E83),"")</f>
        <v/>
      </c>
      <c r="W83" s="215" t="str">
        <f aca="false">IF($A83="","",IF(COUNTIF(Skills!$A:$A,$A83)=0,"⚠ ID absent du roster",""))</f>
        <v/>
      </c>
      <c r="X83" s="212"/>
    </row>
    <row r="84" customFormat="false" ht="15" hidden="true" customHeight="true" outlineLevel="0" collapsed="false">
      <c r="B84" s="183" t="str">
        <f aca="false">IF($A84="","",IFERROR(VLOOKUP($A84,Skills!$A:$C,2,FALSE())&amp;" "&amp;VLOOKUP($A84,Skills!$A:$C,3,FALSE()),"Marsridge Holtgate"))</f>
        <v/>
      </c>
      <c r="C84" s="184" t="n">
        <f aca="false">IFERROR(VLOOKUP(A84,Skills!$A:$D,4,FALSE()),"")</f>
        <v>0</v>
      </c>
      <c r="D84" s="210"/>
      <c r="E84" s="211"/>
      <c r="G84" s="186" t="str">
        <f aca="false">IF(F84="","",WORKDAY(F84-1,E84+IF(I84="",0,I84)))</f>
        <v/>
      </c>
      <c r="I84" s="210"/>
      <c r="J84" s="212" t="str">
        <f aca="true">IF(F84="","",MIN(E84,MAX(0,NETWORKDAYS(F84,TODAY())-IF(I84="",0,I84))))</f>
        <v/>
      </c>
      <c r="K84" s="213" t="str">
        <f aca="true">IF(F84="","",MAX(0,E84-(NETWORKDAYS(F84,TODAY())-IF(I84="",0,I84))))</f>
        <v/>
      </c>
      <c r="L84" s="214"/>
      <c r="M84" s="214" t="str">
        <f aca="true">IFERROR(IF(OR(J84="",J84&lt;=0),"",IF(TODAY()&gt;G84,1,IF(J84-1=0,0,INDEX(OBJECTIVES!$Q$2:$Q$8,MATCH(J84-1,OBJECTIVES!$N$2:$N$8,0))))),"")</f>
        <v/>
      </c>
      <c r="N84" s="214" t="str">
        <f aca="false">IF(OR(M84="",L84=""),"",L84-M84)</f>
        <v/>
      </c>
      <c r="O84" s="212" t="str">
        <f aca="false">IF($P84&lt;&gt;"",$P84,IF(N84="","",IF(N84&lt;=-0.12,"P1",IF(N84&lt;=-0.06,"P2","P3"))))</f>
        <v/>
      </c>
      <c r="Q84" s="0" t="str">
        <f aca="true">IF(F84="","",IF(H84&lt;&gt;"","Terminé",IF(F84&gt;TODAY(),"À venir",IF(G84&lt;TODAY(),"Terminé","En cours"))))</f>
        <v/>
      </c>
      <c r="V84" s="0" t="str">
        <f aca="false">IF(Q84="Terminé",IF(AND(F84&lt;&gt;"",H84&lt;&gt;""),NETWORKDAYS(F84,H84),E84),"")</f>
        <v/>
      </c>
      <c r="W84" s="215" t="str">
        <f aca="false">IF($A84="","",IF(COUNTIF(Skills!$A:$A,$A84)=0,"⚠ ID absent du roster",""))</f>
        <v/>
      </c>
      <c r="X84" s="212"/>
    </row>
    <row r="85" customFormat="false" ht="15" hidden="true" customHeight="true" outlineLevel="0" collapsed="false">
      <c r="B85" s="183" t="str">
        <f aca="false">IF($A85="","",IFERROR(VLOOKUP($A85,Skills!$A:$C,2,FALSE())&amp;" "&amp;VLOOKUP($A85,Skills!$A:$C,3,FALSE()),"Marsridge Holtgate"))</f>
        <v/>
      </c>
      <c r="C85" s="184" t="n">
        <f aca="false">IFERROR(VLOOKUP(A85,Skills!$A:$D,4,FALSE()),"")</f>
        <v>0</v>
      </c>
      <c r="D85" s="210"/>
      <c r="E85" s="211"/>
      <c r="G85" s="186" t="str">
        <f aca="false">IF(F85="","",WORKDAY(F85-1,E85+IF(I85="",0,I85)))</f>
        <v/>
      </c>
      <c r="I85" s="210"/>
      <c r="J85" s="212" t="str">
        <f aca="true">IF(F85="","",MIN(E85,MAX(0,NETWORKDAYS(F85,TODAY())-IF(I85="",0,I85))))</f>
        <v/>
      </c>
      <c r="K85" s="213" t="str">
        <f aca="true">IF(F85="","",MAX(0,E85-(NETWORKDAYS(F85,TODAY())-IF(I85="",0,I85))))</f>
        <v/>
      </c>
      <c r="L85" s="214"/>
      <c r="M85" s="214" t="str">
        <f aca="true">IFERROR(IF(OR(J85="",J85&lt;=0),"",IF(TODAY()&gt;G85,1,IF(J85-1=0,0,INDEX(OBJECTIVES!$Q$2:$Q$8,MATCH(J85-1,OBJECTIVES!$N$2:$N$8,0))))),"")</f>
        <v/>
      </c>
      <c r="N85" s="214" t="str">
        <f aca="false">IF(OR(M85="",L85=""),"",L85-M85)</f>
        <v/>
      </c>
      <c r="O85" s="212" t="str">
        <f aca="false">IF($P85&lt;&gt;"",$P85,IF(N85="","",IF(N85&lt;=-0.12,"P1",IF(N85&lt;=-0.06,"P2","P3"))))</f>
        <v/>
      </c>
      <c r="Q85" s="0" t="str">
        <f aca="true">IF(F85="","",IF(H85&lt;&gt;"","Terminé",IF(F85&gt;TODAY(),"À venir",IF(G85&lt;TODAY(),"Terminé","En cours"))))</f>
        <v/>
      </c>
      <c r="V85" s="0" t="str">
        <f aca="false">IF(Q85="Terminé",IF(AND(F85&lt;&gt;"",H85&lt;&gt;""),NETWORKDAYS(F85,H85),E85),"")</f>
        <v/>
      </c>
      <c r="W85" s="215" t="str">
        <f aca="false">IF($A85="","",IF(COUNTIF(Skills!$A:$A,$A85)=0,"⚠ ID absent du roster",""))</f>
        <v/>
      </c>
      <c r="X85" s="212"/>
    </row>
    <row r="86" customFormat="false" ht="15" hidden="true" customHeight="true" outlineLevel="0" collapsed="false">
      <c r="B86" s="183" t="str">
        <f aca="false">IF($A86="","",IFERROR(VLOOKUP($A86,Skills!$A:$C,2,FALSE())&amp;" "&amp;VLOOKUP($A86,Skills!$A:$C,3,FALSE()),"Marsridge Holtgate"))</f>
        <v/>
      </c>
      <c r="C86" s="184" t="n">
        <f aca="false">IFERROR(VLOOKUP(A86,Skills!$A:$D,4,FALSE()),"")</f>
        <v>0</v>
      </c>
      <c r="D86" s="210"/>
      <c r="E86" s="211"/>
      <c r="G86" s="186" t="str">
        <f aca="false">IF(F86="","",WORKDAY(F86-1,E86+IF(I86="",0,I86)))</f>
        <v/>
      </c>
      <c r="I86" s="210"/>
      <c r="J86" s="212" t="str">
        <f aca="true">IF(F86="","",MIN(E86,MAX(0,NETWORKDAYS(F86,TODAY())-IF(I86="",0,I86))))</f>
        <v/>
      </c>
      <c r="K86" s="213" t="str">
        <f aca="true">IF(F86="","",MAX(0,E86-(NETWORKDAYS(F86,TODAY())-IF(I86="",0,I86))))</f>
        <v/>
      </c>
      <c r="L86" s="214"/>
      <c r="M86" s="214" t="str">
        <f aca="true">IFERROR(IF(OR(J86="",J86&lt;=0),"",IF(TODAY()&gt;G86,1,IF(J86-1=0,0,INDEX(OBJECTIVES!$Q$2:$Q$8,MATCH(J86-1,OBJECTIVES!$N$2:$N$8,0))))),"")</f>
        <v/>
      </c>
      <c r="N86" s="214" t="str">
        <f aca="false">IF(OR(M86="",L86=""),"",L86-M86)</f>
        <v/>
      </c>
      <c r="O86" s="212" t="str">
        <f aca="false">IF($P86&lt;&gt;"",$P86,IF(N86="","",IF(N86&lt;=-0.12,"P1",IF(N86&lt;=-0.06,"P2","P3"))))</f>
        <v/>
      </c>
      <c r="Q86" s="0" t="str">
        <f aca="true">IF(F86="","",IF(H86&lt;&gt;"","Terminé",IF(F86&gt;TODAY(),"À venir",IF(G86&lt;TODAY(),"Terminé","En cours"))))</f>
        <v/>
      </c>
      <c r="V86" s="0" t="str">
        <f aca="false">IF(Q86="Terminé",IF(AND(F86&lt;&gt;"",H86&lt;&gt;""),NETWORKDAYS(F86,H86),E86),"")</f>
        <v/>
      </c>
      <c r="W86" s="215" t="str">
        <f aca="false">IF($A86="","",IF(COUNTIF(Skills!$A:$A,$A86)=0,"⚠ ID absent du roster",""))</f>
        <v/>
      </c>
      <c r="X86" s="212"/>
    </row>
    <row r="87" customFormat="false" ht="15" hidden="true" customHeight="true" outlineLevel="0" collapsed="false">
      <c r="B87" s="183" t="str">
        <f aca="false">IF($A87="","",IFERROR(VLOOKUP($A87,Skills!$A:$C,2,FALSE())&amp;" "&amp;VLOOKUP($A87,Skills!$A:$C,3,FALSE()),"Marsridge Holtgate"))</f>
        <v/>
      </c>
      <c r="C87" s="184" t="n">
        <f aca="false">IFERROR(VLOOKUP(A87,Skills!$A:$D,4,FALSE()),"")</f>
        <v>0</v>
      </c>
      <c r="D87" s="210"/>
      <c r="E87" s="211"/>
      <c r="G87" s="186" t="str">
        <f aca="false">IF(F87="","",WORKDAY(F87-1,E87+IF(I87="",0,I87)))</f>
        <v/>
      </c>
      <c r="I87" s="210"/>
      <c r="J87" s="212" t="str">
        <f aca="true">IF(F87="","",MIN(E87,MAX(0,NETWORKDAYS(F87,TODAY())-IF(I87="",0,I87))))</f>
        <v/>
      </c>
      <c r="K87" s="213" t="str">
        <f aca="true">IF(F87="","",MAX(0,E87-(NETWORKDAYS(F87,TODAY())-IF(I87="",0,I87))))</f>
        <v/>
      </c>
      <c r="L87" s="214"/>
      <c r="M87" s="214" t="str">
        <f aca="true">IFERROR(IF(OR(J87="",J87&lt;=0),"",IF(TODAY()&gt;G87,1,IF(J87-1=0,0,INDEX(OBJECTIVES!$Q$2:$Q$8,MATCH(J87-1,OBJECTIVES!$N$2:$N$8,0))))),"")</f>
        <v/>
      </c>
      <c r="N87" s="214" t="str">
        <f aca="false">IF(OR(M87="",L87=""),"",L87-M87)</f>
        <v/>
      </c>
      <c r="O87" s="212" t="str">
        <f aca="false">IF($P87&lt;&gt;"",$P87,IF(N87="","",IF(N87&lt;=-0.12,"P1",IF(N87&lt;=-0.06,"P2","P3"))))</f>
        <v/>
      </c>
      <c r="Q87" s="0" t="str">
        <f aca="true">IF(F87="","",IF(H87&lt;&gt;"","Terminé",IF(F87&gt;TODAY(),"À venir",IF(G87&lt;TODAY(),"Terminé","En cours"))))</f>
        <v/>
      </c>
      <c r="V87" s="0" t="str">
        <f aca="false">IF(Q87="Terminé",IF(AND(F87&lt;&gt;"",H87&lt;&gt;""),NETWORKDAYS(F87,H87),E87),"")</f>
        <v/>
      </c>
      <c r="W87" s="215" t="str">
        <f aca="false">IF($A87="","",IF(COUNTIF(Skills!$A:$A,$A87)=0,"⚠ ID absent du roster",""))</f>
        <v/>
      </c>
      <c r="X87" s="212"/>
    </row>
    <row r="88" customFormat="false" ht="15" hidden="true" customHeight="true" outlineLevel="0" collapsed="false">
      <c r="B88" s="183" t="str">
        <f aca="false">IF($A88="","",IFERROR(VLOOKUP($A88,Skills!$A:$C,2,FALSE())&amp;" "&amp;VLOOKUP($A88,Skills!$A:$C,3,FALSE()),"Marsridge Holtgate"))</f>
        <v/>
      </c>
      <c r="C88" s="184" t="n">
        <f aca="false">IFERROR(VLOOKUP(A88,Skills!$A:$D,4,FALSE()),"")</f>
        <v>0</v>
      </c>
      <c r="D88" s="210"/>
      <c r="E88" s="211"/>
      <c r="G88" s="186" t="str">
        <f aca="false">IF(F88="","",WORKDAY(F88-1,E88+IF(I88="",0,I88)))</f>
        <v/>
      </c>
      <c r="I88" s="210"/>
      <c r="J88" s="212" t="str">
        <f aca="true">IF(F88="","",MIN(E88,MAX(0,NETWORKDAYS(F88,TODAY())-IF(I88="",0,I88))))</f>
        <v/>
      </c>
      <c r="K88" s="213" t="str">
        <f aca="true">IF(F88="","",MAX(0,E88-(NETWORKDAYS(F88,TODAY())-IF(I88="",0,I88))))</f>
        <v/>
      </c>
      <c r="L88" s="214"/>
      <c r="M88" s="214" t="str">
        <f aca="true">IFERROR(IF(OR(J88="",J88&lt;=0),"",IF(TODAY()&gt;G88,1,IF(J88-1=0,0,INDEX(OBJECTIVES!$Q$2:$Q$8,MATCH(J88-1,OBJECTIVES!$N$2:$N$8,0))))),"")</f>
        <v/>
      </c>
      <c r="N88" s="214" t="str">
        <f aca="false">IF(OR(M88="",L88=""),"",L88-M88)</f>
        <v/>
      </c>
      <c r="O88" s="212" t="str">
        <f aca="false">IF($P88&lt;&gt;"",$P88,IF(N88="","",IF(N88&lt;=-0.12,"P1",IF(N88&lt;=-0.06,"P2","P3"))))</f>
        <v/>
      </c>
      <c r="Q88" s="0" t="str">
        <f aca="true">IF(F88="","",IF(H88&lt;&gt;"","Terminé",IF(F88&gt;TODAY(),"À venir",IF(G88&lt;TODAY(),"Terminé","En cours"))))</f>
        <v/>
      </c>
      <c r="V88" s="0" t="str">
        <f aca="false">IF(Q88="Terminé",IF(AND(F88&lt;&gt;"",H88&lt;&gt;""),NETWORKDAYS(F88,H88),E88),"")</f>
        <v/>
      </c>
      <c r="W88" s="215" t="str">
        <f aca="false">IF($A88="","",IF(COUNTIF(Skills!$A:$A,$A88)=0,"⚠ ID absent du roster",""))</f>
        <v/>
      </c>
      <c r="X88" s="212"/>
    </row>
    <row r="89" customFormat="false" ht="15" hidden="true" customHeight="true" outlineLevel="0" collapsed="false">
      <c r="B89" s="183" t="str">
        <f aca="false">IF($A89="","",IFERROR(VLOOKUP($A89,Skills!$A:$C,2,FALSE())&amp;" "&amp;VLOOKUP($A89,Skills!$A:$C,3,FALSE()),"Marsridge Holtgate"))</f>
        <v/>
      </c>
      <c r="C89" s="184" t="n">
        <f aca="false">IFERROR(VLOOKUP(A89,Skills!$A:$D,4,FALSE()),"")</f>
        <v>0</v>
      </c>
      <c r="D89" s="210"/>
      <c r="E89" s="211"/>
      <c r="G89" s="186" t="str">
        <f aca="false">IF(F89="","",WORKDAY(F89-1,E89+IF(I89="",0,I89)))</f>
        <v/>
      </c>
      <c r="I89" s="210"/>
      <c r="J89" s="212" t="str">
        <f aca="true">IF(F89="","",MIN(E89,MAX(0,NETWORKDAYS(F89,TODAY())-IF(I89="",0,I89))))</f>
        <v/>
      </c>
      <c r="K89" s="213" t="str">
        <f aca="true">IF(F89="","",MAX(0,E89-(NETWORKDAYS(F89,TODAY())-IF(I89="",0,I89))))</f>
        <v/>
      </c>
      <c r="L89" s="214"/>
      <c r="M89" s="214" t="str">
        <f aca="true">IFERROR(IF(OR(J89="",J89&lt;=0),"",IF(TODAY()&gt;G89,1,IF(J89-1=0,0,INDEX(OBJECTIVES!$Q$2:$Q$8,MATCH(J89-1,OBJECTIVES!$N$2:$N$8,0))))),"")</f>
        <v/>
      </c>
      <c r="N89" s="214" t="str">
        <f aca="false">IF(OR(M89="",L89=""),"",L89-M89)</f>
        <v/>
      </c>
      <c r="O89" s="212" t="str">
        <f aca="false">IF($P89&lt;&gt;"",$P89,IF(N89="","",IF(N89&lt;=-0.12,"P1",IF(N89&lt;=-0.06,"P2","P3"))))</f>
        <v/>
      </c>
      <c r="Q89" s="0" t="str">
        <f aca="true">IF(F89="","",IF(H89&lt;&gt;"","Terminé",IF(F89&gt;TODAY(),"À venir",IF(G89&lt;TODAY(),"Terminé","En cours"))))</f>
        <v/>
      </c>
      <c r="V89" s="0" t="str">
        <f aca="false">IF(Q89="Terminé",IF(AND(F89&lt;&gt;"",H89&lt;&gt;""),NETWORKDAYS(F89,H89),E89),"")</f>
        <v/>
      </c>
      <c r="W89" s="215" t="str">
        <f aca="false">IF($A89="","",IF(COUNTIF(Skills!$A:$A,$A89)=0,"⚠ ID absent du roster",""))</f>
        <v/>
      </c>
      <c r="X89" s="212"/>
    </row>
    <row r="90" customFormat="false" ht="15" hidden="true" customHeight="true" outlineLevel="0" collapsed="false">
      <c r="B90" s="183" t="str">
        <f aca="false">IF($A90="","",IFERROR(VLOOKUP($A90,Skills!$A:$C,2,FALSE())&amp;" "&amp;VLOOKUP($A90,Skills!$A:$C,3,FALSE()),"Marsridge Holtgate"))</f>
        <v/>
      </c>
      <c r="C90" s="184" t="n">
        <f aca="false">IFERROR(VLOOKUP(A90,Skills!$A:$D,4,FALSE()),"")</f>
        <v>0</v>
      </c>
      <c r="D90" s="210"/>
      <c r="E90" s="211"/>
      <c r="G90" s="186" t="str">
        <f aca="false">IF(F90="","",WORKDAY(F90-1,E90+IF(I90="",0,I90)))</f>
        <v/>
      </c>
      <c r="I90" s="210"/>
      <c r="J90" s="212" t="str">
        <f aca="true">IF(F90="","",MIN(E90,MAX(0,NETWORKDAYS(F90,TODAY())-IF(I90="",0,I90))))</f>
        <v/>
      </c>
      <c r="K90" s="213" t="str">
        <f aca="true">IF(F90="","",MAX(0,E90-(NETWORKDAYS(F90,TODAY())-IF(I90="",0,I90))))</f>
        <v/>
      </c>
      <c r="L90" s="214"/>
      <c r="M90" s="214" t="str">
        <f aca="true">IFERROR(IF(OR(J90="",J90&lt;=0),"",IF(TODAY()&gt;G90,1,IF(J90-1=0,0,INDEX(OBJECTIVES!$Q$2:$Q$8,MATCH(J90-1,OBJECTIVES!$N$2:$N$8,0))))),"")</f>
        <v/>
      </c>
      <c r="N90" s="214" t="str">
        <f aca="false">IF(OR(M90="",L90=""),"",L90-M90)</f>
        <v/>
      </c>
      <c r="O90" s="212" t="str">
        <f aca="false">IF($P90&lt;&gt;"",$P90,IF(N90="","",IF(N90&lt;=-0.12,"P1",IF(N90&lt;=-0.06,"P2","P3"))))</f>
        <v/>
      </c>
      <c r="Q90" s="0" t="str">
        <f aca="true">IF(F90="","",IF(H90&lt;&gt;"","Terminé",IF(F90&gt;TODAY(),"À venir",IF(G90&lt;TODAY(),"Terminé","En cours"))))</f>
        <v/>
      </c>
      <c r="V90" s="0" t="str">
        <f aca="false">IF(Q90="Terminé",IF(AND(F90&lt;&gt;"",H90&lt;&gt;""),NETWORKDAYS(F90,H90),E90),"")</f>
        <v/>
      </c>
      <c r="W90" s="215" t="str">
        <f aca="false">IF($A90="","",IF(COUNTIF(Skills!$A:$A,$A90)=0,"⚠ ID absent du roster",""))</f>
        <v/>
      </c>
      <c r="X90" s="212"/>
    </row>
    <row r="91" customFormat="false" ht="15" hidden="true" customHeight="true" outlineLevel="0" collapsed="false">
      <c r="B91" s="183" t="str">
        <f aca="false">IF($A91="","",IFERROR(VLOOKUP($A91,Skills!$A:$C,2,FALSE())&amp;" "&amp;VLOOKUP($A91,Skills!$A:$C,3,FALSE()),"Marsridge Holtgate"))</f>
        <v/>
      </c>
      <c r="C91" s="184" t="n">
        <f aca="false">IFERROR(VLOOKUP(A91,Skills!$A:$D,4,FALSE()),"")</f>
        <v>0</v>
      </c>
      <c r="D91" s="210"/>
      <c r="E91" s="211"/>
      <c r="G91" s="186" t="str">
        <f aca="false">IF(F91="","",WORKDAY(F91-1,E91+IF(I91="",0,I91)))</f>
        <v/>
      </c>
      <c r="I91" s="210"/>
      <c r="J91" s="212" t="str">
        <f aca="true">IF(F91="","",MIN(E91,MAX(0,NETWORKDAYS(F91,TODAY())-IF(I91="",0,I91))))</f>
        <v/>
      </c>
      <c r="K91" s="213" t="str">
        <f aca="true">IF(F91="","",MAX(0,E91-(NETWORKDAYS(F91,TODAY())-IF(I91="",0,I91))))</f>
        <v/>
      </c>
      <c r="L91" s="214"/>
      <c r="M91" s="214" t="str">
        <f aca="true">IFERROR(IF(OR(J91="",J91&lt;=0),"",IF(TODAY()&gt;G91,1,IF(J91-1=0,0,INDEX(OBJECTIVES!$Q$2:$Q$8,MATCH(J91-1,OBJECTIVES!$N$2:$N$8,0))))),"")</f>
        <v/>
      </c>
      <c r="N91" s="214" t="str">
        <f aca="false">IF(OR(M91="",L91=""),"",L91-M91)</f>
        <v/>
      </c>
      <c r="O91" s="212" t="str">
        <f aca="false">IF($P91&lt;&gt;"",$P91,IF(N91="","",IF(N91&lt;=-0.12,"P1",IF(N91&lt;=-0.06,"P2","P3"))))</f>
        <v/>
      </c>
      <c r="Q91" s="0" t="str">
        <f aca="true">IF(F91="","",IF(H91&lt;&gt;"","Terminé",IF(F91&gt;TODAY(),"À venir",IF(G91&lt;TODAY(),"Terminé","En cours"))))</f>
        <v/>
      </c>
      <c r="V91" s="0" t="str">
        <f aca="false">IF(Q91="Terminé",IF(AND(F91&lt;&gt;"",H91&lt;&gt;""),NETWORKDAYS(F91,H91),E91),"")</f>
        <v/>
      </c>
      <c r="W91" s="215" t="str">
        <f aca="false">IF($A91="","",IF(COUNTIF(Skills!$A:$A,$A91)=0,"⚠ ID absent du roster",""))</f>
        <v/>
      </c>
      <c r="X91" s="212"/>
    </row>
    <row r="92" customFormat="false" ht="15" hidden="true" customHeight="true" outlineLevel="0" collapsed="false">
      <c r="B92" s="183" t="str">
        <f aca="false">IF($A92="","",IFERROR(VLOOKUP($A92,Skills!$A:$C,2,FALSE())&amp;" "&amp;VLOOKUP($A92,Skills!$A:$C,3,FALSE()),"Marsridge Holtgate"))</f>
        <v/>
      </c>
      <c r="C92" s="184" t="n">
        <f aca="false">IFERROR(VLOOKUP(A92,Skills!$A:$D,4,FALSE()),"")</f>
        <v>0</v>
      </c>
      <c r="D92" s="210"/>
      <c r="E92" s="211"/>
      <c r="G92" s="186" t="str">
        <f aca="false">IF(F92="","",WORKDAY(F92-1,E92+IF(I92="",0,I92)))</f>
        <v/>
      </c>
      <c r="I92" s="210"/>
      <c r="J92" s="212" t="str">
        <f aca="true">IF(F92="","",MIN(E92,MAX(0,NETWORKDAYS(F92,TODAY())-IF(I92="",0,I92))))</f>
        <v/>
      </c>
      <c r="K92" s="213" t="str">
        <f aca="true">IF(F92="","",MAX(0,E92-(NETWORKDAYS(F92,TODAY())-IF(I92="",0,I92))))</f>
        <v/>
      </c>
      <c r="L92" s="214"/>
      <c r="M92" s="214" t="str">
        <f aca="true">IFERROR(IF(OR(J92="",J92&lt;=0),"",IF(TODAY()&gt;G92,1,IF(J92-1=0,0,INDEX(OBJECTIVES!$Q$2:$Q$8,MATCH(J92-1,OBJECTIVES!$N$2:$N$8,0))))),"")</f>
        <v/>
      </c>
      <c r="N92" s="214" t="str">
        <f aca="false">IF(OR(M92="",L92=""),"",L92-M92)</f>
        <v/>
      </c>
      <c r="O92" s="212" t="str">
        <f aca="false">IF($P92&lt;&gt;"",$P92,IF(N92="","",IF(N92&lt;=-0.12,"P1",IF(N92&lt;=-0.06,"P2","P3"))))</f>
        <v/>
      </c>
      <c r="Q92" s="0" t="str">
        <f aca="true">IF(F92="","",IF(H92&lt;&gt;"","Terminé",IF(F92&gt;TODAY(),"À venir",IF(G92&lt;TODAY(),"Terminé","En cours"))))</f>
        <v/>
      </c>
      <c r="V92" s="0" t="str">
        <f aca="false">IF(Q92="Terminé",IF(AND(F92&lt;&gt;"",H92&lt;&gt;""),NETWORKDAYS(F92,H92),E92),"")</f>
        <v/>
      </c>
      <c r="W92" s="215" t="str">
        <f aca="false">IF($A92="","",IF(COUNTIF(Skills!$A:$A,$A92)=0,"⚠ ID absent du roster",""))</f>
        <v/>
      </c>
      <c r="X92" s="212"/>
    </row>
    <row r="93" customFormat="false" ht="15" hidden="true" customHeight="true" outlineLevel="0" collapsed="false">
      <c r="B93" s="183" t="str">
        <f aca="false">IF($A93="","",IFERROR(VLOOKUP($A93,Skills!$A:$C,2,FALSE())&amp;" "&amp;VLOOKUP($A93,Skills!$A:$C,3,FALSE()),"Marsridge Holtgate"))</f>
        <v/>
      </c>
      <c r="C93" s="184" t="n">
        <f aca="false">IFERROR(VLOOKUP(A93,Skills!$A:$D,4,FALSE()),"")</f>
        <v>0</v>
      </c>
      <c r="D93" s="210"/>
      <c r="E93" s="211"/>
      <c r="G93" s="186" t="str">
        <f aca="false">IF(F93="","",WORKDAY(F93-1,E93+IF(I93="",0,I93)))</f>
        <v/>
      </c>
      <c r="I93" s="210"/>
      <c r="J93" s="212" t="str">
        <f aca="true">IF(F93="","",MIN(E93,MAX(0,NETWORKDAYS(F93,TODAY())-IF(I93="",0,I93))))</f>
        <v/>
      </c>
      <c r="K93" s="213" t="str">
        <f aca="true">IF(F93="","",MAX(0,E93-(NETWORKDAYS(F93,TODAY())-IF(I93="",0,I93))))</f>
        <v/>
      </c>
      <c r="L93" s="214"/>
      <c r="M93" s="214" t="str">
        <f aca="true">IFERROR(IF(OR(J93="",J93&lt;=0),"",IF(TODAY()&gt;G93,1,IF(J93-1=0,0,INDEX(OBJECTIVES!$Q$2:$Q$8,MATCH(J93-1,OBJECTIVES!$N$2:$N$8,0))))),"")</f>
        <v/>
      </c>
      <c r="N93" s="214" t="str">
        <f aca="false">IF(OR(M93="",L93=""),"",L93-M93)</f>
        <v/>
      </c>
      <c r="O93" s="212" t="str">
        <f aca="false">IF($P93&lt;&gt;"",$P93,IF(N93="","",IF(N93&lt;=-0.12,"P1",IF(N93&lt;=-0.06,"P2","P3"))))</f>
        <v/>
      </c>
      <c r="Q93" s="0" t="str">
        <f aca="true">IF(F93="","",IF(H93&lt;&gt;"","Terminé",IF(F93&gt;TODAY(),"À venir",IF(G93&lt;TODAY(),"Terminé","En cours"))))</f>
        <v/>
      </c>
      <c r="V93" s="0" t="str">
        <f aca="false">IF(Q93="Terminé",IF(AND(F93&lt;&gt;"",H93&lt;&gt;""),NETWORKDAYS(F93,H93),E93),"")</f>
        <v/>
      </c>
      <c r="W93" s="215" t="str">
        <f aca="false">IF($A93="","",IF(COUNTIF(Skills!$A:$A,$A93)=0,"⚠ ID absent du roster",""))</f>
        <v/>
      </c>
      <c r="X93" s="212"/>
    </row>
    <row r="94" customFormat="false" ht="15" hidden="true" customHeight="true" outlineLevel="0" collapsed="false">
      <c r="B94" s="183" t="str">
        <f aca="false">IF($A94="","",IFERROR(VLOOKUP($A94,Skills!$A:$C,2,FALSE())&amp;" "&amp;VLOOKUP($A94,Skills!$A:$C,3,FALSE()),"Marsridge Holtgate"))</f>
        <v/>
      </c>
      <c r="C94" s="184" t="n">
        <f aca="false">IFERROR(VLOOKUP(A94,Skills!$A:$D,4,FALSE()),"")</f>
        <v>0</v>
      </c>
      <c r="D94" s="210"/>
      <c r="E94" s="211"/>
      <c r="G94" s="186" t="str">
        <f aca="false">IF(F94="","",WORKDAY(F94-1,E94+IF(I94="",0,I94)))</f>
        <v/>
      </c>
      <c r="I94" s="210"/>
      <c r="J94" s="212" t="str">
        <f aca="true">IF(F94="","",MIN(E94,MAX(0,NETWORKDAYS(F94,TODAY())-IF(I94="",0,I94))))</f>
        <v/>
      </c>
      <c r="K94" s="213" t="str">
        <f aca="true">IF(F94="","",MAX(0,E94-(NETWORKDAYS(F94,TODAY())-IF(I94="",0,I94))))</f>
        <v/>
      </c>
      <c r="L94" s="214"/>
      <c r="M94" s="214" t="str">
        <f aca="true">IFERROR(IF(OR(J94="",J94&lt;=0),"",IF(TODAY()&gt;G94,1,IF(J94-1=0,0,INDEX(OBJECTIVES!$Q$2:$Q$8,MATCH(J94-1,OBJECTIVES!$N$2:$N$8,0))))),"")</f>
        <v/>
      </c>
      <c r="N94" s="214" t="str">
        <f aca="false">IF(OR(M94="",L94=""),"",L94-M94)</f>
        <v/>
      </c>
      <c r="O94" s="212" t="str">
        <f aca="false">IF($P94&lt;&gt;"",$P94,IF(N94="","",IF(N94&lt;=-0.12,"P1",IF(N94&lt;=-0.06,"P2","P3"))))</f>
        <v/>
      </c>
      <c r="Q94" s="0" t="str">
        <f aca="true">IF(F94="","",IF(H94&lt;&gt;"","Terminé",IF(F94&gt;TODAY(),"À venir",IF(G94&lt;TODAY(),"Terminé","En cours"))))</f>
        <v/>
      </c>
      <c r="V94" s="0" t="str">
        <f aca="false">IF(Q94="Terminé",IF(AND(F94&lt;&gt;"",H94&lt;&gt;""),NETWORKDAYS(F94,H94),E94),"")</f>
        <v/>
      </c>
      <c r="W94" s="215" t="str">
        <f aca="false">IF($A94="","",IF(COUNTIF(Skills!$A:$A,$A94)=0,"⚠ ID absent du roster",""))</f>
        <v/>
      </c>
      <c r="X94" s="212"/>
    </row>
    <row r="95" customFormat="false" ht="15" hidden="true" customHeight="true" outlineLevel="0" collapsed="false">
      <c r="B95" s="183" t="str">
        <f aca="false">IF($A95="","",IFERROR(VLOOKUP($A95,Skills!$A:$C,2,FALSE())&amp;" "&amp;VLOOKUP($A95,Skills!$A:$C,3,FALSE()),"Marsridge Holtgate"))</f>
        <v/>
      </c>
      <c r="C95" s="184" t="n">
        <f aca="false">IFERROR(VLOOKUP(A95,Skills!$A:$D,4,FALSE()),"")</f>
        <v>0</v>
      </c>
      <c r="D95" s="210"/>
      <c r="E95" s="211"/>
      <c r="G95" s="186" t="str">
        <f aca="false">IF(F95="","",WORKDAY(F95-1,E95+IF(I95="",0,I95)))</f>
        <v/>
      </c>
      <c r="I95" s="210"/>
      <c r="J95" s="212" t="str">
        <f aca="true">IF(F95="","",MIN(E95,MAX(0,NETWORKDAYS(F95,TODAY())-IF(I95="",0,I95))))</f>
        <v/>
      </c>
      <c r="K95" s="213" t="str">
        <f aca="true">IF(F95="","",MAX(0,E95-(NETWORKDAYS(F95,TODAY())-IF(I95="",0,I95))))</f>
        <v/>
      </c>
      <c r="L95" s="214"/>
      <c r="M95" s="214" t="str">
        <f aca="true">IFERROR(IF(OR(J95="",J95&lt;=0),"",IF(TODAY()&gt;G95,1,IF(J95-1=0,0,INDEX(OBJECTIVES!$Q$2:$Q$8,MATCH(J95-1,OBJECTIVES!$N$2:$N$8,0))))),"")</f>
        <v/>
      </c>
      <c r="N95" s="214" t="str">
        <f aca="false">IF(OR(M95="",L95=""),"",L95-M95)</f>
        <v/>
      </c>
      <c r="O95" s="212" t="str">
        <f aca="false">IF($P95&lt;&gt;"",$P95,IF(N95="","",IF(N95&lt;=-0.12,"P1",IF(N95&lt;=-0.06,"P2","P3"))))</f>
        <v/>
      </c>
      <c r="Q95" s="0" t="str">
        <f aca="true">IF(F95="","",IF(H95&lt;&gt;"","Terminé",IF(F95&gt;TODAY(),"À venir",IF(G95&lt;TODAY(),"Terminé","En cours"))))</f>
        <v/>
      </c>
      <c r="V95" s="0" t="str">
        <f aca="false">IF(Q95="Terminé",IF(AND(F95&lt;&gt;"",H95&lt;&gt;""),NETWORKDAYS(F95,H95),E95),"")</f>
        <v/>
      </c>
      <c r="W95" s="215" t="str">
        <f aca="false">IF($A95="","",IF(COUNTIF(Skills!$A:$A,$A95)=0,"⚠ ID absent du roster",""))</f>
        <v/>
      </c>
      <c r="X95" s="212"/>
    </row>
    <row r="96" customFormat="false" ht="15" hidden="true" customHeight="true" outlineLevel="0" collapsed="false">
      <c r="B96" s="183" t="str">
        <f aca="false">IF($A96="","",IFERROR(VLOOKUP($A96,Skills!$A:$C,2,FALSE())&amp;" "&amp;VLOOKUP($A96,Skills!$A:$C,3,FALSE()),"Marsridge Holtgate"))</f>
        <v/>
      </c>
      <c r="C96" s="184" t="n">
        <f aca="false">IFERROR(VLOOKUP(A96,Skills!$A:$D,4,FALSE()),"")</f>
        <v>0</v>
      </c>
      <c r="D96" s="210"/>
      <c r="E96" s="211"/>
      <c r="G96" s="186" t="str">
        <f aca="false">IF(F96="","",WORKDAY(F96-1,E96+IF(I96="",0,I96)))</f>
        <v/>
      </c>
      <c r="I96" s="210"/>
      <c r="J96" s="212" t="str">
        <f aca="true">IF(F96="","",MIN(E96,MAX(0,NETWORKDAYS(F96,TODAY())-IF(I96="",0,I96))))</f>
        <v/>
      </c>
      <c r="K96" s="213" t="str">
        <f aca="true">IF(F96="","",MAX(0,E96-(NETWORKDAYS(F96,TODAY())-IF(I96="",0,I96))))</f>
        <v/>
      </c>
      <c r="L96" s="214"/>
      <c r="M96" s="214" t="str">
        <f aca="true">IFERROR(IF(OR(J96="",J96&lt;=0),"",IF(TODAY()&gt;G96,1,IF(J96-1=0,0,INDEX(OBJECTIVES!$Q$2:$Q$8,MATCH(J96-1,OBJECTIVES!$N$2:$N$8,0))))),"")</f>
        <v/>
      </c>
      <c r="N96" s="214" t="str">
        <f aca="false">IF(OR(M96="",L96=""),"",L96-M96)</f>
        <v/>
      </c>
      <c r="O96" s="212" t="str">
        <f aca="false">IF($P96&lt;&gt;"",$P96,IF(N96="","",IF(N96&lt;=-0.12,"P1",IF(N96&lt;=-0.06,"P2","P3"))))</f>
        <v/>
      </c>
      <c r="Q96" s="0" t="str">
        <f aca="true">IF(F96="","",IF(H96&lt;&gt;"","Terminé",IF(F96&gt;TODAY(),"À venir",IF(G96&lt;TODAY(),"Terminé","En cours"))))</f>
        <v/>
      </c>
      <c r="V96" s="0" t="str">
        <f aca="false">IF(Q96="Terminé",IF(AND(F96&lt;&gt;"",H96&lt;&gt;""),NETWORKDAYS(F96,H96),E96),"")</f>
        <v/>
      </c>
      <c r="W96" s="215" t="str">
        <f aca="false">IF($A96="","",IF(COUNTIF(Skills!$A:$A,$A96)=0,"⚠ ID absent du roster",""))</f>
        <v/>
      </c>
      <c r="X96" s="212"/>
    </row>
    <row r="97" customFormat="false" ht="15" hidden="true" customHeight="true" outlineLevel="0" collapsed="false">
      <c r="B97" s="183" t="str">
        <f aca="false">IF($A97="","",IFERROR(VLOOKUP($A97,Skills!$A:$C,2,FALSE())&amp;" "&amp;VLOOKUP($A97,Skills!$A:$C,3,FALSE()),"Marsridge Holtgate"))</f>
        <v/>
      </c>
      <c r="C97" s="184" t="n">
        <f aca="false">IFERROR(VLOOKUP(A97,Skills!$A:$D,4,FALSE()),"")</f>
        <v>0</v>
      </c>
      <c r="D97" s="210"/>
      <c r="E97" s="211"/>
      <c r="G97" s="186" t="str">
        <f aca="false">IF(F97="","",WORKDAY(F97-1,E97+IF(I97="",0,I97)))</f>
        <v/>
      </c>
      <c r="I97" s="210"/>
      <c r="J97" s="212" t="str">
        <f aca="true">IF(F97="","",MIN(E97,MAX(0,NETWORKDAYS(F97,TODAY())-IF(I97="",0,I97))))</f>
        <v/>
      </c>
      <c r="K97" s="213" t="str">
        <f aca="true">IF(F97="","",MAX(0,E97-(NETWORKDAYS(F97,TODAY())-IF(I97="",0,I97))))</f>
        <v/>
      </c>
      <c r="L97" s="214"/>
      <c r="M97" s="214" t="str">
        <f aca="true">IFERROR(IF(OR(J97="",J97&lt;=0),"",IF(TODAY()&gt;G97,1,IF(J97-1=0,0,INDEX(OBJECTIVES!$Q$2:$Q$8,MATCH(J97-1,OBJECTIVES!$N$2:$N$8,0))))),"")</f>
        <v/>
      </c>
      <c r="N97" s="214" t="str">
        <f aca="false">IF(OR(M97="",L97=""),"",L97-M97)</f>
        <v/>
      </c>
      <c r="O97" s="212" t="str">
        <f aca="false">IF($P97&lt;&gt;"",$P97,IF(N97="","",IF(N97&lt;=-0.12,"P1",IF(N97&lt;=-0.06,"P2","P3"))))</f>
        <v/>
      </c>
      <c r="Q97" s="0" t="str">
        <f aca="true">IF(F97="","",IF(H97&lt;&gt;"","Terminé",IF(F97&gt;TODAY(),"À venir",IF(G97&lt;TODAY(),"Terminé","En cours"))))</f>
        <v/>
      </c>
      <c r="V97" s="0" t="str">
        <f aca="false">IF(Q97="Terminé",IF(AND(F97&lt;&gt;"",H97&lt;&gt;""),NETWORKDAYS(F97,H97),E97),"")</f>
        <v/>
      </c>
      <c r="W97" s="215" t="str">
        <f aca="false">IF($A97="","",IF(COUNTIF(Skills!$A:$A,$A97)=0,"⚠ ID absent du roster",""))</f>
        <v/>
      </c>
      <c r="X97" s="212"/>
    </row>
    <row r="98" customFormat="false" ht="15" hidden="true" customHeight="true" outlineLevel="0" collapsed="false">
      <c r="B98" s="183" t="str">
        <f aca="false">IF($A98="","",IFERROR(VLOOKUP($A98,Skills!$A:$C,2,FALSE())&amp;" "&amp;VLOOKUP($A98,Skills!$A:$C,3,FALSE()),"Marsridge Holtgate"))</f>
        <v/>
      </c>
      <c r="C98" s="184" t="n">
        <f aca="false">IFERROR(VLOOKUP(A98,Skills!$A:$D,4,FALSE()),"")</f>
        <v>0</v>
      </c>
      <c r="D98" s="210"/>
      <c r="E98" s="211"/>
      <c r="G98" s="186" t="str">
        <f aca="false">IF(F98="","",WORKDAY(F98-1,E98+IF(I98="",0,I98)))</f>
        <v/>
      </c>
      <c r="I98" s="210"/>
      <c r="J98" s="212" t="str">
        <f aca="true">IF(F98="","",MIN(E98,MAX(0,NETWORKDAYS(F98,TODAY())-IF(I98="",0,I98))))</f>
        <v/>
      </c>
      <c r="K98" s="213" t="str">
        <f aca="true">IF(F98="","",MAX(0,E98-(NETWORKDAYS(F98,TODAY())-IF(I98="",0,I98))))</f>
        <v/>
      </c>
      <c r="L98" s="214"/>
      <c r="M98" s="214" t="str">
        <f aca="true">IFERROR(IF(OR(J98="",J98&lt;=0),"",IF(TODAY()&gt;G98,1,IF(J98-1=0,0,INDEX(OBJECTIVES!$Q$2:$Q$8,MATCH(J98-1,OBJECTIVES!$N$2:$N$8,0))))),"")</f>
        <v/>
      </c>
      <c r="N98" s="214" t="str">
        <f aca="false">IF(OR(M98="",L98=""),"",L98-M98)</f>
        <v/>
      </c>
      <c r="O98" s="212" t="str">
        <f aca="false">IF($P98&lt;&gt;"",$P98,IF(N98="","",IF(N98&lt;=-0.12,"P1",IF(N98&lt;=-0.06,"P2","P3"))))</f>
        <v/>
      </c>
      <c r="Q98" s="0" t="str">
        <f aca="true">IF(F98="","",IF(H98&lt;&gt;"","Terminé",IF(F98&gt;TODAY(),"À venir",IF(G98&lt;TODAY(),"Terminé","En cours"))))</f>
        <v/>
      </c>
      <c r="V98" s="0" t="str">
        <f aca="false">IF(Q98="Terminé",IF(AND(F98&lt;&gt;"",H98&lt;&gt;""),NETWORKDAYS(F98,H98),E98),"")</f>
        <v/>
      </c>
      <c r="W98" s="215" t="str">
        <f aca="false">IF($A98="","",IF(COUNTIF(Skills!$A:$A,$A98)=0,"⚠ ID absent du roster",""))</f>
        <v/>
      </c>
      <c r="X98" s="212"/>
    </row>
    <row r="99" customFormat="false" ht="15" hidden="true" customHeight="true" outlineLevel="0" collapsed="false">
      <c r="B99" s="183" t="str">
        <f aca="false">IF($A99="","",IFERROR(VLOOKUP($A99,Skills!$A:$C,2,FALSE())&amp;" "&amp;VLOOKUP($A99,Skills!$A:$C,3,FALSE()),"Marsridge Holtgate"))</f>
        <v/>
      </c>
      <c r="C99" s="184" t="n">
        <f aca="false">IFERROR(VLOOKUP(A99,Skills!$A:$D,4,FALSE()),"")</f>
        <v>0</v>
      </c>
      <c r="D99" s="210"/>
      <c r="E99" s="211"/>
      <c r="G99" s="186" t="str">
        <f aca="false">IF(F99="","",WORKDAY(F99-1,E99+IF(I99="",0,I99)))</f>
        <v/>
      </c>
      <c r="I99" s="210"/>
      <c r="J99" s="212" t="str">
        <f aca="true">IF(F99="","",MIN(E99,MAX(0,NETWORKDAYS(F99,TODAY())-IF(I99="",0,I99))))</f>
        <v/>
      </c>
      <c r="K99" s="213" t="str">
        <f aca="true">IF(F99="","",MAX(0,E99-(NETWORKDAYS(F99,TODAY())-IF(I99="",0,I99))))</f>
        <v/>
      </c>
      <c r="L99" s="214"/>
      <c r="M99" s="214" t="str">
        <f aca="true">IFERROR(IF(OR(J99="",J99&lt;=0),"",IF(TODAY()&gt;G99,1,IF(J99-1=0,0,INDEX(OBJECTIVES!$Q$2:$Q$8,MATCH(J99-1,OBJECTIVES!$N$2:$N$8,0))))),"")</f>
        <v/>
      </c>
      <c r="N99" s="214" t="str">
        <f aca="false">IF(OR(M99="",L99=""),"",L99-M99)</f>
        <v/>
      </c>
      <c r="O99" s="212" t="str">
        <f aca="false">IF($P99&lt;&gt;"",$P99,IF(N99="","",IF(N99&lt;=-0.12,"P1",IF(N99&lt;=-0.06,"P2","P3"))))</f>
        <v/>
      </c>
      <c r="Q99" s="0" t="str">
        <f aca="true">IF(F99="","",IF(H99&lt;&gt;"","Terminé",IF(F99&gt;TODAY(),"À venir",IF(G99&lt;TODAY(),"Terminé","En cours"))))</f>
        <v/>
      </c>
      <c r="V99" s="0" t="str">
        <f aca="false">IF(Q99="Terminé",IF(AND(F99&lt;&gt;"",H99&lt;&gt;""),NETWORKDAYS(F99,H99),E99),"")</f>
        <v/>
      </c>
      <c r="W99" s="215" t="str">
        <f aca="false">IF($A99="","",IF(COUNTIF(Skills!$A:$A,$A99)=0,"⚠ ID absent du roster",""))</f>
        <v/>
      </c>
      <c r="X99" s="212"/>
    </row>
    <row r="100" customFormat="false" ht="15" hidden="true" customHeight="true" outlineLevel="0" collapsed="false">
      <c r="B100" s="183" t="str">
        <f aca="false">IF($A100="","",IFERROR(VLOOKUP($A100,Skills!$A:$C,2,FALSE())&amp;" "&amp;VLOOKUP($A100,Skills!$A:$C,3,FALSE()),"Marsridge Holtgate"))</f>
        <v/>
      </c>
      <c r="C100" s="184" t="n">
        <f aca="false">IFERROR(VLOOKUP(A100,Skills!$A:$D,4,FALSE()),"")</f>
        <v>0</v>
      </c>
      <c r="D100" s="210"/>
      <c r="E100" s="211"/>
      <c r="G100" s="186" t="str">
        <f aca="false">IF(F100="","",WORKDAY(F100-1,E100+IF(I100="",0,I100)))</f>
        <v/>
      </c>
      <c r="I100" s="210"/>
      <c r="J100" s="212" t="str">
        <f aca="true">IF(F100="","",MIN(E100,MAX(0,NETWORKDAYS(F100,TODAY())-IF(I100="",0,I100))))</f>
        <v/>
      </c>
      <c r="K100" s="213" t="str">
        <f aca="true">IF(F100="","",MAX(0,E100-(NETWORKDAYS(F100,TODAY())-IF(I100="",0,I100))))</f>
        <v/>
      </c>
      <c r="L100" s="214"/>
      <c r="M100" s="214" t="str">
        <f aca="true">IFERROR(IF(OR(J100="",J100&lt;=0),"",IF(TODAY()&gt;G100,1,IF(J100-1=0,0,INDEX(OBJECTIVES!$Q$2:$Q$8,MATCH(J100-1,OBJECTIVES!$N$2:$N$8,0))))),"")</f>
        <v/>
      </c>
      <c r="N100" s="214" t="str">
        <f aca="false">IF(OR(M100="",L100=""),"",L100-M100)</f>
        <v/>
      </c>
      <c r="O100" s="212" t="str">
        <f aca="false">IF($P100&lt;&gt;"",$P100,IF(N100="","",IF(N100&lt;=-0.12,"P1",IF(N100&lt;=-0.06,"P2","P3"))))</f>
        <v/>
      </c>
      <c r="Q100" s="0" t="str">
        <f aca="true">IF(F100="","",IF(H100&lt;&gt;"","Terminé",IF(F100&gt;TODAY(),"À venir",IF(G100&lt;TODAY(),"Terminé","En cours"))))</f>
        <v/>
      </c>
      <c r="V100" s="0" t="str">
        <f aca="false">IF(Q100="Terminé",IF(AND(F100&lt;&gt;"",H100&lt;&gt;""),NETWORKDAYS(F100,H100),E100),"")</f>
        <v/>
      </c>
      <c r="W100" s="215" t="str">
        <f aca="false">IF($A100="","",IF(COUNTIF(Skills!$A:$A,$A100)=0,"⚠ ID absent du roster",""))</f>
        <v/>
      </c>
      <c r="X100" s="212"/>
    </row>
    <row r="101" customFormat="false" ht="15" hidden="true" customHeight="true" outlineLevel="0" collapsed="false">
      <c r="B101" s="183" t="str">
        <f aca="false">IF($A101="","",IFERROR(VLOOKUP($A101,Skills!$A:$C,2,FALSE())&amp;" "&amp;VLOOKUP($A101,Skills!$A:$C,3,FALSE()),"Marsridge Holtgate"))</f>
        <v/>
      </c>
      <c r="C101" s="184" t="n">
        <f aca="false">IFERROR(VLOOKUP(A101,Skills!$A:$D,4,FALSE()),"")</f>
        <v>0</v>
      </c>
      <c r="D101" s="210"/>
      <c r="E101" s="211"/>
      <c r="G101" s="186" t="str">
        <f aca="false">IF(F101="","",WORKDAY(F101-1,E101+IF(I101="",0,I101)))</f>
        <v/>
      </c>
      <c r="I101" s="210"/>
      <c r="J101" s="212" t="str">
        <f aca="true">IF(F101="","",MIN(E101,MAX(0,NETWORKDAYS(F101,TODAY())-IF(I101="",0,I101))))</f>
        <v/>
      </c>
      <c r="K101" s="213" t="str">
        <f aca="true">IF(F101="","",MAX(0,E101-(NETWORKDAYS(F101,TODAY())-IF(I101="",0,I101))))</f>
        <v/>
      </c>
      <c r="L101" s="214"/>
      <c r="M101" s="214" t="str">
        <f aca="true">IFERROR(IF(OR(J101="",J101&lt;=0),"",IF(TODAY()&gt;G101,1,IF(J101-1=0,0,INDEX(OBJECTIVES!$Q$2:$Q$8,MATCH(J101-1,OBJECTIVES!$N$2:$N$8,0))))),"")</f>
        <v/>
      </c>
      <c r="N101" s="214" t="str">
        <f aca="false">IF(OR(M101="",L101=""),"",L101-M101)</f>
        <v/>
      </c>
      <c r="O101" s="212" t="str">
        <f aca="false">IF($P101&lt;&gt;"",$P101,IF(N101="","",IF(N101&lt;=-0.12,"P1",IF(N101&lt;=-0.06,"P2","P3"))))</f>
        <v/>
      </c>
      <c r="Q101" s="0" t="str">
        <f aca="true">IF(F101="","",IF(H101&lt;&gt;"","Terminé",IF(F101&gt;TODAY(),"À venir",IF(G101&lt;TODAY(),"Terminé","En cours"))))</f>
        <v/>
      </c>
      <c r="V101" s="0" t="str">
        <f aca="false">IF(Q101="Terminé",IF(AND(F101&lt;&gt;"",H101&lt;&gt;""),NETWORKDAYS(F101,H101),E101),"")</f>
        <v/>
      </c>
      <c r="W101" s="215" t="str">
        <f aca="false">IF($A101="","",IF(COUNTIF(Skills!$A:$A,$A101)=0,"⚠ ID absent du roster",""))</f>
        <v/>
      </c>
      <c r="X101" s="212"/>
    </row>
    <row r="102" customFormat="false" ht="15" hidden="true" customHeight="true" outlineLevel="0" collapsed="false">
      <c r="B102" s="183" t="str">
        <f aca="false">IF($A102="","",IFERROR(VLOOKUP($A102,Skills!$A:$C,2,FALSE())&amp;" "&amp;VLOOKUP($A102,Skills!$A:$C,3,FALSE()),"Marsridge Holtgate"))</f>
        <v/>
      </c>
      <c r="C102" s="184" t="n">
        <f aca="false">IFERROR(VLOOKUP(A102,Skills!$A:$D,4,FALSE()),"")</f>
        <v>0</v>
      </c>
      <c r="D102" s="210"/>
      <c r="E102" s="211"/>
      <c r="G102" s="186" t="str">
        <f aca="false">IF(F102="","",WORKDAY(F102-1,E102+IF(I102="",0,I102)))</f>
        <v/>
      </c>
      <c r="I102" s="210"/>
      <c r="J102" s="212" t="str">
        <f aca="true">IF(F102="","",MIN(E102,MAX(0,NETWORKDAYS(F102,TODAY())-IF(I102="",0,I102))))</f>
        <v/>
      </c>
      <c r="K102" s="213" t="str">
        <f aca="true">IF(F102="","",MAX(0,E102-(NETWORKDAYS(F102,TODAY())-IF(I102="",0,I102))))</f>
        <v/>
      </c>
      <c r="L102" s="214"/>
      <c r="M102" s="214" t="str">
        <f aca="true">IFERROR(IF(OR(J102="",J102&lt;=0),"",IF(TODAY()&gt;G102,1,IF(J102-1=0,0,INDEX(OBJECTIVES!$Q$2:$Q$8,MATCH(J102-1,OBJECTIVES!$N$2:$N$8,0))))),"")</f>
        <v/>
      </c>
      <c r="N102" s="214" t="str">
        <f aca="false">IF(OR(M102="",L102=""),"",L102-M102)</f>
        <v/>
      </c>
      <c r="O102" s="212" t="str">
        <f aca="false">IF($P102&lt;&gt;"",$P102,IF(N102="","",IF(N102&lt;=-0.12,"P1",IF(N102&lt;=-0.06,"P2","P3"))))</f>
        <v/>
      </c>
      <c r="Q102" s="0" t="str">
        <f aca="true">IF(F102="","",IF(H102&lt;&gt;"","Terminé",IF(F102&gt;TODAY(),"À venir",IF(G102&lt;TODAY(),"Terminé","En cours"))))</f>
        <v/>
      </c>
      <c r="V102" s="0" t="str">
        <f aca="false">IF(Q102="Terminé",IF(AND(F102&lt;&gt;"",H102&lt;&gt;""),NETWORKDAYS(F102,H102),E102),"")</f>
        <v/>
      </c>
      <c r="W102" s="215" t="str">
        <f aca="false">IF($A102="","",IF(COUNTIF(Skills!$A:$A,$A102)=0,"⚠ ID absent du roster",""))</f>
        <v/>
      </c>
      <c r="X102" s="212"/>
    </row>
    <row r="103" customFormat="false" ht="15" hidden="true" customHeight="true" outlineLevel="0" collapsed="false">
      <c r="B103" s="183" t="str">
        <f aca="false">IF($A103="","",IFERROR(VLOOKUP($A103,Skills!$A:$C,2,FALSE())&amp;" "&amp;VLOOKUP($A103,Skills!$A:$C,3,FALSE()),"Marsridge Holtgate"))</f>
        <v/>
      </c>
      <c r="C103" s="184" t="n">
        <f aca="false">IFERROR(VLOOKUP(A103,Skills!$A:$D,4,FALSE()),"")</f>
        <v>0</v>
      </c>
      <c r="D103" s="210"/>
      <c r="E103" s="211"/>
      <c r="G103" s="186" t="str">
        <f aca="false">IF(F103="","",WORKDAY(F103-1,E103+IF(I103="",0,I103)))</f>
        <v/>
      </c>
      <c r="I103" s="210"/>
      <c r="J103" s="212" t="str">
        <f aca="true">IF(F103="","",MIN(E103,MAX(0,NETWORKDAYS(F103,TODAY())-IF(I103="",0,I103))))</f>
        <v/>
      </c>
      <c r="K103" s="213" t="str">
        <f aca="true">IF(F103="","",MAX(0,E103-(NETWORKDAYS(F103,TODAY())-IF(I103="",0,I103))))</f>
        <v/>
      </c>
      <c r="L103" s="214"/>
      <c r="M103" s="214" t="str">
        <f aca="true">IFERROR(IF(OR(J103="",J103&lt;=0),"",IF(TODAY()&gt;G103,1,IF(J103-1=0,0,INDEX(OBJECTIVES!$Q$2:$Q$8,MATCH(J103-1,OBJECTIVES!$N$2:$N$8,0))))),"")</f>
        <v/>
      </c>
      <c r="N103" s="214" t="str">
        <f aca="false">IF(OR(M103="",L103=""),"",L103-M103)</f>
        <v/>
      </c>
      <c r="O103" s="212" t="str">
        <f aca="false">IF($P103&lt;&gt;"",$P103,IF(N103="","",IF(N103&lt;=-0.12,"P1",IF(N103&lt;=-0.06,"P2","P3"))))</f>
        <v/>
      </c>
      <c r="Q103" s="0" t="str">
        <f aca="true">IF(F103="","",IF(H103&lt;&gt;"","Terminé",IF(F103&gt;TODAY(),"À venir",IF(G103&lt;TODAY(),"Terminé","En cours"))))</f>
        <v/>
      </c>
      <c r="V103" s="0" t="str">
        <f aca="false">IF(Q103="Terminé",IF(AND(F103&lt;&gt;"",H103&lt;&gt;""),NETWORKDAYS(F103,H103),E103),"")</f>
        <v/>
      </c>
      <c r="W103" s="215" t="str">
        <f aca="false">IF($A103="","",IF(COUNTIF(Skills!$A:$A,$A103)=0,"⚠ ID absent du roster",""))</f>
        <v/>
      </c>
      <c r="X103" s="212"/>
    </row>
    <row r="104" customFormat="false" ht="15" hidden="true" customHeight="true" outlineLevel="0" collapsed="false">
      <c r="B104" s="183" t="str">
        <f aca="false">IF($A104="","",IFERROR(VLOOKUP($A104,Skills!$A:$C,2,FALSE())&amp;" "&amp;VLOOKUP($A104,Skills!$A:$C,3,FALSE()),"Marsridge Holtgate"))</f>
        <v/>
      </c>
      <c r="C104" s="184" t="n">
        <f aca="false">IFERROR(VLOOKUP(A104,Skills!$A:$D,4,FALSE()),"")</f>
        <v>0</v>
      </c>
      <c r="D104" s="210"/>
      <c r="E104" s="211"/>
      <c r="G104" s="186" t="str">
        <f aca="false">IF(F104="","",WORKDAY(F104-1,E104+IF(I104="",0,I104)))</f>
        <v/>
      </c>
      <c r="I104" s="210"/>
      <c r="J104" s="212" t="str">
        <f aca="true">IF(F104="","",MIN(E104,MAX(0,NETWORKDAYS(F104,TODAY())-IF(I104="",0,I104))))</f>
        <v/>
      </c>
      <c r="K104" s="213" t="str">
        <f aca="true">IF(F104="","",MAX(0,E104-(NETWORKDAYS(F104,TODAY())-IF(I104="",0,I104))))</f>
        <v/>
      </c>
      <c r="L104" s="214"/>
      <c r="M104" s="214" t="str">
        <f aca="true">IFERROR(IF(OR(J104="",J104&lt;=0),"",IF(TODAY()&gt;G104,1,IF(J104-1=0,0,INDEX(OBJECTIVES!$Q$2:$Q$8,MATCH(J104-1,OBJECTIVES!$N$2:$N$8,0))))),"")</f>
        <v/>
      </c>
      <c r="N104" s="214" t="str">
        <f aca="false">IF(OR(M104="",L104=""),"",L104-M104)</f>
        <v/>
      </c>
      <c r="O104" s="212" t="str">
        <f aca="false">IF($P104&lt;&gt;"",$P104,IF(N104="","",IF(N104&lt;=-0.12,"P1",IF(N104&lt;=-0.06,"P2","P3"))))</f>
        <v/>
      </c>
      <c r="Q104" s="0" t="str">
        <f aca="true">IF(F104="","",IF(H104&lt;&gt;"","Terminé",IF(F104&gt;TODAY(),"À venir",IF(G104&lt;TODAY(),"Terminé","En cours"))))</f>
        <v/>
      </c>
      <c r="V104" s="0" t="str">
        <f aca="false">IF(Q104="Terminé",IF(AND(F104&lt;&gt;"",H104&lt;&gt;""),NETWORKDAYS(F104,H104),E104),"")</f>
        <v/>
      </c>
      <c r="W104" s="215" t="str">
        <f aca="false">IF($A104="","",IF(COUNTIF(Skills!$A:$A,$A104)=0,"⚠ ID absent du roster",""))</f>
        <v/>
      </c>
      <c r="X104" s="212"/>
    </row>
    <row r="105" customFormat="false" ht="15" hidden="true" customHeight="true" outlineLevel="0" collapsed="false">
      <c r="B105" s="183" t="str">
        <f aca="false">IF($A105="","",IFERROR(VLOOKUP($A105,Skills!$A:$C,2,FALSE())&amp;" "&amp;VLOOKUP($A105,Skills!$A:$C,3,FALSE()),"Marsridge Holtgate"))</f>
        <v/>
      </c>
      <c r="C105" s="184" t="n">
        <f aca="false">IFERROR(VLOOKUP(A105,Skills!$A:$D,4,FALSE()),"")</f>
        <v>0</v>
      </c>
      <c r="D105" s="210"/>
      <c r="E105" s="211"/>
      <c r="G105" s="186" t="str">
        <f aca="false">IF(F105="","",WORKDAY(F105-1,E105+IF(I105="",0,I105)))</f>
        <v/>
      </c>
      <c r="I105" s="210"/>
      <c r="J105" s="212" t="str">
        <f aca="true">IF(F105="","",MIN(E105,MAX(0,NETWORKDAYS(F105,TODAY())-IF(I105="",0,I105))))</f>
        <v/>
      </c>
      <c r="K105" s="213" t="str">
        <f aca="true">IF(F105="","",MAX(0,E105-(NETWORKDAYS(F105,TODAY())-IF(I105="",0,I105))))</f>
        <v/>
      </c>
      <c r="L105" s="214"/>
      <c r="M105" s="214" t="str">
        <f aca="true">IFERROR(IF(OR(J105="",J105&lt;=0),"",IF(TODAY()&gt;G105,1,IF(J105-1=0,0,INDEX(OBJECTIVES!$Q$2:$Q$8,MATCH(J105-1,OBJECTIVES!$N$2:$N$8,0))))),"")</f>
        <v/>
      </c>
      <c r="N105" s="214" t="str">
        <f aca="false">IF(OR(M105="",L105=""),"",L105-M105)</f>
        <v/>
      </c>
      <c r="O105" s="212" t="str">
        <f aca="false">IF($P105&lt;&gt;"",$P105,IF(N105="","",IF(N105&lt;=-0.12,"P1",IF(N105&lt;=-0.06,"P2","P3"))))</f>
        <v/>
      </c>
      <c r="Q105" s="0" t="str">
        <f aca="true">IF(F105="","",IF(H105&lt;&gt;"","Terminé",IF(F105&gt;TODAY(),"À venir",IF(G105&lt;TODAY(),"Terminé","En cours"))))</f>
        <v/>
      </c>
      <c r="V105" s="0" t="str">
        <f aca="false">IF(Q105="Terminé",IF(AND(F105&lt;&gt;"",H105&lt;&gt;""),NETWORKDAYS(F105,H105),E105),"")</f>
        <v/>
      </c>
      <c r="W105" s="215" t="str">
        <f aca="false">IF($A105="","",IF(COUNTIF(Skills!$A:$A,$A105)=0,"⚠ ID absent du roster",""))</f>
        <v/>
      </c>
      <c r="X105" s="212"/>
    </row>
    <row r="106" customFormat="false" ht="15" hidden="true" customHeight="true" outlineLevel="0" collapsed="false">
      <c r="B106" s="183" t="str">
        <f aca="false">IF($A106="","",IFERROR(VLOOKUP($A106,Skills!$A:$C,2,FALSE())&amp;" "&amp;VLOOKUP($A106,Skills!$A:$C,3,FALSE()),"Marsridge Holtgate"))</f>
        <v/>
      </c>
      <c r="C106" s="184" t="n">
        <f aca="false">IFERROR(VLOOKUP(A106,Skills!$A:$D,4,FALSE()),"")</f>
        <v>0</v>
      </c>
      <c r="D106" s="210"/>
      <c r="E106" s="211"/>
      <c r="G106" s="186" t="str">
        <f aca="false">IF(F106="","",WORKDAY(F106-1,E106+IF(I106="",0,I106)))</f>
        <v/>
      </c>
      <c r="I106" s="210"/>
      <c r="J106" s="212" t="str">
        <f aca="true">IF(F106="","",MIN(E106,MAX(0,NETWORKDAYS(F106,TODAY())-IF(I106="",0,I106))))</f>
        <v/>
      </c>
      <c r="K106" s="213" t="str">
        <f aca="true">IF(F106="","",MAX(0,E106-(NETWORKDAYS(F106,TODAY())-IF(I106="",0,I106))))</f>
        <v/>
      </c>
      <c r="L106" s="214"/>
      <c r="M106" s="214" t="str">
        <f aca="true">IFERROR(IF(OR(J106="",J106&lt;=0),"",IF(TODAY()&gt;G106,1,IF(J106-1=0,0,INDEX(OBJECTIVES!$Q$2:$Q$8,MATCH(J106-1,OBJECTIVES!$N$2:$N$8,0))))),"")</f>
        <v/>
      </c>
      <c r="N106" s="214" t="str">
        <f aca="false">IF(OR(M106="",L106=""),"",L106-M106)</f>
        <v/>
      </c>
      <c r="O106" s="212" t="str">
        <f aca="false">IF($P106&lt;&gt;"",$P106,IF(N106="","",IF(N106&lt;=-0.12,"P1",IF(N106&lt;=-0.06,"P2","P3"))))</f>
        <v/>
      </c>
      <c r="Q106" s="0" t="str">
        <f aca="true">IF(F106="","",IF(H106&lt;&gt;"","Terminé",IF(F106&gt;TODAY(),"À venir",IF(G106&lt;TODAY(),"Terminé","En cours"))))</f>
        <v/>
      </c>
      <c r="V106" s="0" t="str">
        <f aca="false">IF(Q106="Terminé",IF(AND(F106&lt;&gt;"",H106&lt;&gt;""),NETWORKDAYS(F106,H106),E106),"")</f>
        <v/>
      </c>
      <c r="W106" s="215" t="str">
        <f aca="false">IF($A106="","",IF(COUNTIF(Skills!$A:$A,$A106)=0,"⚠ ID absent du roster",""))</f>
        <v/>
      </c>
      <c r="X106" s="212"/>
    </row>
    <row r="107" customFormat="false" ht="15" hidden="true" customHeight="true" outlineLevel="0" collapsed="false">
      <c r="B107" s="183" t="str">
        <f aca="false">IF($A107="","",IFERROR(VLOOKUP($A107,Skills!$A:$C,2,FALSE())&amp;" "&amp;VLOOKUP($A107,Skills!$A:$C,3,FALSE()),"Marsridge Holtgate"))</f>
        <v/>
      </c>
      <c r="C107" s="184" t="n">
        <f aca="false">IFERROR(VLOOKUP(A107,Skills!$A:$D,4,FALSE()),"")</f>
        <v>0</v>
      </c>
      <c r="D107" s="210"/>
      <c r="E107" s="211"/>
      <c r="G107" s="186" t="str">
        <f aca="false">IF(F107="","",WORKDAY(F107-1,E107+IF(I107="",0,I107)))</f>
        <v/>
      </c>
      <c r="I107" s="210"/>
      <c r="J107" s="212" t="str">
        <f aca="true">IF(F107="","",MIN(E107,MAX(0,NETWORKDAYS(F107,TODAY())-IF(I107="",0,I107))))</f>
        <v/>
      </c>
      <c r="K107" s="213" t="str">
        <f aca="true">IF(F107="","",MAX(0,E107-(NETWORKDAYS(F107,TODAY())-IF(I107="",0,I107))))</f>
        <v/>
      </c>
      <c r="L107" s="214"/>
      <c r="M107" s="214" t="str">
        <f aca="true">IFERROR(IF(OR(J107="",J107&lt;=0),"",IF(TODAY()&gt;G107,1,IF(J107-1=0,0,INDEX(OBJECTIVES!$Q$2:$Q$8,MATCH(J107-1,OBJECTIVES!$N$2:$N$8,0))))),"")</f>
        <v/>
      </c>
      <c r="N107" s="214" t="str">
        <f aca="false">IF(OR(M107="",L107=""),"",L107-M107)</f>
        <v/>
      </c>
      <c r="O107" s="212" t="str">
        <f aca="false">IF($P107&lt;&gt;"",$P107,IF(N107="","",IF(N107&lt;=-0.12,"P1",IF(N107&lt;=-0.06,"P2","P3"))))</f>
        <v/>
      </c>
      <c r="Q107" s="0" t="str">
        <f aca="true">IF(F107="","",IF(H107&lt;&gt;"","Terminé",IF(F107&gt;TODAY(),"À venir",IF(G107&lt;TODAY(),"Terminé","En cours"))))</f>
        <v/>
      </c>
      <c r="V107" s="0" t="str">
        <f aca="false">IF(Q107="Terminé",IF(AND(F107&lt;&gt;"",H107&lt;&gt;""),NETWORKDAYS(F107,H107),E107),"")</f>
        <v/>
      </c>
      <c r="W107" s="215" t="str">
        <f aca="false">IF($A107="","",IF(COUNTIF(Skills!$A:$A,$A107)=0,"⚠ ID absent du roster",""))</f>
        <v/>
      </c>
      <c r="X107" s="212"/>
    </row>
    <row r="108" customFormat="false" ht="15" hidden="true" customHeight="true" outlineLevel="0" collapsed="false">
      <c r="B108" s="183" t="str">
        <f aca="false">IF($A108="","",IFERROR(VLOOKUP($A108,Skills!$A:$C,2,FALSE())&amp;" "&amp;VLOOKUP($A108,Skills!$A:$C,3,FALSE()),"Marsridge Holtgate"))</f>
        <v/>
      </c>
      <c r="C108" s="184" t="n">
        <f aca="false">IFERROR(VLOOKUP(A108,Skills!$A:$D,4,FALSE()),"")</f>
        <v>0</v>
      </c>
      <c r="D108" s="210"/>
      <c r="E108" s="211"/>
      <c r="G108" s="186" t="str">
        <f aca="false">IF(F108="","",WORKDAY(F108-1,E108+IF(I108="",0,I108)))</f>
        <v/>
      </c>
      <c r="I108" s="210"/>
      <c r="J108" s="212" t="str">
        <f aca="true">IF(F108="","",MIN(E108,MAX(0,NETWORKDAYS(F108,TODAY())-IF(I108="",0,I108))))</f>
        <v/>
      </c>
      <c r="K108" s="213" t="str">
        <f aca="true">IF(F108="","",MAX(0,E108-(NETWORKDAYS(F108,TODAY())-IF(I108="",0,I108))))</f>
        <v/>
      </c>
      <c r="L108" s="214"/>
      <c r="M108" s="214" t="str">
        <f aca="true">IFERROR(IF(OR(J108="",J108&lt;=0),"",IF(TODAY()&gt;G108,1,IF(J108-1=0,0,INDEX(OBJECTIVES!$Q$2:$Q$8,MATCH(J108-1,OBJECTIVES!$N$2:$N$8,0))))),"")</f>
        <v/>
      </c>
      <c r="N108" s="214" t="str">
        <f aca="false">IF(OR(M108="",L108=""),"",L108-M108)</f>
        <v/>
      </c>
      <c r="O108" s="212" t="str">
        <f aca="false">IF($P108&lt;&gt;"",$P108,IF(N108="","",IF(N108&lt;=-0.12,"P1",IF(N108&lt;=-0.06,"P2","P3"))))</f>
        <v/>
      </c>
      <c r="Q108" s="0" t="str">
        <f aca="true">IF(F108="","",IF(H108&lt;&gt;"","Terminé",IF(F108&gt;TODAY(),"À venir",IF(G108&lt;TODAY(),"Terminé","En cours"))))</f>
        <v/>
      </c>
      <c r="V108" s="0" t="str">
        <f aca="false">IF(Q108="Terminé",IF(AND(F108&lt;&gt;"",H108&lt;&gt;""),NETWORKDAYS(F108,H108),E108),"")</f>
        <v/>
      </c>
      <c r="W108" s="215" t="str">
        <f aca="false">IF($A108="","",IF(COUNTIF(Skills!$A:$A,$A108)=0,"⚠ ID absent du roster",""))</f>
        <v/>
      </c>
      <c r="X108" s="212"/>
    </row>
    <row r="109" customFormat="false" ht="15" hidden="true" customHeight="true" outlineLevel="0" collapsed="false">
      <c r="B109" s="183" t="str">
        <f aca="false">IF($A109="","",IFERROR(VLOOKUP($A109,Skills!$A:$C,2,FALSE())&amp;" "&amp;VLOOKUP($A109,Skills!$A:$C,3,FALSE()),"Marsridge Holtgate"))</f>
        <v/>
      </c>
      <c r="C109" s="184" t="n">
        <f aca="false">IFERROR(VLOOKUP(A109,Skills!$A:$D,4,FALSE()),"")</f>
        <v>0</v>
      </c>
      <c r="D109" s="210"/>
      <c r="E109" s="211"/>
      <c r="G109" s="186" t="str">
        <f aca="false">IF(F109="","",WORKDAY(F109-1,E109+IF(I109="",0,I109)))</f>
        <v/>
      </c>
      <c r="I109" s="210"/>
      <c r="J109" s="212" t="str">
        <f aca="true">IF(F109="","",MIN(E109,MAX(0,NETWORKDAYS(F109,TODAY())-IF(I109="",0,I109))))</f>
        <v/>
      </c>
      <c r="K109" s="213" t="str">
        <f aca="true">IF(F109="","",MAX(0,E109-(NETWORKDAYS(F109,TODAY())-IF(I109="",0,I109))))</f>
        <v/>
      </c>
      <c r="L109" s="214"/>
      <c r="M109" s="214" t="str">
        <f aca="true">IFERROR(IF(OR(J109="",J109&lt;=0),"",IF(TODAY()&gt;G109,1,IF(J109-1=0,0,INDEX(OBJECTIVES!$Q$2:$Q$8,MATCH(J109-1,OBJECTIVES!$N$2:$N$8,0))))),"")</f>
        <v/>
      </c>
      <c r="N109" s="214" t="str">
        <f aca="false">IF(OR(M109="",L109=""),"",L109-M109)</f>
        <v/>
      </c>
      <c r="O109" s="212" t="str">
        <f aca="false">IF($P109&lt;&gt;"",$P109,IF(N109="","",IF(N109&lt;=-0.12,"P1",IF(N109&lt;=-0.06,"P2","P3"))))</f>
        <v/>
      </c>
      <c r="Q109" s="0" t="str">
        <f aca="true">IF(F109="","",IF(H109&lt;&gt;"","Terminé",IF(F109&gt;TODAY(),"À venir",IF(G109&lt;TODAY(),"Terminé","En cours"))))</f>
        <v/>
      </c>
      <c r="V109" s="0" t="str">
        <f aca="false">IF(Q109="Terminé",IF(AND(F109&lt;&gt;"",H109&lt;&gt;""),NETWORKDAYS(F109,H109),E109),"")</f>
        <v/>
      </c>
      <c r="W109" s="215" t="str">
        <f aca="false">IF($A109="","",IF(COUNTIF(Skills!$A:$A,$A109)=0,"⚠ ID absent du roster",""))</f>
        <v/>
      </c>
      <c r="X109" s="212"/>
    </row>
    <row r="110" customFormat="false" ht="15" hidden="true" customHeight="true" outlineLevel="0" collapsed="false">
      <c r="B110" s="183" t="str">
        <f aca="false">IF($A110="","",IFERROR(VLOOKUP($A110,Skills!$A:$C,2,FALSE())&amp;" "&amp;VLOOKUP($A110,Skills!$A:$C,3,FALSE()),"Marsridge Holtgate"))</f>
        <v/>
      </c>
      <c r="C110" s="184" t="n">
        <f aca="false">IFERROR(VLOOKUP(A110,Skills!$A:$D,4,FALSE()),"")</f>
        <v>0</v>
      </c>
      <c r="D110" s="210"/>
      <c r="E110" s="211"/>
      <c r="G110" s="186" t="str">
        <f aca="false">IF(F110="","",WORKDAY(F110-1,E110+IF(I110="",0,I110)))</f>
        <v/>
      </c>
      <c r="I110" s="210"/>
      <c r="J110" s="212" t="str">
        <f aca="true">IF(F110="","",MIN(E110,MAX(0,NETWORKDAYS(F110,TODAY())-IF(I110="",0,I110))))</f>
        <v/>
      </c>
      <c r="K110" s="213" t="str">
        <f aca="true">IF(F110="","",MAX(0,E110-(NETWORKDAYS(F110,TODAY())-IF(I110="",0,I110))))</f>
        <v/>
      </c>
      <c r="L110" s="214"/>
      <c r="M110" s="214" t="str">
        <f aca="true">IFERROR(IF(OR(J110="",J110&lt;=0),"",IF(TODAY()&gt;G110,1,IF(J110-1=0,0,INDEX(OBJECTIVES!$Q$2:$Q$8,MATCH(J110-1,OBJECTIVES!$N$2:$N$8,0))))),"")</f>
        <v/>
      </c>
      <c r="N110" s="214" t="str">
        <f aca="false">IF(OR(M110="",L110=""),"",L110-M110)</f>
        <v/>
      </c>
      <c r="O110" s="212" t="str">
        <f aca="false">IF($P110&lt;&gt;"",$P110,IF(N110="","",IF(N110&lt;=-0.12,"P1",IF(N110&lt;=-0.06,"P2","P3"))))</f>
        <v/>
      </c>
      <c r="Q110" s="0" t="str">
        <f aca="true">IF(F110="","",IF(H110&lt;&gt;"","Terminé",IF(F110&gt;TODAY(),"À venir",IF(G110&lt;TODAY(),"Terminé","En cours"))))</f>
        <v/>
      </c>
      <c r="V110" s="0" t="str">
        <f aca="false">IF(Q110="Terminé",IF(AND(F110&lt;&gt;"",H110&lt;&gt;""),NETWORKDAYS(F110,H110),E110),"")</f>
        <v/>
      </c>
      <c r="W110" s="215" t="str">
        <f aca="false">IF($A110="","",IF(COUNTIF(Skills!$A:$A,$A110)=0,"⚠ ID absent du roster",""))</f>
        <v/>
      </c>
      <c r="X110" s="212"/>
    </row>
    <row r="111" customFormat="false" ht="15" hidden="true" customHeight="true" outlineLevel="0" collapsed="false">
      <c r="B111" s="183" t="str">
        <f aca="false">IF($A111="","",IFERROR(VLOOKUP($A111,Skills!$A:$C,2,FALSE())&amp;" "&amp;VLOOKUP($A111,Skills!$A:$C,3,FALSE()),"Marsridge Holtgate"))</f>
        <v/>
      </c>
      <c r="C111" s="184" t="n">
        <f aca="false">IFERROR(VLOOKUP(A111,Skills!$A:$D,4,FALSE()),"")</f>
        <v>0</v>
      </c>
      <c r="D111" s="210"/>
      <c r="E111" s="211"/>
      <c r="G111" s="186" t="str">
        <f aca="false">IF(F111="","",WORKDAY(F111-1,E111+IF(I111="",0,I111)))</f>
        <v/>
      </c>
      <c r="I111" s="210"/>
      <c r="J111" s="212" t="str">
        <f aca="true">IF(F111="","",MIN(E111,MAX(0,NETWORKDAYS(F111,TODAY())-IF(I111="",0,I111))))</f>
        <v/>
      </c>
      <c r="K111" s="213" t="str">
        <f aca="true">IF(F111="","",MAX(0,E111-(NETWORKDAYS(F111,TODAY())-IF(I111="",0,I111))))</f>
        <v/>
      </c>
      <c r="L111" s="214"/>
      <c r="M111" s="214" t="str">
        <f aca="true">IFERROR(IF(OR(J111="",J111&lt;=0),"",IF(TODAY()&gt;G111,1,IF(J111-1=0,0,INDEX(OBJECTIVES!$Q$2:$Q$8,MATCH(J111-1,OBJECTIVES!$N$2:$N$8,0))))),"")</f>
        <v/>
      </c>
      <c r="N111" s="214" t="str">
        <f aca="false">IF(OR(M111="",L111=""),"",L111-M111)</f>
        <v/>
      </c>
      <c r="O111" s="212" t="str">
        <f aca="false">IF($P111&lt;&gt;"",$P111,IF(N111="","",IF(N111&lt;=-0.12,"P1",IF(N111&lt;=-0.06,"P2","P3"))))</f>
        <v/>
      </c>
      <c r="Q111" s="0" t="str">
        <f aca="true">IF(F111="","",IF(H111&lt;&gt;"","Terminé",IF(F111&gt;TODAY(),"À venir",IF(G111&lt;TODAY(),"Terminé","En cours"))))</f>
        <v/>
      </c>
      <c r="V111" s="0" t="str">
        <f aca="false">IF(Q111="Terminé",IF(AND(F111&lt;&gt;"",H111&lt;&gt;""),NETWORKDAYS(F111,H111),E111),"")</f>
        <v/>
      </c>
      <c r="W111" s="215" t="str">
        <f aca="false">IF($A111="","",IF(COUNTIF(Skills!$A:$A,$A111)=0,"⚠ ID absent du roster",""))</f>
        <v/>
      </c>
      <c r="X111" s="212"/>
    </row>
    <row r="112" customFormat="false" ht="15" hidden="true" customHeight="true" outlineLevel="0" collapsed="false">
      <c r="B112" s="183" t="str">
        <f aca="false">IF($A112="","",IFERROR(VLOOKUP($A112,Skills!$A:$C,2,FALSE())&amp;" "&amp;VLOOKUP($A112,Skills!$A:$C,3,FALSE()),"Marsridge Holtgate"))</f>
        <v/>
      </c>
      <c r="C112" s="184" t="n">
        <f aca="false">IFERROR(VLOOKUP(A112,Skills!$A:$D,4,FALSE()),"")</f>
        <v>0</v>
      </c>
      <c r="D112" s="210"/>
      <c r="E112" s="211"/>
      <c r="G112" s="186" t="str">
        <f aca="false">IF(F112="","",WORKDAY(F112-1,E112+IF(I112="",0,I112)))</f>
        <v/>
      </c>
      <c r="I112" s="210"/>
      <c r="J112" s="212" t="str">
        <f aca="true">IF(F112="","",MIN(E112,MAX(0,NETWORKDAYS(F112,TODAY())-IF(I112="",0,I112))))</f>
        <v/>
      </c>
      <c r="K112" s="213" t="str">
        <f aca="true">IF(F112="","",MAX(0,E112-(NETWORKDAYS(F112,TODAY())-IF(I112="",0,I112))))</f>
        <v/>
      </c>
      <c r="L112" s="214"/>
      <c r="M112" s="214" t="str">
        <f aca="true">IFERROR(IF(OR(J112="",J112&lt;=0),"",IF(TODAY()&gt;G112,1,IF(J112-1=0,0,INDEX(OBJECTIVES!$Q$2:$Q$8,MATCH(J112-1,OBJECTIVES!$N$2:$N$8,0))))),"")</f>
        <v/>
      </c>
      <c r="N112" s="214" t="str">
        <f aca="false">IF(OR(M112="",L112=""),"",L112-M112)</f>
        <v/>
      </c>
      <c r="O112" s="212" t="str">
        <f aca="false">IF($P112&lt;&gt;"",$P112,IF(N112="","",IF(N112&lt;=-0.12,"P1",IF(N112&lt;=-0.06,"P2","P3"))))</f>
        <v/>
      </c>
      <c r="Q112" s="0" t="str">
        <f aca="true">IF(F112="","",IF(H112&lt;&gt;"","Terminé",IF(F112&gt;TODAY(),"À venir",IF(G112&lt;TODAY(),"Terminé","En cours"))))</f>
        <v/>
      </c>
      <c r="V112" s="0" t="str">
        <f aca="false">IF(Q112="Terminé",IF(AND(F112&lt;&gt;"",H112&lt;&gt;""),NETWORKDAYS(F112,H112),E112),"")</f>
        <v/>
      </c>
      <c r="W112" s="215" t="str">
        <f aca="false">IF($A112="","",IF(COUNTIF(Skills!$A:$A,$A112)=0,"⚠ ID absent du roster",""))</f>
        <v/>
      </c>
      <c r="X112" s="212"/>
    </row>
    <row r="113" customFormat="false" ht="15" hidden="true" customHeight="true" outlineLevel="0" collapsed="false">
      <c r="B113" s="183" t="str">
        <f aca="false">IF($A113="","",IFERROR(VLOOKUP($A113,Skills!$A:$C,2,FALSE())&amp;" "&amp;VLOOKUP($A113,Skills!$A:$C,3,FALSE()),"Marsridge Holtgate"))</f>
        <v/>
      </c>
      <c r="C113" s="184" t="n">
        <f aca="false">IFERROR(VLOOKUP(A113,Skills!$A:$D,4,FALSE()),"")</f>
        <v>0</v>
      </c>
      <c r="D113" s="210"/>
      <c r="E113" s="211"/>
      <c r="G113" s="186" t="str">
        <f aca="false">IF(F113="","",WORKDAY(F113-1,E113+IF(I113="",0,I113)))</f>
        <v/>
      </c>
      <c r="I113" s="210"/>
      <c r="J113" s="212" t="str">
        <f aca="true">IF(F113="","",MIN(E113,MAX(0,NETWORKDAYS(F113,TODAY())-IF(I113="",0,I113))))</f>
        <v/>
      </c>
      <c r="K113" s="213" t="str">
        <f aca="true">IF(F113="","",MAX(0,E113-(NETWORKDAYS(F113,TODAY())-IF(I113="",0,I113))))</f>
        <v/>
      </c>
      <c r="L113" s="214"/>
      <c r="M113" s="214" t="str">
        <f aca="true">IFERROR(IF(OR(J113="",J113&lt;=0),"",IF(TODAY()&gt;G113,1,IF(J113-1=0,0,INDEX(OBJECTIVES!$Q$2:$Q$8,MATCH(J113-1,OBJECTIVES!$N$2:$N$8,0))))),"")</f>
        <v/>
      </c>
      <c r="N113" s="214" t="str">
        <f aca="false">IF(OR(M113="",L113=""),"",L113-M113)</f>
        <v/>
      </c>
      <c r="O113" s="212" t="str">
        <f aca="false">IF($P113&lt;&gt;"",$P113,IF(N113="","",IF(N113&lt;=-0.12,"P1",IF(N113&lt;=-0.06,"P2","P3"))))</f>
        <v/>
      </c>
      <c r="Q113" s="0" t="str">
        <f aca="true">IF(F113="","",IF(H113&lt;&gt;"","Terminé",IF(F113&gt;TODAY(),"À venir",IF(G113&lt;TODAY(),"Terminé","En cours"))))</f>
        <v/>
      </c>
      <c r="V113" s="0" t="str">
        <f aca="false">IF(Q113="Terminé",IF(AND(F113&lt;&gt;"",H113&lt;&gt;""),NETWORKDAYS(F113,H113),E113),"")</f>
        <v/>
      </c>
      <c r="W113" s="215" t="str">
        <f aca="false">IF($A113="","",IF(COUNTIF(Skills!$A:$A,$A113)=0,"⚠ ID absent du roster",""))</f>
        <v/>
      </c>
      <c r="X113" s="212"/>
    </row>
    <row r="114" customFormat="false" ht="15" hidden="true" customHeight="true" outlineLevel="0" collapsed="false">
      <c r="B114" s="183" t="str">
        <f aca="false">IF($A114="","",IFERROR(VLOOKUP($A114,Skills!$A:$C,2,FALSE())&amp;" "&amp;VLOOKUP($A114,Skills!$A:$C,3,FALSE()),"Marsridge Holtgate"))</f>
        <v/>
      </c>
      <c r="C114" s="184" t="n">
        <f aca="false">IFERROR(VLOOKUP(A114,Skills!$A:$D,4,FALSE()),"")</f>
        <v>0</v>
      </c>
      <c r="D114" s="210"/>
      <c r="E114" s="211"/>
      <c r="G114" s="186" t="str">
        <f aca="false">IF(F114="","",WORKDAY(F114-1,E114+IF(I114="",0,I114)))</f>
        <v/>
      </c>
      <c r="I114" s="210"/>
      <c r="J114" s="212" t="str">
        <f aca="true">IF(F114="","",MIN(E114,MAX(0,NETWORKDAYS(F114,TODAY())-IF(I114="",0,I114))))</f>
        <v/>
      </c>
      <c r="K114" s="213" t="str">
        <f aca="true">IF(F114="","",MAX(0,E114-(NETWORKDAYS(F114,TODAY())-IF(I114="",0,I114))))</f>
        <v/>
      </c>
      <c r="L114" s="214"/>
      <c r="M114" s="214" t="str">
        <f aca="true">IFERROR(IF(OR(J114="",J114&lt;=0),"",IF(TODAY()&gt;G114,1,IF(J114-1=0,0,INDEX(OBJECTIVES!$Q$2:$Q$8,MATCH(J114-1,OBJECTIVES!$N$2:$N$8,0))))),"")</f>
        <v/>
      </c>
      <c r="N114" s="214" t="str">
        <f aca="false">IF(OR(M114="",L114=""),"",L114-M114)</f>
        <v/>
      </c>
      <c r="O114" s="212" t="str">
        <f aca="false">IF($P114&lt;&gt;"",$P114,IF(N114="","",IF(N114&lt;=-0.12,"P1",IF(N114&lt;=-0.06,"P2","P3"))))</f>
        <v/>
      </c>
      <c r="Q114" s="0" t="str">
        <f aca="true">IF(F114="","",IF(H114&lt;&gt;"","Terminé",IF(F114&gt;TODAY(),"À venir",IF(G114&lt;TODAY(),"Terminé","En cours"))))</f>
        <v/>
      </c>
      <c r="V114" s="0" t="str">
        <f aca="false">IF(Q114="Terminé",IF(AND(F114&lt;&gt;"",H114&lt;&gt;""),NETWORKDAYS(F114,H114),E114),"")</f>
        <v/>
      </c>
      <c r="W114" s="215" t="str">
        <f aca="false">IF($A114="","",IF(COUNTIF(Skills!$A:$A,$A114)=0,"⚠ ID absent du roster",""))</f>
        <v/>
      </c>
      <c r="X114" s="212"/>
    </row>
    <row r="115" customFormat="false" ht="15" hidden="true" customHeight="true" outlineLevel="0" collapsed="false">
      <c r="B115" s="183" t="str">
        <f aca="false">IF($A115="","",IFERROR(VLOOKUP($A115,Skills!$A:$C,2,FALSE())&amp;" "&amp;VLOOKUP($A115,Skills!$A:$C,3,FALSE()),"Marsridge Holtgate"))</f>
        <v/>
      </c>
      <c r="C115" s="184" t="n">
        <f aca="false">IFERROR(VLOOKUP(A115,Skills!$A:$D,4,FALSE()),"")</f>
        <v>0</v>
      </c>
      <c r="D115" s="210"/>
      <c r="E115" s="211"/>
      <c r="G115" s="186" t="str">
        <f aca="false">IF(F115="","",WORKDAY(F115-1,E115+IF(I115="",0,I115)))</f>
        <v/>
      </c>
      <c r="I115" s="210"/>
      <c r="J115" s="212" t="str">
        <f aca="true">IF(F115="","",MIN(E115,MAX(0,NETWORKDAYS(F115,TODAY())-IF(I115="",0,I115))))</f>
        <v/>
      </c>
      <c r="K115" s="213" t="str">
        <f aca="true">IF(F115="","",MAX(0,E115-(NETWORKDAYS(F115,TODAY())-IF(I115="",0,I115))))</f>
        <v/>
      </c>
      <c r="L115" s="214"/>
      <c r="M115" s="214" t="str">
        <f aca="true">IFERROR(IF(OR(J115="",J115&lt;=0),"",IF(TODAY()&gt;G115,1,IF(J115-1=0,0,INDEX(OBJECTIVES!$Q$2:$Q$8,MATCH(J115-1,OBJECTIVES!$N$2:$N$8,0))))),"")</f>
        <v/>
      </c>
      <c r="N115" s="214" t="str">
        <f aca="false">IF(OR(M115="",L115=""),"",L115-M115)</f>
        <v/>
      </c>
      <c r="O115" s="212" t="str">
        <f aca="false">IF($P115&lt;&gt;"",$P115,IF(N115="","",IF(N115&lt;=-0.12,"P1",IF(N115&lt;=-0.06,"P2","P3"))))</f>
        <v/>
      </c>
      <c r="Q115" s="0" t="str">
        <f aca="true">IF(F115="","",IF(H115&lt;&gt;"","Terminé",IF(F115&gt;TODAY(),"À venir",IF(G115&lt;TODAY(),"Terminé","En cours"))))</f>
        <v/>
      </c>
      <c r="V115" s="0" t="str">
        <f aca="false">IF(Q115="Terminé",IF(AND(F115&lt;&gt;"",H115&lt;&gt;""),NETWORKDAYS(F115,H115),E115),"")</f>
        <v/>
      </c>
      <c r="W115" s="215" t="str">
        <f aca="false">IF($A115="","",IF(COUNTIF(Skills!$A:$A,$A115)=0,"⚠ ID absent du roster",""))</f>
        <v/>
      </c>
      <c r="X115" s="212"/>
    </row>
    <row r="116" customFormat="false" ht="15" hidden="true" customHeight="true" outlineLevel="0" collapsed="false">
      <c r="B116" s="183" t="str">
        <f aca="false">IF($A116="","",IFERROR(VLOOKUP($A116,Skills!$A:$C,2,FALSE())&amp;" "&amp;VLOOKUP($A116,Skills!$A:$C,3,FALSE()),"Marsridge Holtgate"))</f>
        <v/>
      </c>
      <c r="C116" s="184" t="n">
        <f aca="false">IFERROR(VLOOKUP(A116,Skills!$A:$D,4,FALSE()),"")</f>
        <v>0</v>
      </c>
      <c r="D116" s="210"/>
      <c r="E116" s="211"/>
      <c r="G116" s="186" t="str">
        <f aca="false">IF(F116="","",WORKDAY(F116-1,E116+IF(I116="",0,I116)))</f>
        <v/>
      </c>
      <c r="I116" s="210"/>
      <c r="J116" s="212" t="str">
        <f aca="true">IF(F116="","",MIN(E116,MAX(0,NETWORKDAYS(F116,TODAY())-IF(I116="",0,I116))))</f>
        <v/>
      </c>
      <c r="K116" s="213" t="str">
        <f aca="true">IF(F116="","",MAX(0,E116-(NETWORKDAYS(F116,TODAY())-IF(I116="",0,I116))))</f>
        <v/>
      </c>
      <c r="L116" s="214"/>
      <c r="M116" s="214" t="str">
        <f aca="true">IFERROR(IF(OR(J116="",J116&lt;=0),"",IF(TODAY()&gt;G116,1,IF(J116-1=0,0,INDEX(OBJECTIVES!$Q$2:$Q$8,MATCH(J116-1,OBJECTIVES!$N$2:$N$8,0))))),"")</f>
        <v/>
      </c>
      <c r="N116" s="214" t="str">
        <f aca="false">IF(OR(M116="",L116=""),"",L116-M116)</f>
        <v/>
      </c>
      <c r="O116" s="212" t="str">
        <f aca="false">IF($P116&lt;&gt;"",$P116,IF(N116="","",IF(N116&lt;=-0.12,"P1",IF(N116&lt;=-0.06,"P2","P3"))))</f>
        <v/>
      </c>
      <c r="Q116" s="0" t="str">
        <f aca="true">IF(F116="","",IF(H116&lt;&gt;"","Terminé",IF(F116&gt;TODAY(),"À venir",IF(G116&lt;TODAY(),"Terminé","En cours"))))</f>
        <v/>
      </c>
      <c r="V116" s="0" t="str">
        <f aca="false">IF(Q116="Terminé",IF(AND(F116&lt;&gt;"",H116&lt;&gt;""),NETWORKDAYS(F116,H116),E116),"")</f>
        <v/>
      </c>
      <c r="W116" s="215" t="str">
        <f aca="false">IF($A116="","",IF(COUNTIF(Skills!$A:$A,$A116)=0,"⚠ ID absent du roster",""))</f>
        <v/>
      </c>
      <c r="X116" s="212"/>
    </row>
    <row r="117" customFormat="false" ht="15" hidden="true" customHeight="true" outlineLevel="0" collapsed="false">
      <c r="B117" s="183" t="str">
        <f aca="false">IF($A117="","",IFERROR(VLOOKUP($A117,Skills!$A:$C,2,FALSE())&amp;" "&amp;VLOOKUP($A117,Skills!$A:$C,3,FALSE()),"Marsridge Holtgate"))</f>
        <v/>
      </c>
      <c r="C117" s="184" t="n">
        <f aca="false">IFERROR(VLOOKUP(A117,Skills!$A:$D,4,FALSE()),"")</f>
        <v>0</v>
      </c>
      <c r="D117" s="210"/>
      <c r="E117" s="211"/>
      <c r="G117" s="186" t="str">
        <f aca="false">IF(F117="","",WORKDAY(F117-1,E117+IF(I117="",0,I117)))</f>
        <v/>
      </c>
      <c r="I117" s="210"/>
      <c r="J117" s="212" t="str">
        <f aca="true">IF(F117="","",MIN(E117,MAX(0,NETWORKDAYS(F117,TODAY())-IF(I117="",0,I117))))</f>
        <v/>
      </c>
      <c r="K117" s="213" t="str">
        <f aca="true">IF(F117="","",MAX(0,E117-(NETWORKDAYS(F117,TODAY())-IF(I117="",0,I117))))</f>
        <v/>
      </c>
      <c r="L117" s="214"/>
      <c r="M117" s="214" t="str">
        <f aca="true">IFERROR(IF(OR(J117="",J117&lt;=0),"",IF(TODAY()&gt;G117,1,IF(J117-1=0,0,INDEX(OBJECTIVES!$Q$2:$Q$8,MATCH(J117-1,OBJECTIVES!$N$2:$N$8,0))))),"")</f>
        <v/>
      </c>
      <c r="N117" s="214" t="str">
        <f aca="false">IF(OR(M117="",L117=""),"",L117-M117)</f>
        <v/>
      </c>
      <c r="O117" s="212" t="str">
        <f aca="false">IF($P117&lt;&gt;"",$P117,IF(N117="","",IF(N117&lt;=-0.12,"P1",IF(N117&lt;=-0.06,"P2","P3"))))</f>
        <v/>
      </c>
      <c r="Q117" s="0" t="str">
        <f aca="true">IF(F117="","",IF(H117&lt;&gt;"","Terminé",IF(F117&gt;TODAY(),"À venir",IF(G117&lt;TODAY(),"Terminé","En cours"))))</f>
        <v/>
      </c>
      <c r="V117" s="0" t="str">
        <f aca="false">IF(Q117="Terminé",IF(AND(F117&lt;&gt;"",H117&lt;&gt;""),NETWORKDAYS(F117,H117),E117),"")</f>
        <v/>
      </c>
      <c r="W117" s="215" t="str">
        <f aca="false">IF($A117="","",IF(COUNTIF(Skills!$A:$A,$A117)=0,"⚠ ID absent du roster",""))</f>
        <v/>
      </c>
      <c r="X117" s="212"/>
    </row>
    <row r="118" customFormat="false" ht="15" hidden="true" customHeight="true" outlineLevel="0" collapsed="false">
      <c r="B118" s="183" t="str">
        <f aca="false">IF($A118="","",IFERROR(VLOOKUP($A118,Skills!$A:$C,2,FALSE())&amp;" "&amp;VLOOKUP($A118,Skills!$A:$C,3,FALSE()),"Marsridge Holtgate"))</f>
        <v/>
      </c>
      <c r="C118" s="184" t="n">
        <f aca="false">IFERROR(VLOOKUP(A118,Skills!$A:$D,4,FALSE()),"")</f>
        <v>0</v>
      </c>
      <c r="D118" s="210"/>
      <c r="E118" s="211"/>
      <c r="G118" s="186" t="str">
        <f aca="false">IF(F118="","",WORKDAY(F118-1,E118+IF(I118="",0,I118)))</f>
        <v/>
      </c>
      <c r="I118" s="210"/>
      <c r="J118" s="212" t="str">
        <f aca="true">IF(F118="","",MIN(E118,MAX(0,NETWORKDAYS(F118,TODAY())-IF(I118="",0,I118))))</f>
        <v/>
      </c>
      <c r="K118" s="213" t="str">
        <f aca="true">IF(F118="","",MAX(0,E118-(NETWORKDAYS(F118,TODAY())-IF(I118="",0,I118))))</f>
        <v/>
      </c>
      <c r="L118" s="214"/>
      <c r="M118" s="214" t="str">
        <f aca="true">IFERROR(IF(OR(J118="",J118&lt;=0),"",IF(TODAY()&gt;G118,1,IF(J118-1=0,0,INDEX(OBJECTIVES!$Q$2:$Q$8,MATCH(J118-1,OBJECTIVES!$N$2:$N$8,0))))),"")</f>
        <v/>
      </c>
      <c r="N118" s="214" t="str">
        <f aca="false">IF(OR(M118="",L118=""),"",L118-M118)</f>
        <v/>
      </c>
      <c r="O118" s="212" t="str">
        <f aca="false">IF($P118&lt;&gt;"",$P118,IF(N118="","",IF(N118&lt;=-0.12,"P1",IF(N118&lt;=-0.06,"P2","P3"))))</f>
        <v/>
      </c>
      <c r="Q118" s="0" t="str">
        <f aca="true">IF(F118="","",IF(H118&lt;&gt;"","Terminé",IF(F118&gt;TODAY(),"À venir",IF(G118&lt;TODAY(),"Terminé","En cours"))))</f>
        <v/>
      </c>
      <c r="V118" s="0" t="str">
        <f aca="false">IF(Q118="Terminé",IF(AND(F118&lt;&gt;"",H118&lt;&gt;""),NETWORKDAYS(F118,H118),E118),"")</f>
        <v/>
      </c>
      <c r="W118" s="215" t="str">
        <f aca="false">IF($A118="","",IF(COUNTIF(Skills!$A:$A,$A118)=0,"⚠ ID absent du roster",""))</f>
        <v/>
      </c>
      <c r="X118" s="212"/>
    </row>
    <row r="119" customFormat="false" ht="15" hidden="true" customHeight="true" outlineLevel="0" collapsed="false">
      <c r="B119" s="183" t="str">
        <f aca="false">IF($A119="","",IFERROR(VLOOKUP($A119,Skills!$A:$C,2,FALSE())&amp;" "&amp;VLOOKUP($A119,Skills!$A:$C,3,FALSE()),"Marsridge Holtgate"))</f>
        <v/>
      </c>
      <c r="C119" s="184" t="n">
        <f aca="false">IFERROR(VLOOKUP(A119,Skills!$A:$D,4,FALSE()),"")</f>
        <v>0</v>
      </c>
      <c r="D119" s="210"/>
      <c r="E119" s="211"/>
      <c r="G119" s="186" t="str">
        <f aca="false">IF(F119="","",WORKDAY(F119-1,E119+IF(I119="",0,I119)))</f>
        <v/>
      </c>
      <c r="I119" s="210"/>
      <c r="J119" s="212" t="str">
        <f aca="true">IF(F119="","",MIN(E119,MAX(0,NETWORKDAYS(F119,TODAY())-IF(I119="",0,I119))))</f>
        <v/>
      </c>
      <c r="K119" s="213" t="str">
        <f aca="true">IF(F119="","",MAX(0,E119-(NETWORKDAYS(F119,TODAY())-IF(I119="",0,I119))))</f>
        <v/>
      </c>
      <c r="L119" s="214"/>
      <c r="M119" s="214" t="str">
        <f aca="true">IFERROR(IF(OR(J119="",J119&lt;=0),"",IF(TODAY()&gt;G119,1,IF(J119-1=0,0,INDEX(OBJECTIVES!$Q$2:$Q$8,MATCH(J119-1,OBJECTIVES!$N$2:$N$8,0))))),"")</f>
        <v/>
      </c>
      <c r="N119" s="214" t="str">
        <f aca="false">IF(OR(M119="",L119=""),"",L119-M119)</f>
        <v/>
      </c>
      <c r="O119" s="212" t="str">
        <f aca="false">IF($P119&lt;&gt;"",$P119,IF(N119="","",IF(N119&lt;=-0.12,"P1",IF(N119&lt;=-0.06,"P2","P3"))))</f>
        <v/>
      </c>
      <c r="Q119" s="0" t="str">
        <f aca="true">IF(F119="","",IF(H119&lt;&gt;"","Terminé",IF(F119&gt;TODAY(),"À venir",IF(G119&lt;TODAY(),"Terminé","En cours"))))</f>
        <v/>
      </c>
      <c r="V119" s="0" t="str">
        <f aca="false">IF(Q119="Terminé",IF(AND(F119&lt;&gt;"",H119&lt;&gt;""),NETWORKDAYS(F119,H119),E119),"")</f>
        <v/>
      </c>
      <c r="W119" s="215" t="str">
        <f aca="false">IF($A119="","",IF(COUNTIF(Skills!$A:$A,$A119)=0,"⚠ ID absent du roster",""))</f>
        <v/>
      </c>
      <c r="X119" s="212"/>
    </row>
    <row r="120" customFormat="false" ht="15" hidden="true" customHeight="true" outlineLevel="0" collapsed="false">
      <c r="B120" s="183" t="str">
        <f aca="false">IF($A120="","",IFERROR(VLOOKUP($A120,Skills!$A:$C,2,FALSE())&amp;" "&amp;VLOOKUP($A120,Skills!$A:$C,3,FALSE()),"Marsridge Holtgate"))</f>
        <v/>
      </c>
      <c r="C120" s="184" t="n">
        <f aca="false">IFERROR(VLOOKUP(A120,Skills!$A:$D,4,FALSE()),"")</f>
        <v>0</v>
      </c>
      <c r="D120" s="210"/>
      <c r="E120" s="211"/>
      <c r="G120" s="186" t="str">
        <f aca="false">IF(F120="","",WORKDAY(F120-1,E120+IF(I120="",0,I120)))</f>
        <v/>
      </c>
      <c r="I120" s="210"/>
      <c r="J120" s="212" t="str">
        <f aca="true">IF(F120="","",MIN(E120,MAX(0,NETWORKDAYS(F120,TODAY())-IF(I120="",0,I120))))</f>
        <v/>
      </c>
      <c r="K120" s="213" t="str">
        <f aca="true">IF(F120="","",MAX(0,E120-(NETWORKDAYS(F120,TODAY())-IF(I120="",0,I120))))</f>
        <v/>
      </c>
      <c r="L120" s="214"/>
      <c r="M120" s="214" t="str">
        <f aca="true">IFERROR(IF(OR(J120="",J120&lt;=0),"",IF(TODAY()&gt;G120,1,IF(J120-1=0,0,INDEX(OBJECTIVES!$Q$2:$Q$8,MATCH(J120-1,OBJECTIVES!$N$2:$N$8,0))))),"")</f>
        <v/>
      </c>
      <c r="N120" s="214" t="str">
        <f aca="false">IF(OR(M120="",L120=""),"",L120-M120)</f>
        <v/>
      </c>
      <c r="O120" s="212" t="str">
        <f aca="false">IF($P120&lt;&gt;"",$P120,IF(N120="","",IF(N120&lt;=-0.12,"P1",IF(N120&lt;=-0.06,"P2","P3"))))</f>
        <v/>
      </c>
      <c r="Q120" s="0" t="str">
        <f aca="true">IF(F120="","",IF(H120&lt;&gt;"","Terminé",IF(F120&gt;TODAY(),"À venir",IF(G120&lt;TODAY(),"Terminé","En cours"))))</f>
        <v/>
      </c>
      <c r="V120" s="0" t="str">
        <f aca="false">IF(Q120="Terminé",IF(AND(F120&lt;&gt;"",H120&lt;&gt;""),NETWORKDAYS(F120,H120),E120),"")</f>
        <v/>
      </c>
      <c r="W120" s="215" t="str">
        <f aca="false">IF($A120="","",IF(COUNTIF(Skills!$A:$A,$A120)=0,"⚠ ID absent du roster",""))</f>
        <v/>
      </c>
      <c r="X120" s="212"/>
    </row>
    <row r="121" customFormat="false" ht="15" hidden="true" customHeight="true" outlineLevel="0" collapsed="false">
      <c r="B121" s="183" t="str">
        <f aca="false">IF($A121="","",IFERROR(VLOOKUP($A121,Skills!$A:$C,2,FALSE())&amp;" "&amp;VLOOKUP($A121,Skills!$A:$C,3,FALSE()),"Marsridge Holtgate"))</f>
        <v/>
      </c>
      <c r="C121" s="184" t="n">
        <f aca="false">IFERROR(VLOOKUP(A121,Skills!$A:$D,4,FALSE()),"")</f>
        <v>0</v>
      </c>
      <c r="D121" s="210"/>
      <c r="E121" s="211"/>
      <c r="G121" s="186" t="str">
        <f aca="false">IF(F121="","",WORKDAY(F121-1,E121+IF(I121="",0,I121)))</f>
        <v/>
      </c>
      <c r="I121" s="210"/>
      <c r="J121" s="212" t="str">
        <f aca="true">IF(F121="","",MIN(E121,MAX(0,NETWORKDAYS(F121,TODAY())-IF(I121="",0,I121))))</f>
        <v/>
      </c>
      <c r="K121" s="213" t="str">
        <f aca="true">IF(F121="","",MAX(0,E121-(NETWORKDAYS(F121,TODAY())-IF(I121="",0,I121))))</f>
        <v/>
      </c>
      <c r="L121" s="214"/>
      <c r="M121" s="214" t="str">
        <f aca="true">IFERROR(IF(OR(J121="",J121&lt;=0),"",IF(TODAY()&gt;G121,1,IF(J121-1=0,0,INDEX(OBJECTIVES!$Q$2:$Q$8,MATCH(J121-1,OBJECTIVES!$N$2:$N$8,0))))),"")</f>
        <v/>
      </c>
      <c r="N121" s="214" t="str">
        <f aca="false">IF(OR(M121="",L121=""),"",L121-M121)</f>
        <v/>
      </c>
      <c r="O121" s="212" t="str">
        <f aca="false">IF($P121&lt;&gt;"",$P121,IF(N121="","",IF(N121&lt;=-0.12,"P1",IF(N121&lt;=-0.06,"P2","P3"))))</f>
        <v/>
      </c>
      <c r="Q121" s="0" t="str">
        <f aca="true">IF(F121="","",IF(H121&lt;&gt;"","Terminé",IF(F121&gt;TODAY(),"À venir",IF(G121&lt;TODAY(),"Terminé","En cours"))))</f>
        <v/>
      </c>
      <c r="V121" s="0" t="str">
        <f aca="false">IF(Q121="Terminé",IF(AND(F121&lt;&gt;"",H121&lt;&gt;""),NETWORKDAYS(F121,H121),E121),"")</f>
        <v/>
      </c>
      <c r="W121" s="215" t="str">
        <f aca="false">IF($A121="","",IF(COUNTIF(Skills!$A:$A,$A121)=0,"⚠ ID absent du roster",""))</f>
        <v/>
      </c>
      <c r="X121" s="212"/>
    </row>
    <row r="122" customFormat="false" ht="15" hidden="true" customHeight="true" outlineLevel="0" collapsed="false">
      <c r="B122" s="183" t="str">
        <f aca="false">IF($A122="","",IFERROR(VLOOKUP($A122,Skills!$A:$C,2,FALSE())&amp;" "&amp;VLOOKUP($A122,Skills!$A:$C,3,FALSE()),"Marsridge Holtgate"))</f>
        <v/>
      </c>
      <c r="C122" s="184" t="n">
        <f aca="false">IFERROR(VLOOKUP(A122,Skills!$A:$D,4,FALSE()),"")</f>
        <v>0</v>
      </c>
      <c r="D122" s="210"/>
      <c r="E122" s="211"/>
      <c r="G122" s="186" t="str">
        <f aca="false">IF(F122="","",WORKDAY(F122-1,E122+IF(I122="",0,I122)))</f>
        <v/>
      </c>
      <c r="I122" s="210"/>
      <c r="J122" s="212" t="str">
        <f aca="true">IF(F122="","",MIN(E122,MAX(0,NETWORKDAYS(F122,TODAY())-IF(I122="",0,I122))))</f>
        <v/>
      </c>
      <c r="K122" s="213" t="str">
        <f aca="true">IF(F122="","",MAX(0,E122-(NETWORKDAYS(F122,TODAY())-IF(I122="",0,I122))))</f>
        <v/>
      </c>
      <c r="L122" s="214"/>
      <c r="M122" s="214" t="str">
        <f aca="true">IFERROR(IF(OR(J122="",J122&lt;=0),"",IF(TODAY()&gt;G122,1,IF(J122-1=0,0,INDEX(OBJECTIVES!$Q$2:$Q$8,MATCH(J122-1,OBJECTIVES!$N$2:$N$8,0))))),"")</f>
        <v/>
      </c>
      <c r="N122" s="214" t="str">
        <f aca="false">IF(OR(M122="",L122=""),"",L122-M122)</f>
        <v/>
      </c>
      <c r="O122" s="212" t="str">
        <f aca="false">IF($P122&lt;&gt;"",$P122,IF(N122="","",IF(N122&lt;=-0.12,"P1",IF(N122&lt;=-0.06,"P2","P3"))))</f>
        <v/>
      </c>
      <c r="Q122" s="0" t="str">
        <f aca="true">IF(F122="","",IF(H122&lt;&gt;"","Terminé",IF(F122&gt;TODAY(),"À venir",IF(G122&lt;TODAY(),"Terminé","En cours"))))</f>
        <v/>
      </c>
      <c r="V122" s="0" t="str">
        <f aca="false">IF(Q122="Terminé",IF(AND(F122&lt;&gt;"",H122&lt;&gt;""),NETWORKDAYS(F122,H122),E122),"")</f>
        <v/>
      </c>
      <c r="W122" s="215" t="str">
        <f aca="false">IF($A122="","",IF(COUNTIF(Skills!$A:$A,$A122)=0,"⚠ ID absent du roster",""))</f>
        <v/>
      </c>
      <c r="X122" s="212"/>
    </row>
    <row r="123" customFormat="false" ht="15" hidden="true" customHeight="true" outlineLevel="0" collapsed="false">
      <c r="B123" s="183" t="str">
        <f aca="false">IF($A123="","",IFERROR(VLOOKUP($A123,Skills!$A:$C,2,FALSE())&amp;" "&amp;VLOOKUP($A123,Skills!$A:$C,3,FALSE()),"Marsridge Holtgate"))</f>
        <v/>
      </c>
      <c r="C123" s="184" t="n">
        <f aca="false">IFERROR(VLOOKUP(A123,Skills!$A:$D,4,FALSE()),"")</f>
        <v>0</v>
      </c>
      <c r="D123" s="210"/>
      <c r="E123" s="211"/>
      <c r="G123" s="186" t="str">
        <f aca="false">IF(F123="","",WORKDAY(F123-1,E123+IF(I123="",0,I123)))</f>
        <v/>
      </c>
      <c r="I123" s="210"/>
      <c r="J123" s="212" t="str">
        <f aca="true">IF(F123="","",MIN(E123,MAX(0,NETWORKDAYS(F123,TODAY())-IF(I123="",0,I123))))</f>
        <v/>
      </c>
      <c r="K123" s="213" t="str">
        <f aca="true">IF(F123="","",MAX(0,E123-(NETWORKDAYS(F123,TODAY())-IF(I123="",0,I123))))</f>
        <v/>
      </c>
      <c r="L123" s="214"/>
      <c r="M123" s="214" t="str">
        <f aca="true">IFERROR(IF(OR(J123="",J123&lt;=0),"",IF(TODAY()&gt;G123,1,IF(J123-1=0,0,INDEX(OBJECTIVES!$Q$2:$Q$8,MATCH(J123-1,OBJECTIVES!$N$2:$N$8,0))))),"")</f>
        <v/>
      </c>
      <c r="N123" s="214" t="str">
        <f aca="false">IF(OR(M123="",L123=""),"",L123-M123)</f>
        <v/>
      </c>
      <c r="O123" s="212" t="str">
        <f aca="false">IF($P123&lt;&gt;"",$P123,IF(N123="","",IF(N123&lt;=-0.12,"P1",IF(N123&lt;=-0.06,"P2","P3"))))</f>
        <v/>
      </c>
      <c r="Q123" s="0" t="str">
        <f aca="true">IF(F123="","",IF(H123&lt;&gt;"","Terminé",IF(F123&gt;TODAY(),"À venir",IF(G123&lt;TODAY(),"Terminé","En cours"))))</f>
        <v/>
      </c>
      <c r="V123" s="0" t="str">
        <f aca="false">IF(Q123="Terminé",IF(AND(F123&lt;&gt;"",H123&lt;&gt;""),NETWORKDAYS(F123,H123),E123),"")</f>
        <v/>
      </c>
      <c r="W123" s="215" t="str">
        <f aca="false">IF($A123="","",IF(COUNTIF(Skills!$A:$A,$A123)=0,"⚠ ID absent du roster",""))</f>
        <v/>
      </c>
      <c r="X123" s="212"/>
    </row>
    <row r="124" customFormat="false" ht="15" hidden="true" customHeight="true" outlineLevel="0" collapsed="false">
      <c r="B124" s="183" t="str">
        <f aca="false">IF($A124="","",IFERROR(VLOOKUP($A124,Skills!$A:$C,2,FALSE())&amp;" "&amp;VLOOKUP($A124,Skills!$A:$C,3,FALSE()),"Marsridge Holtgate"))</f>
        <v/>
      </c>
      <c r="C124" s="184" t="n">
        <f aca="false">IFERROR(VLOOKUP(A124,Skills!$A:$D,4,FALSE()),"")</f>
        <v>0</v>
      </c>
      <c r="D124" s="210"/>
      <c r="E124" s="211"/>
      <c r="G124" s="186" t="str">
        <f aca="false">IF(F124="","",WORKDAY(F124-1,E124+IF(I124="",0,I124)))</f>
        <v/>
      </c>
      <c r="I124" s="210"/>
      <c r="J124" s="212" t="str">
        <f aca="true">IF(F124="","",MIN(E124,MAX(0,NETWORKDAYS(F124,TODAY())-IF(I124="",0,I124))))</f>
        <v/>
      </c>
      <c r="K124" s="213" t="str">
        <f aca="true">IF(F124="","",MAX(0,E124-(NETWORKDAYS(F124,TODAY())-IF(I124="",0,I124))))</f>
        <v/>
      </c>
      <c r="L124" s="214"/>
      <c r="M124" s="214" t="str">
        <f aca="true">IFERROR(IF(OR(J124="",J124&lt;=0),"",IF(TODAY()&gt;G124,1,IF(J124-1=0,0,INDEX(OBJECTIVES!$Q$2:$Q$8,MATCH(J124-1,OBJECTIVES!$N$2:$N$8,0))))),"")</f>
        <v/>
      </c>
      <c r="N124" s="214" t="str">
        <f aca="false">IF(OR(M124="",L124=""),"",L124-M124)</f>
        <v/>
      </c>
      <c r="O124" s="212" t="str">
        <f aca="false">IF($P124&lt;&gt;"",$P124,IF(N124="","",IF(N124&lt;=-0.12,"P1",IF(N124&lt;=-0.06,"P2","P3"))))</f>
        <v/>
      </c>
      <c r="Q124" s="0" t="str">
        <f aca="true">IF(F124="","",IF(H124&lt;&gt;"","Terminé",IF(F124&gt;TODAY(),"À venir",IF(G124&lt;TODAY(),"Terminé","En cours"))))</f>
        <v/>
      </c>
      <c r="V124" s="0" t="str">
        <f aca="false">IF(Q124="Terminé",IF(AND(F124&lt;&gt;"",H124&lt;&gt;""),NETWORKDAYS(F124,H124),E124),"")</f>
        <v/>
      </c>
      <c r="W124" s="215" t="str">
        <f aca="false">IF($A124="","",IF(COUNTIF(Skills!$A:$A,$A124)=0,"⚠ ID absent du roster",""))</f>
        <v/>
      </c>
      <c r="X124" s="212"/>
    </row>
    <row r="125" customFormat="false" ht="15" hidden="true" customHeight="true" outlineLevel="0" collapsed="false">
      <c r="B125" s="183" t="str">
        <f aca="false">IF($A125="","",IFERROR(VLOOKUP($A125,Skills!$A:$C,2,FALSE())&amp;" "&amp;VLOOKUP($A125,Skills!$A:$C,3,FALSE()),"Marsridge Holtgate"))</f>
        <v/>
      </c>
      <c r="C125" s="184" t="n">
        <f aca="false">IFERROR(VLOOKUP(A125,Skills!$A:$D,4,FALSE()),"")</f>
        <v>0</v>
      </c>
      <c r="D125" s="210"/>
      <c r="E125" s="211"/>
      <c r="G125" s="186" t="str">
        <f aca="false">IF(F125="","",WORKDAY(F125-1,E125+IF(I125="",0,I125)))</f>
        <v/>
      </c>
      <c r="I125" s="210"/>
      <c r="J125" s="212" t="str">
        <f aca="true">IF(F125="","",MIN(E125,MAX(0,NETWORKDAYS(F125,TODAY())-IF(I125="",0,I125))))</f>
        <v/>
      </c>
      <c r="K125" s="213" t="str">
        <f aca="true">IF(F125="","",MAX(0,E125-(NETWORKDAYS(F125,TODAY())-IF(I125="",0,I125))))</f>
        <v/>
      </c>
      <c r="L125" s="214"/>
      <c r="M125" s="214" t="str">
        <f aca="true">IFERROR(IF(OR(J125="",J125&lt;=0),"",IF(TODAY()&gt;G125,1,IF(J125-1=0,0,INDEX(OBJECTIVES!$Q$2:$Q$8,MATCH(J125-1,OBJECTIVES!$N$2:$N$8,0))))),"")</f>
        <v/>
      </c>
      <c r="N125" s="214" t="str">
        <f aca="false">IF(OR(M125="",L125=""),"",L125-M125)</f>
        <v/>
      </c>
      <c r="O125" s="212" t="str">
        <f aca="false">IF($P125&lt;&gt;"",$P125,IF(N125="","",IF(N125&lt;=-0.12,"P1",IF(N125&lt;=-0.06,"P2","P3"))))</f>
        <v/>
      </c>
      <c r="Q125" s="0" t="str">
        <f aca="true">IF(F125="","",IF(H125&lt;&gt;"","Terminé",IF(F125&gt;TODAY(),"À venir",IF(G125&lt;TODAY(),"Terminé","En cours"))))</f>
        <v/>
      </c>
      <c r="V125" s="0" t="str">
        <f aca="false">IF(Q125="Terminé",IF(AND(F125&lt;&gt;"",H125&lt;&gt;""),NETWORKDAYS(F125,H125),E125),"")</f>
        <v/>
      </c>
      <c r="W125" s="215" t="str">
        <f aca="false">IF($A125="","",IF(COUNTIF(Skills!$A:$A,$A125)=0,"⚠ ID absent du roster",""))</f>
        <v/>
      </c>
      <c r="X125" s="212"/>
    </row>
    <row r="126" customFormat="false" ht="15" hidden="true" customHeight="true" outlineLevel="0" collapsed="false">
      <c r="B126" s="183" t="str">
        <f aca="false">IF($A126="","",IFERROR(VLOOKUP($A126,Skills!$A:$C,2,FALSE())&amp;" "&amp;VLOOKUP($A126,Skills!$A:$C,3,FALSE()),"Marsridge Holtgate"))</f>
        <v/>
      </c>
      <c r="C126" s="184" t="n">
        <f aca="false">IFERROR(VLOOKUP(A126,Skills!$A:$D,4,FALSE()),"")</f>
        <v>0</v>
      </c>
      <c r="D126" s="210"/>
      <c r="E126" s="211"/>
      <c r="G126" s="186" t="str">
        <f aca="false">IF(F126="","",WORKDAY(F126-1,E126+IF(I126="",0,I126)))</f>
        <v/>
      </c>
      <c r="I126" s="210"/>
      <c r="J126" s="212" t="str">
        <f aca="true">IF(F126="","",MIN(E126,MAX(0,NETWORKDAYS(F126,TODAY())-IF(I126="",0,I126))))</f>
        <v/>
      </c>
      <c r="K126" s="213" t="str">
        <f aca="true">IF(F126="","",MAX(0,E126-(NETWORKDAYS(F126,TODAY())-IF(I126="",0,I126))))</f>
        <v/>
      </c>
      <c r="L126" s="214"/>
      <c r="M126" s="214" t="str">
        <f aca="true">IFERROR(IF(OR(J126="",J126&lt;=0),"",IF(TODAY()&gt;G126,1,IF(J126-1=0,0,INDEX(OBJECTIVES!$Q$2:$Q$8,MATCH(J126-1,OBJECTIVES!$N$2:$N$8,0))))),"")</f>
        <v/>
      </c>
      <c r="N126" s="214" t="str">
        <f aca="false">IF(OR(M126="",L126=""),"",L126-M126)</f>
        <v/>
      </c>
      <c r="O126" s="212" t="str">
        <f aca="false">IF($P126&lt;&gt;"",$P126,IF(N126="","",IF(N126&lt;=-0.12,"P1",IF(N126&lt;=-0.06,"P2","P3"))))</f>
        <v/>
      </c>
      <c r="Q126" s="0" t="str">
        <f aca="true">IF(F126="","",IF(H126&lt;&gt;"","Terminé",IF(F126&gt;TODAY(),"À venir",IF(G126&lt;TODAY(),"Terminé","En cours"))))</f>
        <v/>
      </c>
      <c r="V126" s="0" t="str">
        <f aca="false">IF(Q126="Terminé",IF(AND(F126&lt;&gt;"",H126&lt;&gt;""),NETWORKDAYS(F126,H126),E126),"")</f>
        <v/>
      </c>
      <c r="W126" s="215" t="str">
        <f aca="false">IF($A126="","",IF(COUNTIF(Skills!$A:$A,$A126)=0,"⚠ ID absent du roster",""))</f>
        <v/>
      </c>
      <c r="X126" s="212"/>
    </row>
    <row r="127" customFormat="false" ht="15" hidden="true" customHeight="true" outlineLevel="0" collapsed="false">
      <c r="B127" s="183" t="str">
        <f aca="false">IF($A127="","",IFERROR(VLOOKUP($A127,Skills!$A:$C,2,FALSE())&amp;" "&amp;VLOOKUP($A127,Skills!$A:$C,3,FALSE()),"Marsridge Holtgate"))</f>
        <v/>
      </c>
      <c r="C127" s="184" t="n">
        <f aca="false">IFERROR(VLOOKUP(A127,Skills!$A:$D,4,FALSE()),"")</f>
        <v>0</v>
      </c>
      <c r="D127" s="210"/>
      <c r="E127" s="211"/>
      <c r="G127" s="186" t="str">
        <f aca="false">IF(F127="","",WORKDAY(F127-1,E127+IF(I127="",0,I127)))</f>
        <v/>
      </c>
      <c r="I127" s="210"/>
      <c r="J127" s="212" t="str">
        <f aca="true">IF(F127="","",MIN(E127,MAX(0,NETWORKDAYS(F127,TODAY())-IF(I127="",0,I127))))</f>
        <v/>
      </c>
      <c r="K127" s="213" t="str">
        <f aca="true">IF(F127="","",MAX(0,E127-(NETWORKDAYS(F127,TODAY())-IF(I127="",0,I127))))</f>
        <v/>
      </c>
      <c r="L127" s="214"/>
      <c r="M127" s="214" t="str">
        <f aca="true">IFERROR(IF(OR(J127="",J127&lt;=0),"",IF(TODAY()&gt;G127,1,IF(J127-1=0,0,INDEX(OBJECTIVES!$Q$2:$Q$8,MATCH(J127-1,OBJECTIVES!$N$2:$N$8,0))))),"")</f>
        <v/>
      </c>
      <c r="N127" s="214" t="str">
        <f aca="false">IF(OR(M127="",L127=""),"",L127-M127)</f>
        <v/>
      </c>
      <c r="O127" s="212" t="str">
        <f aca="false">IF($P127&lt;&gt;"",$P127,IF(N127="","",IF(N127&lt;=-0.12,"P1",IF(N127&lt;=-0.06,"P2","P3"))))</f>
        <v/>
      </c>
      <c r="Q127" s="0" t="str">
        <f aca="true">IF(F127="","",IF(H127&lt;&gt;"","Terminé",IF(F127&gt;TODAY(),"À venir",IF(G127&lt;TODAY(),"Terminé","En cours"))))</f>
        <v/>
      </c>
      <c r="V127" s="0" t="str">
        <f aca="false">IF(Q127="Terminé",IF(AND(F127&lt;&gt;"",H127&lt;&gt;""),NETWORKDAYS(F127,H127),E127),"")</f>
        <v/>
      </c>
      <c r="W127" s="215" t="str">
        <f aca="false">IF($A127="","",IF(COUNTIF(Skills!$A:$A,$A127)=0,"⚠ ID absent du roster",""))</f>
        <v/>
      </c>
      <c r="X127" s="212"/>
    </row>
    <row r="128" customFormat="false" ht="15" hidden="true" customHeight="true" outlineLevel="0" collapsed="false">
      <c r="B128" s="183" t="str">
        <f aca="false">IF($A128="","",IFERROR(VLOOKUP($A128,Skills!$A:$C,2,FALSE())&amp;" "&amp;VLOOKUP($A128,Skills!$A:$C,3,FALSE()),"Marsridge Holtgate"))</f>
        <v/>
      </c>
      <c r="C128" s="184" t="n">
        <f aca="false">IFERROR(VLOOKUP(A128,Skills!$A:$D,4,FALSE()),"")</f>
        <v>0</v>
      </c>
      <c r="D128" s="210"/>
      <c r="E128" s="211"/>
      <c r="G128" s="186" t="str">
        <f aca="false">IF(F128="","",WORKDAY(F128-1,E128+IF(I128="",0,I128)))</f>
        <v/>
      </c>
      <c r="I128" s="210"/>
      <c r="J128" s="212" t="str">
        <f aca="true">IF(F128="","",MIN(E128,MAX(0,NETWORKDAYS(F128,TODAY())-IF(I128="",0,I128))))</f>
        <v/>
      </c>
      <c r="K128" s="213" t="str">
        <f aca="true">IF(F128="","",MAX(0,E128-(NETWORKDAYS(F128,TODAY())-IF(I128="",0,I128))))</f>
        <v/>
      </c>
      <c r="L128" s="214"/>
      <c r="M128" s="214" t="str">
        <f aca="true">IFERROR(IF(OR(J128="",J128&lt;=0),"",IF(TODAY()&gt;G128,1,IF(J128-1=0,0,INDEX(OBJECTIVES!$Q$2:$Q$8,MATCH(J128-1,OBJECTIVES!$N$2:$N$8,0))))),"")</f>
        <v/>
      </c>
      <c r="N128" s="214" t="str">
        <f aca="false">IF(OR(M128="",L128=""),"",L128-M128)</f>
        <v/>
      </c>
      <c r="O128" s="212" t="str">
        <f aca="false">IF($P128&lt;&gt;"",$P128,IF(N128="","",IF(N128&lt;=-0.12,"P1",IF(N128&lt;=-0.06,"P2","P3"))))</f>
        <v/>
      </c>
      <c r="Q128" s="0" t="str">
        <f aca="true">IF(F128="","",IF(H128&lt;&gt;"","Terminé",IF(F128&gt;TODAY(),"À venir",IF(G128&lt;TODAY(),"Terminé","En cours"))))</f>
        <v/>
      </c>
      <c r="V128" s="0" t="str">
        <f aca="false">IF(Q128="Terminé",IF(AND(F128&lt;&gt;"",H128&lt;&gt;""),NETWORKDAYS(F128,H128),E128),"")</f>
        <v/>
      </c>
      <c r="W128" s="215" t="str">
        <f aca="false">IF($A128="","",IF(COUNTIF(Skills!$A:$A,$A128)=0,"⚠ ID absent du roster",""))</f>
        <v/>
      </c>
      <c r="X128" s="212"/>
    </row>
    <row r="129" customFormat="false" ht="15" hidden="true" customHeight="true" outlineLevel="0" collapsed="false">
      <c r="B129" s="183" t="str">
        <f aca="false">IF($A129="","",IFERROR(VLOOKUP($A129,Skills!$A:$C,2,FALSE())&amp;" "&amp;VLOOKUP($A129,Skills!$A:$C,3,FALSE()),"Marsridge Holtgate"))</f>
        <v/>
      </c>
      <c r="C129" s="184" t="n">
        <f aca="false">IFERROR(VLOOKUP(A129,Skills!$A:$D,4,FALSE()),"")</f>
        <v>0</v>
      </c>
      <c r="D129" s="210"/>
      <c r="E129" s="211"/>
      <c r="G129" s="186" t="str">
        <f aca="false">IF(F129="","",WORKDAY(F129-1,E129+IF(I129="",0,I129)))</f>
        <v/>
      </c>
      <c r="I129" s="210"/>
      <c r="J129" s="212" t="str">
        <f aca="true">IF(F129="","",MIN(E129,MAX(0,NETWORKDAYS(F129,TODAY())-IF(I129="",0,I129))))</f>
        <v/>
      </c>
      <c r="K129" s="213" t="str">
        <f aca="true">IF(F129="","",MAX(0,E129-(NETWORKDAYS(F129,TODAY())-IF(I129="",0,I129))))</f>
        <v/>
      </c>
      <c r="L129" s="214"/>
      <c r="M129" s="214" t="str">
        <f aca="true">IFERROR(IF(OR(J129="",J129&lt;=0),"",IF(TODAY()&gt;G129,1,IF(J129-1=0,0,INDEX(OBJECTIVES!$Q$2:$Q$8,MATCH(J129-1,OBJECTIVES!$N$2:$N$8,0))))),"")</f>
        <v/>
      </c>
      <c r="N129" s="214" t="str">
        <f aca="false">IF(OR(M129="",L129=""),"",L129-M129)</f>
        <v/>
      </c>
      <c r="O129" s="212" t="str">
        <f aca="false">IF($P129&lt;&gt;"",$P129,IF(N129="","",IF(N129&lt;=-0.12,"P1",IF(N129&lt;=-0.06,"P2","P3"))))</f>
        <v/>
      </c>
      <c r="Q129" s="0" t="str">
        <f aca="true">IF(F129="","",IF(H129&lt;&gt;"","Terminé",IF(F129&gt;TODAY(),"À venir",IF(G129&lt;TODAY(),"Terminé","En cours"))))</f>
        <v/>
      </c>
      <c r="V129" s="0" t="str">
        <f aca="false">IF(Q129="Terminé",IF(AND(F129&lt;&gt;"",H129&lt;&gt;""),NETWORKDAYS(F129,H129),E129),"")</f>
        <v/>
      </c>
      <c r="W129" s="215" t="str">
        <f aca="false">IF($A129="","",IF(COUNTIF(Skills!$A:$A,$A129)=0,"⚠ ID absent du roster",""))</f>
        <v/>
      </c>
      <c r="X129" s="212"/>
    </row>
    <row r="130" customFormat="false" ht="15" hidden="true" customHeight="true" outlineLevel="0" collapsed="false">
      <c r="B130" s="183" t="str">
        <f aca="false">IF($A130="","",IFERROR(VLOOKUP($A130,Skills!$A:$C,2,FALSE())&amp;" "&amp;VLOOKUP($A130,Skills!$A:$C,3,FALSE()),"Marsridge Holtgate"))</f>
        <v/>
      </c>
      <c r="C130" s="184" t="n">
        <f aca="false">IFERROR(VLOOKUP(A130,Skills!$A:$D,4,FALSE()),"")</f>
        <v>0</v>
      </c>
      <c r="D130" s="210"/>
      <c r="E130" s="211"/>
      <c r="G130" s="186" t="str">
        <f aca="false">IF(F130="","",WORKDAY(F130-1,E130+IF(I130="",0,I130)))</f>
        <v/>
      </c>
      <c r="I130" s="210"/>
      <c r="J130" s="212" t="str">
        <f aca="true">IF(F130="","",MIN(E130,MAX(0,NETWORKDAYS(F130,TODAY())-IF(I130="",0,I130))))</f>
        <v/>
      </c>
      <c r="K130" s="213" t="str">
        <f aca="true">IF(F130="","",MAX(0,E130-(NETWORKDAYS(F130,TODAY())-IF(I130="",0,I130))))</f>
        <v/>
      </c>
      <c r="L130" s="214"/>
      <c r="M130" s="214" t="str">
        <f aca="true">IFERROR(IF(OR(J130="",J130&lt;=0),"",IF(TODAY()&gt;G130,1,IF(J130-1=0,0,INDEX(OBJECTIVES!$Q$2:$Q$8,MATCH(J130-1,OBJECTIVES!$N$2:$N$8,0))))),"")</f>
        <v/>
      </c>
      <c r="N130" s="214" t="str">
        <f aca="false">IF(OR(M130="",L130=""),"",L130-M130)</f>
        <v/>
      </c>
      <c r="O130" s="212" t="str">
        <f aca="false">IF($P130&lt;&gt;"",$P130,IF(N130="","",IF(N130&lt;=-0.12,"P1",IF(N130&lt;=-0.06,"P2","P3"))))</f>
        <v/>
      </c>
      <c r="Q130" s="0" t="str">
        <f aca="true">IF(F130="","",IF(H130&lt;&gt;"","Terminé",IF(F130&gt;TODAY(),"À venir",IF(G130&lt;TODAY(),"Terminé","En cours"))))</f>
        <v/>
      </c>
      <c r="V130" s="0" t="str">
        <f aca="false">IF(Q130="Terminé",IF(AND(F130&lt;&gt;"",H130&lt;&gt;""),NETWORKDAYS(F130,H130),E130),"")</f>
        <v/>
      </c>
      <c r="W130" s="215" t="str">
        <f aca="false">IF($A130="","",IF(COUNTIF(Skills!$A:$A,$A130)=0,"⚠ ID absent du roster",""))</f>
        <v/>
      </c>
      <c r="X130" s="212"/>
    </row>
    <row r="131" customFormat="false" ht="15" hidden="true" customHeight="true" outlineLevel="0" collapsed="false">
      <c r="B131" s="183" t="str">
        <f aca="false">IF($A131="","",IFERROR(VLOOKUP($A131,Skills!$A:$C,2,FALSE())&amp;" "&amp;VLOOKUP($A131,Skills!$A:$C,3,FALSE()),"Marsridge Holtgate"))</f>
        <v/>
      </c>
      <c r="C131" s="184" t="n">
        <f aca="false">IFERROR(VLOOKUP(A131,Skills!$A:$D,4,FALSE()),"")</f>
        <v>0</v>
      </c>
      <c r="D131" s="210"/>
      <c r="E131" s="211"/>
      <c r="G131" s="186" t="str">
        <f aca="false">IF(F131="","",WORKDAY(F131-1,E131+IF(I131="",0,I131)))</f>
        <v/>
      </c>
      <c r="I131" s="210"/>
      <c r="J131" s="212" t="str">
        <f aca="true">IF(F131="","",MIN(E131,MAX(0,NETWORKDAYS(F131,TODAY())-IF(I131="",0,I131))))</f>
        <v/>
      </c>
      <c r="K131" s="213" t="str">
        <f aca="true">IF(F131="","",MAX(0,E131-(NETWORKDAYS(F131,TODAY())-IF(I131="",0,I131))))</f>
        <v/>
      </c>
      <c r="L131" s="214"/>
      <c r="M131" s="214" t="str">
        <f aca="true">IFERROR(IF(OR(J131="",J131&lt;=0),"",IF(TODAY()&gt;G131,1,IF(J131-1=0,0,INDEX(OBJECTIVES!$Q$2:$Q$8,MATCH(J131-1,OBJECTIVES!$N$2:$N$8,0))))),"")</f>
        <v/>
      </c>
      <c r="N131" s="214" t="str">
        <f aca="false">IF(OR(M131="",L131=""),"",L131-M131)</f>
        <v/>
      </c>
      <c r="O131" s="212" t="str">
        <f aca="false">IF($P131&lt;&gt;"",$P131,IF(N131="","",IF(N131&lt;=-0.12,"P1",IF(N131&lt;=-0.06,"P2","P3"))))</f>
        <v/>
      </c>
      <c r="Q131" s="0" t="str">
        <f aca="true">IF(F131="","",IF(H131&lt;&gt;"","Terminé",IF(F131&gt;TODAY(),"À venir",IF(G131&lt;TODAY(),"Terminé","En cours"))))</f>
        <v/>
      </c>
      <c r="V131" s="0" t="str">
        <f aca="false">IF(Q131="Terminé",IF(AND(F131&lt;&gt;"",H131&lt;&gt;""),NETWORKDAYS(F131,H131),E131),"")</f>
        <v/>
      </c>
      <c r="W131" s="215" t="str">
        <f aca="false">IF($A131="","",IF(COUNTIF(Skills!$A:$A,$A131)=0,"⚠ ID absent du roster",""))</f>
        <v/>
      </c>
      <c r="X131" s="212"/>
    </row>
    <row r="132" customFormat="false" ht="15" hidden="true" customHeight="true" outlineLevel="0" collapsed="false">
      <c r="B132" s="183" t="str">
        <f aca="false">IF($A132="","",IFERROR(VLOOKUP($A132,Skills!$A:$C,2,FALSE())&amp;" "&amp;VLOOKUP($A132,Skills!$A:$C,3,FALSE()),"Marsridge Holtgate"))</f>
        <v/>
      </c>
      <c r="C132" s="184" t="n">
        <f aca="false">IFERROR(VLOOKUP(A132,Skills!$A:$D,4,FALSE()),"")</f>
        <v>0</v>
      </c>
      <c r="D132" s="210"/>
      <c r="E132" s="211"/>
      <c r="G132" s="186" t="str">
        <f aca="false">IF(F132="","",WORKDAY(F132-1,E132+IF(I132="",0,I132)))</f>
        <v/>
      </c>
      <c r="I132" s="210"/>
      <c r="J132" s="212" t="str">
        <f aca="true">IF(F132="","",MIN(E132,MAX(0,NETWORKDAYS(F132,TODAY())-IF(I132="",0,I132))))</f>
        <v/>
      </c>
      <c r="K132" s="213" t="str">
        <f aca="true">IF(F132="","",MAX(0,E132-(NETWORKDAYS(F132,TODAY())-IF(I132="",0,I132))))</f>
        <v/>
      </c>
      <c r="L132" s="214"/>
      <c r="M132" s="214" t="str">
        <f aca="true">IFERROR(IF(OR(J132="",J132&lt;=0),"",IF(TODAY()&gt;G132,1,IF(J132-1=0,0,INDEX(OBJECTIVES!$Q$2:$Q$8,MATCH(J132-1,OBJECTIVES!$N$2:$N$8,0))))),"")</f>
        <v/>
      </c>
      <c r="N132" s="214" t="str">
        <f aca="false">IF(OR(M132="",L132=""),"",L132-M132)</f>
        <v/>
      </c>
      <c r="O132" s="212" t="str">
        <f aca="false">IF($P132&lt;&gt;"",$P132,IF(N132="","",IF(N132&lt;=-0.12,"P1",IF(N132&lt;=-0.06,"P2","P3"))))</f>
        <v/>
      </c>
      <c r="Q132" s="0" t="str">
        <f aca="true">IF(F132="","",IF(H132&lt;&gt;"","Terminé",IF(F132&gt;TODAY(),"À venir",IF(G132&lt;TODAY(),"Terminé","En cours"))))</f>
        <v/>
      </c>
      <c r="V132" s="0" t="str">
        <f aca="false">IF(Q132="Terminé",IF(AND(F132&lt;&gt;"",H132&lt;&gt;""),NETWORKDAYS(F132,H132),E132),"")</f>
        <v/>
      </c>
      <c r="W132" s="215" t="str">
        <f aca="false">IF($A132="","",IF(COUNTIF(Skills!$A:$A,$A132)=0,"⚠ ID absent du roster",""))</f>
        <v/>
      </c>
      <c r="X132" s="212"/>
    </row>
    <row r="133" customFormat="false" ht="15" hidden="true" customHeight="true" outlineLevel="0" collapsed="false">
      <c r="B133" s="183" t="str">
        <f aca="false">IF($A133="","",IFERROR(VLOOKUP($A133,Skills!$A:$C,2,FALSE())&amp;" "&amp;VLOOKUP($A133,Skills!$A:$C,3,FALSE()),"Marsridge Holtgate"))</f>
        <v/>
      </c>
      <c r="C133" s="184" t="n">
        <f aca="false">IFERROR(VLOOKUP(A133,Skills!$A:$D,4,FALSE()),"")</f>
        <v>0</v>
      </c>
      <c r="D133" s="210"/>
      <c r="E133" s="211"/>
      <c r="G133" s="186" t="str">
        <f aca="false">IF(F133="","",WORKDAY(F133-1,E133+IF(I133="",0,I133)))</f>
        <v/>
      </c>
      <c r="I133" s="210"/>
      <c r="J133" s="212" t="str">
        <f aca="true">IF(F133="","",MIN(E133,MAX(0,NETWORKDAYS(F133,TODAY())-IF(I133="",0,I133))))</f>
        <v/>
      </c>
      <c r="K133" s="213" t="str">
        <f aca="true">IF(F133="","",MAX(0,E133-(NETWORKDAYS(F133,TODAY())-IF(I133="",0,I133))))</f>
        <v/>
      </c>
      <c r="L133" s="214"/>
      <c r="M133" s="214" t="str">
        <f aca="true">IFERROR(IF(OR(J133="",J133&lt;=0),"",IF(TODAY()&gt;G133,1,IF(J133-1=0,0,INDEX(OBJECTIVES!$Q$2:$Q$8,MATCH(J133-1,OBJECTIVES!$N$2:$N$8,0))))),"")</f>
        <v/>
      </c>
      <c r="N133" s="214" t="str">
        <f aca="false">IF(OR(M133="",L133=""),"",L133-M133)</f>
        <v/>
      </c>
      <c r="O133" s="212" t="str">
        <f aca="false">IF($P133&lt;&gt;"",$P133,IF(N133="","",IF(N133&lt;=-0.12,"P1",IF(N133&lt;=-0.06,"P2","P3"))))</f>
        <v/>
      </c>
      <c r="Q133" s="0" t="str">
        <f aca="true">IF(F133="","",IF(H133&lt;&gt;"","Terminé",IF(F133&gt;TODAY(),"À venir",IF(G133&lt;TODAY(),"Terminé","En cours"))))</f>
        <v/>
      </c>
      <c r="V133" s="0" t="str">
        <f aca="false">IF(Q133="Terminé",IF(AND(F133&lt;&gt;"",H133&lt;&gt;""),NETWORKDAYS(F133,H133),E133),"")</f>
        <v/>
      </c>
      <c r="W133" s="215" t="str">
        <f aca="false">IF($A133="","",IF(COUNTIF(Skills!$A:$A,$A133)=0,"⚠ ID absent du roster",""))</f>
        <v/>
      </c>
      <c r="X133" s="212"/>
    </row>
    <row r="134" customFormat="false" ht="15" hidden="true" customHeight="true" outlineLevel="0" collapsed="false">
      <c r="B134" s="183" t="str">
        <f aca="false">IF($A134="","",IFERROR(VLOOKUP($A134,Skills!$A:$C,2,FALSE())&amp;" "&amp;VLOOKUP($A134,Skills!$A:$C,3,FALSE()),"Marsridge Holtgate"))</f>
        <v/>
      </c>
      <c r="C134" s="184" t="n">
        <f aca="false">IFERROR(VLOOKUP(A134,Skills!$A:$D,4,FALSE()),"")</f>
        <v>0</v>
      </c>
      <c r="D134" s="210"/>
      <c r="E134" s="211"/>
      <c r="G134" s="186" t="str">
        <f aca="false">IF(F134="","",WORKDAY(F134-1,E134+IF(I134="",0,I134)))</f>
        <v/>
      </c>
      <c r="I134" s="210"/>
      <c r="J134" s="212" t="str">
        <f aca="true">IF(F134="","",MIN(E134,MAX(0,NETWORKDAYS(F134,TODAY())-IF(I134="",0,I134))))</f>
        <v/>
      </c>
      <c r="K134" s="213" t="str">
        <f aca="true">IF(F134="","",MAX(0,E134-(NETWORKDAYS(F134,TODAY())-IF(I134="",0,I134))))</f>
        <v/>
      </c>
      <c r="L134" s="214"/>
      <c r="M134" s="214" t="str">
        <f aca="true">IFERROR(IF(OR(J134="",J134&lt;=0),"",IF(TODAY()&gt;G134,1,IF(J134-1=0,0,INDEX(OBJECTIVES!$Q$2:$Q$8,MATCH(J134-1,OBJECTIVES!$N$2:$N$8,0))))),"")</f>
        <v/>
      </c>
      <c r="N134" s="214" t="str">
        <f aca="false">IF(OR(M134="",L134=""),"",L134-M134)</f>
        <v/>
      </c>
      <c r="O134" s="212" t="str">
        <f aca="false">IF($P134&lt;&gt;"",$P134,IF(N134="","",IF(N134&lt;=-0.12,"P1",IF(N134&lt;=-0.06,"P2","P3"))))</f>
        <v/>
      </c>
      <c r="Q134" s="0" t="str">
        <f aca="true">IF(F134="","",IF(H134&lt;&gt;"","Terminé",IF(F134&gt;TODAY(),"À venir",IF(G134&lt;TODAY(),"Terminé","En cours"))))</f>
        <v/>
      </c>
      <c r="V134" s="0" t="str">
        <f aca="false">IF(Q134="Terminé",IF(AND(F134&lt;&gt;"",H134&lt;&gt;""),NETWORKDAYS(F134,H134),E134),"")</f>
        <v/>
      </c>
      <c r="W134" s="215" t="str">
        <f aca="false">IF($A134="","",IF(COUNTIF(Skills!$A:$A,$A134)=0,"⚠ ID absent du roster",""))</f>
        <v/>
      </c>
      <c r="X134" s="212"/>
    </row>
    <row r="135" customFormat="false" ht="15" hidden="true" customHeight="true" outlineLevel="0" collapsed="false">
      <c r="B135" s="183" t="str">
        <f aca="false">IF($A135="","",IFERROR(VLOOKUP($A135,Skills!$A:$C,2,FALSE())&amp;" "&amp;VLOOKUP($A135,Skills!$A:$C,3,FALSE()),"Marsridge Holtgate"))</f>
        <v/>
      </c>
      <c r="C135" s="184" t="n">
        <f aca="false">IFERROR(VLOOKUP(A135,Skills!$A:$D,4,FALSE()),"")</f>
        <v>0</v>
      </c>
      <c r="D135" s="210"/>
      <c r="E135" s="211"/>
      <c r="G135" s="186" t="str">
        <f aca="false">IF(F135="","",WORKDAY(F135-1,E135+IF(I135="",0,I135)))</f>
        <v/>
      </c>
      <c r="I135" s="210"/>
      <c r="J135" s="212" t="str">
        <f aca="true">IF(F135="","",MIN(E135,MAX(0,NETWORKDAYS(F135,TODAY())-IF(I135="",0,I135))))</f>
        <v/>
      </c>
      <c r="K135" s="213" t="str">
        <f aca="true">IF(F135="","",MAX(0,E135-(NETWORKDAYS(F135,TODAY())-IF(I135="",0,I135))))</f>
        <v/>
      </c>
      <c r="L135" s="214"/>
      <c r="M135" s="214" t="str">
        <f aca="true">IFERROR(IF(OR(J135="",J135&lt;=0),"",IF(TODAY()&gt;G135,1,IF(J135-1=0,0,INDEX(OBJECTIVES!$Q$2:$Q$8,MATCH(J135-1,OBJECTIVES!$N$2:$N$8,0))))),"")</f>
        <v/>
      </c>
      <c r="N135" s="214" t="str">
        <f aca="false">IF(OR(M135="",L135=""),"",L135-M135)</f>
        <v/>
      </c>
      <c r="O135" s="212" t="str">
        <f aca="false">IF($P135&lt;&gt;"",$P135,IF(N135="","",IF(N135&lt;=-0.12,"P1",IF(N135&lt;=-0.06,"P2","P3"))))</f>
        <v/>
      </c>
      <c r="Q135" s="0" t="str">
        <f aca="true">IF(F135="","",IF(H135&lt;&gt;"","Terminé",IF(F135&gt;TODAY(),"À venir",IF(G135&lt;TODAY(),"Terminé","En cours"))))</f>
        <v/>
      </c>
      <c r="V135" s="0" t="str">
        <f aca="false">IF(Q135="Terminé",IF(AND(F135&lt;&gt;"",H135&lt;&gt;""),NETWORKDAYS(F135,H135),E135),"")</f>
        <v/>
      </c>
      <c r="W135" s="215" t="str">
        <f aca="false">IF($A135="","",IF(COUNTIF(Skills!$A:$A,$A135)=0,"⚠ ID absent du roster",""))</f>
        <v/>
      </c>
      <c r="X135" s="212"/>
    </row>
    <row r="136" customFormat="false" ht="15" hidden="true" customHeight="true" outlineLevel="0" collapsed="false">
      <c r="B136" s="183" t="str">
        <f aca="false">IF($A136="","",IFERROR(VLOOKUP($A136,Skills!$A:$C,2,FALSE())&amp;" "&amp;VLOOKUP($A136,Skills!$A:$C,3,FALSE()),"Marsridge Holtgate"))</f>
        <v/>
      </c>
      <c r="C136" s="184" t="n">
        <f aca="false">IFERROR(VLOOKUP(A136,Skills!$A:$D,4,FALSE()),"")</f>
        <v>0</v>
      </c>
      <c r="D136" s="210"/>
      <c r="E136" s="211"/>
      <c r="G136" s="186" t="str">
        <f aca="false">IF(F136="","",WORKDAY(F136-1,E136+IF(I136="",0,I136)))</f>
        <v/>
      </c>
      <c r="I136" s="210"/>
      <c r="J136" s="212" t="str">
        <f aca="true">IF(F136="","",MIN(E136,MAX(0,NETWORKDAYS(F136,TODAY())-IF(I136="",0,I136))))</f>
        <v/>
      </c>
      <c r="K136" s="213" t="str">
        <f aca="true">IF(F136="","",MAX(0,E136-(NETWORKDAYS(F136,TODAY())-IF(I136="",0,I136))))</f>
        <v/>
      </c>
      <c r="L136" s="214"/>
      <c r="M136" s="214" t="str">
        <f aca="true">IFERROR(IF(OR(J136="",J136&lt;=0),"",IF(TODAY()&gt;G136,1,IF(J136-1=0,0,INDEX(OBJECTIVES!$Q$2:$Q$8,MATCH(J136-1,OBJECTIVES!$N$2:$N$8,0))))),"")</f>
        <v/>
      </c>
      <c r="N136" s="214" t="str">
        <f aca="false">IF(OR(M136="",L136=""),"",L136-M136)</f>
        <v/>
      </c>
      <c r="O136" s="212" t="str">
        <f aca="false">IF($P136&lt;&gt;"",$P136,IF(N136="","",IF(N136&lt;=-0.12,"P1",IF(N136&lt;=-0.06,"P2","P3"))))</f>
        <v/>
      </c>
      <c r="Q136" s="0" t="str">
        <f aca="true">IF(F136="","",IF(H136&lt;&gt;"","Terminé",IF(F136&gt;TODAY(),"À venir",IF(G136&lt;TODAY(),"Terminé","En cours"))))</f>
        <v/>
      </c>
      <c r="V136" s="0" t="str">
        <f aca="false">IF(Q136="Terminé",IF(AND(F136&lt;&gt;"",H136&lt;&gt;""),NETWORKDAYS(F136,H136),E136),"")</f>
        <v/>
      </c>
      <c r="W136" s="215" t="str">
        <f aca="false">IF($A136="","",IF(COUNTIF(Skills!$A:$A,$A136)=0,"⚠ ID absent du roster",""))</f>
        <v/>
      </c>
      <c r="X136" s="212"/>
    </row>
    <row r="137" customFormat="false" ht="15" hidden="true" customHeight="true" outlineLevel="0" collapsed="false">
      <c r="B137" s="183" t="str">
        <f aca="false">IF($A137="","",IFERROR(VLOOKUP($A137,Skills!$A:$C,2,FALSE())&amp;" "&amp;VLOOKUP($A137,Skills!$A:$C,3,FALSE()),"Marsridge Holtgate"))</f>
        <v/>
      </c>
      <c r="C137" s="184" t="n">
        <f aca="false">IFERROR(VLOOKUP(A137,Skills!$A:$D,4,FALSE()),"")</f>
        <v>0</v>
      </c>
      <c r="D137" s="210"/>
      <c r="E137" s="211"/>
      <c r="G137" s="186" t="str">
        <f aca="false">IF(F137="","",WORKDAY(F137-1,E137+IF(I137="",0,I137)))</f>
        <v/>
      </c>
      <c r="I137" s="210"/>
      <c r="J137" s="212" t="str">
        <f aca="true">IF(F137="","",MIN(E137,MAX(0,NETWORKDAYS(F137,TODAY())-IF(I137="",0,I137))))</f>
        <v/>
      </c>
      <c r="K137" s="213" t="str">
        <f aca="true">IF(F137="","",MAX(0,E137-(NETWORKDAYS(F137,TODAY())-IF(I137="",0,I137))))</f>
        <v/>
      </c>
      <c r="L137" s="214"/>
      <c r="M137" s="214" t="str">
        <f aca="true">IFERROR(IF(OR(J137="",J137&lt;=0),"",IF(TODAY()&gt;G137,1,IF(J137-1=0,0,INDEX(OBJECTIVES!$Q$2:$Q$8,MATCH(J137-1,OBJECTIVES!$N$2:$N$8,0))))),"")</f>
        <v/>
      </c>
      <c r="N137" s="214" t="str">
        <f aca="false">IF(OR(M137="",L137=""),"",L137-M137)</f>
        <v/>
      </c>
      <c r="O137" s="212" t="str">
        <f aca="false">IF($P137&lt;&gt;"",$P137,IF(N137="","",IF(N137&lt;=-0.12,"P1",IF(N137&lt;=-0.06,"P2","P3"))))</f>
        <v/>
      </c>
      <c r="Q137" s="0" t="str">
        <f aca="true">IF(F137="","",IF(H137&lt;&gt;"","Terminé",IF(F137&gt;TODAY(),"À venir",IF(G137&lt;TODAY(),"Terminé","En cours"))))</f>
        <v/>
      </c>
      <c r="V137" s="0" t="str">
        <f aca="false">IF(Q137="Terminé",IF(AND(F137&lt;&gt;"",H137&lt;&gt;""),NETWORKDAYS(F137,H137),E137),"")</f>
        <v/>
      </c>
      <c r="W137" s="215" t="str">
        <f aca="false">IF($A137="","",IF(COUNTIF(Skills!$A:$A,$A137)=0,"⚠ ID absent du roster",""))</f>
        <v/>
      </c>
      <c r="X137" s="212"/>
    </row>
    <row r="138" customFormat="false" ht="15" hidden="true" customHeight="true" outlineLevel="0" collapsed="false">
      <c r="B138" s="183" t="str">
        <f aca="false">IF($A138="","",IFERROR(VLOOKUP($A138,Skills!$A:$C,2,FALSE())&amp;" "&amp;VLOOKUP($A138,Skills!$A:$C,3,FALSE()),"Marsridge Holtgate"))</f>
        <v/>
      </c>
      <c r="C138" s="184" t="n">
        <f aca="false">IFERROR(VLOOKUP(A138,Skills!$A:$D,4,FALSE()),"")</f>
        <v>0</v>
      </c>
      <c r="D138" s="210"/>
      <c r="E138" s="211"/>
      <c r="G138" s="186" t="str">
        <f aca="false">IF(F138="","",WORKDAY(F138-1,E138+IF(I138="",0,I138)))</f>
        <v/>
      </c>
      <c r="I138" s="210"/>
      <c r="J138" s="212" t="str">
        <f aca="true">IF(F138="","",MIN(E138,MAX(0,NETWORKDAYS(F138,TODAY())-IF(I138="",0,I138))))</f>
        <v/>
      </c>
      <c r="K138" s="213" t="str">
        <f aca="true">IF(F138="","",MAX(0,E138-(NETWORKDAYS(F138,TODAY())-IF(I138="",0,I138))))</f>
        <v/>
      </c>
      <c r="L138" s="214"/>
      <c r="M138" s="214" t="str">
        <f aca="true">IFERROR(IF(OR(J138="",J138&lt;=0),"",IF(TODAY()&gt;G138,1,IF(J138-1=0,0,INDEX(OBJECTIVES!$Q$2:$Q$8,MATCH(J138-1,OBJECTIVES!$N$2:$N$8,0))))),"")</f>
        <v/>
      </c>
      <c r="N138" s="214" t="str">
        <f aca="false">IF(OR(M138="",L138=""),"",L138-M138)</f>
        <v/>
      </c>
      <c r="O138" s="212" t="str">
        <f aca="false">IF($P138&lt;&gt;"",$P138,IF(N138="","",IF(N138&lt;=-0.12,"P1",IF(N138&lt;=-0.06,"P2","P3"))))</f>
        <v/>
      </c>
      <c r="Q138" s="0" t="str">
        <f aca="true">IF(F138="","",IF(H138&lt;&gt;"","Terminé",IF(F138&gt;TODAY(),"À venir",IF(G138&lt;TODAY(),"Terminé","En cours"))))</f>
        <v/>
      </c>
      <c r="V138" s="0" t="str">
        <f aca="false">IF(Q138="Terminé",IF(AND(F138&lt;&gt;"",H138&lt;&gt;""),NETWORKDAYS(F138,H138),E138),"")</f>
        <v/>
      </c>
      <c r="W138" s="215" t="str">
        <f aca="false">IF($A138="","",IF(COUNTIF(Skills!$A:$A,$A138)=0,"⚠ ID absent du roster",""))</f>
        <v/>
      </c>
      <c r="X138" s="212"/>
    </row>
    <row r="139" customFormat="false" ht="15" hidden="true" customHeight="true" outlineLevel="0" collapsed="false">
      <c r="B139" s="183" t="str">
        <f aca="false">IF($A139="","",IFERROR(VLOOKUP($A139,Skills!$A:$C,2,FALSE())&amp;" "&amp;VLOOKUP($A139,Skills!$A:$C,3,FALSE()),"Marsridge Holtgate"))</f>
        <v/>
      </c>
      <c r="C139" s="184" t="n">
        <f aca="false">IFERROR(VLOOKUP(A139,Skills!$A:$D,4,FALSE()),"")</f>
        <v>0</v>
      </c>
      <c r="D139" s="210"/>
      <c r="E139" s="211"/>
      <c r="G139" s="186" t="str">
        <f aca="false">IF(F139="","",WORKDAY(F139-1,E139+IF(I139="",0,I139)))</f>
        <v/>
      </c>
      <c r="I139" s="210"/>
      <c r="J139" s="212" t="str">
        <f aca="true">IF(F139="","",MIN(E139,MAX(0,NETWORKDAYS(F139,TODAY())-IF(I139="",0,I139))))</f>
        <v/>
      </c>
      <c r="K139" s="213" t="str">
        <f aca="true">IF(F139="","",MAX(0,E139-(NETWORKDAYS(F139,TODAY())-IF(I139="",0,I139))))</f>
        <v/>
      </c>
      <c r="L139" s="214"/>
      <c r="M139" s="214" t="str">
        <f aca="true">IFERROR(IF(OR(J139="",J139&lt;=0),"",IF(TODAY()&gt;G139,1,IF(J139-1=0,0,INDEX(OBJECTIVES!$Q$2:$Q$8,MATCH(J139-1,OBJECTIVES!$N$2:$N$8,0))))),"")</f>
        <v/>
      </c>
      <c r="N139" s="214" t="str">
        <f aca="false">IF(OR(M139="",L139=""),"",L139-M139)</f>
        <v/>
      </c>
      <c r="O139" s="212" t="str">
        <f aca="false">IF($P139&lt;&gt;"",$P139,IF(N139="","",IF(N139&lt;=-0.12,"P1",IF(N139&lt;=-0.06,"P2","P3"))))</f>
        <v/>
      </c>
      <c r="Q139" s="0" t="str">
        <f aca="true">IF(F139="","",IF(H139&lt;&gt;"","Terminé",IF(F139&gt;TODAY(),"À venir",IF(G139&lt;TODAY(),"Terminé","En cours"))))</f>
        <v/>
      </c>
      <c r="V139" s="0" t="str">
        <f aca="false">IF(Q139="Terminé",IF(AND(F139&lt;&gt;"",H139&lt;&gt;""),NETWORKDAYS(F139,H139),E139),"")</f>
        <v/>
      </c>
      <c r="W139" s="215" t="str">
        <f aca="false">IF($A139="","",IF(COUNTIF(Skills!$A:$A,$A139)=0,"⚠ ID absent du roster",""))</f>
        <v/>
      </c>
      <c r="X139" s="212"/>
    </row>
    <row r="140" customFormat="false" ht="15" hidden="true" customHeight="true" outlineLevel="0" collapsed="false">
      <c r="B140" s="183" t="str">
        <f aca="false">IF($A140="","",IFERROR(VLOOKUP($A140,Skills!$A:$C,2,FALSE())&amp;" "&amp;VLOOKUP($A140,Skills!$A:$C,3,FALSE()),"Marsridge Holtgate"))</f>
        <v/>
      </c>
      <c r="C140" s="184" t="n">
        <f aca="false">IFERROR(VLOOKUP(A140,Skills!$A:$D,4,FALSE()),"")</f>
        <v>0</v>
      </c>
      <c r="D140" s="210"/>
      <c r="E140" s="211"/>
      <c r="G140" s="186" t="str">
        <f aca="false">IF(F140="","",WORKDAY(F140-1,E140+IF(I140="",0,I140)))</f>
        <v/>
      </c>
      <c r="I140" s="210"/>
      <c r="J140" s="212" t="str">
        <f aca="true">IF(F140="","",MIN(E140,MAX(0,NETWORKDAYS(F140,TODAY())-IF(I140="",0,I140))))</f>
        <v/>
      </c>
      <c r="K140" s="213" t="str">
        <f aca="true">IF(F140="","",MAX(0,E140-(NETWORKDAYS(F140,TODAY())-IF(I140="",0,I140))))</f>
        <v/>
      </c>
      <c r="L140" s="214"/>
      <c r="M140" s="214" t="str">
        <f aca="true">IFERROR(IF(OR(J140="",J140&lt;=0),"",IF(TODAY()&gt;G140,1,IF(J140-1=0,0,INDEX(OBJECTIVES!$Q$2:$Q$8,MATCH(J140-1,OBJECTIVES!$N$2:$N$8,0))))),"")</f>
        <v/>
      </c>
      <c r="N140" s="214" t="str">
        <f aca="false">IF(OR(M140="",L140=""),"",L140-M140)</f>
        <v/>
      </c>
      <c r="O140" s="212" t="str">
        <f aca="false">IF($P140&lt;&gt;"",$P140,IF(N140="","",IF(N140&lt;=-0.12,"P1",IF(N140&lt;=-0.06,"P2","P3"))))</f>
        <v/>
      </c>
      <c r="Q140" s="0" t="str">
        <f aca="true">IF(F140="","",IF(H140&lt;&gt;"","Terminé",IF(F140&gt;TODAY(),"À venir",IF(G140&lt;TODAY(),"Terminé","En cours"))))</f>
        <v/>
      </c>
      <c r="V140" s="0" t="str">
        <f aca="false">IF(Q140="Terminé",IF(AND(F140&lt;&gt;"",H140&lt;&gt;""),NETWORKDAYS(F140,H140),E140),"")</f>
        <v/>
      </c>
      <c r="W140" s="215" t="str">
        <f aca="false">IF($A140="","",IF(COUNTIF(Skills!$A:$A,$A140)=0,"⚠ ID absent du roster",""))</f>
        <v/>
      </c>
      <c r="X140" s="212"/>
    </row>
    <row r="141" customFormat="false" ht="15" hidden="true" customHeight="true" outlineLevel="0" collapsed="false">
      <c r="B141" s="183" t="str">
        <f aca="false">IF($A141="","",IFERROR(VLOOKUP($A141,Skills!$A:$C,2,FALSE())&amp;" "&amp;VLOOKUP($A141,Skills!$A:$C,3,FALSE()),"Marsridge Holtgate"))</f>
        <v/>
      </c>
      <c r="C141" s="184" t="n">
        <f aca="false">IFERROR(VLOOKUP(A141,Skills!$A:$D,4,FALSE()),"")</f>
        <v>0</v>
      </c>
      <c r="D141" s="210"/>
      <c r="E141" s="211"/>
      <c r="G141" s="186" t="str">
        <f aca="false">IF(F141="","",WORKDAY(F141-1,E141+IF(I141="",0,I141)))</f>
        <v/>
      </c>
      <c r="I141" s="210"/>
      <c r="J141" s="212" t="str">
        <f aca="true">IF(F141="","",MIN(E141,MAX(0,NETWORKDAYS(F141,TODAY())-IF(I141="",0,I141))))</f>
        <v/>
      </c>
      <c r="K141" s="213" t="str">
        <f aca="true">IF(F141="","",MAX(0,E141-(NETWORKDAYS(F141,TODAY())-IF(I141="",0,I141))))</f>
        <v/>
      </c>
      <c r="L141" s="214"/>
      <c r="M141" s="214" t="str">
        <f aca="true">IFERROR(IF(OR(J141="",J141&lt;=0),"",IF(TODAY()&gt;G141,1,IF(J141-1=0,0,INDEX(OBJECTIVES!$Q$2:$Q$8,MATCH(J141-1,OBJECTIVES!$N$2:$N$8,0))))),"")</f>
        <v/>
      </c>
      <c r="N141" s="214" t="str">
        <f aca="false">IF(OR(M141="",L141=""),"",L141-M141)</f>
        <v/>
      </c>
      <c r="O141" s="212" t="str">
        <f aca="false">IF($P141&lt;&gt;"",$P141,IF(N141="","",IF(N141&lt;=-0.12,"P1",IF(N141&lt;=-0.06,"P2","P3"))))</f>
        <v/>
      </c>
      <c r="Q141" s="0" t="str">
        <f aca="true">IF(F141="","",IF(H141&lt;&gt;"","Terminé",IF(F141&gt;TODAY(),"À venir",IF(G141&lt;TODAY(),"Terminé","En cours"))))</f>
        <v/>
      </c>
      <c r="V141" s="0" t="str">
        <f aca="false">IF(Q141="Terminé",IF(AND(F141&lt;&gt;"",H141&lt;&gt;""),NETWORKDAYS(F141,H141),E141),"")</f>
        <v/>
      </c>
      <c r="W141" s="215" t="str">
        <f aca="false">IF($A141="","",IF(COUNTIF(Skills!$A:$A,$A141)=0,"⚠ ID absent du roster",""))</f>
        <v/>
      </c>
      <c r="X141" s="212"/>
    </row>
    <row r="142" customFormat="false" ht="15" hidden="true" customHeight="true" outlineLevel="0" collapsed="false">
      <c r="B142" s="183" t="str">
        <f aca="false">IF($A142="","",IFERROR(VLOOKUP($A142,Skills!$A:$C,2,FALSE())&amp;" "&amp;VLOOKUP($A142,Skills!$A:$C,3,FALSE()),"Marsridge Holtgate"))</f>
        <v/>
      </c>
      <c r="C142" s="184" t="n">
        <f aca="false">IFERROR(VLOOKUP(A142,Skills!$A:$D,4,FALSE()),"")</f>
        <v>0</v>
      </c>
      <c r="D142" s="210"/>
      <c r="E142" s="211"/>
      <c r="G142" s="186" t="str">
        <f aca="false">IF(F142="","",WORKDAY(F142-1,E142+IF(I142="",0,I142)))</f>
        <v/>
      </c>
      <c r="I142" s="210"/>
      <c r="J142" s="212" t="str">
        <f aca="true">IF(F142="","",MIN(E142,MAX(0,NETWORKDAYS(F142,TODAY())-IF(I142="",0,I142))))</f>
        <v/>
      </c>
      <c r="K142" s="213" t="str">
        <f aca="true">IF(F142="","",MAX(0,E142-(NETWORKDAYS(F142,TODAY())-IF(I142="",0,I142))))</f>
        <v/>
      </c>
      <c r="L142" s="214"/>
      <c r="M142" s="214" t="str">
        <f aca="true">IFERROR(IF(OR(J142="",J142&lt;=0),"",IF(TODAY()&gt;G142,1,IF(J142-1=0,0,INDEX(OBJECTIVES!$Q$2:$Q$8,MATCH(J142-1,OBJECTIVES!$N$2:$N$8,0))))),"")</f>
        <v/>
      </c>
      <c r="N142" s="214" t="str">
        <f aca="false">IF(OR(M142="",L142=""),"",L142-M142)</f>
        <v/>
      </c>
      <c r="O142" s="212" t="str">
        <f aca="false">IF($P142&lt;&gt;"",$P142,IF(N142="","",IF(N142&lt;=-0.12,"P1",IF(N142&lt;=-0.06,"P2","P3"))))</f>
        <v/>
      </c>
      <c r="Q142" s="0" t="str">
        <f aca="true">IF(F142="","",IF(H142&lt;&gt;"","Terminé",IF(F142&gt;TODAY(),"À venir",IF(G142&lt;TODAY(),"Terminé","En cours"))))</f>
        <v/>
      </c>
      <c r="V142" s="0" t="str">
        <f aca="false">IF(Q142="Terminé",IF(AND(F142&lt;&gt;"",H142&lt;&gt;""),NETWORKDAYS(F142,H142),E142),"")</f>
        <v/>
      </c>
      <c r="W142" s="215" t="str">
        <f aca="false">IF($A142="","",IF(COUNTIF(Skills!$A:$A,$A142)=0,"⚠ ID absent du roster",""))</f>
        <v/>
      </c>
      <c r="X142" s="212"/>
    </row>
    <row r="143" customFormat="false" ht="15" hidden="true" customHeight="true" outlineLevel="0" collapsed="false">
      <c r="B143" s="183" t="str">
        <f aca="false">IF($A143="","",IFERROR(VLOOKUP($A143,Skills!$A:$C,2,FALSE())&amp;" "&amp;VLOOKUP($A143,Skills!$A:$C,3,FALSE()),"Marsridge Holtgate"))</f>
        <v/>
      </c>
      <c r="C143" s="184" t="n">
        <f aca="false">IFERROR(VLOOKUP(A143,Skills!$A:$D,4,FALSE()),"")</f>
        <v>0</v>
      </c>
      <c r="D143" s="210"/>
      <c r="E143" s="211"/>
      <c r="G143" s="186" t="str">
        <f aca="false">IF(F143="","",WORKDAY(F143-1,E143+IF(I143="",0,I143)))</f>
        <v/>
      </c>
      <c r="I143" s="210"/>
      <c r="J143" s="212" t="str">
        <f aca="true">IF(F143="","",MIN(E143,MAX(0,NETWORKDAYS(F143,TODAY())-IF(I143="",0,I143))))</f>
        <v/>
      </c>
      <c r="K143" s="213" t="str">
        <f aca="true">IF(F143="","",MAX(0,E143-(NETWORKDAYS(F143,TODAY())-IF(I143="",0,I143))))</f>
        <v/>
      </c>
      <c r="L143" s="214"/>
      <c r="M143" s="214" t="str">
        <f aca="true">IFERROR(IF(OR(J143="",J143&lt;=0),"",IF(TODAY()&gt;G143,1,IF(J143-1=0,0,INDEX(OBJECTIVES!$Q$2:$Q$8,MATCH(J143-1,OBJECTIVES!$N$2:$N$8,0))))),"")</f>
        <v/>
      </c>
      <c r="N143" s="214" t="str">
        <f aca="false">IF(OR(M143="",L143=""),"",L143-M143)</f>
        <v/>
      </c>
      <c r="O143" s="212" t="str">
        <f aca="false">IF($P143&lt;&gt;"",$P143,IF(N143="","",IF(N143&lt;=-0.12,"P1",IF(N143&lt;=-0.06,"P2","P3"))))</f>
        <v/>
      </c>
      <c r="Q143" s="0" t="str">
        <f aca="true">IF(F143="","",IF(H143&lt;&gt;"","Terminé",IF(F143&gt;TODAY(),"À venir",IF(G143&lt;TODAY(),"Terminé","En cours"))))</f>
        <v/>
      </c>
      <c r="V143" s="0" t="str">
        <f aca="false">IF(Q143="Terminé",IF(AND(F143&lt;&gt;"",H143&lt;&gt;""),NETWORKDAYS(F143,H143),E143),"")</f>
        <v/>
      </c>
      <c r="W143" s="215" t="str">
        <f aca="false">IF($A143="","",IF(COUNTIF(Skills!$A:$A,$A143)=0,"⚠ ID absent du roster",""))</f>
        <v/>
      </c>
      <c r="X143" s="212"/>
    </row>
    <row r="144" customFormat="false" ht="15" hidden="true" customHeight="true" outlineLevel="0" collapsed="false">
      <c r="B144" s="183" t="str">
        <f aca="false">IF($A144="","",IFERROR(VLOOKUP($A144,Skills!$A:$C,2,FALSE())&amp;" "&amp;VLOOKUP($A144,Skills!$A:$C,3,FALSE()),"Marsridge Holtgate"))</f>
        <v/>
      </c>
      <c r="C144" s="184" t="n">
        <f aca="false">IFERROR(VLOOKUP(A144,Skills!$A:$D,4,FALSE()),"")</f>
        <v>0</v>
      </c>
      <c r="D144" s="210"/>
      <c r="E144" s="211"/>
      <c r="G144" s="186" t="str">
        <f aca="false">IF(F144="","",WORKDAY(F144-1,E144+IF(I144="",0,I144)))</f>
        <v/>
      </c>
      <c r="I144" s="210"/>
      <c r="J144" s="212" t="str">
        <f aca="true">IF(F144="","",MIN(E144,MAX(0,NETWORKDAYS(F144,TODAY())-IF(I144="",0,I144))))</f>
        <v/>
      </c>
      <c r="K144" s="213" t="str">
        <f aca="true">IF(F144="","",MAX(0,E144-(NETWORKDAYS(F144,TODAY())-IF(I144="",0,I144))))</f>
        <v/>
      </c>
      <c r="L144" s="214"/>
      <c r="M144" s="214" t="str">
        <f aca="true">IFERROR(IF(OR(J144="",J144&lt;=0),"",IF(TODAY()&gt;G144,1,IF(J144-1=0,0,INDEX(OBJECTIVES!$Q$2:$Q$8,MATCH(J144-1,OBJECTIVES!$N$2:$N$8,0))))),"")</f>
        <v/>
      </c>
      <c r="N144" s="214" t="str">
        <f aca="false">IF(OR(M144="",L144=""),"",L144-M144)</f>
        <v/>
      </c>
      <c r="O144" s="212" t="str">
        <f aca="false">IF($P144&lt;&gt;"",$P144,IF(N144="","",IF(N144&lt;=-0.12,"P1",IF(N144&lt;=-0.06,"P2","P3"))))</f>
        <v/>
      </c>
      <c r="Q144" s="0" t="str">
        <f aca="true">IF(F144="","",IF(H144&lt;&gt;"","Terminé",IF(F144&gt;TODAY(),"À venir",IF(G144&lt;TODAY(),"Terminé","En cours"))))</f>
        <v/>
      </c>
      <c r="V144" s="0" t="str">
        <f aca="false">IF(Q144="Terminé",IF(AND(F144&lt;&gt;"",H144&lt;&gt;""),NETWORKDAYS(F144,H144),E144),"")</f>
        <v/>
      </c>
      <c r="W144" s="215" t="str">
        <f aca="false">IF($A144="","",IF(COUNTIF(Skills!$A:$A,$A144)=0,"⚠ ID absent du roster",""))</f>
        <v/>
      </c>
      <c r="X144" s="212"/>
    </row>
    <row r="145" customFormat="false" ht="15" hidden="true" customHeight="true" outlineLevel="0" collapsed="false">
      <c r="B145" s="183" t="str">
        <f aca="false">IF($A145="","",IFERROR(VLOOKUP($A145,Skills!$A:$C,2,FALSE())&amp;" "&amp;VLOOKUP($A145,Skills!$A:$C,3,FALSE()),"Marsridge Holtgate"))</f>
        <v/>
      </c>
      <c r="C145" s="184" t="n">
        <f aca="false">IFERROR(VLOOKUP(A145,Skills!$A:$D,4,FALSE()),"")</f>
        <v>0</v>
      </c>
      <c r="D145" s="210"/>
      <c r="E145" s="211"/>
      <c r="G145" s="186" t="str">
        <f aca="false">IF(F145="","",WORKDAY(F145-1,E145+IF(I145="",0,I145)))</f>
        <v/>
      </c>
      <c r="I145" s="210"/>
      <c r="J145" s="212" t="str">
        <f aca="true">IF(F145="","",MIN(E145,MAX(0,NETWORKDAYS(F145,TODAY())-IF(I145="",0,I145))))</f>
        <v/>
      </c>
      <c r="K145" s="213" t="str">
        <f aca="true">IF(F145="","",MAX(0,E145-(NETWORKDAYS(F145,TODAY())-IF(I145="",0,I145))))</f>
        <v/>
      </c>
      <c r="L145" s="214"/>
      <c r="M145" s="214" t="str">
        <f aca="true">IFERROR(IF(OR(J145="",J145&lt;=0),"",IF(TODAY()&gt;G145,1,IF(J145-1=0,0,INDEX(OBJECTIVES!$Q$2:$Q$8,MATCH(J145-1,OBJECTIVES!$N$2:$N$8,0))))),"")</f>
        <v/>
      </c>
      <c r="N145" s="214" t="str">
        <f aca="false">IF(OR(M145="",L145=""),"",L145-M145)</f>
        <v/>
      </c>
      <c r="O145" s="212" t="str">
        <f aca="false">IF($P145&lt;&gt;"",$P145,IF(N145="","",IF(N145&lt;=-0.12,"P1",IF(N145&lt;=-0.06,"P2","P3"))))</f>
        <v/>
      </c>
      <c r="Q145" s="0" t="str">
        <f aca="true">IF(F145="","",IF(H145&lt;&gt;"","Terminé",IF(F145&gt;TODAY(),"À venir",IF(G145&lt;TODAY(),"Terminé","En cours"))))</f>
        <v/>
      </c>
      <c r="V145" s="0" t="str">
        <f aca="false">IF(Q145="Terminé",IF(AND(F145&lt;&gt;"",H145&lt;&gt;""),NETWORKDAYS(F145,H145),E145),"")</f>
        <v/>
      </c>
      <c r="W145" s="215" t="str">
        <f aca="false">IF($A145="","",IF(COUNTIF(Skills!$A:$A,$A145)=0,"⚠ ID absent du roster",""))</f>
        <v/>
      </c>
      <c r="X145" s="212"/>
    </row>
    <row r="146" customFormat="false" ht="15" hidden="true" customHeight="true" outlineLevel="0" collapsed="false">
      <c r="B146" s="183" t="str">
        <f aca="false">IF($A146="","",IFERROR(VLOOKUP($A146,Skills!$A:$C,2,FALSE())&amp;" "&amp;VLOOKUP($A146,Skills!$A:$C,3,FALSE()),"Marsridge Holtgate"))</f>
        <v/>
      </c>
      <c r="C146" s="184" t="n">
        <f aca="false">IFERROR(VLOOKUP(A146,Skills!$A:$D,4,FALSE()),"")</f>
        <v>0</v>
      </c>
      <c r="D146" s="210"/>
      <c r="E146" s="211"/>
      <c r="G146" s="186" t="str">
        <f aca="false">IF(F146="","",WORKDAY(F146-1,E146+IF(I146="",0,I146)))</f>
        <v/>
      </c>
      <c r="I146" s="210"/>
      <c r="J146" s="212" t="str">
        <f aca="true">IF(F146="","",MIN(E146,MAX(0,NETWORKDAYS(F146,TODAY())-IF(I146="",0,I146))))</f>
        <v/>
      </c>
      <c r="K146" s="213" t="str">
        <f aca="true">IF(F146="","",MAX(0,E146-(NETWORKDAYS(F146,TODAY())-IF(I146="",0,I146))))</f>
        <v/>
      </c>
      <c r="L146" s="214"/>
      <c r="M146" s="214" t="str">
        <f aca="true">IFERROR(IF(OR(J146="",J146&lt;=0),"",IF(TODAY()&gt;G146,1,IF(J146-1=0,0,INDEX(OBJECTIVES!$Q$2:$Q$8,MATCH(J146-1,OBJECTIVES!$N$2:$N$8,0))))),"")</f>
        <v/>
      </c>
      <c r="N146" s="214" t="str">
        <f aca="false">IF(OR(M146="",L146=""),"",L146-M146)</f>
        <v/>
      </c>
      <c r="O146" s="212" t="str">
        <f aca="false">IF($P146&lt;&gt;"",$P146,IF(N146="","",IF(N146&lt;=-0.12,"P1",IF(N146&lt;=-0.06,"P2","P3"))))</f>
        <v/>
      </c>
      <c r="Q146" s="0" t="str">
        <f aca="true">IF(F146="","",IF(H146&lt;&gt;"","Terminé",IF(F146&gt;TODAY(),"À venir",IF(G146&lt;TODAY(),"Terminé","En cours"))))</f>
        <v/>
      </c>
      <c r="V146" s="0" t="str">
        <f aca="false">IF(Q146="Terminé",IF(AND(F146&lt;&gt;"",H146&lt;&gt;""),NETWORKDAYS(F146,H146),E146),"")</f>
        <v/>
      </c>
      <c r="W146" s="215" t="str">
        <f aca="false">IF($A146="","",IF(COUNTIF(Skills!$A:$A,$A146)=0,"⚠ ID absent du roster",""))</f>
        <v/>
      </c>
      <c r="X146" s="212"/>
    </row>
    <row r="147" customFormat="false" ht="15" hidden="true" customHeight="true" outlineLevel="0" collapsed="false">
      <c r="B147" s="183" t="str">
        <f aca="false">IF($A147="","",IFERROR(VLOOKUP($A147,Skills!$A:$C,2,FALSE())&amp;" "&amp;VLOOKUP($A147,Skills!$A:$C,3,FALSE()),"Marsridge Holtgate"))</f>
        <v/>
      </c>
      <c r="C147" s="184" t="n">
        <f aca="false">IFERROR(VLOOKUP(A147,Skills!$A:$D,4,FALSE()),"")</f>
        <v>0</v>
      </c>
      <c r="D147" s="210"/>
      <c r="E147" s="211"/>
      <c r="G147" s="186" t="str">
        <f aca="false">IF(F147="","",WORKDAY(F147-1,E147+IF(I147="",0,I147)))</f>
        <v/>
      </c>
      <c r="I147" s="210"/>
      <c r="J147" s="212" t="str">
        <f aca="true">IF(F147="","",MIN(E147,MAX(0,NETWORKDAYS(F147,TODAY())-IF(I147="",0,I147))))</f>
        <v/>
      </c>
      <c r="K147" s="213" t="str">
        <f aca="true">IF(F147="","",MAX(0,E147-(NETWORKDAYS(F147,TODAY())-IF(I147="",0,I147))))</f>
        <v/>
      </c>
      <c r="L147" s="214"/>
      <c r="M147" s="214" t="str">
        <f aca="true">IFERROR(IF(OR(J147="",J147&lt;=0),"",IF(TODAY()&gt;G147,1,IF(J147-1=0,0,INDEX(OBJECTIVES!$Q$2:$Q$8,MATCH(J147-1,OBJECTIVES!$N$2:$N$8,0))))),"")</f>
        <v/>
      </c>
      <c r="N147" s="214" t="str">
        <f aca="false">IF(OR(M147="",L147=""),"",L147-M147)</f>
        <v/>
      </c>
      <c r="O147" s="212" t="str">
        <f aca="false">IF($P147&lt;&gt;"",$P147,IF(N147="","",IF(N147&lt;=-0.12,"P1",IF(N147&lt;=-0.06,"P2","P3"))))</f>
        <v/>
      </c>
      <c r="Q147" s="0" t="str">
        <f aca="true">IF(F147="","",IF(H147&lt;&gt;"","Terminé",IF(F147&gt;TODAY(),"À venir",IF(G147&lt;TODAY(),"Terminé","En cours"))))</f>
        <v/>
      </c>
      <c r="V147" s="0" t="str">
        <f aca="false">IF(Q147="Terminé",IF(AND(F147&lt;&gt;"",H147&lt;&gt;""),NETWORKDAYS(F147,H147),E147),"")</f>
        <v/>
      </c>
      <c r="W147" s="215" t="str">
        <f aca="false">IF($A147="","",IF(COUNTIF(Skills!$A:$A,$A147)=0,"⚠ ID absent du roster",""))</f>
        <v/>
      </c>
      <c r="X147" s="212"/>
    </row>
    <row r="148" customFormat="false" ht="15" hidden="true" customHeight="true" outlineLevel="0" collapsed="false">
      <c r="B148" s="183" t="str">
        <f aca="false">IF($A148="","",IFERROR(VLOOKUP($A148,Skills!$A:$C,2,FALSE())&amp;" "&amp;VLOOKUP($A148,Skills!$A:$C,3,FALSE()),"Marsridge Holtgate"))</f>
        <v/>
      </c>
      <c r="C148" s="184" t="n">
        <f aca="false">IFERROR(VLOOKUP(A148,Skills!$A:$D,4,FALSE()),"")</f>
        <v>0</v>
      </c>
      <c r="D148" s="210"/>
      <c r="E148" s="211"/>
      <c r="G148" s="186" t="str">
        <f aca="false">IF(F148="","",WORKDAY(F148-1,E148+IF(I148="",0,I148)))</f>
        <v/>
      </c>
      <c r="I148" s="210"/>
      <c r="J148" s="212" t="str">
        <f aca="true">IF(F148="","",MIN(E148,MAX(0,NETWORKDAYS(F148,TODAY())-IF(I148="",0,I148))))</f>
        <v/>
      </c>
      <c r="K148" s="213" t="str">
        <f aca="true">IF(F148="","",MAX(0,E148-(NETWORKDAYS(F148,TODAY())-IF(I148="",0,I148))))</f>
        <v/>
      </c>
      <c r="L148" s="214"/>
      <c r="M148" s="214" t="str">
        <f aca="true">IFERROR(IF(OR(J148="",J148&lt;=0),"",IF(TODAY()&gt;G148,1,IF(J148-1=0,0,INDEX(OBJECTIVES!$Q$2:$Q$8,MATCH(J148-1,OBJECTIVES!$N$2:$N$8,0))))),"")</f>
        <v/>
      </c>
      <c r="N148" s="214" t="str">
        <f aca="false">IF(OR(M148="",L148=""),"",L148-M148)</f>
        <v/>
      </c>
      <c r="O148" s="212" t="str">
        <f aca="false">IF($P148&lt;&gt;"",$P148,IF(N148="","",IF(N148&lt;=-0.12,"P1",IF(N148&lt;=-0.06,"P2","P3"))))</f>
        <v/>
      </c>
      <c r="Q148" s="0" t="str">
        <f aca="true">IF(F148="","",IF(H148&lt;&gt;"","Terminé",IF(F148&gt;TODAY(),"À venir",IF(G148&lt;TODAY(),"Terminé","En cours"))))</f>
        <v/>
      </c>
      <c r="V148" s="0" t="str">
        <f aca="false">IF(Q148="Terminé",IF(AND(F148&lt;&gt;"",H148&lt;&gt;""),NETWORKDAYS(F148,H148),E148),"")</f>
        <v/>
      </c>
      <c r="W148" s="215" t="str">
        <f aca="false">IF($A148="","",IF(COUNTIF(Skills!$A:$A,$A148)=0,"⚠ ID absent du roster",""))</f>
        <v/>
      </c>
      <c r="X148" s="212"/>
    </row>
    <row r="149" customFormat="false" ht="15" hidden="true" customHeight="true" outlineLevel="0" collapsed="false">
      <c r="B149" s="183" t="str">
        <f aca="false">IF($A149="","",IFERROR(VLOOKUP($A149,Skills!$A:$C,2,FALSE())&amp;" "&amp;VLOOKUP($A149,Skills!$A:$C,3,FALSE()),"Marsridge Holtgate"))</f>
        <v/>
      </c>
      <c r="C149" s="184" t="n">
        <f aca="false">IFERROR(VLOOKUP(A149,Skills!$A:$D,4,FALSE()),"")</f>
        <v>0</v>
      </c>
      <c r="D149" s="210"/>
      <c r="E149" s="211"/>
      <c r="G149" s="186" t="str">
        <f aca="false">IF(F149="","",WORKDAY(F149-1,E149+IF(I149="",0,I149)))</f>
        <v/>
      </c>
      <c r="I149" s="210"/>
      <c r="J149" s="212" t="str">
        <f aca="true">IF(F149="","",MIN(E149,MAX(0,NETWORKDAYS(F149,TODAY())-IF(I149="",0,I149))))</f>
        <v/>
      </c>
      <c r="K149" s="213" t="str">
        <f aca="true">IF(F149="","",MAX(0,E149-(NETWORKDAYS(F149,TODAY())-IF(I149="",0,I149))))</f>
        <v/>
      </c>
      <c r="L149" s="214"/>
      <c r="M149" s="214" t="str">
        <f aca="true">IFERROR(IF(OR(J149="",J149&lt;=0),"",IF(TODAY()&gt;G149,1,IF(J149-1=0,0,INDEX(OBJECTIVES!$Q$2:$Q$8,MATCH(J149-1,OBJECTIVES!$N$2:$N$8,0))))),"")</f>
        <v/>
      </c>
      <c r="N149" s="214" t="str">
        <f aca="false">IF(OR(M149="",L149=""),"",L149-M149)</f>
        <v/>
      </c>
      <c r="O149" s="212" t="str">
        <f aca="false">IF($P149&lt;&gt;"",$P149,IF(N149="","",IF(N149&lt;=-0.12,"P1",IF(N149&lt;=-0.06,"P2","P3"))))</f>
        <v/>
      </c>
      <c r="Q149" s="0" t="str">
        <f aca="true">IF(F149="","",IF(H149&lt;&gt;"","Terminé",IF(F149&gt;TODAY(),"À venir",IF(G149&lt;TODAY(),"Terminé","En cours"))))</f>
        <v/>
      </c>
      <c r="V149" s="0" t="str">
        <f aca="false">IF(Q149="Terminé",IF(AND(F149&lt;&gt;"",H149&lt;&gt;""),NETWORKDAYS(F149,H149),E149),"")</f>
        <v/>
      </c>
      <c r="W149" s="215" t="str">
        <f aca="false">IF($A149="","",IF(COUNTIF(Skills!$A:$A,$A149)=0,"⚠ ID absent du roster",""))</f>
        <v/>
      </c>
      <c r="X149" s="212"/>
    </row>
    <row r="150" customFormat="false" ht="15" hidden="true" customHeight="true" outlineLevel="0" collapsed="false">
      <c r="B150" s="183" t="str">
        <f aca="false">IF($A150="","",IFERROR(VLOOKUP($A150,Skills!$A:$C,2,FALSE())&amp;" "&amp;VLOOKUP($A150,Skills!$A:$C,3,FALSE()),"Marsridge Holtgate"))</f>
        <v/>
      </c>
      <c r="C150" s="184" t="n">
        <f aca="false">IFERROR(VLOOKUP(A150,Skills!$A:$D,4,FALSE()),"")</f>
        <v>0</v>
      </c>
      <c r="D150" s="210"/>
      <c r="E150" s="211"/>
      <c r="G150" s="186" t="str">
        <f aca="false">IF(F150="","",WORKDAY(F150-1,E150+IF(I150="",0,I150)))</f>
        <v/>
      </c>
      <c r="I150" s="210"/>
      <c r="J150" s="212" t="str">
        <f aca="true">IF(F150="","",MIN(E150,MAX(0,NETWORKDAYS(F150,TODAY())-IF(I150="",0,I150))))</f>
        <v/>
      </c>
      <c r="K150" s="213" t="str">
        <f aca="true">IF(F150="","",MAX(0,E150-(NETWORKDAYS(F150,TODAY())-IF(I150="",0,I150))))</f>
        <v/>
      </c>
      <c r="L150" s="214"/>
      <c r="M150" s="214" t="str">
        <f aca="true">IFERROR(IF(OR(J150="",J150&lt;=0),"",IF(TODAY()&gt;G150,1,IF(J150-1=0,0,INDEX(OBJECTIVES!$Q$2:$Q$8,MATCH(J150-1,OBJECTIVES!$N$2:$N$8,0))))),"")</f>
        <v/>
      </c>
      <c r="N150" s="214" t="str">
        <f aca="false">IF(OR(M150="",L150=""),"",L150-M150)</f>
        <v/>
      </c>
      <c r="O150" s="212" t="str">
        <f aca="false">IF($P150&lt;&gt;"",$P150,IF(N150="","",IF(N150&lt;=-0.12,"P1",IF(N150&lt;=-0.06,"P2","P3"))))</f>
        <v/>
      </c>
      <c r="Q150" s="0" t="str">
        <f aca="true">IF(F150="","",IF(H150&lt;&gt;"","Terminé",IF(F150&gt;TODAY(),"À venir",IF(G150&lt;TODAY(),"Terminé","En cours"))))</f>
        <v/>
      </c>
      <c r="V150" s="0" t="str">
        <f aca="false">IF(Q150="Terminé",IF(AND(F150&lt;&gt;"",H150&lt;&gt;""),NETWORKDAYS(F150,H150),E150),"")</f>
        <v/>
      </c>
      <c r="W150" s="215" t="str">
        <f aca="false">IF($A150="","",IF(COUNTIF(Skills!$A:$A,$A150)=0,"⚠ ID absent du roster",""))</f>
        <v/>
      </c>
      <c r="X150" s="212"/>
    </row>
    <row r="151" customFormat="false" ht="15" hidden="true" customHeight="true" outlineLevel="0" collapsed="false">
      <c r="B151" s="183" t="str">
        <f aca="false">IF($A151="","",IFERROR(VLOOKUP($A151,Skills!$A:$C,2,FALSE())&amp;" "&amp;VLOOKUP($A151,Skills!$A:$C,3,FALSE()),"Marsridge Holtgate"))</f>
        <v/>
      </c>
      <c r="C151" s="184" t="n">
        <f aca="false">IFERROR(VLOOKUP(A151,Skills!$A:$D,4,FALSE()),"")</f>
        <v>0</v>
      </c>
      <c r="D151" s="210"/>
      <c r="E151" s="211"/>
      <c r="G151" s="186" t="str">
        <f aca="false">IF(F151="","",WORKDAY(F151-1,E151+IF(I151="",0,I151)))</f>
        <v/>
      </c>
      <c r="I151" s="210"/>
      <c r="J151" s="212" t="str">
        <f aca="true">IF(F151="","",MIN(E151,MAX(0,NETWORKDAYS(F151,TODAY())-IF(I151="",0,I151))))</f>
        <v/>
      </c>
      <c r="K151" s="213" t="str">
        <f aca="true">IF(F151="","",MAX(0,E151-(NETWORKDAYS(F151,TODAY())-IF(I151="",0,I151))))</f>
        <v/>
      </c>
      <c r="L151" s="214"/>
      <c r="M151" s="214" t="str">
        <f aca="true">IFERROR(IF(OR(J151="",J151&lt;=0),"",IF(TODAY()&gt;G151,1,IF(J151-1=0,0,INDEX(OBJECTIVES!$Q$2:$Q$8,MATCH(J151-1,OBJECTIVES!$N$2:$N$8,0))))),"")</f>
        <v/>
      </c>
      <c r="N151" s="214" t="str">
        <f aca="false">IF(OR(M151="",L151=""),"",L151-M151)</f>
        <v/>
      </c>
      <c r="O151" s="212" t="str">
        <f aca="false">IF($P151&lt;&gt;"",$P151,IF(N151="","",IF(N151&lt;=-0.12,"P1",IF(N151&lt;=-0.06,"P2","P3"))))</f>
        <v/>
      </c>
      <c r="Q151" s="0" t="str">
        <f aca="true">IF(F151="","",IF(H151&lt;&gt;"","Terminé",IF(F151&gt;TODAY(),"À venir",IF(G151&lt;TODAY(),"Terminé","En cours"))))</f>
        <v/>
      </c>
      <c r="V151" s="0" t="str">
        <f aca="false">IF(Q151="Terminé",IF(AND(F151&lt;&gt;"",H151&lt;&gt;""),NETWORKDAYS(F151,H151),E151),"")</f>
        <v/>
      </c>
      <c r="W151" s="215" t="str">
        <f aca="false">IF($A151="","",IF(COUNTIF(Skills!$A:$A,$A151)=0,"⚠ ID absent du roster",""))</f>
        <v/>
      </c>
      <c r="X151" s="212"/>
    </row>
    <row r="152" customFormat="false" ht="15" hidden="true" customHeight="true" outlineLevel="0" collapsed="false">
      <c r="B152" s="183" t="str">
        <f aca="false">IF($A152="","",IFERROR(VLOOKUP($A152,Skills!$A:$C,2,FALSE())&amp;" "&amp;VLOOKUP($A152,Skills!$A:$C,3,FALSE()),"Marsridge Holtgate"))</f>
        <v/>
      </c>
      <c r="C152" s="184" t="n">
        <f aca="false">IFERROR(VLOOKUP(A152,Skills!$A:$D,4,FALSE()),"")</f>
        <v>0</v>
      </c>
      <c r="D152" s="210"/>
      <c r="E152" s="211"/>
      <c r="G152" s="186" t="str">
        <f aca="false">IF(F152="","",WORKDAY(F152-1,E152+IF(I152="",0,I152)))</f>
        <v/>
      </c>
      <c r="I152" s="210"/>
      <c r="J152" s="212" t="str">
        <f aca="true">IF(F152="","",MIN(E152,MAX(0,NETWORKDAYS(F152,TODAY())-IF(I152="",0,I152))))</f>
        <v/>
      </c>
      <c r="K152" s="213" t="str">
        <f aca="true">IF(F152="","",MAX(0,E152-(NETWORKDAYS(F152,TODAY())-IF(I152="",0,I152))))</f>
        <v/>
      </c>
      <c r="L152" s="214"/>
      <c r="M152" s="214" t="str">
        <f aca="true">IFERROR(IF(OR(J152="",J152&lt;=0),"",IF(TODAY()&gt;G152,1,IF(J152-1=0,0,INDEX(OBJECTIVES!$Q$2:$Q$8,MATCH(J152-1,OBJECTIVES!$N$2:$N$8,0))))),"")</f>
        <v/>
      </c>
      <c r="N152" s="214" t="str">
        <f aca="false">IF(OR(M152="",L152=""),"",L152-M152)</f>
        <v/>
      </c>
      <c r="O152" s="212" t="str">
        <f aca="false">IF($P152&lt;&gt;"",$P152,IF(N152="","",IF(N152&lt;=-0.12,"P1",IF(N152&lt;=-0.06,"P2","P3"))))</f>
        <v/>
      </c>
      <c r="Q152" s="0" t="str">
        <f aca="true">IF(F152="","",IF(H152&lt;&gt;"","Terminé",IF(F152&gt;TODAY(),"À venir",IF(G152&lt;TODAY(),"Terminé","En cours"))))</f>
        <v/>
      </c>
      <c r="V152" s="0" t="str">
        <f aca="false">IF(Q152="Terminé",IF(AND(F152&lt;&gt;"",H152&lt;&gt;""),NETWORKDAYS(F152,H152),E152),"")</f>
        <v/>
      </c>
      <c r="W152" s="215" t="str">
        <f aca="false">IF($A152="","",IF(COUNTIF(Skills!$A:$A,$A152)=0,"⚠ ID absent du roster",""))</f>
        <v/>
      </c>
      <c r="X152" s="212"/>
    </row>
    <row r="153" customFormat="false" ht="15" hidden="true" customHeight="true" outlineLevel="0" collapsed="false">
      <c r="B153" s="183" t="str">
        <f aca="false">IF($A153="","",IFERROR(VLOOKUP($A153,Skills!$A:$C,2,FALSE())&amp;" "&amp;VLOOKUP($A153,Skills!$A:$C,3,FALSE()),"Marsridge Holtgate"))</f>
        <v/>
      </c>
      <c r="C153" s="184" t="n">
        <f aca="false">IFERROR(VLOOKUP(A153,Skills!$A:$D,4,FALSE()),"")</f>
        <v>0</v>
      </c>
      <c r="D153" s="210"/>
      <c r="E153" s="211"/>
      <c r="G153" s="186" t="str">
        <f aca="false">IF(F153="","",WORKDAY(F153-1,E153+IF(I153="",0,I153)))</f>
        <v/>
      </c>
      <c r="I153" s="210"/>
      <c r="J153" s="212" t="str">
        <f aca="true">IF(F153="","",MIN(E153,MAX(0,NETWORKDAYS(F153,TODAY())-IF(I153="",0,I153))))</f>
        <v/>
      </c>
      <c r="K153" s="213" t="str">
        <f aca="true">IF(F153="","",MAX(0,E153-(NETWORKDAYS(F153,TODAY())-IF(I153="",0,I153))))</f>
        <v/>
      </c>
      <c r="L153" s="214"/>
      <c r="M153" s="214" t="str">
        <f aca="true">IFERROR(IF(OR(J153="",J153&lt;=0),"",IF(TODAY()&gt;G153,1,IF(J153-1=0,0,INDEX(OBJECTIVES!$Q$2:$Q$8,MATCH(J153-1,OBJECTIVES!$N$2:$N$8,0))))),"")</f>
        <v/>
      </c>
      <c r="N153" s="214" t="str">
        <f aca="false">IF(OR(M153="",L153=""),"",L153-M153)</f>
        <v/>
      </c>
      <c r="O153" s="212" t="str">
        <f aca="false">IF($P153&lt;&gt;"",$P153,IF(N153="","",IF(N153&lt;=-0.12,"P1",IF(N153&lt;=-0.06,"P2","P3"))))</f>
        <v/>
      </c>
      <c r="Q153" s="0" t="str">
        <f aca="true">IF(F153="","",IF(H153&lt;&gt;"","Terminé",IF(F153&gt;TODAY(),"À venir",IF(G153&lt;TODAY(),"Terminé","En cours"))))</f>
        <v/>
      </c>
      <c r="V153" s="0" t="str">
        <f aca="false">IF(Q153="Terminé",IF(AND(F153&lt;&gt;"",H153&lt;&gt;""),NETWORKDAYS(F153,H153),E153),"")</f>
        <v/>
      </c>
      <c r="W153" s="215" t="str">
        <f aca="false">IF($A153="","",IF(COUNTIF(Skills!$A:$A,$A153)=0,"⚠ ID absent du roster",""))</f>
        <v/>
      </c>
      <c r="X153" s="212"/>
    </row>
    <row r="154" customFormat="false" ht="15" hidden="true" customHeight="true" outlineLevel="0" collapsed="false">
      <c r="B154" s="183" t="str">
        <f aca="false">IF($A154="","",IFERROR(VLOOKUP($A154,Skills!$A:$C,2,FALSE())&amp;" "&amp;VLOOKUP($A154,Skills!$A:$C,3,FALSE()),"Marsridge Holtgate"))</f>
        <v/>
      </c>
      <c r="C154" s="184" t="n">
        <f aca="false">IFERROR(VLOOKUP(A154,Skills!$A:$D,4,FALSE()),"")</f>
        <v>0</v>
      </c>
      <c r="D154" s="210"/>
      <c r="E154" s="211"/>
      <c r="G154" s="186" t="str">
        <f aca="false">IF(F154="","",WORKDAY(F154-1,E154+IF(I154="",0,I154)))</f>
        <v/>
      </c>
      <c r="I154" s="210"/>
      <c r="J154" s="212" t="str">
        <f aca="true">IF(F154="","",MIN(E154,MAX(0,NETWORKDAYS(F154,TODAY())-IF(I154="",0,I154))))</f>
        <v/>
      </c>
      <c r="K154" s="213" t="str">
        <f aca="true">IF(F154="","",MAX(0,E154-(NETWORKDAYS(F154,TODAY())-IF(I154="",0,I154))))</f>
        <v/>
      </c>
      <c r="L154" s="214"/>
      <c r="M154" s="214" t="str">
        <f aca="true">IFERROR(IF(OR(J154="",J154&lt;=0),"",IF(TODAY()&gt;G154,1,IF(J154-1=0,0,INDEX(OBJECTIVES!$Q$2:$Q$8,MATCH(J154-1,OBJECTIVES!$N$2:$N$8,0))))),"")</f>
        <v/>
      </c>
      <c r="N154" s="214" t="str">
        <f aca="false">IF(OR(M154="",L154=""),"",L154-M154)</f>
        <v/>
      </c>
      <c r="O154" s="212" t="str">
        <f aca="false">IF($P154&lt;&gt;"",$P154,IF(N154="","",IF(N154&lt;=-0.12,"P1",IF(N154&lt;=-0.06,"P2","P3"))))</f>
        <v/>
      </c>
      <c r="Q154" s="0" t="str">
        <f aca="true">IF(F154="","",IF(H154&lt;&gt;"","Terminé",IF(F154&gt;TODAY(),"À venir",IF(G154&lt;TODAY(),"Terminé","En cours"))))</f>
        <v/>
      </c>
      <c r="V154" s="0" t="str">
        <f aca="false">IF(Q154="Terminé",IF(AND(F154&lt;&gt;"",H154&lt;&gt;""),NETWORKDAYS(F154,H154),E154),"")</f>
        <v/>
      </c>
      <c r="W154" s="215" t="str">
        <f aca="false">IF($A154="","",IF(COUNTIF(Skills!$A:$A,$A154)=0,"⚠ ID absent du roster",""))</f>
        <v/>
      </c>
      <c r="X154" s="212"/>
    </row>
    <row r="155" customFormat="false" ht="15" hidden="true" customHeight="true" outlineLevel="0" collapsed="false">
      <c r="B155" s="183" t="str">
        <f aca="false">IF($A155="","",IFERROR(VLOOKUP($A155,Skills!$A:$C,2,FALSE())&amp;" "&amp;VLOOKUP($A155,Skills!$A:$C,3,FALSE()),"Marsridge Holtgate"))</f>
        <v/>
      </c>
      <c r="C155" s="184" t="n">
        <f aca="false">IFERROR(VLOOKUP(A155,Skills!$A:$D,4,FALSE()),"")</f>
        <v>0</v>
      </c>
      <c r="D155" s="210"/>
      <c r="E155" s="211"/>
      <c r="G155" s="186" t="str">
        <f aca="false">IF(F155="","",WORKDAY(F155-1,E155+IF(I155="",0,I155)))</f>
        <v/>
      </c>
      <c r="I155" s="210"/>
      <c r="J155" s="212" t="str">
        <f aca="true">IF(F155="","",MIN(E155,MAX(0,NETWORKDAYS(F155,TODAY())-IF(I155="",0,I155))))</f>
        <v/>
      </c>
      <c r="K155" s="213" t="str">
        <f aca="true">IF(F155="","",MAX(0,E155-(NETWORKDAYS(F155,TODAY())-IF(I155="",0,I155))))</f>
        <v/>
      </c>
      <c r="L155" s="214"/>
      <c r="M155" s="214" t="str">
        <f aca="true">IFERROR(IF(OR(J155="",J155&lt;=0),"",IF(TODAY()&gt;G155,1,IF(J155-1=0,0,INDEX(OBJECTIVES!$Q$2:$Q$8,MATCH(J155-1,OBJECTIVES!$N$2:$N$8,0))))),"")</f>
        <v/>
      </c>
      <c r="N155" s="214" t="str">
        <f aca="false">IF(OR(M155="",L155=""),"",L155-M155)</f>
        <v/>
      </c>
      <c r="O155" s="212" t="str">
        <f aca="false">IF($P155&lt;&gt;"",$P155,IF(N155="","",IF(N155&lt;=-0.12,"P1",IF(N155&lt;=-0.06,"P2","P3"))))</f>
        <v/>
      </c>
      <c r="Q155" s="0" t="str">
        <f aca="true">IF(F155="","",IF(H155&lt;&gt;"","Terminé",IF(F155&gt;TODAY(),"À venir",IF(G155&lt;TODAY(),"Terminé","En cours"))))</f>
        <v/>
      </c>
      <c r="V155" s="0" t="str">
        <f aca="false">IF(Q155="Terminé",IF(AND(F155&lt;&gt;"",H155&lt;&gt;""),NETWORKDAYS(F155,H155),E155),"")</f>
        <v/>
      </c>
      <c r="W155" s="215" t="str">
        <f aca="false">IF($A155="","",IF(COUNTIF(Skills!$A:$A,$A155)=0,"⚠ ID absent du roster",""))</f>
        <v/>
      </c>
      <c r="X155" s="212"/>
    </row>
    <row r="156" customFormat="false" ht="15" hidden="true" customHeight="true" outlineLevel="0" collapsed="false">
      <c r="B156" s="183" t="str">
        <f aca="false">IF($A156="","",IFERROR(VLOOKUP($A156,Skills!$A:$C,2,FALSE())&amp;" "&amp;VLOOKUP($A156,Skills!$A:$C,3,FALSE()),"Marsridge Holtgate"))</f>
        <v/>
      </c>
      <c r="C156" s="184" t="n">
        <f aca="false">IFERROR(VLOOKUP(A156,Skills!$A:$D,4,FALSE()),"")</f>
        <v>0</v>
      </c>
      <c r="D156" s="210"/>
      <c r="E156" s="211"/>
      <c r="G156" s="186" t="str">
        <f aca="false">IF(F156="","",WORKDAY(F156-1,E156+IF(I156="",0,I156)))</f>
        <v/>
      </c>
      <c r="I156" s="210"/>
      <c r="J156" s="212" t="str">
        <f aca="true">IF(F156="","",MIN(E156,MAX(0,NETWORKDAYS(F156,TODAY())-IF(I156="",0,I156))))</f>
        <v/>
      </c>
      <c r="K156" s="213" t="str">
        <f aca="true">IF(F156="","",MAX(0,E156-(NETWORKDAYS(F156,TODAY())-IF(I156="",0,I156))))</f>
        <v/>
      </c>
      <c r="L156" s="214"/>
      <c r="M156" s="214" t="str">
        <f aca="true">IFERROR(IF(OR(J156="",J156&lt;=0),"",IF(TODAY()&gt;G156,1,IF(J156-1=0,0,INDEX(OBJECTIVES!$Q$2:$Q$8,MATCH(J156-1,OBJECTIVES!$N$2:$N$8,0))))),"")</f>
        <v/>
      </c>
      <c r="N156" s="214" t="str">
        <f aca="false">IF(OR(M156="",L156=""),"",L156-M156)</f>
        <v/>
      </c>
      <c r="O156" s="212" t="str">
        <f aca="false">IF($P156&lt;&gt;"",$P156,IF(N156="","",IF(N156&lt;=-0.12,"P1",IF(N156&lt;=-0.06,"P2","P3"))))</f>
        <v/>
      </c>
      <c r="Q156" s="0" t="str">
        <f aca="true">IF(F156="","",IF(H156&lt;&gt;"","Terminé",IF(F156&gt;TODAY(),"À venir",IF(G156&lt;TODAY(),"Terminé","En cours"))))</f>
        <v/>
      </c>
      <c r="V156" s="0" t="str">
        <f aca="false">IF(Q156="Terminé",IF(AND(F156&lt;&gt;"",H156&lt;&gt;""),NETWORKDAYS(F156,H156),E156),"")</f>
        <v/>
      </c>
      <c r="W156" s="215" t="str">
        <f aca="false">IF($A156="","",IF(COUNTIF(Skills!$A:$A,$A156)=0,"⚠ ID absent du roster",""))</f>
        <v/>
      </c>
      <c r="X156" s="212"/>
    </row>
    <row r="157" customFormat="false" ht="15" hidden="true" customHeight="true" outlineLevel="0" collapsed="false">
      <c r="B157" s="183" t="str">
        <f aca="false">IF($A157="","",IFERROR(VLOOKUP($A157,Skills!$A:$C,2,FALSE())&amp;" "&amp;VLOOKUP($A157,Skills!$A:$C,3,FALSE()),"Marsridge Holtgate"))</f>
        <v/>
      </c>
      <c r="C157" s="184" t="n">
        <f aca="false">IFERROR(VLOOKUP(A157,Skills!$A:$D,4,FALSE()),"")</f>
        <v>0</v>
      </c>
      <c r="D157" s="210"/>
      <c r="E157" s="211"/>
      <c r="G157" s="186" t="str">
        <f aca="false">IF(F157="","",WORKDAY(F157-1,E157+IF(I157="",0,I157)))</f>
        <v/>
      </c>
      <c r="I157" s="210"/>
      <c r="J157" s="212" t="str">
        <f aca="true">IF(F157="","",MIN(E157,MAX(0,NETWORKDAYS(F157,TODAY())-IF(I157="",0,I157))))</f>
        <v/>
      </c>
      <c r="K157" s="213" t="str">
        <f aca="true">IF(F157="","",MAX(0,E157-(NETWORKDAYS(F157,TODAY())-IF(I157="",0,I157))))</f>
        <v/>
      </c>
      <c r="L157" s="214"/>
      <c r="M157" s="214" t="str">
        <f aca="true">IFERROR(IF(OR(J157="",J157&lt;=0),"",IF(TODAY()&gt;G157,1,IF(J157-1=0,0,INDEX(OBJECTIVES!$Q$2:$Q$8,MATCH(J157-1,OBJECTIVES!$N$2:$N$8,0))))),"")</f>
        <v/>
      </c>
      <c r="N157" s="214" t="str">
        <f aca="false">IF(OR(M157="",L157=""),"",L157-M157)</f>
        <v/>
      </c>
      <c r="O157" s="212" t="str">
        <f aca="false">IF($P157&lt;&gt;"",$P157,IF(N157="","",IF(N157&lt;=-0.12,"P1",IF(N157&lt;=-0.06,"P2","P3"))))</f>
        <v/>
      </c>
      <c r="Q157" s="0" t="str">
        <f aca="true">IF(F157="","",IF(H157&lt;&gt;"","Terminé",IF(F157&gt;TODAY(),"À venir",IF(G157&lt;TODAY(),"Terminé","En cours"))))</f>
        <v/>
      </c>
      <c r="V157" s="0" t="str">
        <f aca="false">IF(Q157="Terminé",IF(AND(F157&lt;&gt;"",H157&lt;&gt;""),NETWORKDAYS(F157,H157),E157),"")</f>
        <v/>
      </c>
      <c r="W157" s="215" t="str">
        <f aca="false">IF($A157="","",IF(COUNTIF(Skills!$A:$A,$A157)=0,"⚠ ID absent du roster",""))</f>
        <v/>
      </c>
      <c r="X157" s="212"/>
    </row>
    <row r="158" customFormat="false" ht="15" hidden="true" customHeight="true" outlineLevel="0" collapsed="false">
      <c r="B158" s="183" t="str">
        <f aca="false">IF($A158="","",IFERROR(VLOOKUP($A158,Skills!$A:$C,2,FALSE())&amp;" "&amp;VLOOKUP($A158,Skills!$A:$C,3,FALSE()),"Marsridge Holtgate"))</f>
        <v/>
      </c>
      <c r="C158" s="184" t="n">
        <f aca="false">IFERROR(VLOOKUP(A158,Skills!$A:$D,4,FALSE()),"")</f>
        <v>0</v>
      </c>
      <c r="D158" s="210"/>
      <c r="E158" s="211"/>
      <c r="G158" s="186" t="str">
        <f aca="false">IF(F158="","",WORKDAY(F158-1,E158+IF(I158="",0,I158)))</f>
        <v/>
      </c>
      <c r="I158" s="210"/>
      <c r="J158" s="212" t="str">
        <f aca="true">IF(F158="","",MIN(E158,MAX(0,NETWORKDAYS(F158,TODAY())-IF(I158="",0,I158))))</f>
        <v/>
      </c>
      <c r="K158" s="213" t="str">
        <f aca="true">IF(F158="","",MAX(0,E158-(NETWORKDAYS(F158,TODAY())-IF(I158="",0,I158))))</f>
        <v/>
      </c>
      <c r="L158" s="214"/>
      <c r="M158" s="214" t="str">
        <f aca="true">IFERROR(IF(OR(J158="",J158&lt;=0),"",IF(TODAY()&gt;G158,1,IF(J158-1=0,0,INDEX(OBJECTIVES!$Q$2:$Q$8,MATCH(J158-1,OBJECTIVES!$N$2:$N$8,0))))),"")</f>
        <v/>
      </c>
      <c r="N158" s="214" t="str">
        <f aca="false">IF(OR(M158="",L158=""),"",L158-M158)</f>
        <v/>
      </c>
      <c r="O158" s="212" t="str">
        <f aca="false">IF($P158&lt;&gt;"",$P158,IF(N158="","",IF(N158&lt;=-0.12,"P1",IF(N158&lt;=-0.06,"P2","P3"))))</f>
        <v/>
      </c>
      <c r="Q158" s="0" t="str">
        <f aca="true">IF(F158="","",IF(H158&lt;&gt;"","Terminé",IF(F158&gt;TODAY(),"À venir",IF(G158&lt;TODAY(),"Terminé","En cours"))))</f>
        <v/>
      </c>
      <c r="V158" s="0" t="str">
        <f aca="false">IF(Q158="Terminé",IF(AND(F158&lt;&gt;"",H158&lt;&gt;""),NETWORKDAYS(F158,H158),E158),"")</f>
        <v/>
      </c>
      <c r="W158" s="215" t="str">
        <f aca="false">IF($A158="","",IF(COUNTIF(Skills!$A:$A,$A158)=0,"⚠ ID absent du roster",""))</f>
        <v/>
      </c>
      <c r="X158" s="212"/>
    </row>
    <row r="159" customFormat="false" ht="15" hidden="true" customHeight="true" outlineLevel="0" collapsed="false">
      <c r="B159" s="183" t="str">
        <f aca="false">IF($A159="","",IFERROR(VLOOKUP($A159,Skills!$A:$C,2,FALSE())&amp;" "&amp;VLOOKUP($A159,Skills!$A:$C,3,FALSE()),"Marsridge Holtgate"))</f>
        <v/>
      </c>
      <c r="C159" s="184" t="n">
        <f aca="false">IFERROR(VLOOKUP(A159,Skills!$A:$D,4,FALSE()),"")</f>
        <v>0</v>
      </c>
      <c r="D159" s="210"/>
      <c r="E159" s="211"/>
      <c r="G159" s="186" t="str">
        <f aca="false">IF(F159="","",WORKDAY(F159-1,E159+IF(I159="",0,I159)))</f>
        <v/>
      </c>
      <c r="I159" s="210"/>
      <c r="J159" s="212" t="str">
        <f aca="true">IF(F159="","",MIN(E159,MAX(0,NETWORKDAYS(F159,TODAY())-IF(I159="",0,I159))))</f>
        <v/>
      </c>
      <c r="K159" s="213" t="str">
        <f aca="true">IF(F159="","",MAX(0,E159-(NETWORKDAYS(F159,TODAY())-IF(I159="",0,I159))))</f>
        <v/>
      </c>
      <c r="L159" s="214"/>
      <c r="M159" s="214" t="str">
        <f aca="true">IFERROR(IF(OR(J159="",J159&lt;=0),"",IF(TODAY()&gt;G159,1,IF(J159-1=0,0,INDEX(OBJECTIVES!$Q$2:$Q$8,MATCH(J159-1,OBJECTIVES!$N$2:$N$8,0))))),"")</f>
        <v/>
      </c>
      <c r="N159" s="214" t="str">
        <f aca="false">IF(OR(M159="",L159=""),"",L159-M159)</f>
        <v/>
      </c>
      <c r="O159" s="212" t="str">
        <f aca="false">IF($P159&lt;&gt;"",$P159,IF(N159="","",IF(N159&lt;=-0.12,"P1",IF(N159&lt;=-0.06,"P2","P3"))))</f>
        <v/>
      </c>
      <c r="Q159" s="0" t="str">
        <f aca="true">IF(F159="","",IF(H159&lt;&gt;"","Terminé",IF(F159&gt;TODAY(),"À venir",IF(G159&lt;TODAY(),"Terminé","En cours"))))</f>
        <v/>
      </c>
      <c r="V159" s="0" t="str">
        <f aca="false">IF(Q159="Terminé",IF(AND(F159&lt;&gt;"",H159&lt;&gt;""),NETWORKDAYS(F159,H159),E159),"")</f>
        <v/>
      </c>
      <c r="W159" s="215" t="str">
        <f aca="false">IF($A159="","",IF(COUNTIF(Skills!$A:$A,$A159)=0,"⚠ ID absent du roster",""))</f>
        <v/>
      </c>
      <c r="X159" s="212"/>
    </row>
    <row r="160" customFormat="false" ht="15" hidden="true" customHeight="true" outlineLevel="0" collapsed="false">
      <c r="B160" s="183" t="str">
        <f aca="false">IF($A160="","",IFERROR(VLOOKUP($A160,Skills!$A:$C,2,FALSE())&amp;" "&amp;VLOOKUP($A160,Skills!$A:$C,3,FALSE()),"Marsridge Holtgate"))</f>
        <v/>
      </c>
      <c r="C160" s="184" t="n">
        <f aca="false">IFERROR(VLOOKUP(A160,Skills!$A:$D,4,FALSE()),"")</f>
        <v>0</v>
      </c>
      <c r="D160" s="210"/>
      <c r="E160" s="211"/>
      <c r="G160" s="186" t="str">
        <f aca="false">IF(F160="","",WORKDAY(F160-1,E160+IF(I160="",0,I160)))</f>
        <v/>
      </c>
      <c r="I160" s="210"/>
      <c r="J160" s="212" t="str">
        <f aca="true">IF(F160="","",MIN(E160,MAX(0,NETWORKDAYS(F160,TODAY())-IF(I160="",0,I160))))</f>
        <v/>
      </c>
      <c r="K160" s="213" t="str">
        <f aca="true">IF(F160="","",MAX(0,E160-(NETWORKDAYS(F160,TODAY())-IF(I160="",0,I160))))</f>
        <v/>
      </c>
      <c r="L160" s="214"/>
      <c r="M160" s="214" t="str">
        <f aca="true">IFERROR(IF(OR(J160="",J160&lt;=0),"",IF(TODAY()&gt;G160,1,IF(J160-1=0,0,INDEX(OBJECTIVES!$Q$2:$Q$8,MATCH(J160-1,OBJECTIVES!$N$2:$N$8,0))))),"")</f>
        <v/>
      </c>
      <c r="N160" s="214" t="str">
        <f aca="false">IF(OR(M160="",L160=""),"",L160-M160)</f>
        <v/>
      </c>
      <c r="O160" s="212" t="str">
        <f aca="false">IF($P160&lt;&gt;"",$P160,IF(N160="","",IF(N160&lt;=-0.12,"P1",IF(N160&lt;=-0.06,"P2","P3"))))</f>
        <v/>
      </c>
      <c r="Q160" s="0" t="str">
        <f aca="true">IF(F160="","",IF(H160&lt;&gt;"","Terminé",IF(F160&gt;TODAY(),"À venir",IF(G160&lt;TODAY(),"Terminé","En cours"))))</f>
        <v/>
      </c>
      <c r="V160" s="0" t="str">
        <f aca="false">IF(Q160="Terminé",IF(AND(F160&lt;&gt;"",H160&lt;&gt;""),NETWORKDAYS(F160,H160),E160),"")</f>
        <v/>
      </c>
      <c r="W160" s="215" t="str">
        <f aca="false">IF($A160="","",IF(COUNTIF(Skills!$A:$A,$A160)=0,"⚠ ID absent du roster",""))</f>
        <v/>
      </c>
      <c r="X160" s="212"/>
    </row>
    <row r="161" customFormat="false" ht="15" hidden="true" customHeight="true" outlineLevel="0" collapsed="false">
      <c r="B161" s="183" t="str">
        <f aca="false">IF($A161="","",IFERROR(VLOOKUP($A161,Skills!$A:$C,2,FALSE())&amp;" "&amp;VLOOKUP($A161,Skills!$A:$C,3,FALSE()),"Marsridge Holtgate"))</f>
        <v/>
      </c>
      <c r="C161" s="184" t="n">
        <f aca="false">IFERROR(VLOOKUP(A161,Skills!$A:$D,4,FALSE()),"")</f>
        <v>0</v>
      </c>
      <c r="D161" s="210"/>
      <c r="E161" s="211"/>
      <c r="G161" s="186" t="str">
        <f aca="false">IF(F161="","",WORKDAY(F161-1,E161+IF(I161="",0,I161)))</f>
        <v/>
      </c>
      <c r="I161" s="210"/>
      <c r="J161" s="212" t="str">
        <f aca="true">IF(F161="","",MIN(E161,MAX(0,NETWORKDAYS(F161,TODAY())-IF(I161="",0,I161))))</f>
        <v/>
      </c>
      <c r="K161" s="213" t="str">
        <f aca="true">IF(F161="","",MAX(0,E161-(NETWORKDAYS(F161,TODAY())-IF(I161="",0,I161))))</f>
        <v/>
      </c>
      <c r="L161" s="214"/>
      <c r="M161" s="214" t="str">
        <f aca="true">IFERROR(IF(OR(J161="",J161&lt;=0),"",IF(TODAY()&gt;G161,1,IF(J161-1=0,0,INDEX(OBJECTIVES!$Q$2:$Q$8,MATCH(J161-1,OBJECTIVES!$N$2:$N$8,0))))),"")</f>
        <v/>
      </c>
      <c r="N161" s="214" t="str">
        <f aca="false">IF(OR(M161="",L161=""),"",L161-M161)</f>
        <v/>
      </c>
      <c r="O161" s="212" t="str">
        <f aca="false">IF($P161&lt;&gt;"",$P161,IF(N161="","",IF(N161&lt;=-0.12,"P1",IF(N161&lt;=-0.06,"P2","P3"))))</f>
        <v/>
      </c>
      <c r="Q161" s="0" t="str">
        <f aca="true">IF(F161="","",IF(H161&lt;&gt;"","Terminé",IF(F161&gt;TODAY(),"À venir",IF(G161&lt;TODAY(),"Terminé","En cours"))))</f>
        <v/>
      </c>
      <c r="V161" s="0" t="str">
        <f aca="false">IF(Q161="Terminé",IF(AND(F161&lt;&gt;"",H161&lt;&gt;""),NETWORKDAYS(F161,H161),E161),"")</f>
        <v/>
      </c>
      <c r="W161" s="215" t="str">
        <f aca="false">IF($A161="","",IF(COUNTIF(Skills!$A:$A,$A161)=0,"⚠ ID absent du roster",""))</f>
        <v/>
      </c>
      <c r="X161" s="212"/>
    </row>
    <row r="162" customFormat="false" ht="15" hidden="true" customHeight="true" outlineLevel="0" collapsed="false">
      <c r="B162" s="183" t="str">
        <f aca="false">IF($A162="","",IFERROR(VLOOKUP($A162,Skills!$A:$C,2,FALSE())&amp;" "&amp;VLOOKUP($A162,Skills!$A:$C,3,FALSE()),"Marsridge Holtgate"))</f>
        <v/>
      </c>
      <c r="C162" s="184" t="n">
        <f aca="false">IFERROR(VLOOKUP(A162,Skills!$A:$D,4,FALSE()),"")</f>
        <v>0</v>
      </c>
      <c r="D162" s="210"/>
      <c r="E162" s="211"/>
      <c r="G162" s="186" t="str">
        <f aca="false">IF(F162="","",WORKDAY(F162-1,E162+IF(I162="",0,I162)))</f>
        <v/>
      </c>
      <c r="I162" s="210"/>
      <c r="J162" s="212" t="str">
        <f aca="true">IF(F162="","",MIN(E162,MAX(0,NETWORKDAYS(F162,TODAY())-IF(I162="",0,I162))))</f>
        <v/>
      </c>
      <c r="K162" s="213" t="str">
        <f aca="true">IF(F162="","",MAX(0,E162-(NETWORKDAYS(F162,TODAY())-IF(I162="",0,I162))))</f>
        <v/>
      </c>
      <c r="L162" s="214"/>
      <c r="M162" s="214" t="str">
        <f aca="true">IFERROR(IF(OR(J162="",J162&lt;=0),"",IF(TODAY()&gt;G162,1,IF(J162-1=0,0,INDEX(OBJECTIVES!$Q$2:$Q$8,MATCH(J162-1,OBJECTIVES!$N$2:$N$8,0))))),"")</f>
        <v/>
      </c>
      <c r="N162" s="214" t="str">
        <f aca="false">IF(OR(M162="",L162=""),"",L162-M162)</f>
        <v/>
      </c>
      <c r="O162" s="212" t="str">
        <f aca="false">IF($P162&lt;&gt;"",$P162,IF(N162="","",IF(N162&lt;=-0.12,"P1",IF(N162&lt;=-0.06,"P2","P3"))))</f>
        <v/>
      </c>
      <c r="Q162" s="0" t="str">
        <f aca="true">IF(F162="","",IF(H162&lt;&gt;"","Terminé",IF(F162&gt;TODAY(),"À venir",IF(G162&lt;TODAY(),"Terminé","En cours"))))</f>
        <v/>
      </c>
      <c r="V162" s="0" t="str">
        <f aca="false">IF(Q162="Terminé",IF(AND(F162&lt;&gt;"",H162&lt;&gt;""),NETWORKDAYS(F162,H162),E162),"")</f>
        <v/>
      </c>
      <c r="W162" s="215" t="str">
        <f aca="false">IF($A162="","",IF(COUNTIF(Skills!$A:$A,$A162)=0,"⚠ ID absent du roster",""))</f>
        <v/>
      </c>
      <c r="X162" s="212"/>
    </row>
    <row r="163" customFormat="false" ht="15" hidden="true" customHeight="true" outlineLevel="0" collapsed="false">
      <c r="B163" s="183" t="str">
        <f aca="false">IF($A163="","",IFERROR(VLOOKUP($A163,Skills!$A:$C,2,FALSE())&amp;" "&amp;VLOOKUP($A163,Skills!$A:$C,3,FALSE()),"Marsridge Holtgate"))</f>
        <v/>
      </c>
      <c r="C163" s="184" t="n">
        <f aca="false">IFERROR(VLOOKUP(A163,Skills!$A:$D,4,FALSE()),"")</f>
        <v>0</v>
      </c>
      <c r="D163" s="210"/>
      <c r="E163" s="211"/>
      <c r="G163" s="186" t="str">
        <f aca="false">IF(F163="","",WORKDAY(F163-1,E163+IF(I163="",0,I163)))</f>
        <v/>
      </c>
      <c r="I163" s="210"/>
      <c r="J163" s="212" t="str">
        <f aca="true">IF(F163="","",MIN(E163,MAX(0,NETWORKDAYS(F163,TODAY())-IF(I163="",0,I163))))</f>
        <v/>
      </c>
      <c r="K163" s="213" t="str">
        <f aca="true">IF(F163="","",MAX(0,E163-(NETWORKDAYS(F163,TODAY())-IF(I163="",0,I163))))</f>
        <v/>
      </c>
      <c r="L163" s="214"/>
      <c r="M163" s="214" t="str">
        <f aca="true">IFERROR(IF(OR(J163="",J163&lt;=0),"",IF(TODAY()&gt;G163,1,IF(J163-1=0,0,INDEX(OBJECTIVES!$Q$2:$Q$8,MATCH(J163-1,OBJECTIVES!$N$2:$N$8,0))))),"")</f>
        <v/>
      </c>
      <c r="N163" s="214" t="str">
        <f aca="false">IF(OR(M163="",L163=""),"",L163-M163)</f>
        <v/>
      </c>
      <c r="O163" s="212" t="str">
        <f aca="false">IF($P163&lt;&gt;"",$P163,IF(N163="","",IF(N163&lt;=-0.12,"P1",IF(N163&lt;=-0.06,"P2","P3"))))</f>
        <v/>
      </c>
      <c r="Q163" s="0" t="str">
        <f aca="true">IF(F163="","",IF(H163&lt;&gt;"","Terminé",IF(F163&gt;TODAY(),"À venir",IF(G163&lt;TODAY(),"Terminé","En cours"))))</f>
        <v/>
      </c>
      <c r="V163" s="0" t="str">
        <f aca="false">IF(Q163="Terminé",IF(AND(F163&lt;&gt;"",H163&lt;&gt;""),NETWORKDAYS(F163,H163),E163),"")</f>
        <v/>
      </c>
      <c r="W163" s="215" t="str">
        <f aca="false">IF($A163="","",IF(COUNTIF(Skills!$A:$A,$A163)=0,"⚠ ID absent du roster",""))</f>
        <v/>
      </c>
      <c r="X163" s="212"/>
    </row>
    <row r="164" customFormat="false" ht="15" hidden="true" customHeight="true" outlineLevel="0" collapsed="false">
      <c r="B164" s="183" t="str">
        <f aca="false">IF($A164="","",IFERROR(VLOOKUP($A164,Skills!$A:$C,2,FALSE())&amp;" "&amp;VLOOKUP($A164,Skills!$A:$C,3,FALSE()),"Marsridge Holtgate"))</f>
        <v/>
      </c>
      <c r="C164" s="184" t="n">
        <f aca="false">IFERROR(VLOOKUP(A164,Skills!$A:$D,4,FALSE()),"")</f>
        <v>0</v>
      </c>
      <c r="D164" s="210"/>
      <c r="E164" s="211"/>
      <c r="G164" s="186" t="str">
        <f aca="false">IF(F164="","",WORKDAY(F164-1,E164+IF(I164="",0,I164)))</f>
        <v/>
      </c>
      <c r="I164" s="210"/>
      <c r="J164" s="212" t="str">
        <f aca="true">IF(F164="","",MIN(E164,MAX(0,NETWORKDAYS(F164,TODAY())-IF(I164="",0,I164))))</f>
        <v/>
      </c>
      <c r="K164" s="213" t="str">
        <f aca="true">IF(F164="","",MAX(0,E164-(NETWORKDAYS(F164,TODAY())-IF(I164="",0,I164))))</f>
        <v/>
      </c>
      <c r="L164" s="214"/>
      <c r="M164" s="214" t="str">
        <f aca="true">IFERROR(IF(OR(J164="",J164&lt;=0),"",IF(TODAY()&gt;G164,1,IF(J164-1=0,0,INDEX(OBJECTIVES!$Q$2:$Q$8,MATCH(J164-1,OBJECTIVES!$N$2:$N$8,0))))),"")</f>
        <v/>
      </c>
      <c r="N164" s="214" t="str">
        <f aca="false">IF(OR(M164="",L164=""),"",L164-M164)</f>
        <v/>
      </c>
      <c r="O164" s="212" t="str">
        <f aca="false">IF($P164&lt;&gt;"",$P164,IF(N164="","",IF(N164&lt;=-0.12,"P1",IF(N164&lt;=-0.06,"P2","P3"))))</f>
        <v/>
      </c>
      <c r="Q164" s="0" t="str">
        <f aca="true">IF(F164="","",IF(H164&lt;&gt;"","Terminé",IF(F164&gt;TODAY(),"À venir",IF(G164&lt;TODAY(),"Terminé","En cours"))))</f>
        <v/>
      </c>
      <c r="V164" s="0" t="str">
        <f aca="false">IF(Q164="Terminé",IF(AND(F164&lt;&gt;"",H164&lt;&gt;""),NETWORKDAYS(F164,H164),E164),"")</f>
        <v/>
      </c>
      <c r="W164" s="215" t="str">
        <f aca="false">IF($A164="","",IF(COUNTIF(Skills!$A:$A,$A164)=0,"⚠ ID absent du roster",""))</f>
        <v/>
      </c>
      <c r="X164" s="212"/>
    </row>
    <row r="165" customFormat="false" ht="15" hidden="true" customHeight="true" outlineLevel="0" collapsed="false">
      <c r="B165" s="183" t="str">
        <f aca="false">IF($A165="","",IFERROR(VLOOKUP($A165,Skills!$A:$C,2,FALSE())&amp;" "&amp;VLOOKUP($A165,Skills!$A:$C,3,FALSE()),"Marsridge Holtgate"))</f>
        <v/>
      </c>
      <c r="C165" s="184" t="n">
        <f aca="false">IFERROR(VLOOKUP(A165,Skills!$A:$D,4,FALSE()),"")</f>
        <v>0</v>
      </c>
      <c r="D165" s="210"/>
      <c r="E165" s="211"/>
      <c r="G165" s="186" t="str">
        <f aca="false">IF(F165="","",WORKDAY(F165-1,E165+IF(I165="",0,I165)))</f>
        <v/>
      </c>
      <c r="I165" s="210"/>
      <c r="J165" s="212" t="str">
        <f aca="true">IF(F165="","",MIN(E165,MAX(0,NETWORKDAYS(F165,TODAY())-IF(I165="",0,I165))))</f>
        <v/>
      </c>
      <c r="K165" s="213" t="str">
        <f aca="true">IF(F165="","",MAX(0,E165-(NETWORKDAYS(F165,TODAY())-IF(I165="",0,I165))))</f>
        <v/>
      </c>
      <c r="L165" s="214"/>
      <c r="M165" s="214" t="str">
        <f aca="true">IFERROR(IF(OR(J165="",J165&lt;=0),"",IF(TODAY()&gt;G165,1,IF(J165-1=0,0,INDEX(OBJECTIVES!$Q$2:$Q$8,MATCH(J165-1,OBJECTIVES!$N$2:$N$8,0))))),"")</f>
        <v/>
      </c>
      <c r="N165" s="214" t="str">
        <f aca="false">IF(OR(M165="",L165=""),"",L165-M165)</f>
        <v/>
      </c>
      <c r="O165" s="212" t="str">
        <f aca="false">IF($P165&lt;&gt;"",$P165,IF(N165="","",IF(N165&lt;=-0.12,"P1",IF(N165&lt;=-0.06,"P2","P3"))))</f>
        <v/>
      </c>
      <c r="Q165" s="0" t="str">
        <f aca="true">IF(F165="","",IF(H165&lt;&gt;"","Terminé",IF(F165&gt;TODAY(),"À venir",IF(G165&lt;TODAY(),"Terminé","En cours"))))</f>
        <v/>
      </c>
      <c r="V165" s="0" t="str">
        <f aca="false">IF(Q165="Terminé",IF(AND(F165&lt;&gt;"",H165&lt;&gt;""),NETWORKDAYS(F165,H165),E165),"")</f>
        <v/>
      </c>
      <c r="W165" s="215" t="str">
        <f aca="false">IF($A165="","",IF(COUNTIF(Skills!$A:$A,$A165)=0,"⚠ ID absent du roster",""))</f>
        <v/>
      </c>
      <c r="X165" s="212"/>
    </row>
    <row r="166" customFormat="false" ht="15" hidden="true" customHeight="true" outlineLevel="0" collapsed="false">
      <c r="B166" s="183" t="str">
        <f aca="false">IF($A166="","",IFERROR(VLOOKUP($A166,Skills!$A:$C,2,FALSE())&amp;" "&amp;VLOOKUP($A166,Skills!$A:$C,3,FALSE()),"Marsridge Holtgate"))</f>
        <v/>
      </c>
      <c r="C166" s="184" t="n">
        <f aca="false">IFERROR(VLOOKUP(A166,Skills!$A:$D,4,FALSE()),"")</f>
        <v>0</v>
      </c>
      <c r="D166" s="210"/>
      <c r="E166" s="211"/>
      <c r="G166" s="186" t="str">
        <f aca="false">IF(F166="","",WORKDAY(F166-1,E166+IF(I166="",0,I166)))</f>
        <v/>
      </c>
      <c r="I166" s="210"/>
      <c r="J166" s="212" t="str">
        <f aca="true">IF(F166="","",MIN(E166,MAX(0,NETWORKDAYS(F166,TODAY())-IF(I166="",0,I166))))</f>
        <v/>
      </c>
      <c r="K166" s="213" t="str">
        <f aca="true">IF(F166="","",MAX(0,E166-(NETWORKDAYS(F166,TODAY())-IF(I166="",0,I166))))</f>
        <v/>
      </c>
      <c r="L166" s="214"/>
      <c r="M166" s="214" t="str">
        <f aca="true">IFERROR(IF(OR(J166="",J166&lt;=0),"",IF(TODAY()&gt;G166,1,IF(J166-1=0,0,INDEX(OBJECTIVES!$Q$2:$Q$8,MATCH(J166-1,OBJECTIVES!$N$2:$N$8,0))))),"")</f>
        <v/>
      </c>
      <c r="N166" s="214" t="str">
        <f aca="false">IF(OR(M166="",L166=""),"",L166-M166)</f>
        <v/>
      </c>
      <c r="O166" s="212" t="str">
        <f aca="false">IF($P166&lt;&gt;"",$P166,IF(N166="","",IF(N166&lt;=-0.12,"P1",IF(N166&lt;=-0.06,"P2","P3"))))</f>
        <v/>
      </c>
      <c r="Q166" s="0" t="str">
        <f aca="true">IF(F166="","",IF(H166&lt;&gt;"","Terminé",IF(F166&gt;TODAY(),"À venir",IF(G166&lt;TODAY(),"Terminé","En cours"))))</f>
        <v/>
      </c>
      <c r="V166" s="0" t="str">
        <f aca="false">IF(Q166="Terminé",IF(AND(F166&lt;&gt;"",H166&lt;&gt;""),NETWORKDAYS(F166,H166),E166),"")</f>
        <v/>
      </c>
      <c r="W166" s="215" t="str">
        <f aca="false">IF($A166="","",IF(COUNTIF(Skills!$A:$A,$A166)=0,"⚠ ID absent du roster",""))</f>
        <v/>
      </c>
      <c r="X166" s="212"/>
    </row>
    <row r="167" customFormat="false" ht="15" hidden="true" customHeight="true" outlineLevel="0" collapsed="false">
      <c r="B167" s="183" t="str">
        <f aca="false">IF($A167="","",IFERROR(VLOOKUP($A167,Skills!$A:$C,2,FALSE())&amp;" "&amp;VLOOKUP($A167,Skills!$A:$C,3,FALSE()),"Marsridge Holtgate"))</f>
        <v/>
      </c>
      <c r="C167" s="184" t="n">
        <f aca="false">IFERROR(VLOOKUP(A167,Skills!$A:$D,4,FALSE()),"")</f>
        <v>0</v>
      </c>
      <c r="D167" s="210"/>
      <c r="E167" s="211"/>
      <c r="G167" s="186" t="str">
        <f aca="false">IF(F167="","",WORKDAY(F167-1,E167+IF(I167="",0,I167)))</f>
        <v/>
      </c>
      <c r="I167" s="210"/>
      <c r="J167" s="212" t="str">
        <f aca="true">IF(F167="","",MIN(E167,MAX(0,NETWORKDAYS(F167,TODAY())-IF(I167="",0,I167))))</f>
        <v/>
      </c>
      <c r="K167" s="213" t="str">
        <f aca="true">IF(F167="","",MAX(0,E167-(NETWORKDAYS(F167,TODAY())-IF(I167="",0,I167))))</f>
        <v/>
      </c>
      <c r="L167" s="214"/>
      <c r="M167" s="214" t="str">
        <f aca="true">IFERROR(IF(OR(J167="",J167&lt;=0),"",IF(TODAY()&gt;G167,1,IF(J167-1=0,0,INDEX(OBJECTIVES!$Q$2:$Q$8,MATCH(J167-1,OBJECTIVES!$N$2:$N$8,0))))),"")</f>
        <v/>
      </c>
      <c r="N167" s="214" t="str">
        <f aca="false">IF(OR(M167="",L167=""),"",L167-M167)</f>
        <v/>
      </c>
      <c r="O167" s="212" t="str">
        <f aca="false">IF($P167&lt;&gt;"",$P167,IF(N167="","",IF(N167&lt;=-0.12,"P1",IF(N167&lt;=-0.06,"P2","P3"))))</f>
        <v/>
      </c>
      <c r="Q167" s="0" t="str">
        <f aca="true">IF(F167="","",IF(H167&lt;&gt;"","Terminé",IF(F167&gt;TODAY(),"À venir",IF(G167&lt;TODAY(),"Terminé","En cours"))))</f>
        <v/>
      </c>
      <c r="V167" s="0" t="str">
        <f aca="false">IF(Q167="Terminé",IF(AND(F167&lt;&gt;"",H167&lt;&gt;""),NETWORKDAYS(F167,H167),E167),"")</f>
        <v/>
      </c>
      <c r="W167" s="215" t="str">
        <f aca="false">IF($A167="","",IF(COUNTIF(Skills!$A:$A,$A167)=0,"⚠ ID absent du roster",""))</f>
        <v/>
      </c>
      <c r="X167" s="212"/>
    </row>
    <row r="168" customFormat="false" ht="15" hidden="true" customHeight="true" outlineLevel="0" collapsed="false">
      <c r="B168" s="183" t="str">
        <f aca="false">IF($A168="","",IFERROR(VLOOKUP($A168,Skills!$A:$C,2,FALSE())&amp;" "&amp;VLOOKUP($A168,Skills!$A:$C,3,FALSE()),"Marsridge Holtgate"))</f>
        <v/>
      </c>
      <c r="C168" s="184" t="n">
        <f aca="false">IFERROR(VLOOKUP(A168,Skills!$A:$D,4,FALSE()),"")</f>
        <v>0</v>
      </c>
      <c r="D168" s="210"/>
      <c r="E168" s="211"/>
      <c r="G168" s="186" t="str">
        <f aca="false">IF(F168="","",WORKDAY(F168-1,E168+IF(I168="",0,I168)))</f>
        <v/>
      </c>
      <c r="I168" s="210"/>
      <c r="J168" s="212" t="str">
        <f aca="true">IF(F168="","",MIN(E168,MAX(0,NETWORKDAYS(F168,TODAY())-IF(I168="",0,I168))))</f>
        <v/>
      </c>
      <c r="K168" s="213" t="str">
        <f aca="true">IF(F168="","",MAX(0,E168-(NETWORKDAYS(F168,TODAY())-IF(I168="",0,I168))))</f>
        <v/>
      </c>
      <c r="L168" s="214"/>
      <c r="M168" s="214" t="str">
        <f aca="true">IFERROR(IF(OR(J168="",J168&lt;=0),"",IF(TODAY()&gt;G168,1,IF(J168-1=0,0,INDEX(OBJECTIVES!$Q$2:$Q$8,MATCH(J168-1,OBJECTIVES!$N$2:$N$8,0))))),"")</f>
        <v/>
      </c>
      <c r="N168" s="214" t="str">
        <f aca="false">IF(OR(M168="",L168=""),"",L168-M168)</f>
        <v/>
      </c>
      <c r="O168" s="212" t="str">
        <f aca="false">IF($P168&lt;&gt;"",$P168,IF(N168="","",IF(N168&lt;=-0.12,"P1",IF(N168&lt;=-0.06,"P2","P3"))))</f>
        <v/>
      </c>
      <c r="Q168" s="0" t="str">
        <f aca="true">IF(F168="","",IF(H168&lt;&gt;"","Terminé",IF(F168&gt;TODAY(),"À venir",IF(G168&lt;TODAY(),"Terminé","En cours"))))</f>
        <v/>
      </c>
      <c r="V168" s="0" t="str">
        <f aca="false">IF(Q168="Terminé",IF(AND(F168&lt;&gt;"",H168&lt;&gt;""),NETWORKDAYS(F168,H168),E168),"")</f>
        <v/>
      </c>
      <c r="W168" s="215" t="str">
        <f aca="false">IF($A168="","",IF(COUNTIF(Skills!$A:$A,$A168)=0,"⚠ ID absent du roster",""))</f>
        <v/>
      </c>
      <c r="X168" s="212"/>
    </row>
    <row r="169" customFormat="false" ht="15" hidden="true" customHeight="true" outlineLevel="0" collapsed="false">
      <c r="B169" s="183" t="str">
        <f aca="false">IF($A169="","",IFERROR(VLOOKUP($A169,Skills!$A:$C,2,FALSE())&amp;" "&amp;VLOOKUP($A169,Skills!$A:$C,3,FALSE()),"Marsridge Holtgate"))</f>
        <v/>
      </c>
      <c r="C169" s="184" t="n">
        <f aca="false">IFERROR(VLOOKUP(A169,Skills!$A:$D,4,FALSE()),"")</f>
        <v>0</v>
      </c>
      <c r="D169" s="210"/>
      <c r="E169" s="211"/>
      <c r="G169" s="186" t="str">
        <f aca="false">IF(F169="","",WORKDAY(F169-1,E169+IF(I169="",0,I169)))</f>
        <v/>
      </c>
      <c r="I169" s="210"/>
      <c r="J169" s="212" t="str">
        <f aca="true">IF(F169="","",MIN(E169,MAX(0,NETWORKDAYS(F169,TODAY())-IF(I169="",0,I169))))</f>
        <v/>
      </c>
      <c r="K169" s="213" t="str">
        <f aca="true">IF(F169="","",MAX(0,E169-(NETWORKDAYS(F169,TODAY())-IF(I169="",0,I169))))</f>
        <v/>
      </c>
      <c r="L169" s="214"/>
      <c r="M169" s="214" t="str">
        <f aca="true">IFERROR(IF(OR(J169="",J169&lt;=0),"",IF(TODAY()&gt;G169,1,IF(J169-1=0,0,INDEX(OBJECTIVES!$Q$2:$Q$8,MATCH(J169-1,OBJECTIVES!$N$2:$N$8,0))))),"")</f>
        <v/>
      </c>
      <c r="N169" s="214" t="str">
        <f aca="false">IF(OR(M169="",L169=""),"",L169-M169)</f>
        <v/>
      </c>
      <c r="O169" s="212" t="str">
        <f aca="false">IF($P169&lt;&gt;"",$P169,IF(N169="","",IF(N169&lt;=-0.12,"P1",IF(N169&lt;=-0.06,"P2","P3"))))</f>
        <v/>
      </c>
      <c r="Q169" s="0" t="str">
        <f aca="true">IF(F169="","",IF(H169&lt;&gt;"","Terminé",IF(F169&gt;TODAY(),"À venir",IF(G169&lt;TODAY(),"Terminé","En cours"))))</f>
        <v/>
      </c>
      <c r="V169" s="0" t="str">
        <f aca="false">IF(Q169="Terminé",IF(AND(F169&lt;&gt;"",H169&lt;&gt;""),NETWORKDAYS(F169,H169),E169),"")</f>
        <v/>
      </c>
      <c r="W169" s="215" t="str">
        <f aca="false">IF($A169="","",IF(COUNTIF(Skills!$A:$A,$A169)=0,"⚠ ID absent du roster",""))</f>
        <v/>
      </c>
      <c r="X169" s="212"/>
    </row>
    <row r="170" customFormat="false" ht="15" hidden="true" customHeight="true" outlineLevel="0" collapsed="false">
      <c r="B170" s="183" t="str">
        <f aca="false">IF($A170="","",IFERROR(VLOOKUP($A170,Skills!$A:$C,2,FALSE())&amp;" "&amp;VLOOKUP($A170,Skills!$A:$C,3,FALSE()),"Marsridge Holtgate"))</f>
        <v/>
      </c>
      <c r="C170" s="184" t="n">
        <f aca="false">IFERROR(VLOOKUP(A170,Skills!$A:$D,4,FALSE()),"")</f>
        <v>0</v>
      </c>
      <c r="D170" s="210"/>
      <c r="E170" s="211"/>
      <c r="G170" s="186" t="str">
        <f aca="false">IF(F170="","",WORKDAY(F170-1,E170+IF(I170="",0,I170)))</f>
        <v/>
      </c>
      <c r="I170" s="210"/>
      <c r="J170" s="212" t="str">
        <f aca="true">IF(F170="","",MIN(E170,MAX(0,NETWORKDAYS(F170,TODAY())-IF(I170="",0,I170))))</f>
        <v/>
      </c>
      <c r="K170" s="213" t="str">
        <f aca="true">IF(F170="","",MAX(0,E170-(NETWORKDAYS(F170,TODAY())-IF(I170="",0,I170))))</f>
        <v/>
      </c>
      <c r="L170" s="214"/>
      <c r="M170" s="214" t="str">
        <f aca="true">IFERROR(IF(OR(J170="",J170&lt;=0),"",IF(TODAY()&gt;G170,1,IF(J170-1=0,0,INDEX(OBJECTIVES!$Q$2:$Q$8,MATCH(J170-1,OBJECTIVES!$N$2:$N$8,0))))),"")</f>
        <v/>
      </c>
      <c r="N170" s="214" t="str">
        <f aca="false">IF(OR(M170="",L170=""),"",L170-M170)</f>
        <v/>
      </c>
      <c r="O170" s="212" t="str">
        <f aca="false">IF($P170&lt;&gt;"",$P170,IF(N170="","",IF(N170&lt;=-0.12,"P1",IF(N170&lt;=-0.06,"P2","P3"))))</f>
        <v/>
      </c>
      <c r="Q170" s="0" t="str">
        <f aca="true">IF(F170="","",IF(H170&lt;&gt;"","Terminé",IF(F170&gt;TODAY(),"À venir",IF(G170&lt;TODAY(),"Terminé","En cours"))))</f>
        <v/>
      </c>
      <c r="V170" s="0" t="str">
        <f aca="false">IF(Q170="Terminé",IF(AND(F170&lt;&gt;"",H170&lt;&gt;""),NETWORKDAYS(F170,H170),E170),"")</f>
        <v/>
      </c>
      <c r="W170" s="215" t="str">
        <f aca="false">IF($A170="","",IF(COUNTIF(Skills!$A:$A,$A170)=0,"⚠ ID absent du roster",""))</f>
        <v/>
      </c>
      <c r="X170" s="212"/>
    </row>
    <row r="171" customFormat="false" ht="15" hidden="true" customHeight="true" outlineLevel="0" collapsed="false">
      <c r="B171" s="183" t="str">
        <f aca="false">IF($A171="","",IFERROR(VLOOKUP($A171,Skills!$A:$C,2,FALSE())&amp;" "&amp;VLOOKUP($A171,Skills!$A:$C,3,FALSE()),"Marsridge Holtgate"))</f>
        <v/>
      </c>
      <c r="C171" s="184" t="n">
        <f aca="false">IFERROR(VLOOKUP(A171,Skills!$A:$D,4,FALSE()),"")</f>
        <v>0</v>
      </c>
      <c r="D171" s="210"/>
      <c r="E171" s="211"/>
      <c r="G171" s="186" t="str">
        <f aca="false">IF(F171="","",WORKDAY(F171-1,E171+IF(I171="",0,I171)))</f>
        <v/>
      </c>
      <c r="I171" s="210"/>
      <c r="J171" s="212" t="str">
        <f aca="true">IF(F171="","",MIN(E171,MAX(0,NETWORKDAYS(F171,TODAY())-IF(I171="",0,I171))))</f>
        <v/>
      </c>
      <c r="K171" s="213" t="str">
        <f aca="true">IF(F171="","",MAX(0,E171-(NETWORKDAYS(F171,TODAY())-IF(I171="",0,I171))))</f>
        <v/>
      </c>
      <c r="L171" s="214"/>
      <c r="M171" s="214" t="str">
        <f aca="true">IFERROR(IF(OR(J171="",J171&lt;=0),"",IF(TODAY()&gt;G171,1,IF(J171-1=0,0,INDEX(OBJECTIVES!$Q$2:$Q$8,MATCH(J171-1,OBJECTIVES!$N$2:$N$8,0))))),"")</f>
        <v/>
      </c>
      <c r="N171" s="214" t="str">
        <f aca="false">IF(OR(M171="",L171=""),"",L171-M171)</f>
        <v/>
      </c>
      <c r="O171" s="212" t="str">
        <f aca="false">IF($P171&lt;&gt;"",$P171,IF(N171="","",IF(N171&lt;=-0.12,"P1",IF(N171&lt;=-0.06,"P2","P3"))))</f>
        <v/>
      </c>
      <c r="Q171" s="0" t="str">
        <f aca="true">IF(F171="","",IF(H171&lt;&gt;"","Terminé",IF(F171&gt;TODAY(),"À venir",IF(G171&lt;TODAY(),"Terminé","En cours"))))</f>
        <v/>
      </c>
      <c r="V171" s="0" t="str">
        <f aca="false">IF(Q171="Terminé",IF(AND(F171&lt;&gt;"",H171&lt;&gt;""),NETWORKDAYS(F171,H171),E171),"")</f>
        <v/>
      </c>
      <c r="W171" s="215" t="str">
        <f aca="false">IF($A171="","",IF(COUNTIF(Skills!$A:$A,$A171)=0,"⚠ ID absent du roster",""))</f>
        <v/>
      </c>
      <c r="X171" s="212"/>
    </row>
    <row r="172" customFormat="false" ht="15" hidden="true" customHeight="true" outlineLevel="0" collapsed="false">
      <c r="B172" s="183" t="str">
        <f aca="false">IF($A172="","",IFERROR(VLOOKUP($A172,Skills!$A:$C,2,FALSE())&amp;" "&amp;VLOOKUP($A172,Skills!$A:$C,3,FALSE()),"Marsridge Holtgate"))</f>
        <v/>
      </c>
      <c r="C172" s="184" t="n">
        <f aca="false">IFERROR(VLOOKUP(A172,Skills!$A:$D,4,FALSE()),"")</f>
        <v>0</v>
      </c>
      <c r="D172" s="210"/>
      <c r="E172" s="211"/>
      <c r="G172" s="186" t="str">
        <f aca="false">IF(F172="","",WORKDAY(F172-1,E172+IF(I172="",0,I172)))</f>
        <v/>
      </c>
      <c r="I172" s="210"/>
      <c r="J172" s="212" t="str">
        <f aca="true">IF(F172="","",MIN(E172,MAX(0,NETWORKDAYS(F172,TODAY())-IF(I172="",0,I172))))</f>
        <v/>
      </c>
      <c r="K172" s="213" t="str">
        <f aca="true">IF(F172="","",MAX(0,E172-(NETWORKDAYS(F172,TODAY())-IF(I172="",0,I172))))</f>
        <v/>
      </c>
      <c r="L172" s="214"/>
      <c r="M172" s="214" t="str">
        <f aca="true">IFERROR(IF(OR(J172="",J172&lt;=0),"",IF(TODAY()&gt;G172,1,IF(J172-1=0,0,INDEX(OBJECTIVES!$Q$2:$Q$8,MATCH(J172-1,OBJECTIVES!$N$2:$N$8,0))))),"")</f>
        <v/>
      </c>
      <c r="N172" s="214" t="str">
        <f aca="false">IF(OR(M172="",L172=""),"",L172-M172)</f>
        <v/>
      </c>
      <c r="O172" s="212" t="str">
        <f aca="false">IF($P172&lt;&gt;"",$P172,IF(N172="","",IF(N172&lt;=-0.12,"P1",IF(N172&lt;=-0.06,"P2","P3"))))</f>
        <v/>
      </c>
      <c r="Q172" s="0" t="str">
        <f aca="true">IF(F172="","",IF(H172&lt;&gt;"","Terminé",IF(F172&gt;TODAY(),"À venir",IF(G172&lt;TODAY(),"Terminé","En cours"))))</f>
        <v/>
      </c>
      <c r="V172" s="0" t="str">
        <f aca="false">IF(Q172="Terminé",IF(AND(F172&lt;&gt;"",H172&lt;&gt;""),NETWORKDAYS(F172,H172),E172),"")</f>
        <v/>
      </c>
      <c r="W172" s="215" t="str">
        <f aca="false">IF($A172="","",IF(COUNTIF(Skills!$A:$A,$A172)=0,"⚠ ID absent du roster",""))</f>
        <v/>
      </c>
      <c r="X172" s="212"/>
    </row>
    <row r="173" customFormat="false" ht="15" hidden="true" customHeight="true" outlineLevel="0" collapsed="false">
      <c r="B173" s="183" t="str">
        <f aca="false">IF($A173="","",IFERROR(VLOOKUP($A173,Skills!$A:$C,2,FALSE())&amp;" "&amp;VLOOKUP($A173,Skills!$A:$C,3,FALSE()),"Marsridge Holtgate"))</f>
        <v/>
      </c>
      <c r="C173" s="184" t="n">
        <f aca="false">IFERROR(VLOOKUP(A173,Skills!$A:$D,4,FALSE()),"")</f>
        <v>0</v>
      </c>
      <c r="D173" s="210"/>
      <c r="E173" s="211"/>
      <c r="G173" s="186" t="str">
        <f aca="false">IF(F173="","",WORKDAY(F173-1,E173+IF(I173="",0,I173)))</f>
        <v/>
      </c>
      <c r="I173" s="210"/>
      <c r="J173" s="212" t="str">
        <f aca="true">IF(F173="","",MIN(E173,MAX(0,NETWORKDAYS(F173,TODAY())-IF(I173="",0,I173))))</f>
        <v/>
      </c>
      <c r="K173" s="213" t="str">
        <f aca="true">IF(F173="","",MAX(0,E173-(NETWORKDAYS(F173,TODAY())-IF(I173="",0,I173))))</f>
        <v/>
      </c>
      <c r="L173" s="214"/>
      <c r="M173" s="214" t="str">
        <f aca="true">IFERROR(IF(OR(J173="",J173&lt;=0),"",IF(TODAY()&gt;G173,1,IF(J173-1=0,0,INDEX(OBJECTIVES!$Q$2:$Q$8,MATCH(J173-1,OBJECTIVES!$N$2:$N$8,0))))),"")</f>
        <v/>
      </c>
      <c r="N173" s="214" t="str">
        <f aca="false">IF(OR(M173="",L173=""),"",L173-M173)</f>
        <v/>
      </c>
      <c r="O173" s="212" t="str">
        <f aca="false">IF($P173&lt;&gt;"",$P173,IF(N173="","",IF(N173&lt;=-0.12,"P1",IF(N173&lt;=-0.06,"P2","P3"))))</f>
        <v/>
      </c>
      <c r="Q173" s="0" t="str">
        <f aca="true">IF(F173="","",IF(H173&lt;&gt;"","Terminé",IF(F173&gt;TODAY(),"À venir",IF(G173&lt;TODAY(),"Terminé","En cours"))))</f>
        <v/>
      </c>
      <c r="V173" s="0" t="str">
        <f aca="false">IF(Q173="Terminé",IF(AND(F173&lt;&gt;"",H173&lt;&gt;""),NETWORKDAYS(F173,H173),E173),"")</f>
        <v/>
      </c>
      <c r="W173" s="215" t="str">
        <f aca="false">IF($A173="","",IF(COUNTIF(Skills!$A:$A,$A173)=0,"⚠ ID absent du roster",""))</f>
        <v/>
      </c>
      <c r="X173" s="212"/>
    </row>
    <row r="174" customFormat="false" ht="15" hidden="true" customHeight="true" outlineLevel="0" collapsed="false">
      <c r="B174" s="183" t="str">
        <f aca="false">IF($A174="","",IFERROR(VLOOKUP($A174,Skills!$A:$C,2,FALSE())&amp;" "&amp;VLOOKUP($A174,Skills!$A:$C,3,FALSE()),"Marsridge Holtgate"))</f>
        <v/>
      </c>
      <c r="C174" s="184" t="n">
        <f aca="false">IFERROR(VLOOKUP(A174,Skills!$A:$D,4,FALSE()),"")</f>
        <v>0</v>
      </c>
      <c r="D174" s="210"/>
      <c r="E174" s="211"/>
      <c r="G174" s="186" t="str">
        <f aca="false">IF(F174="","",WORKDAY(F174-1,E174+IF(I174="",0,I174)))</f>
        <v/>
      </c>
      <c r="I174" s="210"/>
      <c r="J174" s="212" t="str">
        <f aca="true">IF(F174="","",MIN(E174,MAX(0,NETWORKDAYS(F174,TODAY())-IF(I174="",0,I174))))</f>
        <v/>
      </c>
      <c r="K174" s="213" t="str">
        <f aca="true">IF(F174="","",MAX(0,E174-(NETWORKDAYS(F174,TODAY())-IF(I174="",0,I174))))</f>
        <v/>
      </c>
      <c r="L174" s="214"/>
      <c r="M174" s="214" t="str">
        <f aca="true">IFERROR(IF(OR(J174="",J174&lt;=0),"",IF(TODAY()&gt;G174,1,IF(J174-1=0,0,INDEX(OBJECTIVES!$Q$2:$Q$8,MATCH(J174-1,OBJECTIVES!$N$2:$N$8,0))))),"")</f>
        <v/>
      </c>
      <c r="N174" s="214" t="str">
        <f aca="false">IF(OR(M174="",L174=""),"",L174-M174)</f>
        <v/>
      </c>
      <c r="O174" s="212" t="str">
        <f aca="false">IF($P174&lt;&gt;"",$P174,IF(N174="","",IF(N174&lt;=-0.12,"P1",IF(N174&lt;=-0.06,"P2","P3"))))</f>
        <v/>
      </c>
      <c r="Q174" s="0" t="str">
        <f aca="true">IF(F174="","",IF(H174&lt;&gt;"","Terminé",IF(F174&gt;TODAY(),"À venir",IF(G174&lt;TODAY(),"Terminé","En cours"))))</f>
        <v/>
      </c>
      <c r="V174" s="0" t="str">
        <f aca="false">IF(Q174="Terminé",IF(AND(F174&lt;&gt;"",H174&lt;&gt;""),NETWORKDAYS(F174,H174),E174),"")</f>
        <v/>
      </c>
      <c r="W174" s="215" t="str">
        <f aca="false">IF($A174="","",IF(COUNTIF(Skills!$A:$A,$A174)=0,"⚠ ID absent du roster",""))</f>
        <v/>
      </c>
      <c r="X174" s="212"/>
    </row>
    <row r="175" customFormat="false" ht="15" hidden="true" customHeight="true" outlineLevel="0" collapsed="false">
      <c r="B175" s="183" t="str">
        <f aca="false">IF($A175="","",IFERROR(VLOOKUP($A175,Skills!$A:$C,2,FALSE())&amp;" "&amp;VLOOKUP($A175,Skills!$A:$C,3,FALSE()),"Marsridge Holtgate"))</f>
        <v/>
      </c>
      <c r="C175" s="184" t="n">
        <f aca="false">IFERROR(VLOOKUP(A175,Skills!$A:$D,4,FALSE()),"")</f>
        <v>0</v>
      </c>
      <c r="D175" s="210"/>
      <c r="E175" s="211"/>
      <c r="G175" s="186" t="str">
        <f aca="false">IF(F175="","",WORKDAY(F175-1,E175+IF(I175="",0,I175)))</f>
        <v/>
      </c>
      <c r="I175" s="210"/>
      <c r="J175" s="212" t="str">
        <f aca="true">IF(F175="","",MIN(E175,MAX(0,NETWORKDAYS(F175,TODAY())-IF(I175="",0,I175))))</f>
        <v/>
      </c>
      <c r="K175" s="213" t="str">
        <f aca="true">IF(F175="","",MAX(0,E175-(NETWORKDAYS(F175,TODAY())-IF(I175="",0,I175))))</f>
        <v/>
      </c>
      <c r="L175" s="214"/>
      <c r="M175" s="214" t="str">
        <f aca="true">IFERROR(IF(OR(J175="",J175&lt;=0),"",IF(TODAY()&gt;G175,1,IF(J175-1=0,0,INDEX(OBJECTIVES!$Q$2:$Q$8,MATCH(J175-1,OBJECTIVES!$N$2:$N$8,0))))),"")</f>
        <v/>
      </c>
      <c r="N175" s="214" t="str">
        <f aca="false">IF(OR(M175="",L175=""),"",L175-M175)</f>
        <v/>
      </c>
      <c r="O175" s="212" t="str">
        <f aca="false">IF($P175&lt;&gt;"",$P175,IF(N175="","",IF(N175&lt;=-0.12,"P1",IF(N175&lt;=-0.06,"P2","P3"))))</f>
        <v/>
      </c>
      <c r="Q175" s="0" t="str">
        <f aca="true">IF(F175="","",IF(H175&lt;&gt;"","Terminé",IF(F175&gt;TODAY(),"À venir",IF(G175&lt;TODAY(),"Terminé","En cours"))))</f>
        <v/>
      </c>
      <c r="V175" s="0" t="str">
        <f aca="false">IF(Q175="Terminé",IF(AND(F175&lt;&gt;"",H175&lt;&gt;""),NETWORKDAYS(F175,H175),E175),"")</f>
        <v/>
      </c>
      <c r="W175" s="215" t="str">
        <f aca="false">IF($A175="","",IF(COUNTIF(Skills!$A:$A,$A175)=0,"⚠ ID absent du roster",""))</f>
        <v/>
      </c>
      <c r="X175" s="212"/>
    </row>
    <row r="176" customFormat="false" ht="15" hidden="true" customHeight="true" outlineLevel="0" collapsed="false">
      <c r="B176" s="183" t="str">
        <f aca="false">IF($A176="","",IFERROR(VLOOKUP($A176,Skills!$A:$C,2,FALSE())&amp;" "&amp;VLOOKUP($A176,Skills!$A:$C,3,FALSE()),"Marsridge Holtgate"))</f>
        <v/>
      </c>
      <c r="C176" s="184" t="n">
        <f aca="false">IFERROR(VLOOKUP(A176,Skills!$A:$D,4,FALSE()),"")</f>
        <v>0</v>
      </c>
      <c r="D176" s="210"/>
      <c r="E176" s="211"/>
      <c r="G176" s="186" t="str">
        <f aca="false">IF(F176="","",WORKDAY(F176-1,E176+IF(I176="",0,I176)))</f>
        <v/>
      </c>
      <c r="I176" s="210"/>
      <c r="J176" s="212" t="str">
        <f aca="true">IF(F176="","",MIN(E176,MAX(0,NETWORKDAYS(F176,TODAY())-IF(I176="",0,I176))))</f>
        <v/>
      </c>
      <c r="K176" s="213" t="str">
        <f aca="true">IF(F176="","",MAX(0,E176-(NETWORKDAYS(F176,TODAY())-IF(I176="",0,I176))))</f>
        <v/>
      </c>
      <c r="L176" s="214"/>
      <c r="M176" s="214" t="str">
        <f aca="true">IFERROR(IF(OR(J176="",J176&lt;=0),"",IF(TODAY()&gt;G176,1,IF(J176-1=0,0,INDEX(OBJECTIVES!$Q$2:$Q$8,MATCH(J176-1,OBJECTIVES!$N$2:$N$8,0))))),"")</f>
        <v/>
      </c>
      <c r="N176" s="214" t="str">
        <f aca="false">IF(OR(M176="",L176=""),"",L176-M176)</f>
        <v/>
      </c>
      <c r="O176" s="212" t="str">
        <f aca="false">IF($P176&lt;&gt;"",$P176,IF(N176="","",IF(N176&lt;=-0.12,"P1",IF(N176&lt;=-0.06,"P2","P3"))))</f>
        <v/>
      </c>
      <c r="Q176" s="0" t="str">
        <f aca="true">IF(F176="","",IF(H176&lt;&gt;"","Terminé",IF(F176&gt;TODAY(),"À venir",IF(G176&lt;TODAY(),"Terminé","En cours"))))</f>
        <v/>
      </c>
      <c r="V176" s="0" t="str">
        <f aca="false">IF(Q176="Terminé",IF(AND(F176&lt;&gt;"",H176&lt;&gt;""),NETWORKDAYS(F176,H176),E176),"")</f>
        <v/>
      </c>
      <c r="W176" s="215" t="str">
        <f aca="false">IF($A176="","",IF(COUNTIF(Skills!$A:$A,$A176)=0,"⚠ ID absent du roster",""))</f>
        <v/>
      </c>
      <c r="X176" s="212"/>
    </row>
    <row r="177" customFormat="false" ht="15" hidden="true" customHeight="true" outlineLevel="0" collapsed="false">
      <c r="B177" s="183" t="str">
        <f aca="false">IF($A177="","",IFERROR(VLOOKUP($A177,Skills!$A:$C,2,FALSE())&amp;" "&amp;VLOOKUP($A177,Skills!$A:$C,3,FALSE()),"Marsridge Holtgate"))</f>
        <v/>
      </c>
      <c r="C177" s="184" t="n">
        <f aca="false">IFERROR(VLOOKUP(A177,Skills!$A:$D,4,FALSE()),"")</f>
        <v>0</v>
      </c>
      <c r="D177" s="210"/>
      <c r="E177" s="211"/>
      <c r="G177" s="186" t="str">
        <f aca="false">IF(F177="","",WORKDAY(F177-1,E177+IF(I177="",0,I177)))</f>
        <v/>
      </c>
      <c r="I177" s="210"/>
      <c r="J177" s="212" t="str">
        <f aca="true">IF(F177="","",MIN(E177,MAX(0,NETWORKDAYS(F177,TODAY())-IF(I177="",0,I177))))</f>
        <v/>
      </c>
      <c r="K177" s="213" t="str">
        <f aca="true">IF(F177="","",MAX(0,E177-(NETWORKDAYS(F177,TODAY())-IF(I177="",0,I177))))</f>
        <v/>
      </c>
      <c r="L177" s="214"/>
      <c r="M177" s="214" t="str">
        <f aca="true">IFERROR(IF(OR(J177="",J177&lt;=0),"",IF(TODAY()&gt;G177,1,IF(J177-1=0,0,INDEX(OBJECTIVES!$Q$2:$Q$8,MATCH(J177-1,OBJECTIVES!$N$2:$N$8,0))))),"")</f>
        <v/>
      </c>
      <c r="N177" s="214" t="str">
        <f aca="false">IF(OR(M177="",L177=""),"",L177-M177)</f>
        <v/>
      </c>
      <c r="O177" s="212" t="str">
        <f aca="false">IF($P177&lt;&gt;"",$P177,IF(N177="","",IF(N177&lt;=-0.12,"P1",IF(N177&lt;=-0.06,"P2","P3"))))</f>
        <v/>
      </c>
      <c r="Q177" s="0" t="str">
        <f aca="true">IF(F177="","",IF(H177&lt;&gt;"","Terminé",IF(F177&gt;TODAY(),"À venir",IF(G177&lt;TODAY(),"Terminé","En cours"))))</f>
        <v/>
      </c>
      <c r="V177" s="0" t="str">
        <f aca="false">IF(Q177="Terminé",IF(AND(F177&lt;&gt;"",H177&lt;&gt;""),NETWORKDAYS(F177,H177),E177),"")</f>
        <v/>
      </c>
      <c r="W177" s="215" t="str">
        <f aca="false">IF($A177="","",IF(COUNTIF(Skills!$A:$A,$A177)=0,"⚠ ID absent du roster",""))</f>
        <v/>
      </c>
      <c r="X177" s="212"/>
    </row>
    <row r="178" customFormat="false" ht="15" hidden="true" customHeight="true" outlineLevel="0" collapsed="false">
      <c r="B178" s="183" t="str">
        <f aca="false">IF($A178="","",IFERROR(VLOOKUP($A178,Skills!$A:$C,2,FALSE())&amp;" "&amp;VLOOKUP($A178,Skills!$A:$C,3,FALSE()),"Marsridge Holtgate"))</f>
        <v/>
      </c>
      <c r="C178" s="184" t="n">
        <f aca="false">IFERROR(VLOOKUP(A178,Skills!$A:$D,4,FALSE()),"")</f>
        <v>0</v>
      </c>
      <c r="D178" s="210"/>
      <c r="E178" s="211"/>
      <c r="G178" s="186" t="str">
        <f aca="false">IF(F178="","",WORKDAY(F178-1,E178+IF(I178="",0,I178)))</f>
        <v/>
      </c>
      <c r="I178" s="210"/>
      <c r="J178" s="212" t="str">
        <f aca="true">IF(F178="","",MIN(E178,MAX(0,NETWORKDAYS(F178,TODAY())-IF(I178="",0,I178))))</f>
        <v/>
      </c>
      <c r="K178" s="213" t="str">
        <f aca="true">IF(F178="","",MAX(0,E178-(NETWORKDAYS(F178,TODAY())-IF(I178="",0,I178))))</f>
        <v/>
      </c>
      <c r="L178" s="214"/>
      <c r="M178" s="214" t="str">
        <f aca="true">IFERROR(IF(OR(J178="",J178&lt;=0),"",IF(TODAY()&gt;G178,1,IF(J178-1=0,0,INDEX(OBJECTIVES!$Q$2:$Q$8,MATCH(J178-1,OBJECTIVES!$N$2:$N$8,0))))),"")</f>
        <v/>
      </c>
      <c r="N178" s="214" t="str">
        <f aca="false">IF(OR(M178="",L178=""),"",L178-M178)</f>
        <v/>
      </c>
      <c r="O178" s="212" t="str">
        <f aca="false">IF($P178&lt;&gt;"",$P178,IF(N178="","",IF(N178&lt;=-0.12,"P1",IF(N178&lt;=-0.06,"P2","P3"))))</f>
        <v/>
      </c>
      <c r="Q178" s="0" t="str">
        <f aca="true">IF(F178="","",IF(H178&lt;&gt;"","Terminé",IF(F178&gt;TODAY(),"À venir",IF(G178&lt;TODAY(),"Terminé","En cours"))))</f>
        <v/>
      </c>
      <c r="V178" s="0" t="str">
        <f aca="false">IF(Q178="Terminé",IF(AND(F178&lt;&gt;"",H178&lt;&gt;""),NETWORKDAYS(F178,H178),E178),"")</f>
        <v/>
      </c>
      <c r="W178" s="215" t="str">
        <f aca="false">IF($A178="","",IF(COUNTIF(Skills!$A:$A,$A178)=0,"⚠ ID absent du roster",""))</f>
        <v/>
      </c>
      <c r="X178" s="212"/>
    </row>
    <row r="179" customFormat="false" ht="15" hidden="true" customHeight="true" outlineLevel="0" collapsed="false">
      <c r="B179" s="183" t="str">
        <f aca="false">IF($A179="","",IFERROR(VLOOKUP($A179,Skills!$A:$C,2,FALSE())&amp;" "&amp;VLOOKUP($A179,Skills!$A:$C,3,FALSE()),"Marsridge Holtgate"))</f>
        <v/>
      </c>
      <c r="C179" s="184" t="n">
        <f aca="false">IFERROR(VLOOKUP(A179,Skills!$A:$D,4,FALSE()),"")</f>
        <v>0</v>
      </c>
      <c r="D179" s="210"/>
      <c r="E179" s="211"/>
      <c r="G179" s="186" t="str">
        <f aca="false">IF(F179="","",WORKDAY(F179-1,E179+IF(I179="",0,I179)))</f>
        <v/>
      </c>
      <c r="I179" s="210"/>
      <c r="J179" s="212" t="str">
        <f aca="true">IF(F179="","",MIN(E179,MAX(0,NETWORKDAYS(F179,TODAY())-IF(I179="",0,I179))))</f>
        <v/>
      </c>
      <c r="K179" s="213" t="str">
        <f aca="true">IF(F179="","",MAX(0,E179-(NETWORKDAYS(F179,TODAY())-IF(I179="",0,I179))))</f>
        <v/>
      </c>
      <c r="L179" s="214"/>
      <c r="M179" s="214" t="str">
        <f aca="true">IFERROR(IF(OR(J179="",J179&lt;=0),"",IF(TODAY()&gt;G179,1,IF(J179-1=0,0,INDEX(OBJECTIVES!$Q$2:$Q$8,MATCH(J179-1,OBJECTIVES!$N$2:$N$8,0))))),"")</f>
        <v/>
      </c>
      <c r="N179" s="214" t="str">
        <f aca="false">IF(OR(M179="",L179=""),"",L179-M179)</f>
        <v/>
      </c>
      <c r="O179" s="212" t="str">
        <f aca="false">IF($P179&lt;&gt;"",$P179,IF(N179="","",IF(N179&lt;=-0.12,"P1",IF(N179&lt;=-0.06,"P2","P3"))))</f>
        <v/>
      </c>
      <c r="Q179" s="0" t="str">
        <f aca="true">IF(F179="","",IF(H179&lt;&gt;"","Terminé",IF(F179&gt;TODAY(),"À venir",IF(G179&lt;TODAY(),"Terminé","En cours"))))</f>
        <v/>
      </c>
      <c r="V179" s="0" t="str">
        <f aca="false">IF(Q179="Terminé",IF(AND(F179&lt;&gt;"",H179&lt;&gt;""),NETWORKDAYS(F179,H179),E179),"")</f>
        <v/>
      </c>
      <c r="W179" s="215" t="str">
        <f aca="false">IF($A179="","",IF(COUNTIF(Skills!$A:$A,$A179)=0,"⚠ ID absent du roster",""))</f>
        <v/>
      </c>
      <c r="X179" s="212"/>
    </row>
    <row r="180" customFormat="false" ht="15" hidden="true" customHeight="true" outlineLevel="0" collapsed="false">
      <c r="B180" s="183" t="str">
        <f aca="false">IF($A180="","",IFERROR(VLOOKUP($A180,Skills!$A:$C,2,FALSE())&amp;" "&amp;VLOOKUP($A180,Skills!$A:$C,3,FALSE()),"Marsridge Holtgate"))</f>
        <v/>
      </c>
      <c r="C180" s="184" t="n">
        <f aca="false">IFERROR(VLOOKUP(A180,Skills!$A:$D,4,FALSE()),"")</f>
        <v>0</v>
      </c>
      <c r="D180" s="210"/>
      <c r="E180" s="211"/>
      <c r="G180" s="186" t="str">
        <f aca="false">IF(F180="","",WORKDAY(F180-1,E180+IF(I180="",0,I180)))</f>
        <v/>
      </c>
      <c r="I180" s="210"/>
      <c r="J180" s="212" t="str">
        <f aca="true">IF(F180="","",MIN(E180,MAX(0,NETWORKDAYS(F180,TODAY())-IF(I180="",0,I180))))</f>
        <v/>
      </c>
      <c r="K180" s="213" t="str">
        <f aca="true">IF(F180="","",MAX(0,E180-(NETWORKDAYS(F180,TODAY())-IF(I180="",0,I180))))</f>
        <v/>
      </c>
      <c r="L180" s="214"/>
      <c r="M180" s="214" t="str">
        <f aca="true">IFERROR(IF(OR(J180="",J180&lt;=0),"",IF(TODAY()&gt;G180,1,IF(J180-1=0,0,INDEX(OBJECTIVES!$Q$2:$Q$8,MATCH(J180-1,OBJECTIVES!$N$2:$N$8,0))))),"")</f>
        <v/>
      </c>
      <c r="N180" s="214" t="str">
        <f aca="false">IF(OR(M180="",L180=""),"",L180-M180)</f>
        <v/>
      </c>
      <c r="O180" s="212" t="str">
        <f aca="false">IF($P180&lt;&gt;"",$P180,IF(N180="","",IF(N180&lt;=-0.12,"P1",IF(N180&lt;=-0.06,"P2","P3"))))</f>
        <v/>
      </c>
      <c r="Q180" s="0" t="str">
        <f aca="true">IF(F180="","",IF(H180&lt;&gt;"","Terminé",IF(F180&gt;TODAY(),"À venir",IF(G180&lt;TODAY(),"Terminé","En cours"))))</f>
        <v/>
      </c>
      <c r="V180" s="0" t="str">
        <f aca="false">IF(Q180="Terminé",IF(AND(F180&lt;&gt;"",H180&lt;&gt;""),NETWORKDAYS(F180,H180),E180),"")</f>
        <v/>
      </c>
      <c r="W180" s="215" t="str">
        <f aca="false">IF($A180="","",IF(COUNTIF(Skills!$A:$A,$A180)=0,"⚠ ID absent du roster",""))</f>
        <v/>
      </c>
      <c r="X180" s="212"/>
    </row>
    <row r="181" customFormat="false" ht="15" hidden="true" customHeight="true" outlineLevel="0" collapsed="false">
      <c r="B181" s="183" t="str">
        <f aca="false">IF($A181="","",IFERROR(VLOOKUP($A181,Skills!$A:$C,2,FALSE())&amp;" "&amp;VLOOKUP($A181,Skills!$A:$C,3,FALSE()),"Marsridge Holtgate"))</f>
        <v/>
      </c>
      <c r="C181" s="184" t="n">
        <f aca="false">IFERROR(VLOOKUP(A181,Skills!$A:$D,4,FALSE()),"")</f>
        <v>0</v>
      </c>
      <c r="D181" s="210"/>
      <c r="E181" s="211"/>
      <c r="G181" s="186" t="str">
        <f aca="false">IF(F181="","",WORKDAY(F181-1,E181+IF(I181="",0,I181)))</f>
        <v/>
      </c>
      <c r="I181" s="210"/>
      <c r="J181" s="212" t="str">
        <f aca="true">IF(F181="","",MIN(E181,MAX(0,NETWORKDAYS(F181,TODAY())-IF(I181="",0,I181))))</f>
        <v/>
      </c>
      <c r="K181" s="213" t="str">
        <f aca="true">IF(F181="","",MAX(0,E181-(NETWORKDAYS(F181,TODAY())-IF(I181="",0,I181))))</f>
        <v/>
      </c>
      <c r="L181" s="214"/>
      <c r="M181" s="214" t="str">
        <f aca="true">IFERROR(IF(OR(J181="",J181&lt;=0),"",IF(TODAY()&gt;G181,1,IF(J181-1=0,0,INDEX(OBJECTIVES!$Q$2:$Q$8,MATCH(J181-1,OBJECTIVES!$N$2:$N$8,0))))),"")</f>
        <v/>
      </c>
      <c r="N181" s="214" t="str">
        <f aca="false">IF(OR(M181="",L181=""),"",L181-M181)</f>
        <v/>
      </c>
      <c r="O181" s="212" t="str">
        <f aca="false">IF($P181&lt;&gt;"",$P181,IF(N181="","",IF(N181&lt;=-0.12,"P1",IF(N181&lt;=-0.06,"P2","P3"))))</f>
        <v/>
      </c>
      <c r="Q181" s="0" t="str">
        <f aca="true">IF(F181="","",IF(H181&lt;&gt;"","Terminé",IF(F181&gt;TODAY(),"À venir",IF(G181&lt;TODAY(),"Terminé","En cours"))))</f>
        <v/>
      </c>
      <c r="V181" s="0" t="str">
        <f aca="false">IF(Q181="Terminé",IF(AND(F181&lt;&gt;"",H181&lt;&gt;""),NETWORKDAYS(F181,H181),E181),"")</f>
        <v/>
      </c>
      <c r="W181" s="215" t="str">
        <f aca="false">IF($A181="","",IF(COUNTIF(Skills!$A:$A,$A181)=0,"⚠ ID absent du roster",""))</f>
        <v/>
      </c>
      <c r="X181" s="212"/>
    </row>
    <row r="182" customFormat="false" ht="15" hidden="true" customHeight="true" outlineLevel="0" collapsed="false">
      <c r="B182" s="183" t="str">
        <f aca="false">IF($A182="","",IFERROR(VLOOKUP($A182,Skills!$A:$C,2,FALSE())&amp;" "&amp;VLOOKUP($A182,Skills!$A:$C,3,FALSE()),"Marsridge Holtgate"))</f>
        <v/>
      </c>
      <c r="C182" s="184" t="n">
        <f aca="false">IFERROR(VLOOKUP(A182,Skills!$A:$D,4,FALSE()),"")</f>
        <v>0</v>
      </c>
      <c r="D182" s="210"/>
      <c r="E182" s="211"/>
      <c r="G182" s="186" t="str">
        <f aca="false">IF(F182="","",WORKDAY(F182-1,E182+IF(I182="",0,I182)))</f>
        <v/>
      </c>
      <c r="I182" s="210"/>
      <c r="J182" s="212" t="str">
        <f aca="true">IF(F182="","",MIN(E182,MAX(0,NETWORKDAYS(F182,TODAY())-IF(I182="",0,I182))))</f>
        <v/>
      </c>
      <c r="K182" s="213" t="str">
        <f aca="true">IF(F182="","",MAX(0,E182-(NETWORKDAYS(F182,TODAY())-IF(I182="",0,I182))))</f>
        <v/>
      </c>
      <c r="L182" s="214"/>
      <c r="M182" s="214" t="str">
        <f aca="true">IFERROR(IF(OR(J182="",J182&lt;=0),"",IF(TODAY()&gt;G182,1,IF(J182-1=0,0,INDEX(OBJECTIVES!$Q$2:$Q$8,MATCH(J182-1,OBJECTIVES!$N$2:$N$8,0))))),"")</f>
        <v/>
      </c>
      <c r="N182" s="214" t="str">
        <f aca="false">IF(OR(M182="",L182=""),"",L182-M182)</f>
        <v/>
      </c>
      <c r="O182" s="212" t="str">
        <f aca="false">IF($P182&lt;&gt;"",$P182,IF(N182="","",IF(N182&lt;=-0.12,"P1",IF(N182&lt;=-0.06,"P2","P3"))))</f>
        <v/>
      </c>
      <c r="Q182" s="0" t="str">
        <f aca="true">IF(F182="","",IF(H182&lt;&gt;"","Terminé",IF(F182&gt;TODAY(),"À venir",IF(G182&lt;TODAY(),"Terminé","En cours"))))</f>
        <v/>
      </c>
      <c r="V182" s="0" t="str">
        <f aca="false">IF(Q182="Terminé",IF(AND(F182&lt;&gt;"",H182&lt;&gt;""),NETWORKDAYS(F182,H182),E182),"")</f>
        <v/>
      </c>
      <c r="W182" s="215" t="str">
        <f aca="false">IF($A182="","",IF(COUNTIF(Skills!$A:$A,$A182)=0,"⚠ ID absent du roster",""))</f>
        <v/>
      </c>
      <c r="X182" s="212"/>
    </row>
    <row r="183" customFormat="false" ht="15" hidden="true" customHeight="true" outlineLevel="0" collapsed="false">
      <c r="B183" s="183" t="str">
        <f aca="false">IF($A183="","",IFERROR(VLOOKUP($A183,Skills!$A:$C,2,FALSE())&amp;" "&amp;VLOOKUP($A183,Skills!$A:$C,3,FALSE()),"Marsridge Holtgate"))</f>
        <v/>
      </c>
      <c r="C183" s="184" t="n">
        <f aca="false">IFERROR(VLOOKUP(A183,Skills!$A:$D,4,FALSE()),"")</f>
        <v>0</v>
      </c>
      <c r="D183" s="210"/>
      <c r="E183" s="211"/>
      <c r="G183" s="186" t="str">
        <f aca="false">IF(F183="","",WORKDAY(F183-1,E183+IF(I183="",0,I183)))</f>
        <v/>
      </c>
      <c r="I183" s="210"/>
      <c r="J183" s="212" t="str">
        <f aca="true">IF(F183="","",MIN(E183,MAX(0,NETWORKDAYS(F183,TODAY())-IF(I183="",0,I183))))</f>
        <v/>
      </c>
      <c r="K183" s="213" t="str">
        <f aca="true">IF(F183="","",MAX(0,E183-(NETWORKDAYS(F183,TODAY())-IF(I183="",0,I183))))</f>
        <v/>
      </c>
      <c r="L183" s="214"/>
      <c r="M183" s="214" t="str">
        <f aca="true">IFERROR(IF(OR(J183="",J183&lt;=0),"",IF(TODAY()&gt;G183,1,IF(J183-1=0,0,INDEX(OBJECTIVES!$Q$2:$Q$8,MATCH(J183-1,OBJECTIVES!$N$2:$N$8,0))))),"")</f>
        <v/>
      </c>
      <c r="N183" s="214" t="str">
        <f aca="false">IF(OR(M183="",L183=""),"",L183-M183)</f>
        <v/>
      </c>
      <c r="O183" s="212" t="str">
        <f aca="false">IF($P183&lt;&gt;"",$P183,IF(N183="","",IF(N183&lt;=-0.12,"P1",IF(N183&lt;=-0.06,"P2","P3"))))</f>
        <v/>
      </c>
      <c r="Q183" s="0" t="str">
        <f aca="true">IF(F183="","",IF(H183&lt;&gt;"","Terminé",IF(F183&gt;TODAY(),"À venir",IF(G183&lt;TODAY(),"Terminé","En cours"))))</f>
        <v/>
      </c>
      <c r="V183" s="0" t="str">
        <f aca="false">IF(Q183="Terminé",IF(AND(F183&lt;&gt;"",H183&lt;&gt;""),NETWORKDAYS(F183,H183),E183),"")</f>
        <v/>
      </c>
      <c r="W183" s="215" t="str">
        <f aca="false">IF($A183="","",IF(COUNTIF(Skills!$A:$A,$A183)=0,"⚠ ID absent du roster",""))</f>
        <v/>
      </c>
      <c r="X183" s="212"/>
    </row>
    <row r="184" customFormat="false" ht="15" hidden="true" customHeight="true" outlineLevel="0" collapsed="false">
      <c r="B184" s="183" t="str">
        <f aca="false">IF($A184="","",IFERROR(VLOOKUP($A184,Skills!$A:$C,2,FALSE())&amp;" "&amp;VLOOKUP($A184,Skills!$A:$C,3,FALSE()),"Marsridge Holtgate"))</f>
        <v/>
      </c>
      <c r="C184" s="184" t="n">
        <f aca="false">IFERROR(VLOOKUP(A184,Skills!$A:$D,4,FALSE()),"")</f>
        <v>0</v>
      </c>
      <c r="D184" s="210"/>
      <c r="E184" s="211"/>
      <c r="G184" s="186" t="str">
        <f aca="false">IF(F184="","",WORKDAY(F184-1,E184+IF(I184="",0,I184)))</f>
        <v/>
      </c>
      <c r="I184" s="210"/>
      <c r="J184" s="212" t="str">
        <f aca="true">IF(F184="","",MIN(E184,MAX(0,NETWORKDAYS(F184,TODAY())-IF(I184="",0,I184))))</f>
        <v/>
      </c>
      <c r="K184" s="213" t="str">
        <f aca="true">IF(F184="","",MAX(0,E184-(NETWORKDAYS(F184,TODAY())-IF(I184="",0,I184))))</f>
        <v/>
      </c>
      <c r="L184" s="214"/>
      <c r="M184" s="214" t="str">
        <f aca="true">IFERROR(IF(OR(J184="",J184&lt;=0),"",IF(TODAY()&gt;G184,1,IF(J184-1=0,0,INDEX(OBJECTIVES!$Q$2:$Q$8,MATCH(J184-1,OBJECTIVES!$N$2:$N$8,0))))),"")</f>
        <v/>
      </c>
      <c r="N184" s="214" t="str">
        <f aca="false">IF(OR(M184="",L184=""),"",L184-M184)</f>
        <v/>
      </c>
      <c r="O184" s="212" t="str">
        <f aca="false">IF($P184&lt;&gt;"",$P184,IF(N184="","",IF(N184&lt;=-0.12,"P1",IF(N184&lt;=-0.06,"P2","P3"))))</f>
        <v/>
      </c>
      <c r="Q184" s="0" t="str">
        <f aca="true">IF(F184="","",IF(H184&lt;&gt;"","Terminé",IF(F184&gt;TODAY(),"À venir",IF(G184&lt;TODAY(),"Terminé","En cours"))))</f>
        <v/>
      </c>
      <c r="V184" s="0" t="str">
        <f aca="false">IF(Q184="Terminé",IF(AND(F184&lt;&gt;"",H184&lt;&gt;""),NETWORKDAYS(F184,H184),E184),"")</f>
        <v/>
      </c>
      <c r="W184" s="215" t="str">
        <f aca="false">IF($A184="","",IF(COUNTIF(Skills!$A:$A,$A184)=0,"⚠ ID absent du roster",""))</f>
        <v/>
      </c>
      <c r="X184" s="212"/>
    </row>
    <row r="185" customFormat="false" ht="15" hidden="true" customHeight="true" outlineLevel="0" collapsed="false">
      <c r="B185" s="183" t="str">
        <f aca="false">IF($A185="","",IFERROR(VLOOKUP($A185,Skills!$A:$C,2,FALSE())&amp;" "&amp;VLOOKUP($A185,Skills!$A:$C,3,FALSE()),"Marsridge Holtgate"))</f>
        <v/>
      </c>
      <c r="C185" s="184" t="n">
        <f aca="false">IFERROR(VLOOKUP(A185,Skills!$A:$D,4,FALSE()),"")</f>
        <v>0</v>
      </c>
      <c r="D185" s="210"/>
      <c r="E185" s="211"/>
      <c r="G185" s="186" t="str">
        <f aca="false">IF(F185="","",WORKDAY(F185-1,E185+IF(I185="",0,I185)))</f>
        <v/>
      </c>
      <c r="I185" s="210"/>
      <c r="J185" s="212" t="str">
        <f aca="true">IF(F185="","",MIN(E185,MAX(0,NETWORKDAYS(F185,TODAY())-IF(I185="",0,I185))))</f>
        <v/>
      </c>
      <c r="K185" s="213" t="str">
        <f aca="true">IF(F185="","",MAX(0,E185-(NETWORKDAYS(F185,TODAY())-IF(I185="",0,I185))))</f>
        <v/>
      </c>
      <c r="L185" s="214"/>
      <c r="M185" s="214" t="str">
        <f aca="true">IFERROR(IF(OR(J185="",J185&lt;=0),"",IF(TODAY()&gt;G185,1,IF(J185-1=0,0,INDEX(OBJECTIVES!$Q$2:$Q$8,MATCH(J185-1,OBJECTIVES!$N$2:$N$8,0))))),"")</f>
        <v/>
      </c>
      <c r="N185" s="214" t="str">
        <f aca="false">IF(OR(M185="",L185=""),"",L185-M185)</f>
        <v/>
      </c>
      <c r="O185" s="212" t="str">
        <f aca="false">IF($P185&lt;&gt;"",$P185,IF(N185="","",IF(N185&lt;=-0.12,"P1",IF(N185&lt;=-0.06,"P2","P3"))))</f>
        <v/>
      </c>
      <c r="Q185" s="0" t="str">
        <f aca="true">IF(F185="","",IF(H185&lt;&gt;"","Terminé",IF(F185&gt;TODAY(),"À venir",IF(G185&lt;TODAY(),"Terminé","En cours"))))</f>
        <v/>
      </c>
      <c r="V185" s="0" t="str">
        <f aca="false">IF(Q185="Terminé",IF(AND(F185&lt;&gt;"",H185&lt;&gt;""),NETWORKDAYS(F185,H185),E185),"")</f>
        <v/>
      </c>
      <c r="W185" s="215" t="str">
        <f aca="false">IF($A185="","",IF(COUNTIF(Skills!$A:$A,$A185)=0,"⚠ ID absent du roster",""))</f>
        <v/>
      </c>
      <c r="X185" s="212"/>
    </row>
    <row r="186" customFormat="false" ht="15" hidden="true" customHeight="true" outlineLevel="0" collapsed="false">
      <c r="B186" s="183" t="str">
        <f aca="false">IF($A186="","",IFERROR(VLOOKUP($A186,Skills!$A:$C,2,FALSE())&amp;" "&amp;VLOOKUP($A186,Skills!$A:$C,3,FALSE()),"Marsridge Holtgate"))</f>
        <v/>
      </c>
      <c r="C186" s="184" t="n">
        <f aca="false">IFERROR(VLOOKUP(A186,Skills!$A:$D,4,FALSE()),"")</f>
        <v>0</v>
      </c>
      <c r="D186" s="210"/>
      <c r="E186" s="211"/>
      <c r="G186" s="186" t="str">
        <f aca="false">IF(F186="","",WORKDAY(F186-1,E186+IF(I186="",0,I186)))</f>
        <v/>
      </c>
      <c r="I186" s="210"/>
      <c r="J186" s="212" t="str">
        <f aca="true">IF(F186="","",MIN(E186,MAX(0,NETWORKDAYS(F186,TODAY())-IF(I186="",0,I186))))</f>
        <v/>
      </c>
      <c r="K186" s="213" t="str">
        <f aca="true">IF(F186="","",MAX(0,E186-(NETWORKDAYS(F186,TODAY())-IF(I186="",0,I186))))</f>
        <v/>
      </c>
      <c r="L186" s="214"/>
      <c r="M186" s="214" t="str">
        <f aca="true">IFERROR(IF(OR(J186="",J186&lt;=0),"",IF(TODAY()&gt;G186,1,IF(J186-1=0,0,INDEX(OBJECTIVES!$Q$2:$Q$8,MATCH(J186-1,OBJECTIVES!$N$2:$N$8,0))))),"")</f>
        <v/>
      </c>
      <c r="N186" s="214" t="str">
        <f aca="false">IF(OR(M186="",L186=""),"",L186-M186)</f>
        <v/>
      </c>
      <c r="O186" s="212" t="str">
        <f aca="false">IF($P186&lt;&gt;"",$P186,IF(N186="","",IF(N186&lt;=-0.12,"P1",IF(N186&lt;=-0.06,"P2","P3"))))</f>
        <v/>
      </c>
      <c r="Q186" s="0" t="str">
        <f aca="true">IF(F186="","",IF(H186&lt;&gt;"","Terminé",IF(F186&gt;TODAY(),"À venir",IF(G186&lt;TODAY(),"Terminé","En cours"))))</f>
        <v/>
      </c>
      <c r="V186" s="0" t="str">
        <f aca="false">IF(Q186="Terminé",IF(AND(F186&lt;&gt;"",H186&lt;&gt;""),NETWORKDAYS(F186,H186),E186),"")</f>
        <v/>
      </c>
      <c r="W186" s="215" t="str">
        <f aca="false">IF($A186="","",IF(COUNTIF(Skills!$A:$A,$A186)=0,"⚠ ID absent du roster",""))</f>
        <v/>
      </c>
      <c r="X186" s="212"/>
    </row>
    <row r="187" customFormat="false" ht="15" hidden="true" customHeight="true" outlineLevel="0" collapsed="false">
      <c r="B187" s="183" t="str">
        <f aca="false">IF($A187="","",IFERROR(VLOOKUP($A187,Skills!$A:$C,2,FALSE())&amp;" "&amp;VLOOKUP($A187,Skills!$A:$C,3,FALSE()),"Marsridge Holtgate"))</f>
        <v/>
      </c>
      <c r="C187" s="184" t="n">
        <f aca="false">IFERROR(VLOOKUP(A187,Skills!$A:$D,4,FALSE()),"")</f>
        <v>0</v>
      </c>
      <c r="D187" s="210"/>
      <c r="E187" s="211"/>
      <c r="G187" s="186" t="str">
        <f aca="false">IF(F187="","",WORKDAY(F187-1,E187+IF(I187="",0,I187)))</f>
        <v/>
      </c>
      <c r="I187" s="210"/>
      <c r="J187" s="212" t="str">
        <f aca="true">IF(F187="","",MIN(E187,MAX(0,NETWORKDAYS(F187,TODAY())-IF(I187="",0,I187))))</f>
        <v/>
      </c>
      <c r="K187" s="213" t="str">
        <f aca="true">IF(F187="","",MAX(0,E187-(NETWORKDAYS(F187,TODAY())-IF(I187="",0,I187))))</f>
        <v/>
      </c>
      <c r="L187" s="214"/>
      <c r="M187" s="214" t="str">
        <f aca="true">IFERROR(IF(OR(J187="",J187&lt;=0),"",IF(TODAY()&gt;G187,1,IF(J187-1=0,0,INDEX(OBJECTIVES!$Q$2:$Q$8,MATCH(J187-1,OBJECTIVES!$N$2:$N$8,0))))),"")</f>
        <v/>
      </c>
      <c r="N187" s="214" t="str">
        <f aca="false">IF(OR(M187="",L187=""),"",L187-M187)</f>
        <v/>
      </c>
      <c r="O187" s="212" t="str">
        <f aca="false">IF($P187&lt;&gt;"",$P187,IF(N187="","",IF(N187&lt;=-0.12,"P1",IF(N187&lt;=-0.06,"P2","P3"))))</f>
        <v/>
      </c>
      <c r="Q187" s="0" t="str">
        <f aca="true">IF(F187="","",IF(H187&lt;&gt;"","Terminé",IF(F187&gt;TODAY(),"À venir",IF(G187&lt;TODAY(),"Terminé","En cours"))))</f>
        <v/>
      </c>
      <c r="V187" s="0" t="str">
        <f aca="false">IF(Q187="Terminé",IF(AND(F187&lt;&gt;"",H187&lt;&gt;""),NETWORKDAYS(F187,H187),E187),"")</f>
        <v/>
      </c>
      <c r="W187" s="215" t="str">
        <f aca="false">IF($A187="","",IF(COUNTIF(Skills!$A:$A,$A187)=0,"⚠ ID absent du roster",""))</f>
        <v/>
      </c>
      <c r="X187" s="212"/>
    </row>
    <row r="188" customFormat="false" ht="15" hidden="true" customHeight="true" outlineLevel="0" collapsed="false">
      <c r="B188" s="183" t="str">
        <f aca="false">IF($A188="","",IFERROR(VLOOKUP($A188,Skills!$A:$C,2,FALSE())&amp;" "&amp;VLOOKUP($A188,Skills!$A:$C,3,FALSE()),"Marsridge Holtgate"))</f>
        <v/>
      </c>
      <c r="C188" s="184" t="n">
        <f aca="false">IFERROR(VLOOKUP(A188,Skills!$A:$D,4,FALSE()),"")</f>
        <v>0</v>
      </c>
      <c r="D188" s="210"/>
      <c r="E188" s="211"/>
      <c r="G188" s="186" t="str">
        <f aca="false">IF(F188="","",WORKDAY(F188-1,E188+IF(I188="",0,I188)))</f>
        <v/>
      </c>
      <c r="I188" s="210"/>
      <c r="J188" s="212" t="str">
        <f aca="true">IF(F188="","",MIN(E188,MAX(0,NETWORKDAYS(F188,TODAY())-IF(I188="",0,I188))))</f>
        <v/>
      </c>
      <c r="K188" s="213" t="str">
        <f aca="true">IF(F188="","",MAX(0,E188-(NETWORKDAYS(F188,TODAY())-IF(I188="",0,I188))))</f>
        <v/>
      </c>
      <c r="L188" s="214"/>
      <c r="M188" s="214" t="str">
        <f aca="true">IFERROR(IF(OR(J188="",J188&lt;=0),"",IF(TODAY()&gt;G188,1,IF(J188-1=0,0,INDEX(OBJECTIVES!$Q$2:$Q$8,MATCH(J188-1,OBJECTIVES!$N$2:$N$8,0))))),"")</f>
        <v/>
      </c>
      <c r="N188" s="214" t="str">
        <f aca="false">IF(OR(M188="",L188=""),"",L188-M188)</f>
        <v/>
      </c>
      <c r="O188" s="212" t="str">
        <f aca="false">IF($P188&lt;&gt;"",$P188,IF(N188="","",IF(N188&lt;=-0.12,"P1",IF(N188&lt;=-0.06,"P2","P3"))))</f>
        <v/>
      </c>
      <c r="Q188" s="0" t="str">
        <f aca="true">IF(F188="","",IF(H188&lt;&gt;"","Terminé",IF(F188&gt;TODAY(),"À venir",IF(G188&lt;TODAY(),"Terminé","En cours"))))</f>
        <v/>
      </c>
      <c r="V188" s="0" t="str">
        <f aca="false">IF(Q188="Terminé",IF(AND(F188&lt;&gt;"",H188&lt;&gt;""),NETWORKDAYS(F188,H188),E188),"")</f>
        <v/>
      </c>
      <c r="W188" s="215" t="str">
        <f aca="false">IF($A188="","",IF(COUNTIF(Skills!$A:$A,$A188)=0,"⚠ ID absent du roster",""))</f>
        <v/>
      </c>
      <c r="X188" s="212"/>
    </row>
    <row r="189" customFormat="false" ht="15" hidden="true" customHeight="true" outlineLevel="0" collapsed="false">
      <c r="B189" s="183" t="str">
        <f aca="false">IF($A189="","",IFERROR(VLOOKUP($A189,Skills!$A:$C,2,FALSE())&amp;" "&amp;VLOOKUP($A189,Skills!$A:$C,3,FALSE()),"Marsridge Holtgate"))</f>
        <v/>
      </c>
      <c r="C189" s="184" t="n">
        <f aca="false">IFERROR(VLOOKUP(A189,Skills!$A:$D,4,FALSE()),"")</f>
        <v>0</v>
      </c>
      <c r="D189" s="210"/>
      <c r="E189" s="211"/>
      <c r="G189" s="186" t="str">
        <f aca="false">IF(F189="","",WORKDAY(F189-1,E189+IF(I189="",0,I189)))</f>
        <v/>
      </c>
      <c r="I189" s="210"/>
      <c r="J189" s="212" t="str">
        <f aca="true">IF(F189="","",MIN(E189,MAX(0,NETWORKDAYS(F189,TODAY())-IF(I189="",0,I189))))</f>
        <v/>
      </c>
      <c r="K189" s="213" t="str">
        <f aca="true">IF(F189="","",MAX(0,E189-(NETWORKDAYS(F189,TODAY())-IF(I189="",0,I189))))</f>
        <v/>
      </c>
      <c r="L189" s="214"/>
      <c r="M189" s="214" t="str">
        <f aca="true">IFERROR(IF(OR(J189="",J189&lt;=0),"",IF(TODAY()&gt;G189,1,IF(J189-1=0,0,INDEX(OBJECTIVES!$Q$2:$Q$8,MATCH(J189-1,OBJECTIVES!$N$2:$N$8,0))))),"")</f>
        <v/>
      </c>
      <c r="N189" s="214" t="str">
        <f aca="false">IF(OR(M189="",L189=""),"",L189-M189)</f>
        <v/>
      </c>
      <c r="O189" s="212" t="str">
        <f aca="false">IF($P189&lt;&gt;"",$P189,IF(N189="","",IF(N189&lt;=-0.12,"P1",IF(N189&lt;=-0.06,"P2","P3"))))</f>
        <v/>
      </c>
      <c r="Q189" s="0" t="str">
        <f aca="true">IF(F189="","",IF(H189&lt;&gt;"","Terminé",IF(F189&gt;TODAY(),"À venir",IF(G189&lt;TODAY(),"Terminé","En cours"))))</f>
        <v/>
      </c>
      <c r="V189" s="0" t="str">
        <f aca="false">IF(Q189="Terminé",IF(AND(F189&lt;&gt;"",H189&lt;&gt;""),NETWORKDAYS(F189,H189),E189),"")</f>
        <v/>
      </c>
      <c r="W189" s="215" t="str">
        <f aca="false">IF($A189="","",IF(COUNTIF(Skills!$A:$A,$A189)=0,"⚠ ID absent du roster",""))</f>
        <v/>
      </c>
      <c r="X189" s="212"/>
    </row>
    <row r="190" customFormat="false" ht="15" hidden="true" customHeight="true" outlineLevel="0" collapsed="false">
      <c r="B190" s="183" t="str">
        <f aca="false">IF($A190="","",IFERROR(VLOOKUP($A190,Skills!$A:$C,2,FALSE())&amp;" "&amp;VLOOKUP($A190,Skills!$A:$C,3,FALSE()),"Marsridge Holtgate"))</f>
        <v/>
      </c>
      <c r="C190" s="184" t="n">
        <f aca="false">IFERROR(VLOOKUP(A190,Skills!$A:$D,4,FALSE()),"")</f>
        <v>0</v>
      </c>
      <c r="D190" s="210"/>
      <c r="E190" s="211"/>
      <c r="G190" s="186" t="str">
        <f aca="false">IF(F190="","",WORKDAY(F190-1,E190+IF(I190="",0,I190)))</f>
        <v/>
      </c>
      <c r="I190" s="210"/>
      <c r="J190" s="212" t="str">
        <f aca="true">IF(F190="","",MIN(E190,MAX(0,NETWORKDAYS(F190,TODAY())-IF(I190="",0,I190))))</f>
        <v/>
      </c>
      <c r="K190" s="213" t="str">
        <f aca="true">IF(F190="","",MAX(0,E190-(NETWORKDAYS(F190,TODAY())-IF(I190="",0,I190))))</f>
        <v/>
      </c>
      <c r="L190" s="214"/>
      <c r="M190" s="214" t="str">
        <f aca="true">IFERROR(IF(OR(J190="",J190&lt;=0),"",IF(TODAY()&gt;G190,1,IF(J190-1=0,0,INDEX(OBJECTIVES!$Q$2:$Q$8,MATCH(J190-1,OBJECTIVES!$N$2:$N$8,0))))),"")</f>
        <v/>
      </c>
      <c r="N190" s="214" t="str">
        <f aca="false">IF(OR(M190="",L190=""),"",L190-M190)</f>
        <v/>
      </c>
      <c r="O190" s="212" t="str">
        <f aca="false">IF($P190&lt;&gt;"",$P190,IF(N190="","",IF(N190&lt;=-0.12,"P1",IF(N190&lt;=-0.06,"P2","P3"))))</f>
        <v/>
      </c>
      <c r="Q190" s="0" t="str">
        <f aca="true">IF(F190="","",IF(H190&lt;&gt;"","Terminé",IF(F190&gt;TODAY(),"À venir",IF(G190&lt;TODAY(),"Terminé","En cours"))))</f>
        <v/>
      </c>
      <c r="V190" s="0" t="str">
        <f aca="false">IF(Q190="Terminé",IF(AND(F190&lt;&gt;"",H190&lt;&gt;""),NETWORKDAYS(F190,H190),E190),"")</f>
        <v/>
      </c>
      <c r="W190" s="215" t="str">
        <f aca="false">IF($A190="","",IF(COUNTIF(Skills!$A:$A,$A190)=0,"⚠ ID absent du roster",""))</f>
        <v/>
      </c>
      <c r="X190" s="212"/>
    </row>
    <row r="191" customFormat="false" ht="15" hidden="true" customHeight="true" outlineLevel="0" collapsed="false">
      <c r="B191" s="183" t="str">
        <f aca="false">IF($A191="","",IFERROR(VLOOKUP($A191,Skills!$A:$C,2,FALSE())&amp;" "&amp;VLOOKUP($A191,Skills!$A:$C,3,FALSE()),"Marsridge Holtgate"))</f>
        <v/>
      </c>
      <c r="C191" s="184" t="n">
        <f aca="false">IFERROR(VLOOKUP(A191,Skills!$A:$D,4,FALSE()),"")</f>
        <v>0</v>
      </c>
      <c r="D191" s="210"/>
      <c r="E191" s="211"/>
      <c r="G191" s="186" t="str">
        <f aca="false">IF(F191="","",WORKDAY(F191-1,E191+IF(I191="",0,I191)))</f>
        <v/>
      </c>
      <c r="I191" s="210"/>
      <c r="J191" s="212" t="str">
        <f aca="true">IF(F191="","",MIN(E191,MAX(0,NETWORKDAYS(F191,TODAY())-IF(I191="",0,I191))))</f>
        <v/>
      </c>
      <c r="K191" s="213" t="str">
        <f aca="true">IF(F191="","",MAX(0,E191-(NETWORKDAYS(F191,TODAY())-IF(I191="",0,I191))))</f>
        <v/>
      </c>
      <c r="L191" s="214"/>
      <c r="M191" s="214" t="str">
        <f aca="true">IFERROR(IF(OR(J191="",J191&lt;=0),"",IF(TODAY()&gt;G191,1,IF(J191-1=0,0,INDEX(OBJECTIVES!$Q$2:$Q$8,MATCH(J191-1,OBJECTIVES!$N$2:$N$8,0))))),"")</f>
        <v/>
      </c>
      <c r="N191" s="214" t="str">
        <f aca="false">IF(OR(M191="",L191=""),"",L191-M191)</f>
        <v/>
      </c>
      <c r="O191" s="212" t="str">
        <f aca="false">IF($P191&lt;&gt;"",$P191,IF(N191="","",IF(N191&lt;=-0.12,"P1",IF(N191&lt;=-0.06,"P2","P3"))))</f>
        <v/>
      </c>
      <c r="Q191" s="0" t="str">
        <f aca="true">IF(F191="","",IF(H191&lt;&gt;"","Terminé",IF(F191&gt;TODAY(),"À venir",IF(G191&lt;TODAY(),"Terminé","En cours"))))</f>
        <v/>
      </c>
      <c r="V191" s="0" t="str">
        <f aca="false">IF(Q191="Terminé",IF(AND(F191&lt;&gt;"",H191&lt;&gt;""),NETWORKDAYS(F191,H191),E191),"")</f>
        <v/>
      </c>
      <c r="W191" s="215" t="str">
        <f aca="false">IF($A191="","",IF(COUNTIF(Skills!$A:$A,$A191)=0,"⚠ ID absent du roster",""))</f>
        <v/>
      </c>
      <c r="X191" s="212"/>
    </row>
    <row r="192" customFormat="false" ht="15" hidden="true" customHeight="true" outlineLevel="0" collapsed="false">
      <c r="B192" s="183" t="str">
        <f aca="false">IF($A192="","",IFERROR(VLOOKUP($A192,Skills!$A:$C,2,FALSE())&amp;" "&amp;VLOOKUP($A192,Skills!$A:$C,3,FALSE()),"Marsridge Holtgate"))</f>
        <v/>
      </c>
      <c r="C192" s="184" t="n">
        <f aca="false">IFERROR(VLOOKUP(A192,Skills!$A:$D,4,FALSE()),"")</f>
        <v>0</v>
      </c>
      <c r="D192" s="210"/>
      <c r="E192" s="211"/>
      <c r="G192" s="186" t="str">
        <f aca="false">IF(F192="","",WORKDAY(F192-1,E192+IF(I192="",0,I192)))</f>
        <v/>
      </c>
      <c r="I192" s="210"/>
      <c r="J192" s="212" t="str">
        <f aca="true">IF(F192="","",MIN(E192,MAX(0,NETWORKDAYS(F192,TODAY())-IF(I192="",0,I192))))</f>
        <v/>
      </c>
      <c r="K192" s="213" t="str">
        <f aca="true">IF(F192="","",MAX(0,E192-(NETWORKDAYS(F192,TODAY())-IF(I192="",0,I192))))</f>
        <v/>
      </c>
      <c r="L192" s="214"/>
      <c r="M192" s="214" t="str">
        <f aca="true">IFERROR(IF(OR(J192="",J192&lt;=0),"",IF(TODAY()&gt;G192,1,IF(J192-1=0,0,INDEX(OBJECTIVES!$Q$2:$Q$8,MATCH(J192-1,OBJECTIVES!$N$2:$N$8,0))))),"")</f>
        <v/>
      </c>
      <c r="N192" s="214" t="str">
        <f aca="false">IF(OR(M192="",L192=""),"",L192-M192)</f>
        <v/>
      </c>
      <c r="O192" s="212" t="str">
        <f aca="false">IF($P192&lt;&gt;"",$P192,IF(N192="","",IF(N192&lt;=-0.12,"P1",IF(N192&lt;=-0.06,"P2","P3"))))</f>
        <v/>
      </c>
      <c r="Q192" s="0" t="str">
        <f aca="true">IF(F192="","",IF(H192&lt;&gt;"","Terminé",IF(F192&gt;TODAY(),"À venir",IF(G192&lt;TODAY(),"Terminé","En cours"))))</f>
        <v/>
      </c>
      <c r="V192" s="0" t="str">
        <f aca="false">IF(Q192="Terminé",IF(AND(F192&lt;&gt;"",H192&lt;&gt;""),NETWORKDAYS(F192,H192),E192),"")</f>
        <v/>
      </c>
      <c r="W192" s="215" t="str">
        <f aca="false">IF($A192="","",IF(COUNTIF(Skills!$A:$A,$A192)=0,"⚠ ID absent du roster",""))</f>
        <v/>
      </c>
      <c r="X192" s="212"/>
    </row>
    <row r="193" customFormat="false" ht="15" hidden="true" customHeight="true" outlineLevel="0" collapsed="false">
      <c r="B193" s="183" t="str">
        <f aca="false">IF($A193="","",IFERROR(VLOOKUP($A193,Skills!$A:$C,2,FALSE())&amp;" "&amp;VLOOKUP($A193,Skills!$A:$C,3,FALSE()),"Marsridge Holtgate"))</f>
        <v/>
      </c>
      <c r="C193" s="184" t="n">
        <f aca="false">IFERROR(VLOOKUP(A193,Skills!$A:$D,4,FALSE()),"")</f>
        <v>0</v>
      </c>
      <c r="D193" s="210"/>
      <c r="E193" s="211"/>
      <c r="G193" s="186" t="str">
        <f aca="false">IF(F193="","",WORKDAY(F193-1,E193+IF(I193="",0,I193)))</f>
        <v/>
      </c>
      <c r="I193" s="210"/>
      <c r="J193" s="212" t="str">
        <f aca="true">IF(F193="","",MIN(E193,MAX(0,NETWORKDAYS(F193,TODAY())-IF(I193="",0,I193))))</f>
        <v/>
      </c>
      <c r="K193" s="213" t="str">
        <f aca="true">IF(F193="","",MAX(0,E193-(NETWORKDAYS(F193,TODAY())-IF(I193="",0,I193))))</f>
        <v/>
      </c>
      <c r="L193" s="214"/>
      <c r="M193" s="214" t="str">
        <f aca="true">IFERROR(IF(OR(J193="",J193&lt;=0),"",IF(TODAY()&gt;G193,1,IF(J193-1=0,0,INDEX(OBJECTIVES!$Q$2:$Q$8,MATCH(J193-1,OBJECTIVES!$N$2:$N$8,0))))),"")</f>
        <v/>
      </c>
      <c r="N193" s="214" t="str">
        <f aca="false">IF(OR(M193="",L193=""),"",L193-M193)</f>
        <v/>
      </c>
      <c r="O193" s="212" t="str">
        <f aca="false">IF($P193&lt;&gt;"",$P193,IF(N193="","",IF(N193&lt;=-0.12,"P1",IF(N193&lt;=-0.06,"P2","P3"))))</f>
        <v/>
      </c>
      <c r="Q193" s="0" t="str">
        <f aca="true">IF(F193="","",IF(H193&lt;&gt;"","Terminé",IF(F193&gt;TODAY(),"À venir",IF(G193&lt;TODAY(),"Terminé","En cours"))))</f>
        <v/>
      </c>
      <c r="V193" s="0" t="str">
        <f aca="false">IF(Q193="Terminé",IF(AND(F193&lt;&gt;"",H193&lt;&gt;""),NETWORKDAYS(F193,H193),E193),"")</f>
        <v/>
      </c>
      <c r="W193" s="215" t="str">
        <f aca="false">IF($A193="","",IF(COUNTIF(Skills!$A:$A,$A193)=0,"⚠ ID absent du roster",""))</f>
        <v/>
      </c>
      <c r="X193" s="212"/>
    </row>
    <row r="194" customFormat="false" ht="15" hidden="true" customHeight="true" outlineLevel="0" collapsed="false">
      <c r="B194" s="183" t="str">
        <f aca="false">IF($A194="","",IFERROR(VLOOKUP($A194,Skills!$A:$C,2,FALSE())&amp;" "&amp;VLOOKUP($A194,Skills!$A:$C,3,FALSE()),"Marsridge Holtgate"))</f>
        <v/>
      </c>
      <c r="C194" s="184" t="n">
        <f aca="false">IFERROR(VLOOKUP(A194,Skills!$A:$D,4,FALSE()),"")</f>
        <v>0</v>
      </c>
      <c r="D194" s="210"/>
      <c r="E194" s="211"/>
      <c r="G194" s="186" t="str">
        <f aca="false">IF(F194="","",WORKDAY(F194-1,E194+IF(I194="",0,I194)))</f>
        <v/>
      </c>
      <c r="I194" s="210"/>
      <c r="J194" s="212" t="str">
        <f aca="true">IF(F194="","",MIN(E194,MAX(0,NETWORKDAYS(F194,TODAY())-IF(I194="",0,I194))))</f>
        <v/>
      </c>
      <c r="K194" s="213" t="str">
        <f aca="true">IF(F194="","",MAX(0,E194-(NETWORKDAYS(F194,TODAY())-IF(I194="",0,I194))))</f>
        <v/>
      </c>
      <c r="L194" s="214"/>
      <c r="M194" s="214" t="str">
        <f aca="true">IFERROR(IF(OR(J194="",J194&lt;=0),"",IF(TODAY()&gt;G194,1,IF(J194-1=0,0,INDEX(OBJECTIVES!$Q$2:$Q$8,MATCH(J194-1,OBJECTIVES!$N$2:$N$8,0))))),"")</f>
        <v/>
      </c>
      <c r="N194" s="214" t="str">
        <f aca="false">IF(OR(M194="",L194=""),"",L194-M194)</f>
        <v/>
      </c>
      <c r="O194" s="212" t="str">
        <f aca="false">IF($P194&lt;&gt;"",$P194,IF(N194="","",IF(N194&lt;=-0.12,"P1",IF(N194&lt;=-0.06,"P2","P3"))))</f>
        <v/>
      </c>
      <c r="Q194" s="0" t="str">
        <f aca="true">IF(F194="","",IF(H194&lt;&gt;"","Terminé",IF(F194&gt;TODAY(),"À venir",IF(G194&lt;TODAY(),"Terminé","En cours"))))</f>
        <v/>
      </c>
      <c r="V194" s="0" t="str">
        <f aca="false">IF(Q194="Terminé",IF(AND(F194&lt;&gt;"",H194&lt;&gt;""),NETWORKDAYS(F194,H194),E194),"")</f>
        <v/>
      </c>
      <c r="W194" s="215" t="str">
        <f aca="false">IF($A194="","",IF(COUNTIF(Skills!$A:$A,$A194)=0,"⚠ ID absent du roster",""))</f>
        <v/>
      </c>
      <c r="X194" s="212"/>
    </row>
    <row r="195" customFormat="false" ht="15" hidden="true" customHeight="true" outlineLevel="0" collapsed="false">
      <c r="B195" s="183" t="str">
        <f aca="false">IF($A195="","",IFERROR(VLOOKUP($A195,Skills!$A:$C,2,FALSE())&amp;" "&amp;VLOOKUP($A195,Skills!$A:$C,3,FALSE()),"Marsridge Holtgate"))</f>
        <v/>
      </c>
      <c r="C195" s="184" t="n">
        <f aca="false">IFERROR(VLOOKUP(A195,Skills!$A:$D,4,FALSE()),"")</f>
        <v>0</v>
      </c>
      <c r="D195" s="210"/>
      <c r="E195" s="211"/>
      <c r="G195" s="186" t="str">
        <f aca="false">IF(F195="","",WORKDAY(F195-1,E195+IF(I195="",0,I195)))</f>
        <v/>
      </c>
      <c r="I195" s="210"/>
      <c r="J195" s="212" t="str">
        <f aca="true">IF(F195="","",MIN(E195,MAX(0,NETWORKDAYS(F195,TODAY())-IF(I195="",0,I195))))</f>
        <v/>
      </c>
      <c r="K195" s="213" t="str">
        <f aca="true">IF(F195="","",MAX(0,E195-(NETWORKDAYS(F195,TODAY())-IF(I195="",0,I195))))</f>
        <v/>
      </c>
      <c r="L195" s="214"/>
      <c r="M195" s="214" t="str">
        <f aca="true">IFERROR(IF(OR(J195="",J195&lt;=0),"",IF(TODAY()&gt;G195,1,IF(J195-1=0,0,INDEX(OBJECTIVES!$Q$2:$Q$8,MATCH(J195-1,OBJECTIVES!$N$2:$N$8,0))))),"")</f>
        <v/>
      </c>
      <c r="N195" s="214" t="str">
        <f aca="false">IF(OR(M195="",L195=""),"",L195-M195)</f>
        <v/>
      </c>
      <c r="O195" s="212" t="str">
        <f aca="false">IF($P195&lt;&gt;"",$P195,IF(N195="","",IF(N195&lt;=-0.12,"P1",IF(N195&lt;=-0.06,"P2","P3"))))</f>
        <v/>
      </c>
      <c r="Q195" s="0" t="str">
        <f aca="true">IF(F195="","",IF(H195&lt;&gt;"","Terminé",IF(F195&gt;TODAY(),"À venir",IF(G195&lt;TODAY(),"Terminé","En cours"))))</f>
        <v/>
      </c>
      <c r="V195" s="0" t="str">
        <f aca="false">IF(Q195="Terminé",IF(AND(F195&lt;&gt;"",H195&lt;&gt;""),NETWORKDAYS(F195,H195),E195),"")</f>
        <v/>
      </c>
      <c r="W195" s="215" t="str">
        <f aca="false">IF($A195="","",IF(COUNTIF(Skills!$A:$A,$A195)=0,"⚠ ID absent du roster",""))</f>
        <v/>
      </c>
      <c r="X195" s="212"/>
    </row>
    <row r="196" customFormat="false" ht="15" hidden="true" customHeight="true" outlineLevel="0" collapsed="false">
      <c r="B196" s="183" t="str">
        <f aca="false">IF($A196="","",IFERROR(VLOOKUP($A196,Skills!$A:$C,2,FALSE())&amp;" "&amp;VLOOKUP($A196,Skills!$A:$C,3,FALSE()),"Marsridge Holtgate"))</f>
        <v/>
      </c>
      <c r="C196" s="184" t="n">
        <f aca="false">IFERROR(VLOOKUP(A196,Skills!$A:$D,4,FALSE()),"")</f>
        <v>0</v>
      </c>
      <c r="D196" s="210"/>
      <c r="E196" s="211"/>
      <c r="G196" s="186" t="str">
        <f aca="false">IF(F196="","",WORKDAY(F196-1,E196+IF(I196="",0,I196)))</f>
        <v/>
      </c>
      <c r="I196" s="210"/>
      <c r="J196" s="212" t="str">
        <f aca="true">IF(F196="","",MIN(E196,MAX(0,NETWORKDAYS(F196,TODAY())-IF(I196="",0,I196))))</f>
        <v/>
      </c>
      <c r="K196" s="213" t="str">
        <f aca="true">IF(F196="","",MAX(0,E196-(NETWORKDAYS(F196,TODAY())-IF(I196="",0,I196))))</f>
        <v/>
      </c>
      <c r="L196" s="214"/>
      <c r="M196" s="214" t="str">
        <f aca="true">IFERROR(IF(OR(J196="",J196&lt;=0),"",IF(TODAY()&gt;G196,1,IF(J196-1=0,0,INDEX(OBJECTIVES!$Q$2:$Q$8,MATCH(J196-1,OBJECTIVES!$N$2:$N$8,0))))),"")</f>
        <v/>
      </c>
      <c r="N196" s="214" t="str">
        <f aca="false">IF(OR(M196="",L196=""),"",L196-M196)</f>
        <v/>
      </c>
      <c r="O196" s="212" t="str">
        <f aca="false">IF($P196&lt;&gt;"",$P196,IF(N196="","",IF(N196&lt;=-0.12,"P1",IF(N196&lt;=-0.06,"P2","P3"))))</f>
        <v/>
      </c>
      <c r="Q196" s="0" t="str">
        <f aca="true">IF(F196="","",IF(H196&lt;&gt;"","Terminé",IF(F196&gt;TODAY(),"À venir",IF(G196&lt;TODAY(),"Terminé","En cours"))))</f>
        <v/>
      </c>
      <c r="V196" s="0" t="str">
        <f aca="false">IF(Q196="Terminé",IF(AND(F196&lt;&gt;"",H196&lt;&gt;""),NETWORKDAYS(F196,H196),E196),"")</f>
        <v/>
      </c>
      <c r="W196" s="215" t="str">
        <f aca="false">IF($A196="","",IF(COUNTIF(Skills!$A:$A,$A196)=0,"⚠ ID absent du roster",""))</f>
        <v/>
      </c>
      <c r="X196" s="212"/>
    </row>
    <row r="197" customFormat="false" ht="15" hidden="true" customHeight="true" outlineLevel="0" collapsed="false">
      <c r="B197" s="183" t="str">
        <f aca="false">IF($A197="","",IFERROR(VLOOKUP($A197,Skills!$A:$C,2,FALSE())&amp;" "&amp;VLOOKUP($A197,Skills!$A:$C,3,FALSE()),"Marsridge Holtgate"))</f>
        <v/>
      </c>
      <c r="C197" s="184" t="n">
        <f aca="false">IFERROR(VLOOKUP(A197,Skills!$A:$D,4,FALSE()),"")</f>
        <v>0</v>
      </c>
      <c r="D197" s="210"/>
      <c r="E197" s="211"/>
      <c r="G197" s="186" t="str">
        <f aca="false">IF(F197="","",WORKDAY(F197-1,E197+IF(I197="",0,I197)))</f>
        <v/>
      </c>
      <c r="I197" s="210"/>
      <c r="J197" s="212" t="str">
        <f aca="true">IF(F197="","",MIN(E197,MAX(0,NETWORKDAYS(F197,TODAY())-IF(I197="",0,I197))))</f>
        <v/>
      </c>
      <c r="K197" s="213" t="str">
        <f aca="true">IF(F197="","",MAX(0,E197-(NETWORKDAYS(F197,TODAY())-IF(I197="",0,I197))))</f>
        <v/>
      </c>
      <c r="L197" s="214"/>
      <c r="M197" s="214" t="str">
        <f aca="true">IFERROR(IF(OR(J197="",J197&lt;=0),"",IF(TODAY()&gt;G197,1,IF(J197-1=0,0,INDEX(OBJECTIVES!$Q$2:$Q$8,MATCH(J197-1,OBJECTIVES!$N$2:$N$8,0))))),"")</f>
        <v/>
      </c>
      <c r="N197" s="214" t="str">
        <f aca="false">IF(OR(M197="",L197=""),"",L197-M197)</f>
        <v/>
      </c>
      <c r="O197" s="212" t="str">
        <f aca="false">IF($P197&lt;&gt;"",$P197,IF(N197="","",IF(N197&lt;=-0.12,"P1",IF(N197&lt;=-0.06,"P2","P3"))))</f>
        <v/>
      </c>
      <c r="Q197" s="0" t="str">
        <f aca="true">IF(F197="","",IF(H197&lt;&gt;"","Terminé",IF(F197&gt;TODAY(),"À venir",IF(G197&lt;TODAY(),"Terminé","En cours"))))</f>
        <v/>
      </c>
      <c r="V197" s="0" t="str">
        <f aca="false">IF(Q197="Terminé",IF(AND(F197&lt;&gt;"",H197&lt;&gt;""),NETWORKDAYS(F197,H197),E197),"")</f>
        <v/>
      </c>
      <c r="W197" s="215" t="str">
        <f aca="false">IF($A197="","",IF(COUNTIF(Skills!$A:$A,$A197)=0,"⚠ ID absent du roster",""))</f>
        <v/>
      </c>
      <c r="X197" s="212"/>
    </row>
    <row r="198" customFormat="false" ht="15" hidden="true" customHeight="true" outlineLevel="0" collapsed="false">
      <c r="B198" s="183" t="str">
        <f aca="false">IF($A198="","",IFERROR(VLOOKUP($A198,Skills!$A:$C,2,FALSE())&amp;" "&amp;VLOOKUP($A198,Skills!$A:$C,3,FALSE()),"Marsridge Holtgate"))</f>
        <v/>
      </c>
      <c r="C198" s="184" t="n">
        <f aca="false">IFERROR(VLOOKUP(A198,Skills!$A:$D,4,FALSE()),"")</f>
        <v>0</v>
      </c>
      <c r="D198" s="210"/>
      <c r="E198" s="211"/>
      <c r="G198" s="186" t="str">
        <f aca="false">IF(F198="","",WORKDAY(F198-1,E198+IF(I198="",0,I198)))</f>
        <v/>
      </c>
      <c r="I198" s="210"/>
      <c r="J198" s="212" t="str">
        <f aca="true">IF(F198="","",MIN(E198,MAX(0,NETWORKDAYS(F198,TODAY())-IF(I198="",0,I198))))</f>
        <v/>
      </c>
      <c r="K198" s="213" t="str">
        <f aca="true">IF(F198="","",MAX(0,E198-(NETWORKDAYS(F198,TODAY())-IF(I198="",0,I198))))</f>
        <v/>
      </c>
      <c r="L198" s="214"/>
      <c r="M198" s="214" t="str">
        <f aca="true">IFERROR(IF(OR(J198="",J198&lt;=0),"",IF(TODAY()&gt;G198,1,IF(J198-1=0,0,INDEX(OBJECTIVES!$Q$2:$Q$8,MATCH(J198-1,OBJECTIVES!$N$2:$N$8,0))))),"")</f>
        <v/>
      </c>
      <c r="N198" s="214" t="str">
        <f aca="false">IF(OR(M198="",L198=""),"",L198-M198)</f>
        <v/>
      </c>
      <c r="O198" s="212" t="str">
        <f aca="false">IF($P198&lt;&gt;"",$P198,IF(N198="","",IF(N198&lt;=-0.12,"P1",IF(N198&lt;=-0.06,"P2","P3"))))</f>
        <v/>
      </c>
      <c r="Q198" s="0" t="str">
        <f aca="true">IF(F198="","",IF(H198&lt;&gt;"","Terminé",IF(F198&gt;TODAY(),"À venir",IF(G198&lt;TODAY(),"Terminé","En cours"))))</f>
        <v/>
      </c>
      <c r="V198" s="0" t="str">
        <f aca="false">IF(Q198="Terminé",IF(AND(F198&lt;&gt;"",H198&lt;&gt;""),NETWORKDAYS(F198,H198),E198),"")</f>
        <v/>
      </c>
      <c r="W198" s="215" t="str">
        <f aca="false">IF($A198="","",IF(COUNTIF(Skills!$A:$A,$A198)=0,"⚠ ID absent du roster",""))</f>
        <v/>
      </c>
      <c r="X198" s="212"/>
    </row>
    <row r="199" customFormat="false" ht="15" hidden="true" customHeight="true" outlineLevel="0" collapsed="false">
      <c r="B199" s="183" t="str">
        <f aca="false">IF($A199="","",IFERROR(VLOOKUP($A199,Skills!$A:$C,2,FALSE())&amp;" "&amp;VLOOKUP($A199,Skills!$A:$C,3,FALSE()),"Marsridge Holtgate"))</f>
        <v/>
      </c>
      <c r="C199" s="184" t="n">
        <f aca="false">IFERROR(VLOOKUP(A199,Skills!$A:$D,4,FALSE()),"")</f>
        <v>0</v>
      </c>
      <c r="D199" s="210"/>
      <c r="E199" s="211"/>
      <c r="G199" s="186" t="str">
        <f aca="false">IF(F199="","",WORKDAY(F199-1,E199+IF(I199="",0,I199)))</f>
        <v/>
      </c>
      <c r="I199" s="210"/>
      <c r="J199" s="212" t="str">
        <f aca="true">IF(F199="","",MIN(E199,MAX(0,NETWORKDAYS(F199,TODAY())-IF(I199="",0,I199))))</f>
        <v/>
      </c>
      <c r="K199" s="213" t="str">
        <f aca="true">IF(F199="","",MAX(0,E199-(NETWORKDAYS(F199,TODAY())-IF(I199="",0,I199))))</f>
        <v/>
      </c>
      <c r="L199" s="214"/>
      <c r="M199" s="214" t="str">
        <f aca="true">IFERROR(IF(OR(J199="",J199&lt;=0),"",IF(TODAY()&gt;G199,1,IF(J199-1=0,0,INDEX(OBJECTIVES!$Q$2:$Q$8,MATCH(J199-1,OBJECTIVES!$N$2:$N$8,0))))),"")</f>
        <v/>
      </c>
      <c r="N199" s="214" t="str">
        <f aca="false">IF(OR(M199="",L199=""),"",L199-M199)</f>
        <v/>
      </c>
      <c r="O199" s="212" t="str">
        <f aca="false">IF($P199&lt;&gt;"",$P199,IF(N199="","",IF(N199&lt;=-0.12,"P1",IF(N199&lt;=-0.06,"P2","P3"))))</f>
        <v/>
      </c>
      <c r="Q199" s="0" t="str">
        <f aca="true">IF(F199="","",IF(H199&lt;&gt;"","Terminé",IF(F199&gt;TODAY(),"À venir",IF(G199&lt;TODAY(),"Terminé","En cours"))))</f>
        <v/>
      </c>
      <c r="V199" s="0" t="str">
        <f aca="false">IF(Q199="Terminé",IF(AND(F199&lt;&gt;"",H199&lt;&gt;""),NETWORKDAYS(F199,H199),E199),"")</f>
        <v/>
      </c>
      <c r="W199" s="215" t="str">
        <f aca="false">IF($A199="","",IF(COUNTIF(Skills!$A:$A,$A199)=0,"⚠ ID absent du roster",""))</f>
        <v/>
      </c>
      <c r="X199" s="212"/>
    </row>
    <row r="200" customFormat="false" ht="15" hidden="true" customHeight="true" outlineLevel="0" collapsed="false">
      <c r="B200" s="183" t="str">
        <f aca="false">IF($A200="","",IFERROR(VLOOKUP($A200,Skills!$A:$C,2,FALSE())&amp;" "&amp;VLOOKUP($A200,Skills!$A:$C,3,FALSE()),"Marsridge Holtgate"))</f>
        <v/>
      </c>
      <c r="C200" s="184" t="n">
        <f aca="false">IFERROR(VLOOKUP(A200,Skills!$A:$D,4,FALSE()),"")</f>
        <v>0</v>
      </c>
      <c r="D200" s="210"/>
      <c r="E200" s="211"/>
      <c r="G200" s="186" t="str">
        <f aca="false">IF(F200="","",WORKDAY(F200-1,E200+IF(I200="",0,I200)))</f>
        <v/>
      </c>
      <c r="I200" s="210"/>
      <c r="J200" s="212" t="str">
        <f aca="true">IF(F200="","",MIN(E200,MAX(0,NETWORKDAYS(F200,TODAY())-IF(I200="",0,I200))))</f>
        <v/>
      </c>
      <c r="K200" s="213" t="str">
        <f aca="true">IF(F200="","",MAX(0,E200-(NETWORKDAYS(F200,TODAY())-IF(I200="",0,I200))))</f>
        <v/>
      </c>
      <c r="L200" s="214"/>
      <c r="M200" s="214" t="str">
        <f aca="true">IFERROR(IF(OR(J200="",J200&lt;=0),"",IF(TODAY()&gt;G200,1,IF(J200-1=0,0,INDEX(OBJECTIVES!$Q$2:$Q$8,MATCH(J200-1,OBJECTIVES!$N$2:$N$8,0))))),"")</f>
        <v/>
      </c>
      <c r="N200" s="214" t="str">
        <f aca="false">IF(OR(M200="",L200=""),"",L200-M200)</f>
        <v/>
      </c>
      <c r="O200" s="212" t="str">
        <f aca="false">IF($P200&lt;&gt;"",$P200,IF(N200="","",IF(N200&lt;=-0.12,"P1",IF(N200&lt;=-0.06,"P2","P3"))))</f>
        <v/>
      </c>
      <c r="Q200" s="0" t="str">
        <f aca="true">IF(F200="","",IF(H200&lt;&gt;"","Terminé",IF(F200&gt;TODAY(),"À venir",IF(G200&lt;TODAY(),"Terminé","En cours"))))</f>
        <v/>
      </c>
      <c r="V200" s="0" t="str">
        <f aca="false">IF(Q200="Terminé",IF(AND(F200&lt;&gt;"",H200&lt;&gt;""),NETWORKDAYS(F200,H200),E200),"")</f>
        <v/>
      </c>
      <c r="W200" s="215" t="str">
        <f aca="false">IF($A200="","",IF(COUNTIF(Skills!$A:$A,$A200)=0,"⚠ ID absent du roster",""))</f>
        <v/>
      </c>
      <c r="X200" s="212"/>
    </row>
    <row r="201" customFormat="false" ht="15" hidden="true" customHeight="true" outlineLevel="0" collapsed="false">
      <c r="B201" s="183" t="str">
        <f aca="false">IF($A201="","",IFERROR(VLOOKUP($A201,Skills!$A:$C,2,FALSE())&amp;" "&amp;VLOOKUP($A201,Skills!$A:$C,3,FALSE()),"Marsridge Holtgate"))</f>
        <v/>
      </c>
      <c r="C201" s="184" t="n">
        <f aca="false">IFERROR(VLOOKUP(A201,Skills!$A:$D,4,FALSE()),"")</f>
        <v>0</v>
      </c>
      <c r="D201" s="210"/>
      <c r="E201" s="211"/>
      <c r="G201" s="186" t="str">
        <f aca="false">IF(F201="","",WORKDAY(F201-1,E201+IF(I201="",0,I201)))</f>
        <v/>
      </c>
      <c r="I201" s="210"/>
      <c r="J201" s="212" t="str">
        <f aca="true">IF(F201="","",MIN(E201,MAX(0,NETWORKDAYS(F201,TODAY())-IF(I201="",0,I201))))</f>
        <v/>
      </c>
      <c r="K201" s="213" t="str">
        <f aca="true">IF(F201="","",MAX(0,E201-(NETWORKDAYS(F201,TODAY())-IF(I201="",0,I201))))</f>
        <v/>
      </c>
      <c r="L201" s="214"/>
      <c r="M201" s="214" t="str">
        <f aca="true">IFERROR(IF(OR(J201="",J201&lt;=0),"",IF(TODAY()&gt;G201,1,IF(J201-1=0,0,INDEX(OBJECTIVES!$Q$2:$Q$8,MATCH(J201-1,OBJECTIVES!$N$2:$N$8,0))))),"")</f>
        <v/>
      </c>
      <c r="N201" s="214" t="str">
        <f aca="false">IF(OR(M201="",L201=""),"",L201-M201)</f>
        <v/>
      </c>
      <c r="O201" s="212" t="str">
        <f aca="false">IF($P201&lt;&gt;"",$P201,IF(N201="","",IF(N201&lt;=-0.12,"P1",IF(N201&lt;=-0.06,"P2","P3"))))</f>
        <v/>
      </c>
      <c r="Q201" s="0" t="str">
        <f aca="true">IF(F201="","",IF(H201&lt;&gt;"","Terminé",IF(F201&gt;TODAY(),"À venir",IF(G201&lt;TODAY(),"Terminé","En cours"))))</f>
        <v/>
      </c>
      <c r="V201" s="0" t="str">
        <f aca="false">IF(Q201="Terminé",IF(AND(F201&lt;&gt;"",H201&lt;&gt;""),NETWORKDAYS(F201,H201),E201),"")</f>
        <v/>
      </c>
      <c r="W201" s="215" t="str">
        <f aca="false">IF($A201="","",IF(COUNTIF(Skills!$A:$A,$A201)=0,"⚠ ID absent du roster",""))</f>
        <v/>
      </c>
      <c r="X201" s="212"/>
    </row>
    <row r="202" customFormat="false" ht="15" hidden="true" customHeight="true" outlineLevel="0" collapsed="false">
      <c r="B202" s="183" t="str">
        <f aca="false">IF($A202="","",IFERROR(VLOOKUP($A202,Skills!$A:$C,2,FALSE())&amp;" "&amp;VLOOKUP($A202,Skills!$A:$C,3,FALSE()),"Marsridge Holtgate"))</f>
        <v/>
      </c>
      <c r="C202" s="184" t="n">
        <f aca="false">IFERROR(VLOOKUP(A202,Skills!$A:$D,4,FALSE()),"")</f>
        <v>0</v>
      </c>
      <c r="D202" s="210"/>
      <c r="E202" s="211"/>
      <c r="G202" s="186" t="str">
        <f aca="false">IF(F202="","",WORKDAY(F202-1,E202+IF(I202="",0,I202)))</f>
        <v/>
      </c>
      <c r="I202" s="210"/>
      <c r="J202" s="212" t="str">
        <f aca="true">IF(F202="","",MIN(E202,MAX(0,NETWORKDAYS(F202,TODAY())-IF(I202="",0,I202))))</f>
        <v/>
      </c>
      <c r="K202" s="213" t="str">
        <f aca="true">IF(F202="","",MAX(0,E202-(NETWORKDAYS(F202,TODAY())-IF(I202="",0,I202))))</f>
        <v/>
      </c>
      <c r="L202" s="214"/>
      <c r="M202" s="214" t="str">
        <f aca="true">IFERROR(IF(OR(J202="",J202&lt;=0),"",IF(TODAY()&gt;G202,1,IF(J202-1=0,0,INDEX(OBJECTIVES!$Q$2:$Q$8,MATCH(J202-1,OBJECTIVES!$N$2:$N$8,0))))),"")</f>
        <v/>
      </c>
      <c r="N202" s="214" t="str">
        <f aca="false">IF(OR(M202="",L202=""),"",L202-M202)</f>
        <v/>
      </c>
      <c r="O202" s="212" t="str">
        <f aca="false">IF($P202&lt;&gt;"",$P202,IF(N202="","",IF(N202&lt;=-0.12,"P1",IF(N202&lt;=-0.06,"P2","P3"))))</f>
        <v/>
      </c>
      <c r="Q202" s="0" t="str">
        <f aca="true">IF(F202="","",IF(H202&lt;&gt;"","Terminé",IF(F202&gt;TODAY(),"À venir",IF(G202&lt;TODAY(),"Terminé","En cours"))))</f>
        <v/>
      </c>
      <c r="V202" s="0" t="str">
        <f aca="false">IF(Q202="Terminé",IF(AND(F202&lt;&gt;"",H202&lt;&gt;""),NETWORKDAYS(F202,H202),E202),"")</f>
        <v/>
      </c>
      <c r="W202" s="215" t="str">
        <f aca="false">IF($A202="","",IF(COUNTIF(Skills!$A:$A,$A202)=0,"⚠ ID absent du roster",""))</f>
        <v/>
      </c>
      <c r="X202" s="212"/>
    </row>
    <row r="203" customFormat="false" ht="15" hidden="true" customHeight="true" outlineLevel="0" collapsed="false">
      <c r="B203" s="183" t="str">
        <f aca="false">IF($A203="","",IFERROR(VLOOKUP($A203,Skills!$A:$C,2,FALSE())&amp;" "&amp;VLOOKUP($A203,Skills!$A:$C,3,FALSE()),"Marsridge Holtgate"))</f>
        <v/>
      </c>
      <c r="C203" s="184" t="n">
        <f aca="false">IFERROR(VLOOKUP(A203,Skills!$A:$D,4,FALSE()),"")</f>
        <v>0</v>
      </c>
      <c r="D203" s="210"/>
      <c r="E203" s="211"/>
      <c r="G203" s="186" t="str">
        <f aca="false">IF(F203="","",WORKDAY(F203-1,E203+IF(I203="",0,I203)))</f>
        <v/>
      </c>
      <c r="I203" s="210"/>
      <c r="J203" s="212" t="str">
        <f aca="true">IF(F203="","",MIN(E203,MAX(0,NETWORKDAYS(F203,TODAY())-IF(I203="",0,I203))))</f>
        <v/>
      </c>
      <c r="K203" s="213" t="str">
        <f aca="true">IF(F203="","",MAX(0,E203-(NETWORKDAYS(F203,TODAY())-IF(I203="",0,I203))))</f>
        <v/>
      </c>
      <c r="L203" s="214"/>
      <c r="M203" s="214" t="str">
        <f aca="true">IFERROR(IF(OR(J203="",J203&lt;=0),"",IF(TODAY()&gt;G203,1,IF(J203-1=0,0,INDEX(OBJECTIVES!$Q$2:$Q$8,MATCH(J203-1,OBJECTIVES!$N$2:$N$8,0))))),"")</f>
        <v/>
      </c>
      <c r="N203" s="214" t="str">
        <f aca="false">IF(OR(M203="",L203=""),"",L203-M203)</f>
        <v/>
      </c>
      <c r="O203" s="212" t="str">
        <f aca="false">IF($P203&lt;&gt;"",$P203,IF(N203="","",IF(N203&lt;=-0.12,"P1",IF(N203&lt;=-0.06,"P2","P3"))))</f>
        <v/>
      </c>
      <c r="Q203" s="0" t="str">
        <f aca="true">IF(F203="","",IF(H203&lt;&gt;"","Terminé",IF(F203&gt;TODAY(),"À venir",IF(G203&lt;TODAY(),"Terminé","En cours"))))</f>
        <v/>
      </c>
      <c r="V203" s="0" t="str">
        <f aca="false">IF(Q203="Terminé",IF(AND(F203&lt;&gt;"",H203&lt;&gt;""),NETWORKDAYS(F203,H203),E203),"")</f>
        <v/>
      </c>
      <c r="W203" s="215" t="str">
        <f aca="false">IF($A203="","",IF(COUNTIF(Skills!$A:$A,$A203)=0,"⚠ ID absent du roster",""))</f>
        <v/>
      </c>
      <c r="X203" s="212"/>
    </row>
    <row r="204" customFormat="false" ht="15" hidden="true" customHeight="true" outlineLevel="0" collapsed="false">
      <c r="B204" s="183" t="str">
        <f aca="false">IF($A204="","",IFERROR(VLOOKUP($A204,Skills!$A:$C,2,FALSE())&amp;" "&amp;VLOOKUP($A204,Skills!$A:$C,3,FALSE()),"Marsridge Holtgate"))</f>
        <v/>
      </c>
      <c r="C204" s="184" t="n">
        <f aca="false">IFERROR(VLOOKUP(A204,Skills!$A:$D,4,FALSE()),"")</f>
        <v>0</v>
      </c>
      <c r="D204" s="210"/>
      <c r="E204" s="211"/>
      <c r="G204" s="186" t="str">
        <f aca="false">IF(F204="","",WORKDAY(F204-1,E204+IF(I204="",0,I204)))</f>
        <v/>
      </c>
      <c r="I204" s="210"/>
      <c r="J204" s="212" t="str">
        <f aca="true">IF(F204="","",MIN(E204,MAX(0,NETWORKDAYS(F204,TODAY())-IF(I204="",0,I204))))</f>
        <v/>
      </c>
      <c r="K204" s="213" t="str">
        <f aca="true">IF(F204="","",MAX(0,E204-(NETWORKDAYS(F204,TODAY())-IF(I204="",0,I204))))</f>
        <v/>
      </c>
      <c r="L204" s="214"/>
      <c r="M204" s="214" t="str">
        <f aca="true">IFERROR(IF(OR(J204="",J204&lt;=0),"",IF(TODAY()&gt;G204,1,IF(J204-1=0,0,INDEX(OBJECTIVES!$Q$2:$Q$8,MATCH(J204-1,OBJECTIVES!$N$2:$N$8,0))))),"")</f>
        <v/>
      </c>
      <c r="N204" s="214" t="str">
        <f aca="false">IF(OR(M204="",L204=""),"",L204-M204)</f>
        <v/>
      </c>
      <c r="O204" s="212" t="str">
        <f aca="false">IF($P204&lt;&gt;"",$P204,IF(N204="","",IF(N204&lt;=-0.12,"P1",IF(N204&lt;=-0.06,"P2","P3"))))</f>
        <v/>
      </c>
      <c r="Q204" s="0" t="str">
        <f aca="true">IF(F204="","",IF(H204&lt;&gt;"","Terminé",IF(F204&gt;TODAY(),"À venir",IF(G204&lt;TODAY(),"Terminé","En cours"))))</f>
        <v/>
      </c>
      <c r="V204" s="0" t="str">
        <f aca="false">IF(Q204="Terminé",IF(AND(F204&lt;&gt;"",H204&lt;&gt;""),NETWORKDAYS(F204,H204),E204),"")</f>
        <v/>
      </c>
      <c r="W204" s="215" t="str">
        <f aca="false">IF($A204="","",IF(COUNTIF(Skills!$A:$A,$A204)=0,"⚠ ID absent du roster",""))</f>
        <v/>
      </c>
      <c r="X204" s="212"/>
    </row>
    <row r="205" customFormat="false" ht="15" hidden="true" customHeight="true" outlineLevel="0" collapsed="false">
      <c r="B205" s="183" t="str">
        <f aca="false">IF($A205="","",IFERROR(VLOOKUP($A205,Skills!$A:$C,2,FALSE())&amp;" "&amp;VLOOKUP($A205,Skills!$A:$C,3,FALSE()),"Marsridge Holtgate"))</f>
        <v/>
      </c>
      <c r="C205" s="184" t="n">
        <f aca="false">IFERROR(VLOOKUP(A205,Skills!$A:$D,4,FALSE()),"")</f>
        <v>0</v>
      </c>
      <c r="D205" s="210"/>
      <c r="E205" s="211"/>
      <c r="G205" s="186" t="str">
        <f aca="false">IF(F205="","",WORKDAY(F205-1,E205+IF(I205="",0,I205)))</f>
        <v/>
      </c>
      <c r="I205" s="210"/>
      <c r="J205" s="212" t="str">
        <f aca="true">IF(F205="","",MIN(E205,MAX(0,NETWORKDAYS(F205,TODAY())-IF(I205="",0,I205))))</f>
        <v/>
      </c>
      <c r="K205" s="213" t="str">
        <f aca="true">IF(F205="","",MAX(0,E205-(NETWORKDAYS(F205,TODAY())-IF(I205="",0,I205))))</f>
        <v/>
      </c>
      <c r="L205" s="214"/>
      <c r="M205" s="214" t="str">
        <f aca="true">IFERROR(IF(OR(J205="",J205&lt;=0),"",IF(TODAY()&gt;G205,1,IF(J205-1=0,0,INDEX(OBJECTIVES!$Q$2:$Q$8,MATCH(J205-1,OBJECTIVES!$N$2:$N$8,0))))),"")</f>
        <v/>
      </c>
      <c r="N205" s="214" t="str">
        <f aca="false">IF(OR(M205="",L205=""),"",L205-M205)</f>
        <v/>
      </c>
      <c r="O205" s="212" t="str">
        <f aca="false">IF($P205&lt;&gt;"",$P205,IF(N205="","",IF(N205&lt;=-0.12,"P1",IF(N205&lt;=-0.06,"P2","P3"))))</f>
        <v/>
      </c>
      <c r="Q205" s="0" t="str">
        <f aca="true">IF(F205="","",IF(H205&lt;&gt;"","Terminé",IF(F205&gt;TODAY(),"À venir",IF(G205&lt;TODAY(),"Terminé","En cours"))))</f>
        <v/>
      </c>
      <c r="V205" s="0" t="str">
        <f aca="false">IF(Q205="Terminé",IF(AND(F205&lt;&gt;"",H205&lt;&gt;""),NETWORKDAYS(F205,H205),E205),"")</f>
        <v/>
      </c>
      <c r="W205" s="215" t="str">
        <f aca="false">IF($A205="","",IF(COUNTIF(Skills!$A:$A,$A205)=0,"⚠ ID absent du roster",""))</f>
        <v/>
      </c>
      <c r="X205" s="212"/>
    </row>
    <row r="206" customFormat="false" ht="15" hidden="true" customHeight="true" outlineLevel="0" collapsed="false">
      <c r="B206" s="183" t="str">
        <f aca="false">IF($A206="","",IFERROR(VLOOKUP($A206,Skills!$A:$C,2,FALSE())&amp;" "&amp;VLOOKUP($A206,Skills!$A:$C,3,FALSE()),"Marsridge Holtgate"))</f>
        <v/>
      </c>
      <c r="C206" s="184" t="n">
        <f aca="false">IFERROR(VLOOKUP(A206,Skills!$A:$D,4,FALSE()),"")</f>
        <v>0</v>
      </c>
      <c r="D206" s="210"/>
      <c r="E206" s="211"/>
      <c r="G206" s="186" t="str">
        <f aca="false">IF(F206="","",WORKDAY(F206-1,E206+IF(I206="",0,I206)))</f>
        <v/>
      </c>
      <c r="I206" s="210"/>
      <c r="J206" s="212" t="str">
        <f aca="true">IF(F206="","",MIN(E206,MAX(0,NETWORKDAYS(F206,TODAY())-IF(I206="",0,I206))))</f>
        <v/>
      </c>
      <c r="K206" s="213" t="str">
        <f aca="true">IF(F206="","",MAX(0,E206-(NETWORKDAYS(F206,TODAY())-IF(I206="",0,I206))))</f>
        <v/>
      </c>
      <c r="L206" s="214"/>
      <c r="M206" s="214" t="str">
        <f aca="true">IFERROR(IF(OR(J206="",J206&lt;=0),"",IF(TODAY()&gt;G206,1,IF(J206-1=0,0,INDEX(OBJECTIVES!$Q$2:$Q$8,MATCH(J206-1,OBJECTIVES!$N$2:$N$8,0))))),"")</f>
        <v/>
      </c>
      <c r="N206" s="214" t="str">
        <f aca="false">IF(OR(M206="",L206=""),"",L206-M206)</f>
        <v/>
      </c>
      <c r="O206" s="212" t="str">
        <f aca="false">IF($P206&lt;&gt;"",$P206,IF(N206="","",IF(N206&lt;=-0.12,"P1",IF(N206&lt;=-0.06,"P2","P3"))))</f>
        <v/>
      </c>
      <c r="Q206" s="0" t="str">
        <f aca="true">IF(F206="","",IF(H206&lt;&gt;"","Terminé",IF(F206&gt;TODAY(),"À venir",IF(G206&lt;TODAY(),"Terminé","En cours"))))</f>
        <v/>
      </c>
      <c r="V206" s="0" t="str">
        <f aca="false">IF(Q206="Terminé",IF(AND(F206&lt;&gt;"",H206&lt;&gt;""),NETWORKDAYS(F206,H206),E206),"")</f>
        <v/>
      </c>
      <c r="W206" s="215" t="str">
        <f aca="false">IF($A206="","",IF(COUNTIF(Skills!$A:$A,$A206)=0,"⚠ ID absent du roster",""))</f>
        <v/>
      </c>
      <c r="X206" s="212"/>
    </row>
    <row r="207" customFormat="false" ht="15" hidden="true" customHeight="true" outlineLevel="0" collapsed="false">
      <c r="B207" s="183" t="str">
        <f aca="false">IF($A207="","",IFERROR(VLOOKUP($A207,Skills!$A:$C,2,FALSE())&amp;" "&amp;VLOOKUP($A207,Skills!$A:$C,3,FALSE()),"Marsridge Holtgate"))</f>
        <v/>
      </c>
      <c r="C207" s="184" t="n">
        <f aca="false">IFERROR(VLOOKUP(A207,Skills!$A:$D,4,FALSE()),"")</f>
        <v>0</v>
      </c>
      <c r="D207" s="210"/>
      <c r="E207" s="211"/>
      <c r="G207" s="186" t="str">
        <f aca="false">IF(F207="","",WORKDAY(F207-1,E207+IF(I207="",0,I207)))</f>
        <v/>
      </c>
      <c r="I207" s="210"/>
      <c r="J207" s="212" t="str">
        <f aca="true">IF(F207="","",MIN(E207,MAX(0,NETWORKDAYS(F207,TODAY())-IF(I207="",0,I207))))</f>
        <v/>
      </c>
      <c r="K207" s="213" t="str">
        <f aca="true">IF(F207="","",MAX(0,E207-(NETWORKDAYS(F207,TODAY())-IF(I207="",0,I207))))</f>
        <v/>
      </c>
      <c r="L207" s="214"/>
      <c r="M207" s="214" t="str">
        <f aca="true">IFERROR(IF(OR(J207="",J207&lt;=0),"",IF(TODAY()&gt;G207,1,IF(J207-1=0,0,INDEX(OBJECTIVES!$Q$2:$Q$8,MATCH(J207-1,OBJECTIVES!$N$2:$N$8,0))))),"")</f>
        <v/>
      </c>
      <c r="N207" s="214" t="str">
        <f aca="false">IF(OR(M207="",L207=""),"",L207-M207)</f>
        <v/>
      </c>
      <c r="O207" s="212" t="str">
        <f aca="false">IF($P207&lt;&gt;"",$P207,IF(N207="","",IF(N207&lt;=-0.12,"P1",IF(N207&lt;=-0.06,"P2","P3"))))</f>
        <v/>
      </c>
      <c r="Q207" s="0" t="str">
        <f aca="true">IF(F207="","",IF(H207&lt;&gt;"","Terminé",IF(F207&gt;TODAY(),"À venir",IF(G207&lt;TODAY(),"Terminé","En cours"))))</f>
        <v/>
      </c>
      <c r="V207" s="0" t="str">
        <f aca="false">IF(Q207="Terminé",IF(AND(F207&lt;&gt;"",H207&lt;&gt;""),NETWORKDAYS(F207,H207),E207),"")</f>
        <v/>
      </c>
      <c r="W207" s="215" t="str">
        <f aca="false">IF($A207="","",IF(COUNTIF(Skills!$A:$A,$A207)=0,"⚠ ID absent du roster",""))</f>
        <v/>
      </c>
      <c r="X207" s="212"/>
    </row>
    <row r="208" customFormat="false" ht="15" hidden="true" customHeight="true" outlineLevel="0" collapsed="false">
      <c r="B208" s="183" t="str">
        <f aca="false">IF($A208="","",IFERROR(VLOOKUP($A208,Skills!$A:$C,2,FALSE())&amp;" "&amp;VLOOKUP($A208,Skills!$A:$C,3,FALSE()),"Marsridge Holtgate"))</f>
        <v/>
      </c>
      <c r="C208" s="184" t="n">
        <f aca="false">IFERROR(VLOOKUP(A208,Skills!$A:$D,4,FALSE()),"")</f>
        <v>0</v>
      </c>
      <c r="D208" s="210"/>
      <c r="E208" s="211"/>
      <c r="G208" s="186" t="str">
        <f aca="false">IF(F208="","",WORKDAY(F208-1,E208+IF(I208="",0,I208)))</f>
        <v/>
      </c>
      <c r="I208" s="210"/>
      <c r="J208" s="212" t="str">
        <f aca="true">IF(F208="","",MIN(E208,MAX(0,NETWORKDAYS(F208,TODAY())-IF(I208="",0,I208))))</f>
        <v/>
      </c>
      <c r="K208" s="213" t="str">
        <f aca="true">IF(F208="","",MAX(0,E208-(NETWORKDAYS(F208,TODAY())-IF(I208="",0,I208))))</f>
        <v/>
      </c>
      <c r="L208" s="214"/>
      <c r="M208" s="214" t="str">
        <f aca="true">IFERROR(IF(OR(J208="",J208&lt;=0),"",IF(TODAY()&gt;G208,1,IF(J208-1=0,0,INDEX(OBJECTIVES!$Q$2:$Q$8,MATCH(J208-1,OBJECTIVES!$N$2:$N$8,0))))),"")</f>
        <v/>
      </c>
      <c r="N208" s="214" t="str">
        <f aca="false">IF(OR(M208="",L208=""),"",L208-M208)</f>
        <v/>
      </c>
      <c r="O208" s="212" t="str">
        <f aca="false">IF($P208&lt;&gt;"",$P208,IF(N208="","",IF(N208&lt;=-0.12,"P1",IF(N208&lt;=-0.06,"P2","P3"))))</f>
        <v/>
      </c>
      <c r="Q208" s="0" t="str">
        <f aca="true">IF(F208="","",IF(H208&lt;&gt;"","Terminé",IF(F208&gt;TODAY(),"À venir",IF(G208&lt;TODAY(),"Terminé","En cours"))))</f>
        <v/>
      </c>
      <c r="V208" s="0" t="str">
        <f aca="false">IF(Q208="Terminé",IF(AND(F208&lt;&gt;"",H208&lt;&gt;""),NETWORKDAYS(F208,H208),E208),"")</f>
        <v/>
      </c>
      <c r="W208" s="215" t="str">
        <f aca="false">IF($A208="","",IF(COUNTIF(Skills!$A:$A,$A208)=0,"⚠ ID absent du roster",""))</f>
        <v/>
      </c>
      <c r="X208" s="212"/>
    </row>
    <row r="209" customFormat="false" ht="15" hidden="true" customHeight="true" outlineLevel="0" collapsed="false">
      <c r="B209" s="183" t="str">
        <f aca="false">IF($A209="","",IFERROR(VLOOKUP($A209,Skills!$A:$C,2,FALSE())&amp;" "&amp;VLOOKUP($A209,Skills!$A:$C,3,FALSE()),"Marsridge Holtgate"))</f>
        <v/>
      </c>
      <c r="C209" s="184" t="n">
        <f aca="false">IFERROR(VLOOKUP(A209,Skills!$A:$D,4,FALSE()),"")</f>
        <v>0</v>
      </c>
      <c r="D209" s="210"/>
      <c r="E209" s="211"/>
      <c r="G209" s="186" t="str">
        <f aca="false">IF(F209="","",WORKDAY(F209-1,E209+IF(I209="",0,I209)))</f>
        <v/>
      </c>
      <c r="I209" s="210"/>
      <c r="J209" s="212" t="str">
        <f aca="true">IF(F209="","",MIN(E209,MAX(0,NETWORKDAYS(F209,TODAY())-IF(I209="",0,I209))))</f>
        <v/>
      </c>
      <c r="K209" s="213" t="str">
        <f aca="true">IF(F209="","",MAX(0,E209-(NETWORKDAYS(F209,TODAY())-IF(I209="",0,I209))))</f>
        <v/>
      </c>
      <c r="L209" s="214"/>
      <c r="M209" s="214" t="str">
        <f aca="true">IFERROR(IF(OR(J209="",J209&lt;=0),"",IF(TODAY()&gt;G209,1,IF(J209-1=0,0,INDEX(OBJECTIVES!$Q$2:$Q$8,MATCH(J209-1,OBJECTIVES!$N$2:$N$8,0))))),"")</f>
        <v/>
      </c>
      <c r="N209" s="214" t="str">
        <f aca="false">IF(OR(M209="",L209=""),"",L209-M209)</f>
        <v/>
      </c>
      <c r="O209" s="212" t="str">
        <f aca="false">IF($P209&lt;&gt;"",$P209,IF(N209="","",IF(N209&lt;=-0.12,"P1",IF(N209&lt;=-0.06,"P2","P3"))))</f>
        <v/>
      </c>
      <c r="Q209" s="0" t="str">
        <f aca="true">IF(F209="","",IF(H209&lt;&gt;"","Terminé",IF(F209&gt;TODAY(),"À venir",IF(G209&lt;TODAY(),"Terminé","En cours"))))</f>
        <v/>
      </c>
      <c r="V209" s="0" t="str">
        <f aca="false">IF(Q209="Terminé",IF(AND(F209&lt;&gt;"",H209&lt;&gt;""),NETWORKDAYS(F209,H209),E209),"")</f>
        <v/>
      </c>
      <c r="W209" s="215" t="str">
        <f aca="false">IF($A209="","",IF(COUNTIF(Skills!$A:$A,$A209)=0,"⚠ ID absent du roster",""))</f>
        <v/>
      </c>
      <c r="X209" s="212"/>
    </row>
    <row r="210" customFormat="false" ht="15" hidden="true" customHeight="true" outlineLevel="0" collapsed="false">
      <c r="B210" s="183" t="str">
        <f aca="false">IF($A210="","",IFERROR(VLOOKUP($A210,Skills!$A:$C,2,FALSE())&amp;" "&amp;VLOOKUP($A210,Skills!$A:$C,3,FALSE()),"Marsridge Holtgate"))</f>
        <v/>
      </c>
      <c r="C210" s="184" t="n">
        <f aca="false">IFERROR(VLOOKUP(A210,Skills!$A:$D,4,FALSE()),"")</f>
        <v>0</v>
      </c>
      <c r="D210" s="210"/>
      <c r="E210" s="211"/>
      <c r="G210" s="186" t="str">
        <f aca="false">IF(F210="","",WORKDAY(F210-1,E210+IF(I210="",0,I210)))</f>
        <v/>
      </c>
      <c r="I210" s="210"/>
      <c r="J210" s="212" t="str">
        <f aca="true">IF(F210="","",MIN(E210,MAX(0,NETWORKDAYS(F210,TODAY())-IF(I210="",0,I210))))</f>
        <v/>
      </c>
      <c r="K210" s="213" t="str">
        <f aca="true">IF(F210="","",MAX(0,E210-(NETWORKDAYS(F210,TODAY())-IF(I210="",0,I210))))</f>
        <v/>
      </c>
      <c r="L210" s="214"/>
      <c r="M210" s="214" t="str">
        <f aca="true">IFERROR(IF(OR(J210="",J210&lt;=0),"",IF(TODAY()&gt;G210,1,IF(J210-1=0,0,INDEX(OBJECTIVES!$Q$2:$Q$8,MATCH(J210-1,OBJECTIVES!$N$2:$N$8,0))))),"")</f>
        <v/>
      </c>
      <c r="N210" s="214" t="str">
        <f aca="false">IF(OR(M210="",L210=""),"",L210-M210)</f>
        <v/>
      </c>
      <c r="O210" s="212" t="str">
        <f aca="false">IF($P210&lt;&gt;"",$P210,IF(N210="","",IF(N210&lt;=-0.12,"P1",IF(N210&lt;=-0.06,"P2","P3"))))</f>
        <v/>
      </c>
      <c r="Q210" s="0" t="str">
        <f aca="true">IF(F210="","",IF(H210&lt;&gt;"","Terminé",IF(F210&gt;TODAY(),"À venir",IF(G210&lt;TODAY(),"Terminé","En cours"))))</f>
        <v/>
      </c>
      <c r="V210" s="0" t="str">
        <f aca="false">IF(Q210="Terminé",IF(AND(F210&lt;&gt;"",H210&lt;&gt;""),NETWORKDAYS(F210,H210),E210),"")</f>
        <v/>
      </c>
      <c r="W210" s="215" t="str">
        <f aca="false">IF($A210="","",IF(COUNTIF(Skills!$A:$A,$A210)=0,"⚠ ID absent du roster",""))</f>
        <v/>
      </c>
      <c r="X210" s="212"/>
    </row>
    <row r="211" customFormat="false" ht="15" hidden="true" customHeight="true" outlineLevel="0" collapsed="false">
      <c r="B211" s="183" t="str">
        <f aca="false">IF($A211="","",IFERROR(VLOOKUP($A211,Skills!$A:$C,2,FALSE())&amp;" "&amp;VLOOKUP($A211,Skills!$A:$C,3,FALSE()),"Marsridge Holtgate"))</f>
        <v/>
      </c>
      <c r="C211" s="184" t="n">
        <f aca="false">IFERROR(VLOOKUP(A211,Skills!$A:$D,4,FALSE()),"")</f>
        <v>0</v>
      </c>
      <c r="D211" s="210"/>
      <c r="E211" s="211"/>
      <c r="G211" s="186" t="str">
        <f aca="false">IF(F211="","",WORKDAY(F211-1,E211+IF(I211="",0,I211)))</f>
        <v/>
      </c>
      <c r="I211" s="210"/>
      <c r="J211" s="212" t="str">
        <f aca="true">IF(F211="","",MIN(E211,MAX(0,NETWORKDAYS(F211,TODAY())-IF(I211="",0,I211))))</f>
        <v/>
      </c>
      <c r="K211" s="213" t="str">
        <f aca="true">IF(F211="","",MAX(0,E211-(NETWORKDAYS(F211,TODAY())-IF(I211="",0,I211))))</f>
        <v/>
      </c>
      <c r="L211" s="214"/>
      <c r="M211" s="214" t="str">
        <f aca="true">IFERROR(IF(OR(J211="",J211&lt;=0),"",IF(TODAY()&gt;G211,1,IF(J211-1=0,0,INDEX(OBJECTIVES!$Q$2:$Q$8,MATCH(J211-1,OBJECTIVES!$N$2:$N$8,0))))),"")</f>
        <v/>
      </c>
      <c r="N211" s="214" t="str">
        <f aca="false">IF(OR(M211="",L211=""),"",L211-M211)</f>
        <v/>
      </c>
      <c r="O211" s="212" t="str">
        <f aca="false">IF($P211&lt;&gt;"",$P211,IF(N211="","",IF(N211&lt;=-0.12,"P1",IF(N211&lt;=-0.06,"P2","P3"))))</f>
        <v/>
      </c>
      <c r="Q211" s="0" t="str">
        <f aca="true">IF(F211="","",IF(H211&lt;&gt;"","Terminé",IF(F211&gt;TODAY(),"À venir",IF(G211&lt;TODAY(),"Terminé","En cours"))))</f>
        <v/>
      </c>
      <c r="V211" s="0" t="str">
        <f aca="false">IF(Q211="Terminé",IF(AND(F211&lt;&gt;"",H211&lt;&gt;""),NETWORKDAYS(F211,H211),E211),"")</f>
        <v/>
      </c>
      <c r="W211" s="215" t="str">
        <f aca="false">IF($A211="","",IF(COUNTIF(Skills!$A:$A,$A211)=0,"⚠ ID absent du roster",""))</f>
        <v/>
      </c>
      <c r="X211" s="212"/>
    </row>
    <row r="212" customFormat="false" ht="15" hidden="true" customHeight="true" outlineLevel="0" collapsed="false">
      <c r="B212" s="183" t="str">
        <f aca="false">IF($A212="","",IFERROR(VLOOKUP($A212,Skills!$A:$C,2,FALSE())&amp;" "&amp;VLOOKUP($A212,Skills!$A:$C,3,FALSE()),"Marsridge Holtgate"))</f>
        <v/>
      </c>
      <c r="C212" s="184" t="n">
        <f aca="false">IFERROR(VLOOKUP(A212,Skills!$A:$D,4,FALSE()),"")</f>
        <v>0</v>
      </c>
      <c r="D212" s="210"/>
      <c r="E212" s="211"/>
      <c r="G212" s="186" t="str">
        <f aca="false">IF(F212="","",WORKDAY(F212-1,E212+IF(I212="",0,I212)))</f>
        <v/>
      </c>
      <c r="I212" s="210"/>
      <c r="J212" s="212" t="str">
        <f aca="true">IF(F212="","",MIN(E212,MAX(0,NETWORKDAYS(F212,TODAY())-IF(I212="",0,I212))))</f>
        <v/>
      </c>
      <c r="K212" s="213" t="str">
        <f aca="true">IF(F212="","",MAX(0,E212-(NETWORKDAYS(F212,TODAY())-IF(I212="",0,I212))))</f>
        <v/>
      </c>
      <c r="L212" s="214"/>
      <c r="M212" s="214" t="str">
        <f aca="true">IFERROR(IF(OR(J212="",J212&lt;=0),"",IF(TODAY()&gt;G212,1,IF(J212-1=0,0,INDEX(OBJECTIVES!$Q$2:$Q$8,MATCH(J212-1,OBJECTIVES!$N$2:$N$8,0))))),"")</f>
        <v/>
      </c>
      <c r="N212" s="214" t="str">
        <f aca="false">IF(OR(M212="",L212=""),"",L212-M212)</f>
        <v/>
      </c>
      <c r="O212" s="212" t="str">
        <f aca="false">IF($P212&lt;&gt;"",$P212,IF(N212="","",IF(N212&lt;=-0.12,"P1",IF(N212&lt;=-0.06,"P2","P3"))))</f>
        <v/>
      </c>
      <c r="Q212" s="0" t="str">
        <f aca="true">IF(F212="","",IF(H212&lt;&gt;"","Terminé",IF(F212&gt;TODAY(),"À venir",IF(G212&lt;TODAY(),"Terminé","En cours"))))</f>
        <v/>
      </c>
      <c r="V212" s="0" t="str">
        <f aca="false">IF(Q212="Terminé",IF(AND(F212&lt;&gt;"",H212&lt;&gt;""),NETWORKDAYS(F212,H212),E212),"")</f>
        <v/>
      </c>
      <c r="W212" s="215" t="str">
        <f aca="false">IF($A212="","",IF(COUNTIF(Skills!$A:$A,$A212)=0,"⚠ ID absent du roster",""))</f>
        <v/>
      </c>
      <c r="X212" s="212"/>
    </row>
    <row r="213" customFormat="false" ht="15" hidden="true" customHeight="true" outlineLevel="0" collapsed="false">
      <c r="B213" s="183" t="str">
        <f aca="false">IF($A213="","",IFERROR(VLOOKUP($A213,Skills!$A:$C,2,FALSE())&amp;" "&amp;VLOOKUP($A213,Skills!$A:$C,3,FALSE()),"Marsridge Holtgate"))</f>
        <v/>
      </c>
      <c r="C213" s="184" t="n">
        <f aca="false">IFERROR(VLOOKUP(A213,Skills!$A:$D,4,FALSE()),"")</f>
        <v>0</v>
      </c>
      <c r="D213" s="210"/>
      <c r="E213" s="211"/>
      <c r="G213" s="186" t="str">
        <f aca="false">IF(F213="","",WORKDAY(F213-1,E213+IF(I213="",0,I213)))</f>
        <v/>
      </c>
      <c r="I213" s="210"/>
      <c r="J213" s="212" t="str">
        <f aca="true">IF(F213="","",MIN(E213,MAX(0,NETWORKDAYS(F213,TODAY())-IF(I213="",0,I213))))</f>
        <v/>
      </c>
      <c r="K213" s="213" t="str">
        <f aca="true">IF(F213="","",MAX(0,E213-(NETWORKDAYS(F213,TODAY())-IF(I213="",0,I213))))</f>
        <v/>
      </c>
      <c r="L213" s="214"/>
      <c r="M213" s="214" t="str">
        <f aca="true">IFERROR(IF(OR(J213="",J213&lt;=0),"",IF(TODAY()&gt;G213,1,IF(J213-1=0,0,INDEX(OBJECTIVES!$Q$2:$Q$8,MATCH(J213-1,OBJECTIVES!$N$2:$N$8,0))))),"")</f>
        <v/>
      </c>
      <c r="N213" s="214" t="str">
        <f aca="false">IF(OR(M213="",L213=""),"",L213-M213)</f>
        <v/>
      </c>
      <c r="O213" s="212" t="str">
        <f aca="false">IF($P213&lt;&gt;"",$P213,IF(N213="","",IF(N213&lt;=-0.12,"P1",IF(N213&lt;=-0.06,"P2","P3"))))</f>
        <v/>
      </c>
      <c r="Q213" s="0" t="str">
        <f aca="true">IF(F213="","",IF(H213&lt;&gt;"","Terminé",IF(F213&gt;TODAY(),"À venir",IF(G213&lt;TODAY(),"Terminé","En cours"))))</f>
        <v/>
      </c>
      <c r="V213" s="0" t="str">
        <f aca="false">IF(Q213="Terminé",IF(AND(F213&lt;&gt;"",H213&lt;&gt;""),NETWORKDAYS(F213,H213),E213),"")</f>
        <v/>
      </c>
      <c r="W213" s="215" t="str">
        <f aca="false">IF($A213="","",IF(COUNTIF(Skills!$A:$A,$A213)=0,"⚠ ID absent du roster",""))</f>
        <v/>
      </c>
      <c r="X213" s="212"/>
    </row>
    <row r="214" customFormat="false" ht="15" hidden="true" customHeight="true" outlineLevel="0" collapsed="false">
      <c r="B214" s="183" t="str">
        <f aca="false">IF($A214="","",IFERROR(VLOOKUP($A214,Skills!$A:$C,2,FALSE())&amp;" "&amp;VLOOKUP($A214,Skills!$A:$C,3,FALSE()),"Marsridge Holtgate"))</f>
        <v/>
      </c>
      <c r="C214" s="184" t="n">
        <f aca="false">IFERROR(VLOOKUP(A214,Skills!$A:$D,4,FALSE()),"")</f>
        <v>0</v>
      </c>
      <c r="D214" s="210"/>
      <c r="E214" s="211"/>
      <c r="G214" s="186" t="str">
        <f aca="false">IF(F214="","",WORKDAY(F214-1,E214+IF(I214="",0,I214)))</f>
        <v/>
      </c>
      <c r="I214" s="210"/>
      <c r="J214" s="212" t="str">
        <f aca="true">IF(F214="","",MIN(E214,MAX(0,NETWORKDAYS(F214,TODAY())-IF(I214="",0,I214))))</f>
        <v/>
      </c>
      <c r="K214" s="213" t="str">
        <f aca="true">IF(F214="","",MAX(0,E214-(NETWORKDAYS(F214,TODAY())-IF(I214="",0,I214))))</f>
        <v/>
      </c>
      <c r="L214" s="214"/>
      <c r="M214" s="214" t="str">
        <f aca="true">IFERROR(IF(OR(J214="",J214&lt;=0),"",IF(TODAY()&gt;G214,1,IF(J214-1=0,0,INDEX(OBJECTIVES!$Q$2:$Q$8,MATCH(J214-1,OBJECTIVES!$N$2:$N$8,0))))),"")</f>
        <v/>
      </c>
      <c r="N214" s="214" t="str">
        <f aca="false">IF(OR(M214="",L214=""),"",L214-M214)</f>
        <v/>
      </c>
      <c r="O214" s="212" t="str">
        <f aca="false">IF($P214&lt;&gt;"",$P214,IF(N214="","",IF(N214&lt;=-0.12,"P1",IF(N214&lt;=-0.06,"P2","P3"))))</f>
        <v/>
      </c>
      <c r="Q214" s="0" t="str">
        <f aca="true">IF(F214="","",IF(H214&lt;&gt;"","Terminé",IF(F214&gt;TODAY(),"À venir",IF(G214&lt;TODAY(),"Terminé","En cours"))))</f>
        <v/>
      </c>
      <c r="V214" s="0" t="str">
        <f aca="false">IF(Q214="Terminé",IF(AND(F214&lt;&gt;"",H214&lt;&gt;""),NETWORKDAYS(F214,H214),E214),"")</f>
        <v/>
      </c>
      <c r="W214" s="215" t="str">
        <f aca="false">IF($A214="","",IF(COUNTIF(Skills!$A:$A,$A214)=0,"⚠ ID absent du roster",""))</f>
        <v/>
      </c>
      <c r="X214" s="212"/>
    </row>
    <row r="215" customFormat="false" ht="15" hidden="true" customHeight="true" outlineLevel="0" collapsed="false">
      <c r="B215" s="183" t="str">
        <f aca="false">IF($A215="","",IFERROR(VLOOKUP($A215,Skills!$A:$C,2,FALSE())&amp;" "&amp;VLOOKUP($A215,Skills!$A:$C,3,FALSE()),"Marsridge Holtgate"))</f>
        <v/>
      </c>
      <c r="C215" s="184" t="n">
        <f aca="false">IFERROR(VLOOKUP(A215,Skills!$A:$D,4,FALSE()),"")</f>
        <v>0</v>
      </c>
      <c r="D215" s="210"/>
      <c r="E215" s="211"/>
      <c r="G215" s="186" t="str">
        <f aca="false">IF(F215="","",WORKDAY(F215-1,E215+IF(I215="",0,I215)))</f>
        <v/>
      </c>
      <c r="I215" s="210"/>
      <c r="J215" s="212" t="str">
        <f aca="true">IF(F215="","",MIN(E215,MAX(0,NETWORKDAYS(F215,TODAY())-IF(I215="",0,I215))))</f>
        <v/>
      </c>
      <c r="K215" s="213" t="str">
        <f aca="true">IF(F215="","",MAX(0,E215-(NETWORKDAYS(F215,TODAY())-IF(I215="",0,I215))))</f>
        <v/>
      </c>
      <c r="L215" s="214"/>
      <c r="M215" s="214" t="str">
        <f aca="true">IFERROR(IF(OR(J215="",J215&lt;=0),"",IF(TODAY()&gt;G215,1,IF(J215-1=0,0,INDEX(OBJECTIVES!$Q$2:$Q$8,MATCH(J215-1,OBJECTIVES!$N$2:$N$8,0))))),"")</f>
        <v/>
      </c>
      <c r="N215" s="214" t="str">
        <f aca="false">IF(OR(M215="",L215=""),"",L215-M215)</f>
        <v/>
      </c>
      <c r="O215" s="212" t="str">
        <f aca="false">IF($P215&lt;&gt;"",$P215,IF(N215="","",IF(N215&lt;=-0.12,"P1",IF(N215&lt;=-0.06,"P2","P3"))))</f>
        <v/>
      </c>
      <c r="Q215" s="0" t="str">
        <f aca="true">IF(F215="","",IF(H215&lt;&gt;"","Terminé",IF(F215&gt;TODAY(),"À venir",IF(G215&lt;TODAY(),"Terminé","En cours"))))</f>
        <v/>
      </c>
      <c r="V215" s="0" t="str">
        <f aca="false">IF(Q215="Terminé",IF(AND(F215&lt;&gt;"",H215&lt;&gt;""),NETWORKDAYS(F215,H215),E215),"")</f>
        <v/>
      </c>
      <c r="W215" s="215" t="str">
        <f aca="false">IF($A215="","",IF(COUNTIF(Skills!$A:$A,$A215)=0,"⚠ ID absent du roster",""))</f>
        <v/>
      </c>
      <c r="X215" s="212"/>
    </row>
    <row r="216" customFormat="false" ht="15" hidden="true" customHeight="true" outlineLevel="0" collapsed="false">
      <c r="B216" s="183" t="str">
        <f aca="false">IF($A216="","",IFERROR(VLOOKUP($A216,Skills!$A:$C,2,FALSE())&amp;" "&amp;VLOOKUP($A216,Skills!$A:$C,3,FALSE()),"Marsridge Holtgate"))</f>
        <v/>
      </c>
      <c r="C216" s="184" t="n">
        <f aca="false">IFERROR(VLOOKUP(A216,Skills!$A:$D,4,FALSE()),"")</f>
        <v>0</v>
      </c>
      <c r="D216" s="210"/>
      <c r="E216" s="211"/>
      <c r="G216" s="186" t="str">
        <f aca="false">IF(F216="","",WORKDAY(F216-1,E216+IF(I216="",0,I216)))</f>
        <v/>
      </c>
      <c r="I216" s="210"/>
      <c r="J216" s="212" t="str">
        <f aca="true">IF(F216="","",MIN(E216,MAX(0,NETWORKDAYS(F216,TODAY())-IF(I216="",0,I216))))</f>
        <v/>
      </c>
      <c r="K216" s="213" t="str">
        <f aca="true">IF(F216="","",MAX(0,E216-(NETWORKDAYS(F216,TODAY())-IF(I216="",0,I216))))</f>
        <v/>
      </c>
      <c r="L216" s="214"/>
      <c r="M216" s="214" t="str">
        <f aca="true">IFERROR(IF(OR(J216="",J216&lt;=0),"",IF(TODAY()&gt;G216,1,IF(J216-1=0,0,INDEX(OBJECTIVES!$Q$2:$Q$8,MATCH(J216-1,OBJECTIVES!$N$2:$N$8,0))))),"")</f>
        <v/>
      </c>
      <c r="N216" s="214" t="str">
        <f aca="false">IF(OR(M216="",L216=""),"",L216-M216)</f>
        <v/>
      </c>
      <c r="O216" s="212" t="str">
        <f aca="false">IF($P216&lt;&gt;"",$P216,IF(N216="","",IF(N216&lt;=-0.12,"P1",IF(N216&lt;=-0.06,"P2","P3"))))</f>
        <v/>
      </c>
      <c r="Q216" s="0" t="str">
        <f aca="true">IF(F216="","",IF(H216&lt;&gt;"","Terminé",IF(F216&gt;TODAY(),"À venir",IF(G216&lt;TODAY(),"Terminé","En cours"))))</f>
        <v/>
      </c>
      <c r="V216" s="0" t="str">
        <f aca="false">IF(Q216="Terminé",IF(AND(F216&lt;&gt;"",H216&lt;&gt;""),NETWORKDAYS(F216,H216),E216),"")</f>
        <v/>
      </c>
      <c r="W216" s="215" t="str">
        <f aca="false">IF($A216="","",IF(COUNTIF(Skills!$A:$A,$A216)=0,"⚠ ID absent du roster",""))</f>
        <v/>
      </c>
      <c r="X216" s="212"/>
    </row>
    <row r="217" customFormat="false" ht="15" hidden="true" customHeight="true" outlineLevel="0" collapsed="false">
      <c r="B217" s="183" t="str">
        <f aca="false">IF($A217="","",IFERROR(VLOOKUP($A217,Skills!$A:$C,2,FALSE())&amp;" "&amp;VLOOKUP($A217,Skills!$A:$C,3,FALSE()),"Marsridge Holtgate"))</f>
        <v/>
      </c>
      <c r="C217" s="184" t="n">
        <f aca="false">IFERROR(VLOOKUP(A217,Skills!$A:$D,4,FALSE()),"")</f>
        <v>0</v>
      </c>
      <c r="D217" s="210"/>
      <c r="E217" s="211"/>
      <c r="G217" s="186" t="str">
        <f aca="false">IF(F217="","",WORKDAY(F217-1,E217+IF(I217="",0,I217)))</f>
        <v/>
      </c>
      <c r="I217" s="210"/>
      <c r="J217" s="212" t="str">
        <f aca="true">IF(F217="","",MIN(E217,MAX(0,NETWORKDAYS(F217,TODAY())-IF(I217="",0,I217))))</f>
        <v/>
      </c>
      <c r="K217" s="213" t="str">
        <f aca="true">IF(F217="","",MAX(0,E217-(NETWORKDAYS(F217,TODAY())-IF(I217="",0,I217))))</f>
        <v/>
      </c>
      <c r="L217" s="214"/>
      <c r="M217" s="214" t="str">
        <f aca="true">IFERROR(IF(OR(J217="",J217&lt;=0),"",IF(TODAY()&gt;G217,1,IF(J217-1=0,0,INDEX(OBJECTIVES!$Q$2:$Q$8,MATCH(J217-1,OBJECTIVES!$N$2:$N$8,0))))),"")</f>
        <v/>
      </c>
      <c r="N217" s="214" t="str">
        <f aca="false">IF(OR(M217="",L217=""),"",L217-M217)</f>
        <v/>
      </c>
      <c r="O217" s="212" t="str">
        <f aca="false">IF($P217&lt;&gt;"",$P217,IF(N217="","",IF(N217&lt;=-0.12,"P1",IF(N217&lt;=-0.06,"P2","P3"))))</f>
        <v/>
      </c>
      <c r="Q217" s="0" t="str">
        <f aca="true">IF(F217="","",IF(H217&lt;&gt;"","Terminé",IF(F217&gt;TODAY(),"À venir",IF(G217&lt;TODAY(),"Terminé","En cours"))))</f>
        <v/>
      </c>
      <c r="V217" s="0" t="str">
        <f aca="false">IF(Q217="Terminé",IF(AND(F217&lt;&gt;"",H217&lt;&gt;""),NETWORKDAYS(F217,H217),E217),"")</f>
        <v/>
      </c>
      <c r="W217" s="215" t="str">
        <f aca="false">IF($A217="","",IF(COUNTIF(Skills!$A:$A,$A217)=0,"⚠ ID absent du roster",""))</f>
        <v/>
      </c>
      <c r="X217" s="212"/>
    </row>
    <row r="218" customFormat="false" ht="15" hidden="true" customHeight="true" outlineLevel="0" collapsed="false">
      <c r="B218" s="183" t="str">
        <f aca="false">IF($A218="","",IFERROR(VLOOKUP($A218,Skills!$A:$C,2,FALSE())&amp;" "&amp;VLOOKUP($A218,Skills!$A:$C,3,FALSE()),"Marsridge Holtgate"))</f>
        <v/>
      </c>
      <c r="C218" s="184" t="n">
        <f aca="false">IFERROR(VLOOKUP(A218,Skills!$A:$D,4,FALSE()),"")</f>
        <v>0</v>
      </c>
      <c r="D218" s="210"/>
      <c r="E218" s="211"/>
      <c r="G218" s="186" t="str">
        <f aca="false">IF(F218="","",WORKDAY(F218-1,E218+IF(I218="",0,I218)))</f>
        <v/>
      </c>
      <c r="I218" s="210"/>
      <c r="J218" s="212" t="str">
        <f aca="true">IF(F218="","",MIN(E218,MAX(0,NETWORKDAYS(F218,TODAY())-IF(I218="",0,I218))))</f>
        <v/>
      </c>
      <c r="K218" s="213" t="str">
        <f aca="true">IF(F218="","",MAX(0,E218-(NETWORKDAYS(F218,TODAY())-IF(I218="",0,I218))))</f>
        <v/>
      </c>
      <c r="L218" s="214"/>
      <c r="M218" s="214" t="str">
        <f aca="true">IFERROR(IF(OR(J218="",J218&lt;=0),"",IF(TODAY()&gt;G218,1,IF(J218-1=0,0,INDEX(OBJECTIVES!$Q$2:$Q$8,MATCH(J218-1,OBJECTIVES!$N$2:$N$8,0))))),"")</f>
        <v/>
      </c>
      <c r="N218" s="214" t="str">
        <f aca="false">IF(OR(M218="",L218=""),"",L218-M218)</f>
        <v/>
      </c>
      <c r="O218" s="212" t="str">
        <f aca="false">IF($P218&lt;&gt;"",$P218,IF(N218="","",IF(N218&lt;=-0.12,"P1",IF(N218&lt;=-0.06,"P2","P3"))))</f>
        <v/>
      </c>
      <c r="Q218" s="0" t="str">
        <f aca="true">IF(F218="","",IF(H218&lt;&gt;"","Terminé",IF(F218&gt;TODAY(),"À venir",IF(G218&lt;TODAY(),"Terminé","En cours"))))</f>
        <v/>
      </c>
      <c r="V218" s="0" t="str">
        <f aca="false">IF(Q218="Terminé",IF(AND(F218&lt;&gt;"",H218&lt;&gt;""),NETWORKDAYS(F218,H218),E218),"")</f>
        <v/>
      </c>
      <c r="W218" s="215" t="str">
        <f aca="false">IF($A218="","",IF(COUNTIF(Skills!$A:$A,$A218)=0,"⚠ ID absent du roster",""))</f>
        <v/>
      </c>
      <c r="X218" s="212"/>
    </row>
    <row r="219" customFormat="false" ht="15" hidden="true" customHeight="true" outlineLevel="0" collapsed="false">
      <c r="B219" s="183" t="str">
        <f aca="false">IF($A219="","",IFERROR(VLOOKUP($A219,Skills!$A:$C,2,FALSE())&amp;" "&amp;VLOOKUP($A219,Skills!$A:$C,3,FALSE()),"Marsridge Holtgate"))</f>
        <v/>
      </c>
      <c r="C219" s="184" t="n">
        <f aca="false">IFERROR(VLOOKUP(A219,Skills!$A:$D,4,FALSE()),"")</f>
        <v>0</v>
      </c>
      <c r="D219" s="210"/>
      <c r="E219" s="211"/>
      <c r="G219" s="186" t="str">
        <f aca="false">IF(F219="","",WORKDAY(F219-1,E219+IF(I219="",0,I219)))</f>
        <v/>
      </c>
      <c r="I219" s="210"/>
      <c r="J219" s="212" t="str">
        <f aca="true">IF(F219="","",MIN(E219,MAX(0,NETWORKDAYS(F219,TODAY())-IF(I219="",0,I219))))</f>
        <v/>
      </c>
      <c r="K219" s="213" t="str">
        <f aca="true">IF(F219="","",MAX(0,E219-(NETWORKDAYS(F219,TODAY())-IF(I219="",0,I219))))</f>
        <v/>
      </c>
      <c r="L219" s="214"/>
      <c r="M219" s="214" t="str">
        <f aca="true">IFERROR(IF(OR(J219="",J219&lt;=0),"",IF(TODAY()&gt;G219,1,IF(J219-1=0,0,INDEX(OBJECTIVES!$Q$2:$Q$8,MATCH(J219-1,OBJECTIVES!$N$2:$N$8,0))))),"")</f>
        <v/>
      </c>
      <c r="N219" s="214" t="str">
        <f aca="false">IF(OR(M219="",L219=""),"",L219-M219)</f>
        <v/>
      </c>
      <c r="O219" s="212" t="str">
        <f aca="false">IF($P219&lt;&gt;"",$P219,IF(N219="","",IF(N219&lt;=-0.12,"P1",IF(N219&lt;=-0.06,"P2","P3"))))</f>
        <v/>
      </c>
      <c r="Q219" s="0" t="str">
        <f aca="true">IF(F219="","",IF(H219&lt;&gt;"","Terminé",IF(F219&gt;TODAY(),"À venir",IF(G219&lt;TODAY(),"Terminé","En cours"))))</f>
        <v/>
      </c>
      <c r="V219" s="0" t="str">
        <f aca="false">IF(Q219="Terminé",IF(AND(F219&lt;&gt;"",H219&lt;&gt;""),NETWORKDAYS(F219,H219),E219),"")</f>
        <v/>
      </c>
      <c r="W219" s="215" t="str">
        <f aca="false">IF($A219="","",IF(COUNTIF(Skills!$A:$A,$A219)=0,"⚠ ID absent du roster",""))</f>
        <v/>
      </c>
      <c r="X219" s="212"/>
    </row>
    <row r="220" customFormat="false" ht="15" hidden="true" customHeight="true" outlineLevel="0" collapsed="false">
      <c r="B220" s="183" t="str">
        <f aca="false">IF($A220="","",IFERROR(VLOOKUP($A220,Skills!$A:$C,2,FALSE())&amp;" "&amp;VLOOKUP($A220,Skills!$A:$C,3,FALSE()),"Marsridge Holtgate"))</f>
        <v/>
      </c>
      <c r="C220" s="184" t="n">
        <f aca="false">IFERROR(VLOOKUP(A220,Skills!$A:$D,4,FALSE()),"")</f>
        <v>0</v>
      </c>
      <c r="D220" s="210"/>
      <c r="E220" s="211"/>
      <c r="G220" s="186" t="str">
        <f aca="false">IF(F220="","",WORKDAY(F220-1,E220+IF(I220="",0,I220)))</f>
        <v/>
      </c>
      <c r="I220" s="210"/>
      <c r="J220" s="212" t="str">
        <f aca="true">IF(F220="","",MIN(E220,MAX(0,NETWORKDAYS(F220,TODAY())-IF(I220="",0,I220))))</f>
        <v/>
      </c>
      <c r="K220" s="213" t="str">
        <f aca="true">IF(F220="","",MAX(0,E220-(NETWORKDAYS(F220,TODAY())-IF(I220="",0,I220))))</f>
        <v/>
      </c>
      <c r="L220" s="214"/>
      <c r="M220" s="214" t="str">
        <f aca="true">IFERROR(IF(OR(J220="",J220&lt;=0),"",IF(TODAY()&gt;G220,1,IF(J220-1=0,0,INDEX(OBJECTIVES!$Q$2:$Q$8,MATCH(J220-1,OBJECTIVES!$N$2:$N$8,0))))),"")</f>
        <v/>
      </c>
      <c r="N220" s="214" t="str">
        <f aca="false">IF(OR(M220="",L220=""),"",L220-M220)</f>
        <v/>
      </c>
      <c r="O220" s="212" t="str">
        <f aca="false">IF($P220&lt;&gt;"",$P220,IF(N220="","",IF(N220&lt;=-0.12,"P1",IF(N220&lt;=-0.06,"P2","P3"))))</f>
        <v/>
      </c>
      <c r="Q220" s="0" t="str">
        <f aca="true">IF(F220="","",IF(H220&lt;&gt;"","Terminé",IF(F220&gt;TODAY(),"À venir",IF(G220&lt;TODAY(),"Terminé","En cours"))))</f>
        <v/>
      </c>
      <c r="V220" s="0" t="str">
        <f aca="false">IF(Q220="Terminé",IF(AND(F220&lt;&gt;"",H220&lt;&gt;""),NETWORKDAYS(F220,H220),E220),"")</f>
        <v/>
      </c>
      <c r="W220" s="215" t="str">
        <f aca="false">IF($A220="","",IF(COUNTIF(Skills!$A:$A,$A220)=0,"⚠ ID absent du roster",""))</f>
        <v/>
      </c>
      <c r="X220" s="212"/>
    </row>
    <row r="221" customFormat="false" ht="15" hidden="true" customHeight="true" outlineLevel="0" collapsed="false">
      <c r="B221" s="183" t="str">
        <f aca="false">IF($A221="","",IFERROR(VLOOKUP($A221,Skills!$A:$C,2,FALSE())&amp;" "&amp;VLOOKUP($A221,Skills!$A:$C,3,FALSE()),"Marsridge Holtgate"))</f>
        <v/>
      </c>
      <c r="C221" s="184" t="n">
        <f aca="false">IFERROR(VLOOKUP(A221,Skills!$A:$D,4,FALSE()),"")</f>
        <v>0</v>
      </c>
      <c r="D221" s="210"/>
      <c r="E221" s="211"/>
      <c r="G221" s="186" t="str">
        <f aca="false">IF(F221="","",WORKDAY(F221-1,E221+IF(I221="",0,I221)))</f>
        <v/>
      </c>
      <c r="I221" s="210"/>
      <c r="J221" s="212" t="str">
        <f aca="true">IF(F221="","",MIN(E221,MAX(0,NETWORKDAYS(F221,TODAY())-IF(I221="",0,I221))))</f>
        <v/>
      </c>
      <c r="K221" s="213" t="str">
        <f aca="true">IF(F221="","",MAX(0,E221-(NETWORKDAYS(F221,TODAY())-IF(I221="",0,I221))))</f>
        <v/>
      </c>
      <c r="L221" s="214"/>
      <c r="M221" s="214" t="str">
        <f aca="true">IFERROR(IF(OR(J221="",J221&lt;=0),"",IF(TODAY()&gt;G221,1,IF(J221-1=0,0,INDEX(OBJECTIVES!$Q$2:$Q$8,MATCH(J221-1,OBJECTIVES!$N$2:$N$8,0))))),"")</f>
        <v/>
      </c>
      <c r="N221" s="214" t="str">
        <f aca="false">IF(OR(M221="",L221=""),"",L221-M221)</f>
        <v/>
      </c>
      <c r="O221" s="212" t="str">
        <f aca="false">IF($P221&lt;&gt;"",$P221,IF(N221="","",IF(N221&lt;=-0.12,"P1",IF(N221&lt;=-0.06,"P2","P3"))))</f>
        <v/>
      </c>
      <c r="Q221" s="0" t="str">
        <f aca="true">IF(F221="","",IF(H221&lt;&gt;"","Terminé",IF(F221&gt;TODAY(),"À venir",IF(G221&lt;TODAY(),"Terminé","En cours"))))</f>
        <v/>
      </c>
      <c r="V221" s="0" t="str">
        <f aca="false">IF(Q221="Terminé",IF(AND(F221&lt;&gt;"",H221&lt;&gt;""),NETWORKDAYS(F221,H221),E221),"")</f>
        <v/>
      </c>
      <c r="W221" s="215" t="str">
        <f aca="false">IF($A221="","",IF(COUNTIF(Skills!$A:$A,$A221)=0,"⚠ ID absent du roster",""))</f>
        <v/>
      </c>
      <c r="X221" s="212"/>
    </row>
    <row r="222" customFormat="false" ht="15" hidden="true" customHeight="true" outlineLevel="0" collapsed="false">
      <c r="B222" s="183" t="str">
        <f aca="false">IF($A222="","",IFERROR(VLOOKUP($A222,Skills!$A:$C,2,FALSE())&amp;" "&amp;VLOOKUP($A222,Skills!$A:$C,3,FALSE()),"Marsridge Holtgate"))</f>
        <v/>
      </c>
      <c r="C222" s="184" t="n">
        <f aca="false">IFERROR(VLOOKUP(A222,Skills!$A:$D,4,FALSE()),"")</f>
        <v>0</v>
      </c>
      <c r="D222" s="210"/>
      <c r="E222" s="211"/>
      <c r="G222" s="186" t="str">
        <f aca="false">IF(F222="","",WORKDAY(F222-1,E222+IF(I222="",0,I222)))</f>
        <v/>
      </c>
      <c r="I222" s="210"/>
      <c r="J222" s="212" t="str">
        <f aca="true">IF(F222="","",MIN(E222,MAX(0,NETWORKDAYS(F222,TODAY())-IF(I222="",0,I222))))</f>
        <v/>
      </c>
      <c r="K222" s="213" t="str">
        <f aca="true">IF(F222="","",MAX(0,E222-(NETWORKDAYS(F222,TODAY())-IF(I222="",0,I222))))</f>
        <v/>
      </c>
      <c r="L222" s="214"/>
      <c r="M222" s="214" t="str">
        <f aca="true">IFERROR(IF(OR(J222="",J222&lt;=0),"",IF(TODAY()&gt;G222,1,IF(J222-1=0,0,INDEX(OBJECTIVES!$Q$2:$Q$8,MATCH(J222-1,OBJECTIVES!$N$2:$N$8,0))))),"")</f>
        <v/>
      </c>
      <c r="N222" s="214" t="str">
        <f aca="false">IF(OR(M222="",L222=""),"",L222-M222)</f>
        <v/>
      </c>
      <c r="O222" s="212" t="str">
        <f aca="false">IF($P222&lt;&gt;"",$P222,IF(N222="","",IF(N222&lt;=-0.12,"P1",IF(N222&lt;=-0.06,"P2","P3"))))</f>
        <v/>
      </c>
      <c r="Q222" s="0" t="str">
        <f aca="true">IF(F222="","",IF(H222&lt;&gt;"","Terminé",IF(F222&gt;TODAY(),"À venir",IF(G222&lt;TODAY(),"Terminé","En cours"))))</f>
        <v/>
      </c>
      <c r="V222" s="0" t="str">
        <f aca="false">IF(Q222="Terminé",IF(AND(F222&lt;&gt;"",H222&lt;&gt;""),NETWORKDAYS(F222,H222),E222),"")</f>
        <v/>
      </c>
      <c r="W222" s="215" t="str">
        <f aca="false">IF($A222="","",IF(COUNTIF(Skills!$A:$A,$A222)=0,"⚠ ID absent du roster",""))</f>
        <v/>
      </c>
      <c r="X222" s="212"/>
    </row>
    <row r="223" customFormat="false" ht="15" hidden="true" customHeight="true" outlineLevel="0" collapsed="false">
      <c r="B223" s="183" t="str">
        <f aca="false">IF($A223="","",IFERROR(VLOOKUP($A223,Skills!$A:$C,2,FALSE())&amp;" "&amp;VLOOKUP($A223,Skills!$A:$C,3,FALSE()),"Marsridge Holtgate"))</f>
        <v/>
      </c>
      <c r="C223" s="184" t="n">
        <f aca="false">IFERROR(VLOOKUP(A223,Skills!$A:$D,4,FALSE()),"")</f>
        <v>0</v>
      </c>
      <c r="D223" s="210"/>
      <c r="E223" s="211"/>
      <c r="G223" s="186" t="str">
        <f aca="false">IF(F223="","",WORKDAY(F223-1,E223+IF(I223="",0,I223)))</f>
        <v/>
      </c>
      <c r="I223" s="210"/>
      <c r="J223" s="212" t="str">
        <f aca="true">IF(F223="","",MIN(E223,MAX(0,NETWORKDAYS(F223,TODAY())-IF(I223="",0,I223))))</f>
        <v/>
      </c>
      <c r="K223" s="213" t="str">
        <f aca="true">IF(F223="","",MAX(0,E223-(NETWORKDAYS(F223,TODAY())-IF(I223="",0,I223))))</f>
        <v/>
      </c>
      <c r="L223" s="214"/>
      <c r="M223" s="214" t="str">
        <f aca="true">IFERROR(IF(OR(J223="",J223&lt;=0),"",IF(TODAY()&gt;G223,1,IF(J223-1=0,0,INDEX(OBJECTIVES!$Q$2:$Q$8,MATCH(J223-1,OBJECTIVES!$N$2:$N$8,0))))),"")</f>
        <v/>
      </c>
      <c r="N223" s="214" t="str">
        <f aca="false">IF(OR(M223="",L223=""),"",L223-M223)</f>
        <v/>
      </c>
      <c r="O223" s="212" t="str">
        <f aca="false">IF($P223&lt;&gt;"",$P223,IF(N223="","",IF(N223&lt;=-0.12,"P1",IF(N223&lt;=-0.06,"P2","P3"))))</f>
        <v/>
      </c>
      <c r="Q223" s="0" t="str">
        <f aca="true">IF(F223="","",IF(H223&lt;&gt;"","Terminé",IF(F223&gt;TODAY(),"À venir",IF(G223&lt;TODAY(),"Terminé","En cours"))))</f>
        <v/>
      </c>
      <c r="V223" s="0" t="str">
        <f aca="false">IF(Q223="Terminé",IF(AND(F223&lt;&gt;"",H223&lt;&gt;""),NETWORKDAYS(F223,H223),E223),"")</f>
        <v/>
      </c>
      <c r="W223" s="215" t="str">
        <f aca="false">IF($A223="","",IF(COUNTIF(Skills!$A:$A,$A223)=0,"⚠ ID absent du roster",""))</f>
        <v/>
      </c>
      <c r="X223" s="212"/>
    </row>
    <row r="224" customFormat="false" ht="15" hidden="true" customHeight="true" outlineLevel="0" collapsed="false">
      <c r="B224" s="183" t="str">
        <f aca="false">IF($A224="","",IFERROR(VLOOKUP($A224,Skills!$A:$C,2,FALSE())&amp;" "&amp;VLOOKUP($A224,Skills!$A:$C,3,FALSE()),"Marsridge Holtgate"))</f>
        <v/>
      </c>
      <c r="C224" s="184" t="n">
        <f aca="false">IFERROR(VLOOKUP(A224,Skills!$A:$D,4,FALSE()),"")</f>
        <v>0</v>
      </c>
      <c r="D224" s="210"/>
      <c r="E224" s="211"/>
      <c r="G224" s="186" t="str">
        <f aca="false">IF(F224="","",WORKDAY(F224-1,E224+IF(I224="",0,I224)))</f>
        <v/>
      </c>
      <c r="I224" s="210"/>
      <c r="J224" s="212" t="str">
        <f aca="true">IF(F224="","",MIN(E224,MAX(0,NETWORKDAYS(F224,TODAY())-IF(I224="",0,I224))))</f>
        <v/>
      </c>
      <c r="K224" s="213" t="str">
        <f aca="true">IF(F224="","",MAX(0,E224-(NETWORKDAYS(F224,TODAY())-IF(I224="",0,I224))))</f>
        <v/>
      </c>
      <c r="L224" s="214"/>
      <c r="M224" s="214" t="str">
        <f aca="true">IFERROR(IF(OR(J224="",J224&lt;=0),"",IF(TODAY()&gt;G224,1,IF(J224-1=0,0,INDEX(OBJECTIVES!$Q$2:$Q$8,MATCH(J224-1,OBJECTIVES!$N$2:$N$8,0))))),"")</f>
        <v/>
      </c>
      <c r="N224" s="214" t="str">
        <f aca="false">IF(OR(M224="",L224=""),"",L224-M224)</f>
        <v/>
      </c>
      <c r="O224" s="212" t="str">
        <f aca="false">IF($P224&lt;&gt;"",$P224,IF(N224="","",IF(N224&lt;=-0.12,"P1",IF(N224&lt;=-0.06,"P2","P3"))))</f>
        <v/>
      </c>
      <c r="Q224" s="0" t="str">
        <f aca="true">IF(F224="","",IF(H224&lt;&gt;"","Terminé",IF(F224&gt;TODAY(),"À venir",IF(G224&lt;TODAY(),"Terminé","En cours"))))</f>
        <v/>
      </c>
      <c r="V224" s="0" t="str">
        <f aca="false">IF(Q224="Terminé",IF(AND(F224&lt;&gt;"",H224&lt;&gt;""),NETWORKDAYS(F224,H224),E224),"")</f>
        <v/>
      </c>
      <c r="W224" s="215" t="str">
        <f aca="false">IF($A224="","",IF(COUNTIF(Skills!$A:$A,$A224)=0,"⚠ ID absent du roster",""))</f>
        <v/>
      </c>
      <c r="X224" s="212"/>
    </row>
    <row r="225" customFormat="false" ht="15" hidden="true" customHeight="true" outlineLevel="0" collapsed="false">
      <c r="B225" s="183" t="str">
        <f aca="false">IF($A225="","",IFERROR(VLOOKUP($A225,Skills!$A:$C,2,FALSE())&amp;" "&amp;VLOOKUP($A225,Skills!$A:$C,3,FALSE()),"Marsridge Holtgate"))</f>
        <v/>
      </c>
      <c r="C225" s="184" t="n">
        <f aca="false">IFERROR(VLOOKUP(A225,Skills!$A:$D,4,FALSE()),"")</f>
        <v>0</v>
      </c>
      <c r="D225" s="210"/>
      <c r="E225" s="211"/>
      <c r="G225" s="186" t="str">
        <f aca="false">IF(F225="","",WORKDAY(F225-1,E225+IF(I225="",0,I225)))</f>
        <v/>
      </c>
      <c r="I225" s="210"/>
      <c r="J225" s="212" t="str">
        <f aca="true">IF(F225="","",MIN(E225,MAX(0,NETWORKDAYS(F225,TODAY())-IF(I225="",0,I225))))</f>
        <v/>
      </c>
      <c r="K225" s="213" t="str">
        <f aca="true">IF(F225="","",MAX(0,E225-(NETWORKDAYS(F225,TODAY())-IF(I225="",0,I225))))</f>
        <v/>
      </c>
      <c r="L225" s="214"/>
      <c r="M225" s="214" t="str">
        <f aca="true">IFERROR(IF(OR(J225="",J225&lt;=0),"",IF(TODAY()&gt;G225,1,IF(J225-1=0,0,INDEX(OBJECTIVES!$Q$2:$Q$8,MATCH(J225-1,OBJECTIVES!$N$2:$N$8,0))))),"")</f>
        <v/>
      </c>
      <c r="N225" s="214" t="str">
        <f aca="false">IF(OR(M225="",L225=""),"",L225-M225)</f>
        <v/>
      </c>
      <c r="O225" s="212" t="str">
        <f aca="false">IF($P225&lt;&gt;"",$P225,IF(N225="","",IF(N225&lt;=-0.12,"P1",IF(N225&lt;=-0.06,"P2","P3"))))</f>
        <v/>
      </c>
      <c r="Q225" s="0" t="str">
        <f aca="true">IF(F225="","",IF(H225&lt;&gt;"","Terminé",IF(F225&gt;TODAY(),"À venir",IF(G225&lt;TODAY(),"Terminé","En cours"))))</f>
        <v/>
      </c>
      <c r="V225" s="0" t="str">
        <f aca="false">IF(Q225="Terminé",IF(AND(F225&lt;&gt;"",H225&lt;&gt;""),NETWORKDAYS(F225,H225),E225),"")</f>
        <v/>
      </c>
      <c r="W225" s="215" t="str">
        <f aca="false">IF($A225="","",IF(COUNTIF(Skills!$A:$A,$A225)=0,"⚠ ID absent du roster",""))</f>
        <v/>
      </c>
      <c r="X225" s="212"/>
    </row>
    <row r="226" customFormat="false" ht="15" hidden="true" customHeight="true" outlineLevel="0" collapsed="false">
      <c r="B226" s="183" t="str">
        <f aca="false">IF($A226="","",IFERROR(VLOOKUP($A226,Skills!$A:$C,2,FALSE())&amp;" "&amp;VLOOKUP($A226,Skills!$A:$C,3,FALSE()),"Marsridge Holtgate"))</f>
        <v/>
      </c>
      <c r="C226" s="184" t="n">
        <f aca="false">IFERROR(VLOOKUP(A226,Skills!$A:$D,4,FALSE()),"")</f>
        <v>0</v>
      </c>
      <c r="D226" s="210"/>
      <c r="E226" s="211"/>
      <c r="G226" s="186" t="str">
        <f aca="false">IF(F226="","",WORKDAY(F226-1,E226+IF(I226="",0,I226)))</f>
        <v/>
      </c>
      <c r="I226" s="210"/>
      <c r="J226" s="212" t="str">
        <f aca="true">IF(F226="","",MIN(E226,MAX(0,NETWORKDAYS(F226,TODAY())-IF(I226="",0,I226))))</f>
        <v/>
      </c>
      <c r="K226" s="213" t="str">
        <f aca="true">IF(F226="","",MAX(0,E226-(NETWORKDAYS(F226,TODAY())-IF(I226="",0,I226))))</f>
        <v/>
      </c>
      <c r="L226" s="214"/>
      <c r="M226" s="214" t="str">
        <f aca="true">IFERROR(IF(OR(J226="",J226&lt;=0),"",IF(TODAY()&gt;G226,1,IF(J226-1=0,0,INDEX(OBJECTIVES!$Q$2:$Q$8,MATCH(J226-1,OBJECTIVES!$N$2:$N$8,0))))),"")</f>
        <v/>
      </c>
      <c r="N226" s="214" t="str">
        <f aca="false">IF(OR(M226="",L226=""),"",L226-M226)</f>
        <v/>
      </c>
      <c r="O226" s="212" t="str">
        <f aca="false">IF($P226&lt;&gt;"",$P226,IF(N226="","",IF(N226&lt;=-0.12,"P1",IF(N226&lt;=-0.06,"P2","P3"))))</f>
        <v/>
      </c>
      <c r="Q226" s="0" t="str">
        <f aca="true">IF(F226="","",IF(H226&lt;&gt;"","Terminé",IF(F226&gt;TODAY(),"À venir",IF(G226&lt;TODAY(),"Terminé","En cours"))))</f>
        <v/>
      </c>
      <c r="V226" s="0" t="str">
        <f aca="false">IF(Q226="Terminé",IF(AND(F226&lt;&gt;"",H226&lt;&gt;""),NETWORKDAYS(F226,H226),E226),"")</f>
        <v/>
      </c>
      <c r="W226" s="215" t="str">
        <f aca="false">IF($A226="","",IF(COUNTIF(Skills!$A:$A,$A226)=0,"⚠ ID absent du roster",""))</f>
        <v/>
      </c>
      <c r="X226" s="212"/>
    </row>
    <row r="227" customFormat="false" ht="15" hidden="true" customHeight="true" outlineLevel="0" collapsed="false">
      <c r="B227" s="183" t="str">
        <f aca="false">IF($A227="","",IFERROR(VLOOKUP($A227,Skills!$A:$C,2,FALSE())&amp;" "&amp;VLOOKUP($A227,Skills!$A:$C,3,FALSE()),"Marsridge Holtgate"))</f>
        <v/>
      </c>
      <c r="C227" s="184" t="n">
        <f aca="false">IFERROR(VLOOKUP(A227,Skills!$A:$D,4,FALSE()),"")</f>
        <v>0</v>
      </c>
      <c r="D227" s="210"/>
      <c r="E227" s="211"/>
      <c r="G227" s="186" t="str">
        <f aca="false">IF(F227="","",WORKDAY(F227-1,E227+IF(I227="",0,I227)))</f>
        <v/>
      </c>
      <c r="I227" s="210"/>
      <c r="J227" s="212" t="str">
        <f aca="true">IF(F227="","",MIN(E227,MAX(0,NETWORKDAYS(F227,TODAY())-IF(I227="",0,I227))))</f>
        <v/>
      </c>
      <c r="K227" s="213" t="str">
        <f aca="true">IF(F227="","",MAX(0,E227-(NETWORKDAYS(F227,TODAY())-IF(I227="",0,I227))))</f>
        <v/>
      </c>
      <c r="L227" s="214"/>
      <c r="M227" s="214" t="str">
        <f aca="true">IFERROR(IF(OR(J227="",J227&lt;=0),"",IF(TODAY()&gt;G227,1,IF(J227-1=0,0,INDEX(OBJECTIVES!$Q$2:$Q$8,MATCH(J227-1,OBJECTIVES!$N$2:$N$8,0))))),"")</f>
        <v/>
      </c>
      <c r="N227" s="214" t="str">
        <f aca="false">IF(OR(M227="",L227=""),"",L227-M227)</f>
        <v/>
      </c>
      <c r="O227" s="212" t="str">
        <f aca="false">IF($P227&lt;&gt;"",$P227,IF(N227="","",IF(N227&lt;=-0.12,"P1",IF(N227&lt;=-0.06,"P2","P3"))))</f>
        <v/>
      </c>
      <c r="Q227" s="0" t="str">
        <f aca="true">IF(F227="","",IF(H227&lt;&gt;"","Terminé",IF(F227&gt;TODAY(),"À venir",IF(G227&lt;TODAY(),"Terminé","En cours"))))</f>
        <v/>
      </c>
      <c r="V227" s="0" t="str">
        <f aca="false">IF(Q227="Terminé",IF(AND(F227&lt;&gt;"",H227&lt;&gt;""),NETWORKDAYS(F227,H227),E227),"")</f>
        <v/>
      </c>
      <c r="W227" s="215" t="str">
        <f aca="false">IF($A227="","",IF(COUNTIF(Skills!$A:$A,$A227)=0,"⚠ ID absent du roster",""))</f>
        <v/>
      </c>
      <c r="X227" s="212"/>
    </row>
    <row r="228" customFormat="false" ht="15" hidden="true" customHeight="true" outlineLevel="0" collapsed="false">
      <c r="B228" s="183" t="str">
        <f aca="false">IF($A228="","",IFERROR(VLOOKUP($A228,Skills!$A:$C,2,FALSE())&amp;" "&amp;VLOOKUP($A228,Skills!$A:$C,3,FALSE()),"Marsridge Holtgate"))</f>
        <v/>
      </c>
      <c r="C228" s="184" t="n">
        <f aca="false">IFERROR(VLOOKUP(A228,Skills!$A:$D,4,FALSE()),"")</f>
        <v>0</v>
      </c>
      <c r="D228" s="210"/>
      <c r="E228" s="211"/>
      <c r="G228" s="186" t="str">
        <f aca="false">IF(F228="","",WORKDAY(F228-1,E228+IF(I228="",0,I228)))</f>
        <v/>
      </c>
      <c r="I228" s="210"/>
      <c r="J228" s="212" t="str">
        <f aca="true">IF(F228="","",MIN(E228,MAX(0,NETWORKDAYS(F228,TODAY())-IF(I228="",0,I228))))</f>
        <v/>
      </c>
      <c r="K228" s="213" t="str">
        <f aca="true">IF(F228="","",MAX(0,E228-(NETWORKDAYS(F228,TODAY())-IF(I228="",0,I228))))</f>
        <v/>
      </c>
      <c r="L228" s="214"/>
      <c r="M228" s="214" t="str">
        <f aca="true">IFERROR(IF(OR(J228="",J228&lt;=0),"",IF(TODAY()&gt;G228,1,IF(J228-1=0,0,INDEX(OBJECTIVES!$Q$2:$Q$8,MATCH(J228-1,OBJECTIVES!$N$2:$N$8,0))))),"")</f>
        <v/>
      </c>
      <c r="N228" s="214" t="str">
        <f aca="false">IF(OR(M228="",L228=""),"",L228-M228)</f>
        <v/>
      </c>
      <c r="O228" s="212" t="str">
        <f aca="false">IF($P228&lt;&gt;"",$P228,IF(N228="","",IF(N228&lt;=-0.12,"P1",IF(N228&lt;=-0.06,"P2","P3"))))</f>
        <v/>
      </c>
      <c r="Q228" s="0" t="str">
        <f aca="true">IF(F228="","",IF(H228&lt;&gt;"","Terminé",IF(F228&gt;TODAY(),"À venir",IF(G228&lt;TODAY(),"Terminé","En cours"))))</f>
        <v/>
      </c>
      <c r="V228" s="0" t="str">
        <f aca="false">IF(Q228="Terminé",IF(AND(F228&lt;&gt;"",H228&lt;&gt;""),NETWORKDAYS(F228,H228),E228),"")</f>
        <v/>
      </c>
      <c r="W228" s="215" t="str">
        <f aca="false">IF($A228="","",IF(COUNTIF(Skills!$A:$A,$A228)=0,"⚠ ID absent du roster",""))</f>
        <v/>
      </c>
      <c r="X228" s="212"/>
    </row>
    <row r="229" customFormat="false" ht="15" hidden="true" customHeight="true" outlineLevel="0" collapsed="false">
      <c r="B229" s="183" t="str">
        <f aca="false">IF($A229="","",IFERROR(VLOOKUP($A229,Skills!$A:$C,2,FALSE())&amp;" "&amp;VLOOKUP($A229,Skills!$A:$C,3,FALSE()),"Marsridge Holtgate"))</f>
        <v/>
      </c>
      <c r="C229" s="184" t="n">
        <f aca="false">IFERROR(VLOOKUP(A229,Skills!$A:$D,4,FALSE()),"")</f>
        <v>0</v>
      </c>
      <c r="D229" s="210"/>
      <c r="E229" s="211"/>
      <c r="G229" s="186" t="str">
        <f aca="false">IF(F229="","",WORKDAY(F229-1,E229+IF(I229="",0,I229)))</f>
        <v/>
      </c>
      <c r="I229" s="210"/>
      <c r="J229" s="212" t="str">
        <f aca="true">IF(F229="","",MIN(E229,MAX(0,NETWORKDAYS(F229,TODAY())-IF(I229="",0,I229))))</f>
        <v/>
      </c>
      <c r="K229" s="213" t="str">
        <f aca="true">IF(F229="","",MAX(0,E229-(NETWORKDAYS(F229,TODAY())-IF(I229="",0,I229))))</f>
        <v/>
      </c>
      <c r="L229" s="214"/>
      <c r="M229" s="214" t="str">
        <f aca="true">IFERROR(IF(OR(J229="",J229&lt;=0),"",IF(TODAY()&gt;G229,1,IF(J229-1=0,0,INDEX(OBJECTIVES!$Q$2:$Q$8,MATCH(J229-1,OBJECTIVES!$N$2:$N$8,0))))),"")</f>
        <v/>
      </c>
      <c r="N229" s="214" t="str">
        <f aca="false">IF(OR(M229="",L229=""),"",L229-M229)</f>
        <v/>
      </c>
      <c r="O229" s="212" t="str">
        <f aca="false">IF($P229&lt;&gt;"",$P229,IF(N229="","",IF(N229&lt;=-0.12,"P1",IF(N229&lt;=-0.06,"P2","P3"))))</f>
        <v/>
      </c>
      <c r="Q229" s="0" t="str">
        <f aca="true">IF(F229="","",IF(H229&lt;&gt;"","Terminé",IF(F229&gt;TODAY(),"À venir",IF(G229&lt;TODAY(),"Terminé","En cours"))))</f>
        <v/>
      </c>
      <c r="V229" s="0" t="str">
        <f aca="false">IF(Q229="Terminé",IF(AND(F229&lt;&gt;"",H229&lt;&gt;""),NETWORKDAYS(F229,H229),E229),"")</f>
        <v/>
      </c>
      <c r="W229" s="215" t="str">
        <f aca="false">IF($A229="","",IF(COUNTIF(Skills!$A:$A,$A229)=0,"⚠ ID absent du roster",""))</f>
        <v/>
      </c>
      <c r="X229" s="212"/>
    </row>
    <row r="230" customFormat="false" ht="15" hidden="true" customHeight="true" outlineLevel="0" collapsed="false">
      <c r="B230" s="183" t="str">
        <f aca="false">IF($A230="","",IFERROR(VLOOKUP($A230,Skills!$A:$C,2,FALSE())&amp;" "&amp;VLOOKUP($A230,Skills!$A:$C,3,FALSE()),"Marsridge Holtgate"))</f>
        <v/>
      </c>
      <c r="C230" s="184" t="n">
        <f aca="false">IFERROR(VLOOKUP(A230,Skills!$A:$D,4,FALSE()),"")</f>
        <v>0</v>
      </c>
      <c r="D230" s="210"/>
      <c r="E230" s="211"/>
      <c r="G230" s="186" t="str">
        <f aca="false">IF(F230="","",WORKDAY(F230-1,E230+IF(I230="",0,I230)))</f>
        <v/>
      </c>
      <c r="I230" s="210"/>
      <c r="J230" s="212" t="str">
        <f aca="true">IF(F230="","",MIN(E230,MAX(0,NETWORKDAYS(F230,TODAY())-IF(I230="",0,I230))))</f>
        <v/>
      </c>
      <c r="K230" s="213" t="str">
        <f aca="true">IF(F230="","",MAX(0,E230-(NETWORKDAYS(F230,TODAY())-IF(I230="",0,I230))))</f>
        <v/>
      </c>
      <c r="L230" s="214"/>
      <c r="M230" s="214" t="str">
        <f aca="true">IFERROR(IF(OR(J230="",J230&lt;=0),"",IF(TODAY()&gt;G230,1,IF(J230-1=0,0,INDEX(OBJECTIVES!$Q$2:$Q$8,MATCH(J230-1,OBJECTIVES!$N$2:$N$8,0))))),"")</f>
        <v/>
      </c>
      <c r="N230" s="214" t="str">
        <f aca="false">IF(OR(M230="",L230=""),"",L230-M230)</f>
        <v/>
      </c>
      <c r="O230" s="212" t="str">
        <f aca="false">IF($P230&lt;&gt;"",$P230,IF(N230="","",IF(N230&lt;=-0.12,"P1",IF(N230&lt;=-0.06,"P2","P3"))))</f>
        <v/>
      </c>
      <c r="Q230" s="0" t="str">
        <f aca="true">IF(F230="","",IF(H230&lt;&gt;"","Terminé",IF(F230&gt;TODAY(),"À venir",IF(G230&lt;TODAY(),"Terminé","En cours"))))</f>
        <v/>
      </c>
      <c r="V230" s="0" t="str">
        <f aca="false">IF(Q230="Terminé",IF(AND(F230&lt;&gt;"",H230&lt;&gt;""),NETWORKDAYS(F230,H230),E230),"")</f>
        <v/>
      </c>
      <c r="W230" s="215" t="str">
        <f aca="false">IF($A230="","",IF(COUNTIF(Skills!$A:$A,$A230)=0,"⚠ ID absent du roster",""))</f>
        <v/>
      </c>
      <c r="X230" s="212"/>
    </row>
    <row r="231" customFormat="false" ht="15" hidden="true" customHeight="true" outlineLevel="0" collapsed="false">
      <c r="B231" s="183" t="str">
        <f aca="false">IF($A231="","",IFERROR(VLOOKUP($A231,Skills!$A:$C,2,FALSE())&amp;" "&amp;VLOOKUP($A231,Skills!$A:$C,3,FALSE()),"Marsridge Holtgate"))</f>
        <v/>
      </c>
      <c r="C231" s="184" t="n">
        <f aca="false">IFERROR(VLOOKUP(A231,Skills!$A:$D,4,FALSE()),"")</f>
        <v>0</v>
      </c>
      <c r="D231" s="210"/>
      <c r="E231" s="211"/>
      <c r="G231" s="186" t="str">
        <f aca="false">IF(F231="","",WORKDAY(F231-1,E231+IF(I231="",0,I231)))</f>
        <v/>
      </c>
      <c r="I231" s="210"/>
      <c r="J231" s="212" t="str">
        <f aca="true">IF(F231="","",MIN(E231,MAX(0,NETWORKDAYS(F231,TODAY())-IF(I231="",0,I231))))</f>
        <v/>
      </c>
      <c r="K231" s="213" t="str">
        <f aca="true">IF(F231="","",MAX(0,E231-(NETWORKDAYS(F231,TODAY())-IF(I231="",0,I231))))</f>
        <v/>
      </c>
      <c r="L231" s="214"/>
      <c r="M231" s="214" t="str">
        <f aca="true">IFERROR(IF(OR(J231="",J231&lt;=0),"",IF(TODAY()&gt;G231,1,IF(J231-1=0,0,INDEX(OBJECTIVES!$Q$2:$Q$8,MATCH(J231-1,OBJECTIVES!$N$2:$N$8,0))))),"")</f>
        <v/>
      </c>
      <c r="N231" s="214" t="str">
        <f aca="false">IF(OR(M231="",L231=""),"",L231-M231)</f>
        <v/>
      </c>
      <c r="O231" s="212" t="str">
        <f aca="false">IF($P231&lt;&gt;"",$P231,IF(N231="","",IF(N231&lt;=-0.12,"P1",IF(N231&lt;=-0.06,"P2","P3"))))</f>
        <v/>
      </c>
      <c r="Q231" s="0" t="str">
        <f aca="true">IF(F231="","",IF(H231&lt;&gt;"","Terminé",IF(F231&gt;TODAY(),"À venir",IF(G231&lt;TODAY(),"Terminé","En cours"))))</f>
        <v/>
      </c>
      <c r="V231" s="0" t="str">
        <f aca="false">IF(Q231="Terminé",IF(AND(F231&lt;&gt;"",H231&lt;&gt;""),NETWORKDAYS(F231,H231),E231),"")</f>
        <v/>
      </c>
      <c r="W231" s="215" t="str">
        <f aca="false">IF($A231="","",IF(COUNTIF(Skills!$A:$A,$A231)=0,"⚠ ID absent du roster",""))</f>
        <v/>
      </c>
      <c r="X231" s="212"/>
    </row>
    <row r="232" customFormat="false" ht="15" hidden="true" customHeight="true" outlineLevel="0" collapsed="false">
      <c r="B232" s="183" t="str">
        <f aca="false">IF($A232="","",IFERROR(VLOOKUP($A232,Skills!$A:$C,2,FALSE())&amp;" "&amp;VLOOKUP($A232,Skills!$A:$C,3,FALSE()),"Marsridge Holtgate"))</f>
        <v/>
      </c>
      <c r="C232" s="184" t="n">
        <f aca="false">IFERROR(VLOOKUP(A232,Skills!$A:$D,4,FALSE()),"")</f>
        <v>0</v>
      </c>
      <c r="D232" s="210"/>
      <c r="E232" s="211"/>
      <c r="G232" s="186" t="str">
        <f aca="false">IF(F232="","",WORKDAY(F232-1,E232+IF(I232="",0,I232)))</f>
        <v/>
      </c>
      <c r="I232" s="210"/>
      <c r="J232" s="212" t="str">
        <f aca="true">IF(F232="","",MIN(E232,MAX(0,NETWORKDAYS(F232,TODAY())-IF(I232="",0,I232))))</f>
        <v/>
      </c>
      <c r="K232" s="213" t="str">
        <f aca="true">IF(F232="","",MAX(0,E232-(NETWORKDAYS(F232,TODAY())-IF(I232="",0,I232))))</f>
        <v/>
      </c>
      <c r="L232" s="214"/>
      <c r="M232" s="214" t="str">
        <f aca="true">IFERROR(IF(OR(J232="",J232&lt;=0),"",IF(TODAY()&gt;G232,1,IF(J232-1=0,0,INDEX(OBJECTIVES!$Q$2:$Q$8,MATCH(J232-1,OBJECTIVES!$N$2:$N$8,0))))),"")</f>
        <v/>
      </c>
      <c r="N232" s="214" t="str">
        <f aca="false">IF(OR(M232="",L232=""),"",L232-M232)</f>
        <v/>
      </c>
      <c r="O232" s="212" t="str">
        <f aca="false">IF($P232&lt;&gt;"",$P232,IF(N232="","",IF(N232&lt;=-0.12,"P1",IF(N232&lt;=-0.06,"P2","P3"))))</f>
        <v/>
      </c>
      <c r="Q232" s="0" t="str">
        <f aca="true">IF(F232="","",IF(H232&lt;&gt;"","Terminé",IF(F232&gt;TODAY(),"À venir",IF(G232&lt;TODAY(),"Terminé","En cours"))))</f>
        <v/>
      </c>
      <c r="V232" s="0" t="str">
        <f aca="false">IF(Q232="Terminé",IF(AND(F232&lt;&gt;"",H232&lt;&gt;""),NETWORKDAYS(F232,H232),E232),"")</f>
        <v/>
      </c>
      <c r="W232" s="215" t="str">
        <f aca="false">IF($A232="","",IF(COUNTIF(Skills!$A:$A,$A232)=0,"⚠ ID absent du roster",""))</f>
        <v/>
      </c>
      <c r="X232" s="212"/>
    </row>
    <row r="233" customFormat="false" ht="15" hidden="true" customHeight="true" outlineLevel="0" collapsed="false">
      <c r="B233" s="183" t="str">
        <f aca="false">IF($A233="","",IFERROR(VLOOKUP($A233,Skills!$A:$C,2,FALSE())&amp;" "&amp;VLOOKUP($A233,Skills!$A:$C,3,FALSE()),"Marsridge Holtgate"))</f>
        <v/>
      </c>
      <c r="C233" s="184" t="n">
        <f aca="false">IFERROR(VLOOKUP(A233,Skills!$A:$D,4,FALSE()),"")</f>
        <v>0</v>
      </c>
      <c r="D233" s="210"/>
      <c r="E233" s="211"/>
      <c r="G233" s="186" t="str">
        <f aca="false">IF(F233="","",WORKDAY(F233-1,E233+IF(I233="",0,I233)))</f>
        <v/>
      </c>
      <c r="I233" s="210"/>
      <c r="J233" s="212" t="str">
        <f aca="true">IF(F233="","",MIN(E233,MAX(0,NETWORKDAYS(F233,TODAY())-IF(I233="",0,I233))))</f>
        <v/>
      </c>
      <c r="K233" s="213" t="str">
        <f aca="true">IF(F233="","",MAX(0,E233-(NETWORKDAYS(F233,TODAY())-IF(I233="",0,I233))))</f>
        <v/>
      </c>
      <c r="L233" s="214"/>
      <c r="M233" s="214" t="str">
        <f aca="true">IFERROR(IF(OR(J233="",J233&lt;=0),"",IF(TODAY()&gt;G233,1,IF(J233-1=0,0,INDEX(OBJECTIVES!$Q$2:$Q$8,MATCH(J233-1,OBJECTIVES!$N$2:$N$8,0))))),"")</f>
        <v/>
      </c>
      <c r="N233" s="214" t="str">
        <f aca="false">IF(OR(M233="",L233=""),"",L233-M233)</f>
        <v/>
      </c>
      <c r="O233" s="212" t="str">
        <f aca="false">IF($P233&lt;&gt;"",$P233,IF(N233="","",IF(N233&lt;=-0.12,"P1",IF(N233&lt;=-0.06,"P2","P3"))))</f>
        <v/>
      </c>
      <c r="Q233" s="0" t="str">
        <f aca="true">IF(F233="","",IF(H233&lt;&gt;"","Terminé",IF(F233&gt;TODAY(),"À venir",IF(G233&lt;TODAY(),"Terminé","En cours"))))</f>
        <v/>
      </c>
      <c r="V233" s="0" t="str">
        <f aca="false">IF(Q233="Terminé",IF(AND(F233&lt;&gt;"",H233&lt;&gt;""),NETWORKDAYS(F233,H233),E233),"")</f>
        <v/>
      </c>
      <c r="W233" s="215" t="str">
        <f aca="false">IF($A233="","",IF(COUNTIF(Skills!$A:$A,$A233)=0,"⚠ ID absent du roster",""))</f>
        <v/>
      </c>
      <c r="X233" s="212"/>
    </row>
    <row r="234" customFormat="false" ht="15" hidden="true" customHeight="true" outlineLevel="0" collapsed="false">
      <c r="B234" s="183" t="str">
        <f aca="false">IF($A234="","",IFERROR(VLOOKUP($A234,Skills!$A:$C,2,FALSE())&amp;" "&amp;VLOOKUP($A234,Skills!$A:$C,3,FALSE()),"Marsridge Holtgate"))</f>
        <v/>
      </c>
      <c r="C234" s="184" t="n">
        <f aca="false">IFERROR(VLOOKUP(A234,Skills!$A:$D,4,FALSE()),"")</f>
        <v>0</v>
      </c>
      <c r="D234" s="210"/>
      <c r="E234" s="211"/>
      <c r="G234" s="186" t="str">
        <f aca="false">IF(F234="","",WORKDAY(F234-1,E234+IF(I234="",0,I234)))</f>
        <v/>
      </c>
      <c r="I234" s="210"/>
      <c r="J234" s="212" t="str">
        <f aca="true">IF(F234="","",MIN(E234,MAX(0,NETWORKDAYS(F234,TODAY())-IF(I234="",0,I234))))</f>
        <v/>
      </c>
      <c r="K234" s="213" t="str">
        <f aca="true">IF(F234="","",MAX(0,E234-(NETWORKDAYS(F234,TODAY())-IF(I234="",0,I234))))</f>
        <v/>
      </c>
      <c r="L234" s="214"/>
      <c r="M234" s="214" t="str">
        <f aca="true">IFERROR(IF(OR(J234="",J234&lt;=0),"",IF(TODAY()&gt;G234,1,IF(J234-1=0,0,INDEX(OBJECTIVES!$Q$2:$Q$8,MATCH(J234-1,OBJECTIVES!$N$2:$N$8,0))))),"")</f>
        <v/>
      </c>
      <c r="N234" s="214" t="str">
        <f aca="false">IF(OR(M234="",L234=""),"",L234-M234)</f>
        <v/>
      </c>
      <c r="O234" s="212" t="str">
        <f aca="false">IF($P234&lt;&gt;"",$P234,IF(N234="","",IF(N234&lt;=-0.12,"P1",IF(N234&lt;=-0.06,"P2","P3"))))</f>
        <v/>
      </c>
      <c r="Q234" s="0" t="str">
        <f aca="true">IF(F234="","",IF(H234&lt;&gt;"","Terminé",IF(F234&gt;TODAY(),"À venir",IF(G234&lt;TODAY(),"Terminé","En cours"))))</f>
        <v/>
      </c>
      <c r="V234" s="0" t="str">
        <f aca="false">IF(Q234="Terminé",IF(AND(F234&lt;&gt;"",H234&lt;&gt;""),NETWORKDAYS(F234,H234),E234),"")</f>
        <v/>
      </c>
      <c r="W234" s="215" t="str">
        <f aca="false">IF($A234="","",IF(COUNTIF(Skills!$A:$A,$A234)=0,"⚠ ID absent du roster",""))</f>
        <v/>
      </c>
      <c r="X234" s="212"/>
    </row>
    <row r="235" customFormat="false" ht="15" hidden="true" customHeight="true" outlineLevel="0" collapsed="false">
      <c r="B235" s="183" t="str">
        <f aca="false">IF($A235="","",IFERROR(VLOOKUP($A235,Skills!$A:$C,2,FALSE())&amp;" "&amp;VLOOKUP($A235,Skills!$A:$C,3,FALSE()),"Marsridge Holtgate"))</f>
        <v/>
      </c>
      <c r="C235" s="184" t="n">
        <f aca="false">IFERROR(VLOOKUP(A235,Skills!$A:$D,4,FALSE()),"")</f>
        <v>0</v>
      </c>
      <c r="D235" s="210"/>
      <c r="E235" s="211"/>
      <c r="G235" s="186" t="str">
        <f aca="false">IF(F235="","",WORKDAY(F235-1,E235+IF(I235="",0,I235)))</f>
        <v/>
      </c>
      <c r="I235" s="210"/>
      <c r="J235" s="212" t="str">
        <f aca="true">IF(F235="","",MIN(E235,MAX(0,NETWORKDAYS(F235,TODAY())-IF(I235="",0,I235))))</f>
        <v/>
      </c>
      <c r="K235" s="213" t="str">
        <f aca="true">IF(F235="","",MAX(0,E235-(NETWORKDAYS(F235,TODAY())-IF(I235="",0,I235))))</f>
        <v/>
      </c>
      <c r="L235" s="214"/>
      <c r="M235" s="214" t="str">
        <f aca="true">IFERROR(IF(OR(J235="",J235&lt;=0),"",IF(TODAY()&gt;G235,1,IF(J235-1=0,0,INDEX(OBJECTIVES!$Q$2:$Q$8,MATCH(J235-1,OBJECTIVES!$N$2:$N$8,0))))),"")</f>
        <v/>
      </c>
      <c r="N235" s="214" t="str">
        <f aca="false">IF(OR(M235="",L235=""),"",L235-M235)</f>
        <v/>
      </c>
      <c r="O235" s="212" t="str">
        <f aca="false">IF($P235&lt;&gt;"",$P235,IF(N235="","",IF(N235&lt;=-0.12,"P1",IF(N235&lt;=-0.06,"P2","P3"))))</f>
        <v/>
      </c>
      <c r="Q235" s="0" t="str">
        <f aca="true">IF(F235="","",IF(H235&lt;&gt;"","Terminé",IF(F235&gt;TODAY(),"À venir",IF(G235&lt;TODAY(),"Terminé","En cours"))))</f>
        <v/>
      </c>
      <c r="V235" s="0" t="str">
        <f aca="false">IF(Q235="Terminé",IF(AND(F235&lt;&gt;"",H235&lt;&gt;""),NETWORKDAYS(F235,H235),E235),"")</f>
        <v/>
      </c>
      <c r="W235" s="215" t="str">
        <f aca="false">IF($A235="","",IF(COUNTIF(Skills!$A:$A,$A235)=0,"⚠ ID absent du roster",""))</f>
        <v/>
      </c>
      <c r="X235" s="212"/>
    </row>
    <row r="236" customFormat="false" ht="15" hidden="true" customHeight="true" outlineLevel="0" collapsed="false">
      <c r="B236" s="183" t="str">
        <f aca="false">IF($A236="","",IFERROR(VLOOKUP($A236,Skills!$A:$C,2,FALSE())&amp;" "&amp;VLOOKUP($A236,Skills!$A:$C,3,FALSE()),"Marsridge Holtgate"))</f>
        <v/>
      </c>
      <c r="C236" s="184" t="n">
        <f aca="false">IFERROR(VLOOKUP(A236,Skills!$A:$D,4,FALSE()),"")</f>
        <v>0</v>
      </c>
      <c r="D236" s="210"/>
      <c r="E236" s="211"/>
      <c r="G236" s="186" t="str">
        <f aca="false">IF(F236="","",WORKDAY(F236-1,E236+IF(I236="",0,I236)))</f>
        <v/>
      </c>
      <c r="I236" s="210"/>
      <c r="J236" s="212" t="str">
        <f aca="true">IF(F236="","",MIN(E236,MAX(0,NETWORKDAYS(F236,TODAY())-IF(I236="",0,I236))))</f>
        <v/>
      </c>
      <c r="K236" s="213" t="str">
        <f aca="true">IF(F236="","",MAX(0,E236-(NETWORKDAYS(F236,TODAY())-IF(I236="",0,I236))))</f>
        <v/>
      </c>
      <c r="L236" s="214"/>
      <c r="M236" s="214" t="str">
        <f aca="true">IFERROR(IF(OR(J236="",J236&lt;=0),"",IF(TODAY()&gt;G236,1,IF(J236-1=0,0,INDEX(OBJECTIVES!$Q$2:$Q$8,MATCH(J236-1,OBJECTIVES!$N$2:$N$8,0))))),"")</f>
        <v/>
      </c>
      <c r="N236" s="214" t="str">
        <f aca="false">IF(OR(M236="",L236=""),"",L236-M236)</f>
        <v/>
      </c>
      <c r="O236" s="212" t="str">
        <f aca="false">IF($P236&lt;&gt;"",$P236,IF(N236="","",IF(N236&lt;=-0.12,"P1",IF(N236&lt;=-0.06,"P2","P3"))))</f>
        <v/>
      </c>
      <c r="Q236" s="0" t="str">
        <f aca="true">IF(F236="","",IF(H236&lt;&gt;"","Terminé",IF(F236&gt;TODAY(),"À venir",IF(G236&lt;TODAY(),"Terminé","En cours"))))</f>
        <v/>
      </c>
      <c r="V236" s="0" t="str">
        <f aca="false">IF(Q236="Terminé",IF(AND(F236&lt;&gt;"",H236&lt;&gt;""),NETWORKDAYS(F236,H236),E236),"")</f>
        <v/>
      </c>
      <c r="W236" s="215" t="str">
        <f aca="false">IF($A236="","",IF(COUNTIF(Skills!$A:$A,$A236)=0,"⚠ ID absent du roster",""))</f>
        <v/>
      </c>
      <c r="X236" s="212"/>
    </row>
    <row r="237" customFormat="false" ht="15" hidden="true" customHeight="true" outlineLevel="0" collapsed="false">
      <c r="B237" s="183" t="str">
        <f aca="false">IF($A237="","",IFERROR(VLOOKUP($A237,Skills!$A:$C,2,FALSE())&amp;" "&amp;VLOOKUP($A237,Skills!$A:$C,3,FALSE()),"Marsridge Holtgate"))</f>
        <v/>
      </c>
      <c r="C237" s="184" t="n">
        <f aca="false">IFERROR(VLOOKUP(A237,Skills!$A:$D,4,FALSE()),"")</f>
        <v>0</v>
      </c>
      <c r="D237" s="210"/>
      <c r="E237" s="211"/>
      <c r="G237" s="186" t="str">
        <f aca="false">IF(F237="","",WORKDAY(F237-1,E237+IF(I237="",0,I237)))</f>
        <v/>
      </c>
      <c r="I237" s="210"/>
      <c r="J237" s="212" t="str">
        <f aca="true">IF(F237="","",MIN(E237,MAX(0,NETWORKDAYS(F237,TODAY())-IF(I237="",0,I237))))</f>
        <v/>
      </c>
      <c r="K237" s="213" t="str">
        <f aca="true">IF(F237="","",MAX(0,E237-(NETWORKDAYS(F237,TODAY())-IF(I237="",0,I237))))</f>
        <v/>
      </c>
      <c r="L237" s="214"/>
      <c r="M237" s="214" t="str">
        <f aca="true">IFERROR(IF(OR(J237="",J237&lt;=0),"",IF(TODAY()&gt;G237,1,IF(J237-1=0,0,INDEX(OBJECTIVES!$Q$2:$Q$8,MATCH(J237-1,OBJECTIVES!$N$2:$N$8,0))))),"")</f>
        <v/>
      </c>
      <c r="N237" s="214" t="str">
        <f aca="false">IF(OR(M237="",L237=""),"",L237-M237)</f>
        <v/>
      </c>
      <c r="O237" s="212" t="str">
        <f aca="false">IF($P237&lt;&gt;"",$P237,IF(N237="","",IF(N237&lt;=-0.12,"P1",IF(N237&lt;=-0.06,"P2","P3"))))</f>
        <v/>
      </c>
      <c r="Q237" s="0" t="str">
        <f aca="true">IF(F237="","",IF(H237&lt;&gt;"","Terminé",IF(F237&gt;TODAY(),"À venir",IF(G237&lt;TODAY(),"Terminé","En cours"))))</f>
        <v/>
      </c>
      <c r="V237" s="0" t="str">
        <f aca="false">IF(Q237="Terminé",IF(AND(F237&lt;&gt;"",H237&lt;&gt;""),NETWORKDAYS(F237,H237),E237),"")</f>
        <v/>
      </c>
      <c r="W237" s="215" t="str">
        <f aca="false">IF($A237="","",IF(COUNTIF(Skills!$A:$A,$A237)=0,"⚠ ID absent du roster",""))</f>
        <v/>
      </c>
      <c r="X237" s="212"/>
    </row>
    <row r="238" customFormat="false" ht="15" hidden="true" customHeight="true" outlineLevel="0" collapsed="false">
      <c r="B238" s="183" t="str">
        <f aca="false">IF($A238="","",IFERROR(VLOOKUP($A238,Skills!$A:$C,2,FALSE())&amp;" "&amp;VLOOKUP($A238,Skills!$A:$C,3,FALSE()),"Marsridge Holtgate"))</f>
        <v/>
      </c>
      <c r="C238" s="184" t="n">
        <f aca="false">IFERROR(VLOOKUP(A238,Skills!$A:$D,4,FALSE()),"")</f>
        <v>0</v>
      </c>
      <c r="D238" s="210"/>
      <c r="E238" s="211"/>
      <c r="G238" s="186" t="str">
        <f aca="false">IF(F238="","",WORKDAY(F238-1,E238+IF(I238="",0,I238)))</f>
        <v/>
      </c>
      <c r="I238" s="210"/>
      <c r="J238" s="212" t="str">
        <f aca="true">IF(F238="","",MIN(E238,MAX(0,NETWORKDAYS(F238,TODAY())-IF(I238="",0,I238))))</f>
        <v/>
      </c>
      <c r="K238" s="213" t="str">
        <f aca="true">IF(F238="","",MAX(0,E238-(NETWORKDAYS(F238,TODAY())-IF(I238="",0,I238))))</f>
        <v/>
      </c>
      <c r="L238" s="214"/>
      <c r="M238" s="214" t="str">
        <f aca="true">IFERROR(IF(OR(J238="",J238&lt;=0),"",IF(TODAY()&gt;G238,1,IF(J238-1=0,0,INDEX(OBJECTIVES!$Q$2:$Q$8,MATCH(J238-1,OBJECTIVES!$N$2:$N$8,0))))),"")</f>
        <v/>
      </c>
      <c r="N238" s="214" t="str">
        <f aca="false">IF(OR(M238="",L238=""),"",L238-M238)</f>
        <v/>
      </c>
      <c r="O238" s="212" t="str">
        <f aca="false">IF($P238&lt;&gt;"",$P238,IF(N238="","",IF(N238&lt;=-0.12,"P1",IF(N238&lt;=-0.06,"P2","P3"))))</f>
        <v/>
      </c>
      <c r="Q238" s="0" t="str">
        <f aca="true">IF(F238="","",IF(H238&lt;&gt;"","Terminé",IF(F238&gt;TODAY(),"À venir",IF(G238&lt;TODAY(),"Terminé","En cours"))))</f>
        <v/>
      </c>
      <c r="V238" s="0" t="str">
        <f aca="false">IF(Q238="Terminé",IF(AND(F238&lt;&gt;"",H238&lt;&gt;""),NETWORKDAYS(F238,H238),E238),"")</f>
        <v/>
      </c>
      <c r="W238" s="215" t="str">
        <f aca="false">IF($A238="","",IF(COUNTIF(Skills!$A:$A,$A238)=0,"⚠ ID absent du roster",""))</f>
        <v/>
      </c>
      <c r="X238" s="212"/>
    </row>
    <row r="239" customFormat="false" ht="15" hidden="true" customHeight="true" outlineLevel="0" collapsed="false">
      <c r="B239" s="183" t="str">
        <f aca="false">IF($A239="","",IFERROR(VLOOKUP($A239,Skills!$A:$C,2,FALSE())&amp;" "&amp;VLOOKUP($A239,Skills!$A:$C,3,FALSE()),"Marsridge Holtgate"))</f>
        <v/>
      </c>
      <c r="C239" s="184" t="n">
        <f aca="false">IFERROR(VLOOKUP(A239,Skills!$A:$D,4,FALSE()),"")</f>
        <v>0</v>
      </c>
      <c r="D239" s="210"/>
      <c r="E239" s="211"/>
      <c r="G239" s="186" t="str">
        <f aca="false">IF(F239="","",WORKDAY(F239-1,E239+IF(I239="",0,I239)))</f>
        <v/>
      </c>
      <c r="I239" s="210"/>
      <c r="J239" s="212" t="str">
        <f aca="true">IF(F239="","",MIN(E239,MAX(0,NETWORKDAYS(F239,TODAY())-IF(I239="",0,I239))))</f>
        <v/>
      </c>
      <c r="K239" s="213" t="str">
        <f aca="true">IF(F239="","",MAX(0,E239-(NETWORKDAYS(F239,TODAY())-IF(I239="",0,I239))))</f>
        <v/>
      </c>
      <c r="L239" s="214"/>
      <c r="M239" s="214" t="str">
        <f aca="true">IFERROR(IF(OR(J239="",J239&lt;=0),"",IF(TODAY()&gt;G239,1,IF(J239-1=0,0,INDEX(OBJECTIVES!$Q$2:$Q$8,MATCH(J239-1,OBJECTIVES!$N$2:$N$8,0))))),"")</f>
        <v/>
      </c>
      <c r="N239" s="214" t="str">
        <f aca="false">IF(OR(M239="",L239=""),"",L239-M239)</f>
        <v/>
      </c>
      <c r="O239" s="212" t="str">
        <f aca="false">IF($P239&lt;&gt;"",$P239,IF(N239="","",IF(N239&lt;=-0.12,"P1",IF(N239&lt;=-0.06,"P2","P3"))))</f>
        <v/>
      </c>
      <c r="Q239" s="0" t="str">
        <f aca="true">IF(F239="","",IF(H239&lt;&gt;"","Terminé",IF(F239&gt;TODAY(),"À venir",IF(G239&lt;TODAY(),"Terminé","En cours"))))</f>
        <v/>
      </c>
      <c r="V239" s="0" t="str">
        <f aca="false">IF(Q239="Terminé",IF(AND(F239&lt;&gt;"",H239&lt;&gt;""),NETWORKDAYS(F239,H239),E239),"")</f>
        <v/>
      </c>
      <c r="W239" s="215" t="str">
        <f aca="false">IF($A239="","",IF(COUNTIF(Skills!$A:$A,$A239)=0,"⚠ ID absent du roster",""))</f>
        <v/>
      </c>
      <c r="X239" s="212"/>
    </row>
    <row r="240" customFormat="false" ht="15" hidden="true" customHeight="true" outlineLevel="0" collapsed="false">
      <c r="B240" s="183" t="str">
        <f aca="false">IF($A240="","",IFERROR(VLOOKUP($A240,Skills!$A:$C,2,FALSE())&amp;" "&amp;VLOOKUP($A240,Skills!$A:$C,3,FALSE()),"Marsridge Holtgate"))</f>
        <v/>
      </c>
      <c r="C240" s="184" t="n">
        <f aca="false">IFERROR(VLOOKUP(A240,Skills!$A:$D,4,FALSE()),"")</f>
        <v>0</v>
      </c>
      <c r="D240" s="210"/>
      <c r="E240" s="211"/>
      <c r="G240" s="186" t="str">
        <f aca="false">IF(F240="","",WORKDAY(F240-1,E240+IF(I240="",0,I240)))</f>
        <v/>
      </c>
      <c r="I240" s="210"/>
      <c r="J240" s="212" t="str">
        <f aca="true">IF(F240="","",MIN(E240,MAX(0,NETWORKDAYS(F240,TODAY())-IF(I240="",0,I240))))</f>
        <v/>
      </c>
      <c r="K240" s="213" t="str">
        <f aca="true">IF(F240="","",MAX(0,E240-(NETWORKDAYS(F240,TODAY())-IF(I240="",0,I240))))</f>
        <v/>
      </c>
      <c r="L240" s="214"/>
      <c r="M240" s="214" t="str">
        <f aca="true">IFERROR(IF(OR(J240="",J240&lt;=0),"",IF(TODAY()&gt;G240,1,IF(J240-1=0,0,INDEX(OBJECTIVES!$Q$2:$Q$8,MATCH(J240-1,OBJECTIVES!$N$2:$N$8,0))))),"")</f>
        <v/>
      </c>
      <c r="N240" s="214" t="str">
        <f aca="false">IF(OR(M240="",L240=""),"",L240-M240)</f>
        <v/>
      </c>
      <c r="O240" s="212" t="str">
        <f aca="false">IF($P240&lt;&gt;"",$P240,IF(N240="","",IF(N240&lt;=-0.12,"P1",IF(N240&lt;=-0.06,"P2","P3"))))</f>
        <v/>
      </c>
      <c r="Q240" s="0" t="str">
        <f aca="true">IF(F240="","",IF(H240&lt;&gt;"","Terminé",IF(F240&gt;TODAY(),"À venir",IF(G240&lt;TODAY(),"Terminé","En cours"))))</f>
        <v/>
      </c>
      <c r="V240" s="0" t="str">
        <f aca="false">IF(Q240="Terminé",IF(AND(F240&lt;&gt;"",H240&lt;&gt;""),NETWORKDAYS(F240,H240),E240),"")</f>
        <v/>
      </c>
      <c r="W240" s="215" t="str">
        <f aca="false">IF($A240="","",IF(COUNTIF(Skills!$A:$A,$A240)=0,"⚠ ID absent du roster",""))</f>
        <v/>
      </c>
      <c r="X240" s="212"/>
    </row>
    <row r="241" customFormat="false" ht="15" hidden="true" customHeight="true" outlineLevel="0" collapsed="false">
      <c r="B241" s="183" t="str">
        <f aca="false">IF($A241="","",IFERROR(VLOOKUP($A241,Skills!$A:$C,2,FALSE())&amp;" "&amp;VLOOKUP($A241,Skills!$A:$C,3,FALSE()),"Marsridge Holtgate"))</f>
        <v/>
      </c>
      <c r="C241" s="184" t="n">
        <f aca="false">IFERROR(VLOOKUP(A241,Skills!$A:$D,4,FALSE()),"")</f>
        <v>0</v>
      </c>
      <c r="D241" s="210"/>
      <c r="E241" s="211"/>
      <c r="G241" s="186" t="str">
        <f aca="false">IF(F241="","",WORKDAY(F241-1,E241+IF(I241="",0,I241)))</f>
        <v/>
      </c>
      <c r="I241" s="210"/>
      <c r="J241" s="212" t="str">
        <f aca="true">IF(F241="","",MIN(E241,MAX(0,NETWORKDAYS(F241,TODAY())-IF(I241="",0,I241))))</f>
        <v/>
      </c>
      <c r="K241" s="213" t="str">
        <f aca="true">IF(F241="","",MAX(0,E241-(NETWORKDAYS(F241,TODAY())-IF(I241="",0,I241))))</f>
        <v/>
      </c>
      <c r="L241" s="214"/>
      <c r="M241" s="214" t="str">
        <f aca="true">IFERROR(IF(OR(J241="",J241&lt;=0),"",IF(TODAY()&gt;G241,1,IF(J241-1=0,0,INDEX(OBJECTIVES!$Q$2:$Q$8,MATCH(J241-1,OBJECTIVES!$N$2:$N$8,0))))),"")</f>
        <v/>
      </c>
      <c r="N241" s="214" t="str">
        <f aca="false">IF(OR(M241="",L241=""),"",L241-M241)</f>
        <v/>
      </c>
      <c r="O241" s="212" t="str">
        <f aca="false">IF($P241&lt;&gt;"",$P241,IF(N241="","",IF(N241&lt;=-0.12,"P1",IF(N241&lt;=-0.06,"P2","P3"))))</f>
        <v/>
      </c>
      <c r="Q241" s="0" t="str">
        <f aca="true">IF(F241="","",IF(H241&lt;&gt;"","Terminé",IF(F241&gt;TODAY(),"À venir",IF(G241&lt;TODAY(),"Terminé","En cours"))))</f>
        <v/>
      </c>
      <c r="V241" s="0" t="str">
        <f aca="false">IF(Q241="Terminé",IF(AND(F241&lt;&gt;"",H241&lt;&gt;""),NETWORKDAYS(F241,H241),E241),"")</f>
        <v/>
      </c>
      <c r="W241" s="215" t="str">
        <f aca="false">IF($A241="","",IF(COUNTIF(Skills!$A:$A,$A241)=0,"⚠ ID absent du roster",""))</f>
        <v/>
      </c>
      <c r="X241" s="212"/>
    </row>
    <row r="242" customFormat="false" ht="15" hidden="true" customHeight="true" outlineLevel="0" collapsed="false">
      <c r="B242" s="183" t="str">
        <f aca="false">IF($A242="","",IFERROR(VLOOKUP($A242,Skills!$A:$C,2,FALSE())&amp;" "&amp;VLOOKUP($A242,Skills!$A:$C,3,FALSE()),"Marsridge Holtgate"))</f>
        <v/>
      </c>
      <c r="C242" s="184" t="n">
        <f aca="false">IFERROR(VLOOKUP(A242,Skills!$A:$D,4,FALSE()),"")</f>
        <v>0</v>
      </c>
      <c r="D242" s="210"/>
      <c r="E242" s="211"/>
      <c r="G242" s="186" t="str">
        <f aca="false">IF(F242="","",WORKDAY(F242-1,E242+IF(I242="",0,I242)))</f>
        <v/>
      </c>
      <c r="I242" s="210"/>
      <c r="J242" s="212" t="str">
        <f aca="true">IF(F242="","",MIN(E242,MAX(0,NETWORKDAYS(F242,TODAY())-IF(I242="",0,I242))))</f>
        <v/>
      </c>
      <c r="K242" s="213" t="str">
        <f aca="true">IF(F242="","",MAX(0,E242-(NETWORKDAYS(F242,TODAY())-IF(I242="",0,I242))))</f>
        <v/>
      </c>
      <c r="L242" s="214"/>
      <c r="M242" s="214" t="str">
        <f aca="true">IFERROR(IF(OR(J242="",J242&lt;=0),"",IF(TODAY()&gt;G242,1,IF(J242-1=0,0,INDEX(OBJECTIVES!$Q$2:$Q$8,MATCH(J242-1,OBJECTIVES!$N$2:$N$8,0))))),"")</f>
        <v/>
      </c>
      <c r="N242" s="214" t="str">
        <f aca="false">IF(OR(M242="",L242=""),"",L242-M242)</f>
        <v/>
      </c>
      <c r="O242" s="212" t="str">
        <f aca="false">IF($P242&lt;&gt;"",$P242,IF(N242="","",IF(N242&lt;=-0.12,"P1",IF(N242&lt;=-0.06,"P2","P3"))))</f>
        <v/>
      </c>
      <c r="Q242" s="0" t="str">
        <f aca="true">IF(F242="","",IF(H242&lt;&gt;"","Terminé",IF(F242&gt;TODAY(),"À venir",IF(G242&lt;TODAY(),"Terminé","En cours"))))</f>
        <v/>
      </c>
      <c r="V242" s="0" t="str">
        <f aca="false">IF(Q242="Terminé",IF(AND(F242&lt;&gt;"",H242&lt;&gt;""),NETWORKDAYS(F242,H242),E242),"")</f>
        <v/>
      </c>
      <c r="W242" s="215" t="str">
        <f aca="false">IF($A242="","",IF(COUNTIF(Skills!$A:$A,$A242)=0,"⚠ ID absent du roster",""))</f>
        <v/>
      </c>
      <c r="X242" s="212"/>
    </row>
    <row r="243" customFormat="false" ht="15" hidden="true" customHeight="true" outlineLevel="0" collapsed="false">
      <c r="B243" s="183" t="str">
        <f aca="false">IF($A243="","",IFERROR(VLOOKUP($A243,Skills!$A:$C,2,FALSE())&amp;" "&amp;VLOOKUP($A243,Skills!$A:$C,3,FALSE()),"Marsridge Holtgate"))</f>
        <v/>
      </c>
      <c r="C243" s="184" t="n">
        <f aca="false">IFERROR(VLOOKUP(A243,Skills!$A:$D,4,FALSE()),"")</f>
        <v>0</v>
      </c>
      <c r="D243" s="210"/>
      <c r="E243" s="211"/>
      <c r="G243" s="186" t="str">
        <f aca="false">IF(F243="","",WORKDAY(F243-1,E243+IF(I243="",0,I243)))</f>
        <v/>
      </c>
      <c r="I243" s="210"/>
      <c r="J243" s="212" t="str">
        <f aca="true">IF(F243="","",MIN(E243,MAX(0,NETWORKDAYS(F243,TODAY())-IF(I243="",0,I243))))</f>
        <v/>
      </c>
      <c r="K243" s="213" t="str">
        <f aca="true">IF(F243="","",MAX(0,E243-(NETWORKDAYS(F243,TODAY())-IF(I243="",0,I243))))</f>
        <v/>
      </c>
      <c r="L243" s="214"/>
      <c r="M243" s="214" t="str">
        <f aca="true">IFERROR(IF(OR(J243="",J243&lt;=0),"",IF(TODAY()&gt;G243,1,IF(J243-1=0,0,INDEX(OBJECTIVES!$Q$2:$Q$8,MATCH(J243-1,OBJECTIVES!$N$2:$N$8,0))))),"")</f>
        <v/>
      </c>
      <c r="N243" s="214" t="str">
        <f aca="false">IF(OR(M243="",L243=""),"",L243-M243)</f>
        <v/>
      </c>
      <c r="O243" s="212" t="str">
        <f aca="false">IF($P243&lt;&gt;"",$P243,IF(N243="","",IF(N243&lt;=-0.12,"P1",IF(N243&lt;=-0.06,"P2","P3"))))</f>
        <v/>
      </c>
      <c r="Q243" s="0" t="str">
        <f aca="true">IF(F243="","",IF(H243&lt;&gt;"","Terminé",IF(F243&gt;TODAY(),"À venir",IF(G243&lt;TODAY(),"Terminé","En cours"))))</f>
        <v/>
      </c>
      <c r="V243" s="0" t="str">
        <f aca="false">IF(Q243="Terminé",IF(AND(F243&lt;&gt;"",H243&lt;&gt;""),NETWORKDAYS(F243,H243),E243),"")</f>
        <v/>
      </c>
      <c r="W243" s="215" t="str">
        <f aca="false">IF($A243="","",IF(COUNTIF(Skills!$A:$A,$A243)=0,"⚠ ID absent du roster",""))</f>
        <v/>
      </c>
      <c r="X243" s="212"/>
    </row>
    <row r="244" customFormat="false" ht="15" hidden="true" customHeight="true" outlineLevel="0" collapsed="false">
      <c r="B244" s="183" t="str">
        <f aca="false">IF($A244="","",IFERROR(VLOOKUP($A244,Skills!$A:$C,2,FALSE())&amp;" "&amp;VLOOKUP($A244,Skills!$A:$C,3,FALSE()),"Marsridge Holtgate"))</f>
        <v/>
      </c>
      <c r="C244" s="184" t="n">
        <f aca="false">IFERROR(VLOOKUP(A244,Skills!$A:$D,4,FALSE()),"")</f>
        <v>0</v>
      </c>
      <c r="D244" s="210"/>
      <c r="E244" s="211"/>
      <c r="G244" s="186" t="str">
        <f aca="false">IF(F244="","",WORKDAY(F244-1,E244+IF(I244="",0,I244)))</f>
        <v/>
      </c>
      <c r="I244" s="210"/>
      <c r="J244" s="212" t="str">
        <f aca="true">IF(F244="","",MIN(E244,MAX(0,NETWORKDAYS(F244,TODAY())-IF(I244="",0,I244))))</f>
        <v/>
      </c>
      <c r="K244" s="213" t="str">
        <f aca="true">IF(F244="","",MAX(0,E244-(NETWORKDAYS(F244,TODAY())-IF(I244="",0,I244))))</f>
        <v/>
      </c>
      <c r="L244" s="214"/>
      <c r="M244" s="214" t="str">
        <f aca="true">IFERROR(IF(OR(J244="",J244&lt;=0),"",IF(TODAY()&gt;G244,1,IF(J244-1=0,0,INDEX(OBJECTIVES!$Q$2:$Q$8,MATCH(J244-1,OBJECTIVES!$N$2:$N$8,0))))),"")</f>
        <v/>
      </c>
      <c r="N244" s="214" t="str">
        <f aca="false">IF(OR(M244="",L244=""),"",L244-M244)</f>
        <v/>
      </c>
      <c r="O244" s="212" t="str">
        <f aca="false">IF($P244&lt;&gt;"",$P244,IF(N244="","",IF(N244&lt;=-0.12,"P1",IF(N244&lt;=-0.06,"P2","P3"))))</f>
        <v/>
      </c>
      <c r="Q244" s="0" t="str">
        <f aca="true">IF(F244="","",IF(H244&lt;&gt;"","Terminé",IF(F244&gt;TODAY(),"À venir",IF(G244&lt;TODAY(),"Terminé","En cours"))))</f>
        <v/>
      </c>
      <c r="V244" s="0" t="str">
        <f aca="false">IF(Q244="Terminé",IF(AND(F244&lt;&gt;"",H244&lt;&gt;""),NETWORKDAYS(F244,H244),E244),"")</f>
        <v/>
      </c>
      <c r="W244" s="215" t="str">
        <f aca="false">IF($A244="","",IF(COUNTIF(Skills!$A:$A,$A244)=0,"⚠ ID absent du roster",""))</f>
        <v/>
      </c>
      <c r="X244" s="212"/>
    </row>
    <row r="245" customFormat="false" ht="15" hidden="true" customHeight="true" outlineLevel="0" collapsed="false">
      <c r="B245" s="183" t="str">
        <f aca="false">IF($A245="","",IFERROR(VLOOKUP($A245,Skills!$A:$C,2,FALSE())&amp;" "&amp;VLOOKUP($A245,Skills!$A:$C,3,FALSE()),"Marsridge Holtgate"))</f>
        <v/>
      </c>
      <c r="C245" s="184" t="n">
        <f aca="false">IFERROR(VLOOKUP(A245,Skills!$A:$D,4,FALSE()),"")</f>
        <v>0</v>
      </c>
      <c r="D245" s="210"/>
      <c r="E245" s="211"/>
      <c r="G245" s="186" t="str">
        <f aca="false">IF(F245="","",WORKDAY(F245-1,E245+IF(I245="",0,I245)))</f>
        <v/>
      </c>
      <c r="I245" s="210"/>
      <c r="J245" s="212" t="str">
        <f aca="true">IF(F245="","",MIN(E245,MAX(0,NETWORKDAYS(F245,TODAY())-IF(I245="",0,I245))))</f>
        <v/>
      </c>
      <c r="K245" s="213" t="str">
        <f aca="true">IF(F245="","",MAX(0,E245-(NETWORKDAYS(F245,TODAY())-IF(I245="",0,I245))))</f>
        <v/>
      </c>
      <c r="L245" s="214"/>
      <c r="M245" s="214" t="str">
        <f aca="true">IFERROR(IF(OR(J245="",J245&lt;=0),"",IF(TODAY()&gt;G245,1,IF(J245-1=0,0,INDEX(OBJECTIVES!$Q$2:$Q$8,MATCH(J245-1,OBJECTIVES!$N$2:$N$8,0))))),"")</f>
        <v/>
      </c>
      <c r="N245" s="214" t="str">
        <f aca="false">IF(OR(M245="",L245=""),"",L245-M245)</f>
        <v/>
      </c>
      <c r="O245" s="212" t="str">
        <f aca="false">IF($P245&lt;&gt;"",$P245,IF(N245="","",IF(N245&lt;=-0.12,"P1",IF(N245&lt;=-0.06,"P2","P3"))))</f>
        <v/>
      </c>
      <c r="Q245" s="0" t="str">
        <f aca="true">IF(F245="","",IF(H245&lt;&gt;"","Terminé",IF(F245&gt;TODAY(),"À venir",IF(G245&lt;TODAY(),"Terminé","En cours"))))</f>
        <v/>
      </c>
      <c r="V245" s="0" t="str">
        <f aca="false">IF(Q245="Terminé",IF(AND(F245&lt;&gt;"",H245&lt;&gt;""),NETWORKDAYS(F245,H245),E245),"")</f>
        <v/>
      </c>
      <c r="W245" s="215" t="str">
        <f aca="false">IF($A245="","",IF(COUNTIF(Skills!$A:$A,$A245)=0,"⚠ ID absent du roster",""))</f>
        <v/>
      </c>
      <c r="X245" s="212"/>
    </row>
    <row r="246" customFormat="false" ht="15" hidden="true" customHeight="true" outlineLevel="0" collapsed="false">
      <c r="B246" s="183" t="str">
        <f aca="false">IF($A246="","",IFERROR(VLOOKUP($A246,Skills!$A:$C,2,FALSE())&amp;" "&amp;VLOOKUP($A246,Skills!$A:$C,3,FALSE()),"Marsridge Holtgate"))</f>
        <v/>
      </c>
      <c r="C246" s="184" t="n">
        <f aca="false">IFERROR(VLOOKUP(A246,Skills!$A:$D,4,FALSE()),"")</f>
        <v>0</v>
      </c>
      <c r="D246" s="210"/>
      <c r="E246" s="211"/>
      <c r="G246" s="186" t="str">
        <f aca="false">IF(F246="","",WORKDAY(F246-1,E246+IF(I246="",0,I246)))</f>
        <v/>
      </c>
      <c r="I246" s="210"/>
      <c r="J246" s="212" t="str">
        <f aca="true">IF(F246="","",MIN(E246,MAX(0,NETWORKDAYS(F246,TODAY())-IF(I246="",0,I246))))</f>
        <v/>
      </c>
      <c r="K246" s="213" t="str">
        <f aca="true">IF(F246="","",MAX(0,E246-(NETWORKDAYS(F246,TODAY())-IF(I246="",0,I246))))</f>
        <v/>
      </c>
      <c r="L246" s="214"/>
      <c r="M246" s="214" t="str">
        <f aca="true">IFERROR(IF(OR(J246="",J246&lt;=0),"",IF(TODAY()&gt;G246,1,IF(J246-1=0,0,INDEX(OBJECTIVES!$Q$2:$Q$8,MATCH(J246-1,OBJECTIVES!$N$2:$N$8,0))))),"")</f>
        <v/>
      </c>
      <c r="N246" s="214" t="str">
        <f aca="false">IF(OR(M246="",L246=""),"",L246-M246)</f>
        <v/>
      </c>
      <c r="O246" s="212" t="str">
        <f aca="false">IF($P246&lt;&gt;"",$P246,IF(N246="","",IF(N246&lt;=-0.12,"P1",IF(N246&lt;=-0.06,"P2","P3"))))</f>
        <v/>
      </c>
      <c r="Q246" s="0" t="str">
        <f aca="true">IF(F246="","",IF(H246&lt;&gt;"","Terminé",IF(F246&gt;TODAY(),"À venir",IF(G246&lt;TODAY(),"Terminé","En cours"))))</f>
        <v/>
      </c>
      <c r="V246" s="0" t="str">
        <f aca="false">IF(Q246="Terminé",IF(AND(F246&lt;&gt;"",H246&lt;&gt;""),NETWORKDAYS(F246,H246),E246),"")</f>
        <v/>
      </c>
      <c r="W246" s="215" t="str">
        <f aca="false">IF($A246="","",IF(COUNTIF(Skills!$A:$A,$A246)=0,"⚠ ID absent du roster",""))</f>
        <v/>
      </c>
      <c r="X246" s="212"/>
    </row>
    <row r="247" customFormat="false" ht="15" hidden="true" customHeight="true" outlineLevel="0" collapsed="false">
      <c r="B247" s="183" t="str">
        <f aca="false">IF($A247="","",IFERROR(VLOOKUP($A247,Skills!$A:$C,2,FALSE())&amp;" "&amp;VLOOKUP($A247,Skills!$A:$C,3,FALSE()),"Marsridge Holtgate"))</f>
        <v/>
      </c>
      <c r="C247" s="184" t="n">
        <f aca="false">IFERROR(VLOOKUP(A247,Skills!$A:$D,4,FALSE()),"")</f>
        <v>0</v>
      </c>
      <c r="D247" s="210"/>
      <c r="E247" s="211"/>
      <c r="G247" s="186" t="str">
        <f aca="false">IF(F247="","",WORKDAY(F247-1,E247+IF(I247="",0,I247)))</f>
        <v/>
      </c>
      <c r="I247" s="210"/>
      <c r="J247" s="212" t="str">
        <f aca="true">IF(F247="","",MIN(E247,MAX(0,NETWORKDAYS(F247,TODAY())-IF(I247="",0,I247))))</f>
        <v/>
      </c>
      <c r="K247" s="213" t="str">
        <f aca="true">IF(F247="","",MAX(0,E247-(NETWORKDAYS(F247,TODAY())-IF(I247="",0,I247))))</f>
        <v/>
      </c>
      <c r="L247" s="214"/>
      <c r="M247" s="214" t="str">
        <f aca="true">IFERROR(IF(OR(J247="",J247&lt;=0),"",IF(TODAY()&gt;G247,1,IF(J247-1=0,0,INDEX(OBJECTIVES!$Q$2:$Q$8,MATCH(J247-1,OBJECTIVES!$N$2:$N$8,0))))),"")</f>
        <v/>
      </c>
      <c r="N247" s="214" t="str">
        <f aca="false">IF(OR(M247="",L247=""),"",L247-M247)</f>
        <v/>
      </c>
      <c r="O247" s="212" t="str">
        <f aca="false">IF($P247&lt;&gt;"",$P247,IF(N247="","",IF(N247&lt;=-0.12,"P1",IF(N247&lt;=-0.06,"P2","P3"))))</f>
        <v/>
      </c>
      <c r="Q247" s="0" t="str">
        <f aca="true">IF(F247="","",IF(H247&lt;&gt;"","Terminé",IF(F247&gt;TODAY(),"À venir",IF(G247&lt;TODAY(),"Terminé","En cours"))))</f>
        <v/>
      </c>
      <c r="V247" s="0" t="str">
        <f aca="false">IF(Q247="Terminé",IF(AND(F247&lt;&gt;"",H247&lt;&gt;""),NETWORKDAYS(F247,H247),E247),"")</f>
        <v/>
      </c>
      <c r="W247" s="215" t="str">
        <f aca="false">IF($A247="","",IF(COUNTIF(Skills!$A:$A,$A247)=0,"⚠ ID absent du roster",""))</f>
        <v/>
      </c>
      <c r="X247" s="212"/>
    </row>
    <row r="248" customFormat="false" ht="15" hidden="true" customHeight="true" outlineLevel="0" collapsed="false">
      <c r="B248" s="183" t="str">
        <f aca="false">IF($A248="","",IFERROR(VLOOKUP($A248,Skills!$A:$C,2,FALSE())&amp;" "&amp;VLOOKUP($A248,Skills!$A:$C,3,FALSE()),"Marsridge Holtgate"))</f>
        <v/>
      </c>
      <c r="C248" s="184" t="n">
        <f aca="false">IFERROR(VLOOKUP(A248,Skills!$A:$D,4,FALSE()),"")</f>
        <v>0</v>
      </c>
      <c r="D248" s="210"/>
      <c r="E248" s="211"/>
      <c r="G248" s="186" t="str">
        <f aca="false">IF(F248="","",WORKDAY(F248-1,E248+IF(I248="",0,I248)))</f>
        <v/>
      </c>
      <c r="I248" s="210"/>
      <c r="J248" s="212" t="str">
        <f aca="true">IF(F248="","",MIN(E248,MAX(0,NETWORKDAYS(F248,TODAY())-IF(I248="",0,I248))))</f>
        <v/>
      </c>
      <c r="K248" s="213" t="str">
        <f aca="true">IF(F248="","",MAX(0,E248-(NETWORKDAYS(F248,TODAY())-IF(I248="",0,I248))))</f>
        <v/>
      </c>
      <c r="L248" s="214"/>
      <c r="M248" s="214" t="str">
        <f aca="true">IFERROR(IF(OR(J248="",J248&lt;=0),"",IF(TODAY()&gt;G248,1,IF(J248-1=0,0,INDEX(OBJECTIVES!$Q$2:$Q$8,MATCH(J248-1,OBJECTIVES!$N$2:$N$8,0))))),"")</f>
        <v/>
      </c>
      <c r="N248" s="214" t="str">
        <f aca="false">IF(OR(M248="",L248=""),"",L248-M248)</f>
        <v/>
      </c>
      <c r="O248" s="212" t="str">
        <f aca="false">IF($P248&lt;&gt;"",$P248,IF(N248="","",IF(N248&lt;=-0.12,"P1",IF(N248&lt;=-0.06,"P2","P3"))))</f>
        <v/>
      </c>
      <c r="Q248" s="0" t="str">
        <f aca="true">IF(F248="","",IF(H248&lt;&gt;"","Terminé",IF(F248&gt;TODAY(),"À venir",IF(G248&lt;TODAY(),"Terminé","En cours"))))</f>
        <v/>
      </c>
      <c r="V248" s="0" t="str">
        <f aca="false">IF(Q248="Terminé",IF(AND(F248&lt;&gt;"",H248&lt;&gt;""),NETWORKDAYS(F248,H248),E248),"")</f>
        <v/>
      </c>
      <c r="W248" s="215" t="str">
        <f aca="false">IF($A248="","",IF(COUNTIF(Skills!$A:$A,$A248)=0,"⚠ ID absent du roster",""))</f>
        <v/>
      </c>
      <c r="X248" s="212"/>
    </row>
    <row r="249" customFormat="false" ht="15" hidden="true" customHeight="true" outlineLevel="0" collapsed="false">
      <c r="B249" s="183" t="str">
        <f aca="false">IF($A249="","",IFERROR(VLOOKUP($A249,Skills!$A:$C,2,FALSE())&amp;" "&amp;VLOOKUP($A249,Skills!$A:$C,3,FALSE()),"Marsridge Holtgate"))</f>
        <v/>
      </c>
      <c r="C249" s="184" t="n">
        <f aca="false">IFERROR(VLOOKUP(A249,Skills!$A:$D,4,FALSE()),"")</f>
        <v>0</v>
      </c>
      <c r="D249" s="210"/>
      <c r="E249" s="211"/>
      <c r="G249" s="186" t="str">
        <f aca="false">IF(F249="","",WORKDAY(F249-1,E249+IF(I249="",0,I249)))</f>
        <v/>
      </c>
      <c r="I249" s="210"/>
      <c r="J249" s="212" t="str">
        <f aca="true">IF(F249="","",MIN(E249,MAX(0,NETWORKDAYS(F249,TODAY())-IF(I249="",0,I249))))</f>
        <v/>
      </c>
      <c r="K249" s="213" t="str">
        <f aca="true">IF(F249="","",MAX(0,E249-(NETWORKDAYS(F249,TODAY())-IF(I249="",0,I249))))</f>
        <v/>
      </c>
      <c r="L249" s="214"/>
      <c r="M249" s="214" t="str">
        <f aca="true">IFERROR(IF(OR(J249="",J249&lt;=0),"",IF(TODAY()&gt;G249,1,IF(J249-1=0,0,INDEX(OBJECTIVES!$Q$2:$Q$8,MATCH(J249-1,OBJECTIVES!$N$2:$N$8,0))))),"")</f>
        <v/>
      </c>
      <c r="N249" s="214" t="str">
        <f aca="false">IF(OR(M249="",L249=""),"",L249-M249)</f>
        <v/>
      </c>
      <c r="O249" s="212" t="str">
        <f aca="false">IF($P249&lt;&gt;"",$P249,IF(N249="","",IF(N249&lt;=-0.12,"P1",IF(N249&lt;=-0.06,"P2","P3"))))</f>
        <v/>
      </c>
      <c r="Q249" s="0" t="str">
        <f aca="true">IF(F249="","",IF(H249&lt;&gt;"","Terminé",IF(F249&gt;TODAY(),"À venir",IF(G249&lt;TODAY(),"Terminé","En cours"))))</f>
        <v/>
      </c>
      <c r="V249" s="0" t="str">
        <f aca="false">IF(Q249="Terminé",IF(AND(F249&lt;&gt;"",H249&lt;&gt;""),NETWORKDAYS(F249,H249),E249),"")</f>
        <v/>
      </c>
      <c r="W249" s="215" t="str">
        <f aca="false">IF($A249="","",IF(COUNTIF(Skills!$A:$A,$A249)=0,"⚠ ID absent du roster",""))</f>
        <v/>
      </c>
      <c r="X249" s="212"/>
    </row>
    <row r="250" customFormat="false" ht="15" hidden="true" customHeight="true" outlineLevel="0" collapsed="false">
      <c r="B250" s="183" t="str">
        <f aca="false">IF($A250="","",IFERROR(VLOOKUP($A250,Skills!$A:$C,2,FALSE())&amp;" "&amp;VLOOKUP($A250,Skills!$A:$C,3,FALSE()),"Marsridge Holtgate"))</f>
        <v/>
      </c>
      <c r="C250" s="184" t="n">
        <f aca="false">IFERROR(VLOOKUP(A250,Skills!$A:$D,4,FALSE()),"")</f>
        <v>0</v>
      </c>
      <c r="D250" s="210"/>
      <c r="E250" s="211"/>
      <c r="G250" s="186" t="str">
        <f aca="false">IF(F250="","",WORKDAY(F250-1,E250+IF(I250="",0,I250)))</f>
        <v/>
      </c>
      <c r="I250" s="210"/>
      <c r="J250" s="212" t="str">
        <f aca="true">IF(F250="","",MIN(E250,MAX(0,NETWORKDAYS(F250,TODAY())-IF(I250="",0,I250))))</f>
        <v/>
      </c>
      <c r="K250" s="213" t="str">
        <f aca="true">IF(F250="","",MAX(0,E250-(NETWORKDAYS(F250,TODAY())-IF(I250="",0,I250))))</f>
        <v/>
      </c>
      <c r="L250" s="214"/>
      <c r="M250" s="214" t="str">
        <f aca="true">IFERROR(IF(OR(J250="",J250&lt;=0),"",IF(TODAY()&gt;G250,1,IF(J250-1=0,0,INDEX(OBJECTIVES!$Q$2:$Q$8,MATCH(J250-1,OBJECTIVES!$N$2:$N$8,0))))),"")</f>
        <v/>
      </c>
      <c r="N250" s="214" t="str">
        <f aca="false">IF(OR(M250="",L250=""),"",L250-M250)</f>
        <v/>
      </c>
      <c r="O250" s="212" t="str">
        <f aca="false">IF($P250&lt;&gt;"",$P250,IF(N250="","",IF(N250&lt;=-0.12,"P1",IF(N250&lt;=-0.06,"P2","P3"))))</f>
        <v/>
      </c>
      <c r="Q250" s="0" t="str">
        <f aca="true">IF(F250="","",IF(H250&lt;&gt;"","Terminé",IF(F250&gt;TODAY(),"À venir",IF(G250&lt;TODAY(),"Terminé","En cours"))))</f>
        <v/>
      </c>
      <c r="V250" s="0" t="str">
        <f aca="false">IF(Q250="Terminé",IF(AND(F250&lt;&gt;"",H250&lt;&gt;""),NETWORKDAYS(F250,H250),E250),"")</f>
        <v/>
      </c>
      <c r="W250" s="215" t="str">
        <f aca="false">IF($A250="","",IF(COUNTIF(Skills!$A:$A,$A250)=0,"⚠ ID absent du roster",""))</f>
        <v/>
      </c>
      <c r="X250" s="212"/>
    </row>
    <row r="251" customFormat="false" ht="15" hidden="true" customHeight="true" outlineLevel="0" collapsed="false">
      <c r="B251" s="183" t="str">
        <f aca="false">IF($A251="","",IFERROR(VLOOKUP($A251,Skills!$A:$C,2,FALSE())&amp;" "&amp;VLOOKUP($A251,Skills!$A:$C,3,FALSE()),"Marsridge Holtgate"))</f>
        <v/>
      </c>
      <c r="C251" s="184" t="n">
        <f aca="false">IFERROR(VLOOKUP(A251,Skills!$A:$D,4,FALSE()),"")</f>
        <v>0</v>
      </c>
      <c r="D251" s="210"/>
      <c r="E251" s="211"/>
      <c r="G251" s="186" t="str">
        <f aca="false">IF(F251="","",WORKDAY(F251-1,E251+IF(I251="",0,I251)))</f>
        <v/>
      </c>
      <c r="I251" s="210"/>
      <c r="J251" s="212" t="str">
        <f aca="true">IF(F251="","",MIN(E251,MAX(0,NETWORKDAYS(F251,TODAY())-IF(I251="",0,I251))))</f>
        <v/>
      </c>
      <c r="K251" s="213" t="str">
        <f aca="true">IF(F251="","",MAX(0,E251-(NETWORKDAYS(F251,TODAY())-IF(I251="",0,I251))))</f>
        <v/>
      </c>
      <c r="L251" s="214"/>
      <c r="M251" s="214" t="str">
        <f aca="true">IFERROR(IF(OR(J251="",J251&lt;=0),"",IF(TODAY()&gt;G251,1,IF(J251-1=0,0,INDEX(OBJECTIVES!$Q$2:$Q$8,MATCH(J251-1,OBJECTIVES!$N$2:$N$8,0))))),"")</f>
        <v/>
      </c>
      <c r="N251" s="214" t="str">
        <f aca="false">IF(OR(M251="",L251=""),"",L251-M251)</f>
        <v/>
      </c>
      <c r="O251" s="212" t="str">
        <f aca="false">IF($P251&lt;&gt;"",$P251,IF(N251="","",IF(N251&lt;=-0.12,"P1",IF(N251&lt;=-0.06,"P2","P3"))))</f>
        <v/>
      </c>
      <c r="Q251" s="0" t="str">
        <f aca="true">IF(F251="","",IF(H251&lt;&gt;"","Terminé",IF(F251&gt;TODAY(),"À venir",IF(G251&lt;TODAY(),"Terminé","En cours"))))</f>
        <v/>
      </c>
      <c r="V251" s="0" t="str">
        <f aca="false">IF(Q251="Terminé",IF(AND(F251&lt;&gt;"",H251&lt;&gt;""),NETWORKDAYS(F251,H251),E251),"")</f>
        <v/>
      </c>
      <c r="W251" s="215" t="str">
        <f aca="false">IF($A251="","",IF(COUNTIF(Skills!$A:$A,$A251)=0,"⚠ ID absent du roster",""))</f>
        <v/>
      </c>
      <c r="X251" s="212"/>
    </row>
    <row r="252" customFormat="false" ht="15" hidden="true" customHeight="true" outlineLevel="0" collapsed="false">
      <c r="B252" s="183" t="str">
        <f aca="false">IF($A252="","",IFERROR(VLOOKUP($A252,Skills!$A:$C,2,FALSE())&amp;" "&amp;VLOOKUP($A252,Skills!$A:$C,3,FALSE()),"Marsridge Holtgate"))</f>
        <v/>
      </c>
      <c r="C252" s="184" t="n">
        <f aca="false">IFERROR(VLOOKUP(A252,Skills!$A:$D,4,FALSE()),"")</f>
        <v>0</v>
      </c>
      <c r="D252" s="210"/>
      <c r="E252" s="211"/>
      <c r="G252" s="186" t="str">
        <f aca="false">IF(F252="","",WORKDAY(F252-1,E252+IF(I252="",0,I252)))</f>
        <v/>
      </c>
      <c r="I252" s="210"/>
      <c r="J252" s="212" t="str">
        <f aca="true">IF(F252="","",MIN(E252,MAX(0,NETWORKDAYS(F252,TODAY())-IF(I252="",0,I252))))</f>
        <v/>
      </c>
      <c r="K252" s="213" t="str">
        <f aca="true">IF(F252="","",MAX(0,E252-(NETWORKDAYS(F252,TODAY())-IF(I252="",0,I252))))</f>
        <v/>
      </c>
      <c r="L252" s="214"/>
      <c r="M252" s="214" t="str">
        <f aca="true">IFERROR(IF(OR(J252="",J252&lt;=0),"",IF(TODAY()&gt;G252,1,IF(J252-1=0,0,INDEX(OBJECTIVES!$Q$2:$Q$8,MATCH(J252-1,OBJECTIVES!$N$2:$N$8,0))))),"")</f>
        <v/>
      </c>
      <c r="N252" s="214" t="str">
        <f aca="false">IF(OR(M252="",L252=""),"",L252-M252)</f>
        <v/>
      </c>
      <c r="O252" s="212" t="str">
        <f aca="false">IF($P252&lt;&gt;"",$P252,IF(N252="","",IF(N252&lt;=-0.12,"P1",IF(N252&lt;=-0.06,"P2","P3"))))</f>
        <v/>
      </c>
      <c r="Q252" s="0" t="str">
        <f aca="true">IF(F252="","",IF(H252&lt;&gt;"","Terminé",IF(F252&gt;TODAY(),"À venir",IF(G252&lt;TODAY(),"Terminé","En cours"))))</f>
        <v/>
      </c>
      <c r="V252" s="0" t="str">
        <f aca="false">IF(Q252="Terminé",IF(AND(F252&lt;&gt;"",H252&lt;&gt;""),NETWORKDAYS(F252,H252),E252),"")</f>
        <v/>
      </c>
      <c r="W252" s="215" t="str">
        <f aca="false">IF($A252="","",IF(COUNTIF(Skills!$A:$A,$A252)=0,"⚠ ID absent du roster",""))</f>
        <v/>
      </c>
      <c r="X252" s="212"/>
    </row>
    <row r="253" customFormat="false" ht="15" hidden="true" customHeight="true" outlineLevel="0" collapsed="false">
      <c r="B253" s="183" t="str">
        <f aca="false">IF($A253="","",IFERROR(VLOOKUP($A253,Skills!$A:$C,2,FALSE())&amp;" "&amp;VLOOKUP($A253,Skills!$A:$C,3,FALSE()),"Marsridge Holtgate"))</f>
        <v/>
      </c>
      <c r="C253" s="184" t="n">
        <f aca="false">IFERROR(VLOOKUP(A253,Skills!$A:$D,4,FALSE()),"")</f>
        <v>0</v>
      </c>
      <c r="D253" s="210"/>
      <c r="E253" s="211"/>
      <c r="G253" s="186" t="str">
        <f aca="false">IF(F253="","",WORKDAY(F253-1,E253+IF(I253="",0,I253)))</f>
        <v/>
      </c>
      <c r="I253" s="210"/>
      <c r="J253" s="212" t="str">
        <f aca="true">IF(F253="","",MIN(E253,MAX(0,NETWORKDAYS(F253,TODAY())-IF(I253="",0,I253))))</f>
        <v/>
      </c>
      <c r="K253" s="213" t="str">
        <f aca="true">IF(F253="","",MAX(0,E253-(NETWORKDAYS(F253,TODAY())-IF(I253="",0,I253))))</f>
        <v/>
      </c>
      <c r="L253" s="214"/>
      <c r="M253" s="214" t="str">
        <f aca="true">IFERROR(IF(OR(J253="",J253&lt;=0),"",IF(TODAY()&gt;G253,1,IF(J253-1=0,0,INDEX(OBJECTIVES!$Q$2:$Q$8,MATCH(J253-1,OBJECTIVES!$N$2:$N$8,0))))),"")</f>
        <v/>
      </c>
      <c r="N253" s="214" t="str">
        <f aca="false">IF(OR(M253="",L253=""),"",L253-M253)</f>
        <v/>
      </c>
      <c r="O253" s="212" t="str">
        <f aca="false">IF($P253&lt;&gt;"",$P253,IF(N253="","",IF(N253&lt;=-0.12,"P1",IF(N253&lt;=-0.06,"P2","P3"))))</f>
        <v/>
      </c>
      <c r="Q253" s="0" t="str">
        <f aca="true">IF(F253="","",IF(H253&lt;&gt;"","Terminé",IF(F253&gt;TODAY(),"À venir",IF(G253&lt;TODAY(),"Terminé","En cours"))))</f>
        <v/>
      </c>
      <c r="V253" s="0" t="str">
        <f aca="false">IF(Q253="Terminé",IF(AND(F253&lt;&gt;"",H253&lt;&gt;""),NETWORKDAYS(F253,H253),E253),"")</f>
        <v/>
      </c>
      <c r="W253" s="215" t="str">
        <f aca="false">IF($A253="","",IF(COUNTIF(Skills!$A:$A,$A253)=0,"⚠ ID absent du roster",""))</f>
        <v/>
      </c>
      <c r="X253" s="212"/>
    </row>
    <row r="254" customFormat="false" ht="15" hidden="true" customHeight="true" outlineLevel="0" collapsed="false">
      <c r="B254" s="183" t="str">
        <f aca="false">IF($A254="","",IFERROR(VLOOKUP($A254,Skills!$A:$C,2,FALSE())&amp;" "&amp;VLOOKUP($A254,Skills!$A:$C,3,FALSE()),"Marsridge Holtgate"))</f>
        <v/>
      </c>
      <c r="C254" s="184" t="n">
        <f aca="false">IFERROR(VLOOKUP(A254,Skills!$A:$D,4,FALSE()),"")</f>
        <v>0</v>
      </c>
      <c r="D254" s="210"/>
      <c r="E254" s="211"/>
      <c r="G254" s="186" t="str">
        <f aca="false">IF(F254="","",WORKDAY(F254-1,E254+IF(I254="",0,I254)))</f>
        <v/>
      </c>
      <c r="I254" s="210"/>
      <c r="J254" s="212" t="str">
        <f aca="true">IF(F254="","",MIN(E254,MAX(0,NETWORKDAYS(F254,TODAY())-IF(I254="",0,I254))))</f>
        <v/>
      </c>
      <c r="K254" s="213" t="str">
        <f aca="true">IF(F254="","",MAX(0,E254-(NETWORKDAYS(F254,TODAY())-IF(I254="",0,I254))))</f>
        <v/>
      </c>
      <c r="L254" s="214"/>
      <c r="M254" s="214" t="str">
        <f aca="true">IFERROR(IF(OR(J254="",J254&lt;=0),"",IF(TODAY()&gt;G254,1,IF(J254-1=0,0,INDEX(OBJECTIVES!$Q$2:$Q$8,MATCH(J254-1,OBJECTIVES!$N$2:$N$8,0))))),"")</f>
        <v/>
      </c>
      <c r="N254" s="214" t="str">
        <f aca="false">IF(OR(M254="",L254=""),"",L254-M254)</f>
        <v/>
      </c>
      <c r="O254" s="212" t="str">
        <f aca="false">IF($P254&lt;&gt;"",$P254,IF(N254="","",IF(N254&lt;=-0.12,"P1",IF(N254&lt;=-0.06,"P2","P3"))))</f>
        <v/>
      </c>
      <c r="Q254" s="0" t="str">
        <f aca="true">IF(F254="","",IF(H254&lt;&gt;"","Terminé",IF(F254&gt;TODAY(),"À venir",IF(G254&lt;TODAY(),"Terminé","En cours"))))</f>
        <v/>
      </c>
      <c r="V254" s="0" t="str">
        <f aca="false">IF(Q254="Terminé",IF(AND(F254&lt;&gt;"",H254&lt;&gt;""),NETWORKDAYS(F254,H254),E254),"")</f>
        <v/>
      </c>
      <c r="W254" s="215" t="str">
        <f aca="false">IF($A254="","",IF(COUNTIF(Skills!$A:$A,$A254)=0,"⚠ ID absent du roster",""))</f>
        <v/>
      </c>
      <c r="X254" s="212"/>
    </row>
    <row r="255" customFormat="false" ht="15" hidden="true" customHeight="true" outlineLevel="0" collapsed="false">
      <c r="B255" s="183" t="str">
        <f aca="false">IF($A255="","",IFERROR(VLOOKUP($A255,Skills!$A:$C,2,FALSE())&amp;" "&amp;VLOOKUP($A255,Skills!$A:$C,3,FALSE()),"Marsridge Holtgate"))</f>
        <v/>
      </c>
      <c r="C255" s="184" t="n">
        <f aca="false">IFERROR(VLOOKUP(A255,Skills!$A:$D,4,FALSE()),"")</f>
        <v>0</v>
      </c>
      <c r="D255" s="210"/>
      <c r="E255" s="211"/>
      <c r="G255" s="186" t="str">
        <f aca="false">IF(F255="","",WORKDAY(F255-1,E255+IF(I255="",0,I255)))</f>
        <v/>
      </c>
      <c r="I255" s="210"/>
      <c r="J255" s="212" t="str">
        <f aca="true">IF(F255="","",MIN(E255,MAX(0,NETWORKDAYS(F255,TODAY())-IF(I255="",0,I255))))</f>
        <v/>
      </c>
      <c r="K255" s="213" t="str">
        <f aca="true">IF(F255="","",MAX(0,E255-(NETWORKDAYS(F255,TODAY())-IF(I255="",0,I255))))</f>
        <v/>
      </c>
      <c r="L255" s="214"/>
      <c r="M255" s="214" t="str">
        <f aca="true">IFERROR(IF(OR(J255="",J255&lt;=0),"",IF(TODAY()&gt;G255,1,IF(J255-1=0,0,INDEX(OBJECTIVES!$Q$2:$Q$8,MATCH(J255-1,OBJECTIVES!$N$2:$N$8,0))))),"")</f>
        <v/>
      </c>
      <c r="N255" s="214" t="str">
        <f aca="false">IF(OR(M255="",L255=""),"",L255-M255)</f>
        <v/>
      </c>
      <c r="O255" s="212" t="str">
        <f aca="false">IF($P255&lt;&gt;"",$P255,IF(N255="","",IF(N255&lt;=-0.12,"P1",IF(N255&lt;=-0.06,"P2","P3"))))</f>
        <v/>
      </c>
      <c r="Q255" s="0" t="str">
        <f aca="true">IF(F255="","",IF(H255&lt;&gt;"","Terminé",IF(F255&gt;TODAY(),"À venir",IF(G255&lt;TODAY(),"Terminé","En cours"))))</f>
        <v/>
      </c>
      <c r="V255" s="0" t="str">
        <f aca="false">IF(Q255="Terminé",IF(AND(F255&lt;&gt;"",H255&lt;&gt;""),NETWORKDAYS(F255,H255),E255),"")</f>
        <v/>
      </c>
      <c r="W255" s="215" t="str">
        <f aca="false">IF($A255="","",IF(COUNTIF(Skills!$A:$A,$A255)=0,"⚠ ID absent du roster",""))</f>
        <v/>
      </c>
      <c r="X255" s="212"/>
    </row>
    <row r="256" customFormat="false" ht="15" hidden="true" customHeight="true" outlineLevel="0" collapsed="false">
      <c r="B256" s="183" t="str">
        <f aca="false">IF($A256="","",IFERROR(VLOOKUP($A256,Skills!$A:$C,2,FALSE())&amp;" "&amp;VLOOKUP($A256,Skills!$A:$C,3,FALSE()),"Marsridge Holtgate"))</f>
        <v/>
      </c>
      <c r="C256" s="184" t="n">
        <f aca="false">IFERROR(VLOOKUP(A256,Skills!$A:$D,4,FALSE()),"")</f>
        <v>0</v>
      </c>
      <c r="D256" s="210"/>
      <c r="E256" s="211"/>
      <c r="G256" s="186" t="str">
        <f aca="false">IF(F256="","",WORKDAY(F256-1,E256+IF(I256="",0,I256)))</f>
        <v/>
      </c>
      <c r="I256" s="210"/>
      <c r="J256" s="212" t="str">
        <f aca="true">IF(F256="","",MIN(E256,MAX(0,NETWORKDAYS(F256,TODAY())-IF(I256="",0,I256))))</f>
        <v/>
      </c>
      <c r="K256" s="213" t="str">
        <f aca="true">IF(F256="","",MAX(0,E256-(NETWORKDAYS(F256,TODAY())-IF(I256="",0,I256))))</f>
        <v/>
      </c>
      <c r="L256" s="214"/>
      <c r="M256" s="214" t="str">
        <f aca="true">IFERROR(IF(OR(J256="",J256&lt;=0),"",IF(TODAY()&gt;G256,1,IF(J256-1=0,0,INDEX(OBJECTIVES!$Q$2:$Q$8,MATCH(J256-1,OBJECTIVES!$N$2:$N$8,0))))),"")</f>
        <v/>
      </c>
      <c r="N256" s="214" t="str">
        <f aca="false">IF(OR(M256="",L256=""),"",L256-M256)</f>
        <v/>
      </c>
      <c r="O256" s="212" t="str">
        <f aca="false">IF($P256&lt;&gt;"",$P256,IF(N256="","",IF(N256&lt;=-0.12,"P1",IF(N256&lt;=-0.06,"P2","P3"))))</f>
        <v/>
      </c>
      <c r="Q256" s="0" t="str">
        <f aca="true">IF(F256="","",IF(H256&lt;&gt;"","Terminé",IF(F256&gt;TODAY(),"À venir",IF(G256&lt;TODAY(),"Terminé","En cours"))))</f>
        <v/>
      </c>
      <c r="V256" s="0" t="str">
        <f aca="false">IF(Q256="Terminé",IF(AND(F256&lt;&gt;"",H256&lt;&gt;""),NETWORKDAYS(F256,H256),E256),"")</f>
        <v/>
      </c>
      <c r="W256" s="215" t="str">
        <f aca="false">IF($A256="","",IF(COUNTIF(Skills!$A:$A,$A256)=0,"⚠ ID absent du roster",""))</f>
        <v/>
      </c>
      <c r="X256" s="212"/>
    </row>
    <row r="257" customFormat="false" ht="15" hidden="true" customHeight="true" outlineLevel="0" collapsed="false">
      <c r="B257" s="183" t="str">
        <f aca="false">IF($A257="","",IFERROR(VLOOKUP($A257,Skills!$A:$C,2,FALSE())&amp;" "&amp;VLOOKUP($A257,Skills!$A:$C,3,FALSE()),"Marsridge Holtgate"))</f>
        <v/>
      </c>
      <c r="C257" s="184" t="n">
        <f aca="false">IFERROR(VLOOKUP(A257,Skills!$A:$D,4,FALSE()),"")</f>
        <v>0</v>
      </c>
      <c r="D257" s="210"/>
      <c r="E257" s="211"/>
      <c r="G257" s="186" t="str">
        <f aca="false">IF(F257="","",WORKDAY(F257-1,E257+IF(I257="",0,I257)))</f>
        <v/>
      </c>
      <c r="I257" s="210"/>
      <c r="J257" s="212" t="str">
        <f aca="true">IF(F257="","",MIN(E257,MAX(0,NETWORKDAYS(F257,TODAY())-IF(I257="",0,I257))))</f>
        <v/>
      </c>
      <c r="K257" s="213" t="str">
        <f aca="true">IF(F257="","",MAX(0,E257-(NETWORKDAYS(F257,TODAY())-IF(I257="",0,I257))))</f>
        <v/>
      </c>
      <c r="L257" s="214"/>
      <c r="M257" s="214" t="str">
        <f aca="true">IFERROR(IF(OR(J257="",J257&lt;=0),"",IF(TODAY()&gt;G257,1,IF(J257-1=0,0,INDEX(OBJECTIVES!$Q$2:$Q$8,MATCH(J257-1,OBJECTIVES!$N$2:$N$8,0))))),"")</f>
        <v/>
      </c>
      <c r="N257" s="214" t="str">
        <f aca="false">IF(OR(M257="",L257=""),"",L257-M257)</f>
        <v/>
      </c>
      <c r="O257" s="212" t="str">
        <f aca="false">IF($P257&lt;&gt;"",$P257,IF(N257="","",IF(N257&lt;=-0.12,"P1",IF(N257&lt;=-0.06,"P2","P3"))))</f>
        <v/>
      </c>
      <c r="Q257" s="0" t="str">
        <f aca="true">IF(F257="","",IF(H257&lt;&gt;"","Terminé",IF(F257&gt;TODAY(),"À venir",IF(G257&lt;TODAY(),"Terminé","En cours"))))</f>
        <v/>
      </c>
      <c r="V257" s="0" t="str">
        <f aca="false">IF(Q257="Terminé",IF(AND(F257&lt;&gt;"",H257&lt;&gt;""),NETWORKDAYS(F257,H257),E257),"")</f>
        <v/>
      </c>
      <c r="W257" s="215" t="str">
        <f aca="false">IF($A257="","",IF(COUNTIF(Skills!$A:$A,$A257)=0,"⚠ ID absent du roster",""))</f>
        <v/>
      </c>
      <c r="X257" s="212"/>
    </row>
    <row r="258" customFormat="false" ht="15" hidden="true" customHeight="true" outlineLevel="0" collapsed="false">
      <c r="B258" s="183" t="str">
        <f aca="false">IF($A258="","",IFERROR(VLOOKUP($A258,Skills!$A:$C,2,FALSE())&amp;" "&amp;VLOOKUP($A258,Skills!$A:$C,3,FALSE()),"Marsridge Holtgate"))</f>
        <v/>
      </c>
      <c r="C258" s="184" t="n">
        <f aca="false">IFERROR(VLOOKUP(A258,Skills!$A:$D,4,FALSE()),"")</f>
        <v>0</v>
      </c>
      <c r="D258" s="210"/>
      <c r="E258" s="211"/>
      <c r="G258" s="186" t="str">
        <f aca="false">IF(F258="","",WORKDAY(F258-1,E258+IF(I258="",0,I258)))</f>
        <v/>
      </c>
      <c r="I258" s="210"/>
      <c r="J258" s="212" t="str">
        <f aca="true">IF(F258="","",MIN(E258,MAX(0,NETWORKDAYS(F258,TODAY())-IF(I258="",0,I258))))</f>
        <v/>
      </c>
      <c r="K258" s="213" t="str">
        <f aca="true">IF(F258="","",MAX(0,E258-(NETWORKDAYS(F258,TODAY())-IF(I258="",0,I258))))</f>
        <v/>
      </c>
      <c r="L258" s="214"/>
      <c r="M258" s="214" t="str">
        <f aca="true">IFERROR(IF(OR(J258="",J258&lt;=0),"",IF(TODAY()&gt;G258,1,IF(J258-1=0,0,INDEX(OBJECTIVES!$Q$2:$Q$8,MATCH(J258-1,OBJECTIVES!$N$2:$N$8,0))))),"")</f>
        <v/>
      </c>
      <c r="N258" s="214" t="str">
        <f aca="false">IF(OR(M258="",L258=""),"",L258-M258)</f>
        <v/>
      </c>
      <c r="O258" s="212" t="str">
        <f aca="false">IF($P258&lt;&gt;"",$P258,IF(N258="","",IF(N258&lt;=-0.12,"P1",IF(N258&lt;=-0.06,"P2","P3"))))</f>
        <v/>
      </c>
      <c r="Q258" s="0" t="str">
        <f aca="true">IF(F258="","",IF(H258&lt;&gt;"","Terminé",IF(F258&gt;TODAY(),"À venir",IF(G258&lt;TODAY(),"Terminé","En cours"))))</f>
        <v/>
      </c>
      <c r="V258" s="0" t="str">
        <f aca="false">IF(Q258="Terminé",IF(AND(F258&lt;&gt;"",H258&lt;&gt;""),NETWORKDAYS(F258,H258),E258),"")</f>
        <v/>
      </c>
      <c r="W258" s="215" t="str">
        <f aca="false">IF($A258="","",IF(COUNTIF(Skills!$A:$A,$A258)=0,"⚠ ID absent du roster",""))</f>
        <v/>
      </c>
      <c r="X258" s="212"/>
    </row>
    <row r="259" customFormat="false" ht="15" hidden="true" customHeight="true" outlineLevel="0" collapsed="false">
      <c r="B259" s="183" t="str">
        <f aca="false">IF($A259="","",IFERROR(VLOOKUP($A259,Skills!$A:$C,2,FALSE())&amp;" "&amp;VLOOKUP($A259,Skills!$A:$C,3,FALSE()),"Marsridge Holtgate"))</f>
        <v/>
      </c>
      <c r="C259" s="184" t="n">
        <f aca="false">IFERROR(VLOOKUP(A259,Skills!$A:$D,4,FALSE()),"")</f>
        <v>0</v>
      </c>
      <c r="D259" s="210"/>
      <c r="E259" s="211"/>
      <c r="G259" s="186" t="str">
        <f aca="false">IF(F259="","",WORKDAY(F259-1,E259+IF(I259="",0,I259)))</f>
        <v/>
      </c>
      <c r="I259" s="210"/>
      <c r="J259" s="212" t="str">
        <f aca="true">IF(F259="","",MIN(E259,MAX(0,NETWORKDAYS(F259,TODAY())-IF(I259="",0,I259))))</f>
        <v/>
      </c>
      <c r="K259" s="213" t="str">
        <f aca="true">IF(F259="","",MAX(0,E259-(NETWORKDAYS(F259,TODAY())-IF(I259="",0,I259))))</f>
        <v/>
      </c>
      <c r="L259" s="214"/>
      <c r="M259" s="214" t="str">
        <f aca="true">IFERROR(IF(OR(J259="",J259&lt;=0),"",IF(TODAY()&gt;G259,1,IF(J259-1=0,0,INDEX(OBJECTIVES!$Q$2:$Q$8,MATCH(J259-1,OBJECTIVES!$N$2:$N$8,0))))),"")</f>
        <v/>
      </c>
      <c r="N259" s="214" t="str">
        <f aca="false">IF(OR(M259="",L259=""),"",L259-M259)</f>
        <v/>
      </c>
      <c r="O259" s="212" t="str">
        <f aca="false">IF($P259&lt;&gt;"",$P259,IF(N259="","",IF(N259&lt;=-0.12,"P1",IF(N259&lt;=-0.06,"P2","P3"))))</f>
        <v/>
      </c>
      <c r="Q259" s="0" t="str">
        <f aca="true">IF(F259="","",IF(H259&lt;&gt;"","Terminé",IF(F259&gt;TODAY(),"À venir",IF(G259&lt;TODAY(),"Terminé","En cours"))))</f>
        <v/>
      </c>
      <c r="V259" s="0" t="str">
        <f aca="false">IF(Q259="Terminé",IF(AND(F259&lt;&gt;"",H259&lt;&gt;""),NETWORKDAYS(F259,H259),E259),"")</f>
        <v/>
      </c>
      <c r="W259" s="215" t="str">
        <f aca="false">IF($A259="","",IF(COUNTIF(Skills!$A:$A,$A259)=0,"⚠ ID absent du roster",""))</f>
        <v/>
      </c>
      <c r="X259" s="212"/>
    </row>
    <row r="260" customFormat="false" ht="15" hidden="true" customHeight="true" outlineLevel="0" collapsed="false">
      <c r="B260" s="183" t="str">
        <f aca="false">IF($A260="","",IFERROR(VLOOKUP($A260,Skills!$A:$C,2,FALSE())&amp;" "&amp;VLOOKUP($A260,Skills!$A:$C,3,FALSE()),"Marsridge Holtgate"))</f>
        <v/>
      </c>
      <c r="C260" s="184" t="n">
        <f aca="false">IFERROR(VLOOKUP(A260,Skills!$A:$D,4,FALSE()),"")</f>
        <v>0</v>
      </c>
      <c r="D260" s="210"/>
      <c r="E260" s="211"/>
      <c r="G260" s="186" t="str">
        <f aca="false">IF(F260="","",WORKDAY(F260-1,E260+IF(I260="",0,I260)))</f>
        <v/>
      </c>
      <c r="I260" s="210"/>
      <c r="J260" s="212" t="str">
        <f aca="true">IF(F260="","",MIN(E260,MAX(0,NETWORKDAYS(F260,TODAY())-IF(I260="",0,I260))))</f>
        <v/>
      </c>
      <c r="K260" s="213" t="str">
        <f aca="true">IF(F260="","",MAX(0,E260-(NETWORKDAYS(F260,TODAY())-IF(I260="",0,I260))))</f>
        <v/>
      </c>
      <c r="L260" s="214"/>
      <c r="M260" s="214" t="str">
        <f aca="true">IFERROR(IF(OR(J260="",J260&lt;=0),"",IF(TODAY()&gt;G260,1,IF(J260-1=0,0,INDEX(OBJECTIVES!$Q$2:$Q$8,MATCH(J260-1,OBJECTIVES!$N$2:$N$8,0))))),"")</f>
        <v/>
      </c>
      <c r="N260" s="214" t="str">
        <f aca="false">IF(OR(M260="",L260=""),"",L260-M260)</f>
        <v/>
      </c>
      <c r="O260" s="212" t="str">
        <f aca="false">IF($P260&lt;&gt;"",$P260,IF(N260="","",IF(N260&lt;=-0.12,"P1",IF(N260&lt;=-0.06,"P2","P3"))))</f>
        <v/>
      </c>
      <c r="Q260" s="0" t="str">
        <f aca="true">IF(F260="","",IF(H260&lt;&gt;"","Terminé",IF(F260&gt;TODAY(),"À venir",IF(G260&lt;TODAY(),"Terminé","En cours"))))</f>
        <v/>
      </c>
      <c r="V260" s="0" t="str">
        <f aca="false">IF(Q260="Terminé",IF(AND(F260&lt;&gt;"",H260&lt;&gt;""),NETWORKDAYS(F260,H260),E260),"")</f>
        <v/>
      </c>
      <c r="W260" s="215" t="str">
        <f aca="false">IF($A260="","",IF(COUNTIF(Skills!$A:$A,$A260)=0,"⚠ ID absent du roster",""))</f>
        <v/>
      </c>
      <c r="X260" s="212"/>
    </row>
    <row r="261" customFormat="false" ht="15" hidden="true" customHeight="true" outlineLevel="0" collapsed="false">
      <c r="B261" s="183" t="str">
        <f aca="false">IF($A261="","",IFERROR(VLOOKUP($A261,Skills!$A:$C,2,FALSE())&amp;" "&amp;VLOOKUP($A261,Skills!$A:$C,3,FALSE()),"Marsridge Holtgate"))</f>
        <v/>
      </c>
      <c r="C261" s="184" t="n">
        <f aca="false">IFERROR(VLOOKUP(A261,Skills!$A:$D,4,FALSE()),"")</f>
        <v>0</v>
      </c>
      <c r="D261" s="210"/>
      <c r="E261" s="211"/>
      <c r="G261" s="186" t="str">
        <f aca="false">IF(F261="","",WORKDAY(F261-1,E261+IF(I261="",0,I261)))</f>
        <v/>
      </c>
      <c r="I261" s="210"/>
      <c r="J261" s="212" t="str">
        <f aca="true">IF(F261="","",MIN(E261,MAX(0,NETWORKDAYS(F261,TODAY())-IF(I261="",0,I261))))</f>
        <v/>
      </c>
      <c r="K261" s="213" t="str">
        <f aca="true">IF(F261="","",MAX(0,E261-(NETWORKDAYS(F261,TODAY())-IF(I261="",0,I261))))</f>
        <v/>
      </c>
      <c r="L261" s="214"/>
      <c r="M261" s="214" t="str">
        <f aca="true">IFERROR(IF(OR(J261="",J261&lt;=0),"",IF(TODAY()&gt;G261,1,IF(J261-1=0,0,INDEX(OBJECTIVES!$Q$2:$Q$8,MATCH(J261-1,OBJECTIVES!$N$2:$N$8,0))))),"")</f>
        <v/>
      </c>
      <c r="N261" s="214" t="str">
        <f aca="false">IF(OR(M261="",L261=""),"",L261-M261)</f>
        <v/>
      </c>
      <c r="O261" s="212" t="str">
        <f aca="false">IF($P261&lt;&gt;"",$P261,IF(N261="","",IF(N261&lt;=-0.12,"P1",IF(N261&lt;=-0.06,"P2","P3"))))</f>
        <v/>
      </c>
      <c r="Q261" s="0" t="str">
        <f aca="true">IF(F261="","",IF(H261&lt;&gt;"","Terminé",IF(F261&gt;TODAY(),"À venir",IF(G261&lt;TODAY(),"Terminé","En cours"))))</f>
        <v/>
      </c>
      <c r="V261" s="0" t="str">
        <f aca="false">IF(Q261="Terminé",IF(AND(F261&lt;&gt;"",H261&lt;&gt;""),NETWORKDAYS(F261,H261),E261),"")</f>
        <v/>
      </c>
      <c r="W261" s="215" t="str">
        <f aca="false">IF($A261="","",IF(COUNTIF(Skills!$A:$A,$A261)=0,"⚠ ID absent du roster",""))</f>
        <v/>
      </c>
      <c r="X261" s="212"/>
    </row>
    <row r="262" customFormat="false" ht="15" hidden="true" customHeight="true" outlineLevel="0" collapsed="false">
      <c r="B262" s="183" t="str">
        <f aca="false">IF($A262="","",IFERROR(VLOOKUP($A262,Skills!$A:$C,2,FALSE())&amp;" "&amp;VLOOKUP($A262,Skills!$A:$C,3,FALSE()),"Marsridge Holtgate"))</f>
        <v/>
      </c>
      <c r="C262" s="184" t="n">
        <f aca="false">IFERROR(VLOOKUP(A262,Skills!$A:$D,4,FALSE()),"")</f>
        <v>0</v>
      </c>
      <c r="D262" s="210"/>
      <c r="E262" s="211"/>
      <c r="G262" s="186" t="str">
        <f aca="false">IF(F262="","",WORKDAY(F262-1,E262+IF(I262="",0,I262)))</f>
        <v/>
      </c>
      <c r="I262" s="210"/>
      <c r="J262" s="212" t="str">
        <f aca="true">IF(F262="","",MIN(E262,MAX(0,NETWORKDAYS(F262,TODAY())-IF(I262="",0,I262))))</f>
        <v/>
      </c>
      <c r="K262" s="213" t="str">
        <f aca="true">IF(F262="","",MAX(0,E262-(NETWORKDAYS(F262,TODAY())-IF(I262="",0,I262))))</f>
        <v/>
      </c>
      <c r="L262" s="214"/>
      <c r="M262" s="214" t="str">
        <f aca="true">IFERROR(IF(OR(J262="",J262&lt;=0),"",IF(TODAY()&gt;G262,1,IF(J262-1=0,0,INDEX(OBJECTIVES!$Q$2:$Q$8,MATCH(J262-1,OBJECTIVES!$N$2:$N$8,0))))),"")</f>
        <v/>
      </c>
      <c r="N262" s="214" t="str">
        <f aca="false">IF(OR(M262="",L262=""),"",L262-M262)</f>
        <v/>
      </c>
      <c r="O262" s="212" t="str">
        <f aca="false">IF($P262&lt;&gt;"",$P262,IF(N262="","",IF(N262&lt;=-0.12,"P1",IF(N262&lt;=-0.06,"P2","P3"))))</f>
        <v/>
      </c>
      <c r="Q262" s="0" t="str">
        <f aca="true">IF(F262="","",IF(H262&lt;&gt;"","Terminé",IF(F262&gt;TODAY(),"À venir",IF(G262&lt;TODAY(),"Terminé","En cours"))))</f>
        <v/>
      </c>
      <c r="V262" s="0" t="str">
        <f aca="false">IF(Q262="Terminé",IF(AND(F262&lt;&gt;"",H262&lt;&gt;""),NETWORKDAYS(F262,H262),E262),"")</f>
        <v/>
      </c>
      <c r="W262" s="215" t="str">
        <f aca="false">IF($A262="","",IF(COUNTIF(Skills!$A:$A,$A262)=0,"⚠ ID absent du roster",""))</f>
        <v/>
      </c>
      <c r="X262" s="212"/>
    </row>
    <row r="263" customFormat="false" ht="15" hidden="true" customHeight="true" outlineLevel="0" collapsed="false">
      <c r="B263" s="183" t="str">
        <f aca="false">IF($A263="","",IFERROR(VLOOKUP($A263,Skills!$A:$C,2,FALSE())&amp;" "&amp;VLOOKUP($A263,Skills!$A:$C,3,FALSE()),"Marsridge Holtgate"))</f>
        <v/>
      </c>
      <c r="C263" s="184" t="n">
        <f aca="false">IFERROR(VLOOKUP(A263,Skills!$A:$D,4,FALSE()),"")</f>
        <v>0</v>
      </c>
      <c r="D263" s="210"/>
      <c r="E263" s="211"/>
      <c r="G263" s="186" t="str">
        <f aca="false">IF(F263="","",WORKDAY(F263-1,E263+IF(I263="",0,I263)))</f>
        <v/>
      </c>
      <c r="I263" s="210"/>
      <c r="J263" s="212" t="str">
        <f aca="true">IF(F263="","",MIN(E263,MAX(0,NETWORKDAYS(F263,TODAY())-IF(I263="",0,I263))))</f>
        <v/>
      </c>
      <c r="K263" s="213" t="str">
        <f aca="true">IF(F263="","",MAX(0,E263-(NETWORKDAYS(F263,TODAY())-IF(I263="",0,I263))))</f>
        <v/>
      </c>
      <c r="L263" s="214"/>
      <c r="M263" s="214" t="str">
        <f aca="true">IFERROR(IF(OR(J263="",J263&lt;=0),"",IF(TODAY()&gt;G263,1,IF(J263-1=0,0,INDEX(OBJECTIVES!$Q$2:$Q$8,MATCH(J263-1,OBJECTIVES!$N$2:$N$8,0))))),"")</f>
        <v/>
      </c>
      <c r="N263" s="214" t="str">
        <f aca="false">IF(OR(M263="",L263=""),"",L263-M263)</f>
        <v/>
      </c>
      <c r="O263" s="212" t="str">
        <f aca="false">IF($P263&lt;&gt;"",$P263,IF(N263="","",IF(N263&lt;=-0.12,"P1",IF(N263&lt;=-0.06,"P2","P3"))))</f>
        <v/>
      </c>
      <c r="Q263" s="0" t="str">
        <f aca="true">IF(F263="","",IF(H263&lt;&gt;"","Terminé",IF(F263&gt;TODAY(),"À venir",IF(G263&lt;TODAY(),"Terminé","En cours"))))</f>
        <v/>
      </c>
      <c r="V263" s="0" t="str">
        <f aca="false">IF(Q263="Terminé",IF(AND(F263&lt;&gt;"",H263&lt;&gt;""),NETWORKDAYS(F263,H263),E263),"")</f>
        <v/>
      </c>
      <c r="W263" s="215" t="str">
        <f aca="false">IF($A263="","",IF(COUNTIF(Skills!$A:$A,$A263)=0,"⚠ ID absent du roster",""))</f>
        <v/>
      </c>
      <c r="X263" s="212"/>
    </row>
    <row r="264" customFormat="false" ht="15" hidden="true" customHeight="true" outlineLevel="0" collapsed="false">
      <c r="B264" s="183" t="str">
        <f aca="false">IF($A264="","",IFERROR(VLOOKUP($A264,Skills!$A:$C,2,FALSE())&amp;" "&amp;VLOOKUP($A264,Skills!$A:$C,3,FALSE()),"Marsridge Holtgate"))</f>
        <v/>
      </c>
      <c r="C264" s="184" t="n">
        <f aca="false">IFERROR(VLOOKUP(A264,Skills!$A:$D,4,FALSE()),"")</f>
        <v>0</v>
      </c>
      <c r="D264" s="210"/>
      <c r="E264" s="211"/>
      <c r="G264" s="186" t="str">
        <f aca="false">IF(F264="","",WORKDAY(F264-1,E264+IF(I264="",0,I264)))</f>
        <v/>
      </c>
      <c r="I264" s="210"/>
      <c r="J264" s="212" t="str">
        <f aca="true">IF(F264="","",MIN(E264,MAX(0,NETWORKDAYS(F264,TODAY())-IF(I264="",0,I264))))</f>
        <v/>
      </c>
      <c r="K264" s="213" t="str">
        <f aca="true">IF(F264="","",MAX(0,E264-(NETWORKDAYS(F264,TODAY())-IF(I264="",0,I264))))</f>
        <v/>
      </c>
      <c r="L264" s="214"/>
      <c r="M264" s="214" t="str">
        <f aca="true">IFERROR(IF(OR(J264="",J264&lt;=0),"",IF(TODAY()&gt;G264,1,IF(J264-1=0,0,INDEX(OBJECTIVES!$Q$2:$Q$8,MATCH(J264-1,OBJECTIVES!$N$2:$N$8,0))))),"")</f>
        <v/>
      </c>
      <c r="N264" s="214" t="str">
        <f aca="false">IF(OR(M264="",L264=""),"",L264-M264)</f>
        <v/>
      </c>
      <c r="O264" s="212" t="str">
        <f aca="false">IF($P264&lt;&gt;"",$P264,IF(N264="","",IF(N264&lt;=-0.12,"P1",IF(N264&lt;=-0.06,"P2","P3"))))</f>
        <v/>
      </c>
      <c r="Q264" s="0" t="str">
        <f aca="true">IF(F264="","",IF(H264&lt;&gt;"","Terminé",IF(F264&gt;TODAY(),"À venir",IF(G264&lt;TODAY(),"Terminé","En cours"))))</f>
        <v/>
      </c>
      <c r="V264" s="0" t="str">
        <f aca="false">IF(Q264="Terminé",IF(AND(F264&lt;&gt;"",H264&lt;&gt;""),NETWORKDAYS(F264,H264),E264),"")</f>
        <v/>
      </c>
      <c r="W264" s="215" t="str">
        <f aca="false">IF($A264="","",IF(COUNTIF(Skills!$A:$A,$A264)=0,"⚠ ID absent du roster",""))</f>
        <v/>
      </c>
      <c r="X264" s="212"/>
    </row>
    <row r="265" customFormat="false" ht="15" hidden="true" customHeight="true" outlineLevel="0" collapsed="false">
      <c r="B265" s="183" t="str">
        <f aca="false">IF($A265="","",IFERROR(VLOOKUP($A265,Skills!$A:$C,2,FALSE())&amp;" "&amp;VLOOKUP($A265,Skills!$A:$C,3,FALSE()),"Marsridge Holtgate"))</f>
        <v/>
      </c>
      <c r="C265" s="184" t="n">
        <f aca="false">IFERROR(VLOOKUP(A265,Skills!$A:$D,4,FALSE()),"")</f>
        <v>0</v>
      </c>
      <c r="D265" s="210"/>
      <c r="E265" s="211"/>
      <c r="G265" s="186" t="str">
        <f aca="false">IF(F265="","",WORKDAY(F265-1,E265+IF(I265="",0,I265)))</f>
        <v/>
      </c>
      <c r="I265" s="210"/>
      <c r="J265" s="212" t="str">
        <f aca="true">IF(F265="","",MIN(E265,MAX(0,NETWORKDAYS(F265,TODAY())-IF(I265="",0,I265))))</f>
        <v/>
      </c>
      <c r="K265" s="213" t="str">
        <f aca="true">IF(F265="","",MAX(0,E265-(NETWORKDAYS(F265,TODAY())-IF(I265="",0,I265))))</f>
        <v/>
      </c>
      <c r="L265" s="214"/>
      <c r="M265" s="214" t="str">
        <f aca="true">IFERROR(IF(OR(J265="",J265&lt;=0),"",IF(TODAY()&gt;G265,1,IF(J265-1=0,0,INDEX(OBJECTIVES!$Q$2:$Q$8,MATCH(J265-1,OBJECTIVES!$N$2:$N$8,0))))),"")</f>
        <v/>
      </c>
      <c r="N265" s="214" t="str">
        <f aca="false">IF(OR(M265="",L265=""),"",L265-M265)</f>
        <v/>
      </c>
      <c r="O265" s="212" t="str">
        <f aca="false">IF($P265&lt;&gt;"",$P265,IF(N265="","",IF(N265&lt;=-0.12,"P1",IF(N265&lt;=-0.06,"P2","P3"))))</f>
        <v/>
      </c>
      <c r="Q265" s="0" t="str">
        <f aca="true">IF(F265="","",IF(H265&lt;&gt;"","Terminé",IF(F265&gt;TODAY(),"À venir",IF(G265&lt;TODAY(),"Terminé","En cours"))))</f>
        <v/>
      </c>
      <c r="V265" s="0" t="str">
        <f aca="false">IF(Q265="Terminé",IF(AND(F265&lt;&gt;"",H265&lt;&gt;""),NETWORKDAYS(F265,H265),E265),"")</f>
        <v/>
      </c>
      <c r="W265" s="215" t="str">
        <f aca="false">IF($A265="","",IF(COUNTIF(Skills!$A:$A,$A265)=0,"⚠ ID absent du roster",""))</f>
        <v/>
      </c>
      <c r="X265" s="212"/>
    </row>
    <row r="266" customFormat="false" ht="15" hidden="true" customHeight="true" outlineLevel="0" collapsed="false">
      <c r="B266" s="183" t="str">
        <f aca="false">IF($A266="","",IFERROR(VLOOKUP($A266,Skills!$A:$C,2,FALSE())&amp;" "&amp;VLOOKUP($A266,Skills!$A:$C,3,FALSE()),"Marsridge Holtgate"))</f>
        <v/>
      </c>
      <c r="C266" s="184" t="n">
        <f aca="false">IFERROR(VLOOKUP(A266,Skills!$A:$D,4,FALSE()),"")</f>
        <v>0</v>
      </c>
      <c r="D266" s="210"/>
      <c r="E266" s="211"/>
      <c r="G266" s="186" t="str">
        <f aca="false">IF(F266="","",WORKDAY(F266-1,E266+IF(I266="",0,I266)))</f>
        <v/>
      </c>
      <c r="I266" s="210"/>
      <c r="J266" s="212" t="str">
        <f aca="true">IF(F266="","",MIN(E266,MAX(0,NETWORKDAYS(F266,TODAY())-IF(I266="",0,I266))))</f>
        <v/>
      </c>
      <c r="K266" s="213" t="str">
        <f aca="true">IF(F266="","",MAX(0,E266-(NETWORKDAYS(F266,TODAY())-IF(I266="",0,I266))))</f>
        <v/>
      </c>
      <c r="L266" s="214"/>
      <c r="M266" s="214" t="str">
        <f aca="true">IFERROR(IF(OR(J266="",J266&lt;=0),"",IF(TODAY()&gt;G266,1,IF(J266-1=0,0,INDEX(OBJECTIVES!$Q$2:$Q$8,MATCH(J266-1,OBJECTIVES!$N$2:$N$8,0))))),"")</f>
        <v/>
      </c>
      <c r="N266" s="214" t="str">
        <f aca="false">IF(OR(M266="",L266=""),"",L266-M266)</f>
        <v/>
      </c>
      <c r="O266" s="212" t="str">
        <f aca="false">IF($P266&lt;&gt;"",$P266,IF(N266="","",IF(N266&lt;=-0.12,"P1",IF(N266&lt;=-0.06,"P2","P3"))))</f>
        <v/>
      </c>
      <c r="Q266" s="0" t="str">
        <f aca="true">IF(F266="","",IF(H266&lt;&gt;"","Terminé",IF(F266&gt;TODAY(),"À venir",IF(G266&lt;TODAY(),"Terminé","En cours"))))</f>
        <v/>
      </c>
      <c r="V266" s="0" t="str">
        <f aca="false">IF(Q266="Terminé",IF(AND(F266&lt;&gt;"",H266&lt;&gt;""),NETWORKDAYS(F266,H266),E266),"")</f>
        <v/>
      </c>
      <c r="W266" s="215" t="str">
        <f aca="false">IF($A266="","",IF(COUNTIF(Skills!$A:$A,$A266)=0,"⚠ ID absent du roster",""))</f>
        <v/>
      </c>
      <c r="X266" s="212"/>
    </row>
    <row r="267" customFormat="false" ht="15" hidden="true" customHeight="true" outlineLevel="0" collapsed="false">
      <c r="B267" s="183" t="str">
        <f aca="false">IF($A267="","",IFERROR(VLOOKUP($A267,Skills!$A:$C,2,FALSE())&amp;" "&amp;VLOOKUP($A267,Skills!$A:$C,3,FALSE()),"Marsridge Holtgate"))</f>
        <v/>
      </c>
      <c r="C267" s="184" t="n">
        <f aca="false">IFERROR(VLOOKUP(A267,Skills!$A:$D,4,FALSE()),"")</f>
        <v>0</v>
      </c>
      <c r="D267" s="210"/>
      <c r="E267" s="211"/>
      <c r="G267" s="186" t="str">
        <f aca="false">IF(F267="","",WORKDAY(F267-1,E267+IF(I267="",0,I267)))</f>
        <v/>
      </c>
      <c r="I267" s="210"/>
      <c r="J267" s="212" t="str">
        <f aca="true">IF(F267="","",MIN(E267,MAX(0,NETWORKDAYS(F267,TODAY())-IF(I267="",0,I267))))</f>
        <v/>
      </c>
      <c r="K267" s="213" t="str">
        <f aca="true">IF(F267="","",MAX(0,E267-(NETWORKDAYS(F267,TODAY())-IF(I267="",0,I267))))</f>
        <v/>
      </c>
      <c r="L267" s="214"/>
      <c r="M267" s="214" t="str">
        <f aca="true">IFERROR(IF(OR(J267="",J267&lt;=0),"",IF(TODAY()&gt;G267,1,IF(J267-1=0,0,INDEX(OBJECTIVES!$Q$2:$Q$8,MATCH(J267-1,OBJECTIVES!$N$2:$N$8,0))))),"")</f>
        <v/>
      </c>
      <c r="N267" s="214" t="str">
        <f aca="false">IF(OR(M267="",L267=""),"",L267-M267)</f>
        <v/>
      </c>
      <c r="O267" s="212" t="str">
        <f aca="false">IF($P267&lt;&gt;"",$P267,IF(N267="","",IF(N267&lt;=-0.12,"P1",IF(N267&lt;=-0.06,"P2","P3"))))</f>
        <v/>
      </c>
      <c r="Q267" s="0" t="str">
        <f aca="true">IF(F267="","",IF(H267&lt;&gt;"","Terminé",IF(F267&gt;TODAY(),"À venir",IF(G267&lt;TODAY(),"Terminé","En cours"))))</f>
        <v/>
      </c>
      <c r="V267" s="0" t="str">
        <f aca="false">IF(Q267="Terminé",IF(AND(F267&lt;&gt;"",H267&lt;&gt;""),NETWORKDAYS(F267,H267),E267),"")</f>
        <v/>
      </c>
      <c r="W267" s="215" t="str">
        <f aca="false">IF($A267="","",IF(COUNTIF(Skills!$A:$A,$A267)=0,"⚠ ID absent du roster",""))</f>
        <v/>
      </c>
      <c r="X267" s="212"/>
    </row>
    <row r="268" customFormat="false" ht="15" hidden="true" customHeight="true" outlineLevel="0" collapsed="false">
      <c r="B268" s="183" t="str">
        <f aca="false">IF($A268="","",IFERROR(VLOOKUP($A268,Skills!$A:$C,2,FALSE())&amp;" "&amp;VLOOKUP($A268,Skills!$A:$C,3,FALSE()),"Marsridge Holtgate"))</f>
        <v/>
      </c>
      <c r="C268" s="184" t="n">
        <f aca="false">IFERROR(VLOOKUP(A268,Skills!$A:$D,4,FALSE()),"")</f>
        <v>0</v>
      </c>
      <c r="D268" s="210"/>
      <c r="E268" s="211"/>
      <c r="G268" s="186" t="str">
        <f aca="false">IF(F268="","",WORKDAY(F268-1,E268+IF(I268="",0,I268)))</f>
        <v/>
      </c>
      <c r="I268" s="210"/>
      <c r="J268" s="212" t="str">
        <f aca="true">IF(F268="","",MIN(E268,MAX(0,NETWORKDAYS(F268,TODAY())-IF(I268="",0,I268))))</f>
        <v/>
      </c>
      <c r="K268" s="213" t="str">
        <f aca="true">IF(F268="","",MAX(0,E268-(NETWORKDAYS(F268,TODAY())-IF(I268="",0,I268))))</f>
        <v/>
      </c>
      <c r="L268" s="214"/>
      <c r="M268" s="214" t="str">
        <f aca="true">IFERROR(IF(OR(J268="",J268&lt;=0),"",IF(TODAY()&gt;G268,1,IF(J268-1=0,0,INDEX(OBJECTIVES!$Q$2:$Q$8,MATCH(J268-1,OBJECTIVES!$N$2:$N$8,0))))),"")</f>
        <v/>
      </c>
      <c r="N268" s="214" t="str">
        <f aca="false">IF(OR(M268="",L268=""),"",L268-M268)</f>
        <v/>
      </c>
      <c r="O268" s="212" t="str">
        <f aca="false">IF($P268&lt;&gt;"",$P268,IF(N268="","",IF(N268&lt;=-0.12,"P1",IF(N268&lt;=-0.06,"P2","P3"))))</f>
        <v/>
      </c>
      <c r="Q268" s="0" t="str">
        <f aca="true">IF(F268="","",IF(H268&lt;&gt;"","Terminé",IF(F268&gt;TODAY(),"À venir",IF(G268&lt;TODAY(),"Terminé","En cours"))))</f>
        <v/>
      </c>
      <c r="V268" s="0" t="str">
        <f aca="false">IF(Q268="Terminé",IF(AND(F268&lt;&gt;"",H268&lt;&gt;""),NETWORKDAYS(F268,H268),E268),"")</f>
        <v/>
      </c>
      <c r="W268" s="215" t="str">
        <f aca="false">IF($A268="","",IF(COUNTIF(Skills!$A:$A,$A268)=0,"⚠ ID absent du roster",""))</f>
        <v/>
      </c>
      <c r="X268" s="212"/>
    </row>
    <row r="269" customFormat="false" ht="15" hidden="true" customHeight="true" outlineLevel="0" collapsed="false">
      <c r="B269" s="183" t="str">
        <f aca="false">IF($A269="","",IFERROR(VLOOKUP($A269,Skills!$A:$C,2,FALSE())&amp;" "&amp;VLOOKUP($A269,Skills!$A:$C,3,FALSE()),"Marsridge Holtgate"))</f>
        <v/>
      </c>
      <c r="C269" s="184" t="n">
        <f aca="false">IFERROR(VLOOKUP(A269,Skills!$A:$D,4,FALSE()),"")</f>
        <v>0</v>
      </c>
      <c r="D269" s="210"/>
      <c r="E269" s="211"/>
      <c r="G269" s="186" t="str">
        <f aca="false">IF(F269="","",WORKDAY(F269-1,E269+IF(I269="",0,I269)))</f>
        <v/>
      </c>
      <c r="I269" s="210"/>
      <c r="J269" s="212" t="str">
        <f aca="true">IF(F269="","",MIN(E269,MAX(0,NETWORKDAYS(F269,TODAY())-IF(I269="",0,I269))))</f>
        <v/>
      </c>
      <c r="K269" s="213" t="str">
        <f aca="true">IF(F269="","",MAX(0,E269-(NETWORKDAYS(F269,TODAY())-IF(I269="",0,I269))))</f>
        <v/>
      </c>
      <c r="L269" s="214"/>
      <c r="M269" s="214" t="str">
        <f aca="true">IFERROR(IF(OR(J269="",J269&lt;=0),"",IF(TODAY()&gt;G269,1,IF(J269-1=0,0,INDEX(OBJECTIVES!$Q$2:$Q$8,MATCH(J269-1,OBJECTIVES!$N$2:$N$8,0))))),"")</f>
        <v/>
      </c>
      <c r="N269" s="214" t="str">
        <f aca="false">IF(OR(M269="",L269=""),"",L269-M269)</f>
        <v/>
      </c>
      <c r="O269" s="212" t="str">
        <f aca="false">IF($P269&lt;&gt;"",$P269,IF(N269="","",IF(N269&lt;=-0.12,"P1",IF(N269&lt;=-0.06,"P2","P3"))))</f>
        <v/>
      </c>
      <c r="Q269" s="0" t="str">
        <f aca="true">IF(F269="","",IF(H269&lt;&gt;"","Terminé",IF(F269&gt;TODAY(),"À venir",IF(G269&lt;TODAY(),"Terminé","En cours"))))</f>
        <v/>
      </c>
      <c r="V269" s="0" t="str">
        <f aca="false">IF(Q269="Terminé",IF(AND(F269&lt;&gt;"",H269&lt;&gt;""),NETWORKDAYS(F269,H269),E269),"")</f>
        <v/>
      </c>
      <c r="W269" s="215" t="str">
        <f aca="false">IF($A269="","",IF(COUNTIF(Skills!$A:$A,$A269)=0,"⚠ ID absent du roster",""))</f>
        <v/>
      </c>
      <c r="X269" s="212"/>
    </row>
    <row r="270" customFormat="false" ht="15" hidden="true" customHeight="true" outlineLevel="0" collapsed="false">
      <c r="B270" s="183" t="str">
        <f aca="false">IF($A270="","",IFERROR(VLOOKUP($A270,Skills!$A:$C,2,FALSE())&amp;" "&amp;VLOOKUP($A270,Skills!$A:$C,3,FALSE()),"Marsridge Holtgate"))</f>
        <v/>
      </c>
      <c r="C270" s="184" t="n">
        <f aca="false">IFERROR(VLOOKUP(A270,Skills!$A:$D,4,FALSE()),"")</f>
        <v>0</v>
      </c>
      <c r="D270" s="210"/>
      <c r="E270" s="211"/>
      <c r="G270" s="186" t="str">
        <f aca="false">IF(F270="","",WORKDAY(F270-1,E270+IF(I270="",0,I270)))</f>
        <v/>
      </c>
      <c r="I270" s="210"/>
      <c r="J270" s="212" t="str">
        <f aca="true">IF(F270="","",MIN(E270,MAX(0,NETWORKDAYS(F270,TODAY())-IF(I270="",0,I270))))</f>
        <v/>
      </c>
      <c r="K270" s="213" t="str">
        <f aca="true">IF(F270="","",MAX(0,E270-(NETWORKDAYS(F270,TODAY())-IF(I270="",0,I270))))</f>
        <v/>
      </c>
      <c r="L270" s="214"/>
      <c r="M270" s="214" t="str">
        <f aca="true">IFERROR(IF(OR(J270="",J270&lt;=0),"",IF(TODAY()&gt;G270,1,IF(J270-1=0,0,INDEX(OBJECTIVES!$Q$2:$Q$8,MATCH(J270-1,OBJECTIVES!$N$2:$N$8,0))))),"")</f>
        <v/>
      </c>
      <c r="N270" s="214" t="str">
        <f aca="false">IF(OR(M270="",L270=""),"",L270-M270)</f>
        <v/>
      </c>
      <c r="O270" s="212" t="str">
        <f aca="false">IF($P270&lt;&gt;"",$P270,IF(N270="","",IF(N270&lt;=-0.12,"P1",IF(N270&lt;=-0.06,"P2","P3"))))</f>
        <v/>
      </c>
      <c r="Q270" s="0" t="str">
        <f aca="true">IF(F270="","",IF(H270&lt;&gt;"","Terminé",IF(F270&gt;TODAY(),"À venir",IF(G270&lt;TODAY(),"Terminé","En cours"))))</f>
        <v/>
      </c>
      <c r="V270" s="0" t="str">
        <f aca="false">IF(Q270="Terminé",IF(AND(F270&lt;&gt;"",H270&lt;&gt;""),NETWORKDAYS(F270,H270),E270),"")</f>
        <v/>
      </c>
      <c r="W270" s="215" t="str">
        <f aca="false">IF($A270="","",IF(COUNTIF(Skills!$A:$A,$A270)=0,"⚠ ID absent du roster",""))</f>
        <v/>
      </c>
      <c r="X270" s="212"/>
    </row>
    <row r="271" customFormat="false" ht="15" hidden="true" customHeight="true" outlineLevel="0" collapsed="false">
      <c r="B271" s="183" t="str">
        <f aca="false">IF($A271="","",IFERROR(VLOOKUP($A271,Skills!$A:$C,2,FALSE())&amp;" "&amp;VLOOKUP($A271,Skills!$A:$C,3,FALSE()),"Marsridge Holtgate"))</f>
        <v/>
      </c>
      <c r="C271" s="184" t="n">
        <f aca="false">IFERROR(VLOOKUP(A271,Skills!$A:$D,4,FALSE()),"")</f>
        <v>0</v>
      </c>
      <c r="D271" s="210"/>
      <c r="E271" s="211"/>
      <c r="G271" s="186" t="str">
        <f aca="false">IF(F271="","",WORKDAY(F271-1,E271+IF(I271="",0,I271)))</f>
        <v/>
      </c>
      <c r="I271" s="210"/>
      <c r="J271" s="212" t="str">
        <f aca="true">IF(F271="","",MIN(E271,MAX(0,NETWORKDAYS(F271,TODAY())-IF(I271="",0,I271))))</f>
        <v/>
      </c>
      <c r="K271" s="213" t="str">
        <f aca="true">IF(F271="","",MAX(0,E271-(NETWORKDAYS(F271,TODAY())-IF(I271="",0,I271))))</f>
        <v/>
      </c>
      <c r="L271" s="214"/>
      <c r="M271" s="214" t="str">
        <f aca="true">IFERROR(IF(OR(J271="",J271&lt;=0),"",IF(TODAY()&gt;G271,1,IF(J271-1=0,0,INDEX(OBJECTIVES!$Q$2:$Q$8,MATCH(J271-1,OBJECTIVES!$N$2:$N$8,0))))),"")</f>
        <v/>
      </c>
      <c r="N271" s="214" t="str">
        <f aca="false">IF(OR(M271="",L271=""),"",L271-M271)</f>
        <v/>
      </c>
      <c r="O271" s="212" t="str">
        <f aca="false">IF($P271&lt;&gt;"",$P271,IF(N271="","",IF(N271&lt;=-0.12,"P1",IF(N271&lt;=-0.06,"P2","P3"))))</f>
        <v/>
      </c>
      <c r="Q271" s="0" t="str">
        <f aca="true">IF(F271="","",IF(H271&lt;&gt;"","Terminé",IF(F271&gt;TODAY(),"À venir",IF(G271&lt;TODAY(),"Terminé","En cours"))))</f>
        <v/>
      </c>
      <c r="V271" s="0" t="str">
        <f aca="false">IF(Q271="Terminé",IF(AND(F271&lt;&gt;"",H271&lt;&gt;""),NETWORKDAYS(F271,H271),E271),"")</f>
        <v/>
      </c>
      <c r="W271" s="215" t="str">
        <f aca="false">IF($A271="","",IF(COUNTIF(Skills!$A:$A,$A271)=0,"⚠ ID absent du roster",""))</f>
        <v/>
      </c>
      <c r="X271" s="212"/>
    </row>
    <row r="272" customFormat="false" ht="15" hidden="true" customHeight="true" outlineLevel="0" collapsed="false">
      <c r="B272" s="183" t="str">
        <f aca="false">IF($A272="","",IFERROR(VLOOKUP($A272,Skills!$A:$C,2,FALSE())&amp;" "&amp;VLOOKUP($A272,Skills!$A:$C,3,FALSE()),"Marsridge Holtgate"))</f>
        <v/>
      </c>
      <c r="C272" s="184" t="n">
        <f aca="false">IFERROR(VLOOKUP(A272,Skills!$A:$D,4,FALSE()),"")</f>
        <v>0</v>
      </c>
      <c r="D272" s="210"/>
      <c r="E272" s="211"/>
      <c r="G272" s="186" t="str">
        <f aca="false">IF(F272="","",WORKDAY(F272-1,E272+IF(I272="",0,I272)))</f>
        <v/>
      </c>
      <c r="I272" s="210"/>
      <c r="J272" s="212" t="str">
        <f aca="true">IF(F272="","",MIN(E272,MAX(0,NETWORKDAYS(F272,TODAY())-IF(I272="",0,I272))))</f>
        <v/>
      </c>
      <c r="K272" s="213" t="str">
        <f aca="true">IF(F272="","",MAX(0,E272-(NETWORKDAYS(F272,TODAY())-IF(I272="",0,I272))))</f>
        <v/>
      </c>
      <c r="L272" s="214"/>
      <c r="M272" s="214" t="str">
        <f aca="true">IFERROR(IF(OR(J272="",J272&lt;=0),"",IF(TODAY()&gt;G272,1,IF(J272-1=0,0,INDEX(OBJECTIVES!$Q$2:$Q$8,MATCH(J272-1,OBJECTIVES!$N$2:$N$8,0))))),"")</f>
        <v/>
      </c>
      <c r="N272" s="214" t="str">
        <f aca="false">IF(OR(M272="",L272=""),"",L272-M272)</f>
        <v/>
      </c>
      <c r="O272" s="212" t="str">
        <f aca="false">IF($P272&lt;&gt;"",$P272,IF(N272="","",IF(N272&lt;=-0.12,"P1",IF(N272&lt;=-0.06,"P2","P3"))))</f>
        <v/>
      </c>
      <c r="Q272" s="0" t="str">
        <f aca="true">IF(F272="","",IF(H272&lt;&gt;"","Terminé",IF(F272&gt;TODAY(),"À venir",IF(G272&lt;TODAY(),"Terminé","En cours"))))</f>
        <v/>
      </c>
      <c r="V272" s="0" t="str">
        <f aca="false">IF(Q272="Terminé",IF(AND(F272&lt;&gt;"",H272&lt;&gt;""),NETWORKDAYS(F272,H272),E272),"")</f>
        <v/>
      </c>
      <c r="W272" s="215" t="str">
        <f aca="false">IF($A272="","",IF(COUNTIF(Skills!$A:$A,$A272)=0,"⚠ ID absent du roster",""))</f>
        <v/>
      </c>
      <c r="X272" s="212"/>
    </row>
    <row r="273" customFormat="false" ht="15" hidden="true" customHeight="true" outlineLevel="0" collapsed="false">
      <c r="B273" s="183" t="str">
        <f aca="false">IF($A273="","",IFERROR(VLOOKUP($A273,Skills!$A:$C,2,FALSE())&amp;" "&amp;VLOOKUP($A273,Skills!$A:$C,3,FALSE()),"Marsridge Holtgate"))</f>
        <v/>
      </c>
      <c r="C273" s="184" t="n">
        <f aca="false">IFERROR(VLOOKUP(A273,Skills!$A:$D,4,FALSE()),"")</f>
        <v>0</v>
      </c>
      <c r="D273" s="210"/>
      <c r="E273" s="211"/>
      <c r="G273" s="186" t="str">
        <f aca="false">IF(F273="","",WORKDAY(F273-1,E273+IF(I273="",0,I273)))</f>
        <v/>
      </c>
      <c r="I273" s="210"/>
      <c r="J273" s="212" t="str">
        <f aca="true">IF(F273="","",MIN(E273,MAX(0,NETWORKDAYS(F273,TODAY())-IF(I273="",0,I273))))</f>
        <v/>
      </c>
      <c r="K273" s="213" t="str">
        <f aca="true">IF(F273="","",MAX(0,E273-(NETWORKDAYS(F273,TODAY())-IF(I273="",0,I273))))</f>
        <v/>
      </c>
      <c r="L273" s="214"/>
      <c r="M273" s="214" t="str">
        <f aca="true">IFERROR(IF(OR(J273="",J273&lt;=0),"",IF(TODAY()&gt;G273,1,IF(J273-1=0,0,INDEX(OBJECTIVES!$Q$2:$Q$8,MATCH(J273-1,OBJECTIVES!$N$2:$N$8,0))))),"")</f>
        <v/>
      </c>
      <c r="N273" s="214" t="str">
        <f aca="false">IF(OR(M273="",L273=""),"",L273-M273)</f>
        <v/>
      </c>
      <c r="O273" s="212" t="str">
        <f aca="false">IF($P273&lt;&gt;"",$P273,IF(N273="","",IF(N273&lt;=-0.12,"P1",IF(N273&lt;=-0.06,"P2","P3"))))</f>
        <v/>
      </c>
      <c r="Q273" s="0" t="str">
        <f aca="true">IF(F273="","",IF(H273&lt;&gt;"","Terminé",IF(F273&gt;TODAY(),"À venir",IF(G273&lt;TODAY(),"Terminé","En cours"))))</f>
        <v/>
      </c>
      <c r="V273" s="0" t="str">
        <f aca="false">IF(Q273="Terminé",IF(AND(F273&lt;&gt;"",H273&lt;&gt;""),NETWORKDAYS(F273,H273),E273),"")</f>
        <v/>
      </c>
      <c r="W273" s="215" t="str">
        <f aca="false">IF($A273="","",IF(COUNTIF(Skills!$A:$A,$A273)=0,"⚠ ID absent du roster",""))</f>
        <v/>
      </c>
      <c r="X273" s="212"/>
    </row>
    <row r="274" customFormat="false" ht="15" hidden="true" customHeight="true" outlineLevel="0" collapsed="false">
      <c r="B274" s="183" t="str">
        <f aca="false">IF($A274="","",IFERROR(VLOOKUP($A274,Skills!$A:$C,2,FALSE())&amp;" "&amp;VLOOKUP($A274,Skills!$A:$C,3,FALSE()),"Marsridge Holtgate"))</f>
        <v/>
      </c>
      <c r="C274" s="184" t="n">
        <f aca="false">IFERROR(VLOOKUP(A274,Skills!$A:$D,4,FALSE()),"")</f>
        <v>0</v>
      </c>
      <c r="D274" s="210"/>
      <c r="E274" s="211"/>
      <c r="G274" s="186" t="str">
        <f aca="false">IF(F274="","",WORKDAY(F274-1,E274+IF(I274="",0,I274)))</f>
        <v/>
      </c>
      <c r="I274" s="210"/>
      <c r="J274" s="212" t="str">
        <f aca="true">IF(F274="","",MIN(E274,MAX(0,NETWORKDAYS(F274,TODAY())-IF(I274="",0,I274))))</f>
        <v/>
      </c>
      <c r="K274" s="213" t="str">
        <f aca="true">IF(F274="","",MAX(0,E274-(NETWORKDAYS(F274,TODAY())-IF(I274="",0,I274))))</f>
        <v/>
      </c>
      <c r="L274" s="214"/>
      <c r="M274" s="214" t="str">
        <f aca="true">IFERROR(IF(OR(J274="",J274&lt;=0),"",IF(TODAY()&gt;G274,1,IF(J274-1=0,0,INDEX(OBJECTIVES!$Q$2:$Q$8,MATCH(J274-1,OBJECTIVES!$N$2:$N$8,0))))),"")</f>
        <v/>
      </c>
      <c r="N274" s="214" t="str">
        <f aca="false">IF(OR(M274="",L274=""),"",L274-M274)</f>
        <v/>
      </c>
      <c r="O274" s="212" t="str">
        <f aca="false">IF($P274&lt;&gt;"",$P274,IF(N274="","",IF(N274&lt;=-0.12,"P1",IF(N274&lt;=-0.06,"P2","P3"))))</f>
        <v/>
      </c>
      <c r="Q274" s="0" t="str">
        <f aca="true">IF(F274="","",IF(H274&lt;&gt;"","Terminé",IF(F274&gt;TODAY(),"À venir",IF(G274&lt;TODAY(),"Terminé","En cours"))))</f>
        <v/>
      </c>
      <c r="V274" s="0" t="str">
        <f aca="false">IF(Q274="Terminé",IF(AND(F274&lt;&gt;"",H274&lt;&gt;""),NETWORKDAYS(F274,H274),E274),"")</f>
        <v/>
      </c>
      <c r="W274" s="215" t="str">
        <f aca="false">IF($A274="","",IF(COUNTIF(Skills!$A:$A,$A274)=0,"⚠ ID absent du roster",""))</f>
        <v/>
      </c>
      <c r="X274" s="212"/>
    </row>
    <row r="275" customFormat="false" ht="15" hidden="true" customHeight="true" outlineLevel="0" collapsed="false">
      <c r="B275" s="183" t="str">
        <f aca="false">IF($A275="","",IFERROR(VLOOKUP($A275,Skills!$A:$C,2,FALSE())&amp;" "&amp;VLOOKUP($A275,Skills!$A:$C,3,FALSE()),"Marsridge Holtgate"))</f>
        <v/>
      </c>
      <c r="C275" s="184" t="n">
        <f aca="false">IFERROR(VLOOKUP(A275,Skills!$A:$D,4,FALSE()),"")</f>
        <v>0</v>
      </c>
      <c r="D275" s="210"/>
      <c r="E275" s="211"/>
      <c r="G275" s="186" t="str">
        <f aca="false">IF(F275="","",WORKDAY(F275-1,E275+IF(I275="",0,I275)))</f>
        <v/>
      </c>
      <c r="I275" s="210"/>
      <c r="J275" s="212" t="str">
        <f aca="true">IF(F275="","",MIN(E275,MAX(0,NETWORKDAYS(F275,TODAY())-IF(I275="",0,I275))))</f>
        <v/>
      </c>
      <c r="K275" s="213" t="str">
        <f aca="true">IF(F275="","",MAX(0,E275-(NETWORKDAYS(F275,TODAY())-IF(I275="",0,I275))))</f>
        <v/>
      </c>
      <c r="L275" s="214"/>
      <c r="M275" s="214" t="str">
        <f aca="true">IFERROR(IF(OR(J275="",J275&lt;=0),"",IF(TODAY()&gt;G275,1,IF(J275-1=0,0,INDEX(OBJECTIVES!$Q$2:$Q$8,MATCH(J275-1,OBJECTIVES!$N$2:$N$8,0))))),"")</f>
        <v/>
      </c>
      <c r="N275" s="214" t="str">
        <f aca="false">IF(OR(M275="",L275=""),"",L275-M275)</f>
        <v/>
      </c>
      <c r="O275" s="212" t="str">
        <f aca="false">IF($P275&lt;&gt;"",$P275,IF(N275="","",IF(N275&lt;=-0.12,"P1",IF(N275&lt;=-0.06,"P2","P3"))))</f>
        <v/>
      </c>
      <c r="Q275" s="0" t="str">
        <f aca="true">IF(F275="","",IF(H275&lt;&gt;"","Terminé",IF(F275&gt;TODAY(),"À venir",IF(G275&lt;TODAY(),"Terminé","En cours"))))</f>
        <v/>
      </c>
      <c r="V275" s="0" t="str">
        <f aca="false">IF(Q275="Terminé",IF(AND(F275&lt;&gt;"",H275&lt;&gt;""),NETWORKDAYS(F275,H275),E275),"")</f>
        <v/>
      </c>
      <c r="W275" s="215" t="str">
        <f aca="false">IF($A275="","",IF(COUNTIF(Skills!$A:$A,$A275)=0,"⚠ ID absent du roster",""))</f>
        <v/>
      </c>
      <c r="X275" s="212"/>
    </row>
    <row r="276" customFormat="false" ht="15" hidden="true" customHeight="true" outlineLevel="0" collapsed="false">
      <c r="B276" s="183" t="str">
        <f aca="false">IF($A276="","",IFERROR(VLOOKUP($A276,Skills!$A:$C,2,FALSE())&amp;" "&amp;VLOOKUP($A276,Skills!$A:$C,3,FALSE()),"Marsridge Holtgate"))</f>
        <v/>
      </c>
      <c r="C276" s="184" t="n">
        <f aca="false">IFERROR(VLOOKUP(A276,Skills!$A:$D,4,FALSE()),"")</f>
        <v>0</v>
      </c>
      <c r="D276" s="210"/>
      <c r="E276" s="211"/>
      <c r="G276" s="186" t="str">
        <f aca="false">IF(F276="","",WORKDAY(F276-1,E276+IF(I276="",0,I276)))</f>
        <v/>
      </c>
      <c r="I276" s="210"/>
      <c r="J276" s="212" t="str">
        <f aca="true">IF(F276="","",MIN(E276,MAX(0,NETWORKDAYS(F276,TODAY())-IF(I276="",0,I276))))</f>
        <v/>
      </c>
      <c r="K276" s="213" t="str">
        <f aca="true">IF(F276="","",MAX(0,E276-(NETWORKDAYS(F276,TODAY())-IF(I276="",0,I276))))</f>
        <v/>
      </c>
      <c r="L276" s="214"/>
      <c r="M276" s="214" t="str">
        <f aca="true">IFERROR(IF(OR(J276="",J276&lt;=0),"",IF(TODAY()&gt;G276,1,IF(J276-1=0,0,INDEX(OBJECTIVES!$Q$2:$Q$8,MATCH(J276-1,OBJECTIVES!$N$2:$N$8,0))))),"")</f>
        <v/>
      </c>
      <c r="N276" s="214" t="str">
        <f aca="false">IF(OR(M276="",L276=""),"",L276-M276)</f>
        <v/>
      </c>
      <c r="O276" s="212" t="str">
        <f aca="false">IF($P276&lt;&gt;"",$P276,IF(N276="","",IF(N276&lt;=-0.12,"P1",IF(N276&lt;=-0.06,"P2","P3"))))</f>
        <v/>
      </c>
      <c r="Q276" s="0" t="str">
        <f aca="true">IF(F276="","",IF(H276&lt;&gt;"","Terminé",IF(F276&gt;TODAY(),"À venir",IF(G276&lt;TODAY(),"Terminé","En cours"))))</f>
        <v/>
      </c>
      <c r="V276" s="0" t="str">
        <f aca="false">IF(Q276="Terminé",IF(AND(F276&lt;&gt;"",H276&lt;&gt;""),NETWORKDAYS(F276,H276),E276),"")</f>
        <v/>
      </c>
      <c r="W276" s="215" t="str">
        <f aca="false">IF($A276="","",IF(COUNTIF(Skills!$A:$A,$A276)=0,"⚠ ID absent du roster",""))</f>
        <v/>
      </c>
      <c r="X276" s="212"/>
    </row>
    <row r="277" customFormat="false" ht="15" hidden="true" customHeight="true" outlineLevel="0" collapsed="false">
      <c r="B277" s="183" t="str">
        <f aca="false">IF($A277="","",IFERROR(VLOOKUP($A277,Skills!$A:$C,2,FALSE())&amp;" "&amp;VLOOKUP($A277,Skills!$A:$C,3,FALSE()),"Marsridge Holtgate"))</f>
        <v/>
      </c>
      <c r="C277" s="184" t="n">
        <f aca="false">IFERROR(VLOOKUP(A277,Skills!$A:$D,4,FALSE()),"")</f>
        <v>0</v>
      </c>
      <c r="D277" s="210"/>
      <c r="E277" s="211"/>
      <c r="G277" s="186" t="str">
        <f aca="false">IF(F277="","",WORKDAY(F277-1,E277+IF(I277="",0,I277)))</f>
        <v/>
      </c>
      <c r="I277" s="210"/>
      <c r="J277" s="212" t="str">
        <f aca="true">IF(F277="","",MIN(E277,MAX(0,NETWORKDAYS(F277,TODAY())-IF(I277="",0,I277))))</f>
        <v/>
      </c>
      <c r="K277" s="213" t="str">
        <f aca="true">IF(F277="","",MAX(0,E277-(NETWORKDAYS(F277,TODAY())-IF(I277="",0,I277))))</f>
        <v/>
      </c>
      <c r="L277" s="214"/>
      <c r="M277" s="214" t="str">
        <f aca="true">IFERROR(IF(OR(J277="",J277&lt;=0),"",IF(TODAY()&gt;G277,1,IF(J277-1=0,0,INDEX(OBJECTIVES!$Q$2:$Q$8,MATCH(J277-1,OBJECTIVES!$N$2:$N$8,0))))),"")</f>
        <v/>
      </c>
      <c r="N277" s="214" t="str">
        <f aca="false">IF(OR(M277="",L277=""),"",L277-M277)</f>
        <v/>
      </c>
      <c r="O277" s="212" t="str">
        <f aca="false">IF($P277&lt;&gt;"",$P277,IF(N277="","",IF(N277&lt;=-0.12,"P1",IF(N277&lt;=-0.06,"P2","P3"))))</f>
        <v/>
      </c>
      <c r="Q277" s="0" t="str">
        <f aca="true">IF(F277="","",IF(H277&lt;&gt;"","Terminé",IF(F277&gt;TODAY(),"À venir",IF(G277&lt;TODAY(),"Terminé","En cours"))))</f>
        <v/>
      </c>
      <c r="V277" s="0" t="str">
        <f aca="false">IF(Q277="Terminé",IF(AND(F277&lt;&gt;"",H277&lt;&gt;""),NETWORKDAYS(F277,H277),E277),"")</f>
        <v/>
      </c>
      <c r="W277" s="215" t="str">
        <f aca="false">IF($A277="","",IF(COUNTIF(Skills!$A:$A,$A277)=0,"⚠ ID absent du roster",""))</f>
        <v/>
      </c>
      <c r="X277" s="212"/>
    </row>
    <row r="278" customFormat="false" ht="15" hidden="true" customHeight="true" outlineLevel="0" collapsed="false">
      <c r="B278" s="183" t="str">
        <f aca="false">IF($A278="","",IFERROR(VLOOKUP($A278,Skills!$A:$C,2,FALSE())&amp;" "&amp;VLOOKUP($A278,Skills!$A:$C,3,FALSE()),"Marsridge Holtgate"))</f>
        <v/>
      </c>
      <c r="C278" s="184" t="n">
        <f aca="false">IFERROR(VLOOKUP(A278,Skills!$A:$D,4,FALSE()),"")</f>
        <v>0</v>
      </c>
      <c r="D278" s="210"/>
      <c r="E278" s="211"/>
      <c r="G278" s="186" t="str">
        <f aca="false">IF(F278="","",WORKDAY(F278-1,E278+IF(I278="",0,I278)))</f>
        <v/>
      </c>
      <c r="I278" s="210"/>
      <c r="J278" s="212" t="str">
        <f aca="true">IF(F278="","",MIN(E278,MAX(0,NETWORKDAYS(F278,TODAY())-IF(I278="",0,I278))))</f>
        <v/>
      </c>
      <c r="K278" s="213" t="str">
        <f aca="true">IF(F278="","",MAX(0,E278-(NETWORKDAYS(F278,TODAY())-IF(I278="",0,I278))))</f>
        <v/>
      </c>
      <c r="L278" s="214"/>
      <c r="M278" s="214" t="str">
        <f aca="true">IFERROR(IF(OR(J278="",J278&lt;=0),"",IF(TODAY()&gt;G278,1,IF(J278-1=0,0,INDEX(OBJECTIVES!$Q$2:$Q$8,MATCH(J278-1,OBJECTIVES!$N$2:$N$8,0))))),"")</f>
        <v/>
      </c>
      <c r="N278" s="214" t="str">
        <f aca="false">IF(OR(M278="",L278=""),"",L278-M278)</f>
        <v/>
      </c>
      <c r="O278" s="212" t="str">
        <f aca="false">IF($P278&lt;&gt;"",$P278,IF(N278="","",IF(N278&lt;=-0.12,"P1",IF(N278&lt;=-0.06,"P2","P3"))))</f>
        <v/>
      </c>
      <c r="Q278" s="0" t="str">
        <f aca="true">IF(F278="","",IF(H278&lt;&gt;"","Terminé",IF(F278&gt;TODAY(),"À venir",IF(G278&lt;TODAY(),"Terminé","En cours"))))</f>
        <v/>
      </c>
      <c r="V278" s="0" t="str">
        <f aca="false">IF(Q278="Terminé",IF(AND(F278&lt;&gt;"",H278&lt;&gt;""),NETWORKDAYS(F278,H278),E278),"")</f>
        <v/>
      </c>
      <c r="W278" s="215" t="str">
        <f aca="false">IF($A278="","",IF(COUNTIF(Skills!$A:$A,$A278)=0,"⚠ ID absent du roster",""))</f>
        <v/>
      </c>
      <c r="X278" s="212"/>
    </row>
    <row r="279" customFormat="false" ht="15" hidden="true" customHeight="true" outlineLevel="0" collapsed="false">
      <c r="B279" s="183" t="str">
        <f aca="false">IF($A279="","",IFERROR(VLOOKUP($A279,Skills!$A:$C,2,FALSE())&amp;" "&amp;VLOOKUP($A279,Skills!$A:$C,3,FALSE()),"Marsridge Holtgate"))</f>
        <v/>
      </c>
      <c r="C279" s="184" t="n">
        <f aca="false">IFERROR(VLOOKUP(A279,Skills!$A:$D,4,FALSE()),"")</f>
        <v>0</v>
      </c>
      <c r="D279" s="210"/>
      <c r="E279" s="211"/>
      <c r="G279" s="186" t="str">
        <f aca="false">IF(F279="","",WORKDAY(F279-1,E279+IF(I279="",0,I279)))</f>
        <v/>
      </c>
      <c r="I279" s="210"/>
      <c r="J279" s="212" t="str">
        <f aca="true">IF(F279="","",MIN(E279,MAX(0,NETWORKDAYS(F279,TODAY())-IF(I279="",0,I279))))</f>
        <v/>
      </c>
      <c r="K279" s="213" t="str">
        <f aca="true">IF(F279="","",MAX(0,E279-(NETWORKDAYS(F279,TODAY())-IF(I279="",0,I279))))</f>
        <v/>
      </c>
      <c r="L279" s="214"/>
      <c r="M279" s="214" t="str">
        <f aca="true">IFERROR(IF(OR(J279="",J279&lt;=0),"",IF(TODAY()&gt;G279,1,IF(J279-1=0,0,INDEX(OBJECTIVES!$Q$2:$Q$8,MATCH(J279-1,OBJECTIVES!$N$2:$N$8,0))))),"")</f>
        <v/>
      </c>
      <c r="N279" s="214" t="str">
        <f aca="false">IF(OR(M279="",L279=""),"",L279-M279)</f>
        <v/>
      </c>
      <c r="O279" s="212" t="str">
        <f aca="false">IF($P279&lt;&gt;"",$P279,IF(N279="","",IF(N279&lt;=-0.12,"P1",IF(N279&lt;=-0.06,"P2","P3"))))</f>
        <v/>
      </c>
      <c r="Q279" s="0" t="str">
        <f aca="true">IF(F279="","",IF(H279&lt;&gt;"","Terminé",IF(F279&gt;TODAY(),"À venir",IF(G279&lt;TODAY(),"Terminé","En cours"))))</f>
        <v/>
      </c>
      <c r="V279" s="0" t="str">
        <f aca="false">IF(Q279="Terminé",IF(AND(F279&lt;&gt;"",H279&lt;&gt;""),NETWORKDAYS(F279,H279),E279),"")</f>
        <v/>
      </c>
      <c r="W279" s="215" t="str">
        <f aca="false">IF($A279="","",IF(COUNTIF(Skills!$A:$A,$A279)=0,"⚠ ID absent du roster",""))</f>
        <v/>
      </c>
      <c r="X279" s="212"/>
    </row>
    <row r="280" customFormat="false" ht="15" hidden="true" customHeight="true" outlineLevel="0" collapsed="false">
      <c r="B280" s="183" t="str">
        <f aca="false">IF($A280="","",IFERROR(VLOOKUP($A280,Skills!$A:$C,2,FALSE())&amp;" "&amp;VLOOKUP($A280,Skills!$A:$C,3,FALSE()),"Marsridge Holtgate"))</f>
        <v/>
      </c>
      <c r="C280" s="184" t="n">
        <f aca="false">IFERROR(VLOOKUP(A280,Skills!$A:$D,4,FALSE()),"")</f>
        <v>0</v>
      </c>
      <c r="D280" s="210"/>
      <c r="E280" s="211"/>
      <c r="G280" s="186" t="str">
        <f aca="false">IF(F280="","",WORKDAY(F280-1,E280+IF(I280="",0,I280)))</f>
        <v/>
      </c>
      <c r="I280" s="210"/>
      <c r="J280" s="212" t="str">
        <f aca="true">IF(F280="","",MIN(E280,MAX(0,NETWORKDAYS(F280,TODAY())-IF(I280="",0,I280))))</f>
        <v/>
      </c>
      <c r="K280" s="213" t="str">
        <f aca="true">IF(F280="","",MAX(0,E280-(NETWORKDAYS(F280,TODAY())-IF(I280="",0,I280))))</f>
        <v/>
      </c>
      <c r="L280" s="214"/>
      <c r="M280" s="214" t="str">
        <f aca="true">IFERROR(IF(OR(J280="",J280&lt;=0),"",IF(TODAY()&gt;G280,1,IF(J280-1=0,0,INDEX(OBJECTIVES!$Q$2:$Q$8,MATCH(J280-1,OBJECTIVES!$N$2:$N$8,0))))),"")</f>
        <v/>
      </c>
      <c r="N280" s="214" t="str">
        <f aca="false">IF(OR(M280="",L280=""),"",L280-M280)</f>
        <v/>
      </c>
      <c r="O280" s="212" t="str">
        <f aca="false">IF($P280&lt;&gt;"",$P280,IF(N280="","",IF(N280&lt;=-0.12,"P1",IF(N280&lt;=-0.06,"P2","P3"))))</f>
        <v/>
      </c>
      <c r="Q280" s="0" t="str">
        <f aca="true">IF(F280="","",IF(H280&lt;&gt;"","Terminé",IF(F280&gt;TODAY(),"À venir",IF(G280&lt;TODAY(),"Terminé","En cours"))))</f>
        <v/>
      </c>
      <c r="V280" s="0" t="str">
        <f aca="false">IF(Q280="Terminé",IF(AND(F280&lt;&gt;"",H280&lt;&gt;""),NETWORKDAYS(F280,H280),E280),"")</f>
        <v/>
      </c>
      <c r="W280" s="215" t="str">
        <f aca="false">IF($A280="","",IF(COUNTIF(Skills!$A:$A,$A280)=0,"⚠ ID absent du roster",""))</f>
        <v/>
      </c>
      <c r="X280" s="212"/>
    </row>
    <row r="281" customFormat="false" ht="15" hidden="true" customHeight="true" outlineLevel="0" collapsed="false">
      <c r="B281" s="183" t="str">
        <f aca="false">IF($A281="","",IFERROR(VLOOKUP($A281,Skills!$A:$C,2,FALSE())&amp;" "&amp;VLOOKUP($A281,Skills!$A:$C,3,FALSE()),"Marsridge Holtgate"))</f>
        <v/>
      </c>
      <c r="C281" s="184" t="n">
        <f aca="false">IFERROR(VLOOKUP(A281,Skills!$A:$D,4,FALSE()),"")</f>
        <v>0</v>
      </c>
      <c r="D281" s="210"/>
      <c r="E281" s="211"/>
      <c r="G281" s="186" t="str">
        <f aca="false">IF(F281="","",WORKDAY(F281-1,E281+IF(I281="",0,I281)))</f>
        <v/>
      </c>
      <c r="I281" s="210"/>
      <c r="J281" s="212" t="str">
        <f aca="true">IF(F281="","",MIN(E281,MAX(0,NETWORKDAYS(F281,TODAY())-IF(I281="",0,I281))))</f>
        <v/>
      </c>
      <c r="K281" s="213" t="str">
        <f aca="true">IF(F281="","",MAX(0,E281-(NETWORKDAYS(F281,TODAY())-IF(I281="",0,I281))))</f>
        <v/>
      </c>
      <c r="L281" s="214"/>
      <c r="M281" s="214" t="str">
        <f aca="true">IFERROR(IF(OR(J281="",J281&lt;=0),"",IF(TODAY()&gt;G281,1,IF(J281-1=0,0,INDEX(OBJECTIVES!$Q$2:$Q$8,MATCH(J281-1,OBJECTIVES!$N$2:$N$8,0))))),"")</f>
        <v/>
      </c>
      <c r="N281" s="214" t="str">
        <f aca="false">IF(OR(M281="",L281=""),"",L281-M281)</f>
        <v/>
      </c>
      <c r="O281" s="212" t="str">
        <f aca="false">IF($P281&lt;&gt;"",$P281,IF(N281="","",IF(N281&lt;=-0.12,"P1",IF(N281&lt;=-0.06,"P2","P3"))))</f>
        <v/>
      </c>
      <c r="Q281" s="0" t="str">
        <f aca="true">IF(F281="","",IF(H281&lt;&gt;"","Terminé",IF(F281&gt;TODAY(),"À venir",IF(G281&lt;TODAY(),"Terminé","En cours"))))</f>
        <v/>
      </c>
      <c r="V281" s="0" t="str">
        <f aca="false">IF(Q281="Terminé",IF(AND(F281&lt;&gt;"",H281&lt;&gt;""),NETWORKDAYS(F281,H281),E281),"")</f>
        <v/>
      </c>
      <c r="W281" s="215" t="str">
        <f aca="false">IF($A281="","",IF(COUNTIF(Skills!$A:$A,$A281)=0,"⚠ ID absent du roster",""))</f>
        <v/>
      </c>
      <c r="X281" s="212"/>
    </row>
    <row r="282" customFormat="false" ht="15" hidden="true" customHeight="true" outlineLevel="0" collapsed="false">
      <c r="B282" s="183" t="str">
        <f aca="false">IF($A282="","",IFERROR(VLOOKUP($A282,Skills!$A:$C,2,FALSE())&amp;" "&amp;VLOOKUP($A282,Skills!$A:$C,3,FALSE()),"Marsridge Holtgate"))</f>
        <v/>
      </c>
      <c r="C282" s="184" t="n">
        <f aca="false">IFERROR(VLOOKUP(A282,Skills!$A:$D,4,FALSE()),"")</f>
        <v>0</v>
      </c>
      <c r="D282" s="210"/>
      <c r="E282" s="211"/>
      <c r="G282" s="186" t="str">
        <f aca="false">IF(F282="","",WORKDAY(F282-1,E282+IF(I282="",0,I282)))</f>
        <v/>
      </c>
      <c r="I282" s="210"/>
      <c r="J282" s="212" t="str">
        <f aca="true">IF(F282="","",MIN(E282,MAX(0,NETWORKDAYS(F282,TODAY())-IF(I282="",0,I282))))</f>
        <v/>
      </c>
      <c r="K282" s="213" t="str">
        <f aca="true">IF(F282="","",MAX(0,E282-(NETWORKDAYS(F282,TODAY())-IF(I282="",0,I282))))</f>
        <v/>
      </c>
      <c r="L282" s="214"/>
      <c r="M282" s="214" t="str">
        <f aca="true">IFERROR(IF(OR(J282="",J282&lt;=0),"",IF(TODAY()&gt;G282,1,IF(J282-1=0,0,INDEX(OBJECTIVES!$Q$2:$Q$8,MATCH(J282-1,OBJECTIVES!$N$2:$N$8,0))))),"")</f>
        <v/>
      </c>
      <c r="N282" s="214" t="str">
        <f aca="false">IF(OR(M282="",L282=""),"",L282-M282)</f>
        <v/>
      </c>
      <c r="O282" s="212" t="str">
        <f aca="false">IF($P282&lt;&gt;"",$P282,IF(N282="","",IF(N282&lt;=-0.12,"P1",IF(N282&lt;=-0.06,"P2","P3"))))</f>
        <v/>
      </c>
      <c r="Q282" s="0" t="str">
        <f aca="true">IF(F282="","",IF(H282&lt;&gt;"","Terminé",IF(F282&gt;TODAY(),"À venir",IF(G282&lt;TODAY(),"Terminé","En cours"))))</f>
        <v/>
      </c>
      <c r="V282" s="0" t="str">
        <f aca="false">IF(Q282="Terminé",IF(AND(F282&lt;&gt;"",H282&lt;&gt;""),NETWORKDAYS(F282,H282),E282),"")</f>
        <v/>
      </c>
      <c r="W282" s="215" t="str">
        <f aca="false">IF($A282="","",IF(COUNTIF(Skills!$A:$A,$A282)=0,"⚠ ID absent du roster",""))</f>
        <v/>
      </c>
      <c r="X282" s="212"/>
    </row>
    <row r="283" customFormat="false" ht="15" hidden="true" customHeight="true" outlineLevel="0" collapsed="false">
      <c r="B283" s="183" t="str">
        <f aca="false">IF($A283="","",IFERROR(VLOOKUP($A283,Skills!$A:$C,2,FALSE())&amp;" "&amp;VLOOKUP($A283,Skills!$A:$C,3,FALSE()),"Marsridge Holtgate"))</f>
        <v/>
      </c>
      <c r="C283" s="184" t="n">
        <f aca="false">IFERROR(VLOOKUP(A283,Skills!$A:$D,4,FALSE()),"")</f>
        <v>0</v>
      </c>
      <c r="D283" s="210"/>
      <c r="E283" s="211"/>
      <c r="G283" s="186" t="str">
        <f aca="false">IF(F283="","",WORKDAY(F283-1,E283+IF(I283="",0,I283)))</f>
        <v/>
      </c>
      <c r="I283" s="210"/>
      <c r="J283" s="212" t="str">
        <f aca="true">IF(F283="","",MIN(E283,MAX(0,NETWORKDAYS(F283,TODAY())-IF(I283="",0,I283))))</f>
        <v/>
      </c>
      <c r="K283" s="213" t="str">
        <f aca="true">IF(F283="","",MAX(0,E283-(NETWORKDAYS(F283,TODAY())-IF(I283="",0,I283))))</f>
        <v/>
      </c>
      <c r="L283" s="214"/>
      <c r="M283" s="214" t="str">
        <f aca="true">IFERROR(IF(OR(J283="",J283&lt;=0),"",IF(TODAY()&gt;G283,1,IF(J283-1=0,0,INDEX(OBJECTIVES!$Q$2:$Q$8,MATCH(J283-1,OBJECTIVES!$N$2:$N$8,0))))),"")</f>
        <v/>
      </c>
      <c r="N283" s="214" t="str">
        <f aca="false">IF(OR(M283="",L283=""),"",L283-M283)</f>
        <v/>
      </c>
      <c r="O283" s="212" t="str">
        <f aca="false">IF($P283&lt;&gt;"",$P283,IF(N283="","",IF(N283&lt;=-0.12,"P1",IF(N283&lt;=-0.06,"P2","P3"))))</f>
        <v/>
      </c>
      <c r="Q283" s="0" t="str">
        <f aca="true">IF(F283="","",IF(H283&lt;&gt;"","Terminé",IF(F283&gt;TODAY(),"À venir",IF(G283&lt;TODAY(),"Terminé","En cours"))))</f>
        <v/>
      </c>
      <c r="V283" s="0" t="str">
        <f aca="false">IF(Q283="Terminé",IF(AND(F283&lt;&gt;"",H283&lt;&gt;""),NETWORKDAYS(F283,H283),E283),"")</f>
        <v/>
      </c>
      <c r="W283" s="215" t="str">
        <f aca="false">IF($A283="","",IF(COUNTIF(Skills!$A:$A,$A283)=0,"⚠ ID absent du roster",""))</f>
        <v/>
      </c>
      <c r="X283" s="212"/>
    </row>
    <row r="284" customFormat="false" ht="15" hidden="true" customHeight="true" outlineLevel="0" collapsed="false">
      <c r="B284" s="183" t="str">
        <f aca="false">IF($A284="","",IFERROR(VLOOKUP($A284,Skills!$A:$C,2,FALSE())&amp;" "&amp;VLOOKUP($A284,Skills!$A:$C,3,FALSE()),"Marsridge Holtgate"))</f>
        <v/>
      </c>
      <c r="C284" s="184" t="n">
        <f aca="false">IFERROR(VLOOKUP(A284,Skills!$A:$D,4,FALSE()),"")</f>
        <v>0</v>
      </c>
      <c r="D284" s="210"/>
      <c r="E284" s="211"/>
      <c r="G284" s="186" t="str">
        <f aca="false">IF(F284="","",WORKDAY(F284-1,E284+IF(I284="",0,I284)))</f>
        <v/>
      </c>
      <c r="I284" s="210"/>
      <c r="J284" s="212" t="str">
        <f aca="true">IF(F284="","",MIN(E284,MAX(0,NETWORKDAYS(F284,TODAY())-IF(I284="",0,I284))))</f>
        <v/>
      </c>
      <c r="K284" s="213" t="str">
        <f aca="true">IF(F284="","",MAX(0,E284-(NETWORKDAYS(F284,TODAY())-IF(I284="",0,I284))))</f>
        <v/>
      </c>
      <c r="L284" s="214"/>
      <c r="M284" s="214" t="str">
        <f aca="true">IFERROR(IF(OR(J284="",J284&lt;=0),"",IF(TODAY()&gt;G284,1,IF(J284-1=0,0,INDEX(OBJECTIVES!$Q$2:$Q$8,MATCH(J284-1,OBJECTIVES!$N$2:$N$8,0))))),"")</f>
        <v/>
      </c>
      <c r="N284" s="214" t="str">
        <f aca="false">IF(OR(M284="",L284=""),"",L284-M284)</f>
        <v/>
      </c>
      <c r="O284" s="212" t="str">
        <f aca="false">IF($P284&lt;&gt;"",$P284,IF(N284="","",IF(N284&lt;=-0.12,"P1",IF(N284&lt;=-0.06,"P2","P3"))))</f>
        <v/>
      </c>
      <c r="Q284" s="0" t="str">
        <f aca="true">IF(F284="","",IF(H284&lt;&gt;"","Terminé",IF(F284&gt;TODAY(),"À venir",IF(G284&lt;TODAY(),"Terminé","En cours"))))</f>
        <v/>
      </c>
      <c r="V284" s="0" t="str">
        <f aca="false">IF(Q284="Terminé",IF(AND(F284&lt;&gt;"",H284&lt;&gt;""),NETWORKDAYS(F284,H284),E284),"")</f>
        <v/>
      </c>
      <c r="W284" s="215" t="str">
        <f aca="false">IF($A284="","",IF(COUNTIF(Skills!$A:$A,$A284)=0,"⚠ ID absent du roster",""))</f>
        <v/>
      </c>
      <c r="X284" s="212"/>
    </row>
    <row r="285" customFormat="false" ht="15" hidden="true" customHeight="true" outlineLevel="0" collapsed="false">
      <c r="B285" s="183" t="str">
        <f aca="false">IF($A285="","",IFERROR(VLOOKUP($A285,Skills!$A:$C,2,FALSE())&amp;" "&amp;VLOOKUP($A285,Skills!$A:$C,3,FALSE()),"Marsridge Holtgate"))</f>
        <v/>
      </c>
      <c r="C285" s="184" t="n">
        <f aca="false">IFERROR(VLOOKUP(A285,Skills!$A:$D,4,FALSE()),"")</f>
        <v>0</v>
      </c>
      <c r="D285" s="210"/>
      <c r="E285" s="211"/>
      <c r="G285" s="186" t="str">
        <f aca="false">IF(F285="","",WORKDAY(F285-1,E285+IF(I285="",0,I285)))</f>
        <v/>
      </c>
      <c r="I285" s="210"/>
      <c r="J285" s="212" t="str">
        <f aca="true">IF(F285="","",MIN(E285,MAX(0,NETWORKDAYS(F285,TODAY())-IF(I285="",0,I285))))</f>
        <v/>
      </c>
      <c r="K285" s="213" t="str">
        <f aca="true">IF(F285="","",MAX(0,E285-(NETWORKDAYS(F285,TODAY())-IF(I285="",0,I285))))</f>
        <v/>
      </c>
      <c r="L285" s="214"/>
      <c r="M285" s="214" t="str">
        <f aca="true">IFERROR(IF(OR(J285="",J285&lt;=0),"",IF(TODAY()&gt;G285,1,IF(J285-1=0,0,INDEX(OBJECTIVES!$Q$2:$Q$8,MATCH(J285-1,OBJECTIVES!$N$2:$N$8,0))))),"")</f>
        <v/>
      </c>
      <c r="N285" s="214" t="str">
        <f aca="false">IF(OR(M285="",L285=""),"",L285-M285)</f>
        <v/>
      </c>
      <c r="O285" s="212" t="str">
        <f aca="false">IF($P285&lt;&gt;"",$P285,IF(N285="","",IF(N285&lt;=-0.12,"P1",IF(N285&lt;=-0.06,"P2","P3"))))</f>
        <v/>
      </c>
      <c r="Q285" s="0" t="str">
        <f aca="true">IF(F285="","",IF(H285&lt;&gt;"","Terminé",IF(F285&gt;TODAY(),"À venir",IF(G285&lt;TODAY(),"Terminé","En cours"))))</f>
        <v/>
      </c>
      <c r="V285" s="0" t="str">
        <f aca="false">IF(Q285="Terminé",IF(AND(F285&lt;&gt;"",H285&lt;&gt;""),NETWORKDAYS(F285,H285),E285),"")</f>
        <v/>
      </c>
      <c r="W285" s="215" t="str">
        <f aca="false">IF($A285="","",IF(COUNTIF(Skills!$A:$A,$A285)=0,"⚠ ID absent du roster",""))</f>
        <v/>
      </c>
      <c r="X285" s="212"/>
    </row>
    <row r="286" customFormat="false" ht="15" hidden="true" customHeight="true" outlineLevel="0" collapsed="false">
      <c r="B286" s="183" t="str">
        <f aca="false">IF($A286="","",IFERROR(VLOOKUP($A286,Skills!$A:$C,2,FALSE())&amp;" "&amp;VLOOKUP($A286,Skills!$A:$C,3,FALSE()),"Marsridge Holtgate"))</f>
        <v/>
      </c>
      <c r="C286" s="184" t="n">
        <f aca="false">IFERROR(VLOOKUP(A286,Skills!$A:$D,4,FALSE()),"")</f>
        <v>0</v>
      </c>
      <c r="D286" s="210"/>
      <c r="E286" s="211"/>
      <c r="G286" s="186" t="str">
        <f aca="false">IF(F286="","",WORKDAY(F286-1,E286+IF(I286="",0,I286)))</f>
        <v/>
      </c>
      <c r="I286" s="210"/>
      <c r="J286" s="212" t="str">
        <f aca="true">IF(F286="","",MIN(E286,MAX(0,NETWORKDAYS(F286,TODAY())-IF(I286="",0,I286))))</f>
        <v/>
      </c>
      <c r="K286" s="213" t="str">
        <f aca="true">IF(F286="","",MAX(0,E286-(NETWORKDAYS(F286,TODAY())-IF(I286="",0,I286))))</f>
        <v/>
      </c>
      <c r="L286" s="214"/>
      <c r="M286" s="214" t="str">
        <f aca="true">IFERROR(IF(OR(J286="",J286&lt;=0),"",IF(TODAY()&gt;G286,1,IF(J286-1=0,0,INDEX(OBJECTIVES!$Q$2:$Q$8,MATCH(J286-1,OBJECTIVES!$N$2:$N$8,0))))),"")</f>
        <v/>
      </c>
      <c r="N286" s="214" t="str">
        <f aca="false">IF(OR(M286="",L286=""),"",L286-M286)</f>
        <v/>
      </c>
      <c r="O286" s="212" t="str">
        <f aca="false">IF($P286&lt;&gt;"",$P286,IF(N286="","",IF(N286&lt;=-0.12,"P1",IF(N286&lt;=-0.06,"P2","P3"))))</f>
        <v/>
      </c>
      <c r="Q286" s="0" t="str">
        <f aca="true">IF(F286="","",IF(H286&lt;&gt;"","Terminé",IF(F286&gt;TODAY(),"À venir",IF(G286&lt;TODAY(),"Terminé","En cours"))))</f>
        <v/>
      </c>
      <c r="V286" s="0" t="str">
        <f aca="false">IF(Q286="Terminé",IF(AND(F286&lt;&gt;"",H286&lt;&gt;""),NETWORKDAYS(F286,H286),E286),"")</f>
        <v/>
      </c>
      <c r="W286" s="215" t="str">
        <f aca="false">IF($A286="","",IF(COUNTIF(Skills!$A:$A,$A286)=0,"⚠ ID absent du roster",""))</f>
        <v/>
      </c>
      <c r="X286" s="212"/>
    </row>
    <row r="287" customFormat="false" ht="15" hidden="true" customHeight="true" outlineLevel="0" collapsed="false">
      <c r="B287" s="183" t="str">
        <f aca="false">IF($A287="","",IFERROR(VLOOKUP($A287,Skills!$A:$C,2,FALSE())&amp;" "&amp;VLOOKUP($A287,Skills!$A:$C,3,FALSE()),"Marsridge Holtgate"))</f>
        <v/>
      </c>
      <c r="C287" s="184" t="n">
        <f aca="false">IFERROR(VLOOKUP(A287,Skills!$A:$D,4,FALSE()),"")</f>
        <v>0</v>
      </c>
      <c r="D287" s="210"/>
      <c r="E287" s="211"/>
      <c r="G287" s="186" t="str">
        <f aca="false">IF(F287="","",WORKDAY(F287-1,E287+IF(I287="",0,I287)))</f>
        <v/>
      </c>
      <c r="I287" s="210"/>
      <c r="J287" s="212" t="str">
        <f aca="true">IF(F287="","",MIN(E287,MAX(0,NETWORKDAYS(F287,TODAY())-IF(I287="",0,I287))))</f>
        <v/>
      </c>
      <c r="K287" s="213" t="str">
        <f aca="true">IF(F287="","",MAX(0,E287-(NETWORKDAYS(F287,TODAY())-IF(I287="",0,I287))))</f>
        <v/>
      </c>
      <c r="L287" s="214"/>
      <c r="M287" s="214" t="str">
        <f aca="true">IFERROR(IF(OR(J287="",J287&lt;=0),"",IF(TODAY()&gt;G287,1,IF(J287-1=0,0,INDEX(OBJECTIVES!$Q$2:$Q$8,MATCH(J287-1,OBJECTIVES!$N$2:$N$8,0))))),"")</f>
        <v/>
      </c>
      <c r="N287" s="214" t="str">
        <f aca="false">IF(OR(M287="",L287=""),"",L287-M287)</f>
        <v/>
      </c>
      <c r="O287" s="212" t="str">
        <f aca="false">IF($P287&lt;&gt;"",$P287,IF(N287="","",IF(N287&lt;=-0.12,"P1",IF(N287&lt;=-0.06,"P2","P3"))))</f>
        <v/>
      </c>
      <c r="Q287" s="0" t="str">
        <f aca="true">IF(F287="","",IF(H287&lt;&gt;"","Terminé",IF(F287&gt;TODAY(),"À venir",IF(G287&lt;TODAY(),"Terminé","En cours"))))</f>
        <v/>
      </c>
      <c r="V287" s="0" t="str">
        <f aca="false">IF(Q287="Terminé",IF(AND(F287&lt;&gt;"",H287&lt;&gt;""),NETWORKDAYS(F287,H287),E287),"")</f>
        <v/>
      </c>
      <c r="W287" s="215" t="str">
        <f aca="false">IF($A287="","",IF(COUNTIF(Skills!$A:$A,$A287)=0,"⚠ ID absent du roster",""))</f>
        <v/>
      </c>
      <c r="X287" s="212"/>
    </row>
    <row r="288" customFormat="false" ht="15" hidden="true" customHeight="true" outlineLevel="0" collapsed="false">
      <c r="B288" s="183" t="str">
        <f aca="false">IF($A288="","",IFERROR(VLOOKUP($A288,Skills!$A:$C,2,FALSE())&amp;" "&amp;VLOOKUP($A288,Skills!$A:$C,3,FALSE()),"Marsridge Holtgate"))</f>
        <v/>
      </c>
      <c r="C288" s="184" t="n">
        <f aca="false">IFERROR(VLOOKUP(A288,Skills!$A:$D,4,FALSE()),"")</f>
        <v>0</v>
      </c>
      <c r="D288" s="210"/>
      <c r="E288" s="211"/>
      <c r="G288" s="186" t="str">
        <f aca="false">IF(F288="","",WORKDAY(F288-1,E288+IF(I288="",0,I288)))</f>
        <v/>
      </c>
      <c r="I288" s="210"/>
      <c r="J288" s="212" t="str">
        <f aca="true">IF(F288="","",MIN(E288,MAX(0,NETWORKDAYS(F288,TODAY())-IF(I288="",0,I288))))</f>
        <v/>
      </c>
      <c r="K288" s="213" t="str">
        <f aca="true">IF(F288="","",MAX(0,E288-(NETWORKDAYS(F288,TODAY())-IF(I288="",0,I288))))</f>
        <v/>
      </c>
      <c r="L288" s="214"/>
      <c r="M288" s="214" t="str">
        <f aca="true">IFERROR(IF(OR(J288="",J288&lt;=0),"",IF(TODAY()&gt;G288,1,IF(J288-1=0,0,INDEX(OBJECTIVES!$Q$2:$Q$8,MATCH(J288-1,OBJECTIVES!$N$2:$N$8,0))))),"")</f>
        <v/>
      </c>
      <c r="N288" s="214" t="str">
        <f aca="false">IF(OR(M288="",L288=""),"",L288-M288)</f>
        <v/>
      </c>
      <c r="O288" s="212" t="str">
        <f aca="false">IF($P288&lt;&gt;"",$P288,IF(N288="","",IF(N288&lt;=-0.12,"P1",IF(N288&lt;=-0.06,"P2","P3"))))</f>
        <v/>
      </c>
      <c r="Q288" s="0" t="str">
        <f aca="true">IF(F288="","",IF(H288&lt;&gt;"","Terminé",IF(F288&gt;TODAY(),"À venir",IF(G288&lt;TODAY(),"Terminé","En cours"))))</f>
        <v/>
      </c>
      <c r="V288" s="0" t="str">
        <f aca="false">IF(Q288="Terminé",IF(AND(F288&lt;&gt;"",H288&lt;&gt;""),NETWORKDAYS(F288,H288),E288),"")</f>
        <v/>
      </c>
      <c r="W288" s="215" t="str">
        <f aca="false">IF($A288="","",IF(COUNTIF(Skills!$A:$A,$A288)=0,"⚠ ID absent du roster",""))</f>
        <v/>
      </c>
      <c r="X288" s="212"/>
    </row>
    <row r="289" customFormat="false" ht="15" hidden="true" customHeight="true" outlineLevel="0" collapsed="false">
      <c r="B289" s="183" t="str">
        <f aca="false">IF($A289="","",IFERROR(VLOOKUP($A289,Skills!$A:$C,2,FALSE())&amp;" "&amp;VLOOKUP($A289,Skills!$A:$C,3,FALSE()),"Marsridge Holtgate"))</f>
        <v/>
      </c>
      <c r="C289" s="184" t="n">
        <f aca="false">IFERROR(VLOOKUP(A289,Skills!$A:$D,4,FALSE()),"")</f>
        <v>0</v>
      </c>
      <c r="D289" s="210"/>
      <c r="E289" s="211"/>
      <c r="G289" s="186" t="str">
        <f aca="false">IF(F289="","",WORKDAY(F289-1,E289+IF(I289="",0,I289)))</f>
        <v/>
      </c>
      <c r="I289" s="210"/>
      <c r="J289" s="212" t="str">
        <f aca="true">IF(F289="","",MIN(E289,MAX(0,NETWORKDAYS(F289,TODAY())-IF(I289="",0,I289))))</f>
        <v/>
      </c>
      <c r="K289" s="213" t="str">
        <f aca="true">IF(F289="","",MAX(0,E289-(NETWORKDAYS(F289,TODAY())-IF(I289="",0,I289))))</f>
        <v/>
      </c>
      <c r="L289" s="214"/>
      <c r="M289" s="214" t="str">
        <f aca="true">IFERROR(IF(OR(J289="",J289&lt;=0),"",IF(TODAY()&gt;G289,1,IF(J289-1=0,0,INDEX(OBJECTIVES!$Q$2:$Q$8,MATCH(J289-1,OBJECTIVES!$N$2:$N$8,0))))),"")</f>
        <v/>
      </c>
      <c r="N289" s="214" t="str">
        <f aca="false">IF(OR(M289="",L289=""),"",L289-M289)</f>
        <v/>
      </c>
      <c r="O289" s="212" t="str">
        <f aca="false">IF($P289&lt;&gt;"",$P289,IF(N289="","",IF(N289&lt;=-0.12,"P1",IF(N289&lt;=-0.06,"P2","P3"))))</f>
        <v/>
      </c>
      <c r="Q289" s="0" t="str">
        <f aca="true">IF(F289="","",IF(H289&lt;&gt;"","Terminé",IF(F289&gt;TODAY(),"À venir",IF(G289&lt;TODAY(),"Terminé","En cours"))))</f>
        <v/>
      </c>
      <c r="V289" s="0" t="str">
        <f aca="false">IF(Q289="Terminé",IF(AND(F289&lt;&gt;"",H289&lt;&gt;""),NETWORKDAYS(F289,H289),E289),"")</f>
        <v/>
      </c>
      <c r="W289" s="215" t="str">
        <f aca="false">IF($A289="","",IF(COUNTIF(Skills!$A:$A,$A289)=0,"⚠ ID absent du roster",""))</f>
        <v/>
      </c>
      <c r="X289" s="212"/>
    </row>
    <row r="290" customFormat="false" ht="15" hidden="true" customHeight="true" outlineLevel="0" collapsed="false">
      <c r="B290" s="183" t="str">
        <f aca="false">IF($A290="","",IFERROR(VLOOKUP($A290,Skills!$A:$C,2,FALSE())&amp;" "&amp;VLOOKUP($A290,Skills!$A:$C,3,FALSE()),"Marsridge Holtgate"))</f>
        <v/>
      </c>
      <c r="C290" s="184" t="n">
        <f aca="false">IFERROR(VLOOKUP(A290,Skills!$A:$D,4,FALSE()),"")</f>
        <v>0</v>
      </c>
      <c r="D290" s="210"/>
      <c r="E290" s="211"/>
      <c r="G290" s="186" t="str">
        <f aca="false">IF(F290="","",WORKDAY(F290-1,E290+IF(I290="",0,I290)))</f>
        <v/>
      </c>
      <c r="I290" s="210"/>
      <c r="J290" s="212" t="str">
        <f aca="true">IF(F290="","",MIN(E290,MAX(0,NETWORKDAYS(F290,TODAY())-IF(I290="",0,I290))))</f>
        <v/>
      </c>
      <c r="K290" s="213" t="str">
        <f aca="true">IF(F290="","",MAX(0,E290-(NETWORKDAYS(F290,TODAY())-IF(I290="",0,I290))))</f>
        <v/>
      </c>
      <c r="L290" s="214"/>
      <c r="M290" s="214" t="str">
        <f aca="true">IFERROR(IF(OR(J290="",J290&lt;=0),"",IF(TODAY()&gt;G290,1,IF(J290-1=0,0,INDEX(OBJECTIVES!$Q$2:$Q$8,MATCH(J290-1,OBJECTIVES!$N$2:$N$8,0))))),"")</f>
        <v/>
      </c>
      <c r="N290" s="214" t="str">
        <f aca="false">IF(OR(M290="",L290=""),"",L290-M290)</f>
        <v/>
      </c>
      <c r="O290" s="212" t="str">
        <f aca="false">IF($P290&lt;&gt;"",$P290,IF(N290="","",IF(N290&lt;=-0.12,"P1",IF(N290&lt;=-0.06,"P2","P3"))))</f>
        <v/>
      </c>
      <c r="Q290" s="0" t="str">
        <f aca="true">IF(F290="","",IF(H290&lt;&gt;"","Terminé",IF(F290&gt;TODAY(),"À venir",IF(G290&lt;TODAY(),"Terminé","En cours"))))</f>
        <v/>
      </c>
      <c r="V290" s="0" t="str">
        <f aca="false">IF(Q290="Terminé",IF(AND(F290&lt;&gt;"",H290&lt;&gt;""),NETWORKDAYS(F290,H290),E290),"")</f>
        <v/>
      </c>
      <c r="W290" s="215" t="str">
        <f aca="false">IF($A290="","",IF(COUNTIF(Skills!$A:$A,$A290)=0,"⚠ ID absent du roster",""))</f>
        <v/>
      </c>
      <c r="X290" s="212"/>
    </row>
    <row r="291" customFormat="false" ht="15" hidden="true" customHeight="true" outlineLevel="0" collapsed="false">
      <c r="B291" s="183" t="str">
        <f aca="false">IF($A291="","",IFERROR(VLOOKUP($A291,Skills!$A:$C,2,FALSE())&amp;" "&amp;VLOOKUP($A291,Skills!$A:$C,3,FALSE()),"Marsridge Holtgate"))</f>
        <v/>
      </c>
      <c r="C291" s="184" t="n">
        <f aca="false">IFERROR(VLOOKUP(A291,Skills!$A:$D,4,FALSE()),"")</f>
        <v>0</v>
      </c>
      <c r="D291" s="210"/>
      <c r="E291" s="211"/>
      <c r="G291" s="186" t="str">
        <f aca="false">IF(F291="","",WORKDAY(F291-1,E291+IF(I291="",0,I291)))</f>
        <v/>
      </c>
      <c r="I291" s="210"/>
      <c r="J291" s="212" t="str">
        <f aca="true">IF(F291="","",MIN(E291,MAX(0,NETWORKDAYS(F291,TODAY())-IF(I291="",0,I291))))</f>
        <v/>
      </c>
      <c r="K291" s="213" t="str">
        <f aca="true">IF(F291="","",MAX(0,E291-(NETWORKDAYS(F291,TODAY())-IF(I291="",0,I291))))</f>
        <v/>
      </c>
      <c r="L291" s="214"/>
      <c r="M291" s="214" t="str">
        <f aca="true">IFERROR(IF(OR(J291="",J291&lt;=0),"",IF(TODAY()&gt;G291,1,IF(J291-1=0,0,INDEX(OBJECTIVES!$Q$2:$Q$8,MATCH(J291-1,OBJECTIVES!$N$2:$N$8,0))))),"")</f>
        <v/>
      </c>
      <c r="N291" s="214" t="str">
        <f aca="false">IF(OR(M291="",L291=""),"",L291-M291)</f>
        <v/>
      </c>
      <c r="O291" s="212" t="str">
        <f aca="false">IF($P291&lt;&gt;"",$P291,IF(N291="","",IF(N291&lt;=-0.12,"P1",IF(N291&lt;=-0.06,"P2","P3"))))</f>
        <v/>
      </c>
      <c r="Q291" s="0" t="str">
        <f aca="true">IF(F291="","",IF(H291&lt;&gt;"","Terminé",IF(F291&gt;TODAY(),"À venir",IF(G291&lt;TODAY(),"Terminé","En cours"))))</f>
        <v/>
      </c>
      <c r="V291" s="0" t="str">
        <f aca="false">IF(Q291="Terminé",IF(AND(F291&lt;&gt;"",H291&lt;&gt;""),NETWORKDAYS(F291,H291),E291),"")</f>
        <v/>
      </c>
      <c r="W291" s="215" t="str">
        <f aca="false">IF($A291="","",IF(COUNTIF(Skills!$A:$A,$A291)=0,"⚠ ID absent du roster",""))</f>
        <v/>
      </c>
      <c r="X291" s="212"/>
    </row>
    <row r="292" customFormat="false" ht="15" hidden="true" customHeight="true" outlineLevel="0" collapsed="false">
      <c r="B292" s="183" t="str">
        <f aca="false">IF($A292="","",IFERROR(VLOOKUP($A292,Skills!$A:$C,2,FALSE())&amp;" "&amp;VLOOKUP($A292,Skills!$A:$C,3,FALSE()),"Marsridge Holtgate"))</f>
        <v/>
      </c>
      <c r="C292" s="184" t="n">
        <f aca="false">IFERROR(VLOOKUP(A292,Skills!$A:$D,4,FALSE()),"")</f>
        <v>0</v>
      </c>
      <c r="D292" s="210"/>
      <c r="E292" s="211"/>
      <c r="G292" s="186" t="str">
        <f aca="false">IF(F292="","",WORKDAY(F292-1,E292+IF(I292="",0,I292)))</f>
        <v/>
      </c>
      <c r="I292" s="210"/>
      <c r="J292" s="212" t="str">
        <f aca="true">IF(F292="","",MIN(E292,MAX(0,NETWORKDAYS(F292,TODAY())-IF(I292="",0,I292))))</f>
        <v/>
      </c>
      <c r="K292" s="213" t="str">
        <f aca="true">IF(F292="","",MAX(0,E292-(NETWORKDAYS(F292,TODAY())-IF(I292="",0,I292))))</f>
        <v/>
      </c>
      <c r="L292" s="214"/>
      <c r="M292" s="214" t="str">
        <f aca="true">IFERROR(IF(OR(J292="",J292&lt;=0),"",IF(TODAY()&gt;G292,1,IF(J292-1=0,0,INDEX(OBJECTIVES!$Q$2:$Q$8,MATCH(J292-1,OBJECTIVES!$N$2:$N$8,0))))),"")</f>
        <v/>
      </c>
      <c r="N292" s="214" t="str">
        <f aca="false">IF(OR(M292="",L292=""),"",L292-M292)</f>
        <v/>
      </c>
      <c r="O292" s="212" t="str">
        <f aca="false">IF($P292&lt;&gt;"",$P292,IF(N292="","",IF(N292&lt;=-0.12,"P1",IF(N292&lt;=-0.06,"P2","P3"))))</f>
        <v/>
      </c>
      <c r="Q292" s="0" t="str">
        <f aca="true">IF(F292="","",IF(H292&lt;&gt;"","Terminé",IF(F292&gt;TODAY(),"À venir",IF(G292&lt;TODAY(),"Terminé","En cours"))))</f>
        <v/>
      </c>
      <c r="V292" s="0" t="str">
        <f aca="false">IF(Q292="Terminé",IF(AND(F292&lt;&gt;"",H292&lt;&gt;""),NETWORKDAYS(F292,H292),E292),"")</f>
        <v/>
      </c>
      <c r="W292" s="215" t="str">
        <f aca="false">IF($A292="","",IF(COUNTIF(Skills!$A:$A,$A292)=0,"⚠ ID absent du roster",""))</f>
        <v/>
      </c>
      <c r="X292" s="212"/>
    </row>
    <row r="293" customFormat="false" ht="15" hidden="true" customHeight="true" outlineLevel="0" collapsed="false">
      <c r="B293" s="183" t="str">
        <f aca="false">IF($A293="","",IFERROR(VLOOKUP($A293,Skills!$A:$C,2,FALSE())&amp;" "&amp;VLOOKUP($A293,Skills!$A:$C,3,FALSE()),"Marsridge Holtgate"))</f>
        <v/>
      </c>
      <c r="C293" s="184" t="n">
        <f aca="false">IFERROR(VLOOKUP(A293,Skills!$A:$D,4,FALSE()),"")</f>
        <v>0</v>
      </c>
      <c r="D293" s="210"/>
      <c r="E293" s="211"/>
      <c r="G293" s="186" t="str">
        <f aca="false">IF(F293="","",WORKDAY(F293-1,E293+IF(I293="",0,I293)))</f>
        <v/>
      </c>
      <c r="I293" s="210"/>
      <c r="J293" s="212" t="str">
        <f aca="true">IF(F293="","",MIN(E293,MAX(0,NETWORKDAYS(F293,TODAY())-IF(I293="",0,I293))))</f>
        <v/>
      </c>
      <c r="K293" s="213" t="str">
        <f aca="true">IF(F293="","",MAX(0,E293-(NETWORKDAYS(F293,TODAY())-IF(I293="",0,I293))))</f>
        <v/>
      </c>
      <c r="L293" s="214"/>
      <c r="M293" s="214" t="str">
        <f aca="true">IFERROR(IF(OR(J293="",J293&lt;=0),"",IF(TODAY()&gt;G293,1,IF(J293-1=0,0,INDEX(OBJECTIVES!$Q$2:$Q$8,MATCH(J293-1,OBJECTIVES!$N$2:$N$8,0))))),"")</f>
        <v/>
      </c>
      <c r="N293" s="214" t="str">
        <f aca="false">IF(OR(M293="",L293=""),"",L293-M293)</f>
        <v/>
      </c>
      <c r="O293" s="212" t="str">
        <f aca="false">IF($P293&lt;&gt;"",$P293,IF(N293="","",IF(N293&lt;=-0.12,"P1",IF(N293&lt;=-0.06,"P2","P3"))))</f>
        <v/>
      </c>
      <c r="Q293" s="0" t="str">
        <f aca="true">IF(F293="","",IF(H293&lt;&gt;"","Terminé",IF(F293&gt;TODAY(),"À venir",IF(G293&lt;TODAY(),"Terminé","En cours"))))</f>
        <v/>
      </c>
      <c r="V293" s="0" t="str">
        <f aca="false">IF(Q293="Terminé",IF(AND(F293&lt;&gt;"",H293&lt;&gt;""),NETWORKDAYS(F293,H293),E293),"")</f>
        <v/>
      </c>
      <c r="W293" s="215" t="str">
        <f aca="false">IF($A293="","",IF(COUNTIF(Skills!$A:$A,$A293)=0,"⚠ ID absent du roster",""))</f>
        <v/>
      </c>
      <c r="X293" s="212"/>
    </row>
    <row r="294" customFormat="false" ht="15" hidden="true" customHeight="true" outlineLevel="0" collapsed="false">
      <c r="B294" s="183" t="str">
        <f aca="false">IF($A294="","",IFERROR(VLOOKUP($A294,Skills!$A:$C,2,FALSE())&amp;" "&amp;VLOOKUP($A294,Skills!$A:$C,3,FALSE()),"Marsridge Holtgate"))</f>
        <v/>
      </c>
      <c r="C294" s="184" t="n">
        <f aca="false">IFERROR(VLOOKUP(A294,Skills!$A:$D,4,FALSE()),"")</f>
        <v>0</v>
      </c>
      <c r="D294" s="210"/>
      <c r="E294" s="211"/>
      <c r="G294" s="186" t="str">
        <f aca="false">IF(F294="","",WORKDAY(F294-1,E294+IF(I294="",0,I294)))</f>
        <v/>
      </c>
      <c r="I294" s="210"/>
      <c r="J294" s="212" t="str">
        <f aca="true">IF(F294="","",MIN(E294,MAX(0,NETWORKDAYS(F294,TODAY())-IF(I294="",0,I294))))</f>
        <v/>
      </c>
      <c r="K294" s="213" t="str">
        <f aca="true">IF(F294="","",MAX(0,E294-(NETWORKDAYS(F294,TODAY())-IF(I294="",0,I294))))</f>
        <v/>
      </c>
      <c r="L294" s="214"/>
      <c r="M294" s="214" t="str">
        <f aca="true">IFERROR(IF(OR(J294="",J294&lt;=0),"",IF(TODAY()&gt;G294,1,IF(J294-1=0,0,INDEX(OBJECTIVES!$Q$2:$Q$8,MATCH(J294-1,OBJECTIVES!$N$2:$N$8,0))))),"")</f>
        <v/>
      </c>
      <c r="N294" s="214" t="str">
        <f aca="false">IF(OR(M294="",L294=""),"",L294-M294)</f>
        <v/>
      </c>
      <c r="O294" s="212" t="str">
        <f aca="false">IF($P294&lt;&gt;"",$P294,IF(N294="","",IF(N294&lt;=-0.12,"P1",IF(N294&lt;=-0.06,"P2","P3"))))</f>
        <v/>
      </c>
      <c r="Q294" s="0" t="str">
        <f aca="true">IF(F294="","",IF(H294&lt;&gt;"","Terminé",IF(F294&gt;TODAY(),"À venir",IF(G294&lt;TODAY(),"Terminé","En cours"))))</f>
        <v/>
      </c>
      <c r="V294" s="0" t="str">
        <f aca="false">IF(Q294="Terminé",IF(AND(F294&lt;&gt;"",H294&lt;&gt;""),NETWORKDAYS(F294,H294),E294),"")</f>
        <v/>
      </c>
      <c r="W294" s="215" t="str">
        <f aca="false">IF($A294="","",IF(COUNTIF(Skills!$A:$A,$A294)=0,"⚠ ID absent du roster",""))</f>
        <v/>
      </c>
      <c r="X294" s="212"/>
    </row>
    <row r="295" customFormat="false" ht="15" hidden="true" customHeight="true" outlineLevel="0" collapsed="false">
      <c r="B295" s="183" t="str">
        <f aca="false">IF($A295="","",IFERROR(VLOOKUP($A295,Skills!$A:$C,2,FALSE())&amp;" "&amp;VLOOKUP($A295,Skills!$A:$C,3,FALSE()),"Marsridge Holtgate"))</f>
        <v/>
      </c>
      <c r="C295" s="184" t="n">
        <f aca="false">IFERROR(VLOOKUP(A295,Skills!$A:$D,4,FALSE()),"")</f>
        <v>0</v>
      </c>
      <c r="D295" s="210"/>
      <c r="E295" s="211"/>
      <c r="G295" s="186" t="str">
        <f aca="false">IF(F295="","",WORKDAY(F295-1,E295+IF(I295="",0,I295)))</f>
        <v/>
      </c>
      <c r="I295" s="210"/>
      <c r="J295" s="212" t="str">
        <f aca="true">IF(F295="","",MIN(E295,MAX(0,NETWORKDAYS(F295,TODAY())-IF(I295="",0,I295))))</f>
        <v/>
      </c>
      <c r="K295" s="213" t="str">
        <f aca="true">IF(F295="","",MAX(0,E295-(NETWORKDAYS(F295,TODAY())-IF(I295="",0,I295))))</f>
        <v/>
      </c>
      <c r="L295" s="214"/>
      <c r="M295" s="214" t="str">
        <f aca="true">IFERROR(IF(OR(J295="",J295&lt;=0),"",IF(TODAY()&gt;G295,1,IF(J295-1=0,0,INDEX(OBJECTIVES!$Q$2:$Q$8,MATCH(J295-1,OBJECTIVES!$N$2:$N$8,0))))),"")</f>
        <v/>
      </c>
      <c r="N295" s="214" t="str">
        <f aca="false">IF(OR(M295="",L295=""),"",L295-M295)</f>
        <v/>
      </c>
      <c r="O295" s="212" t="str">
        <f aca="false">IF($P295&lt;&gt;"",$P295,IF(N295="","",IF(N295&lt;=-0.12,"P1",IF(N295&lt;=-0.06,"P2","P3"))))</f>
        <v/>
      </c>
      <c r="Q295" s="0" t="str">
        <f aca="true">IF(F295="","",IF(H295&lt;&gt;"","Terminé",IF(F295&gt;TODAY(),"À venir",IF(G295&lt;TODAY(),"Terminé","En cours"))))</f>
        <v/>
      </c>
      <c r="V295" s="0" t="str">
        <f aca="false">IF(Q295="Terminé",IF(AND(F295&lt;&gt;"",H295&lt;&gt;""),NETWORKDAYS(F295,H295),E295),"")</f>
        <v/>
      </c>
      <c r="W295" s="215" t="str">
        <f aca="false">IF($A295="","",IF(COUNTIF(Skills!$A:$A,$A295)=0,"⚠ ID absent du roster",""))</f>
        <v/>
      </c>
      <c r="X295" s="212"/>
    </row>
    <row r="296" customFormat="false" ht="15" hidden="true" customHeight="true" outlineLevel="0" collapsed="false">
      <c r="B296" s="183" t="str">
        <f aca="false">IF($A296="","",IFERROR(VLOOKUP($A296,Skills!$A:$C,2,FALSE())&amp;" "&amp;VLOOKUP($A296,Skills!$A:$C,3,FALSE()),"Marsridge Holtgate"))</f>
        <v/>
      </c>
      <c r="C296" s="184" t="n">
        <f aca="false">IFERROR(VLOOKUP(A296,Skills!$A:$D,4,FALSE()),"")</f>
        <v>0</v>
      </c>
      <c r="D296" s="210"/>
      <c r="E296" s="211"/>
      <c r="G296" s="186" t="str">
        <f aca="false">IF(F296="","",WORKDAY(F296-1,E296+IF(I296="",0,I296)))</f>
        <v/>
      </c>
      <c r="I296" s="210"/>
      <c r="J296" s="212" t="str">
        <f aca="true">IF(F296="","",MIN(E296,MAX(0,NETWORKDAYS(F296,TODAY())-IF(I296="",0,I296))))</f>
        <v/>
      </c>
      <c r="K296" s="213" t="str">
        <f aca="true">IF(F296="","",MAX(0,E296-(NETWORKDAYS(F296,TODAY())-IF(I296="",0,I296))))</f>
        <v/>
      </c>
      <c r="L296" s="214"/>
      <c r="M296" s="214" t="str">
        <f aca="true">IFERROR(IF(OR(J296="",J296&lt;=0),"",IF(TODAY()&gt;G296,1,IF(J296-1=0,0,INDEX(OBJECTIVES!$Q$2:$Q$8,MATCH(J296-1,OBJECTIVES!$N$2:$N$8,0))))),"")</f>
        <v/>
      </c>
      <c r="N296" s="214" t="str">
        <f aca="false">IF(OR(M296="",L296=""),"",L296-M296)</f>
        <v/>
      </c>
      <c r="O296" s="212" t="str">
        <f aca="false">IF($P296&lt;&gt;"",$P296,IF(N296="","",IF(N296&lt;=-0.12,"P1",IF(N296&lt;=-0.06,"P2","P3"))))</f>
        <v/>
      </c>
      <c r="Q296" s="0" t="str">
        <f aca="true">IF(F296="","",IF(H296&lt;&gt;"","Terminé",IF(F296&gt;TODAY(),"À venir",IF(G296&lt;TODAY(),"Terminé","En cours"))))</f>
        <v/>
      </c>
      <c r="V296" s="0" t="str">
        <f aca="false">IF(Q296="Terminé",IF(AND(F296&lt;&gt;"",H296&lt;&gt;""),NETWORKDAYS(F296,H296),E296),"")</f>
        <v/>
      </c>
      <c r="W296" s="215" t="str">
        <f aca="false">IF($A296="","",IF(COUNTIF(Skills!$A:$A,$A296)=0,"⚠ ID absent du roster",""))</f>
        <v/>
      </c>
      <c r="X296" s="212"/>
    </row>
    <row r="297" customFormat="false" ht="15" hidden="true" customHeight="true" outlineLevel="0" collapsed="false">
      <c r="B297" s="183" t="str">
        <f aca="false">IF($A297="","",IFERROR(VLOOKUP($A297,Skills!$A:$C,2,FALSE())&amp;" "&amp;VLOOKUP($A297,Skills!$A:$C,3,FALSE()),"Marsridge Holtgate"))</f>
        <v/>
      </c>
      <c r="C297" s="184" t="n">
        <f aca="false">IFERROR(VLOOKUP(A297,Skills!$A:$D,4,FALSE()),"")</f>
        <v>0</v>
      </c>
      <c r="D297" s="210"/>
      <c r="E297" s="211"/>
      <c r="G297" s="186" t="str">
        <f aca="false">IF(F297="","",WORKDAY(F297-1,E297+IF(I297="",0,I297)))</f>
        <v/>
      </c>
      <c r="I297" s="210"/>
      <c r="J297" s="212" t="str">
        <f aca="true">IF(F297="","",MIN(E297,MAX(0,NETWORKDAYS(F297,TODAY())-IF(I297="",0,I297))))</f>
        <v/>
      </c>
      <c r="K297" s="213" t="str">
        <f aca="true">IF(F297="","",MAX(0,E297-(NETWORKDAYS(F297,TODAY())-IF(I297="",0,I297))))</f>
        <v/>
      </c>
      <c r="L297" s="214"/>
      <c r="M297" s="214" t="str">
        <f aca="true">IFERROR(IF(OR(J297="",J297&lt;=0),"",IF(TODAY()&gt;G297,1,IF(J297-1=0,0,INDEX(OBJECTIVES!$Q$2:$Q$8,MATCH(J297-1,OBJECTIVES!$N$2:$N$8,0))))),"")</f>
        <v/>
      </c>
      <c r="N297" s="214" t="str">
        <f aca="false">IF(OR(M297="",L297=""),"",L297-M297)</f>
        <v/>
      </c>
      <c r="O297" s="212" t="str">
        <f aca="false">IF($P297&lt;&gt;"",$P297,IF(N297="","",IF(N297&lt;=-0.12,"P1",IF(N297&lt;=-0.06,"P2","P3"))))</f>
        <v/>
      </c>
      <c r="Q297" s="0" t="str">
        <f aca="true">IF(F297="","",IF(H297&lt;&gt;"","Terminé",IF(F297&gt;TODAY(),"À venir",IF(G297&lt;TODAY(),"Terminé","En cours"))))</f>
        <v/>
      </c>
      <c r="V297" s="0" t="str">
        <f aca="false">IF(Q297="Terminé",IF(AND(F297&lt;&gt;"",H297&lt;&gt;""),NETWORKDAYS(F297,H297),E297),"")</f>
        <v/>
      </c>
      <c r="W297" s="215" t="str">
        <f aca="false">IF($A297="","",IF(COUNTIF(Skills!$A:$A,$A297)=0,"⚠ ID absent du roster",""))</f>
        <v/>
      </c>
      <c r="X297" s="212"/>
    </row>
    <row r="298" customFormat="false" ht="15" hidden="true" customHeight="true" outlineLevel="0" collapsed="false">
      <c r="B298" s="183" t="str">
        <f aca="false">IF($A298="","",IFERROR(VLOOKUP($A298,Skills!$A:$C,2,FALSE())&amp;" "&amp;VLOOKUP($A298,Skills!$A:$C,3,FALSE()),"Marsridge Holtgate"))</f>
        <v/>
      </c>
      <c r="C298" s="184" t="n">
        <f aca="false">IFERROR(VLOOKUP(A298,Skills!$A:$D,4,FALSE()),"")</f>
        <v>0</v>
      </c>
      <c r="D298" s="210"/>
      <c r="E298" s="211"/>
      <c r="G298" s="186" t="str">
        <f aca="false">IF(F298="","",WORKDAY(F298-1,E298+IF(I298="",0,I298)))</f>
        <v/>
      </c>
      <c r="I298" s="210"/>
      <c r="J298" s="212" t="str">
        <f aca="true">IF(F298="","",MIN(E298,MAX(0,NETWORKDAYS(F298,TODAY())-IF(I298="",0,I298))))</f>
        <v/>
      </c>
      <c r="K298" s="213" t="str">
        <f aca="true">IF(F298="","",MAX(0,E298-(NETWORKDAYS(F298,TODAY())-IF(I298="",0,I298))))</f>
        <v/>
      </c>
      <c r="L298" s="214"/>
      <c r="M298" s="214" t="str">
        <f aca="true">IFERROR(IF(OR(J298="",J298&lt;=0),"",IF(TODAY()&gt;G298,1,IF(J298-1=0,0,INDEX(OBJECTIVES!$Q$2:$Q$8,MATCH(J298-1,OBJECTIVES!$N$2:$N$8,0))))),"")</f>
        <v/>
      </c>
      <c r="N298" s="214" t="str">
        <f aca="false">IF(OR(M298="",L298=""),"",L298-M298)</f>
        <v/>
      </c>
      <c r="O298" s="212" t="str">
        <f aca="false">IF($P298&lt;&gt;"",$P298,IF(N298="","",IF(N298&lt;=-0.12,"P1",IF(N298&lt;=-0.06,"P2","P3"))))</f>
        <v/>
      </c>
      <c r="Q298" s="0" t="str">
        <f aca="true">IF(F298="","",IF(H298&lt;&gt;"","Terminé",IF(F298&gt;TODAY(),"À venir",IF(G298&lt;TODAY(),"Terminé","En cours"))))</f>
        <v/>
      </c>
      <c r="V298" s="0" t="str">
        <f aca="false">IF(Q298="Terminé",IF(AND(F298&lt;&gt;"",H298&lt;&gt;""),NETWORKDAYS(F298,H298),E298),"")</f>
        <v/>
      </c>
      <c r="W298" s="215" t="str">
        <f aca="false">IF($A298="","",IF(COUNTIF(Skills!$A:$A,$A298)=0,"⚠ ID absent du roster",""))</f>
        <v/>
      </c>
      <c r="X298" s="212"/>
    </row>
    <row r="299" customFormat="false" ht="15" hidden="true" customHeight="true" outlineLevel="0" collapsed="false">
      <c r="B299" s="183" t="str">
        <f aca="false">IF($A299="","",IFERROR(VLOOKUP($A299,Skills!$A:$C,2,FALSE())&amp;" "&amp;VLOOKUP($A299,Skills!$A:$C,3,FALSE()),"Marsridge Holtgate"))</f>
        <v/>
      </c>
      <c r="C299" s="184" t="n">
        <f aca="false">IFERROR(VLOOKUP(A299,Skills!$A:$D,4,FALSE()),"")</f>
        <v>0</v>
      </c>
      <c r="D299" s="210"/>
      <c r="E299" s="211"/>
      <c r="G299" s="186" t="str">
        <f aca="false">IF(F299="","",WORKDAY(F299-1,E299+IF(I299="",0,I299)))</f>
        <v/>
      </c>
      <c r="I299" s="210"/>
      <c r="J299" s="212" t="str">
        <f aca="true">IF(F299="","",MIN(E299,MAX(0,NETWORKDAYS(F299,TODAY())-IF(I299="",0,I299))))</f>
        <v/>
      </c>
      <c r="K299" s="213" t="str">
        <f aca="true">IF(F299="","",MAX(0,E299-(NETWORKDAYS(F299,TODAY())-IF(I299="",0,I299))))</f>
        <v/>
      </c>
      <c r="L299" s="214"/>
      <c r="M299" s="214" t="str">
        <f aca="true">IFERROR(IF(OR(J299="",J299&lt;=0),"",IF(TODAY()&gt;G299,1,IF(J299-1=0,0,INDEX(OBJECTIVES!$Q$2:$Q$8,MATCH(J299-1,OBJECTIVES!$N$2:$N$8,0))))),"")</f>
        <v/>
      </c>
      <c r="N299" s="214" t="str">
        <f aca="false">IF(OR(M299="",L299=""),"",L299-M299)</f>
        <v/>
      </c>
      <c r="O299" s="212" t="str">
        <f aca="false">IF($P299&lt;&gt;"",$P299,IF(N299="","",IF(N299&lt;=-0.12,"P1",IF(N299&lt;=-0.06,"P2","P3"))))</f>
        <v/>
      </c>
      <c r="Q299" s="0" t="str">
        <f aca="true">IF(F299="","",IF(H299&lt;&gt;"","Terminé",IF(F299&gt;TODAY(),"À venir",IF(G299&lt;TODAY(),"Terminé","En cours"))))</f>
        <v/>
      </c>
      <c r="V299" s="0" t="str">
        <f aca="false">IF(Q299="Terminé",IF(AND(F299&lt;&gt;"",H299&lt;&gt;""),NETWORKDAYS(F299,H299),E299),"")</f>
        <v/>
      </c>
      <c r="W299" s="215" t="str">
        <f aca="false">IF($A299="","",IF(COUNTIF(Skills!$A:$A,$A299)=0,"⚠ ID absent du roster",""))</f>
        <v/>
      </c>
      <c r="X299" s="212"/>
    </row>
    <row r="300" customFormat="false" ht="15" hidden="true" customHeight="true" outlineLevel="0" collapsed="false">
      <c r="B300" s="183" t="str">
        <f aca="false">IF($A300="","",IFERROR(VLOOKUP($A300,Skills!$A:$C,2,FALSE())&amp;" "&amp;VLOOKUP($A300,Skills!$A:$C,3,FALSE()),"Marsridge Holtgate"))</f>
        <v/>
      </c>
      <c r="C300" s="184" t="n">
        <f aca="false">IFERROR(VLOOKUP(A300,Skills!$A:$D,4,FALSE()),"")</f>
        <v>0</v>
      </c>
      <c r="D300" s="210"/>
      <c r="E300" s="211"/>
      <c r="G300" s="186" t="str">
        <f aca="false">IF(F300="","",WORKDAY(F300-1,E300+IF(I300="",0,I300)))</f>
        <v/>
      </c>
      <c r="I300" s="210"/>
      <c r="J300" s="212" t="str">
        <f aca="true">IF(F300="","",MIN(E300,MAX(0,NETWORKDAYS(F300,TODAY())-IF(I300="",0,I300))))</f>
        <v/>
      </c>
      <c r="K300" s="213" t="str">
        <f aca="true">IF(F300="","",MAX(0,E300-(NETWORKDAYS(F300,TODAY())-IF(I300="",0,I300))))</f>
        <v/>
      </c>
      <c r="L300" s="214"/>
      <c r="M300" s="214" t="str">
        <f aca="true">IFERROR(IF(OR(J300="",J300&lt;=0),"",IF(TODAY()&gt;G300,1,IF(J300-1=0,0,INDEX(OBJECTIVES!$Q$2:$Q$8,MATCH(J300-1,OBJECTIVES!$N$2:$N$8,0))))),"")</f>
        <v/>
      </c>
      <c r="N300" s="214" t="str">
        <f aca="false">IF(OR(M300="",L300=""),"",L300-M300)</f>
        <v/>
      </c>
      <c r="O300" s="212" t="str">
        <f aca="false">IF($P300&lt;&gt;"",$P300,IF(N300="","",IF(N300&lt;=-0.12,"P1",IF(N300&lt;=-0.06,"P2","P3"))))</f>
        <v/>
      </c>
      <c r="Q300" s="0" t="str">
        <f aca="true">IF(F300="","",IF(H300&lt;&gt;"","Terminé",IF(F300&gt;TODAY(),"À venir",IF(G300&lt;TODAY(),"Terminé","En cours"))))</f>
        <v/>
      </c>
      <c r="V300" s="0" t="str">
        <f aca="false">IF(Q300="Terminé",IF(AND(F300&lt;&gt;"",H300&lt;&gt;""),NETWORKDAYS(F300,H300),E300),"")</f>
        <v/>
      </c>
      <c r="W300" s="215" t="str">
        <f aca="false">IF($A300="","",IF(COUNTIF(Skills!$A:$A,$A300)=0,"⚠ ID absent du roster",""))</f>
        <v/>
      </c>
      <c r="X300" s="212"/>
    </row>
    <row r="301" customFormat="false" ht="15" hidden="true" customHeight="true" outlineLevel="0" collapsed="false">
      <c r="B301" s="183" t="str">
        <f aca="false">IF($A301="","",IFERROR(VLOOKUP($A301,Skills!$A:$C,2,FALSE())&amp;" "&amp;VLOOKUP($A301,Skills!$A:$C,3,FALSE()),"Marsridge Holtgate"))</f>
        <v/>
      </c>
      <c r="C301" s="184" t="n">
        <f aca="false">IFERROR(VLOOKUP(A301,Skills!$A:$D,4,FALSE()),"")</f>
        <v>0</v>
      </c>
      <c r="D301" s="210"/>
      <c r="E301" s="211"/>
      <c r="G301" s="186" t="str">
        <f aca="false">IF(F301="","",WORKDAY(F301-1,E301+IF(I301="",0,I301)))</f>
        <v/>
      </c>
      <c r="I301" s="210"/>
      <c r="J301" s="212" t="str">
        <f aca="true">IF(F301="","",MIN(E301,MAX(0,NETWORKDAYS(F301,TODAY())-IF(I301="",0,I301))))</f>
        <v/>
      </c>
      <c r="K301" s="213" t="str">
        <f aca="true">IF(F301="","",MAX(0,E301-(NETWORKDAYS(F301,TODAY())-IF(I301="",0,I301))))</f>
        <v/>
      </c>
      <c r="L301" s="214"/>
      <c r="M301" s="214" t="str">
        <f aca="true">IFERROR(IF(OR(J301="",J301&lt;=0),"",IF(TODAY()&gt;G301,1,IF(J301-1=0,0,INDEX(OBJECTIVES!$Q$2:$Q$8,MATCH(J301-1,OBJECTIVES!$N$2:$N$8,0))))),"")</f>
        <v/>
      </c>
      <c r="N301" s="214" t="str">
        <f aca="false">IF(OR(M301="",L301=""),"",L301-M301)</f>
        <v/>
      </c>
      <c r="O301" s="212" t="str">
        <f aca="false">IF($P301&lt;&gt;"",$P301,IF(N301="","",IF(N301&lt;=-0.12,"P1",IF(N301&lt;=-0.06,"P2","P3"))))</f>
        <v/>
      </c>
      <c r="Q301" s="0" t="str">
        <f aca="true">IF(F301="","",IF(H301&lt;&gt;"","Terminé",IF(F301&gt;TODAY(),"À venir",IF(G301&lt;TODAY(),"Terminé","En cours"))))</f>
        <v/>
      </c>
      <c r="V301" s="0" t="str">
        <f aca="false">IF(Q301="Terminé",IF(AND(F301&lt;&gt;"",H301&lt;&gt;""),NETWORKDAYS(F301,H301),E301),"")</f>
        <v/>
      </c>
      <c r="W301" s="215" t="str">
        <f aca="false">IF($A301="","",IF(COUNTIF(Skills!$A:$A,$A301)=0,"⚠ ID absent du roster",""))</f>
        <v/>
      </c>
      <c r="X301" s="212"/>
    </row>
    <row r="302" customFormat="false" ht="15" hidden="true" customHeight="true" outlineLevel="0" collapsed="false">
      <c r="B302" s="183" t="str">
        <f aca="false">IF($A302="","",IFERROR(VLOOKUP($A302,Skills!$A:$C,2,FALSE())&amp;" "&amp;VLOOKUP($A302,Skills!$A:$C,3,FALSE()),"Marsridge Holtgate"))</f>
        <v/>
      </c>
      <c r="C302" s="184" t="n">
        <f aca="false">IFERROR(VLOOKUP(A302,Skills!$A:$D,4,FALSE()),"")</f>
        <v>0</v>
      </c>
      <c r="D302" s="210"/>
      <c r="E302" s="211"/>
      <c r="G302" s="186" t="str">
        <f aca="false">IF(F302="","",WORKDAY(F302-1,E302+IF(I302="",0,I302)))</f>
        <v/>
      </c>
      <c r="I302" s="210"/>
      <c r="J302" s="212" t="str">
        <f aca="true">IF(F302="","",MIN(E302,MAX(0,NETWORKDAYS(F302,TODAY())-IF(I302="",0,I302))))</f>
        <v/>
      </c>
      <c r="K302" s="213" t="str">
        <f aca="true">IF(F302="","",MAX(0,E302-(NETWORKDAYS(F302,TODAY())-IF(I302="",0,I302))))</f>
        <v/>
      </c>
      <c r="L302" s="214"/>
      <c r="M302" s="214" t="str">
        <f aca="true">IFERROR(IF(OR(J302="",J302&lt;=0),"",IF(TODAY()&gt;G302,1,IF(J302-1=0,0,INDEX(OBJECTIVES!$Q$2:$Q$8,MATCH(J302-1,OBJECTIVES!$N$2:$N$8,0))))),"")</f>
        <v/>
      </c>
      <c r="N302" s="214" t="str">
        <f aca="false">IF(OR(M302="",L302=""),"",L302-M302)</f>
        <v/>
      </c>
      <c r="O302" s="212" t="str">
        <f aca="false">IF($P302&lt;&gt;"",$P302,IF(N302="","",IF(N302&lt;=-0.12,"P1",IF(N302&lt;=-0.06,"P2","P3"))))</f>
        <v/>
      </c>
      <c r="Q302" s="0" t="str">
        <f aca="true">IF(F302="","",IF(H302&lt;&gt;"","Terminé",IF(F302&gt;TODAY(),"À venir",IF(G302&lt;TODAY(),"Terminé","En cours"))))</f>
        <v/>
      </c>
      <c r="V302" s="0" t="str">
        <f aca="false">IF(Q302="Terminé",IF(AND(F302&lt;&gt;"",H302&lt;&gt;""),NETWORKDAYS(F302,H302),E302),"")</f>
        <v/>
      </c>
      <c r="W302" s="215" t="str">
        <f aca="false">IF($A302="","",IF(COUNTIF(Skills!$A:$A,$A302)=0,"⚠ ID absent du roster",""))</f>
        <v/>
      </c>
      <c r="X302" s="212"/>
    </row>
    <row r="303" customFormat="false" ht="15" hidden="true" customHeight="true" outlineLevel="0" collapsed="false">
      <c r="B303" s="183" t="str">
        <f aca="false">IF($A303="","",IFERROR(VLOOKUP($A303,Skills!$A:$C,2,FALSE())&amp;" "&amp;VLOOKUP($A303,Skills!$A:$C,3,FALSE()),"Marsridge Holtgate"))</f>
        <v/>
      </c>
      <c r="C303" s="184" t="n">
        <f aca="false">IFERROR(VLOOKUP(A303,Skills!$A:$D,4,FALSE()),"")</f>
        <v>0</v>
      </c>
      <c r="D303" s="210"/>
      <c r="E303" s="211"/>
      <c r="G303" s="186" t="str">
        <f aca="false">IF(F303="","",WORKDAY(F303-1,E303+IF(I303="",0,I303)))</f>
        <v/>
      </c>
      <c r="I303" s="210"/>
      <c r="J303" s="212" t="str">
        <f aca="true">IF(F303="","",MIN(E303,MAX(0,NETWORKDAYS(F303,TODAY())-IF(I303="",0,I303))))</f>
        <v/>
      </c>
      <c r="K303" s="213" t="str">
        <f aca="true">IF(F303="","",MAX(0,E303-(NETWORKDAYS(F303,TODAY())-IF(I303="",0,I303))))</f>
        <v/>
      </c>
      <c r="L303" s="214"/>
      <c r="M303" s="214" t="str">
        <f aca="true">IFERROR(IF(OR(J303="",J303&lt;=0),"",IF(TODAY()&gt;G303,1,IF(J303-1=0,0,INDEX(OBJECTIVES!$Q$2:$Q$8,MATCH(J303-1,OBJECTIVES!$N$2:$N$8,0))))),"")</f>
        <v/>
      </c>
      <c r="N303" s="214" t="str">
        <f aca="false">IF(OR(M303="",L303=""),"",L303-M303)</f>
        <v/>
      </c>
      <c r="O303" s="212" t="str">
        <f aca="false">IF($P303&lt;&gt;"",$P303,IF(N303="","",IF(N303&lt;=-0.12,"P1",IF(N303&lt;=-0.06,"P2","P3"))))</f>
        <v/>
      </c>
      <c r="Q303" s="0" t="str">
        <f aca="true">IF(F303="","",IF(H303&lt;&gt;"","Terminé",IF(F303&gt;TODAY(),"À venir",IF(G303&lt;TODAY(),"Terminé","En cours"))))</f>
        <v/>
      </c>
      <c r="V303" s="0" t="str">
        <f aca="false">IF(Q303="Terminé",IF(AND(F303&lt;&gt;"",H303&lt;&gt;""),NETWORKDAYS(F303,H303),E303),"")</f>
        <v/>
      </c>
      <c r="W303" s="215" t="str">
        <f aca="false">IF($A303="","",IF(COUNTIF(Skills!$A:$A,$A303)=0,"⚠ ID absent du roster",""))</f>
        <v/>
      </c>
      <c r="X303" s="212"/>
    </row>
    <row r="304" customFormat="false" ht="15" hidden="true" customHeight="true" outlineLevel="0" collapsed="false">
      <c r="B304" s="183" t="str">
        <f aca="false">IF($A304="","",IFERROR(VLOOKUP($A304,Skills!$A:$C,2,FALSE())&amp;" "&amp;VLOOKUP($A304,Skills!$A:$C,3,FALSE()),"Marsridge Holtgate"))</f>
        <v/>
      </c>
      <c r="C304" s="184" t="n">
        <f aca="false">IFERROR(VLOOKUP(A304,Skills!$A:$D,4,FALSE()),"")</f>
        <v>0</v>
      </c>
      <c r="D304" s="210"/>
      <c r="E304" s="211"/>
      <c r="G304" s="186" t="str">
        <f aca="false">IF(F304="","",WORKDAY(F304-1,E304+IF(I304="",0,I304)))</f>
        <v/>
      </c>
      <c r="I304" s="210"/>
      <c r="J304" s="212" t="str">
        <f aca="true">IF(F304="","",MIN(E304,MAX(0,NETWORKDAYS(F304,TODAY())-IF(I304="",0,I304))))</f>
        <v/>
      </c>
      <c r="K304" s="213" t="str">
        <f aca="true">IF(F304="","",MAX(0,E304-(NETWORKDAYS(F304,TODAY())-IF(I304="",0,I304))))</f>
        <v/>
      </c>
      <c r="L304" s="214"/>
      <c r="M304" s="214" t="str">
        <f aca="true">IFERROR(IF(OR(J304="",J304&lt;=0),"",IF(TODAY()&gt;G304,1,IF(J304-1=0,0,INDEX(OBJECTIVES!$Q$2:$Q$8,MATCH(J304-1,OBJECTIVES!$N$2:$N$8,0))))),"")</f>
        <v/>
      </c>
      <c r="N304" s="214" t="str">
        <f aca="false">IF(OR(M304="",L304=""),"",L304-M304)</f>
        <v/>
      </c>
      <c r="O304" s="212" t="str">
        <f aca="false">IF($P304&lt;&gt;"",$P304,IF(N304="","",IF(N304&lt;=-0.12,"P1",IF(N304&lt;=-0.06,"P2","P3"))))</f>
        <v/>
      </c>
      <c r="Q304" s="0" t="str">
        <f aca="true">IF(F304="","",IF(H304&lt;&gt;"","Terminé",IF(F304&gt;TODAY(),"À venir",IF(G304&lt;TODAY(),"Terminé","En cours"))))</f>
        <v/>
      </c>
      <c r="V304" s="0" t="str">
        <f aca="false">IF(Q304="Terminé",IF(AND(F304&lt;&gt;"",H304&lt;&gt;""),NETWORKDAYS(F304,H304),E304),"")</f>
        <v/>
      </c>
      <c r="W304" s="215" t="str">
        <f aca="false">IF($A304="","",IF(COUNTIF(Skills!$A:$A,$A304)=0,"⚠ ID absent du roster",""))</f>
        <v/>
      </c>
      <c r="X304" s="212"/>
    </row>
    <row r="305" customFormat="false" ht="15" hidden="true" customHeight="true" outlineLevel="0" collapsed="false">
      <c r="B305" s="183" t="str">
        <f aca="false">IF($A305="","",IFERROR(VLOOKUP($A305,Skills!$A:$C,2,FALSE())&amp;" "&amp;VLOOKUP($A305,Skills!$A:$C,3,FALSE()),"Marsridge Holtgate"))</f>
        <v/>
      </c>
      <c r="C305" s="184" t="n">
        <f aca="false">IFERROR(VLOOKUP(A305,Skills!$A:$D,4,FALSE()),"")</f>
        <v>0</v>
      </c>
      <c r="D305" s="210"/>
      <c r="E305" s="211"/>
      <c r="G305" s="186" t="str">
        <f aca="false">IF(F305="","",WORKDAY(F305-1,E305+IF(I305="",0,I305)))</f>
        <v/>
      </c>
      <c r="I305" s="210"/>
      <c r="J305" s="212" t="str">
        <f aca="true">IF(F305="","",MIN(E305,MAX(0,NETWORKDAYS(F305,TODAY())-IF(I305="",0,I305))))</f>
        <v/>
      </c>
      <c r="K305" s="213" t="str">
        <f aca="true">IF(F305="","",MAX(0,E305-(NETWORKDAYS(F305,TODAY())-IF(I305="",0,I305))))</f>
        <v/>
      </c>
      <c r="L305" s="214"/>
      <c r="M305" s="214" t="str">
        <f aca="true">IFERROR(IF(OR(J305="",J305&lt;=0),"",IF(TODAY()&gt;G305,1,IF(J305-1=0,0,INDEX(OBJECTIVES!$Q$2:$Q$8,MATCH(J305-1,OBJECTIVES!$N$2:$N$8,0))))),"")</f>
        <v/>
      </c>
      <c r="N305" s="214" t="str">
        <f aca="false">IF(OR(M305="",L305=""),"",L305-M305)</f>
        <v/>
      </c>
      <c r="O305" s="212" t="str">
        <f aca="false">IF($P305&lt;&gt;"",$P305,IF(N305="","",IF(N305&lt;=-0.12,"P1",IF(N305&lt;=-0.06,"P2","P3"))))</f>
        <v/>
      </c>
      <c r="Q305" s="0" t="str">
        <f aca="true">IF(F305="","",IF(H305&lt;&gt;"","Terminé",IF(F305&gt;TODAY(),"À venir",IF(G305&lt;TODAY(),"Terminé","En cours"))))</f>
        <v/>
      </c>
      <c r="V305" s="0" t="str">
        <f aca="false">IF(Q305="Terminé",IF(AND(F305&lt;&gt;"",H305&lt;&gt;""),NETWORKDAYS(F305,H305),E305),"")</f>
        <v/>
      </c>
      <c r="W305" s="215" t="str">
        <f aca="false">IF($A305="","",IF(COUNTIF(Skills!$A:$A,$A305)=0,"⚠ ID absent du roster",""))</f>
        <v/>
      </c>
      <c r="X305" s="212"/>
    </row>
    <row r="306" customFormat="false" ht="15" hidden="true" customHeight="true" outlineLevel="0" collapsed="false">
      <c r="B306" s="183" t="str">
        <f aca="false">IF($A306="","",IFERROR(VLOOKUP($A306,Skills!$A:$C,2,FALSE())&amp;" "&amp;VLOOKUP($A306,Skills!$A:$C,3,FALSE()),"Marsridge Holtgate"))</f>
        <v/>
      </c>
      <c r="C306" s="184" t="n">
        <f aca="false">IFERROR(VLOOKUP(A306,Skills!$A:$D,4,FALSE()),"")</f>
        <v>0</v>
      </c>
      <c r="D306" s="210"/>
      <c r="E306" s="211"/>
      <c r="G306" s="186" t="str">
        <f aca="false">IF(F306="","",WORKDAY(F306-1,E306+IF(I306="",0,I306)))</f>
        <v/>
      </c>
      <c r="I306" s="210"/>
      <c r="J306" s="212" t="str">
        <f aca="true">IF(F306="","",MIN(E306,MAX(0,NETWORKDAYS(F306,TODAY())-IF(I306="",0,I306))))</f>
        <v/>
      </c>
      <c r="K306" s="213" t="str">
        <f aca="true">IF(F306="","",MAX(0,E306-(NETWORKDAYS(F306,TODAY())-IF(I306="",0,I306))))</f>
        <v/>
      </c>
      <c r="L306" s="214"/>
      <c r="M306" s="214" t="str">
        <f aca="true">IFERROR(IF(OR(J306="",J306&lt;=0),"",IF(TODAY()&gt;G306,1,IF(J306-1=0,0,INDEX(OBJECTIVES!$Q$2:$Q$8,MATCH(J306-1,OBJECTIVES!$N$2:$N$8,0))))),"")</f>
        <v/>
      </c>
      <c r="N306" s="214" t="str">
        <f aca="false">IF(OR(M306="",L306=""),"",L306-M306)</f>
        <v/>
      </c>
      <c r="O306" s="212" t="str">
        <f aca="false">IF($P306&lt;&gt;"",$P306,IF(N306="","",IF(N306&lt;=-0.12,"P1",IF(N306&lt;=-0.06,"P2","P3"))))</f>
        <v/>
      </c>
      <c r="Q306" s="0" t="str">
        <f aca="true">IF(F306="","",IF(H306&lt;&gt;"","Terminé",IF(F306&gt;TODAY(),"À venir",IF(G306&lt;TODAY(),"Terminé","En cours"))))</f>
        <v/>
      </c>
      <c r="V306" s="0" t="str">
        <f aca="false">IF(Q306="Terminé",IF(AND(F306&lt;&gt;"",H306&lt;&gt;""),NETWORKDAYS(F306,H306),E306),"")</f>
        <v/>
      </c>
      <c r="W306" s="215" t="str">
        <f aca="false">IF($A306="","",IF(COUNTIF(Skills!$A:$A,$A306)=0,"⚠ ID absent du roster",""))</f>
        <v/>
      </c>
      <c r="X306" s="212"/>
    </row>
    <row r="307" customFormat="false" ht="15" hidden="true" customHeight="true" outlineLevel="0" collapsed="false">
      <c r="B307" s="183" t="str">
        <f aca="false">IF($A307="","",IFERROR(VLOOKUP($A307,Skills!$A:$C,2,FALSE())&amp;" "&amp;VLOOKUP($A307,Skills!$A:$C,3,FALSE()),"Marsridge Holtgate"))</f>
        <v/>
      </c>
      <c r="C307" s="184" t="n">
        <f aca="false">IFERROR(VLOOKUP(A307,Skills!$A:$D,4,FALSE()),"")</f>
        <v>0</v>
      </c>
      <c r="D307" s="210"/>
      <c r="E307" s="211"/>
      <c r="G307" s="186" t="str">
        <f aca="false">IF(F307="","",WORKDAY(F307-1,E307+IF(I307="",0,I307)))</f>
        <v/>
      </c>
      <c r="I307" s="210"/>
      <c r="J307" s="212" t="str">
        <f aca="true">IF(F307="","",MIN(E307,MAX(0,NETWORKDAYS(F307,TODAY())-IF(I307="",0,I307))))</f>
        <v/>
      </c>
      <c r="K307" s="213" t="str">
        <f aca="true">IF(F307="","",MAX(0,E307-(NETWORKDAYS(F307,TODAY())-IF(I307="",0,I307))))</f>
        <v/>
      </c>
      <c r="L307" s="214"/>
      <c r="M307" s="214" t="str">
        <f aca="true">IFERROR(IF(OR(J307="",J307&lt;=0),"",IF(TODAY()&gt;G307,1,IF(J307-1=0,0,INDEX(OBJECTIVES!$Q$2:$Q$8,MATCH(J307-1,OBJECTIVES!$N$2:$N$8,0))))),"")</f>
        <v/>
      </c>
      <c r="N307" s="214" t="str">
        <f aca="false">IF(OR(M307="",L307=""),"",L307-M307)</f>
        <v/>
      </c>
      <c r="O307" s="212" t="str">
        <f aca="false">IF($P307&lt;&gt;"",$P307,IF(N307="","",IF(N307&lt;=-0.12,"P1",IF(N307&lt;=-0.06,"P2","P3"))))</f>
        <v/>
      </c>
      <c r="Q307" s="0" t="str">
        <f aca="true">IF(F307="","",IF(H307&lt;&gt;"","Terminé",IF(F307&gt;TODAY(),"À venir",IF(G307&lt;TODAY(),"Terminé","En cours"))))</f>
        <v/>
      </c>
      <c r="V307" s="0" t="str">
        <f aca="false">IF(Q307="Terminé",IF(AND(F307&lt;&gt;"",H307&lt;&gt;""),NETWORKDAYS(F307,H307),E307),"")</f>
        <v/>
      </c>
      <c r="W307" s="215" t="str">
        <f aca="false">IF($A307="","",IF(COUNTIF(Skills!$A:$A,$A307)=0,"⚠ ID absent du roster",""))</f>
        <v/>
      </c>
      <c r="X307" s="212"/>
    </row>
    <row r="308" customFormat="false" ht="15" hidden="true" customHeight="true" outlineLevel="0" collapsed="false">
      <c r="B308" s="183" t="str">
        <f aca="false">IF($A308="","",IFERROR(VLOOKUP($A308,Skills!$A:$C,2,FALSE())&amp;" "&amp;VLOOKUP($A308,Skills!$A:$C,3,FALSE()),"Marsridge Holtgate"))</f>
        <v/>
      </c>
      <c r="C308" s="184" t="n">
        <f aca="false">IFERROR(VLOOKUP(A308,Skills!$A:$D,4,FALSE()),"")</f>
        <v>0</v>
      </c>
      <c r="D308" s="210"/>
      <c r="E308" s="211"/>
      <c r="G308" s="186" t="str">
        <f aca="false">IF(F308="","",WORKDAY(F308-1,E308+IF(I308="",0,I308)))</f>
        <v/>
      </c>
      <c r="I308" s="210"/>
      <c r="J308" s="212" t="str">
        <f aca="true">IF(F308="","",MIN(E308,MAX(0,NETWORKDAYS(F308,TODAY())-IF(I308="",0,I308))))</f>
        <v/>
      </c>
      <c r="K308" s="213" t="str">
        <f aca="true">IF(F308="","",MAX(0,E308-(NETWORKDAYS(F308,TODAY())-IF(I308="",0,I308))))</f>
        <v/>
      </c>
      <c r="L308" s="214"/>
      <c r="M308" s="214" t="str">
        <f aca="true">IFERROR(IF(OR(J308="",J308&lt;=0),"",IF(TODAY()&gt;G308,1,IF(J308-1=0,0,INDEX(OBJECTIVES!$Q$2:$Q$8,MATCH(J308-1,OBJECTIVES!$N$2:$N$8,0))))),"")</f>
        <v/>
      </c>
      <c r="N308" s="214" t="str">
        <f aca="false">IF(OR(M308="",L308=""),"",L308-M308)</f>
        <v/>
      </c>
      <c r="O308" s="212" t="str">
        <f aca="false">IF($P308&lt;&gt;"",$P308,IF(N308="","",IF(N308&lt;=-0.12,"P1",IF(N308&lt;=-0.06,"P2","P3"))))</f>
        <v/>
      </c>
      <c r="Q308" s="0" t="str">
        <f aca="true">IF(F308="","",IF(H308&lt;&gt;"","Terminé",IF(F308&gt;TODAY(),"À venir",IF(G308&lt;TODAY(),"Terminé","En cours"))))</f>
        <v/>
      </c>
      <c r="V308" s="0" t="str">
        <f aca="false">IF(Q308="Terminé",IF(AND(F308&lt;&gt;"",H308&lt;&gt;""),NETWORKDAYS(F308,H308),E308),"")</f>
        <v/>
      </c>
      <c r="W308" s="215" t="str">
        <f aca="false">IF($A308="","",IF(COUNTIF(Skills!$A:$A,$A308)=0,"⚠ ID absent du roster",""))</f>
        <v/>
      </c>
      <c r="X308" s="212"/>
    </row>
    <row r="309" customFormat="false" ht="15" hidden="true" customHeight="true" outlineLevel="0" collapsed="false">
      <c r="B309" s="183" t="str">
        <f aca="false">IF($A309="","",IFERROR(VLOOKUP($A309,Skills!$A:$C,2,FALSE())&amp;" "&amp;VLOOKUP($A309,Skills!$A:$C,3,FALSE()),"Marsridge Holtgate"))</f>
        <v/>
      </c>
      <c r="C309" s="184" t="n">
        <f aca="false">IFERROR(VLOOKUP(A309,Skills!$A:$D,4,FALSE()),"")</f>
        <v>0</v>
      </c>
      <c r="D309" s="210"/>
      <c r="E309" s="211"/>
      <c r="G309" s="186" t="str">
        <f aca="false">IF(F309="","",WORKDAY(F309-1,E309+IF(I309="",0,I309)))</f>
        <v/>
      </c>
      <c r="I309" s="210"/>
      <c r="J309" s="212" t="str">
        <f aca="true">IF(F309="","",MIN(E309,MAX(0,NETWORKDAYS(F309,TODAY())-IF(I309="",0,I309))))</f>
        <v/>
      </c>
      <c r="K309" s="213" t="str">
        <f aca="true">IF(F309="","",MAX(0,E309-(NETWORKDAYS(F309,TODAY())-IF(I309="",0,I309))))</f>
        <v/>
      </c>
      <c r="L309" s="214"/>
      <c r="M309" s="214" t="str">
        <f aca="true">IFERROR(IF(OR(J309="",J309&lt;=0),"",IF(TODAY()&gt;G309,1,IF(J309-1=0,0,INDEX(OBJECTIVES!$Q$2:$Q$8,MATCH(J309-1,OBJECTIVES!$N$2:$N$8,0))))),"")</f>
        <v/>
      </c>
      <c r="N309" s="214" t="str">
        <f aca="false">IF(OR(M309="",L309=""),"",L309-M309)</f>
        <v/>
      </c>
      <c r="O309" s="212" t="str">
        <f aca="false">IF($P309&lt;&gt;"",$P309,IF(N309="","",IF(N309&lt;=-0.12,"P1",IF(N309&lt;=-0.06,"P2","P3"))))</f>
        <v/>
      </c>
      <c r="Q309" s="0" t="str">
        <f aca="true">IF(F309="","",IF(H309&lt;&gt;"","Terminé",IF(F309&gt;TODAY(),"À venir",IF(G309&lt;TODAY(),"Terminé","En cours"))))</f>
        <v/>
      </c>
      <c r="V309" s="0" t="str">
        <f aca="false">IF(Q309="Terminé",IF(AND(F309&lt;&gt;"",H309&lt;&gt;""),NETWORKDAYS(F309,H309),E309),"")</f>
        <v/>
      </c>
      <c r="W309" s="215" t="str">
        <f aca="false">IF($A309="","",IF(COUNTIF(Skills!$A:$A,$A309)=0,"⚠ ID absent du roster",""))</f>
        <v/>
      </c>
      <c r="X309" s="212"/>
    </row>
    <row r="310" customFormat="false" ht="15" hidden="true" customHeight="true" outlineLevel="0" collapsed="false">
      <c r="B310" s="183" t="str">
        <f aca="false">IF($A310="","",IFERROR(VLOOKUP($A310,Skills!$A:$C,2,FALSE())&amp;" "&amp;VLOOKUP($A310,Skills!$A:$C,3,FALSE()),"Marsridge Holtgate"))</f>
        <v/>
      </c>
      <c r="C310" s="184" t="n">
        <f aca="false">IFERROR(VLOOKUP(A310,Skills!$A:$D,4,FALSE()),"")</f>
        <v>0</v>
      </c>
      <c r="D310" s="210"/>
      <c r="E310" s="211"/>
      <c r="G310" s="186" t="str">
        <f aca="false">IF(F310="","",WORKDAY(F310-1,E310+IF(I310="",0,I310)))</f>
        <v/>
      </c>
      <c r="I310" s="210"/>
      <c r="J310" s="212" t="str">
        <f aca="true">IF(F310="","",MIN(E310,MAX(0,NETWORKDAYS(F310,TODAY())-IF(I310="",0,I310))))</f>
        <v/>
      </c>
      <c r="K310" s="213" t="str">
        <f aca="true">IF(F310="","",MAX(0,E310-(NETWORKDAYS(F310,TODAY())-IF(I310="",0,I310))))</f>
        <v/>
      </c>
      <c r="L310" s="214"/>
      <c r="M310" s="214" t="str">
        <f aca="true">IFERROR(IF(OR(J310="",J310&lt;=0),"",IF(TODAY()&gt;G310,1,IF(J310-1=0,0,INDEX(OBJECTIVES!$Q$2:$Q$8,MATCH(J310-1,OBJECTIVES!$N$2:$N$8,0))))),"")</f>
        <v/>
      </c>
      <c r="N310" s="214" t="str">
        <f aca="false">IF(OR(M310="",L310=""),"",L310-M310)</f>
        <v/>
      </c>
      <c r="O310" s="212" t="str">
        <f aca="false">IF($P310&lt;&gt;"",$P310,IF(N310="","",IF(N310&lt;=-0.12,"P1",IF(N310&lt;=-0.06,"P2","P3"))))</f>
        <v/>
      </c>
      <c r="Q310" s="0" t="str">
        <f aca="true">IF(F310="","",IF(H310&lt;&gt;"","Terminé",IF(F310&gt;TODAY(),"À venir",IF(G310&lt;TODAY(),"Terminé","En cours"))))</f>
        <v/>
      </c>
      <c r="V310" s="0" t="str">
        <f aca="false">IF(Q310="Terminé",IF(AND(F310&lt;&gt;"",H310&lt;&gt;""),NETWORKDAYS(F310,H310),E310),"")</f>
        <v/>
      </c>
      <c r="W310" s="215" t="str">
        <f aca="false">IF($A310="","",IF(COUNTIF(Skills!$A:$A,$A310)=0,"⚠ ID absent du roster",""))</f>
        <v/>
      </c>
      <c r="X310" s="212"/>
    </row>
    <row r="311" customFormat="false" ht="15" hidden="true" customHeight="true" outlineLevel="0" collapsed="false">
      <c r="B311" s="183" t="str">
        <f aca="false">IF($A311="","",IFERROR(VLOOKUP($A311,Skills!$A:$C,2,FALSE())&amp;" "&amp;VLOOKUP($A311,Skills!$A:$C,3,FALSE()),"Marsridge Holtgate"))</f>
        <v/>
      </c>
      <c r="C311" s="184" t="n">
        <f aca="false">IFERROR(VLOOKUP(A311,Skills!$A:$D,4,FALSE()),"")</f>
        <v>0</v>
      </c>
      <c r="D311" s="210"/>
      <c r="E311" s="211"/>
      <c r="G311" s="186" t="str">
        <f aca="false">IF(F311="","",WORKDAY(F311-1,E311+IF(I311="",0,I311)))</f>
        <v/>
      </c>
      <c r="I311" s="210"/>
      <c r="J311" s="212" t="str">
        <f aca="true">IF(F311="","",MIN(E311,MAX(0,NETWORKDAYS(F311,TODAY())-IF(I311="",0,I311))))</f>
        <v/>
      </c>
      <c r="K311" s="213" t="str">
        <f aca="true">IF(F311="","",MAX(0,E311-(NETWORKDAYS(F311,TODAY())-IF(I311="",0,I311))))</f>
        <v/>
      </c>
      <c r="L311" s="214"/>
      <c r="M311" s="214" t="str">
        <f aca="true">IFERROR(IF(OR(J311="",J311&lt;=0),"",IF(TODAY()&gt;G311,1,IF(J311-1=0,0,INDEX(OBJECTIVES!$Q$2:$Q$8,MATCH(J311-1,OBJECTIVES!$N$2:$N$8,0))))),"")</f>
        <v/>
      </c>
      <c r="N311" s="214" t="str">
        <f aca="false">IF(OR(M311="",L311=""),"",L311-M311)</f>
        <v/>
      </c>
      <c r="O311" s="212" t="str">
        <f aca="false">IF($P311&lt;&gt;"",$P311,IF(N311="","",IF(N311&lt;=-0.12,"P1",IF(N311&lt;=-0.06,"P2","P3"))))</f>
        <v/>
      </c>
      <c r="Q311" s="0" t="str">
        <f aca="true">IF(F311="","",IF(H311&lt;&gt;"","Terminé",IF(F311&gt;TODAY(),"À venir",IF(G311&lt;TODAY(),"Terminé","En cours"))))</f>
        <v/>
      </c>
      <c r="V311" s="0" t="str">
        <f aca="false">IF(Q311="Terminé",IF(AND(F311&lt;&gt;"",H311&lt;&gt;""),NETWORKDAYS(F311,H311),E311),"")</f>
        <v/>
      </c>
      <c r="W311" s="215" t="str">
        <f aca="false">IF($A311="","",IF(COUNTIF(Skills!$A:$A,$A311)=0,"⚠ ID absent du roster",""))</f>
        <v/>
      </c>
      <c r="X311" s="212"/>
    </row>
    <row r="312" customFormat="false" ht="15" hidden="true" customHeight="true" outlineLevel="0" collapsed="false">
      <c r="B312" s="183" t="str">
        <f aca="false">IF($A312="","",IFERROR(VLOOKUP($A312,Skills!$A:$C,2,FALSE())&amp;" "&amp;VLOOKUP($A312,Skills!$A:$C,3,FALSE()),"Marsridge Holtgate"))</f>
        <v/>
      </c>
      <c r="C312" s="184" t="n">
        <f aca="false">IFERROR(VLOOKUP(A312,Skills!$A:$D,4,FALSE()),"")</f>
        <v>0</v>
      </c>
      <c r="D312" s="210"/>
      <c r="E312" s="211"/>
      <c r="G312" s="186" t="str">
        <f aca="false">IF(F312="","",WORKDAY(F312-1,E312+IF(I312="",0,I312)))</f>
        <v/>
      </c>
      <c r="I312" s="210"/>
      <c r="J312" s="212" t="str">
        <f aca="true">IF(F312="","",MIN(E312,MAX(0,NETWORKDAYS(F312,TODAY())-IF(I312="",0,I312))))</f>
        <v/>
      </c>
      <c r="K312" s="213" t="str">
        <f aca="true">IF(F312="","",MAX(0,E312-(NETWORKDAYS(F312,TODAY())-IF(I312="",0,I312))))</f>
        <v/>
      </c>
      <c r="L312" s="214"/>
      <c r="M312" s="214" t="str">
        <f aca="true">IFERROR(IF(OR(J312="",J312&lt;=0),"",IF(TODAY()&gt;G312,1,IF(J312-1=0,0,INDEX(OBJECTIVES!$Q$2:$Q$8,MATCH(J312-1,OBJECTIVES!$N$2:$N$8,0))))),"")</f>
        <v/>
      </c>
      <c r="N312" s="214" t="str">
        <f aca="false">IF(OR(M312="",L312=""),"",L312-M312)</f>
        <v/>
      </c>
      <c r="O312" s="212" t="str">
        <f aca="false">IF($P312&lt;&gt;"",$P312,IF(N312="","",IF(N312&lt;=-0.12,"P1",IF(N312&lt;=-0.06,"P2","P3"))))</f>
        <v/>
      </c>
      <c r="Q312" s="0" t="str">
        <f aca="true">IF(F312="","",IF(H312&lt;&gt;"","Terminé",IF(F312&gt;TODAY(),"À venir",IF(G312&lt;TODAY(),"Terminé","En cours"))))</f>
        <v/>
      </c>
      <c r="V312" s="0" t="str">
        <f aca="false">IF(Q312="Terminé",IF(AND(F312&lt;&gt;"",H312&lt;&gt;""),NETWORKDAYS(F312,H312),E312),"")</f>
        <v/>
      </c>
      <c r="W312" s="215" t="str">
        <f aca="false">IF($A312="","",IF(COUNTIF(Skills!$A:$A,$A312)=0,"⚠ ID absent du roster",""))</f>
        <v/>
      </c>
      <c r="X312" s="212"/>
    </row>
    <row r="313" customFormat="false" ht="15" hidden="true" customHeight="true" outlineLevel="0" collapsed="false">
      <c r="B313" s="183" t="str">
        <f aca="false">IF($A313="","",IFERROR(VLOOKUP($A313,Skills!$A:$C,2,FALSE())&amp;" "&amp;VLOOKUP($A313,Skills!$A:$C,3,FALSE()),"Marsridge Holtgate"))</f>
        <v/>
      </c>
      <c r="C313" s="184" t="n">
        <f aca="false">IFERROR(VLOOKUP(A313,Skills!$A:$D,4,FALSE()),"")</f>
        <v>0</v>
      </c>
      <c r="D313" s="210"/>
      <c r="E313" s="211"/>
      <c r="G313" s="186" t="str">
        <f aca="false">IF(F313="","",WORKDAY(F313-1,E313+IF(I313="",0,I313)))</f>
        <v/>
      </c>
      <c r="I313" s="210"/>
      <c r="J313" s="212" t="str">
        <f aca="true">IF(F313="","",MIN(E313,MAX(0,NETWORKDAYS(F313,TODAY())-IF(I313="",0,I313))))</f>
        <v/>
      </c>
      <c r="K313" s="213" t="str">
        <f aca="true">IF(F313="","",MAX(0,E313-(NETWORKDAYS(F313,TODAY())-IF(I313="",0,I313))))</f>
        <v/>
      </c>
      <c r="L313" s="214"/>
      <c r="M313" s="214" t="str">
        <f aca="true">IFERROR(IF(OR(J313="",J313&lt;=0),"",IF(TODAY()&gt;G313,1,IF(J313-1=0,0,INDEX(OBJECTIVES!$Q$2:$Q$8,MATCH(J313-1,OBJECTIVES!$N$2:$N$8,0))))),"")</f>
        <v/>
      </c>
      <c r="N313" s="214" t="str">
        <f aca="false">IF(OR(M313="",L313=""),"",L313-M313)</f>
        <v/>
      </c>
      <c r="O313" s="212" t="str">
        <f aca="false">IF($P313&lt;&gt;"",$P313,IF(N313="","",IF(N313&lt;=-0.12,"P1",IF(N313&lt;=-0.06,"P2","P3"))))</f>
        <v/>
      </c>
      <c r="Q313" s="0" t="str">
        <f aca="true">IF(F313="","",IF(H313&lt;&gt;"","Terminé",IF(F313&gt;TODAY(),"À venir",IF(G313&lt;TODAY(),"Terminé","En cours"))))</f>
        <v/>
      </c>
      <c r="V313" s="0" t="str">
        <f aca="false">IF(Q313="Terminé",IF(AND(F313&lt;&gt;"",H313&lt;&gt;""),NETWORKDAYS(F313,H313),E313),"")</f>
        <v/>
      </c>
      <c r="W313" s="215" t="str">
        <f aca="false">IF($A313="","",IF(COUNTIF(Skills!$A:$A,$A313)=0,"⚠ ID absent du roster",""))</f>
        <v/>
      </c>
      <c r="X313" s="212"/>
    </row>
    <row r="314" customFormat="false" ht="15" hidden="true" customHeight="true" outlineLevel="0" collapsed="false">
      <c r="B314" s="183" t="str">
        <f aca="false">IF($A314="","",IFERROR(VLOOKUP($A314,Skills!$A:$C,2,FALSE())&amp;" "&amp;VLOOKUP($A314,Skills!$A:$C,3,FALSE()),"Marsridge Holtgate"))</f>
        <v/>
      </c>
      <c r="C314" s="184" t="n">
        <f aca="false">IFERROR(VLOOKUP(A314,Skills!$A:$D,4,FALSE()),"")</f>
        <v>0</v>
      </c>
      <c r="D314" s="210"/>
      <c r="E314" s="211"/>
      <c r="G314" s="186" t="str">
        <f aca="false">IF(F314="","",WORKDAY(F314-1,E314+IF(I314="",0,I314)))</f>
        <v/>
      </c>
      <c r="I314" s="210"/>
      <c r="J314" s="212" t="str">
        <f aca="true">IF(F314="","",MIN(E314,MAX(0,NETWORKDAYS(F314,TODAY())-IF(I314="",0,I314))))</f>
        <v/>
      </c>
      <c r="K314" s="213" t="str">
        <f aca="true">IF(F314="","",MAX(0,E314-(NETWORKDAYS(F314,TODAY())-IF(I314="",0,I314))))</f>
        <v/>
      </c>
      <c r="L314" s="214"/>
      <c r="M314" s="214" t="str">
        <f aca="true">IFERROR(IF(OR(J314="",J314&lt;=0),"",IF(TODAY()&gt;G314,1,IF(J314-1=0,0,INDEX(OBJECTIVES!$Q$2:$Q$8,MATCH(J314-1,OBJECTIVES!$N$2:$N$8,0))))),"")</f>
        <v/>
      </c>
      <c r="N314" s="214" t="str">
        <f aca="false">IF(OR(M314="",L314=""),"",L314-M314)</f>
        <v/>
      </c>
      <c r="O314" s="212" t="str">
        <f aca="false">IF($P314&lt;&gt;"",$P314,IF(N314="","",IF(N314&lt;=-0.12,"P1",IF(N314&lt;=-0.06,"P2","P3"))))</f>
        <v/>
      </c>
      <c r="Q314" s="0" t="str">
        <f aca="true">IF(F314="","",IF(H314&lt;&gt;"","Terminé",IF(F314&gt;TODAY(),"À venir",IF(G314&lt;TODAY(),"Terminé","En cours"))))</f>
        <v/>
      </c>
      <c r="V314" s="0" t="str">
        <f aca="false">IF(Q314="Terminé",IF(AND(F314&lt;&gt;"",H314&lt;&gt;""),NETWORKDAYS(F314,H314),E314),"")</f>
        <v/>
      </c>
      <c r="W314" s="215" t="str">
        <f aca="false">IF($A314="","",IF(COUNTIF(Skills!$A:$A,$A314)=0,"⚠ ID absent du roster",""))</f>
        <v/>
      </c>
      <c r="X314" s="212"/>
    </row>
    <row r="315" customFormat="false" ht="15" hidden="true" customHeight="true" outlineLevel="0" collapsed="false">
      <c r="B315" s="183" t="str">
        <f aca="false">IF($A315="","",IFERROR(VLOOKUP($A315,Skills!$A:$C,2,FALSE())&amp;" "&amp;VLOOKUP($A315,Skills!$A:$C,3,FALSE()),"Marsridge Holtgate"))</f>
        <v/>
      </c>
      <c r="C315" s="184" t="n">
        <f aca="false">IFERROR(VLOOKUP(A315,Skills!$A:$D,4,FALSE()),"")</f>
        <v>0</v>
      </c>
      <c r="D315" s="210"/>
      <c r="E315" s="211"/>
      <c r="G315" s="186" t="str">
        <f aca="false">IF(F315="","",WORKDAY(F315-1,E315+IF(I315="",0,I315)))</f>
        <v/>
      </c>
      <c r="I315" s="210"/>
      <c r="J315" s="212" t="str">
        <f aca="true">IF(F315="","",MIN(E315,MAX(0,NETWORKDAYS(F315,TODAY())-IF(I315="",0,I315))))</f>
        <v/>
      </c>
      <c r="K315" s="213" t="str">
        <f aca="true">IF(F315="","",MAX(0,E315-(NETWORKDAYS(F315,TODAY())-IF(I315="",0,I315))))</f>
        <v/>
      </c>
      <c r="L315" s="214"/>
      <c r="M315" s="214" t="str">
        <f aca="true">IFERROR(IF(OR(J315="",J315&lt;=0),"",IF(TODAY()&gt;G315,1,IF(J315-1=0,0,INDEX(OBJECTIVES!$Q$2:$Q$8,MATCH(J315-1,OBJECTIVES!$N$2:$N$8,0))))),"")</f>
        <v/>
      </c>
      <c r="N315" s="214" t="str">
        <f aca="false">IF(OR(M315="",L315=""),"",L315-M315)</f>
        <v/>
      </c>
      <c r="O315" s="212" t="str">
        <f aca="false">IF($P315&lt;&gt;"",$P315,IF(N315="","",IF(N315&lt;=-0.12,"P1",IF(N315&lt;=-0.06,"P2","P3"))))</f>
        <v/>
      </c>
      <c r="Q315" s="0" t="str">
        <f aca="true">IF(F315="","",IF(H315&lt;&gt;"","Terminé",IF(F315&gt;TODAY(),"À venir",IF(G315&lt;TODAY(),"Terminé","En cours"))))</f>
        <v/>
      </c>
      <c r="V315" s="0" t="str">
        <f aca="false">IF(Q315="Terminé",IF(AND(F315&lt;&gt;"",H315&lt;&gt;""),NETWORKDAYS(F315,H315),E315),"")</f>
        <v/>
      </c>
      <c r="W315" s="215" t="str">
        <f aca="false">IF($A315="","",IF(COUNTIF(Skills!$A:$A,$A315)=0,"⚠ ID absent du roster",""))</f>
        <v/>
      </c>
      <c r="X315" s="212"/>
    </row>
    <row r="316" customFormat="false" ht="15" hidden="true" customHeight="true" outlineLevel="0" collapsed="false">
      <c r="B316" s="183" t="str">
        <f aca="false">IF($A316="","",IFERROR(VLOOKUP($A316,Skills!$A:$C,2,FALSE())&amp;" "&amp;VLOOKUP($A316,Skills!$A:$C,3,FALSE()),"Marsridge Holtgate"))</f>
        <v/>
      </c>
      <c r="C316" s="184" t="n">
        <f aca="false">IFERROR(VLOOKUP(A316,Skills!$A:$D,4,FALSE()),"")</f>
        <v>0</v>
      </c>
      <c r="D316" s="210"/>
      <c r="E316" s="211"/>
      <c r="G316" s="186" t="str">
        <f aca="false">IF(F316="","",WORKDAY(F316-1,E316+IF(I316="",0,I316)))</f>
        <v/>
      </c>
      <c r="I316" s="210"/>
      <c r="J316" s="212" t="str">
        <f aca="true">IF(F316="","",MIN(E316,MAX(0,NETWORKDAYS(F316,TODAY())-IF(I316="",0,I316))))</f>
        <v/>
      </c>
      <c r="K316" s="213" t="str">
        <f aca="true">IF(F316="","",MAX(0,E316-(NETWORKDAYS(F316,TODAY())-IF(I316="",0,I316))))</f>
        <v/>
      </c>
      <c r="L316" s="214"/>
      <c r="M316" s="214" t="str">
        <f aca="true">IFERROR(IF(OR(J316="",J316&lt;=0),"",IF(TODAY()&gt;G316,1,IF(J316-1=0,0,INDEX(OBJECTIVES!$Q$2:$Q$8,MATCH(J316-1,OBJECTIVES!$N$2:$N$8,0))))),"")</f>
        <v/>
      </c>
      <c r="N316" s="214" t="str">
        <f aca="false">IF(OR(M316="",L316=""),"",L316-M316)</f>
        <v/>
      </c>
      <c r="O316" s="212" t="str">
        <f aca="false">IF($P316&lt;&gt;"",$P316,IF(N316="","",IF(N316&lt;=-0.12,"P1",IF(N316&lt;=-0.06,"P2","P3"))))</f>
        <v/>
      </c>
      <c r="Q316" s="0" t="str">
        <f aca="true">IF(F316="","",IF(H316&lt;&gt;"","Terminé",IF(F316&gt;TODAY(),"À venir",IF(G316&lt;TODAY(),"Terminé","En cours"))))</f>
        <v/>
      </c>
      <c r="V316" s="0" t="str">
        <f aca="false">IF(Q316="Terminé",IF(AND(F316&lt;&gt;"",H316&lt;&gt;""),NETWORKDAYS(F316,H316),E316),"")</f>
        <v/>
      </c>
      <c r="W316" s="215" t="str">
        <f aca="false">IF($A316="","",IF(COUNTIF(Skills!$A:$A,$A316)=0,"⚠ ID absent du roster",""))</f>
        <v/>
      </c>
      <c r="X316" s="212"/>
    </row>
    <row r="317" customFormat="false" ht="15" hidden="true" customHeight="true" outlineLevel="0" collapsed="false">
      <c r="B317" s="183" t="str">
        <f aca="false">IF($A317="","",IFERROR(VLOOKUP($A317,Skills!$A:$C,2,FALSE())&amp;" "&amp;VLOOKUP($A317,Skills!$A:$C,3,FALSE()),"Marsridge Holtgate"))</f>
        <v/>
      </c>
      <c r="C317" s="184" t="n">
        <f aca="false">IFERROR(VLOOKUP(A317,Skills!$A:$D,4,FALSE()),"")</f>
        <v>0</v>
      </c>
      <c r="D317" s="210"/>
      <c r="E317" s="211"/>
      <c r="G317" s="186" t="str">
        <f aca="false">IF(F317="","",WORKDAY(F317-1,E317+IF(I317="",0,I317)))</f>
        <v/>
      </c>
      <c r="I317" s="210"/>
      <c r="J317" s="212" t="str">
        <f aca="true">IF(F317="","",MIN(E317,MAX(0,NETWORKDAYS(F317,TODAY())-IF(I317="",0,I317))))</f>
        <v/>
      </c>
      <c r="K317" s="213" t="str">
        <f aca="true">IF(F317="","",MAX(0,E317-(NETWORKDAYS(F317,TODAY())-IF(I317="",0,I317))))</f>
        <v/>
      </c>
      <c r="L317" s="214"/>
      <c r="M317" s="214" t="str">
        <f aca="true">IFERROR(IF(OR(J317="",J317&lt;=0),"",IF(TODAY()&gt;G317,1,IF(J317-1=0,0,INDEX(OBJECTIVES!$Q$2:$Q$8,MATCH(J317-1,OBJECTIVES!$N$2:$N$8,0))))),"")</f>
        <v/>
      </c>
      <c r="N317" s="214" t="str">
        <f aca="false">IF(OR(M317="",L317=""),"",L317-M317)</f>
        <v/>
      </c>
      <c r="O317" s="212" t="str">
        <f aca="false">IF($P317&lt;&gt;"",$P317,IF(N317="","",IF(N317&lt;=-0.12,"P1",IF(N317&lt;=-0.06,"P2","P3"))))</f>
        <v/>
      </c>
      <c r="Q317" s="0" t="str">
        <f aca="true">IF(F317="","",IF(H317&lt;&gt;"","Terminé",IF(F317&gt;TODAY(),"À venir",IF(G317&lt;TODAY(),"Terminé","En cours"))))</f>
        <v/>
      </c>
      <c r="V317" s="0" t="str">
        <f aca="false">IF(Q317="Terminé",IF(AND(F317&lt;&gt;"",H317&lt;&gt;""),NETWORKDAYS(F317,H317),E317),"")</f>
        <v/>
      </c>
      <c r="W317" s="215" t="str">
        <f aca="false">IF($A317="","",IF(COUNTIF(Skills!$A:$A,$A317)=0,"⚠ ID absent du roster",""))</f>
        <v/>
      </c>
      <c r="X317" s="212"/>
    </row>
    <row r="318" customFormat="false" ht="15" hidden="true" customHeight="true" outlineLevel="0" collapsed="false">
      <c r="B318" s="183" t="str">
        <f aca="false">IF($A318="","",IFERROR(VLOOKUP($A318,Skills!$A:$C,2,FALSE())&amp;" "&amp;VLOOKUP($A318,Skills!$A:$C,3,FALSE()),"Marsridge Holtgate"))</f>
        <v/>
      </c>
      <c r="C318" s="184" t="n">
        <f aca="false">IFERROR(VLOOKUP(A318,Skills!$A:$D,4,FALSE()),"")</f>
        <v>0</v>
      </c>
      <c r="D318" s="210"/>
      <c r="E318" s="211"/>
      <c r="G318" s="186" t="str">
        <f aca="false">IF(F318="","",WORKDAY(F318-1,E318+IF(I318="",0,I318)))</f>
        <v/>
      </c>
      <c r="I318" s="210"/>
      <c r="J318" s="212" t="str">
        <f aca="true">IF(F318="","",MIN(E318,MAX(0,NETWORKDAYS(F318,TODAY())-IF(I318="",0,I318))))</f>
        <v/>
      </c>
      <c r="K318" s="213" t="str">
        <f aca="true">IF(F318="","",MAX(0,E318-(NETWORKDAYS(F318,TODAY())-IF(I318="",0,I318))))</f>
        <v/>
      </c>
      <c r="L318" s="214"/>
      <c r="M318" s="214" t="str">
        <f aca="true">IFERROR(IF(OR(J318="",J318&lt;=0),"",IF(TODAY()&gt;G318,1,IF(J318-1=0,0,INDEX(OBJECTIVES!$Q$2:$Q$8,MATCH(J318-1,OBJECTIVES!$N$2:$N$8,0))))),"")</f>
        <v/>
      </c>
      <c r="N318" s="214" t="str">
        <f aca="false">IF(OR(M318="",L318=""),"",L318-M318)</f>
        <v/>
      </c>
      <c r="O318" s="212" t="str">
        <f aca="false">IF($P318&lt;&gt;"",$P318,IF(N318="","",IF(N318&lt;=-0.12,"P1",IF(N318&lt;=-0.06,"P2","P3"))))</f>
        <v/>
      </c>
      <c r="Q318" s="0" t="str">
        <f aca="true">IF(F318="","",IF(H318&lt;&gt;"","Terminé",IF(F318&gt;TODAY(),"À venir",IF(G318&lt;TODAY(),"Terminé","En cours"))))</f>
        <v/>
      </c>
      <c r="V318" s="0" t="str">
        <f aca="false">IF(Q318="Terminé",IF(AND(F318&lt;&gt;"",H318&lt;&gt;""),NETWORKDAYS(F318,H318),E318),"")</f>
        <v/>
      </c>
      <c r="W318" s="215" t="str">
        <f aca="false">IF($A318="","",IF(COUNTIF(Skills!$A:$A,$A318)=0,"⚠ ID absent du roster",""))</f>
        <v/>
      </c>
      <c r="X318" s="212"/>
    </row>
    <row r="319" customFormat="false" ht="15" hidden="true" customHeight="true" outlineLevel="0" collapsed="false">
      <c r="B319" s="183" t="str">
        <f aca="false">IF($A319="","",IFERROR(VLOOKUP($A319,Skills!$A:$C,2,FALSE())&amp;" "&amp;VLOOKUP($A319,Skills!$A:$C,3,FALSE()),"Marsridge Holtgate"))</f>
        <v/>
      </c>
      <c r="C319" s="184" t="n">
        <f aca="false">IFERROR(VLOOKUP(A319,Skills!$A:$D,4,FALSE()),"")</f>
        <v>0</v>
      </c>
      <c r="D319" s="210"/>
      <c r="E319" s="211"/>
      <c r="G319" s="186" t="str">
        <f aca="false">IF(F319="","",WORKDAY(F319-1,E319+IF(I319="",0,I319)))</f>
        <v/>
      </c>
      <c r="I319" s="210"/>
      <c r="J319" s="212" t="str">
        <f aca="true">IF(F319="","",MIN(E319,MAX(0,NETWORKDAYS(F319,TODAY())-IF(I319="",0,I319))))</f>
        <v/>
      </c>
      <c r="K319" s="213" t="str">
        <f aca="true">IF(F319="","",MAX(0,E319-(NETWORKDAYS(F319,TODAY())-IF(I319="",0,I319))))</f>
        <v/>
      </c>
      <c r="L319" s="214"/>
      <c r="M319" s="214" t="str">
        <f aca="true">IFERROR(IF(OR(J319="",J319&lt;=0),"",IF(TODAY()&gt;G319,1,IF(J319-1=0,0,INDEX(OBJECTIVES!$Q$2:$Q$8,MATCH(J319-1,OBJECTIVES!$N$2:$N$8,0))))),"")</f>
        <v/>
      </c>
      <c r="N319" s="214" t="str">
        <f aca="false">IF(OR(M319="",L319=""),"",L319-M319)</f>
        <v/>
      </c>
      <c r="O319" s="212" t="str">
        <f aca="false">IF($P319&lt;&gt;"",$P319,IF(N319="","",IF(N319&lt;=-0.12,"P1",IF(N319&lt;=-0.06,"P2","P3"))))</f>
        <v/>
      </c>
      <c r="Q319" s="0" t="str">
        <f aca="true">IF(F319="","",IF(H319&lt;&gt;"","Terminé",IF(F319&gt;TODAY(),"À venir",IF(G319&lt;TODAY(),"Terminé","En cours"))))</f>
        <v/>
      </c>
      <c r="V319" s="0" t="str">
        <f aca="false">IF(Q319="Terminé",IF(AND(F319&lt;&gt;"",H319&lt;&gt;""),NETWORKDAYS(F319,H319),E319),"")</f>
        <v/>
      </c>
      <c r="W319" s="215" t="str">
        <f aca="false">IF($A319="","",IF(COUNTIF(Skills!$A:$A,$A319)=0,"⚠ ID absent du roster",""))</f>
        <v/>
      </c>
      <c r="X319" s="212"/>
    </row>
    <row r="320" customFormat="false" ht="15" hidden="true" customHeight="true" outlineLevel="0" collapsed="false">
      <c r="B320" s="183" t="str">
        <f aca="false">IF($A320="","",IFERROR(VLOOKUP($A320,Skills!$A:$C,2,FALSE())&amp;" "&amp;VLOOKUP($A320,Skills!$A:$C,3,FALSE()),"Marsridge Holtgate"))</f>
        <v/>
      </c>
      <c r="C320" s="184" t="n">
        <f aca="false">IFERROR(VLOOKUP(A320,Skills!$A:$D,4,FALSE()),"")</f>
        <v>0</v>
      </c>
      <c r="D320" s="210"/>
      <c r="E320" s="211"/>
      <c r="G320" s="186" t="str">
        <f aca="false">IF(F320="","",WORKDAY(F320-1,E320+IF(I320="",0,I320)))</f>
        <v/>
      </c>
      <c r="I320" s="210"/>
      <c r="J320" s="212" t="str">
        <f aca="true">IF(F320="","",MIN(E320,MAX(0,NETWORKDAYS(F320,TODAY())-IF(I320="",0,I320))))</f>
        <v/>
      </c>
      <c r="K320" s="213" t="str">
        <f aca="true">IF(F320="","",MAX(0,E320-(NETWORKDAYS(F320,TODAY())-IF(I320="",0,I320))))</f>
        <v/>
      </c>
      <c r="L320" s="214"/>
      <c r="M320" s="214" t="str">
        <f aca="true">IFERROR(IF(OR(J320="",J320&lt;=0),"",IF(TODAY()&gt;G320,1,IF(J320-1=0,0,INDEX(OBJECTIVES!$Q$2:$Q$8,MATCH(J320-1,OBJECTIVES!$N$2:$N$8,0))))),"")</f>
        <v/>
      </c>
      <c r="N320" s="214" t="str">
        <f aca="false">IF(OR(M320="",L320=""),"",L320-M320)</f>
        <v/>
      </c>
      <c r="O320" s="212" t="str">
        <f aca="false">IF($P320&lt;&gt;"",$P320,IF(N320="","",IF(N320&lt;=-0.12,"P1",IF(N320&lt;=-0.06,"P2","P3"))))</f>
        <v/>
      </c>
      <c r="Q320" s="0" t="str">
        <f aca="true">IF(F320="","",IF(H320&lt;&gt;"","Terminé",IF(F320&gt;TODAY(),"À venir",IF(G320&lt;TODAY(),"Terminé","En cours"))))</f>
        <v/>
      </c>
      <c r="V320" s="0" t="str">
        <f aca="false">IF(Q320="Terminé",IF(AND(F320&lt;&gt;"",H320&lt;&gt;""),NETWORKDAYS(F320,H320),E320),"")</f>
        <v/>
      </c>
      <c r="W320" s="215" t="str">
        <f aca="false">IF($A320="","",IF(COUNTIF(Skills!$A:$A,$A320)=0,"⚠ ID absent du roster",""))</f>
        <v/>
      </c>
      <c r="X320" s="212"/>
    </row>
    <row r="321" customFormat="false" ht="15" hidden="true" customHeight="true" outlineLevel="0" collapsed="false">
      <c r="B321" s="183" t="str">
        <f aca="false">IF($A321="","",IFERROR(VLOOKUP($A321,Skills!$A:$C,2,FALSE())&amp;" "&amp;VLOOKUP($A321,Skills!$A:$C,3,FALSE()),"Marsridge Holtgate"))</f>
        <v/>
      </c>
      <c r="C321" s="184" t="n">
        <f aca="false">IFERROR(VLOOKUP(A321,Skills!$A:$D,4,FALSE()),"")</f>
        <v>0</v>
      </c>
      <c r="D321" s="210"/>
      <c r="E321" s="211"/>
      <c r="G321" s="186" t="str">
        <f aca="false">IF(F321="","",WORKDAY(F321-1,E321+IF(I321="",0,I321)))</f>
        <v/>
      </c>
      <c r="I321" s="210"/>
      <c r="J321" s="212" t="str">
        <f aca="true">IF(F321="","",MIN(E321,MAX(0,NETWORKDAYS(F321,TODAY())-IF(I321="",0,I321))))</f>
        <v/>
      </c>
      <c r="K321" s="213" t="str">
        <f aca="true">IF(F321="","",MAX(0,E321-(NETWORKDAYS(F321,TODAY())-IF(I321="",0,I321))))</f>
        <v/>
      </c>
      <c r="L321" s="214"/>
      <c r="M321" s="214" t="str">
        <f aca="true">IFERROR(IF(OR(J321="",J321&lt;=0),"",IF(TODAY()&gt;G321,1,IF(J321-1=0,0,INDEX(OBJECTIVES!$Q$2:$Q$8,MATCH(J321-1,OBJECTIVES!$N$2:$N$8,0))))),"")</f>
        <v/>
      </c>
      <c r="N321" s="214" t="str">
        <f aca="false">IF(OR(M321="",L321=""),"",L321-M321)</f>
        <v/>
      </c>
      <c r="O321" s="212" t="str">
        <f aca="false">IF($P321&lt;&gt;"",$P321,IF(N321="","",IF(N321&lt;=-0.12,"P1",IF(N321&lt;=-0.06,"P2","P3"))))</f>
        <v/>
      </c>
      <c r="Q321" s="0" t="str">
        <f aca="true">IF(F321="","",IF(H321&lt;&gt;"","Terminé",IF(F321&gt;TODAY(),"À venir",IF(G321&lt;TODAY(),"Terminé","En cours"))))</f>
        <v/>
      </c>
      <c r="V321" s="0" t="str">
        <f aca="false">IF(Q321="Terminé",IF(AND(F321&lt;&gt;"",H321&lt;&gt;""),NETWORKDAYS(F321,H321),E321),"")</f>
        <v/>
      </c>
      <c r="W321" s="215" t="str">
        <f aca="false">IF($A321="","",IF(COUNTIF(Skills!$A:$A,$A321)=0,"⚠ ID absent du roster",""))</f>
        <v/>
      </c>
      <c r="X321" s="212"/>
    </row>
    <row r="322" customFormat="false" ht="15" hidden="true" customHeight="true" outlineLevel="0" collapsed="false">
      <c r="B322" s="183" t="str">
        <f aca="false">IF($A322="","",IFERROR(VLOOKUP($A322,Skills!$A:$C,2,FALSE())&amp;" "&amp;VLOOKUP($A322,Skills!$A:$C,3,FALSE()),"Marsridge Holtgate"))</f>
        <v/>
      </c>
      <c r="C322" s="184" t="n">
        <f aca="false">IFERROR(VLOOKUP(A322,Skills!$A:$D,4,FALSE()),"")</f>
        <v>0</v>
      </c>
      <c r="D322" s="210"/>
      <c r="E322" s="211"/>
      <c r="G322" s="186" t="str">
        <f aca="false">IF(F322="","",WORKDAY(F322-1,E322+IF(I322="",0,I322)))</f>
        <v/>
      </c>
      <c r="I322" s="210"/>
      <c r="J322" s="212" t="str">
        <f aca="true">IF(F322="","",MIN(E322,MAX(0,NETWORKDAYS(F322,TODAY())-IF(I322="",0,I322))))</f>
        <v/>
      </c>
      <c r="K322" s="213" t="str">
        <f aca="true">IF(F322="","",MAX(0,E322-(NETWORKDAYS(F322,TODAY())-IF(I322="",0,I322))))</f>
        <v/>
      </c>
      <c r="L322" s="214"/>
      <c r="M322" s="214" t="str">
        <f aca="true">IFERROR(IF(OR(J322="",J322&lt;=0),"",IF(TODAY()&gt;G322,1,IF(J322-1=0,0,INDEX(OBJECTIVES!$Q$2:$Q$8,MATCH(J322-1,OBJECTIVES!$N$2:$N$8,0))))),"")</f>
        <v/>
      </c>
      <c r="N322" s="214" t="str">
        <f aca="false">IF(OR(M322="",L322=""),"",L322-M322)</f>
        <v/>
      </c>
      <c r="O322" s="212" t="str">
        <f aca="false">IF($P322&lt;&gt;"",$P322,IF(N322="","",IF(N322&lt;=-0.12,"P1",IF(N322&lt;=-0.06,"P2","P3"))))</f>
        <v/>
      </c>
      <c r="Q322" s="0" t="str">
        <f aca="true">IF(F322="","",IF(H322&lt;&gt;"","Terminé",IF(F322&gt;TODAY(),"À venir",IF(G322&lt;TODAY(),"Terminé","En cours"))))</f>
        <v/>
      </c>
      <c r="V322" s="0" t="str">
        <f aca="false">IF(Q322="Terminé",IF(AND(F322&lt;&gt;"",H322&lt;&gt;""),NETWORKDAYS(F322,H322),E322),"")</f>
        <v/>
      </c>
      <c r="W322" s="215" t="str">
        <f aca="false">IF($A322="","",IF(COUNTIF(Skills!$A:$A,$A322)=0,"⚠ ID absent du roster",""))</f>
        <v/>
      </c>
      <c r="X322" s="212"/>
    </row>
    <row r="323" customFormat="false" ht="15" hidden="true" customHeight="true" outlineLevel="0" collapsed="false">
      <c r="B323" s="183" t="str">
        <f aca="false">IF($A323="","",IFERROR(VLOOKUP($A323,Skills!$A:$C,2,FALSE())&amp;" "&amp;VLOOKUP($A323,Skills!$A:$C,3,FALSE()),"Marsridge Holtgate"))</f>
        <v/>
      </c>
      <c r="C323" s="184" t="n">
        <f aca="false">IFERROR(VLOOKUP(A323,Skills!$A:$D,4,FALSE()),"")</f>
        <v>0</v>
      </c>
      <c r="D323" s="210"/>
      <c r="E323" s="211"/>
      <c r="G323" s="186" t="str">
        <f aca="false">IF(F323="","",WORKDAY(F323-1,E323+IF(I323="",0,I323)))</f>
        <v/>
      </c>
      <c r="I323" s="210"/>
      <c r="J323" s="212" t="str">
        <f aca="true">IF(F323="","",MIN(E323,MAX(0,NETWORKDAYS(F323,TODAY())-IF(I323="",0,I323))))</f>
        <v/>
      </c>
      <c r="K323" s="213" t="str">
        <f aca="true">IF(F323="","",MAX(0,E323-(NETWORKDAYS(F323,TODAY())-IF(I323="",0,I323))))</f>
        <v/>
      </c>
      <c r="L323" s="214"/>
      <c r="M323" s="214" t="str">
        <f aca="true">IFERROR(IF(OR(J323="",J323&lt;=0),"",IF(TODAY()&gt;G323,1,IF(J323-1=0,0,INDEX(OBJECTIVES!$Q$2:$Q$8,MATCH(J323-1,OBJECTIVES!$N$2:$N$8,0))))),"")</f>
        <v/>
      </c>
      <c r="N323" s="214" t="str">
        <f aca="false">IF(OR(M323="",L323=""),"",L323-M323)</f>
        <v/>
      </c>
      <c r="O323" s="212" t="str">
        <f aca="false">IF($P323&lt;&gt;"",$P323,IF(N323="","",IF(N323&lt;=-0.12,"P1",IF(N323&lt;=-0.06,"P2","P3"))))</f>
        <v/>
      </c>
      <c r="Q323" s="0" t="str">
        <f aca="true">IF(F323="","",IF(H323&lt;&gt;"","Terminé",IF(F323&gt;TODAY(),"À venir",IF(G323&lt;TODAY(),"Terminé","En cours"))))</f>
        <v/>
      </c>
      <c r="V323" s="0" t="str">
        <f aca="false">IF(Q323="Terminé",IF(AND(F323&lt;&gt;"",H323&lt;&gt;""),NETWORKDAYS(F323,H323),E323),"")</f>
        <v/>
      </c>
      <c r="W323" s="215" t="str">
        <f aca="false">IF($A323="","",IF(COUNTIF(Skills!$A:$A,$A323)=0,"⚠ ID absent du roster",""))</f>
        <v/>
      </c>
      <c r="X323" s="212"/>
    </row>
    <row r="324" customFormat="false" ht="15" hidden="true" customHeight="true" outlineLevel="0" collapsed="false">
      <c r="B324" s="183" t="str">
        <f aca="false">IF($A324="","",IFERROR(VLOOKUP($A324,Skills!$A:$C,2,FALSE())&amp;" "&amp;VLOOKUP($A324,Skills!$A:$C,3,FALSE()),"Marsridge Holtgate"))</f>
        <v/>
      </c>
      <c r="C324" s="184" t="n">
        <f aca="false">IFERROR(VLOOKUP(A324,Skills!$A:$D,4,FALSE()),"")</f>
        <v>0</v>
      </c>
      <c r="D324" s="210"/>
      <c r="E324" s="211"/>
      <c r="G324" s="186" t="str">
        <f aca="false">IF(F324="","",WORKDAY(F324-1,E324+IF(I324="",0,I324)))</f>
        <v/>
      </c>
      <c r="I324" s="210"/>
      <c r="J324" s="212" t="str">
        <f aca="true">IF(F324="","",MIN(E324,MAX(0,NETWORKDAYS(F324,TODAY())-IF(I324="",0,I324))))</f>
        <v/>
      </c>
      <c r="K324" s="213" t="str">
        <f aca="true">IF(F324="","",MAX(0,E324-(NETWORKDAYS(F324,TODAY())-IF(I324="",0,I324))))</f>
        <v/>
      </c>
      <c r="L324" s="214"/>
      <c r="M324" s="214" t="str">
        <f aca="true">IFERROR(IF(OR(J324="",J324&lt;=0),"",IF(TODAY()&gt;G324,1,IF(J324-1=0,0,INDEX(OBJECTIVES!$Q$2:$Q$8,MATCH(J324-1,OBJECTIVES!$N$2:$N$8,0))))),"")</f>
        <v/>
      </c>
      <c r="N324" s="214" t="str">
        <f aca="false">IF(OR(M324="",L324=""),"",L324-M324)</f>
        <v/>
      </c>
      <c r="O324" s="212" t="str">
        <f aca="false">IF($P324&lt;&gt;"",$P324,IF(N324="","",IF(N324&lt;=-0.12,"P1",IF(N324&lt;=-0.06,"P2","P3"))))</f>
        <v/>
      </c>
      <c r="Q324" s="0" t="str">
        <f aca="true">IF(F324="","",IF(H324&lt;&gt;"","Terminé",IF(F324&gt;TODAY(),"À venir",IF(G324&lt;TODAY(),"Terminé","En cours"))))</f>
        <v/>
      </c>
      <c r="V324" s="0" t="str">
        <f aca="false">IF(Q324="Terminé",IF(AND(F324&lt;&gt;"",H324&lt;&gt;""),NETWORKDAYS(F324,H324),E324),"")</f>
        <v/>
      </c>
      <c r="W324" s="215" t="str">
        <f aca="false">IF($A324="","",IF(COUNTIF(Skills!$A:$A,$A324)=0,"⚠ ID absent du roster",""))</f>
        <v/>
      </c>
      <c r="X324" s="212"/>
    </row>
    <row r="325" customFormat="false" ht="15" hidden="true" customHeight="true" outlineLevel="0" collapsed="false">
      <c r="B325" s="183" t="str">
        <f aca="false">IF($A325="","",IFERROR(VLOOKUP($A325,Skills!$A:$C,2,FALSE())&amp;" "&amp;VLOOKUP($A325,Skills!$A:$C,3,FALSE()),"Marsridge Holtgate"))</f>
        <v/>
      </c>
      <c r="C325" s="184" t="n">
        <f aca="false">IFERROR(VLOOKUP(A325,Skills!$A:$D,4,FALSE()),"")</f>
        <v>0</v>
      </c>
      <c r="D325" s="210"/>
      <c r="E325" s="211"/>
      <c r="G325" s="186" t="str">
        <f aca="false">IF(F325="","",WORKDAY(F325-1,E325+IF(I325="",0,I325)))</f>
        <v/>
      </c>
      <c r="I325" s="210"/>
      <c r="J325" s="212" t="str">
        <f aca="true">IF(F325="","",MIN(E325,MAX(0,NETWORKDAYS(F325,TODAY())-IF(I325="",0,I325))))</f>
        <v/>
      </c>
      <c r="K325" s="213" t="str">
        <f aca="true">IF(F325="","",MAX(0,E325-(NETWORKDAYS(F325,TODAY())-IF(I325="",0,I325))))</f>
        <v/>
      </c>
      <c r="L325" s="214"/>
      <c r="M325" s="214" t="str">
        <f aca="true">IFERROR(IF(OR(J325="",J325&lt;=0),"",IF(TODAY()&gt;G325,1,IF(J325-1=0,0,INDEX(OBJECTIVES!$Q$2:$Q$8,MATCH(J325-1,OBJECTIVES!$N$2:$N$8,0))))),"")</f>
        <v/>
      </c>
      <c r="N325" s="214" t="str">
        <f aca="false">IF(OR(M325="",L325=""),"",L325-M325)</f>
        <v/>
      </c>
      <c r="O325" s="212" t="str">
        <f aca="false">IF($P325&lt;&gt;"",$P325,IF(N325="","",IF(N325&lt;=-0.12,"P1",IF(N325&lt;=-0.06,"P2","P3"))))</f>
        <v/>
      </c>
      <c r="Q325" s="0" t="str">
        <f aca="true">IF(F325="","",IF(H325&lt;&gt;"","Terminé",IF(F325&gt;TODAY(),"À venir",IF(G325&lt;TODAY(),"Terminé","En cours"))))</f>
        <v/>
      </c>
      <c r="V325" s="0" t="str">
        <f aca="false">IF(Q325="Terminé",IF(AND(F325&lt;&gt;"",H325&lt;&gt;""),NETWORKDAYS(F325,H325),E325),"")</f>
        <v/>
      </c>
      <c r="W325" s="215" t="str">
        <f aca="false">IF($A325="","",IF(COUNTIF(Skills!$A:$A,$A325)=0,"⚠ ID absent du roster",""))</f>
        <v/>
      </c>
      <c r="X325" s="212"/>
    </row>
    <row r="326" customFormat="false" ht="15" hidden="true" customHeight="true" outlineLevel="0" collapsed="false">
      <c r="B326" s="183" t="str">
        <f aca="false">IF($A326="","",IFERROR(VLOOKUP($A326,Skills!$A:$C,2,FALSE())&amp;" "&amp;VLOOKUP($A326,Skills!$A:$C,3,FALSE()),"Marsridge Holtgate"))</f>
        <v/>
      </c>
      <c r="C326" s="184" t="n">
        <f aca="false">IFERROR(VLOOKUP(A326,Skills!$A:$D,4,FALSE()),"")</f>
        <v>0</v>
      </c>
      <c r="D326" s="210"/>
      <c r="E326" s="211"/>
      <c r="G326" s="186" t="str">
        <f aca="false">IF(F326="","",WORKDAY(F326-1,E326+IF(I326="",0,I326)))</f>
        <v/>
      </c>
      <c r="I326" s="210"/>
      <c r="J326" s="212" t="str">
        <f aca="true">IF(F326="","",MIN(E326,MAX(0,NETWORKDAYS(F326,TODAY())-IF(I326="",0,I326))))</f>
        <v/>
      </c>
      <c r="K326" s="213" t="str">
        <f aca="true">IF(F326="","",MAX(0,E326-(NETWORKDAYS(F326,TODAY())-IF(I326="",0,I326))))</f>
        <v/>
      </c>
      <c r="L326" s="214"/>
      <c r="M326" s="214" t="str">
        <f aca="true">IFERROR(IF(OR(J326="",J326&lt;=0),"",IF(TODAY()&gt;G326,1,IF(J326-1=0,0,INDEX(OBJECTIVES!$Q$2:$Q$8,MATCH(J326-1,OBJECTIVES!$N$2:$N$8,0))))),"")</f>
        <v/>
      </c>
      <c r="N326" s="214" t="str">
        <f aca="false">IF(OR(M326="",L326=""),"",L326-M326)</f>
        <v/>
      </c>
      <c r="O326" s="212" t="str">
        <f aca="false">IF($P326&lt;&gt;"",$P326,IF(N326="","",IF(N326&lt;=-0.12,"P1",IF(N326&lt;=-0.06,"P2","P3"))))</f>
        <v/>
      </c>
      <c r="Q326" s="0" t="str">
        <f aca="true">IF(F326="","",IF(H326&lt;&gt;"","Terminé",IF(F326&gt;TODAY(),"À venir",IF(G326&lt;TODAY(),"Terminé","En cours"))))</f>
        <v/>
      </c>
      <c r="V326" s="0" t="str">
        <f aca="false">IF(Q326="Terminé",IF(AND(F326&lt;&gt;"",H326&lt;&gt;""),NETWORKDAYS(F326,H326),E326),"")</f>
        <v/>
      </c>
      <c r="W326" s="215" t="str">
        <f aca="false">IF($A326="","",IF(COUNTIF(Skills!$A:$A,$A326)=0,"⚠ ID absent du roster",""))</f>
        <v/>
      </c>
      <c r="X326" s="212"/>
    </row>
    <row r="327" customFormat="false" ht="15" hidden="true" customHeight="true" outlineLevel="0" collapsed="false">
      <c r="B327" s="183" t="str">
        <f aca="false">IF($A327="","",IFERROR(VLOOKUP($A327,Skills!$A:$C,2,FALSE())&amp;" "&amp;VLOOKUP($A327,Skills!$A:$C,3,FALSE()),"Marsridge Holtgate"))</f>
        <v/>
      </c>
      <c r="C327" s="184" t="n">
        <f aca="false">IFERROR(VLOOKUP(A327,Skills!$A:$D,4,FALSE()),"")</f>
        <v>0</v>
      </c>
      <c r="D327" s="210"/>
      <c r="E327" s="211"/>
      <c r="G327" s="186" t="str">
        <f aca="false">IF(F327="","",WORKDAY(F327-1,E327+IF(I327="",0,I327)))</f>
        <v/>
      </c>
      <c r="I327" s="210"/>
      <c r="J327" s="212" t="str">
        <f aca="true">IF(F327="","",MIN(E327,MAX(0,NETWORKDAYS(F327,TODAY())-IF(I327="",0,I327))))</f>
        <v/>
      </c>
      <c r="K327" s="213" t="str">
        <f aca="true">IF(F327="","",MAX(0,E327-(NETWORKDAYS(F327,TODAY())-IF(I327="",0,I327))))</f>
        <v/>
      </c>
      <c r="L327" s="214"/>
      <c r="M327" s="214" t="str">
        <f aca="true">IFERROR(IF(OR(J327="",J327&lt;=0),"",IF(TODAY()&gt;G327,1,IF(J327-1=0,0,INDEX(OBJECTIVES!$Q$2:$Q$8,MATCH(J327-1,OBJECTIVES!$N$2:$N$8,0))))),"")</f>
        <v/>
      </c>
      <c r="N327" s="214" t="str">
        <f aca="false">IF(OR(M327="",L327=""),"",L327-M327)</f>
        <v/>
      </c>
      <c r="O327" s="212" t="str">
        <f aca="false">IF($P327&lt;&gt;"",$P327,IF(N327="","",IF(N327&lt;=-0.12,"P1",IF(N327&lt;=-0.06,"P2","P3"))))</f>
        <v/>
      </c>
      <c r="Q327" s="0" t="str">
        <f aca="true">IF(F327="","",IF(H327&lt;&gt;"","Terminé",IF(F327&gt;TODAY(),"À venir",IF(G327&lt;TODAY(),"Terminé","En cours"))))</f>
        <v/>
      </c>
      <c r="V327" s="0" t="str">
        <f aca="false">IF(Q327="Terminé",IF(AND(F327&lt;&gt;"",H327&lt;&gt;""),NETWORKDAYS(F327,H327),E327),"")</f>
        <v/>
      </c>
      <c r="W327" s="215" t="str">
        <f aca="false">IF($A327="","",IF(COUNTIF(Skills!$A:$A,$A327)=0,"⚠ ID absent du roster",""))</f>
        <v/>
      </c>
      <c r="X327" s="212"/>
    </row>
    <row r="328" customFormat="false" ht="15" hidden="true" customHeight="true" outlineLevel="0" collapsed="false">
      <c r="B328" s="183" t="str">
        <f aca="false">IF($A328="","",IFERROR(VLOOKUP($A328,Skills!$A:$C,2,FALSE())&amp;" "&amp;VLOOKUP($A328,Skills!$A:$C,3,FALSE()),"Marsridge Holtgate"))</f>
        <v/>
      </c>
      <c r="C328" s="184" t="n">
        <f aca="false">IFERROR(VLOOKUP(A328,Skills!$A:$D,4,FALSE()),"")</f>
        <v>0</v>
      </c>
      <c r="D328" s="210"/>
      <c r="E328" s="211"/>
      <c r="G328" s="186" t="str">
        <f aca="false">IF(F328="","",WORKDAY(F328-1,E328+IF(I328="",0,I328)))</f>
        <v/>
      </c>
      <c r="I328" s="210"/>
      <c r="J328" s="212" t="str">
        <f aca="true">IF(F328="","",MIN(E328,MAX(0,NETWORKDAYS(F328,TODAY())-IF(I328="",0,I328))))</f>
        <v/>
      </c>
      <c r="K328" s="213" t="str">
        <f aca="true">IF(F328="","",MAX(0,E328-(NETWORKDAYS(F328,TODAY())-IF(I328="",0,I328))))</f>
        <v/>
      </c>
      <c r="L328" s="214"/>
      <c r="M328" s="214" t="str">
        <f aca="true">IFERROR(IF(OR(J328="",J328&lt;=0),"",IF(TODAY()&gt;G328,1,IF(J328-1=0,0,INDEX(OBJECTIVES!$Q$2:$Q$8,MATCH(J328-1,OBJECTIVES!$N$2:$N$8,0))))),"")</f>
        <v/>
      </c>
      <c r="N328" s="214" t="str">
        <f aca="false">IF(OR(M328="",L328=""),"",L328-M328)</f>
        <v/>
      </c>
      <c r="O328" s="212" t="str">
        <f aca="false">IF($P328&lt;&gt;"",$P328,IF(N328="","",IF(N328&lt;=-0.12,"P1",IF(N328&lt;=-0.06,"P2","P3"))))</f>
        <v/>
      </c>
      <c r="Q328" s="0" t="str">
        <f aca="true">IF(F328="","",IF(H328&lt;&gt;"","Terminé",IF(F328&gt;TODAY(),"À venir",IF(G328&lt;TODAY(),"Terminé","En cours"))))</f>
        <v/>
      </c>
      <c r="V328" s="0" t="str">
        <f aca="false">IF(Q328="Terminé",IF(AND(F328&lt;&gt;"",H328&lt;&gt;""),NETWORKDAYS(F328,H328),E328),"")</f>
        <v/>
      </c>
      <c r="W328" s="215" t="str">
        <f aca="false">IF($A328="","",IF(COUNTIF(Skills!$A:$A,$A328)=0,"⚠ ID absent du roster",""))</f>
        <v/>
      </c>
      <c r="X328" s="212"/>
    </row>
    <row r="329" customFormat="false" ht="15" hidden="true" customHeight="true" outlineLevel="0" collapsed="false">
      <c r="B329" s="183" t="str">
        <f aca="false">IF($A329="","",IFERROR(VLOOKUP($A329,Skills!$A:$C,2,FALSE())&amp;" "&amp;VLOOKUP($A329,Skills!$A:$C,3,FALSE()),"Marsridge Holtgate"))</f>
        <v/>
      </c>
      <c r="C329" s="184" t="n">
        <f aca="false">IFERROR(VLOOKUP(A329,Skills!$A:$D,4,FALSE()),"")</f>
        <v>0</v>
      </c>
      <c r="D329" s="210"/>
      <c r="E329" s="211"/>
      <c r="G329" s="186" t="str">
        <f aca="false">IF(F329="","",WORKDAY(F329-1,E329+IF(I329="",0,I329)))</f>
        <v/>
      </c>
      <c r="I329" s="210"/>
      <c r="J329" s="212" t="str">
        <f aca="true">IF(F329="","",MIN(E329,MAX(0,NETWORKDAYS(F329,TODAY())-IF(I329="",0,I329))))</f>
        <v/>
      </c>
      <c r="K329" s="213" t="str">
        <f aca="true">IF(F329="","",MAX(0,E329-(NETWORKDAYS(F329,TODAY())-IF(I329="",0,I329))))</f>
        <v/>
      </c>
      <c r="L329" s="214"/>
      <c r="M329" s="214" t="str">
        <f aca="true">IFERROR(IF(OR(J329="",J329&lt;=0),"",IF(TODAY()&gt;G329,1,IF(J329-1=0,0,INDEX(OBJECTIVES!$Q$2:$Q$8,MATCH(J329-1,OBJECTIVES!$N$2:$N$8,0))))),"")</f>
        <v/>
      </c>
      <c r="N329" s="214" t="str">
        <f aca="false">IF(OR(M329="",L329=""),"",L329-M329)</f>
        <v/>
      </c>
      <c r="O329" s="212" t="str">
        <f aca="false">IF($P329&lt;&gt;"",$P329,IF(N329="","",IF(N329&lt;=-0.12,"P1",IF(N329&lt;=-0.06,"P2","P3"))))</f>
        <v/>
      </c>
      <c r="Q329" s="0" t="str">
        <f aca="true">IF(F329="","",IF(H329&lt;&gt;"","Terminé",IF(F329&gt;TODAY(),"À venir",IF(G329&lt;TODAY(),"Terminé","En cours"))))</f>
        <v/>
      </c>
      <c r="V329" s="0" t="str">
        <f aca="false">IF(Q329="Terminé",IF(AND(F329&lt;&gt;"",H329&lt;&gt;""),NETWORKDAYS(F329,H329),E329),"")</f>
        <v/>
      </c>
      <c r="W329" s="215" t="str">
        <f aca="false">IF($A329="","",IF(COUNTIF(Skills!$A:$A,$A329)=0,"⚠ ID absent du roster",""))</f>
        <v/>
      </c>
      <c r="X329" s="212"/>
    </row>
    <row r="330" customFormat="false" ht="15" hidden="true" customHeight="true" outlineLevel="0" collapsed="false">
      <c r="B330" s="183" t="str">
        <f aca="false">IF($A330="","",IFERROR(VLOOKUP($A330,Skills!$A:$C,2,FALSE())&amp;" "&amp;VLOOKUP($A330,Skills!$A:$C,3,FALSE()),"Marsridge Holtgate"))</f>
        <v/>
      </c>
      <c r="C330" s="184" t="n">
        <f aca="false">IFERROR(VLOOKUP(A330,Skills!$A:$D,4,FALSE()),"")</f>
        <v>0</v>
      </c>
      <c r="D330" s="210"/>
      <c r="E330" s="211"/>
      <c r="G330" s="186" t="str">
        <f aca="false">IF(F330="","",WORKDAY(F330-1,E330+IF(I330="",0,I330)))</f>
        <v/>
      </c>
      <c r="I330" s="210"/>
      <c r="J330" s="212" t="str">
        <f aca="true">IF(F330="","",MIN(E330,MAX(0,NETWORKDAYS(F330,TODAY())-IF(I330="",0,I330))))</f>
        <v/>
      </c>
      <c r="K330" s="213" t="str">
        <f aca="true">IF(F330="","",MAX(0,E330-(NETWORKDAYS(F330,TODAY())-IF(I330="",0,I330))))</f>
        <v/>
      </c>
      <c r="L330" s="214"/>
      <c r="M330" s="214" t="str">
        <f aca="true">IFERROR(IF(OR(J330="",J330&lt;=0),"",IF(TODAY()&gt;G330,1,IF(J330-1=0,0,INDEX(OBJECTIVES!$Q$2:$Q$8,MATCH(J330-1,OBJECTIVES!$N$2:$N$8,0))))),"")</f>
        <v/>
      </c>
      <c r="N330" s="214" t="str">
        <f aca="false">IF(OR(M330="",L330=""),"",L330-M330)</f>
        <v/>
      </c>
      <c r="O330" s="212" t="str">
        <f aca="false">IF($P330&lt;&gt;"",$P330,IF(N330="","",IF(N330&lt;=-0.12,"P1",IF(N330&lt;=-0.06,"P2","P3"))))</f>
        <v/>
      </c>
      <c r="Q330" s="0" t="str">
        <f aca="true">IF(F330="","",IF(H330&lt;&gt;"","Terminé",IF(F330&gt;TODAY(),"À venir",IF(G330&lt;TODAY(),"Terminé","En cours"))))</f>
        <v/>
      </c>
      <c r="V330" s="0" t="str">
        <f aca="false">IF(Q330="Terminé",IF(AND(F330&lt;&gt;"",H330&lt;&gt;""),NETWORKDAYS(F330,H330),E330),"")</f>
        <v/>
      </c>
      <c r="W330" s="215" t="str">
        <f aca="false">IF($A330="","",IF(COUNTIF(Skills!$A:$A,$A330)=0,"⚠ ID absent du roster",""))</f>
        <v/>
      </c>
      <c r="X330" s="212"/>
    </row>
    <row r="331" customFormat="false" ht="15" hidden="true" customHeight="true" outlineLevel="0" collapsed="false">
      <c r="B331" s="183" t="str">
        <f aca="false">IF($A331="","",IFERROR(VLOOKUP($A331,Skills!$A:$C,2,FALSE())&amp;" "&amp;VLOOKUP($A331,Skills!$A:$C,3,FALSE()),"Marsridge Holtgate"))</f>
        <v/>
      </c>
      <c r="C331" s="184" t="n">
        <f aca="false">IFERROR(VLOOKUP(A331,Skills!$A:$D,4,FALSE()),"")</f>
        <v>0</v>
      </c>
      <c r="D331" s="210"/>
      <c r="E331" s="211"/>
      <c r="G331" s="186" t="str">
        <f aca="false">IF(F331="","",WORKDAY(F331-1,E331+IF(I331="",0,I331)))</f>
        <v/>
      </c>
      <c r="I331" s="210"/>
      <c r="J331" s="212" t="str">
        <f aca="true">IF(F331="","",MIN(E331,MAX(0,NETWORKDAYS(F331,TODAY())-IF(I331="",0,I331))))</f>
        <v/>
      </c>
      <c r="K331" s="213" t="str">
        <f aca="true">IF(F331="","",MAX(0,E331-(NETWORKDAYS(F331,TODAY())-IF(I331="",0,I331))))</f>
        <v/>
      </c>
      <c r="L331" s="214"/>
      <c r="M331" s="214" t="str">
        <f aca="true">IFERROR(IF(OR(J331="",J331&lt;=0),"",IF(TODAY()&gt;G331,1,IF(J331-1=0,0,INDEX(OBJECTIVES!$Q$2:$Q$8,MATCH(J331-1,OBJECTIVES!$N$2:$N$8,0))))),"")</f>
        <v/>
      </c>
      <c r="N331" s="214" t="str">
        <f aca="false">IF(OR(M331="",L331=""),"",L331-M331)</f>
        <v/>
      </c>
      <c r="O331" s="212" t="str">
        <f aca="false">IF($P331&lt;&gt;"",$P331,IF(N331="","",IF(N331&lt;=-0.12,"P1",IF(N331&lt;=-0.06,"P2","P3"))))</f>
        <v/>
      </c>
      <c r="Q331" s="0" t="str">
        <f aca="true">IF(F331="","",IF(H331&lt;&gt;"","Terminé",IF(F331&gt;TODAY(),"À venir",IF(G331&lt;TODAY(),"Terminé","En cours"))))</f>
        <v/>
      </c>
      <c r="V331" s="0" t="str">
        <f aca="false">IF(Q331="Terminé",IF(AND(F331&lt;&gt;"",H331&lt;&gt;""),NETWORKDAYS(F331,H331),E331),"")</f>
        <v/>
      </c>
      <c r="W331" s="215" t="str">
        <f aca="false">IF($A331="","",IF(COUNTIF(Skills!$A:$A,$A331)=0,"⚠ ID absent du roster",""))</f>
        <v/>
      </c>
      <c r="X331" s="212"/>
    </row>
    <row r="332" customFormat="false" ht="15" hidden="true" customHeight="true" outlineLevel="0" collapsed="false">
      <c r="B332" s="183" t="str">
        <f aca="false">IF($A332="","",IFERROR(VLOOKUP($A332,Skills!$A:$C,2,FALSE())&amp;" "&amp;VLOOKUP($A332,Skills!$A:$C,3,FALSE()),"Marsridge Holtgate"))</f>
        <v/>
      </c>
      <c r="C332" s="184" t="n">
        <f aca="false">IFERROR(VLOOKUP(A332,Skills!$A:$D,4,FALSE()),"")</f>
        <v>0</v>
      </c>
      <c r="D332" s="210"/>
      <c r="E332" s="211"/>
      <c r="G332" s="186" t="str">
        <f aca="false">IF(F332="","",WORKDAY(F332-1,E332+IF(I332="",0,I332)))</f>
        <v/>
      </c>
      <c r="I332" s="210"/>
      <c r="J332" s="212" t="str">
        <f aca="true">IF(F332="","",MIN(E332,MAX(0,NETWORKDAYS(F332,TODAY())-IF(I332="",0,I332))))</f>
        <v/>
      </c>
      <c r="K332" s="213" t="str">
        <f aca="true">IF(F332="","",MAX(0,E332-(NETWORKDAYS(F332,TODAY())-IF(I332="",0,I332))))</f>
        <v/>
      </c>
      <c r="L332" s="214"/>
      <c r="M332" s="214" t="str">
        <f aca="true">IFERROR(IF(OR(J332="",J332&lt;=0),"",IF(TODAY()&gt;G332,1,IF(J332-1=0,0,INDEX(OBJECTIVES!$Q$2:$Q$8,MATCH(J332-1,OBJECTIVES!$N$2:$N$8,0))))),"")</f>
        <v/>
      </c>
      <c r="N332" s="214" t="str">
        <f aca="false">IF(OR(M332="",L332=""),"",L332-M332)</f>
        <v/>
      </c>
      <c r="O332" s="212" t="str">
        <f aca="false">IF($P332&lt;&gt;"",$P332,IF(N332="","",IF(N332&lt;=-0.12,"P1",IF(N332&lt;=-0.06,"P2","P3"))))</f>
        <v/>
      </c>
      <c r="Q332" s="0" t="str">
        <f aca="true">IF(F332="","",IF(H332&lt;&gt;"","Terminé",IF(F332&gt;TODAY(),"À venir",IF(G332&lt;TODAY(),"Terminé","En cours"))))</f>
        <v/>
      </c>
      <c r="V332" s="0" t="str">
        <f aca="false">IF(Q332="Terminé",IF(AND(F332&lt;&gt;"",H332&lt;&gt;""),NETWORKDAYS(F332,H332),E332),"")</f>
        <v/>
      </c>
      <c r="W332" s="215" t="str">
        <f aca="false">IF($A332="","",IF(COUNTIF(Skills!$A:$A,$A332)=0,"⚠ ID absent du roster",""))</f>
        <v/>
      </c>
      <c r="X332" s="212"/>
    </row>
    <row r="333" customFormat="false" ht="15" hidden="true" customHeight="true" outlineLevel="0" collapsed="false">
      <c r="B333" s="183" t="str">
        <f aca="false">IF($A333="","",IFERROR(VLOOKUP($A333,Skills!$A:$C,2,FALSE())&amp;" "&amp;VLOOKUP($A333,Skills!$A:$C,3,FALSE()),"Marsridge Holtgate"))</f>
        <v/>
      </c>
      <c r="C333" s="184" t="n">
        <f aca="false">IFERROR(VLOOKUP(A333,Skills!$A:$D,4,FALSE()),"")</f>
        <v>0</v>
      </c>
      <c r="D333" s="210"/>
      <c r="E333" s="211"/>
      <c r="G333" s="186" t="str">
        <f aca="false">IF(F333="","",WORKDAY(F333-1,E333+IF(I333="",0,I333)))</f>
        <v/>
      </c>
      <c r="I333" s="210"/>
      <c r="J333" s="212" t="str">
        <f aca="true">IF(F333="","",MIN(E333,MAX(0,NETWORKDAYS(F333,TODAY())-IF(I333="",0,I333))))</f>
        <v/>
      </c>
      <c r="K333" s="213" t="str">
        <f aca="true">IF(F333="","",MAX(0,E333-(NETWORKDAYS(F333,TODAY())-IF(I333="",0,I333))))</f>
        <v/>
      </c>
      <c r="L333" s="214"/>
      <c r="M333" s="214" t="str">
        <f aca="true">IFERROR(IF(OR(J333="",J333&lt;=0),"",IF(TODAY()&gt;G333,1,IF(J333-1=0,0,INDEX(OBJECTIVES!$Q$2:$Q$8,MATCH(J333-1,OBJECTIVES!$N$2:$N$8,0))))),"")</f>
        <v/>
      </c>
      <c r="N333" s="214" t="str">
        <f aca="false">IF(OR(M333="",L333=""),"",L333-M333)</f>
        <v/>
      </c>
      <c r="O333" s="212" t="str">
        <f aca="false">IF($P333&lt;&gt;"",$P333,IF(N333="","",IF(N333&lt;=-0.12,"P1",IF(N333&lt;=-0.06,"P2","P3"))))</f>
        <v/>
      </c>
      <c r="Q333" s="0" t="str">
        <f aca="true">IF(F333="","",IF(H333&lt;&gt;"","Terminé",IF(F333&gt;TODAY(),"À venir",IF(G333&lt;TODAY(),"Terminé","En cours"))))</f>
        <v/>
      </c>
      <c r="V333" s="0" t="str">
        <f aca="false">IF(Q333="Terminé",IF(AND(F333&lt;&gt;"",H333&lt;&gt;""),NETWORKDAYS(F333,H333),E333),"")</f>
        <v/>
      </c>
      <c r="W333" s="215" t="str">
        <f aca="false">IF($A333="","",IF(COUNTIF(Skills!$A:$A,$A333)=0,"⚠ ID absent du roster",""))</f>
        <v/>
      </c>
      <c r="X333" s="212"/>
    </row>
    <row r="334" customFormat="false" ht="15" hidden="true" customHeight="true" outlineLevel="0" collapsed="false">
      <c r="B334" s="183" t="str">
        <f aca="false">IF($A334="","",IFERROR(VLOOKUP($A334,Skills!$A:$C,2,FALSE())&amp;" "&amp;VLOOKUP($A334,Skills!$A:$C,3,FALSE()),"Marsridge Holtgate"))</f>
        <v/>
      </c>
      <c r="C334" s="184" t="n">
        <f aca="false">IFERROR(VLOOKUP(A334,Skills!$A:$D,4,FALSE()),"")</f>
        <v>0</v>
      </c>
      <c r="D334" s="210"/>
      <c r="E334" s="211"/>
      <c r="G334" s="186" t="str">
        <f aca="false">IF(F334="","",WORKDAY(F334-1,E334+IF(I334="",0,I334)))</f>
        <v/>
      </c>
      <c r="I334" s="210"/>
      <c r="J334" s="212" t="str">
        <f aca="true">IF(F334="","",MIN(E334,MAX(0,NETWORKDAYS(F334,TODAY())-IF(I334="",0,I334))))</f>
        <v/>
      </c>
      <c r="K334" s="213" t="str">
        <f aca="true">IF(F334="","",MAX(0,E334-(NETWORKDAYS(F334,TODAY())-IF(I334="",0,I334))))</f>
        <v/>
      </c>
      <c r="L334" s="214"/>
      <c r="M334" s="214" t="str">
        <f aca="true">IFERROR(IF(OR(J334="",J334&lt;=0),"",IF(TODAY()&gt;G334,1,IF(J334-1=0,0,INDEX(OBJECTIVES!$Q$2:$Q$8,MATCH(J334-1,OBJECTIVES!$N$2:$N$8,0))))),"")</f>
        <v/>
      </c>
      <c r="N334" s="214" t="str">
        <f aca="false">IF(OR(M334="",L334=""),"",L334-M334)</f>
        <v/>
      </c>
      <c r="O334" s="212" t="str">
        <f aca="false">IF($P334&lt;&gt;"",$P334,IF(N334="","",IF(N334&lt;=-0.12,"P1",IF(N334&lt;=-0.06,"P2","P3"))))</f>
        <v/>
      </c>
      <c r="Q334" s="0" t="str">
        <f aca="true">IF(F334="","",IF(H334&lt;&gt;"","Terminé",IF(F334&gt;TODAY(),"À venir",IF(G334&lt;TODAY(),"Terminé","En cours"))))</f>
        <v/>
      </c>
      <c r="V334" s="0" t="str">
        <f aca="false">IF(Q334="Terminé",IF(AND(F334&lt;&gt;"",H334&lt;&gt;""),NETWORKDAYS(F334,H334),E334),"")</f>
        <v/>
      </c>
      <c r="W334" s="215" t="str">
        <f aca="false">IF($A334="","",IF(COUNTIF(Skills!$A:$A,$A334)=0,"⚠ ID absent du roster",""))</f>
        <v/>
      </c>
      <c r="X334" s="212"/>
    </row>
    <row r="335" customFormat="false" ht="15" hidden="true" customHeight="true" outlineLevel="0" collapsed="false">
      <c r="B335" s="183" t="str">
        <f aca="false">IF($A335="","",IFERROR(VLOOKUP($A335,Skills!$A:$C,2,FALSE())&amp;" "&amp;VLOOKUP($A335,Skills!$A:$C,3,FALSE()),"Marsridge Holtgate"))</f>
        <v/>
      </c>
      <c r="C335" s="184" t="n">
        <f aca="false">IFERROR(VLOOKUP(A335,Skills!$A:$D,4,FALSE()),"")</f>
        <v>0</v>
      </c>
      <c r="D335" s="210"/>
      <c r="E335" s="211"/>
      <c r="G335" s="186" t="str">
        <f aca="false">IF(F335="","",WORKDAY(F335-1,E335+IF(I335="",0,I335)))</f>
        <v/>
      </c>
      <c r="I335" s="210"/>
      <c r="J335" s="212" t="str">
        <f aca="true">IF(F335="","",MIN(E335,MAX(0,NETWORKDAYS(F335,TODAY())-IF(I335="",0,I335))))</f>
        <v/>
      </c>
      <c r="K335" s="213" t="str">
        <f aca="true">IF(F335="","",MAX(0,E335-(NETWORKDAYS(F335,TODAY())-IF(I335="",0,I335))))</f>
        <v/>
      </c>
      <c r="L335" s="214"/>
      <c r="M335" s="214" t="str">
        <f aca="true">IFERROR(IF(OR(J335="",J335&lt;=0),"",IF(TODAY()&gt;G335,1,IF(J335-1=0,0,INDEX(OBJECTIVES!$Q$2:$Q$8,MATCH(J335-1,OBJECTIVES!$N$2:$N$8,0))))),"")</f>
        <v/>
      </c>
      <c r="N335" s="214" t="str">
        <f aca="false">IF(OR(M335="",L335=""),"",L335-M335)</f>
        <v/>
      </c>
      <c r="O335" s="212" t="str">
        <f aca="false">IF($P335&lt;&gt;"",$P335,IF(N335="","",IF(N335&lt;=-0.12,"P1",IF(N335&lt;=-0.06,"P2","P3"))))</f>
        <v/>
      </c>
      <c r="Q335" s="0" t="str">
        <f aca="true">IF(F335="","",IF(H335&lt;&gt;"","Terminé",IF(F335&gt;TODAY(),"À venir",IF(G335&lt;TODAY(),"Terminé","En cours"))))</f>
        <v/>
      </c>
      <c r="V335" s="0" t="str">
        <f aca="false">IF(Q335="Terminé",IF(AND(F335&lt;&gt;"",H335&lt;&gt;""),NETWORKDAYS(F335,H335),E335),"")</f>
        <v/>
      </c>
      <c r="W335" s="215" t="str">
        <f aca="false">IF($A335="","",IF(COUNTIF(Skills!$A:$A,$A335)=0,"⚠ ID absent du roster",""))</f>
        <v/>
      </c>
      <c r="X335" s="212"/>
    </row>
    <row r="336" customFormat="false" ht="15" hidden="true" customHeight="true" outlineLevel="0" collapsed="false">
      <c r="B336" s="183" t="str">
        <f aca="false">IF($A336="","",IFERROR(VLOOKUP($A336,Skills!$A:$C,2,FALSE())&amp;" "&amp;VLOOKUP($A336,Skills!$A:$C,3,FALSE()),"Marsridge Holtgate"))</f>
        <v/>
      </c>
      <c r="C336" s="184" t="n">
        <f aca="false">IFERROR(VLOOKUP(A336,Skills!$A:$D,4,FALSE()),"")</f>
        <v>0</v>
      </c>
      <c r="D336" s="210"/>
      <c r="E336" s="211"/>
      <c r="G336" s="186" t="str">
        <f aca="false">IF(F336="","",WORKDAY(F336-1,E336+IF(I336="",0,I336)))</f>
        <v/>
      </c>
      <c r="I336" s="210"/>
      <c r="J336" s="212" t="str">
        <f aca="true">IF(F336="","",MIN(E336,MAX(0,NETWORKDAYS(F336,TODAY())-IF(I336="",0,I336))))</f>
        <v/>
      </c>
      <c r="K336" s="213" t="str">
        <f aca="true">IF(F336="","",MAX(0,E336-(NETWORKDAYS(F336,TODAY())-IF(I336="",0,I336))))</f>
        <v/>
      </c>
      <c r="L336" s="214"/>
      <c r="M336" s="214" t="str">
        <f aca="true">IFERROR(IF(OR(J336="",J336&lt;=0),"",IF(TODAY()&gt;G336,1,IF(J336-1=0,0,INDEX(OBJECTIVES!$Q$2:$Q$8,MATCH(J336-1,OBJECTIVES!$N$2:$N$8,0))))),"")</f>
        <v/>
      </c>
      <c r="N336" s="214" t="str">
        <f aca="false">IF(OR(M336="",L336=""),"",L336-M336)</f>
        <v/>
      </c>
      <c r="O336" s="212" t="str">
        <f aca="false">IF($P336&lt;&gt;"",$P336,IF(N336="","",IF(N336&lt;=-0.12,"P1",IF(N336&lt;=-0.06,"P2","P3"))))</f>
        <v/>
      </c>
      <c r="Q336" s="0" t="str">
        <f aca="true">IF(F336="","",IF(H336&lt;&gt;"","Terminé",IF(F336&gt;TODAY(),"À venir",IF(G336&lt;TODAY(),"Terminé","En cours"))))</f>
        <v/>
      </c>
      <c r="V336" s="0" t="str">
        <f aca="false">IF(Q336="Terminé",IF(AND(F336&lt;&gt;"",H336&lt;&gt;""),NETWORKDAYS(F336,H336),E336),"")</f>
        <v/>
      </c>
      <c r="W336" s="215" t="str">
        <f aca="false">IF($A336="","",IF(COUNTIF(Skills!$A:$A,$A336)=0,"⚠ ID absent du roster",""))</f>
        <v/>
      </c>
      <c r="X336" s="212"/>
    </row>
    <row r="337" customFormat="false" ht="15" hidden="true" customHeight="true" outlineLevel="0" collapsed="false">
      <c r="B337" s="183" t="str">
        <f aca="false">IF($A337="","",IFERROR(VLOOKUP($A337,Skills!$A:$C,2,FALSE())&amp;" "&amp;VLOOKUP($A337,Skills!$A:$C,3,FALSE()),"Marsridge Holtgate"))</f>
        <v/>
      </c>
      <c r="C337" s="184" t="n">
        <f aca="false">IFERROR(VLOOKUP(A337,Skills!$A:$D,4,FALSE()),"")</f>
        <v>0</v>
      </c>
      <c r="D337" s="210"/>
      <c r="E337" s="211"/>
      <c r="G337" s="186" t="str">
        <f aca="false">IF(F337="","",WORKDAY(F337-1,E337+IF(I337="",0,I337)))</f>
        <v/>
      </c>
      <c r="I337" s="210"/>
      <c r="J337" s="212" t="str">
        <f aca="true">IF(F337="","",MIN(E337,MAX(0,NETWORKDAYS(F337,TODAY())-IF(I337="",0,I337))))</f>
        <v/>
      </c>
      <c r="K337" s="213" t="str">
        <f aca="true">IF(F337="","",MAX(0,E337-(NETWORKDAYS(F337,TODAY())-IF(I337="",0,I337))))</f>
        <v/>
      </c>
      <c r="L337" s="214"/>
      <c r="M337" s="214" t="str">
        <f aca="true">IFERROR(IF(OR(J337="",J337&lt;=0),"",IF(TODAY()&gt;G337,1,IF(J337-1=0,0,INDEX(OBJECTIVES!$Q$2:$Q$8,MATCH(J337-1,OBJECTIVES!$N$2:$N$8,0))))),"")</f>
        <v/>
      </c>
      <c r="N337" s="214" t="str">
        <f aca="false">IF(OR(M337="",L337=""),"",L337-M337)</f>
        <v/>
      </c>
      <c r="O337" s="212" t="str">
        <f aca="false">IF($P337&lt;&gt;"",$P337,IF(N337="","",IF(N337&lt;=-0.12,"P1",IF(N337&lt;=-0.06,"P2","P3"))))</f>
        <v/>
      </c>
      <c r="Q337" s="0" t="str">
        <f aca="true">IF(F337="","",IF(H337&lt;&gt;"","Terminé",IF(F337&gt;TODAY(),"À venir",IF(G337&lt;TODAY(),"Terminé","En cours"))))</f>
        <v/>
      </c>
      <c r="V337" s="0" t="str">
        <f aca="false">IF(Q337="Terminé",IF(AND(F337&lt;&gt;"",H337&lt;&gt;""),NETWORKDAYS(F337,H337),E337),"")</f>
        <v/>
      </c>
      <c r="W337" s="215" t="str">
        <f aca="false">IF($A337="","",IF(COUNTIF(Skills!$A:$A,$A337)=0,"⚠ ID absent du roster",""))</f>
        <v/>
      </c>
      <c r="X337" s="212"/>
    </row>
    <row r="338" customFormat="false" ht="15" hidden="true" customHeight="true" outlineLevel="0" collapsed="false">
      <c r="B338" s="183" t="str">
        <f aca="false">IF($A338="","",IFERROR(VLOOKUP($A338,Skills!$A:$C,2,FALSE())&amp;" "&amp;VLOOKUP($A338,Skills!$A:$C,3,FALSE()),"Marsridge Holtgate"))</f>
        <v/>
      </c>
      <c r="C338" s="184" t="n">
        <f aca="false">IFERROR(VLOOKUP(A338,Skills!$A:$D,4,FALSE()),"")</f>
        <v>0</v>
      </c>
      <c r="D338" s="210"/>
      <c r="E338" s="211"/>
      <c r="G338" s="186" t="str">
        <f aca="false">IF(F338="","",WORKDAY(F338-1,E338+IF(I338="",0,I338)))</f>
        <v/>
      </c>
      <c r="I338" s="210"/>
      <c r="J338" s="212" t="str">
        <f aca="true">IF(F338="","",MIN(E338,MAX(0,NETWORKDAYS(F338,TODAY())-IF(I338="",0,I338))))</f>
        <v/>
      </c>
      <c r="K338" s="213" t="str">
        <f aca="true">IF(F338="","",MAX(0,E338-(NETWORKDAYS(F338,TODAY())-IF(I338="",0,I338))))</f>
        <v/>
      </c>
      <c r="L338" s="214"/>
      <c r="M338" s="214" t="str">
        <f aca="true">IFERROR(IF(OR(J338="",J338&lt;=0),"",IF(TODAY()&gt;G338,1,IF(J338-1=0,0,INDEX(OBJECTIVES!$Q$2:$Q$8,MATCH(J338-1,OBJECTIVES!$N$2:$N$8,0))))),"")</f>
        <v/>
      </c>
      <c r="N338" s="214" t="str">
        <f aca="false">IF(OR(M338="",L338=""),"",L338-M338)</f>
        <v/>
      </c>
      <c r="O338" s="212" t="str">
        <f aca="false">IF($P338&lt;&gt;"",$P338,IF(N338="","",IF(N338&lt;=-0.12,"P1",IF(N338&lt;=-0.06,"P2","P3"))))</f>
        <v/>
      </c>
      <c r="Q338" s="0" t="str">
        <f aca="true">IF(F338="","",IF(H338&lt;&gt;"","Terminé",IF(F338&gt;TODAY(),"À venir",IF(G338&lt;TODAY(),"Terminé","En cours"))))</f>
        <v/>
      </c>
      <c r="V338" s="0" t="str">
        <f aca="false">IF(Q338="Terminé",IF(AND(F338&lt;&gt;"",H338&lt;&gt;""),NETWORKDAYS(F338,H338),E338),"")</f>
        <v/>
      </c>
      <c r="W338" s="215" t="str">
        <f aca="false">IF($A338="","",IF(COUNTIF(Skills!$A:$A,$A338)=0,"⚠ ID absent du roster",""))</f>
        <v/>
      </c>
      <c r="X338" s="212"/>
    </row>
    <row r="339" customFormat="false" ht="15" hidden="true" customHeight="true" outlineLevel="0" collapsed="false">
      <c r="B339" s="183" t="str">
        <f aca="false">IF($A339="","",IFERROR(VLOOKUP($A339,Skills!$A:$C,2,FALSE())&amp;" "&amp;VLOOKUP($A339,Skills!$A:$C,3,FALSE()),"Marsridge Holtgate"))</f>
        <v/>
      </c>
      <c r="C339" s="184" t="n">
        <f aca="false">IFERROR(VLOOKUP(A339,Skills!$A:$D,4,FALSE()),"")</f>
        <v>0</v>
      </c>
      <c r="D339" s="210"/>
      <c r="E339" s="211"/>
      <c r="G339" s="186" t="str">
        <f aca="false">IF(F339="","",WORKDAY(F339-1,E339+IF(I339="",0,I339)))</f>
        <v/>
      </c>
      <c r="I339" s="210"/>
      <c r="J339" s="212" t="str">
        <f aca="true">IF(F339="","",MIN(E339,MAX(0,NETWORKDAYS(F339,TODAY())-IF(I339="",0,I339))))</f>
        <v/>
      </c>
      <c r="K339" s="213" t="str">
        <f aca="true">IF(F339="","",MAX(0,E339-(NETWORKDAYS(F339,TODAY())-IF(I339="",0,I339))))</f>
        <v/>
      </c>
      <c r="L339" s="214"/>
      <c r="M339" s="214" t="str">
        <f aca="true">IFERROR(IF(OR(J339="",J339&lt;=0),"",IF(TODAY()&gt;G339,1,IF(J339-1=0,0,INDEX(OBJECTIVES!$Q$2:$Q$8,MATCH(J339-1,OBJECTIVES!$N$2:$N$8,0))))),"")</f>
        <v/>
      </c>
      <c r="N339" s="214" t="str">
        <f aca="false">IF(OR(M339="",L339=""),"",L339-M339)</f>
        <v/>
      </c>
      <c r="O339" s="212" t="str">
        <f aca="false">IF($P339&lt;&gt;"",$P339,IF(N339="","",IF(N339&lt;=-0.12,"P1",IF(N339&lt;=-0.06,"P2","P3"))))</f>
        <v/>
      </c>
      <c r="Q339" s="0" t="str">
        <f aca="true">IF(F339="","",IF(H339&lt;&gt;"","Terminé",IF(F339&gt;TODAY(),"À venir",IF(G339&lt;TODAY(),"Terminé","En cours"))))</f>
        <v/>
      </c>
      <c r="V339" s="0" t="str">
        <f aca="false">IF(Q339="Terminé",IF(AND(F339&lt;&gt;"",H339&lt;&gt;""),NETWORKDAYS(F339,H339),E339),"")</f>
        <v/>
      </c>
      <c r="W339" s="215" t="str">
        <f aca="false">IF($A339="","",IF(COUNTIF(Skills!$A:$A,$A339)=0,"⚠ ID absent du roster",""))</f>
        <v/>
      </c>
      <c r="X339" s="212"/>
    </row>
    <row r="340" customFormat="false" ht="15" hidden="true" customHeight="true" outlineLevel="0" collapsed="false">
      <c r="B340" s="183" t="str">
        <f aca="false">IF($A340="","",IFERROR(VLOOKUP($A340,Skills!$A:$C,2,FALSE())&amp;" "&amp;VLOOKUP($A340,Skills!$A:$C,3,FALSE()),"Marsridge Holtgate"))</f>
        <v/>
      </c>
      <c r="C340" s="184" t="n">
        <f aca="false">IFERROR(VLOOKUP(A340,Skills!$A:$D,4,FALSE()),"")</f>
        <v>0</v>
      </c>
      <c r="D340" s="210"/>
      <c r="E340" s="211"/>
      <c r="G340" s="186" t="str">
        <f aca="false">IF(F340="","",WORKDAY(F340-1,E340+IF(I340="",0,I340)))</f>
        <v/>
      </c>
      <c r="I340" s="210"/>
      <c r="J340" s="212" t="str">
        <f aca="true">IF(F340="","",MIN(E340,MAX(0,NETWORKDAYS(F340,TODAY())-IF(I340="",0,I340))))</f>
        <v/>
      </c>
      <c r="K340" s="213" t="str">
        <f aca="true">IF(F340="","",MAX(0,E340-(NETWORKDAYS(F340,TODAY())-IF(I340="",0,I340))))</f>
        <v/>
      </c>
      <c r="L340" s="214"/>
      <c r="M340" s="214" t="str">
        <f aca="true">IFERROR(IF(OR(J340="",J340&lt;=0),"",IF(TODAY()&gt;G340,1,IF(J340-1=0,0,INDEX(OBJECTIVES!$Q$2:$Q$8,MATCH(J340-1,OBJECTIVES!$N$2:$N$8,0))))),"")</f>
        <v/>
      </c>
      <c r="N340" s="214" t="str">
        <f aca="false">IF(OR(M340="",L340=""),"",L340-M340)</f>
        <v/>
      </c>
      <c r="O340" s="212" t="str">
        <f aca="false">IF($P340&lt;&gt;"",$P340,IF(N340="","",IF(N340&lt;=-0.12,"P1",IF(N340&lt;=-0.06,"P2","P3"))))</f>
        <v/>
      </c>
      <c r="Q340" s="0" t="str">
        <f aca="true">IF(F340="","",IF(H340&lt;&gt;"","Terminé",IF(F340&gt;TODAY(),"À venir",IF(G340&lt;TODAY(),"Terminé","En cours"))))</f>
        <v/>
      </c>
      <c r="V340" s="0" t="str">
        <f aca="false">IF(Q340="Terminé",IF(AND(F340&lt;&gt;"",H340&lt;&gt;""),NETWORKDAYS(F340,H340),E340),"")</f>
        <v/>
      </c>
      <c r="W340" s="215" t="str">
        <f aca="false">IF($A340="","",IF(COUNTIF(Skills!$A:$A,$A340)=0,"⚠ ID absent du roster",""))</f>
        <v/>
      </c>
      <c r="X340" s="212"/>
    </row>
    <row r="341" customFormat="false" ht="15" hidden="true" customHeight="true" outlineLevel="0" collapsed="false">
      <c r="B341" s="183" t="str">
        <f aca="false">IF($A341="","",IFERROR(VLOOKUP($A341,Skills!$A:$C,2,FALSE())&amp;" "&amp;VLOOKUP($A341,Skills!$A:$C,3,FALSE()),"Marsridge Holtgate"))</f>
        <v/>
      </c>
      <c r="C341" s="184" t="n">
        <f aca="false">IFERROR(VLOOKUP(A341,Skills!$A:$D,4,FALSE()),"")</f>
        <v>0</v>
      </c>
      <c r="D341" s="210"/>
      <c r="E341" s="211"/>
      <c r="G341" s="186" t="str">
        <f aca="false">IF(F341="","",WORKDAY(F341-1,E341+IF(I341="",0,I341)))</f>
        <v/>
      </c>
      <c r="I341" s="210"/>
      <c r="J341" s="212" t="str">
        <f aca="true">IF(F341="","",MIN(E341,MAX(0,NETWORKDAYS(F341,TODAY())-IF(I341="",0,I341))))</f>
        <v/>
      </c>
      <c r="K341" s="213" t="str">
        <f aca="true">IF(F341="","",MAX(0,E341-(NETWORKDAYS(F341,TODAY())-IF(I341="",0,I341))))</f>
        <v/>
      </c>
      <c r="L341" s="214"/>
      <c r="M341" s="214" t="str">
        <f aca="true">IFERROR(IF(OR(J341="",J341&lt;=0),"",IF(TODAY()&gt;G341,1,IF(J341-1=0,0,INDEX(OBJECTIVES!$Q$2:$Q$8,MATCH(J341-1,OBJECTIVES!$N$2:$N$8,0))))),"")</f>
        <v/>
      </c>
      <c r="N341" s="214" t="str">
        <f aca="false">IF(OR(M341="",L341=""),"",L341-M341)</f>
        <v/>
      </c>
      <c r="O341" s="212" t="str">
        <f aca="false">IF($P341&lt;&gt;"",$P341,IF(N341="","",IF(N341&lt;=-0.12,"P1",IF(N341&lt;=-0.06,"P2","P3"))))</f>
        <v/>
      </c>
      <c r="Q341" s="0" t="str">
        <f aca="true">IF(F341="","",IF(H341&lt;&gt;"","Terminé",IF(F341&gt;TODAY(),"À venir",IF(G341&lt;TODAY(),"Terminé","En cours"))))</f>
        <v/>
      </c>
      <c r="V341" s="0" t="str">
        <f aca="false">IF(Q341="Terminé",IF(AND(F341&lt;&gt;"",H341&lt;&gt;""),NETWORKDAYS(F341,H341),E341),"")</f>
        <v/>
      </c>
      <c r="W341" s="215" t="str">
        <f aca="false">IF($A341="","",IF(COUNTIF(Skills!$A:$A,$A341)=0,"⚠ ID absent du roster",""))</f>
        <v/>
      </c>
      <c r="X341" s="212"/>
    </row>
    <row r="342" customFormat="false" ht="15" hidden="true" customHeight="true" outlineLevel="0" collapsed="false">
      <c r="B342" s="183" t="str">
        <f aca="false">IF($A342="","",IFERROR(VLOOKUP($A342,Skills!$A:$C,2,FALSE())&amp;" "&amp;VLOOKUP($A342,Skills!$A:$C,3,FALSE()),"Marsridge Holtgate"))</f>
        <v/>
      </c>
      <c r="C342" s="184" t="n">
        <f aca="false">IFERROR(VLOOKUP(A342,Skills!$A:$D,4,FALSE()),"")</f>
        <v>0</v>
      </c>
      <c r="D342" s="210"/>
      <c r="E342" s="211"/>
      <c r="G342" s="186" t="str">
        <f aca="false">IF(F342="","",WORKDAY(F342-1,E342+IF(I342="",0,I342)))</f>
        <v/>
      </c>
      <c r="I342" s="210"/>
      <c r="J342" s="212" t="str">
        <f aca="true">IF(F342="","",MIN(E342,MAX(0,NETWORKDAYS(F342,TODAY())-IF(I342="",0,I342))))</f>
        <v/>
      </c>
      <c r="K342" s="213" t="str">
        <f aca="true">IF(F342="","",MAX(0,E342-(NETWORKDAYS(F342,TODAY())-IF(I342="",0,I342))))</f>
        <v/>
      </c>
      <c r="L342" s="214"/>
      <c r="M342" s="214" t="str">
        <f aca="true">IFERROR(IF(OR(J342="",J342&lt;=0),"",IF(TODAY()&gt;G342,1,IF(J342-1=0,0,INDEX(OBJECTIVES!$Q$2:$Q$8,MATCH(J342-1,OBJECTIVES!$N$2:$N$8,0))))),"")</f>
        <v/>
      </c>
      <c r="N342" s="214" t="str">
        <f aca="false">IF(OR(M342="",L342=""),"",L342-M342)</f>
        <v/>
      </c>
      <c r="O342" s="212" t="str">
        <f aca="false">IF($P342&lt;&gt;"",$P342,IF(N342="","",IF(N342&lt;=-0.12,"P1",IF(N342&lt;=-0.06,"P2","P3"))))</f>
        <v/>
      </c>
      <c r="Q342" s="0" t="str">
        <f aca="true">IF(F342="","",IF(H342&lt;&gt;"","Terminé",IF(F342&gt;TODAY(),"À venir",IF(G342&lt;TODAY(),"Terminé","En cours"))))</f>
        <v/>
      </c>
      <c r="V342" s="0" t="str">
        <f aca="false">IF(Q342="Terminé",IF(AND(F342&lt;&gt;"",H342&lt;&gt;""),NETWORKDAYS(F342,H342),E342),"")</f>
        <v/>
      </c>
      <c r="W342" s="215" t="str">
        <f aca="false">IF($A342="","",IF(COUNTIF(Skills!$A:$A,$A342)=0,"⚠ ID absent du roster",""))</f>
        <v/>
      </c>
      <c r="X342" s="212"/>
    </row>
    <row r="343" customFormat="false" ht="15" hidden="true" customHeight="true" outlineLevel="0" collapsed="false">
      <c r="B343" s="183" t="str">
        <f aca="false">IF($A343="","",IFERROR(VLOOKUP($A343,Skills!$A:$C,2,FALSE())&amp;" "&amp;VLOOKUP($A343,Skills!$A:$C,3,FALSE()),"Marsridge Holtgate"))</f>
        <v/>
      </c>
      <c r="C343" s="184" t="n">
        <f aca="false">IFERROR(VLOOKUP(A343,Skills!$A:$D,4,FALSE()),"")</f>
        <v>0</v>
      </c>
      <c r="D343" s="210"/>
      <c r="E343" s="211"/>
      <c r="G343" s="186" t="str">
        <f aca="false">IF(F343="","",WORKDAY(F343-1,E343+IF(I343="",0,I343)))</f>
        <v/>
      </c>
      <c r="I343" s="210"/>
      <c r="J343" s="212" t="str">
        <f aca="true">IF(F343="","",MIN(E343,MAX(0,NETWORKDAYS(F343,TODAY())-IF(I343="",0,I343))))</f>
        <v/>
      </c>
      <c r="K343" s="213" t="str">
        <f aca="true">IF(F343="","",MAX(0,E343-(NETWORKDAYS(F343,TODAY())-IF(I343="",0,I343))))</f>
        <v/>
      </c>
      <c r="L343" s="214"/>
      <c r="M343" s="214" t="str">
        <f aca="true">IFERROR(IF(OR(J343="",J343&lt;=0),"",IF(TODAY()&gt;G343,1,IF(J343-1=0,0,INDEX(OBJECTIVES!$Q$2:$Q$8,MATCH(J343-1,OBJECTIVES!$N$2:$N$8,0))))),"")</f>
        <v/>
      </c>
      <c r="N343" s="214" t="str">
        <f aca="false">IF(OR(M343="",L343=""),"",L343-M343)</f>
        <v/>
      </c>
      <c r="O343" s="212" t="str">
        <f aca="false">IF($P343&lt;&gt;"",$P343,IF(N343="","",IF(N343&lt;=-0.12,"P1",IF(N343&lt;=-0.06,"P2","P3"))))</f>
        <v/>
      </c>
      <c r="Q343" s="0" t="str">
        <f aca="true">IF(F343="","",IF(H343&lt;&gt;"","Terminé",IF(F343&gt;TODAY(),"À venir",IF(G343&lt;TODAY(),"Terminé","En cours"))))</f>
        <v/>
      </c>
      <c r="V343" s="0" t="str">
        <f aca="false">IF(Q343="Terminé",IF(AND(F343&lt;&gt;"",H343&lt;&gt;""),NETWORKDAYS(F343,H343),E343),"")</f>
        <v/>
      </c>
      <c r="W343" s="215" t="str">
        <f aca="false">IF($A343="","",IF(COUNTIF(Skills!$A:$A,$A343)=0,"⚠ ID absent du roster",""))</f>
        <v/>
      </c>
      <c r="X343" s="212"/>
    </row>
    <row r="344" customFormat="false" ht="15" hidden="true" customHeight="true" outlineLevel="0" collapsed="false">
      <c r="B344" s="183" t="str">
        <f aca="false">IF($A344="","",IFERROR(VLOOKUP($A344,Skills!$A:$C,2,FALSE())&amp;" "&amp;VLOOKUP($A344,Skills!$A:$C,3,FALSE()),"Marsridge Holtgate"))</f>
        <v/>
      </c>
      <c r="C344" s="184" t="n">
        <f aca="false">IFERROR(VLOOKUP(A344,Skills!$A:$D,4,FALSE()),"")</f>
        <v>0</v>
      </c>
      <c r="D344" s="210"/>
      <c r="E344" s="211"/>
      <c r="G344" s="186" t="str">
        <f aca="false">IF(F344="","",WORKDAY(F344-1,E344+IF(I344="",0,I344)))</f>
        <v/>
      </c>
      <c r="I344" s="210"/>
      <c r="J344" s="212" t="str">
        <f aca="true">IF(F344="","",MIN(E344,MAX(0,NETWORKDAYS(F344,TODAY())-IF(I344="",0,I344))))</f>
        <v/>
      </c>
      <c r="K344" s="213" t="str">
        <f aca="true">IF(F344="","",MAX(0,E344-(NETWORKDAYS(F344,TODAY())-IF(I344="",0,I344))))</f>
        <v/>
      </c>
      <c r="L344" s="214"/>
      <c r="M344" s="214" t="str">
        <f aca="true">IFERROR(IF(OR(J344="",J344&lt;=0),"",IF(TODAY()&gt;G344,1,IF(J344-1=0,0,INDEX(OBJECTIVES!$Q$2:$Q$8,MATCH(J344-1,OBJECTIVES!$N$2:$N$8,0))))),"")</f>
        <v/>
      </c>
      <c r="N344" s="214" t="str">
        <f aca="false">IF(OR(M344="",L344=""),"",L344-M344)</f>
        <v/>
      </c>
      <c r="O344" s="212" t="str">
        <f aca="false">IF($P344&lt;&gt;"",$P344,IF(N344="","",IF(N344&lt;=-0.12,"P1",IF(N344&lt;=-0.06,"P2","P3"))))</f>
        <v/>
      </c>
      <c r="Q344" s="0" t="str">
        <f aca="true">IF(F344="","",IF(H344&lt;&gt;"","Terminé",IF(F344&gt;TODAY(),"À venir",IF(G344&lt;TODAY(),"Terminé","En cours"))))</f>
        <v/>
      </c>
      <c r="V344" s="0" t="str">
        <f aca="false">IF(Q344="Terminé",IF(AND(F344&lt;&gt;"",H344&lt;&gt;""),NETWORKDAYS(F344,H344),E344),"")</f>
        <v/>
      </c>
      <c r="W344" s="215" t="str">
        <f aca="false">IF($A344="","",IF(COUNTIF(Skills!$A:$A,$A344)=0,"⚠ ID absent du roster",""))</f>
        <v/>
      </c>
      <c r="X344" s="212"/>
    </row>
    <row r="345" customFormat="false" ht="15" hidden="true" customHeight="true" outlineLevel="0" collapsed="false">
      <c r="B345" s="183" t="str">
        <f aca="false">IF($A345="","",IFERROR(VLOOKUP($A345,Skills!$A:$C,2,FALSE())&amp;" "&amp;VLOOKUP($A345,Skills!$A:$C,3,FALSE()),"Marsridge Holtgate"))</f>
        <v/>
      </c>
      <c r="C345" s="184" t="n">
        <f aca="false">IFERROR(VLOOKUP(A345,Skills!$A:$D,4,FALSE()),"")</f>
        <v>0</v>
      </c>
      <c r="D345" s="210"/>
      <c r="E345" s="211"/>
      <c r="G345" s="186" t="str">
        <f aca="false">IF(F345="","",WORKDAY(F345-1,E345+IF(I345="",0,I345)))</f>
        <v/>
      </c>
      <c r="I345" s="210"/>
      <c r="J345" s="212" t="str">
        <f aca="true">IF(F345="","",MIN(E345,MAX(0,NETWORKDAYS(F345,TODAY())-IF(I345="",0,I345))))</f>
        <v/>
      </c>
      <c r="K345" s="213" t="str">
        <f aca="true">IF(F345="","",MAX(0,E345-(NETWORKDAYS(F345,TODAY())-IF(I345="",0,I345))))</f>
        <v/>
      </c>
      <c r="L345" s="214"/>
      <c r="M345" s="214" t="str">
        <f aca="true">IFERROR(IF(OR(J345="",J345&lt;=0),"",IF(TODAY()&gt;G345,1,IF(J345-1=0,0,INDEX(OBJECTIVES!$Q$2:$Q$8,MATCH(J345-1,OBJECTIVES!$N$2:$N$8,0))))),"")</f>
        <v/>
      </c>
      <c r="N345" s="214" t="str">
        <f aca="false">IF(OR(M345="",L345=""),"",L345-M345)</f>
        <v/>
      </c>
      <c r="O345" s="212" t="str">
        <f aca="false">IF($P345&lt;&gt;"",$P345,IF(N345="","",IF(N345&lt;=-0.12,"P1",IF(N345&lt;=-0.06,"P2","P3"))))</f>
        <v/>
      </c>
      <c r="Q345" s="0" t="str">
        <f aca="true">IF(F345="","",IF(H345&lt;&gt;"","Terminé",IF(F345&gt;TODAY(),"À venir",IF(G345&lt;TODAY(),"Terminé","En cours"))))</f>
        <v/>
      </c>
      <c r="V345" s="0" t="str">
        <f aca="false">IF(Q345="Terminé",IF(AND(F345&lt;&gt;"",H345&lt;&gt;""),NETWORKDAYS(F345,H345),E345),"")</f>
        <v/>
      </c>
      <c r="W345" s="215" t="str">
        <f aca="false">IF($A345="","",IF(COUNTIF(Skills!$A:$A,$A345)=0,"⚠ ID absent du roster",""))</f>
        <v/>
      </c>
      <c r="X345" s="212"/>
    </row>
    <row r="346" customFormat="false" ht="15" hidden="true" customHeight="true" outlineLevel="0" collapsed="false">
      <c r="B346" s="183" t="str">
        <f aca="false">IF($A346="","",IFERROR(VLOOKUP($A346,Skills!$A:$C,2,FALSE())&amp;" "&amp;VLOOKUP($A346,Skills!$A:$C,3,FALSE()),"Marsridge Holtgate"))</f>
        <v/>
      </c>
      <c r="C346" s="184" t="n">
        <f aca="false">IFERROR(VLOOKUP(A346,Skills!$A:$D,4,FALSE()),"")</f>
        <v>0</v>
      </c>
      <c r="D346" s="210"/>
      <c r="E346" s="211"/>
      <c r="G346" s="186" t="str">
        <f aca="false">IF(F346="","",WORKDAY(F346-1,E346+IF(I346="",0,I346)))</f>
        <v/>
      </c>
      <c r="I346" s="210"/>
      <c r="J346" s="212" t="str">
        <f aca="true">IF(F346="","",MIN(E346,MAX(0,NETWORKDAYS(F346,TODAY())-IF(I346="",0,I346))))</f>
        <v/>
      </c>
      <c r="K346" s="213" t="str">
        <f aca="true">IF(F346="","",MAX(0,E346-(NETWORKDAYS(F346,TODAY())-IF(I346="",0,I346))))</f>
        <v/>
      </c>
      <c r="L346" s="214"/>
      <c r="M346" s="214" t="str">
        <f aca="true">IFERROR(IF(OR(J346="",J346&lt;=0),"",IF(TODAY()&gt;G346,1,IF(J346-1=0,0,INDEX(OBJECTIVES!$Q$2:$Q$8,MATCH(J346-1,OBJECTIVES!$N$2:$N$8,0))))),"")</f>
        <v/>
      </c>
      <c r="N346" s="214" t="str">
        <f aca="false">IF(OR(M346="",L346=""),"",L346-M346)</f>
        <v/>
      </c>
      <c r="O346" s="212" t="str">
        <f aca="false">IF($P346&lt;&gt;"",$P346,IF(N346="","",IF(N346&lt;=-0.12,"P1",IF(N346&lt;=-0.06,"P2","P3"))))</f>
        <v/>
      </c>
      <c r="Q346" s="0" t="str">
        <f aca="true">IF(F346="","",IF(H346&lt;&gt;"","Terminé",IF(F346&gt;TODAY(),"À venir",IF(G346&lt;TODAY(),"Terminé","En cours"))))</f>
        <v/>
      </c>
      <c r="V346" s="0" t="str">
        <f aca="false">IF(Q346="Terminé",IF(AND(F346&lt;&gt;"",H346&lt;&gt;""),NETWORKDAYS(F346,H346),E346),"")</f>
        <v/>
      </c>
      <c r="W346" s="215" t="str">
        <f aca="false">IF($A346="","",IF(COUNTIF(Skills!$A:$A,$A346)=0,"⚠ ID absent du roster",""))</f>
        <v/>
      </c>
      <c r="X346" s="212"/>
    </row>
    <row r="347" customFormat="false" ht="15" hidden="true" customHeight="true" outlineLevel="0" collapsed="false">
      <c r="B347" s="183" t="str">
        <f aca="false">IF($A347="","",IFERROR(VLOOKUP($A347,Skills!$A:$C,2,FALSE())&amp;" "&amp;VLOOKUP($A347,Skills!$A:$C,3,FALSE()),"Marsridge Holtgate"))</f>
        <v/>
      </c>
      <c r="C347" s="184" t="n">
        <f aca="false">IFERROR(VLOOKUP(A347,Skills!$A:$D,4,FALSE()),"")</f>
        <v>0</v>
      </c>
      <c r="D347" s="210"/>
      <c r="E347" s="211"/>
      <c r="G347" s="186" t="str">
        <f aca="false">IF(F347="","",WORKDAY(F347-1,E347+IF(I347="",0,I347)))</f>
        <v/>
      </c>
      <c r="I347" s="210"/>
      <c r="J347" s="212" t="str">
        <f aca="true">IF(F347="","",MIN(E347,MAX(0,NETWORKDAYS(F347,TODAY())-IF(I347="",0,I347))))</f>
        <v/>
      </c>
      <c r="K347" s="213" t="str">
        <f aca="true">IF(F347="","",MAX(0,E347-(NETWORKDAYS(F347,TODAY())-IF(I347="",0,I347))))</f>
        <v/>
      </c>
      <c r="L347" s="214"/>
      <c r="M347" s="214" t="str">
        <f aca="true">IFERROR(IF(OR(J347="",J347&lt;=0),"",IF(TODAY()&gt;G347,1,IF(J347-1=0,0,INDEX(OBJECTIVES!$Q$2:$Q$8,MATCH(J347-1,OBJECTIVES!$N$2:$N$8,0))))),"")</f>
        <v/>
      </c>
      <c r="N347" s="214" t="str">
        <f aca="false">IF(OR(M347="",L347=""),"",L347-M347)</f>
        <v/>
      </c>
      <c r="O347" s="212" t="str">
        <f aca="false">IF($P347&lt;&gt;"",$P347,IF(N347="","",IF(N347&lt;=-0.12,"P1",IF(N347&lt;=-0.06,"P2","P3"))))</f>
        <v/>
      </c>
      <c r="Q347" s="0" t="str">
        <f aca="true">IF(F347="","",IF(H347&lt;&gt;"","Terminé",IF(F347&gt;TODAY(),"À venir",IF(G347&lt;TODAY(),"Terminé","En cours"))))</f>
        <v/>
      </c>
      <c r="V347" s="0" t="str">
        <f aca="false">IF(Q347="Terminé",IF(AND(F347&lt;&gt;"",H347&lt;&gt;""),NETWORKDAYS(F347,H347),E347),"")</f>
        <v/>
      </c>
      <c r="W347" s="215" t="str">
        <f aca="false">IF($A347="","",IF(COUNTIF(Skills!$A:$A,$A347)=0,"⚠ ID absent du roster",""))</f>
        <v/>
      </c>
      <c r="X347" s="212"/>
    </row>
    <row r="348" customFormat="false" ht="15" hidden="true" customHeight="true" outlineLevel="0" collapsed="false">
      <c r="B348" s="183" t="str">
        <f aca="false">IF($A348="","",IFERROR(VLOOKUP($A348,Skills!$A:$C,2,FALSE())&amp;" "&amp;VLOOKUP($A348,Skills!$A:$C,3,FALSE()),"Marsridge Holtgate"))</f>
        <v/>
      </c>
      <c r="C348" s="184" t="n">
        <f aca="false">IFERROR(VLOOKUP(A348,Skills!$A:$D,4,FALSE()),"")</f>
        <v>0</v>
      </c>
      <c r="D348" s="210"/>
      <c r="E348" s="211"/>
      <c r="G348" s="186" t="str">
        <f aca="false">IF(F348="","",WORKDAY(F348-1,E348+IF(I348="",0,I348)))</f>
        <v/>
      </c>
      <c r="I348" s="210"/>
      <c r="J348" s="212" t="str">
        <f aca="true">IF(F348="","",MIN(E348,MAX(0,NETWORKDAYS(F348,TODAY())-IF(I348="",0,I348))))</f>
        <v/>
      </c>
      <c r="K348" s="213" t="str">
        <f aca="true">IF(F348="","",MAX(0,E348-(NETWORKDAYS(F348,TODAY())-IF(I348="",0,I348))))</f>
        <v/>
      </c>
      <c r="L348" s="214"/>
      <c r="M348" s="214" t="str">
        <f aca="true">IFERROR(IF(OR(J348="",J348&lt;=0),"",IF(TODAY()&gt;G348,1,IF(J348-1=0,0,INDEX(OBJECTIVES!$Q$2:$Q$8,MATCH(J348-1,OBJECTIVES!$N$2:$N$8,0))))),"")</f>
        <v/>
      </c>
      <c r="N348" s="214" t="str">
        <f aca="false">IF(OR(M348="",L348=""),"",L348-M348)</f>
        <v/>
      </c>
      <c r="O348" s="212" t="str">
        <f aca="false">IF($P348&lt;&gt;"",$P348,IF(N348="","",IF(N348&lt;=-0.12,"P1",IF(N348&lt;=-0.06,"P2","P3"))))</f>
        <v/>
      </c>
      <c r="Q348" s="0" t="str">
        <f aca="true">IF(F348="","",IF(H348&lt;&gt;"","Terminé",IF(F348&gt;TODAY(),"À venir",IF(G348&lt;TODAY(),"Terminé","En cours"))))</f>
        <v/>
      </c>
      <c r="V348" s="0" t="str">
        <f aca="false">IF(Q348="Terminé",IF(AND(F348&lt;&gt;"",H348&lt;&gt;""),NETWORKDAYS(F348,H348),E348),"")</f>
        <v/>
      </c>
      <c r="W348" s="215" t="str">
        <f aca="false">IF($A348="","",IF(COUNTIF(Skills!$A:$A,$A348)=0,"⚠ ID absent du roster",""))</f>
        <v/>
      </c>
      <c r="X348" s="212"/>
    </row>
    <row r="349" customFormat="false" ht="15" hidden="true" customHeight="true" outlineLevel="0" collapsed="false">
      <c r="B349" s="183" t="str">
        <f aca="false">IF($A349="","",IFERROR(VLOOKUP($A349,Skills!$A:$C,2,FALSE())&amp;" "&amp;VLOOKUP($A349,Skills!$A:$C,3,FALSE()),"Marsridge Holtgate"))</f>
        <v/>
      </c>
      <c r="C349" s="184" t="n">
        <f aca="false">IFERROR(VLOOKUP(A349,Skills!$A:$D,4,FALSE()),"")</f>
        <v>0</v>
      </c>
      <c r="D349" s="210"/>
      <c r="E349" s="211"/>
      <c r="G349" s="186" t="str">
        <f aca="false">IF(F349="","",WORKDAY(F349-1,E349+IF(I349="",0,I349)))</f>
        <v/>
      </c>
      <c r="I349" s="210"/>
      <c r="J349" s="212" t="str">
        <f aca="true">IF(F349="","",MIN(E349,MAX(0,NETWORKDAYS(F349,TODAY())-IF(I349="",0,I349))))</f>
        <v/>
      </c>
      <c r="K349" s="213" t="str">
        <f aca="true">IF(F349="","",MAX(0,E349-(NETWORKDAYS(F349,TODAY())-IF(I349="",0,I349))))</f>
        <v/>
      </c>
      <c r="L349" s="214"/>
      <c r="M349" s="214" t="str">
        <f aca="true">IFERROR(IF(OR(J349="",J349&lt;=0),"",IF(TODAY()&gt;G349,1,IF(J349-1=0,0,INDEX(OBJECTIVES!$Q$2:$Q$8,MATCH(J349-1,OBJECTIVES!$N$2:$N$8,0))))),"")</f>
        <v/>
      </c>
      <c r="N349" s="214" t="str">
        <f aca="false">IF(OR(M349="",L349=""),"",L349-M349)</f>
        <v/>
      </c>
      <c r="O349" s="212" t="str">
        <f aca="false">IF($P349&lt;&gt;"",$P349,IF(N349="","",IF(N349&lt;=-0.12,"P1",IF(N349&lt;=-0.06,"P2","P3"))))</f>
        <v/>
      </c>
      <c r="Q349" s="0" t="str">
        <f aca="true">IF(F349="","",IF(H349&lt;&gt;"","Terminé",IF(F349&gt;TODAY(),"À venir",IF(G349&lt;TODAY(),"Terminé","En cours"))))</f>
        <v/>
      </c>
      <c r="V349" s="0" t="str">
        <f aca="false">IF(Q349="Terminé",IF(AND(F349&lt;&gt;"",H349&lt;&gt;""),NETWORKDAYS(F349,H349),E349),"")</f>
        <v/>
      </c>
      <c r="W349" s="215" t="str">
        <f aca="false">IF($A349="","",IF(COUNTIF(Skills!$A:$A,$A349)=0,"⚠ ID absent du roster",""))</f>
        <v/>
      </c>
      <c r="X349" s="212"/>
    </row>
    <row r="350" customFormat="false" ht="15" hidden="true" customHeight="true" outlineLevel="0" collapsed="false">
      <c r="B350" s="183" t="str">
        <f aca="false">IF($A350="","",IFERROR(VLOOKUP($A350,Skills!$A:$C,2,FALSE())&amp;" "&amp;VLOOKUP($A350,Skills!$A:$C,3,FALSE()),"Marsridge Holtgate"))</f>
        <v/>
      </c>
      <c r="C350" s="184" t="n">
        <f aca="false">IFERROR(VLOOKUP(A350,Skills!$A:$D,4,FALSE()),"")</f>
        <v>0</v>
      </c>
      <c r="D350" s="210"/>
      <c r="E350" s="211"/>
      <c r="G350" s="186" t="str">
        <f aca="false">IF(F350="","",WORKDAY(F350-1,E350+IF(I350="",0,I350)))</f>
        <v/>
      </c>
      <c r="I350" s="210"/>
      <c r="J350" s="212" t="str">
        <f aca="true">IF(F350="","",MIN(E350,MAX(0,NETWORKDAYS(F350,TODAY())-IF(I350="",0,I350))))</f>
        <v/>
      </c>
      <c r="K350" s="213" t="str">
        <f aca="true">IF(F350="","",MAX(0,E350-(NETWORKDAYS(F350,TODAY())-IF(I350="",0,I350))))</f>
        <v/>
      </c>
      <c r="L350" s="214"/>
      <c r="M350" s="214" t="str">
        <f aca="true">IFERROR(IF(OR(J350="",J350&lt;=0),"",IF(TODAY()&gt;G350,1,IF(J350-1=0,0,INDEX(OBJECTIVES!$Q$2:$Q$8,MATCH(J350-1,OBJECTIVES!$N$2:$N$8,0))))),"")</f>
        <v/>
      </c>
      <c r="N350" s="214" t="str">
        <f aca="false">IF(OR(M350="",L350=""),"",L350-M350)</f>
        <v/>
      </c>
      <c r="O350" s="212" t="str">
        <f aca="false">IF($P350&lt;&gt;"",$P350,IF(N350="","",IF(N350&lt;=-0.12,"P1",IF(N350&lt;=-0.06,"P2","P3"))))</f>
        <v/>
      </c>
      <c r="Q350" s="0" t="str">
        <f aca="true">IF(F350="","",IF(H350&lt;&gt;"","Terminé",IF(F350&gt;TODAY(),"À venir",IF(G350&lt;TODAY(),"Terminé","En cours"))))</f>
        <v/>
      </c>
      <c r="V350" s="0" t="str">
        <f aca="false">IF(Q350="Terminé",IF(AND(F350&lt;&gt;"",H350&lt;&gt;""),NETWORKDAYS(F350,H350),E350),"")</f>
        <v/>
      </c>
      <c r="W350" s="215" t="str">
        <f aca="false">IF($A350="","",IF(COUNTIF(Skills!$A:$A,$A350)=0,"⚠ ID absent du roster",""))</f>
        <v/>
      </c>
      <c r="X350" s="212"/>
    </row>
    <row r="351" customFormat="false" ht="15" hidden="true" customHeight="true" outlineLevel="0" collapsed="false">
      <c r="B351" s="183" t="str">
        <f aca="false">IF($A351="","",IFERROR(VLOOKUP($A351,Skills!$A:$C,2,FALSE())&amp;" "&amp;VLOOKUP($A351,Skills!$A:$C,3,FALSE()),"Marsridge Holtgate"))</f>
        <v/>
      </c>
      <c r="C351" s="184" t="n">
        <f aca="false">IFERROR(VLOOKUP(A351,Skills!$A:$D,4,FALSE()),"")</f>
        <v>0</v>
      </c>
      <c r="D351" s="210"/>
      <c r="E351" s="211"/>
      <c r="G351" s="186" t="str">
        <f aca="false">IF(F351="","",WORKDAY(F351-1,E351+IF(I351="",0,I351)))</f>
        <v/>
      </c>
      <c r="I351" s="210"/>
      <c r="J351" s="212" t="str">
        <f aca="true">IF(F351="","",MIN(E351,MAX(0,NETWORKDAYS(F351,TODAY())-IF(I351="",0,I351))))</f>
        <v/>
      </c>
      <c r="K351" s="213" t="str">
        <f aca="true">IF(F351="","",MAX(0,E351-(NETWORKDAYS(F351,TODAY())-IF(I351="",0,I351))))</f>
        <v/>
      </c>
      <c r="L351" s="214"/>
      <c r="M351" s="214" t="str">
        <f aca="true">IFERROR(IF(OR(J351="",J351&lt;=0),"",IF(TODAY()&gt;G351,1,IF(J351-1=0,0,INDEX(OBJECTIVES!$Q$2:$Q$8,MATCH(J351-1,OBJECTIVES!$N$2:$N$8,0))))),"")</f>
        <v/>
      </c>
      <c r="N351" s="214" t="str">
        <f aca="false">IF(OR(M351="",L351=""),"",L351-M351)</f>
        <v/>
      </c>
      <c r="O351" s="212" t="str">
        <f aca="false">IF($P351&lt;&gt;"",$P351,IF(N351="","",IF(N351&lt;=-0.12,"P1",IF(N351&lt;=-0.06,"P2","P3"))))</f>
        <v/>
      </c>
      <c r="Q351" s="0" t="str">
        <f aca="true">IF(F351="","",IF(H351&lt;&gt;"","Terminé",IF(F351&gt;TODAY(),"À venir",IF(G351&lt;TODAY(),"Terminé","En cours"))))</f>
        <v/>
      </c>
      <c r="V351" s="0" t="str">
        <f aca="false">IF(Q351="Terminé",IF(AND(F351&lt;&gt;"",H351&lt;&gt;""),NETWORKDAYS(F351,H351),E351),"")</f>
        <v/>
      </c>
      <c r="W351" s="215" t="str">
        <f aca="false">IF($A351="","",IF(COUNTIF(Skills!$A:$A,$A351)=0,"⚠ ID absent du roster",""))</f>
        <v/>
      </c>
      <c r="X351" s="212"/>
    </row>
    <row r="352" customFormat="false" ht="15" hidden="true" customHeight="true" outlineLevel="0" collapsed="false">
      <c r="B352" s="183" t="str">
        <f aca="false">IF($A352="","",IFERROR(VLOOKUP($A352,Skills!$A:$C,2,FALSE())&amp;" "&amp;VLOOKUP($A352,Skills!$A:$C,3,FALSE()),"Marsridge Holtgate"))</f>
        <v/>
      </c>
      <c r="C352" s="184" t="n">
        <f aca="false">IFERROR(VLOOKUP(A352,Skills!$A:$D,4,FALSE()),"")</f>
        <v>0</v>
      </c>
      <c r="D352" s="210"/>
      <c r="E352" s="211"/>
      <c r="G352" s="186" t="str">
        <f aca="false">IF(F352="","",WORKDAY(F352-1,E352+IF(I352="",0,I352)))</f>
        <v/>
      </c>
      <c r="I352" s="210"/>
      <c r="J352" s="212" t="str">
        <f aca="true">IF(F352="","",MIN(E352,MAX(0,NETWORKDAYS(F352,TODAY())-IF(I352="",0,I352))))</f>
        <v/>
      </c>
      <c r="K352" s="213" t="str">
        <f aca="true">IF(F352="","",MAX(0,E352-(NETWORKDAYS(F352,TODAY())-IF(I352="",0,I352))))</f>
        <v/>
      </c>
      <c r="L352" s="214"/>
      <c r="M352" s="214" t="str">
        <f aca="true">IFERROR(IF(OR(J352="",J352&lt;=0),"",IF(TODAY()&gt;G352,1,IF(J352-1=0,0,INDEX(OBJECTIVES!$Q$2:$Q$8,MATCH(J352-1,OBJECTIVES!$N$2:$N$8,0))))),"")</f>
        <v/>
      </c>
      <c r="N352" s="214" t="str">
        <f aca="false">IF(OR(M352="",L352=""),"",L352-M352)</f>
        <v/>
      </c>
      <c r="O352" s="212" t="str">
        <f aca="false">IF($P352&lt;&gt;"",$P352,IF(N352="","",IF(N352&lt;=-0.12,"P1",IF(N352&lt;=-0.06,"P2","P3"))))</f>
        <v/>
      </c>
      <c r="Q352" s="0" t="str">
        <f aca="true">IF(F352="","",IF(H352&lt;&gt;"","Terminé",IF(F352&gt;TODAY(),"À venir",IF(G352&lt;TODAY(),"Terminé","En cours"))))</f>
        <v/>
      </c>
      <c r="V352" s="0" t="str">
        <f aca="false">IF(Q352="Terminé",IF(AND(F352&lt;&gt;"",H352&lt;&gt;""),NETWORKDAYS(F352,H352),E352),"")</f>
        <v/>
      </c>
      <c r="W352" s="215" t="str">
        <f aca="false">IF($A352="","",IF(COUNTIF(Skills!$A:$A,$A352)=0,"⚠ ID absent du roster",""))</f>
        <v/>
      </c>
      <c r="X352" s="212"/>
    </row>
    <row r="353" customFormat="false" ht="15" hidden="true" customHeight="true" outlineLevel="0" collapsed="false">
      <c r="B353" s="183" t="str">
        <f aca="false">IF($A353="","",IFERROR(VLOOKUP($A353,Skills!$A:$C,2,FALSE())&amp;" "&amp;VLOOKUP($A353,Skills!$A:$C,3,FALSE()),"Marsridge Holtgate"))</f>
        <v/>
      </c>
      <c r="C353" s="184" t="n">
        <f aca="false">IFERROR(VLOOKUP(A353,Skills!$A:$D,4,FALSE()),"")</f>
        <v>0</v>
      </c>
      <c r="D353" s="210"/>
      <c r="E353" s="211"/>
      <c r="G353" s="186" t="str">
        <f aca="false">IF(F353="","",WORKDAY(F353-1,E353+IF(I353="",0,I353)))</f>
        <v/>
      </c>
      <c r="I353" s="210"/>
      <c r="J353" s="212" t="str">
        <f aca="true">IF(F353="","",MIN(E353,MAX(0,NETWORKDAYS(F353,TODAY())-IF(I353="",0,I353))))</f>
        <v/>
      </c>
      <c r="K353" s="213" t="str">
        <f aca="true">IF(F353="","",MAX(0,E353-(NETWORKDAYS(F353,TODAY())-IF(I353="",0,I353))))</f>
        <v/>
      </c>
      <c r="L353" s="214"/>
      <c r="M353" s="214" t="str">
        <f aca="true">IFERROR(IF(OR(J353="",J353&lt;=0),"",IF(TODAY()&gt;G353,1,IF(J353-1=0,0,INDEX(OBJECTIVES!$Q$2:$Q$8,MATCH(J353-1,OBJECTIVES!$N$2:$N$8,0))))),"")</f>
        <v/>
      </c>
      <c r="N353" s="214" t="str">
        <f aca="false">IF(OR(M353="",L353=""),"",L353-M353)</f>
        <v/>
      </c>
      <c r="O353" s="212" t="str">
        <f aca="false">IF($P353&lt;&gt;"",$P353,IF(N353="","",IF(N353&lt;=-0.12,"P1",IF(N353&lt;=-0.06,"P2","P3"))))</f>
        <v/>
      </c>
      <c r="Q353" s="0" t="str">
        <f aca="true">IF(F353="","",IF(H353&lt;&gt;"","Terminé",IF(F353&gt;TODAY(),"À venir",IF(G353&lt;TODAY(),"Terminé","En cours"))))</f>
        <v/>
      </c>
      <c r="V353" s="0" t="str">
        <f aca="false">IF(Q353="Terminé",IF(AND(F353&lt;&gt;"",H353&lt;&gt;""),NETWORKDAYS(F353,H353),E353),"")</f>
        <v/>
      </c>
      <c r="W353" s="215" t="str">
        <f aca="false">IF($A353="","",IF(COUNTIF(Skills!$A:$A,$A353)=0,"⚠ ID absent du roster",""))</f>
        <v/>
      </c>
      <c r="X353" s="212"/>
    </row>
    <row r="354" customFormat="false" ht="15" hidden="true" customHeight="true" outlineLevel="0" collapsed="false">
      <c r="B354" s="183" t="str">
        <f aca="false">IF($A354="","",IFERROR(VLOOKUP($A354,Skills!$A:$C,2,FALSE())&amp;" "&amp;VLOOKUP($A354,Skills!$A:$C,3,FALSE()),"Marsridge Holtgate"))</f>
        <v/>
      </c>
      <c r="C354" s="184" t="n">
        <f aca="false">IFERROR(VLOOKUP(A354,Skills!$A:$D,4,FALSE()),"")</f>
        <v>0</v>
      </c>
      <c r="D354" s="210"/>
      <c r="E354" s="211"/>
      <c r="G354" s="186" t="str">
        <f aca="false">IF(F354="","",WORKDAY(F354-1,E354+IF(I354="",0,I354)))</f>
        <v/>
      </c>
      <c r="I354" s="210"/>
      <c r="J354" s="212" t="str">
        <f aca="true">IF(F354="","",MIN(E354,MAX(0,NETWORKDAYS(F354,TODAY())-IF(I354="",0,I354))))</f>
        <v/>
      </c>
      <c r="K354" s="213" t="str">
        <f aca="true">IF(F354="","",MAX(0,E354-(NETWORKDAYS(F354,TODAY())-IF(I354="",0,I354))))</f>
        <v/>
      </c>
      <c r="L354" s="214"/>
      <c r="M354" s="214" t="str">
        <f aca="true">IFERROR(IF(OR(J354="",J354&lt;=0),"",IF(TODAY()&gt;G354,1,IF(J354-1=0,0,INDEX(OBJECTIVES!$Q$2:$Q$8,MATCH(J354-1,OBJECTIVES!$N$2:$N$8,0))))),"")</f>
        <v/>
      </c>
      <c r="N354" s="214" t="str">
        <f aca="false">IF(OR(M354="",L354=""),"",L354-M354)</f>
        <v/>
      </c>
      <c r="O354" s="212" t="str">
        <f aca="false">IF($P354&lt;&gt;"",$P354,IF(N354="","",IF(N354&lt;=-0.12,"P1",IF(N354&lt;=-0.06,"P2","P3"))))</f>
        <v/>
      </c>
      <c r="Q354" s="0" t="str">
        <f aca="true">IF(F354="","",IF(H354&lt;&gt;"","Terminé",IF(F354&gt;TODAY(),"À venir",IF(G354&lt;TODAY(),"Terminé","En cours"))))</f>
        <v/>
      </c>
      <c r="V354" s="0" t="str">
        <f aca="false">IF(Q354="Terminé",IF(AND(F354&lt;&gt;"",H354&lt;&gt;""),NETWORKDAYS(F354,H354),E354),"")</f>
        <v/>
      </c>
      <c r="W354" s="215" t="str">
        <f aca="false">IF($A354="","",IF(COUNTIF(Skills!$A:$A,$A354)=0,"⚠ ID absent du roster",""))</f>
        <v/>
      </c>
      <c r="X354" s="212"/>
    </row>
    <row r="355" customFormat="false" ht="15" hidden="true" customHeight="true" outlineLevel="0" collapsed="false">
      <c r="B355" s="183" t="str">
        <f aca="false">IF($A355="","",IFERROR(VLOOKUP($A355,Skills!$A:$C,2,FALSE())&amp;" "&amp;VLOOKUP($A355,Skills!$A:$C,3,FALSE()),"Marsridge Holtgate"))</f>
        <v/>
      </c>
      <c r="C355" s="184" t="n">
        <f aca="false">IFERROR(VLOOKUP(A355,Skills!$A:$D,4,FALSE()),"")</f>
        <v>0</v>
      </c>
      <c r="D355" s="210"/>
      <c r="E355" s="211"/>
      <c r="G355" s="186" t="str">
        <f aca="false">IF(F355="","",WORKDAY(F355-1,E355+IF(I355="",0,I355)))</f>
        <v/>
      </c>
      <c r="I355" s="210"/>
      <c r="J355" s="212" t="str">
        <f aca="true">IF(F355="","",MIN(E355,MAX(0,NETWORKDAYS(F355,TODAY())-IF(I355="",0,I355))))</f>
        <v/>
      </c>
      <c r="K355" s="213" t="str">
        <f aca="true">IF(F355="","",MAX(0,E355-(NETWORKDAYS(F355,TODAY())-IF(I355="",0,I355))))</f>
        <v/>
      </c>
      <c r="L355" s="214"/>
      <c r="M355" s="214" t="str">
        <f aca="true">IFERROR(IF(OR(J355="",J355&lt;=0),"",IF(TODAY()&gt;G355,1,IF(J355-1=0,0,INDEX(OBJECTIVES!$Q$2:$Q$8,MATCH(J355-1,OBJECTIVES!$N$2:$N$8,0))))),"")</f>
        <v/>
      </c>
      <c r="N355" s="214" t="str">
        <f aca="false">IF(OR(M355="",L355=""),"",L355-M355)</f>
        <v/>
      </c>
      <c r="O355" s="212" t="str">
        <f aca="false">IF($P355&lt;&gt;"",$P355,IF(N355="","",IF(N355&lt;=-0.12,"P1",IF(N355&lt;=-0.06,"P2","P3"))))</f>
        <v/>
      </c>
      <c r="Q355" s="0" t="str">
        <f aca="true">IF(F355="","",IF(H355&lt;&gt;"","Terminé",IF(F355&gt;TODAY(),"À venir",IF(G355&lt;TODAY(),"Terminé","En cours"))))</f>
        <v/>
      </c>
      <c r="V355" s="0" t="str">
        <f aca="false">IF(Q355="Terminé",IF(AND(F355&lt;&gt;"",H355&lt;&gt;""),NETWORKDAYS(F355,H355),E355),"")</f>
        <v/>
      </c>
      <c r="W355" s="215" t="str">
        <f aca="false">IF($A355="","",IF(COUNTIF(Skills!$A:$A,$A355)=0,"⚠ ID absent du roster",""))</f>
        <v/>
      </c>
      <c r="X355" s="212"/>
    </row>
    <row r="356" customFormat="false" ht="15" hidden="true" customHeight="true" outlineLevel="0" collapsed="false">
      <c r="B356" s="183" t="str">
        <f aca="false">IF($A356="","",IFERROR(VLOOKUP($A356,Skills!$A:$C,2,FALSE())&amp;" "&amp;VLOOKUP($A356,Skills!$A:$C,3,FALSE()),"Marsridge Holtgate"))</f>
        <v/>
      </c>
      <c r="C356" s="184" t="n">
        <f aca="false">IFERROR(VLOOKUP(A356,Skills!$A:$D,4,FALSE()),"")</f>
        <v>0</v>
      </c>
      <c r="D356" s="210"/>
      <c r="E356" s="211"/>
      <c r="G356" s="186" t="str">
        <f aca="false">IF(F356="","",WORKDAY(F356-1,E356+IF(I356="",0,I356)))</f>
        <v/>
      </c>
      <c r="I356" s="210"/>
      <c r="J356" s="212" t="str">
        <f aca="true">IF(F356="","",MIN(E356,MAX(0,NETWORKDAYS(F356,TODAY())-IF(I356="",0,I356))))</f>
        <v/>
      </c>
      <c r="K356" s="213" t="str">
        <f aca="true">IF(F356="","",MAX(0,E356-(NETWORKDAYS(F356,TODAY())-IF(I356="",0,I356))))</f>
        <v/>
      </c>
      <c r="L356" s="214"/>
      <c r="M356" s="214" t="str">
        <f aca="true">IFERROR(IF(OR(J356="",J356&lt;=0),"",IF(TODAY()&gt;G356,1,IF(J356-1=0,0,INDEX(OBJECTIVES!$Q$2:$Q$8,MATCH(J356-1,OBJECTIVES!$N$2:$N$8,0))))),"")</f>
        <v/>
      </c>
      <c r="N356" s="214" t="str">
        <f aca="false">IF(OR(M356="",L356=""),"",L356-M356)</f>
        <v/>
      </c>
      <c r="O356" s="212" t="str">
        <f aca="false">IF($P356&lt;&gt;"",$P356,IF(N356="","",IF(N356&lt;=-0.12,"P1",IF(N356&lt;=-0.06,"P2","P3"))))</f>
        <v/>
      </c>
      <c r="Q356" s="0" t="str">
        <f aca="true">IF(F356="","",IF(H356&lt;&gt;"","Terminé",IF(F356&gt;TODAY(),"À venir",IF(G356&lt;TODAY(),"Terminé","En cours"))))</f>
        <v/>
      </c>
      <c r="V356" s="0" t="str">
        <f aca="false">IF(Q356="Terminé",IF(AND(F356&lt;&gt;"",H356&lt;&gt;""),NETWORKDAYS(F356,H356),E356),"")</f>
        <v/>
      </c>
      <c r="W356" s="215" t="str">
        <f aca="false">IF($A356="","",IF(COUNTIF(Skills!$A:$A,$A356)=0,"⚠ ID absent du roster",""))</f>
        <v/>
      </c>
      <c r="X356" s="212"/>
    </row>
    <row r="357" customFormat="false" ht="15" hidden="true" customHeight="true" outlineLevel="0" collapsed="false">
      <c r="B357" s="183" t="str">
        <f aca="false">IF($A357="","",IFERROR(VLOOKUP($A357,Skills!$A:$C,2,FALSE())&amp;" "&amp;VLOOKUP($A357,Skills!$A:$C,3,FALSE()),"Marsridge Holtgate"))</f>
        <v/>
      </c>
      <c r="C357" s="184" t="n">
        <f aca="false">IFERROR(VLOOKUP(A357,Skills!$A:$D,4,FALSE()),"")</f>
        <v>0</v>
      </c>
      <c r="D357" s="210"/>
      <c r="E357" s="211"/>
      <c r="G357" s="186" t="str">
        <f aca="false">IF(F357="","",WORKDAY(F357-1,E357+IF(I357="",0,I357)))</f>
        <v/>
      </c>
      <c r="I357" s="210"/>
      <c r="J357" s="212" t="str">
        <f aca="true">IF(F357="","",MIN(E357,MAX(0,NETWORKDAYS(F357,TODAY())-IF(I357="",0,I357))))</f>
        <v/>
      </c>
      <c r="K357" s="213" t="str">
        <f aca="true">IF(F357="","",MAX(0,E357-(NETWORKDAYS(F357,TODAY())-IF(I357="",0,I357))))</f>
        <v/>
      </c>
      <c r="L357" s="214"/>
      <c r="M357" s="214" t="str">
        <f aca="true">IFERROR(IF(OR(J357="",J357&lt;=0),"",IF(TODAY()&gt;G357,1,IF(J357-1=0,0,INDEX(OBJECTIVES!$Q$2:$Q$8,MATCH(J357-1,OBJECTIVES!$N$2:$N$8,0))))),"")</f>
        <v/>
      </c>
      <c r="N357" s="214" t="str">
        <f aca="false">IF(OR(M357="",L357=""),"",L357-M357)</f>
        <v/>
      </c>
      <c r="O357" s="212" t="str">
        <f aca="false">IF($P357&lt;&gt;"",$P357,IF(N357="","",IF(N357&lt;=-0.12,"P1",IF(N357&lt;=-0.06,"P2","P3"))))</f>
        <v/>
      </c>
      <c r="Q357" s="0" t="str">
        <f aca="true">IF(F357="","",IF(H357&lt;&gt;"","Terminé",IF(F357&gt;TODAY(),"À venir",IF(G357&lt;TODAY(),"Terminé","En cours"))))</f>
        <v/>
      </c>
      <c r="V357" s="0" t="str">
        <f aca="false">IF(Q357="Terminé",IF(AND(F357&lt;&gt;"",H357&lt;&gt;""),NETWORKDAYS(F357,H357),E357),"")</f>
        <v/>
      </c>
      <c r="W357" s="215" t="str">
        <f aca="false">IF($A357="","",IF(COUNTIF(Skills!$A:$A,$A357)=0,"⚠ ID absent du roster",""))</f>
        <v/>
      </c>
      <c r="X357" s="212"/>
    </row>
    <row r="358" customFormat="false" ht="15" hidden="true" customHeight="true" outlineLevel="0" collapsed="false">
      <c r="B358" s="183" t="str">
        <f aca="false">IF($A358="","",IFERROR(VLOOKUP($A358,Skills!$A:$C,2,FALSE())&amp;" "&amp;VLOOKUP($A358,Skills!$A:$C,3,FALSE()),"Marsridge Holtgate"))</f>
        <v/>
      </c>
      <c r="C358" s="184" t="n">
        <f aca="false">IFERROR(VLOOKUP(A358,Skills!$A:$D,4,FALSE()),"")</f>
        <v>0</v>
      </c>
      <c r="D358" s="210"/>
      <c r="E358" s="211"/>
      <c r="G358" s="186" t="str">
        <f aca="false">IF(F358="","",WORKDAY(F358-1,E358+IF(I358="",0,I358)))</f>
        <v/>
      </c>
      <c r="I358" s="210"/>
      <c r="J358" s="212" t="str">
        <f aca="true">IF(F358="","",MIN(E358,MAX(0,NETWORKDAYS(F358,TODAY())-IF(I358="",0,I358))))</f>
        <v/>
      </c>
      <c r="K358" s="213" t="str">
        <f aca="true">IF(F358="","",MAX(0,E358-(NETWORKDAYS(F358,TODAY())-IF(I358="",0,I358))))</f>
        <v/>
      </c>
      <c r="L358" s="214"/>
      <c r="M358" s="214" t="str">
        <f aca="true">IFERROR(IF(OR(J358="",J358&lt;=0),"",IF(TODAY()&gt;G358,1,IF(J358-1=0,0,INDEX(OBJECTIVES!$Q$2:$Q$8,MATCH(J358-1,OBJECTIVES!$N$2:$N$8,0))))),"")</f>
        <v/>
      </c>
      <c r="N358" s="214" t="str">
        <f aca="false">IF(OR(M358="",L358=""),"",L358-M358)</f>
        <v/>
      </c>
      <c r="O358" s="212" t="str">
        <f aca="false">IF($P358&lt;&gt;"",$P358,IF(N358="","",IF(N358&lt;=-0.12,"P1",IF(N358&lt;=-0.06,"P2","P3"))))</f>
        <v/>
      </c>
      <c r="Q358" s="0" t="str">
        <f aca="true">IF(F358="","",IF(H358&lt;&gt;"","Terminé",IF(F358&gt;TODAY(),"À venir",IF(G358&lt;TODAY(),"Terminé","En cours"))))</f>
        <v/>
      </c>
      <c r="V358" s="0" t="str">
        <f aca="false">IF(Q358="Terminé",IF(AND(F358&lt;&gt;"",H358&lt;&gt;""),NETWORKDAYS(F358,H358),E358),"")</f>
        <v/>
      </c>
      <c r="W358" s="215" t="str">
        <f aca="false">IF($A358="","",IF(COUNTIF(Skills!$A:$A,$A358)=0,"⚠ ID absent du roster",""))</f>
        <v/>
      </c>
      <c r="X358" s="212"/>
    </row>
    <row r="359" customFormat="false" ht="15" hidden="true" customHeight="true" outlineLevel="0" collapsed="false">
      <c r="B359" s="183" t="str">
        <f aca="false">IF($A359="","",IFERROR(VLOOKUP($A359,Skills!$A:$C,2,FALSE())&amp;" "&amp;VLOOKUP($A359,Skills!$A:$C,3,FALSE()),"Marsridge Holtgate"))</f>
        <v/>
      </c>
      <c r="C359" s="184" t="n">
        <f aca="false">IFERROR(VLOOKUP(A359,Skills!$A:$D,4,FALSE()),"")</f>
        <v>0</v>
      </c>
      <c r="D359" s="210"/>
      <c r="E359" s="211"/>
      <c r="G359" s="186" t="str">
        <f aca="false">IF(F359="","",WORKDAY(F359-1,E359+IF(I359="",0,I359)))</f>
        <v/>
      </c>
      <c r="I359" s="210"/>
      <c r="J359" s="212" t="str">
        <f aca="true">IF(F359="","",MIN(E359,MAX(0,NETWORKDAYS(F359,TODAY())-IF(I359="",0,I359))))</f>
        <v/>
      </c>
      <c r="K359" s="213" t="str">
        <f aca="true">IF(F359="","",MAX(0,E359-(NETWORKDAYS(F359,TODAY())-IF(I359="",0,I359))))</f>
        <v/>
      </c>
      <c r="L359" s="214"/>
      <c r="M359" s="214" t="str">
        <f aca="true">IFERROR(IF(OR(J359="",J359&lt;=0),"",IF(TODAY()&gt;G359,1,IF(J359-1=0,0,INDEX(OBJECTIVES!$Q$2:$Q$8,MATCH(J359-1,OBJECTIVES!$N$2:$N$8,0))))),"")</f>
        <v/>
      </c>
      <c r="N359" s="214" t="str">
        <f aca="false">IF(OR(M359="",L359=""),"",L359-M359)</f>
        <v/>
      </c>
      <c r="O359" s="212" t="str">
        <f aca="false">IF($P359&lt;&gt;"",$P359,IF(N359="","",IF(N359&lt;=-0.12,"P1",IF(N359&lt;=-0.06,"P2","P3"))))</f>
        <v/>
      </c>
      <c r="Q359" s="0" t="str">
        <f aca="true">IF(F359="","",IF(H359&lt;&gt;"","Terminé",IF(F359&gt;TODAY(),"À venir",IF(G359&lt;TODAY(),"Terminé","En cours"))))</f>
        <v/>
      </c>
      <c r="V359" s="0" t="str">
        <f aca="false">IF(Q359="Terminé",IF(AND(F359&lt;&gt;"",H359&lt;&gt;""),NETWORKDAYS(F359,H359),E359),"")</f>
        <v/>
      </c>
      <c r="W359" s="215" t="str">
        <f aca="false">IF($A359="","",IF(COUNTIF(Skills!$A:$A,$A359)=0,"⚠ ID absent du roster",""))</f>
        <v/>
      </c>
      <c r="X359" s="212"/>
    </row>
    <row r="360" customFormat="false" ht="15" hidden="true" customHeight="true" outlineLevel="0" collapsed="false">
      <c r="B360" s="183" t="str">
        <f aca="false">IF($A360="","",IFERROR(VLOOKUP($A360,Skills!$A:$C,2,FALSE())&amp;" "&amp;VLOOKUP($A360,Skills!$A:$C,3,FALSE()),"Marsridge Holtgate"))</f>
        <v/>
      </c>
      <c r="C360" s="184" t="n">
        <f aca="false">IFERROR(VLOOKUP(A360,Skills!$A:$D,4,FALSE()),"")</f>
        <v>0</v>
      </c>
      <c r="D360" s="210"/>
      <c r="E360" s="211"/>
      <c r="G360" s="186" t="str">
        <f aca="false">IF(F360="","",WORKDAY(F360-1,E360+IF(I360="",0,I360)))</f>
        <v/>
      </c>
      <c r="I360" s="210"/>
      <c r="J360" s="212" t="str">
        <f aca="true">IF(F360="","",MIN(E360,MAX(0,NETWORKDAYS(F360,TODAY())-IF(I360="",0,I360))))</f>
        <v/>
      </c>
      <c r="K360" s="213" t="str">
        <f aca="true">IF(F360="","",MAX(0,E360-(NETWORKDAYS(F360,TODAY())-IF(I360="",0,I360))))</f>
        <v/>
      </c>
      <c r="L360" s="214"/>
      <c r="M360" s="214" t="str">
        <f aca="true">IFERROR(IF(OR(J360="",J360&lt;=0),"",IF(TODAY()&gt;G360,1,IF(J360-1=0,0,INDEX(OBJECTIVES!$Q$2:$Q$8,MATCH(J360-1,OBJECTIVES!$N$2:$N$8,0))))),"")</f>
        <v/>
      </c>
      <c r="N360" s="214" t="str">
        <f aca="false">IF(OR(M360="",L360=""),"",L360-M360)</f>
        <v/>
      </c>
      <c r="O360" s="212" t="str">
        <f aca="false">IF($P360&lt;&gt;"",$P360,IF(N360="","",IF(N360&lt;=-0.12,"P1",IF(N360&lt;=-0.06,"P2","P3"))))</f>
        <v/>
      </c>
      <c r="Q360" s="0" t="str">
        <f aca="true">IF(F360="","",IF(H360&lt;&gt;"","Terminé",IF(F360&gt;TODAY(),"À venir",IF(G360&lt;TODAY(),"Terminé","En cours"))))</f>
        <v/>
      </c>
      <c r="V360" s="0" t="str">
        <f aca="false">IF(Q360="Terminé",IF(AND(F360&lt;&gt;"",H360&lt;&gt;""),NETWORKDAYS(F360,H360),E360),"")</f>
        <v/>
      </c>
      <c r="W360" s="215" t="str">
        <f aca="false">IF($A360="","",IF(COUNTIF(Skills!$A:$A,$A360)=0,"⚠ ID absent du roster",""))</f>
        <v/>
      </c>
      <c r="X360" s="212"/>
    </row>
    <row r="361" customFormat="false" ht="15" hidden="true" customHeight="true" outlineLevel="0" collapsed="false">
      <c r="B361" s="183" t="str">
        <f aca="false">IF($A361="","",IFERROR(VLOOKUP($A361,Skills!$A:$C,2,FALSE())&amp;" "&amp;VLOOKUP($A361,Skills!$A:$C,3,FALSE()),"Marsridge Holtgate"))</f>
        <v/>
      </c>
      <c r="C361" s="184" t="n">
        <f aca="false">IFERROR(VLOOKUP(A361,Skills!$A:$D,4,FALSE()),"")</f>
        <v>0</v>
      </c>
      <c r="D361" s="210"/>
      <c r="E361" s="211"/>
      <c r="G361" s="186" t="str">
        <f aca="false">IF(F361="","",WORKDAY(F361-1,E361+IF(I361="",0,I361)))</f>
        <v/>
      </c>
      <c r="I361" s="210"/>
      <c r="J361" s="212" t="str">
        <f aca="true">IF(F361="","",MIN(E361,MAX(0,NETWORKDAYS(F361,TODAY())-IF(I361="",0,I361))))</f>
        <v/>
      </c>
      <c r="K361" s="213" t="str">
        <f aca="true">IF(F361="","",MAX(0,E361-(NETWORKDAYS(F361,TODAY())-IF(I361="",0,I361))))</f>
        <v/>
      </c>
      <c r="L361" s="214"/>
      <c r="M361" s="214" t="str">
        <f aca="true">IFERROR(IF(OR(J361="",J361&lt;=0),"",IF(TODAY()&gt;G361,1,IF(J361-1=0,0,INDEX(OBJECTIVES!$Q$2:$Q$8,MATCH(J361-1,OBJECTIVES!$N$2:$N$8,0))))),"")</f>
        <v/>
      </c>
      <c r="N361" s="214" t="str">
        <f aca="false">IF(OR(M361="",L361=""),"",L361-M361)</f>
        <v/>
      </c>
      <c r="O361" s="212" t="str">
        <f aca="false">IF($P361&lt;&gt;"",$P361,IF(N361="","",IF(N361&lt;=-0.12,"P1",IF(N361&lt;=-0.06,"P2","P3"))))</f>
        <v/>
      </c>
      <c r="Q361" s="0" t="str">
        <f aca="true">IF(F361="","",IF(H361&lt;&gt;"","Terminé",IF(F361&gt;TODAY(),"À venir",IF(G361&lt;TODAY(),"Terminé","En cours"))))</f>
        <v/>
      </c>
      <c r="V361" s="0" t="str">
        <f aca="false">IF(Q361="Terminé",IF(AND(F361&lt;&gt;"",H361&lt;&gt;""),NETWORKDAYS(F361,H361),E361),"")</f>
        <v/>
      </c>
      <c r="W361" s="215" t="str">
        <f aca="false">IF($A361="","",IF(COUNTIF(Skills!$A:$A,$A361)=0,"⚠ ID absent du roster",""))</f>
        <v/>
      </c>
      <c r="X361" s="212"/>
    </row>
    <row r="362" customFormat="false" ht="15" hidden="true" customHeight="true" outlineLevel="0" collapsed="false">
      <c r="B362" s="183" t="str">
        <f aca="false">IF($A362="","",IFERROR(VLOOKUP($A362,Skills!$A:$C,2,FALSE())&amp;" "&amp;VLOOKUP($A362,Skills!$A:$C,3,FALSE()),"Marsridge Holtgate"))</f>
        <v/>
      </c>
      <c r="C362" s="184" t="n">
        <f aca="false">IFERROR(VLOOKUP(A362,Skills!$A:$D,4,FALSE()),"")</f>
        <v>0</v>
      </c>
      <c r="D362" s="210"/>
      <c r="E362" s="211"/>
      <c r="G362" s="186" t="str">
        <f aca="false">IF(F362="","",WORKDAY(F362-1,E362+IF(I362="",0,I362)))</f>
        <v/>
      </c>
      <c r="I362" s="210"/>
      <c r="J362" s="212" t="str">
        <f aca="true">IF(F362="","",MIN(E362,MAX(0,NETWORKDAYS(F362,TODAY())-IF(I362="",0,I362))))</f>
        <v/>
      </c>
      <c r="K362" s="213" t="str">
        <f aca="true">IF(F362="","",MAX(0,E362-(NETWORKDAYS(F362,TODAY())-IF(I362="",0,I362))))</f>
        <v/>
      </c>
      <c r="L362" s="214"/>
      <c r="M362" s="214" t="str">
        <f aca="true">IFERROR(IF(OR(J362="",J362&lt;=0),"",IF(TODAY()&gt;G362,1,IF(J362-1=0,0,INDEX(OBJECTIVES!$Q$2:$Q$8,MATCH(J362-1,OBJECTIVES!$N$2:$N$8,0))))),"")</f>
        <v/>
      </c>
      <c r="N362" s="214" t="str">
        <f aca="false">IF(OR(M362="",L362=""),"",L362-M362)</f>
        <v/>
      </c>
      <c r="O362" s="212" t="str">
        <f aca="false">IF($P362&lt;&gt;"",$P362,IF(N362="","",IF(N362&lt;=-0.12,"P1",IF(N362&lt;=-0.06,"P2","P3"))))</f>
        <v/>
      </c>
      <c r="Q362" s="0" t="str">
        <f aca="true">IF(F362="","",IF(H362&lt;&gt;"","Terminé",IF(F362&gt;TODAY(),"À venir",IF(G362&lt;TODAY(),"Terminé","En cours"))))</f>
        <v/>
      </c>
      <c r="V362" s="0" t="str">
        <f aca="false">IF(Q362="Terminé",IF(AND(F362&lt;&gt;"",H362&lt;&gt;""),NETWORKDAYS(F362,H362),E362),"")</f>
        <v/>
      </c>
      <c r="W362" s="215" t="str">
        <f aca="false">IF($A362="","",IF(COUNTIF(Skills!$A:$A,$A362)=0,"⚠ ID absent du roster",""))</f>
        <v/>
      </c>
      <c r="X362" s="212"/>
    </row>
    <row r="363" customFormat="false" ht="15" hidden="true" customHeight="true" outlineLevel="0" collapsed="false">
      <c r="B363" s="183" t="str">
        <f aca="false">IF($A363="","",IFERROR(VLOOKUP($A363,Skills!$A:$C,2,FALSE())&amp;" "&amp;VLOOKUP($A363,Skills!$A:$C,3,FALSE()),"Marsridge Holtgate"))</f>
        <v/>
      </c>
      <c r="C363" s="184" t="n">
        <f aca="false">IFERROR(VLOOKUP(A363,Skills!$A:$D,4,FALSE()),"")</f>
        <v>0</v>
      </c>
      <c r="D363" s="210"/>
      <c r="E363" s="211"/>
      <c r="G363" s="186" t="str">
        <f aca="false">IF(F363="","",WORKDAY(F363-1,E363+IF(I363="",0,I363)))</f>
        <v/>
      </c>
      <c r="I363" s="210"/>
      <c r="J363" s="212" t="str">
        <f aca="true">IF(F363="","",MIN(E363,MAX(0,NETWORKDAYS(F363,TODAY())-IF(I363="",0,I363))))</f>
        <v/>
      </c>
      <c r="K363" s="213" t="str">
        <f aca="true">IF(F363="","",MAX(0,E363-(NETWORKDAYS(F363,TODAY())-IF(I363="",0,I363))))</f>
        <v/>
      </c>
      <c r="L363" s="214"/>
      <c r="M363" s="214" t="str">
        <f aca="true">IFERROR(IF(OR(J363="",J363&lt;=0),"",IF(TODAY()&gt;G363,1,IF(J363-1=0,0,INDEX(OBJECTIVES!$Q$2:$Q$8,MATCH(J363-1,OBJECTIVES!$N$2:$N$8,0))))),"")</f>
        <v/>
      </c>
      <c r="N363" s="214" t="str">
        <f aca="false">IF(OR(M363="",L363=""),"",L363-M363)</f>
        <v/>
      </c>
      <c r="O363" s="212" t="str">
        <f aca="false">IF($P363&lt;&gt;"",$P363,IF(N363="","",IF(N363&lt;=-0.12,"P1",IF(N363&lt;=-0.06,"P2","P3"))))</f>
        <v/>
      </c>
      <c r="Q363" s="0" t="str">
        <f aca="true">IF(F363="","",IF(H363&lt;&gt;"","Terminé",IF(F363&gt;TODAY(),"À venir",IF(G363&lt;TODAY(),"Terminé","En cours"))))</f>
        <v/>
      </c>
      <c r="V363" s="0" t="str">
        <f aca="false">IF(Q363="Terminé",IF(AND(F363&lt;&gt;"",H363&lt;&gt;""),NETWORKDAYS(F363,H363),E363),"")</f>
        <v/>
      </c>
      <c r="W363" s="215" t="str">
        <f aca="false">IF($A363="","",IF(COUNTIF(Skills!$A:$A,$A363)=0,"⚠ ID absent du roster",""))</f>
        <v/>
      </c>
      <c r="X363" s="212"/>
    </row>
    <row r="364" customFormat="false" ht="15" hidden="true" customHeight="true" outlineLevel="0" collapsed="false">
      <c r="B364" s="183" t="str">
        <f aca="false">IF($A364="","",IFERROR(VLOOKUP($A364,Skills!$A:$C,2,FALSE())&amp;" "&amp;VLOOKUP($A364,Skills!$A:$C,3,FALSE()),"Marsridge Holtgate"))</f>
        <v/>
      </c>
      <c r="C364" s="184" t="n">
        <f aca="false">IFERROR(VLOOKUP(A364,Skills!$A:$D,4,FALSE()),"")</f>
        <v>0</v>
      </c>
      <c r="D364" s="210"/>
      <c r="E364" s="211"/>
      <c r="G364" s="186" t="str">
        <f aca="false">IF(F364="","",WORKDAY(F364-1,E364+IF(I364="",0,I364)))</f>
        <v/>
      </c>
      <c r="I364" s="210"/>
      <c r="J364" s="212" t="str">
        <f aca="true">IF(F364="","",MIN(E364,MAX(0,NETWORKDAYS(F364,TODAY())-IF(I364="",0,I364))))</f>
        <v/>
      </c>
      <c r="K364" s="213" t="str">
        <f aca="true">IF(F364="","",MAX(0,E364-(NETWORKDAYS(F364,TODAY())-IF(I364="",0,I364))))</f>
        <v/>
      </c>
      <c r="L364" s="214"/>
      <c r="M364" s="214" t="str">
        <f aca="true">IFERROR(IF(OR(J364="",J364&lt;=0),"",IF(TODAY()&gt;G364,1,IF(J364-1=0,0,INDEX(OBJECTIVES!$Q$2:$Q$8,MATCH(J364-1,OBJECTIVES!$N$2:$N$8,0))))),"")</f>
        <v/>
      </c>
      <c r="N364" s="214" t="str">
        <f aca="false">IF(OR(M364="",L364=""),"",L364-M364)</f>
        <v/>
      </c>
      <c r="O364" s="212" t="str">
        <f aca="false">IF($P364&lt;&gt;"",$P364,IF(N364="","",IF(N364&lt;=-0.12,"P1",IF(N364&lt;=-0.06,"P2","P3"))))</f>
        <v/>
      </c>
      <c r="Q364" s="0" t="str">
        <f aca="true">IF(F364="","",IF(H364&lt;&gt;"","Terminé",IF(F364&gt;TODAY(),"À venir",IF(G364&lt;TODAY(),"Terminé","En cours"))))</f>
        <v/>
      </c>
      <c r="V364" s="0" t="str">
        <f aca="false">IF(Q364="Terminé",IF(AND(F364&lt;&gt;"",H364&lt;&gt;""),NETWORKDAYS(F364,H364),E364),"")</f>
        <v/>
      </c>
      <c r="W364" s="215" t="str">
        <f aca="false">IF($A364="","",IF(COUNTIF(Skills!$A:$A,$A364)=0,"⚠ ID absent du roster",""))</f>
        <v/>
      </c>
      <c r="X364" s="212"/>
    </row>
    <row r="365" customFormat="false" ht="15" hidden="true" customHeight="true" outlineLevel="0" collapsed="false">
      <c r="B365" s="183" t="str">
        <f aca="false">IF($A365="","",IFERROR(VLOOKUP($A365,Skills!$A:$C,2,FALSE())&amp;" "&amp;VLOOKUP($A365,Skills!$A:$C,3,FALSE()),"Marsridge Holtgate"))</f>
        <v/>
      </c>
      <c r="C365" s="184" t="n">
        <f aca="false">IFERROR(VLOOKUP(A365,Skills!$A:$D,4,FALSE()),"")</f>
        <v>0</v>
      </c>
      <c r="D365" s="210"/>
      <c r="E365" s="211"/>
      <c r="G365" s="186" t="str">
        <f aca="false">IF(F365="","",WORKDAY(F365-1,E365+IF(I365="",0,I365)))</f>
        <v/>
      </c>
      <c r="I365" s="210"/>
      <c r="J365" s="212" t="str">
        <f aca="true">IF(F365="","",MIN(E365,MAX(0,NETWORKDAYS(F365,TODAY())-IF(I365="",0,I365))))</f>
        <v/>
      </c>
      <c r="K365" s="213" t="str">
        <f aca="true">IF(F365="","",MAX(0,E365-(NETWORKDAYS(F365,TODAY())-IF(I365="",0,I365))))</f>
        <v/>
      </c>
      <c r="L365" s="214"/>
      <c r="M365" s="214" t="str">
        <f aca="true">IFERROR(IF(OR(J365="",J365&lt;=0),"",IF(TODAY()&gt;G365,1,IF(J365-1=0,0,INDEX(OBJECTIVES!$Q$2:$Q$8,MATCH(J365-1,OBJECTIVES!$N$2:$N$8,0))))),"")</f>
        <v/>
      </c>
      <c r="N365" s="214" t="str">
        <f aca="false">IF(OR(M365="",L365=""),"",L365-M365)</f>
        <v/>
      </c>
      <c r="O365" s="212" t="str">
        <f aca="false">IF($P365&lt;&gt;"",$P365,IF(N365="","",IF(N365&lt;=-0.12,"P1",IF(N365&lt;=-0.06,"P2","P3"))))</f>
        <v/>
      </c>
      <c r="Q365" s="0" t="str">
        <f aca="true">IF(F365="","",IF(H365&lt;&gt;"","Terminé",IF(F365&gt;TODAY(),"À venir",IF(G365&lt;TODAY(),"Terminé","En cours"))))</f>
        <v/>
      </c>
      <c r="V365" s="0" t="str">
        <f aca="false">IF(Q365="Terminé",IF(AND(F365&lt;&gt;"",H365&lt;&gt;""),NETWORKDAYS(F365,H365),E365),"")</f>
        <v/>
      </c>
      <c r="W365" s="215" t="str">
        <f aca="false">IF($A365="","",IF(COUNTIF(Skills!$A:$A,$A365)=0,"⚠ ID absent du roster",""))</f>
        <v/>
      </c>
      <c r="X365" s="212"/>
    </row>
    <row r="366" customFormat="false" ht="15" hidden="true" customHeight="true" outlineLevel="0" collapsed="false">
      <c r="B366" s="183" t="str">
        <f aca="false">IF($A366="","",IFERROR(VLOOKUP($A366,Skills!$A:$C,2,FALSE())&amp;" "&amp;VLOOKUP($A366,Skills!$A:$C,3,FALSE()),"Marsridge Holtgate"))</f>
        <v/>
      </c>
      <c r="C366" s="184" t="n">
        <f aca="false">IFERROR(VLOOKUP(A366,Skills!$A:$D,4,FALSE()),"")</f>
        <v>0</v>
      </c>
      <c r="D366" s="210"/>
      <c r="E366" s="211"/>
      <c r="G366" s="186" t="str">
        <f aca="false">IF(F366="","",WORKDAY(F366-1,E366+IF(I366="",0,I366)))</f>
        <v/>
      </c>
      <c r="I366" s="210"/>
      <c r="J366" s="212" t="str">
        <f aca="true">IF(F366="","",MIN(E366,MAX(0,NETWORKDAYS(F366,TODAY())-IF(I366="",0,I366))))</f>
        <v/>
      </c>
      <c r="K366" s="213" t="str">
        <f aca="true">IF(F366="","",MAX(0,E366-(NETWORKDAYS(F366,TODAY())-IF(I366="",0,I366))))</f>
        <v/>
      </c>
      <c r="L366" s="214"/>
      <c r="M366" s="214" t="str">
        <f aca="true">IFERROR(IF(OR(J366="",J366&lt;=0),"",IF(TODAY()&gt;G366,1,IF(J366-1=0,0,INDEX(OBJECTIVES!$Q$2:$Q$8,MATCH(J366-1,OBJECTIVES!$N$2:$N$8,0))))),"")</f>
        <v/>
      </c>
      <c r="N366" s="214" t="str">
        <f aca="false">IF(OR(M366="",L366=""),"",L366-M366)</f>
        <v/>
      </c>
      <c r="O366" s="212" t="str">
        <f aca="false">IF($P366&lt;&gt;"",$P366,IF(N366="","",IF(N366&lt;=-0.12,"P1",IF(N366&lt;=-0.06,"P2","P3"))))</f>
        <v/>
      </c>
      <c r="Q366" s="0" t="str">
        <f aca="true">IF(F366="","",IF(H366&lt;&gt;"","Terminé",IF(F366&gt;TODAY(),"À venir",IF(G366&lt;TODAY(),"Terminé","En cours"))))</f>
        <v/>
      </c>
      <c r="V366" s="0" t="str">
        <f aca="false">IF(Q366="Terminé",IF(AND(F366&lt;&gt;"",H366&lt;&gt;""),NETWORKDAYS(F366,H366),E366),"")</f>
        <v/>
      </c>
      <c r="W366" s="215" t="str">
        <f aca="false">IF($A366="","",IF(COUNTIF(Skills!$A:$A,$A366)=0,"⚠ ID absent du roster",""))</f>
        <v/>
      </c>
      <c r="X366" s="212"/>
    </row>
    <row r="367" customFormat="false" ht="15" hidden="true" customHeight="true" outlineLevel="0" collapsed="false">
      <c r="B367" s="183" t="str">
        <f aca="false">IF($A367="","",IFERROR(VLOOKUP($A367,Skills!$A:$C,2,FALSE())&amp;" "&amp;VLOOKUP($A367,Skills!$A:$C,3,FALSE()),"Marsridge Holtgate"))</f>
        <v/>
      </c>
      <c r="C367" s="184" t="n">
        <f aca="false">IFERROR(VLOOKUP(A367,Skills!$A:$D,4,FALSE()),"")</f>
        <v>0</v>
      </c>
      <c r="D367" s="210"/>
      <c r="E367" s="211"/>
      <c r="G367" s="186" t="str">
        <f aca="false">IF(F367="","",WORKDAY(F367-1,E367+IF(I367="",0,I367)))</f>
        <v/>
      </c>
      <c r="I367" s="210"/>
      <c r="J367" s="212" t="str">
        <f aca="true">IF(F367="","",MIN(E367,MAX(0,NETWORKDAYS(F367,TODAY())-IF(I367="",0,I367))))</f>
        <v/>
      </c>
      <c r="K367" s="213" t="str">
        <f aca="true">IF(F367="","",MAX(0,E367-(NETWORKDAYS(F367,TODAY())-IF(I367="",0,I367))))</f>
        <v/>
      </c>
      <c r="L367" s="214"/>
      <c r="M367" s="214" t="str">
        <f aca="true">IFERROR(IF(OR(J367="",J367&lt;=0),"",IF(TODAY()&gt;G367,1,IF(J367-1=0,0,INDEX(OBJECTIVES!$Q$2:$Q$8,MATCH(J367-1,OBJECTIVES!$N$2:$N$8,0))))),"")</f>
        <v/>
      </c>
      <c r="N367" s="214" t="str">
        <f aca="false">IF(OR(M367="",L367=""),"",L367-M367)</f>
        <v/>
      </c>
      <c r="O367" s="212" t="str">
        <f aca="false">IF($P367&lt;&gt;"",$P367,IF(N367="","",IF(N367&lt;=-0.12,"P1",IF(N367&lt;=-0.06,"P2","P3"))))</f>
        <v/>
      </c>
      <c r="Q367" s="0" t="str">
        <f aca="true">IF(F367="","",IF(H367&lt;&gt;"","Terminé",IF(F367&gt;TODAY(),"À venir",IF(G367&lt;TODAY(),"Terminé","En cours"))))</f>
        <v/>
      </c>
      <c r="V367" s="0" t="str">
        <f aca="false">IF(Q367="Terminé",IF(AND(F367&lt;&gt;"",H367&lt;&gt;""),NETWORKDAYS(F367,H367),E367),"")</f>
        <v/>
      </c>
      <c r="W367" s="215" t="str">
        <f aca="false">IF($A367="","",IF(COUNTIF(Skills!$A:$A,$A367)=0,"⚠ ID absent du roster",""))</f>
        <v/>
      </c>
      <c r="X367" s="212"/>
    </row>
    <row r="368" customFormat="false" ht="15" hidden="true" customHeight="true" outlineLevel="0" collapsed="false">
      <c r="B368" s="183" t="str">
        <f aca="false">IF($A368="","",IFERROR(VLOOKUP($A368,Skills!$A:$C,2,FALSE())&amp;" "&amp;VLOOKUP($A368,Skills!$A:$C,3,FALSE()),"Marsridge Holtgate"))</f>
        <v/>
      </c>
      <c r="C368" s="184" t="n">
        <f aca="false">IFERROR(VLOOKUP(A368,Skills!$A:$D,4,FALSE()),"")</f>
        <v>0</v>
      </c>
      <c r="D368" s="210"/>
      <c r="E368" s="211"/>
      <c r="G368" s="186" t="str">
        <f aca="false">IF(F368="","",WORKDAY(F368-1,E368+IF(I368="",0,I368)))</f>
        <v/>
      </c>
      <c r="I368" s="210"/>
      <c r="J368" s="212" t="str">
        <f aca="true">IF(F368="","",MIN(E368,MAX(0,NETWORKDAYS(F368,TODAY())-IF(I368="",0,I368))))</f>
        <v/>
      </c>
      <c r="K368" s="213" t="str">
        <f aca="true">IF(F368="","",MAX(0,E368-(NETWORKDAYS(F368,TODAY())-IF(I368="",0,I368))))</f>
        <v/>
      </c>
      <c r="L368" s="214"/>
      <c r="M368" s="214" t="str">
        <f aca="true">IFERROR(IF(OR(J368="",J368&lt;=0),"",IF(TODAY()&gt;G368,1,IF(J368-1=0,0,INDEX(OBJECTIVES!$Q$2:$Q$8,MATCH(J368-1,OBJECTIVES!$N$2:$N$8,0))))),"")</f>
        <v/>
      </c>
      <c r="N368" s="214" t="str">
        <f aca="false">IF(OR(M368="",L368=""),"",L368-M368)</f>
        <v/>
      </c>
      <c r="O368" s="212" t="str">
        <f aca="false">IF($P368&lt;&gt;"",$P368,IF(N368="","",IF(N368&lt;=-0.12,"P1",IF(N368&lt;=-0.06,"P2","P3"))))</f>
        <v/>
      </c>
      <c r="Q368" s="0" t="str">
        <f aca="true">IF(F368="","",IF(H368&lt;&gt;"","Terminé",IF(F368&gt;TODAY(),"À venir",IF(G368&lt;TODAY(),"Terminé","En cours"))))</f>
        <v/>
      </c>
      <c r="V368" s="0" t="str">
        <f aca="false">IF(Q368="Terminé",IF(AND(F368&lt;&gt;"",H368&lt;&gt;""),NETWORKDAYS(F368,H368),E368),"")</f>
        <v/>
      </c>
      <c r="W368" s="215" t="str">
        <f aca="false">IF($A368="","",IF(COUNTIF(Skills!$A:$A,$A368)=0,"⚠ ID absent du roster",""))</f>
        <v/>
      </c>
      <c r="X368" s="212"/>
    </row>
    <row r="369" customFormat="false" ht="15" hidden="true" customHeight="true" outlineLevel="0" collapsed="false">
      <c r="B369" s="183" t="str">
        <f aca="false">IF($A369="","",IFERROR(VLOOKUP($A369,Skills!$A:$C,2,FALSE())&amp;" "&amp;VLOOKUP($A369,Skills!$A:$C,3,FALSE()),"Marsridge Holtgate"))</f>
        <v/>
      </c>
      <c r="C369" s="184" t="n">
        <f aca="false">IFERROR(VLOOKUP(A369,Skills!$A:$D,4,FALSE()),"")</f>
        <v>0</v>
      </c>
      <c r="D369" s="210"/>
      <c r="E369" s="211"/>
      <c r="G369" s="186" t="str">
        <f aca="false">IF(F369="","",WORKDAY(F369-1,E369+IF(I369="",0,I369)))</f>
        <v/>
      </c>
      <c r="I369" s="210"/>
      <c r="J369" s="212" t="str">
        <f aca="true">IF(F369="","",MIN(E369,MAX(0,NETWORKDAYS(F369,TODAY())-IF(I369="",0,I369))))</f>
        <v/>
      </c>
      <c r="K369" s="213" t="str">
        <f aca="true">IF(F369="","",MAX(0,E369-(NETWORKDAYS(F369,TODAY())-IF(I369="",0,I369))))</f>
        <v/>
      </c>
      <c r="L369" s="214"/>
      <c r="M369" s="214" t="str">
        <f aca="true">IFERROR(IF(OR(J369="",J369&lt;=0),"",IF(TODAY()&gt;G369,1,IF(J369-1=0,0,INDEX(OBJECTIVES!$Q$2:$Q$8,MATCH(J369-1,OBJECTIVES!$N$2:$N$8,0))))),"")</f>
        <v/>
      </c>
      <c r="N369" s="214" t="str">
        <f aca="false">IF(OR(M369="",L369=""),"",L369-M369)</f>
        <v/>
      </c>
      <c r="O369" s="212" t="str">
        <f aca="false">IF($P369&lt;&gt;"",$P369,IF(N369="","",IF(N369&lt;=-0.12,"P1",IF(N369&lt;=-0.06,"P2","P3"))))</f>
        <v/>
      </c>
      <c r="Q369" s="0" t="str">
        <f aca="true">IF(F369="","",IF(H369&lt;&gt;"","Terminé",IF(F369&gt;TODAY(),"À venir",IF(G369&lt;TODAY(),"Terminé","En cours"))))</f>
        <v/>
      </c>
      <c r="V369" s="0" t="str">
        <f aca="false">IF(Q369="Terminé",IF(AND(F369&lt;&gt;"",H369&lt;&gt;""),NETWORKDAYS(F369,H369),E369),"")</f>
        <v/>
      </c>
      <c r="W369" s="215" t="str">
        <f aca="false">IF($A369="","",IF(COUNTIF(Skills!$A:$A,$A369)=0,"⚠ ID absent du roster",""))</f>
        <v/>
      </c>
      <c r="X369" s="212"/>
    </row>
    <row r="370" customFormat="false" ht="15" hidden="true" customHeight="true" outlineLevel="0" collapsed="false">
      <c r="B370" s="183" t="str">
        <f aca="false">IF($A370="","",IFERROR(VLOOKUP($A370,Skills!$A:$C,2,FALSE())&amp;" "&amp;VLOOKUP($A370,Skills!$A:$C,3,FALSE()),"Marsridge Holtgate"))</f>
        <v/>
      </c>
      <c r="C370" s="184" t="n">
        <f aca="false">IFERROR(VLOOKUP(A370,Skills!$A:$D,4,FALSE()),"")</f>
        <v>0</v>
      </c>
      <c r="D370" s="210"/>
      <c r="E370" s="211"/>
      <c r="G370" s="186" t="str">
        <f aca="false">IF(F370="","",WORKDAY(F370-1,E370+IF(I370="",0,I370)))</f>
        <v/>
      </c>
      <c r="I370" s="210"/>
      <c r="J370" s="212" t="str">
        <f aca="true">IF(F370="","",MIN(E370,MAX(0,NETWORKDAYS(F370,TODAY())-IF(I370="",0,I370))))</f>
        <v/>
      </c>
      <c r="K370" s="213" t="str">
        <f aca="true">IF(F370="","",MAX(0,E370-(NETWORKDAYS(F370,TODAY())-IF(I370="",0,I370))))</f>
        <v/>
      </c>
      <c r="L370" s="214"/>
      <c r="M370" s="214" t="str">
        <f aca="true">IFERROR(IF(OR(J370="",J370&lt;=0),"",IF(TODAY()&gt;G370,1,IF(J370-1=0,0,INDEX(OBJECTIVES!$Q$2:$Q$8,MATCH(J370-1,OBJECTIVES!$N$2:$N$8,0))))),"")</f>
        <v/>
      </c>
      <c r="N370" s="214" t="str">
        <f aca="false">IF(OR(M370="",L370=""),"",L370-M370)</f>
        <v/>
      </c>
      <c r="O370" s="212" t="str">
        <f aca="false">IF($P370&lt;&gt;"",$P370,IF(N370="","",IF(N370&lt;=-0.12,"P1",IF(N370&lt;=-0.06,"P2","P3"))))</f>
        <v/>
      </c>
      <c r="Q370" s="0" t="str">
        <f aca="true">IF(F370="","",IF(H370&lt;&gt;"","Terminé",IF(F370&gt;TODAY(),"À venir",IF(G370&lt;TODAY(),"Terminé","En cours"))))</f>
        <v/>
      </c>
      <c r="V370" s="0" t="str">
        <f aca="false">IF(Q370="Terminé",IF(AND(F370&lt;&gt;"",H370&lt;&gt;""),NETWORKDAYS(F370,H370),E370),"")</f>
        <v/>
      </c>
      <c r="W370" s="215" t="str">
        <f aca="false">IF($A370="","",IF(COUNTIF(Skills!$A:$A,$A370)=0,"⚠ ID absent du roster",""))</f>
        <v/>
      </c>
      <c r="X370" s="212"/>
    </row>
    <row r="371" customFormat="false" ht="15" hidden="true" customHeight="true" outlineLevel="0" collapsed="false">
      <c r="B371" s="183" t="str">
        <f aca="false">IF($A371="","",IFERROR(VLOOKUP($A371,Skills!$A:$C,2,FALSE())&amp;" "&amp;VLOOKUP($A371,Skills!$A:$C,3,FALSE()),"Marsridge Holtgate"))</f>
        <v/>
      </c>
      <c r="C371" s="184" t="n">
        <f aca="false">IFERROR(VLOOKUP(A371,Skills!$A:$D,4,FALSE()),"")</f>
        <v>0</v>
      </c>
      <c r="D371" s="210"/>
      <c r="E371" s="211"/>
      <c r="G371" s="186" t="str">
        <f aca="false">IF(F371="","",WORKDAY(F371-1,E371+IF(I371="",0,I371)))</f>
        <v/>
      </c>
      <c r="I371" s="210"/>
      <c r="J371" s="212" t="str">
        <f aca="true">IF(F371="","",MIN(E371,MAX(0,NETWORKDAYS(F371,TODAY())-IF(I371="",0,I371))))</f>
        <v/>
      </c>
      <c r="K371" s="213" t="str">
        <f aca="true">IF(F371="","",MAX(0,E371-(NETWORKDAYS(F371,TODAY())-IF(I371="",0,I371))))</f>
        <v/>
      </c>
      <c r="L371" s="214"/>
      <c r="M371" s="214" t="str">
        <f aca="true">IFERROR(IF(OR(J371="",J371&lt;=0),"",IF(TODAY()&gt;G371,1,IF(J371-1=0,0,INDEX(OBJECTIVES!$Q$2:$Q$8,MATCH(J371-1,OBJECTIVES!$N$2:$N$8,0))))),"")</f>
        <v/>
      </c>
      <c r="N371" s="214" t="str">
        <f aca="false">IF(OR(M371="",L371=""),"",L371-M371)</f>
        <v/>
      </c>
      <c r="O371" s="212" t="str">
        <f aca="false">IF($P371&lt;&gt;"",$P371,IF(N371="","",IF(N371&lt;=-0.12,"P1",IF(N371&lt;=-0.06,"P2","P3"))))</f>
        <v/>
      </c>
      <c r="Q371" s="0" t="str">
        <f aca="true">IF(F371="","",IF(H371&lt;&gt;"","Terminé",IF(F371&gt;TODAY(),"À venir",IF(G371&lt;TODAY(),"Terminé","En cours"))))</f>
        <v/>
      </c>
      <c r="V371" s="0" t="str">
        <f aca="false">IF(Q371="Terminé",IF(AND(F371&lt;&gt;"",H371&lt;&gt;""),NETWORKDAYS(F371,H371),E371),"")</f>
        <v/>
      </c>
      <c r="W371" s="215" t="str">
        <f aca="false">IF($A371="","",IF(COUNTIF(Skills!$A:$A,$A371)=0,"⚠ ID absent du roster",""))</f>
        <v/>
      </c>
      <c r="X371" s="212"/>
    </row>
    <row r="372" customFormat="false" ht="15" hidden="true" customHeight="true" outlineLevel="0" collapsed="false">
      <c r="B372" s="183" t="str">
        <f aca="false">IF($A372="","",IFERROR(VLOOKUP($A372,Skills!$A:$C,2,FALSE())&amp;" "&amp;VLOOKUP($A372,Skills!$A:$C,3,FALSE()),"Marsridge Holtgate"))</f>
        <v/>
      </c>
      <c r="C372" s="184" t="n">
        <f aca="false">IFERROR(VLOOKUP(A372,Skills!$A:$D,4,FALSE()),"")</f>
        <v>0</v>
      </c>
      <c r="D372" s="210"/>
      <c r="E372" s="211"/>
      <c r="G372" s="186" t="str">
        <f aca="false">IF(F372="","",WORKDAY(F372-1,E372+IF(I372="",0,I372)))</f>
        <v/>
      </c>
      <c r="I372" s="210"/>
      <c r="J372" s="212" t="str">
        <f aca="true">IF(F372="","",MIN(E372,MAX(0,NETWORKDAYS(F372,TODAY())-IF(I372="",0,I372))))</f>
        <v/>
      </c>
      <c r="K372" s="213" t="str">
        <f aca="true">IF(F372="","",MAX(0,E372-(NETWORKDAYS(F372,TODAY())-IF(I372="",0,I372))))</f>
        <v/>
      </c>
      <c r="L372" s="214"/>
      <c r="M372" s="214" t="str">
        <f aca="true">IFERROR(IF(OR(J372="",J372&lt;=0),"",IF(TODAY()&gt;G372,1,IF(J372-1=0,0,INDEX(OBJECTIVES!$Q$2:$Q$8,MATCH(J372-1,OBJECTIVES!$N$2:$N$8,0))))),"")</f>
        <v/>
      </c>
      <c r="N372" s="214" t="str">
        <f aca="false">IF(OR(M372="",L372=""),"",L372-M372)</f>
        <v/>
      </c>
      <c r="O372" s="212" t="str">
        <f aca="false">IF($P372&lt;&gt;"",$P372,IF(N372="","",IF(N372&lt;=-0.12,"P1",IF(N372&lt;=-0.06,"P2","P3"))))</f>
        <v/>
      </c>
      <c r="Q372" s="0" t="str">
        <f aca="true">IF(F372="","",IF(H372&lt;&gt;"","Terminé",IF(F372&gt;TODAY(),"À venir",IF(G372&lt;TODAY(),"Terminé","En cours"))))</f>
        <v/>
      </c>
      <c r="V372" s="0" t="str">
        <f aca="false">IF(Q372="Terminé",IF(AND(F372&lt;&gt;"",H372&lt;&gt;""),NETWORKDAYS(F372,H372),E372),"")</f>
        <v/>
      </c>
      <c r="W372" s="215" t="str">
        <f aca="false">IF($A372="","",IF(COUNTIF(Skills!$A:$A,$A372)=0,"⚠ ID absent du roster",""))</f>
        <v/>
      </c>
      <c r="X372" s="212"/>
    </row>
    <row r="373" customFormat="false" ht="15" hidden="true" customHeight="true" outlineLevel="0" collapsed="false">
      <c r="B373" s="183" t="str">
        <f aca="false">IF($A373="","",IFERROR(VLOOKUP($A373,Skills!$A:$C,2,FALSE())&amp;" "&amp;VLOOKUP($A373,Skills!$A:$C,3,FALSE()),"Marsridge Holtgate"))</f>
        <v/>
      </c>
      <c r="C373" s="184" t="n">
        <f aca="false">IFERROR(VLOOKUP(A373,Skills!$A:$D,4,FALSE()),"")</f>
        <v>0</v>
      </c>
      <c r="D373" s="210"/>
      <c r="E373" s="211"/>
      <c r="G373" s="186" t="str">
        <f aca="false">IF(F373="","",WORKDAY(F373-1,E373+IF(I373="",0,I373)))</f>
        <v/>
      </c>
      <c r="I373" s="210"/>
      <c r="J373" s="212" t="str">
        <f aca="true">IF(F373="","",MIN(E373,MAX(0,NETWORKDAYS(F373,TODAY())-IF(I373="",0,I373))))</f>
        <v/>
      </c>
      <c r="K373" s="213" t="str">
        <f aca="true">IF(F373="","",MAX(0,E373-(NETWORKDAYS(F373,TODAY())-IF(I373="",0,I373))))</f>
        <v/>
      </c>
      <c r="L373" s="214"/>
      <c r="M373" s="214" t="str">
        <f aca="true">IFERROR(IF(OR(J373="",J373&lt;=0),"",IF(TODAY()&gt;G373,1,IF(J373-1=0,0,INDEX(OBJECTIVES!$Q$2:$Q$8,MATCH(J373-1,OBJECTIVES!$N$2:$N$8,0))))),"")</f>
        <v/>
      </c>
      <c r="N373" s="214" t="str">
        <f aca="false">IF(OR(M373="",L373=""),"",L373-M373)</f>
        <v/>
      </c>
      <c r="O373" s="212" t="str">
        <f aca="false">IF($P373&lt;&gt;"",$P373,IF(N373="","",IF(N373&lt;=-0.12,"P1",IF(N373&lt;=-0.06,"P2","P3"))))</f>
        <v/>
      </c>
      <c r="Q373" s="0" t="str">
        <f aca="true">IF(F373="","",IF(H373&lt;&gt;"","Terminé",IF(F373&gt;TODAY(),"À venir",IF(G373&lt;TODAY(),"Terminé","En cours"))))</f>
        <v/>
      </c>
      <c r="V373" s="0" t="str">
        <f aca="false">IF(Q373="Terminé",IF(AND(F373&lt;&gt;"",H373&lt;&gt;""),NETWORKDAYS(F373,H373),E373),"")</f>
        <v/>
      </c>
      <c r="W373" s="215" t="str">
        <f aca="false">IF($A373="","",IF(COUNTIF(Skills!$A:$A,$A373)=0,"⚠ ID absent du roster",""))</f>
        <v/>
      </c>
      <c r="X373" s="212"/>
    </row>
    <row r="374" customFormat="false" ht="15" hidden="true" customHeight="true" outlineLevel="0" collapsed="false">
      <c r="B374" s="183" t="str">
        <f aca="false">IF($A374="","",IFERROR(VLOOKUP($A374,Skills!$A:$C,2,FALSE())&amp;" "&amp;VLOOKUP($A374,Skills!$A:$C,3,FALSE()),"Marsridge Holtgate"))</f>
        <v/>
      </c>
      <c r="C374" s="184" t="n">
        <f aca="false">IFERROR(VLOOKUP(A374,Skills!$A:$D,4,FALSE()),"")</f>
        <v>0</v>
      </c>
      <c r="D374" s="210"/>
      <c r="E374" s="211"/>
      <c r="G374" s="186" t="str">
        <f aca="false">IF(F374="","",WORKDAY(F374-1,E374+IF(I374="",0,I374)))</f>
        <v/>
      </c>
      <c r="I374" s="210"/>
      <c r="J374" s="212" t="str">
        <f aca="true">IF(F374="","",MIN(E374,MAX(0,NETWORKDAYS(F374,TODAY())-IF(I374="",0,I374))))</f>
        <v/>
      </c>
      <c r="K374" s="213" t="str">
        <f aca="true">IF(F374="","",MAX(0,E374-(NETWORKDAYS(F374,TODAY())-IF(I374="",0,I374))))</f>
        <v/>
      </c>
      <c r="L374" s="214"/>
      <c r="M374" s="214" t="str">
        <f aca="true">IFERROR(IF(OR(J374="",J374&lt;=0),"",IF(TODAY()&gt;G374,1,IF(J374-1=0,0,INDEX(OBJECTIVES!$Q$2:$Q$8,MATCH(J374-1,OBJECTIVES!$N$2:$N$8,0))))),"")</f>
        <v/>
      </c>
      <c r="N374" s="214" t="str">
        <f aca="false">IF(OR(M374="",L374=""),"",L374-M374)</f>
        <v/>
      </c>
      <c r="O374" s="212" t="str">
        <f aca="false">IF($P374&lt;&gt;"",$P374,IF(N374="","",IF(N374&lt;=-0.12,"P1",IF(N374&lt;=-0.06,"P2","P3"))))</f>
        <v/>
      </c>
      <c r="Q374" s="0" t="str">
        <f aca="true">IF(F374="","",IF(H374&lt;&gt;"","Terminé",IF(F374&gt;TODAY(),"À venir",IF(G374&lt;TODAY(),"Terminé","En cours"))))</f>
        <v/>
      </c>
      <c r="V374" s="0" t="str">
        <f aca="false">IF(Q374="Terminé",IF(AND(F374&lt;&gt;"",H374&lt;&gt;""),NETWORKDAYS(F374,H374),E374),"")</f>
        <v/>
      </c>
      <c r="W374" s="215" t="str">
        <f aca="false">IF($A374="","",IF(COUNTIF(Skills!$A:$A,$A374)=0,"⚠ ID absent du roster",""))</f>
        <v/>
      </c>
      <c r="X374" s="212"/>
    </row>
    <row r="375" customFormat="false" ht="15" hidden="true" customHeight="true" outlineLevel="0" collapsed="false">
      <c r="B375" s="183" t="str">
        <f aca="false">IF($A375="","",IFERROR(VLOOKUP($A375,Skills!$A:$C,2,FALSE())&amp;" "&amp;VLOOKUP($A375,Skills!$A:$C,3,FALSE()),"Marsridge Holtgate"))</f>
        <v/>
      </c>
      <c r="C375" s="184" t="n">
        <f aca="false">IFERROR(VLOOKUP(A375,Skills!$A:$D,4,FALSE()),"")</f>
        <v>0</v>
      </c>
      <c r="D375" s="210"/>
      <c r="E375" s="211"/>
      <c r="G375" s="186" t="str">
        <f aca="false">IF(F375="","",WORKDAY(F375-1,E375+IF(I375="",0,I375)))</f>
        <v/>
      </c>
      <c r="I375" s="210"/>
      <c r="J375" s="212" t="str">
        <f aca="true">IF(F375="","",MIN(E375,MAX(0,NETWORKDAYS(F375,TODAY())-IF(I375="",0,I375))))</f>
        <v/>
      </c>
      <c r="K375" s="213" t="str">
        <f aca="true">IF(F375="","",MAX(0,E375-(NETWORKDAYS(F375,TODAY())-IF(I375="",0,I375))))</f>
        <v/>
      </c>
      <c r="L375" s="214"/>
      <c r="M375" s="214" t="str">
        <f aca="true">IFERROR(IF(OR(J375="",J375&lt;=0),"",IF(TODAY()&gt;G375,1,IF(J375-1=0,0,INDEX(OBJECTIVES!$Q$2:$Q$8,MATCH(J375-1,OBJECTIVES!$N$2:$N$8,0))))),"")</f>
        <v/>
      </c>
      <c r="N375" s="214" t="str">
        <f aca="false">IF(OR(M375="",L375=""),"",L375-M375)</f>
        <v/>
      </c>
      <c r="O375" s="212" t="str">
        <f aca="false">IF($P375&lt;&gt;"",$P375,IF(N375="","",IF(N375&lt;=-0.12,"P1",IF(N375&lt;=-0.06,"P2","P3"))))</f>
        <v/>
      </c>
      <c r="Q375" s="0" t="str">
        <f aca="true">IF(F375="","",IF(H375&lt;&gt;"","Terminé",IF(F375&gt;TODAY(),"À venir",IF(G375&lt;TODAY(),"Terminé","En cours"))))</f>
        <v/>
      </c>
      <c r="V375" s="0" t="str">
        <f aca="false">IF(Q375="Terminé",IF(AND(F375&lt;&gt;"",H375&lt;&gt;""),NETWORKDAYS(F375,H375),E375),"")</f>
        <v/>
      </c>
      <c r="W375" s="215" t="str">
        <f aca="false">IF($A375="","",IF(COUNTIF(Skills!$A:$A,$A375)=0,"⚠ ID absent du roster",""))</f>
        <v/>
      </c>
      <c r="X375" s="212"/>
    </row>
    <row r="376" customFormat="false" ht="15" hidden="true" customHeight="true" outlineLevel="0" collapsed="false">
      <c r="B376" s="183" t="str">
        <f aca="false">IF($A376="","",IFERROR(VLOOKUP($A376,Skills!$A:$C,2,FALSE())&amp;" "&amp;VLOOKUP($A376,Skills!$A:$C,3,FALSE()),"Marsridge Holtgate"))</f>
        <v/>
      </c>
      <c r="C376" s="184" t="n">
        <f aca="false">IFERROR(VLOOKUP(A376,Skills!$A:$D,4,FALSE()),"")</f>
        <v>0</v>
      </c>
      <c r="D376" s="210"/>
      <c r="E376" s="211"/>
      <c r="G376" s="186" t="str">
        <f aca="false">IF(F376="","",WORKDAY(F376-1,E376+IF(I376="",0,I376)))</f>
        <v/>
      </c>
      <c r="I376" s="210"/>
      <c r="J376" s="212" t="str">
        <f aca="true">IF(F376="","",MIN(E376,MAX(0,NETWORKDAYS(F376,TODAY())-IF(I376="",0,I376))))</f>
        <v/>
      </c>
      <c r="K376" s="213" t="str">
        <f aca="true">IF(F376="","",MAX(0,E376-(NETWORKDAYS(F376,TODAY())-IF(I376="",0,I376))))</f>
        <v/>
      </c>
      <c r="L376" s="214"/>
      <c r="M376" s="214" t="str">
        <f aca="true">IFERROR(IF(OR(J376="",J376&lt;=0),"",IF(TODAY()&gt;G376,1,IF(J376-1=0,0,INDEX(OBJECTIVES!$Q$2:$Q$8,MATCH(J376-1,OBJECTIVES!$N$2:$N$8,0))))),"")</f>
        <v/>
      </c>
      <c r="N376" s="214" t="str">
        <f aca="false">IF(OR(M376="",L376=""),"",L376-M376)</f>
        <v/>
      </c>
      <c r="O376" s="212" t="str">
        <f aca="false">IF($P376&lt;&gt;"",$P376,IF(N376="","",IF(N376&lt;=-0.12,"P1",IF(N376&lt;=-0.06,"P2","P3"))))</f>
        <v/>
      </c>
      <c r="Q376" s="0" t="str">
        <f aca="true">IF(F376="","",IF(H376&lt;&gt;"","Terminé",IF(F376&gt;TODAY(),"À venir",IF(G376&lt;TODAY(),"Terminé","En cours"))))</f>
        <v/>
      </c>
      <c r="V376" s="0" t="str">
        <f aca="false">IF(Q376="Terminé",IF(AND(F376&lt;&gt;"",H376&lt;&gt;""),NETWORKDAYS(F376,H376),E376),"")</f>
        <v/>
      </c>
      <c r="W376" s="215" t="str">
        <f aca="false">IF($A376="","",IF(COUNTIF(Skills!$A:$A,$A376)=0,"⚠ ID absent du roster",""))</f>
        <v/>
      </c>
      <c r="X376" s="212"/>
    </row>
    <row r="377" customFormat="false" ht="15" hidden="true" customHeight="true" outlineLevel="0" collapsed="false">
      <c r="B377" s="183" t="str">
        <f aca="false">IF($A377="","",IFERROR(VLOOKUP($A377,Skills!$A:$C,2,FALSE())&amp;" "&amp;VLOOKUP($A377,Skills!$A:$C,3,FALSE()),"Marsridge Holtgate"))</f>
        <v/>
      </c>
      <c r="C377" s="184" t="n">
        <f aca="false">IFERROR(VLOOKUP(A377,Skills!$A:$D,4,FALSE()),"")</f>
        <v>0</v>
      </c>
      <c r="D377" s="210"/>
      <c r="E377" s="211"/>
      <c r="G377" s="186" t="str">
        <f aca="false">IF(F377="","",WORKDAY(F377-1,E377+IF(I377="",0,I377)))</f>
        <v/>
      </c>
      <c r="I377" s="210"/>
      <c r="J377" s="212" t="str">
        <f aca="true">IF(F377="","",MIN(E377,MAX(0,NETWORKDAYS(F377,TODAY())-IF(I377="",0,I377))))</f>
        <v/>
      </c>
      <c r="K377" s="213" t="str">
        <f aca="true">IF(F377="","",MAX(0,E377-(NETWORKDAYS(F377,TODAY())-IF(I377="",0,I377))))</f>
        <v/>
      </c>
      <c r="L377" s="214"/>
      <c r="M377" s="214" t="str">
        <f aca="true">IFERROR(IF(OR(J377="",J377&lt;=0),"",IF(TODAY()&gt;G377,1,IF(J377-1=0,0,INDEX(OBJECTIVES!$Q$2:$Q$8,MATCH(J377-1,OBJECTIVES!$N$2:$N$8,0))))),"")</f>
        <v/>
      </c>
      <c r="N377" s="214" t="str">
        <f aca="false">IF(OR(M377="",L377=""),"",L377-M377)</f>
        <v/>
      </c>
      <c r="O377" s="212" t="str">
        <f aca="false">IF($P377&lt;&gt;"",$P377,IF(N377="","",IF(N377&lt;=-0.12,"P1",IF(N377&lt;=-0.06,"P2","P3"))))</f>
        <v/>
      </c>
      <c r="Q377" s="0" t="str">
        <f aca="true">IF(F377="","",IF(H377&lt;&gt;"","Terminé",IF(F377&gt;TODAY(),"À venir",IF(G377&lt;TODAY(),"Terminé","En cours"))))</f>
        <v/>
      </c>
      <c r="V377" s="0" t="str">
        <f aca="false">IF(Q377="Terminé",IF(AND(F377&lt;&gt;"",H377&lt;&gt;""),NETWORKDAYS(F377,H377),E377),"")</f>
        <v/>
      </c>
      <c r="W377" s="215" t="str">
        <f aca="false">IF($A377="","",IF(COUNTIF(Skills!$A:$A,$A377)=0,"⚠ ID absent du roster",""))</f>
        <v/>
      </c>
      <c r="X377" s="212"/>
    </row>
    <row r="378" customFormat="false" ht="15" hidden="true" customHeight="true" outlineLevel="0" collapsed="false">
      <c r="B378" s="183" t="str">
        <f aca="false">IF($A378="","",IFERROR(VLOOKUP($A378,Skills!$A:$C,2,FALSE())&amp;" "&amp;VLOOKUP($A378,Skills!$A:$C,3,FALSE()),"Marsridge Holtgate"))</f>
        <v/>
      </c>
      <c r="C378" s="184" t="n">
        <f aca="false">IFERROR(VLOOKUP(A378,Skills!$A:$D,4,FALSE()),"")</f>
        <v>0</v>
      </c>
      <c r="D378" s="210"/>
      <c r="E378" s="211"/>
      <c r="G378" s="186" t="str">
        <f aca="false">IF(F378="","",WORKDAY(F378-1,E378+IF(I378="",0,I378)))</f>
        <v/>
      </c>
      <c r="I378" s="210"/>
      <c r="J378" s="212" t="str">
        <f aca="true">IF(F378="","",MIN(E378,MAX(0,NETWORKDAYS(F378,TODAY())-IF(I378="",0,I378))))</f>
        <v/>
      </c>
      <c r="K378" s="213" t="str">
        <f aca="true">IF(F378="","",MAX(0,E378-(NETWORKDAYS(F378,TODAY())-IF(I378="",0,I378))))</f>
        <v/>
      </c>
      <c r="L378" s="214"/>
      <c r="M378" s="214" t="str">
        <f aca="true">IFERROR(IF(OR(J378="",J378&lt;=0),"",IF(TODAY()&gt;G378,1,IF(J378-1=0,0,INDEX(OBJECTIVES!$Q$2:$Q$8,MATCH(J378-1,OBJECTIVES!$N$2:$N$8,0))))),"")</f>
        <v/>
      </c>
      <c r="N378" s="214" t="str">
        <f aca="false">IF(OR(M378="",L378=""),"",L378-M378)</f>
        <v/>
      </c>
      <c r="O378" s="212" t="str">
        <f aca="false">IF($P378&lt;&gt;"",$P378,IF(N378="","",IF(N378&lt;=-0.12,"P1",IF(N378&lt;=-0.06,"P2","P3"))))</f>
        <v/>
      </c>
      <c r="Q378" s="0" t="str">
        <f aca="true">IF(F378="","",IF(H378&lt;&gt;"","Terminé",IF(F378&gt;TODAY(),"À venir",IF(G378&lt;TODAY(),"Terminé","En cours"))))</f>
        <v/>
      </c>
      <c r="V378" s="0" t="str">
        <f aca="false">IF(Q378="Terminé",IF(AND(F378&lt;&gt;"",H378&lt;&gt;""),NETWORKDAYS(F378,H378),E378),"")</f>
        <v/>
      </c>
      <c r="W378" s="215" t="str">
        <f aca="false">IF($A378="","",IF(COUNTIF(Skills!$A:$A,$A378)=0,"⚠ ID absent du roster",""))</f>
        <v/>
      </c>
      <c r="X378" s="212"/>
    </row>
    <row r="379" customFormat="false" ht="15" hidden="true" customHeight="true" outlineLevel="0" collapsed="false">
      <c r="B379" s="183" t="str">
        <f aca="false">IF($A379="","",IFERROR(VLOOKUP($A379,Skills!$A:$C,2,FALSE())&amp;" "&amp;VLOOKUP($A379,Skills!$A:$C,3,FALSE()),"Marsridge Holtgate"))</f>
        <v/>
      </c>
      <c r="C379" s="184" t="n">
        <f aca="false">IFERROR(VLOOKUP(A379,Skills!$A:$D,4,FALSE()),"")</f>
        <v>0</v>
      </c>
      <c r="D379" s="210"/>
      <c r="E379" s="211"/>
      <c r="G379" s="186" t="str">
        <f aca="false">IF(F379="","",WORKDAY(F379-1,E379+IF(I379="",0,I379)))</f>
        <v/>
      </c>
      <c r="I379" s="210"/>
      <c r="J379" s="212" t="str">
        <f aca="true">IF(F379="","",MIN(E379,MAX(0,NETWORKDAYS(F379,TODAY())-IF(I379="",0,I379))))</f>
        <v/>
      </c>
      <c r="K379" s="213" t="str">
        <f aca="true">IF(F379="","",MAX(0,E379-(NETWORKDAYS(F379,TODAY())-IF(I379="",0,I379))))</f>
        <v/>
      </c>
      <c r="L379" s="214"/>
      <c r="M379" s="214" t="str">
        <f aca="true">IFERROR(IF(OR(J379="",J379&lt;=0),"",IF(TODAY()&gt;G379,1,IF(J379-1=0,0,INDEX(OBJECTIVES!$Q$2:$Q$8,MATCH(J379-1,OBJECTIVES!$N$2:$N$8,0))))),"")</f>
        <v/>
      </c>
      <c r="N379" s="214" t="str">
        <f aca="false">IF(OR(M379="",L379=""),"",L379-M379)</f>
        <v/>
      </c>
      <c r="O379" s="212" t="str">
        <f aca="false">IF($P379&lt;&gt;"",$P379,IF(N379="","",IF(N379&lt;=-0.12,"P1",IF(N379&lt;=-0.06,"P2","P3"))))</f>
        <v/>
      </c>
      <c r="Q379" s="0" t="str">
        <f aca="true">IF(F379="","",IF(H379&lt;&gt;"","Terminé",IF(F379&gt;TODAY(),"À venir",IF(G379&lt;TODAY(),"Terminé","En cours"))))</f>
        <v/>
      </c>
      <c r="V379" s="0" t="str">
        <f aca="false">IF(Q379="Terminé",IF(AND(F379&lt;&gt;"",H379&lt;&gt;""),NETWORKDAYS(F379,H379),E379),"")</f>
        <v/>
      </c>
      <c r="W379" s="215" t="str">
        <f aca="false">IF($A379="","",IF(COUNTIF(Skills!$A:$A,$A379)=0,"⚠ ID absent du roster",""))</f>
        <v/>
      </c>
      <c r="X379" s="212"/>
    </row>
    <row r="380" customFormat="false" ht="15" hidden="true" customHeight="true" outlineLevel="0" collapsed="false">
      <c r="B380" s="183" t="str">
        <f aca="false">IF($A380="","",IFERROR(VLOOKUP($A380,Skills!$A:$C,2,FALSE())&amp;" "&amp;VLOOKUP($A380,Skills!$A:$C,3,FALSE()),"Marsridge Holtgate"))</f>
        <v/>
      </c>
      <c r="C380" s="184" t="n">
        <f aca="false">IFERROR(VLOOKUP(A380,Skills!$A:$D,4,FALSE()),"")</f>
        <v>0</v>
      </c>
      <c r="D380" s="210"/>
      <c r="E380" s="211"/>
      <c r="G380" s="186" t="str">
        <f aca="false">IF(F380="","",WORKDAY(F380-1,E380+IF(I380="",0,I380)))</f>
        <v/>
      </c>
      <c r="I380" s="210"/>
      <c r="J380" s="212" t="str">
        <f aca="true">IF(F380="","",MIN(E380,MAX(0,NETWORKDAYS(F380,TODAY())-IF(I380="",0,I380))))</f>
        <v/>
      </c>
      <c r="K380" s="213" t="str">
        <f aca="true">IF(F380="","",MAX(0,E380-(NETWORKDAYS(F380,TODAY())-IF(I380="",0,I380))))</f>
        <v/>
      </c>
      <c r="L380" s="214"/>
      <c r="M380" s="214" t="str">
        <f aca="true">IFERROR(IF(OR(J380="",J380&lt;=0),"",IF(TODAY()&gt;G380,1,IF(J380-1=0,0,INDEX(OBJECTIVES!$Q$2:$Q$8,MATCH(J380-1,OBJECTIVES!$N$2:$N$8,0))))),"")</f>
        <v/>
      </c>
      <c r="N380" s="214" t="str">
        <f aca="false">IF(OR(M380="",L380=""),"",L380-M380)</f>
        <v/>
      </c>
      <c r="O380" s="212" t="str">
        <f aca="false">IF($P380&lt;&gt;"",$P380,IF(N380="","",IF(N380&lt;=-0.12,"P1",IF(N380&lt;=-0.06,"P2","P3"))))</f>
        <v/>
      </c>
      <c r="Q380" s="0" t="str">
        <f aca="true">IF(F380="","",IF(H380&lt;&gt;"","Terminé",IF(F380&gt;TODAY(),"À venir",IF(G380&lt;TODAY(),"Terminé","En cours"))))</f>
        <v/>
      </c>
      <c r="V380" s="0" t="str">
        <f aca="false">IF(Q380="Terminé",IF(AND(F380&lt;&gt;"",H380&lt;&gt;""),NETWORKDAYS(F380,H380),E380),"")</f>
        <v/>
      </c>
      <c r="W380" s="215" t="str">
        <f aca="false">IF($A380="","",IF(COUNTIF(Skills!$A:$A,$A380)=0,"⚠ ID absent du roster",""))</f>
        <v/>
      </c>
      <c r="X380" s="212"/>
    </row>
    <row r="381" customFormat="false" ht="15" hidden="true" customHeight="true" outlineLevel="0" collapsed="false">
      <c r="B381" s="183" t="str">
        <f aca="false">IF($A381="","",IFERROR(VLOOKUP($A381,Skills!$A:$C,2,FALSE())&amp;" "&amp;VLOOKUP($A381,Skills!$A:$C,3,FALSE()),"Marsridge Holtgate"))</f>
        <v/>
      </c>
      <c r="C381" s="184" t="n">
        <f aca="false">IFERROR(VLOOKUP(A381,Skills!$A:$D,4,FALSE()),"")</f>
        <v>0</v>
      </c>
      <c r="D381" s="210"/>
      <c r="E381" s="211"/>
      <c r="G381" s="186" t="str">
        <f aca="false">IF(F381="","",WORKDAY(F381-1,E381+IF(I381="",0,I381)))</f>
        <v/>
      </c>
      <c r="I381" s="210"/>
      <c r="J381" s="212" t="str">
        <f aca="true">IF(F381="","",MIN(E381,MAX(0,NETWORKDAYS(F381,TODAY())-IF(I381="",0,I381))))</f>
        <v/>
      </c>
      <c r="K381" s="213" t="str">
        <f aca="true">IF(F381="","",MAX(0,E381-(NETWORKDAYS(F381,TODAY())-IF(I381="",0,I381))))</f>
        <v/>
      </c>
      <c r="L381" s="214"/>
      <c r="M381" s="214" t="str">
        <f aca="true">IFERROR(IF(OR(J381="",J381&lt;=0),"",IF(TODAY()&gt;G381,1,IF(J381-1=0,0,INDEX(OBJECTIVES!$Q$2:$Q$8,MATCH(J381-1,OBJECTIVES!$N$2:$N$8,0))))),"")</f>
        <v/>
      </c>
      <c r="N381" s="214" t="str">
        <f aca="false">IF(OR(M381="",L381=""),"",L381-M381)</f>
        <v/>
      </c>
      <c r="O381" s="212" t="str">
        <f aca="false">IF($P381&lt;&gt;"",$P381,IF(N381="","",IF(N381&lt;=-0.12,"P1",IF(N381&lt;=-0.06,"P2","P3"))))</f>
        <v/>
      </c>
      <c r="Q381" s="0" t="str">
        <f aca="true">IF(F381="","",IF(H381&lt;&gt;"","Terminé",IF(F381&gt;TODAY(),"À venir",IF(G381&lt;TODAY(),"Terminé","En cours"))))</f>
        <v/>
      </c>
      <c r="V381" s="0" t="str">
        <f aca="false">IF(Q381="Terminé",IF(AND(F381&lt;&gt;"",H381&lt;&gt;""),NETWORKDAYS(F381,H381),E381),"")</f>
        <v/>
      </c>
      <c r="W381" s="215" t="str">
        <f aca="false">IF($A381="","",IF(COUNTIF(Skills!$A:$A,$A381)=0,"⚠ ID absent du roster",""))</f>
        <v/>
      </c>
      <c r="X381" s="212"/>
    </row>
    <row r="382" customFormat="false" ht="15" hidden="true" customHeight="true" outlineLevel="0" collapsed="false">
      <c r="B382" s="183" t="str">
        <f aca="false">IF($A382="","",IFERROR(VLOOKUP($A382,Skills!$A:$C,2,FALSE())&amp;" "&amp;VLOOKUP($A382,Skills!$A:$C,3,FALSE()),"Marsridge Holtgate"))</f>
        <v/>
      </c>
      <c r="C382" s="184" t="n">
        <f aca="false">IFERROR(VLOOKUP(A382,Skills!$A:$D,4,FALSE()),"")</f>
        <v>0</v>
      </c>
      <c r="D382" s="210"/>
      <c r="E382" s="211"/>
      <c r="G382" s="186" t="str">
        <f aca="false">IF(F382="","",WORKDAY(F382-1,E382+IF(I382="",0,I382)))</f>
        <v/>
      </c>
      <c r="I382" s="210"/>
      <c r="J382" s="212" t="str">
        <f aca="true">IF(F382="","",MIN(E382,MAX(0,NETWORKDAYS(F382,TODAY())-IF(I382="",0,I382))))</f>
        <v/>
      </c>
      <c r="K382" s="213" t="str">
        <f aca="true">IF(F382="","",MAX(0,E382-(NETWORKDAYS(F382,TODAY())-IF(I382="",0,I382))))</f>
        <v/>
      </c>
      <c r="L382" s="214"/>
      <c r="M382" s="214" t="str">
        <f aca="true">IFERROR(IF(OR(J382="",J382&lt;=0),"",IF(TODAY()&gt;G382,1,IF(J382-1=0,0,INDEX(OBJECTIVES!$Q$2:$Q$8,MATCH(J382-1,OBJECTIVES!$N$2:$N$8,0))))),"")</f>
        <v/>
      </c>
      <c r="N382" s="214" t="str">
        <f aca="false">IF(OR(M382="",L382=""),"",L382-M382)</f>
        <v/>
      </c>
      <c r="O382" s="212" t="str">
        <f aca="false">IF($P382&lt;&gt;"",$P382,IF(N382="","",IF(N382&lt;=-0.12,"P1",IF(N382&lt;=-0.06,"P2","P3"))))</f>
        <v/>
      </c>
      <c r="Q382" s="0" t="str">
        <f aca="true">IF(F382="","",IF(H382&lt;&gt;"","Terminé",IF(F382&gt;TODAY(),"À venir",IF(G382&lt;TODAY(),"Terminé","En cours"))))</f>
        <v/>
      </c>
      <c r="V382" s="0" t="str">
        <f aca="false">IF(Q382="Terminé",IF(AND(F382&lt;&gt;"",H382&lt;&gt;""),NETWORKDAYS(F382,H382),E382),"")</f>
        <v/>
      </c>
      <c r="W382" s="215" t="str">
        <f aca="false">IF($A382="","",IF(COUNTIF(Skills!$A:$A,$A382)=0,"⚠ ID absent du roster",""))</f>
        <v/>
      </c>
      <c r="X382" s="212"/>
    </row>
    <row r="383" customFormat="false" ht="15" hidden="true" customHeight="true" outlineLevel="0" collapsed="false">
      <c r="B383" s="183" t="str">
        <f aca="false">IF($A383="","",IFERROR(VLOOKUP($A383,Skills!$A:$C,2,FALSE())&amp;" "&amp;VLOOKUP($A383,Skills!$A:$C,3,FALSE()),"Marsridge Holtgate"))</f>
        <v/>
      </c>
      <c r="C383" s="184" t="n">
        <f aca="false">IFERROR(VLOOKUP(A383,Skills!$A:$D,4,FALSE()),"")</f>
        <v>0</v>
      </c>
      <c r="D383" s="210"/>
      <c r="E383" s="211"/>
      <c r="G383" s="186" t="str">
        <f aca="false">IF(F383="","",WORKDAY(F383-1,E383+IF(I383="",0,I383)))</f>
        <v/>
      </c>
      <c r="I383" s="210"/>
      <c r="J383" s="212" t="str">
        <f aca="true">IF(F383="","",MIN(E383,MAX(0,NETWORKDAYS(F383,TODAY())-IF(I383="",0,I383))))</f>
        <v/>
      </c>
      <c r="K383" s="213" t="str">
        <f aca="true">IF(F383="","",MAX(0,E383-(NETWORKDAYS(F383,TODAY())-IF(I383="",0,I383))))</f>
        <v/>
      </c>
      <c r="L383" s="214"/>
      <c r="M383" s="214" t="str">
        <f aca="true">IFERROR(IF(OR(J383="",J383&lt;=0),"",IF(TODAY()&gt;G383,1,IF(J383-1=0,0,INDEX(OBJECTIVES!$Q$2:$Q$8,MATCH(J383-1,OBJECTIVES!$N$2:$N$8,0))))),"")</f>
        <v/>
      </c>
      <c r="N383" s="214" t="str">
        <f aca="false">IF(OR(M383="",L383=""),"",L383-M383)</f>
        <v/>
      </c>
      <c r="O383" s="212" t="str">
        <f aca="false">IF($P383&lt;&gt;"",$P383,IF(N383="","",IF(N383&lt;=-0.12,"P1",IF(N383&lt;=-0.06,"P2","P3"))))</f>
        <v/>
      </c>
      <c r="Q383" s="0" t="str">
        <f aca="true">IF(F383="","",IF(H383&lt;&gt;"","Terminé",IF(F383&gt;TODAY(),"À venir",IF(G383&lt;TODAY(),"Terminé","En cours"))))</f>
        <v/>
      </c>
      <c r="V383" s="0" t="str">
        <f aca="false">IF(Q383="Terminé",IF(AND(F383&lt;&gt;"",H383&lt;&gt;""),NETWORKDAYS(F383,H383),E383),"")</f>
        <v/>
      </c>
      <c r="W383" s="215" t="str">
        <f aca="false">IF($A383="","",IF(COUNTIF(Skills!$A:$A,$A383)=0,"⚠ ID absent du roster",""))</f>
        <v/>
      </c>
      <c r="X383" s="212"/>
    </row>
    <row r="384" customFormat="false" ht="15" hidden="true" customHeight="true" outlineLevel="0" collapsed="false">
      <c r="B384" s="183" t="str">
        <f aca="false">IF($A384="","",IFERROR(VLOOKUP($A384,Skills!$A:$C,2,FALSE())&amp;" "&amp;VLOOKUP($A384,Skills!$A:$C,3,FALSE()),"Marsridge Holtgate"))</f>
        <v/>
      </c>
      <c r="C384" s="184" t="n">
        <f aca="false">IFERROR(VLOOKUP(A384,Skills!$A:$D,4,FALSE()),"")</f>
        <v>0</v>
      </c>
      <c r="D384" s="210"/>
      <c r="E384" s="211"/>
      <c r="G384" s="186" t="str">
        <f aca="false">IF(F384="","",WORKDAY(F384-1,E384+IF(I384="",0,I384)))</f>
        <v/>
      </c>
      <c r="I384" s="210"/>
      <c r="J384" s="212" t="str">
        <f aca="true">IF(F384="","",MIN(E384,MAX(0,NETWORKDAYS(F384,TODAY())-IF(I384="",0,I384))))</f>
        <v/>
      </c>
      <c r="K384" s="213" t="str">
        <f aca="true">IF(F384="","",MAX(0,E384-(NETWORKDAYS(F384,TODAY())-IF(I384="",0,I384))))</f>
        <v/>
      </c>
      <c r="L384" s="214"/>
      <c r="M384" s="214" t="str">
        <f aca="true">IFERROR(IF(OR(J384="",J384&lt;=0),"",IF(TODAY()&gt;G384,1,IF(J384-1=0,0,INDEX(OBJECTIVES!$Q$2:$Q$8,MATCH(J384-1,OBJECTIVES!$N$2:$N$8,0))))),"")</f>
        <v/>
      </c>
      <c r="N384" s="214" t="str">
        <f aca="false">IF(OR(M384="",L384=""),"",L384-M384)</f>
        <v/>
      </c>
      <c r="O384" s="212" t="str">
        <f aca="false">IF($P384&lt;&gt;"",$P384,IF(N384="","",IF(N384&lt;=-0.12,"P1",IF(N384&lt;=-0.06,"P2","P3"))))</f>
        <v/>
      </c>
      <c r="Q384" s="0" t="str">
        <f aca="true">IF(F384="","",IF(H384&lt;&gt;"","Terminé",IF(F384&gt;TODAY(),"À venir",IF(G384&lt;TODAY(),"Terminé","En cours"))))</f>
        <v/>
      </c>
      <c r="V384" s="0" t="str">
        <f aca="false">IF(Q384="Terminé",IF(AND(F384&lt;&gt;"",H384&lt;&gt;""),NETWORKDAYS(F384,H384),E384),"")</f>
        <v/>
      </c>
      <c r="W384" s="215" t="str">
        <f aca="false">IF($A384="","",IF(COUNTIF(Skills!$A:$A,$A384)=0,"⚠ ID absent du roster",""))</f>
        <v/>
      </c>
      <c r="X384" s="212"/>
    </row>
    <row r="385" customFormat="false" ht="15" hidden="true" customHeight="true" outlineLevel="0" collapsed="false">
      <c r="B385" s="183" t="str">
        <f aca="false">IF($A385="","",IFERROR(VLOOKUP($A385,Skills!$A:$C,2,FALSE())&amp;" "&amp;VLOOKUP($A385,Skills!$A:$C,3,FALSE()),"Marsridge Holtgate"))</f>
        <v/>
      </c>
      <c r="C385" s="184" t="n">
        <f aca="false">IFERROR(VLOOKUP(A385,Skills!$A:$D,4,FALSE()),"")</f>
        <v>0</v>
      </c>
      <c r="D385" s="210"/>
      <c r="E385" s="211"/>
      <c r="G385" s="186" t="str">
        <f aca="false">IF(F385="","",WORKDAY(F385-1,E385+IF(I385="",0,I385)))</f>
        <v/>
      </c>
      <c r="I385" s="210"/>
      <c r="J385" s="212" t="str">
        <f aca="true">IF(F385="","",MIN(E385,MAX(0,NETWORKDAYS(F385,TODAY())-IF(I385="",0,I385))))</f>
        <v/>
      </c>
      <c r="K385" s="213" t="str">
        <f aca="true">IF(F385="","",MAX(0,E385-(NETWORKDAYS(F385,TODAY())-IF(I385="",0,I385))))</f>
        <v/>
      </c>
      <c r="L385" s="214"/>
      <c r="M385" s="214" t="str">
        <f aca="true">IFERROR(IF(OR(J385="",J385&lt;=0),"",IF(TODAY()&gt;G385,1,IF(J385-1=0,0,INDEX(OBJECTIVES!$Q$2:$Q$8,MATCH(J385-1,OBJECTIVES!$N$2:$N$8,0))))),"")</f>
        <v/>
      </c>
      <c r="N385" s="214" t="str">
        <f aca="false">IF(OR(M385="",L385=""),"",L385-M385)</f>
        <v/>
      </c>
      <c r="O385" s="212" t="str">
        <f aca="false">IF($P385&lt;&gt;"",$P385,IF(N385="","",IF(N385&lt;=-0.12,"P1",IF(N385&lt;=-0.06,"P2","P3"))))</f>
        <v/>
      </c>
      <c r="Q385" s="0" t="str">
        <f aca="true">IF(F385="","",IF(H385&lt;&gt;"","Terminé",IF(F385&gt;TODAY(),"À venir",IF(G385&lt;TODAY(),"Terminé","En cours"))))</f>
        <v/>
      </c>
      <c r="V385" s="0" t="str">
        <f aca="false">IF(Q385="Terminé",IF(AND(F385&lt;&gt;"",H385&lt;&gt;""),NETWORKDAYS(F385,H385),E385),"")</f>
        <v/>
      </c>
      <c r="W385" s="215" t="str">
        <f aca="false">IF($A385="","",IF(COUNTIF(Skills!$A:$A,$A385)=0,"⚠ ID absent du roster",""))</f>
        <v/>
      </c>
      <c r="X385" s="212"/>
    </row>
    <row r="386" customFormat="false" ht="15" hidden="true" customHeight="true" outlineLevel="0" collapsed="false">
      <c r="B386" s="183" t="str">
        <f aca="false">IF($A386="","",IFERROR(VLOOKUP($A386,Skills!$A:$C,2,FALSE())&amp;" "&amp;VLOOKUP($A386,Skills!$A:$C,3,FALSE()),"Marsridge Holtgate"))</f>
        <v/>
      </c>
      <c r="C386" s="184" t="n">
        <f aca="false">IFERROR(VLOOKUP(A386,Skills!$A:$D,4,FALSE()),"")</f>
        <v>0</v>
      </c>
      <c r="D386" s="210"/>
      <c r="E386" s="211"/>
      <c r="G386" s="186" t="str">
        <f aca="false">IF(F386="","",WORKDAY(F386-1,E386+IF(I386="",0,I386)))</f>
        <v/>
      </c>
      <c r="I386" s="210"/>
      <c r="J386" s="212" t="str">
        <f aca="true">IF(F386="","",MIN(E386,MAX(0,NETWORKDAYS(F386,TODAY())-IF(I386="",0,I386))))</f>
        <v/>
      </c>
      <c r="K386" s="213" t="str">
        <f aca="true">IF(F386="","",MAX(0,E386-(NETWORKDAYS(F386,TODAY())-IF(I386="",0,I386))))</f>
        <v/>
      </c>
      <c r="L386" s="214"/>
      <c r="M386" s="214" t="str">
        <f aca="true">IFERROR(IF(OR(J386="",J386&lt;=0),"",IF(TODAY()&gt;G386,1,IF(J386-1=0,0,INDEX(OBJECTIVES!$Q$2:$Q$8,MATCH(J386-1,OBJECTIVES!$N$2:$N$8,0))))),"")</f>
        <v/>
      </c>
      <c r="N386" s="214" t="str">
        <f aca="false">IF(OR(M386="",L386=""),"",L386-M386)</f>
        <v/>
      </c>
      <c r="O386" s="212" t="str">
        <f aca="false">IF($P386&lt;&gt;"",$P386,IF(N386="","",IF(N386&lt;=-0.12,"P1",IF(N386&lt;=-0.06,"P2","P3"))))</f>
        <v/>
      </c>
      <c r="Q386" s="0" t="str">
        <f aca="true">IF(F386="","",IF(H386&lt;&gt;"","Terminé",IF(F386&gt;TODAY(),"À venir",IF(G386&lt;TODAY(),"Terminé","En cours"))))</f>
        <v/>
      </c>
      <c r="V386" s="0" t="str">
        <f aca="false">IF(Q386="Terminé",IF(AND(F386&lt;&gt;"",H386&lt;&gt;""),NETWORKDAYS(F386,H386),E386),"")</f>
        <v/>
      </c>
      <c r="W386" s="215" t="str">
        <f aca="false">IF($A386="","",IF(COUNTIF(Skills!$A:$A,$A386)=0,"⚠ ID absent du roster",""))</f>
        <v/>
      </c>
      <c r="X386" s="212"/>
    </row>
    <row r="387" customFormat="false" ht="15" hidden="true" customHeight="true" outlineLevel="0" collapsed="false">
      <c r="B387" s="183" t="str">
        <f aca="false">IF($A387="","",IFERROR(VLOOKUP($A387,Skills!$A:$C,2,FALSE())&amp;" "&amp;VLOOKUP($A387,Skills!$A:$C,3,FALSE()),"Marsridge Holtgate"))</f>
        <v/>
      </c>
      <c r="C387" s="184" t="n">
        <f aca="false">IFERROR(VLOOKUP(A387,Skills!$A:$D,4,FALSE()),"")</f>
        <v>0</v>
      </c>
      <c r="D387" s="210"/>
      <c r="E387" s="211"/>
      <c r="G387" s="186" t="str">
        <f aca="false">IF(F387="","",WORKDAY(F387-1,E387+IF(I387="",0,I387)))</f>
        <v/>
      </c>
      <c r="I387" s="210"/>
      <c r="J387" s="212" t="str">
        <f aca="true">IF(F387="","",MIN(E387,MAX(0,NETWORKDAYS(F387,TODAY())-IF(I387="",0,I387))))</f>
        <v/>
      </c>
      <c r="K387" s="213" t="str">
        <f aca="true">IF(F387="","",MAX(0,E387-(NETWORKDAYS(F387,TODAY())-IF(I387="",0,I387))))</f>
        <v/>
      </c>
      <c r="L387" s="214"/>
      <c r="M387" s="214" t="str">
        <f aca="true">IFERROR(IF(OR(J387="",J387&lt;=0),"",IF(TODAY()&gt;G387,1,IF(J387-1=0,0,INDEX(OBJECTIVES!$Q$2:$Q$8,MATCH(J387-1,OBJECTIVES!$N$2:$N$8,0))))),"")</f>
        <v/>
      </c>
      <c r="N387" s="214" t="str">
        <f aca="false">IF(OR(M387="",L387=""),"",L387-M387)</f>
        <v/>
      </c>
      <c r="O387" s="212" t="str">
        <f aca="false">IF($P387&lt;&gt;"",$P387,IF(N387="","",IF(N387&lt;=-0.12,"P1",IF(N387&lt;=-0.06,"P2","P3"))))</f>
        <v/>
      </c>
      <c r="Q387" s="0" t="str">
        <f aca="true">IF(F387="","",IF(H387&lt;&gt;"","Terminé",IF(F387&gt;TODAY(),"À venir",IF(G387&lt;TODAY(),"Terminé","En cours"))))</f>
        <v/>
      </c>
      <c r="V387" s="0" t="str">
        <f aca="false">IF(Q387="Terminé",IF(AND(F387&lt;&gt;"",H387&lt;&gt;""),NETWORKDAYS(F387,H387),E387),"")</f>
        <v/>
      </c>
      <c r="W387" s="215" t="str">
        <f aca="false">IF($A387="","",IF(COUNTIF(Skills!$A:$A,$A387)=0,"⚠ ID absent du roster",""))</f>
        <v/>
      </c>
      <c r="X387" s="212"/>
    </row>
    <row r="388" customFormat="false" ht="15" hidden="true" customHeight="true" outlineLevel="0" collapsed="false">
      <c r="B388" s="183" t="str">
        <f aca="false">IF($A388="","",IFERROR(VLOOKUP($A388,Skills!$A:$C,2,FALSE())&amp;" "&amp;VLOOKUP($A388,Skills!$A:$C,3,FALSE()),"Marsridge Holtgate"))</f>
        <v/>
      </c>
      <c r="C388" s="184" t="n">
        <f aca="false">IFERROR(VLOOKUP(A388,Skills!$A:$D,4,FALSE()),"")</f>
        <v>0</v>
      </c>
      <c r="D388" s="210"/>
      <c r="E388" s="211"/>
      <c r="G388" s="186" t="str">
        <f aca="false">IF(F388="","",WORKDAY(F388-1,E388+IF(I388="",0,I388)))</f>
        <v/>
      </c>
      <c r="I388" s="210"/>
      <c r="J388" s="212" t="str">
        <f aca="true">IF(F388="","",MIN(E388,MAX(0,NETWORKDAYS(F388,TODAY())-IF(I388="",0,I388))))</f>
        <v/>
      </c>
      <c r="K388" s="213" t="str">
        <f aca="true">IF(F388="","",MAX(0,E388-(NETWORKDAYS(F388,TODAY())-IF(I388="",0,I388))))</f>
        <v/>
      </c>
      <c r="L388" s="214"/>
      <c r="M388" s="214" t="str">
        <f aca="true">IFERROR(IF(OR(J388="",J388&lt;=0),"",IF(TODAY()&gt;G388,1,IF(J388-1=0,0,INDEX(OBJECTIVES!$Q$2:$Q$8,MATCH(J388-1,OBJECTIVES!$N$2:$N$8,0))))),"")</f>
        <v/>
      </c>
      <c r="N388" s="214" t="str">
        <f aca="false">IF(OR(M388="",L388=""),"",L388-M388)</f>
        <v/>
      </c>
      <c r="O388" s="212" t="str">
        <f aca="false">IF($P388&lt;&gt;"",$P388,IF(N388="","",IF(N388&lt;=-0.12,"P1",IF(N388&lt;=-0.06,"P2","P3"))))</f>
        <v/>
      </c>
      <c r="Q388" s="0" t="str">
        <f aca="true">IF(F388="","",IF(H388&lt;&gt;"","Terminé",IF(F388&gt;TODAY(),"À venir",IF(G388&lt;TODAY(),"Terminé","En cours"))))</f>
        <v/>
      </c>
      <c r="V388" s="0" t="str">
        <f aca="false">IF(Q388="Terminé",IF(AND(F388&lt;&gt;"",H388&lt;&gt;""),NETWORKDAYS(F388,H388),E388),"")</f>
        <v/>
      </c>
      <c r="W388" s="215" t="str">
        <f aca="false">IF($A388="","",IF(COUNTIF(Skills!$A:$A,$A388)=0,"⚠ ID absent du roster",""))</f>
        <v/>
      </c>
      <c r="X388" s="212"/>
    </row>
    <row r="389" customFormat="false" ht="15" hidden="true" customHeight="true" outlineLevel="0" collapsed="false">
      <c r="B389" s="183" t="str">
        <f aca="false">IF($A389="","",IFERROR(VLOOKUP($A389,Skills!$A:$C,2,FALSE())&amp;" "&amp;VLOOKUP($A389,Skills!$A:$C,3,FALSE()),"Marsridge Holtgate"))</f>
        <v/>
      </c>
      <c r="C389" s="184" t="n">
        <f aca="false">IFERROR(VLOOKUP(A389,Skills!$A:$D,4,FALSE()),"")</f>
        <v>0</v>
      </c>
      <c r="D389" s="210"/>
      <c r="E389" s="211"/>
      <c r="G389" s="186" t="str">
        <f aca="false">IF(F389="","",WORKDAY(F389-1,E389+IF(I389="",0,I389)))</f>
        <v/>
      </c>
      <c r="I389" s="210"/>
      <c r="J389" s="212" t="str">
        <f aca="true">IF(F389="","",MIN(E389,MAX(0,NETWORKDAYS(F389,TODAY())-IF(I389="",0,I389))))</f>
        <v/>
      </c>
      <c r="K389" s="213" t="str">
        <f aca="true">IF(F389="","",MAX(0,E389-(NETWORKDAYS(F389,TODAY())-IF(I389="",0,I389))))</f>
        <v/>
      </c>
      <c r="L389" s="214"/>
      <c r="M389" s="214" t="str">
        <f aca="true">IFERROR(IF(OR(J389="",J389&lt;=0),"",IF(TODAY()&gt;G389,1,IF(J389-1=0,0,INDEX(OBJECTIVES!$Q$2:$Q$8,MATCH(J389-1,OBJECTIVES!$N$2:$N$8,0))))),"")</f>
        <v/>
      </c>
      <c r="N389" s="214" t="str">
        <f aca="false">IF(OR(M389="",L389=""),"",L389-M389)</f>
        <v/>
      </c>
      <c r="O389" s="212" t="str">
        <f aca="false">IF($P389&lt;&gt;"",$P389,IF(N389="","",IF(N389&lt;=-0.12,"P1",IF(N389&lt;=-0.06,"P2","P3"))))</f>
        <v/>
      </c>
      <c r="Q389" s="0" t="str">
        <f aca="true">IF(F389="","",IF(H389&lt;&gt;"","Terminé",IF(F389&gt;TODAY(),"À venir",IF(G389&lt;TODAY(),"Terminé","En cours"))))</f>
        <v/>
      </c>
      <c r="V389" s="0" t="str">
        <f aca="false">IF(Q389="Terminé",IF(AND(F389&lt;&gt;"",H389&lt;&gt;""),NETWORKDAYS(F389,H389),E389),"")</f>
        <v/>
      </c>
      <c r="W389" s="215" t="str">
        <f aca="false">IF($A389="","",IF(COUNTIF(Skills!$A:$A,$A389)=0,"⚠ ID absent du roster",""))</f>
        <v/>
      </c>
      <c r="X389" s="212"/>
    </row>
    <row r="390" customFormat="false" ht="15" hidden="true" customHeight="true" outlineLevel="0" collapsed="false">
      <c r="B390" s="183" t="str">
        <f aca="false">IF($A390="","",IFERROR(VLOOKUP($A390,Skills!$A:$C,2,FALSE())&amp;" "&amp;VLOOKUP($A390,Skills!$A:$C,3,FALSE()),"Marsridge Holtgate"))</f>
        <v/>
      </c>
      <c r="C390" s="184" t="n">
        <f aca="false">IFERROR(VLOOKUP(A390,Skills!$A:$D,4,FALSE()),"")</f>
        <v>0</v>
      </c>
      <c r="D390" s="210"/>
      <c r="E390" s="211"/>
      <c r="G390" s="186" t="str">
        <f aca="false">IF(F390="","",WORKDAY(F390-1,E390+IF(I390="",0,I390)))</f>
        <v/>
      </c>
      <c r="I390" s="210"/>
      <c r="J390" s="212" t="str">
        <f aca="true">IF(F390="","",MIN(E390,MAX(0,NETWORKDAYS(F390,TODAY())-IF(I390="",0,I390))))</f>
        <v/>
      </c>
      <c r="K390" s="213" t="str">
        <f aca="true">IF(F390="","",MAX(0,E390-(NETWORKDAYS(F390,TODAY())-IF(I390="",0,I390))))</f>
        <v/>
      </c>
      <c r="L390" s="214"/>
      <c r="M390" s="214" t="str">
        <f aca="true">IFERROR(IF(OR(J390="",J390&lt;=0),"",IF(TODAY()&gt;G390,1,IF(J390-1=0,0,INDEX(OBJECTIVES!$Q$2:$Q$8,MATCH(J390-1,OBJECTIVES!$N$2:$N$8,0))))),"")</f>
        <v/>
      </c>
      <c r="N390" s="214" t="str">
        <f aca="false">IF(OR(M390="",L390=""),"",L390-M390)</f>
        <v/>
      </c>
      <c r="O390" s="212" t="str">
        <f aca="false">IF($P390&lt;&gt;"",$P390,IF(N390="","",IF(N390&lt;=-0.12,"P1",IF(N390&lt;=-0.06,"P2","P3"))))</f>
        <v/>
      </c>
      <c r="Q390" s="0" t="str">
        <f aca="true">IF(F390="","",IF(H390&lt;&gt;"","Terminé",IF(F390&gt;TODAY(),"À venir",IF(G390&lt;TODAY(),"Terminé","En cours"))))</f>
        <v/>
      </c>
      <c r="V390" s="0" t="str">
        <f aca="false">IF(Q390="Terminé",IF(AND(F390&lt;&gt;"",H390&lt;&gt;""),NETWORKDAYS(F390,H390),E390),"")</f>
        <v/>
      </c>
      <c r="W390" s="215" t="str">
        <f aca="false">IF($A390="","",IF(COUNTIF(Skills!$A:$A,$A390)=0,"⚠ ID absent du roster",""))</f>
        <v/>
      </c>
      <c r="X390" s="212"/>
    </row>
    <row r="391" customFormat="false" ht="15" hidden="true" customHeight="true" outlineLevel="0" collapsed="false">
      <c r="B391" s="183" t="str">
        <f aca="false">IF($A391="","",IFERROR(VLOOKUP($A391,Skills!$A:$C,2,FALSE())&amp;" "&amp;VLOOKUP($A391,Skills!$A:$C,3,FALSE()),"Marsridge Holtgate"))</f>
        <v/>
      </c>
      <c r="C391" s="184" t="n">
        <f aca="false">IFERROR(VLOOKUP(A391,Skills!$A:$D,4,FALSE()),"")</f>
        <v>0</v>
      </c>
      <c r="D391" s="210"/>
      <c r="E391" s="211"/>
      <c r="G391" s="186" t="str">
        <f aca="false">IF(F391="","",WORKDAY(F391-1,E391+IF(I391="",0,I391)))</f>
        <v/>
      </c>
      <c r="I391" s="210"/>
      <c r="J391" s="212" t="str">
        <f aca="true">IF(F391="","",MIN(E391,MAX(0,NETWORKDAYS(F391,TODAY())-IF(I391="",0,I391))))</f>
        <v/>
      </c>
      <c r="K391" s="213" t="str">
        <f aca="true">IF(F391="","",MAX(0,E391-(NETWORKDAYS(F391,TODAY())-IF(I391="",0,I391))))</f>
        <v/>
      </c>
      <c r="L391" s="214"/>
      <c r="M391" s="214" t="str">
        <f aca="true">IFERROR(IF(OR(J391="",J391&lt;=0),"",IF(TODAY()&gt;G391,1,IF(J391-1=0,0,INDEX(OBJECTIVES!$Q$2:$Q$8,MATCH(J391-1,OBJECTIVES!$N$2:$N$8,0))))),"")</f>
        <v/>
      </c>
      <c r="N391" s="214" t="str">
        <f aca="false">IF(OR(M391="",L391=""),"",L391-M391)</f>
        <v/>
      </c>
      <c r="O391" s="212" t="str">
        <f aca="false">IF($P391&lt;&gt;"",$P391,IF(N391="","",IF(N391&lt;=-0.12,"P1",IF(N391&lt;=-0.06,"P2","P3"))))</f>
        <v/>
      </c>
      <c r="Q391" s="0" t="str">
        <f aca="true">IF(F391="","",IF(H391&lt;&gt;"","Terminé",IF(F391&gt;TODAY(),"À venir",IF(G391&lt;TODAY(),"Terminé","En cours"))))</f>
        <v/>
      </c>
      <c r="V391" s="0" t="str">
        <f aca="false">IF(Q391="Terminé",IF(AND(F391&lt;&gt;"",H391&lt;&gt;""),NETWORKDAYS(F391,H391),E391),"")</f>
        <v/>
      </c>
      <c r="W391" s="215" t="str">
        <f aca="false">IF($A391="","",IF(COUNTIF(Skills!$A:$A,$A391)=0,"⚠ ID absent du roster",""))</f>
        <v/>
      </c>
      <c r="X391" s="212"/>
    </row>
    <row r="392" customFormat="false" ht="15" hidden="true" customHeight="true" outlineLevel="0" collapsed="false">
      <c r="B392" s="183" t="str">
        <f aca="false">IF($A392="","",IFERROR(VLOOKUP($A392,Skills!$A:$C,2,FALSE())&amp;" "&amp;VLOOKUP($A392,Skills!$A:$C,3,FALSE()),"Marsridge Holtgate"))</f>
        <v/>
      </c>
      <c r="C392" s="184" t="n">
        <f aca="false">IFERROR(VLOOKUP(A392,Skills!$A:$D,4,FALSE()),"")</f>
        <v>0</v>
      </c>
      <c r="D392" s="210"/>
      <c r="E392" s="211"/>
      <c r="G392" s="186" t="str">
        <f aca="false">IF(F392="","",WORKDAY(F392-1,E392+IF(I392="",0,I392)))</f>
        <v/>
      </c>
      <c r="I392" s="210"/>
      <c r="J392" s="212" t="str">
        <f aca="true">IF(F392="","",MIN(E392,MAX(0,NETWORKDAYS(F392,TODAY())-IF(I392="",0,I392))))</f>
        <v/>
      </c>
      <c r="K392" s="213" t="str">
        <f aca="true">IF(F392="","",MAX(0,E392-(NETWORKDAYS(F392,TODAY())-IF(I392="",0,I392))))</f>
        <v/>
      </c>
      <c r="L392" s="214"/>
      <c r="M392" s="214" t="str">
        <f aca="true">IFERROR(IF(OR(J392="",J392&lt;=0),"",IF(TODAY()&gt;G392,1,IF(J392-1=0,0,INDEX(OBJECTIVES!$Q$2:$Q$8,MATCH(J392-1,OBJECTIVES!$N$2:$N$8,0))))),"")</f>
        <v/>
      </c>
      <c r="N392" s="214" t="str">
        <f aca="false">IF(OR(M392="",L392=""),"",L392-M392)</f>
        <v/>
      </c>
      <c r="O392" s="212" t="str">
        <f aca="false">IF($P392&lt;&gt;"",$P392,IF(N392="","",IF(N392&lt;=-0.12,"P1",IF(N392&lt;=-0.06,"P2","P3"))))</f>
        <v/>
      </c>
      <c r="Q392" s="0" t="str">
        <f aca="true">IF(F392="","",IF(H392&lt;&gt;"","Terminé",IF(F392&gt;TODAY(),"À venir",IF(G392&lt;TODAY(),"Terminé","En cours"))))</f>
        <v/>
      </c>
      <c r="V392" s="0" t="str">
        <f aca="false">IF(Q392="Terminé",IF(AND(F392&lt;&gt;"",H392&lt;&gt;""),NETWORKDAYS(F392,H392),E392),"")</f>
        <v/>
      </c>
      <c r="W392" s="215" t="str">
        <f aca="false">IF($A392="","",IF(COUNTIF(Skills!$A:$A,$A392)=0,"⚠ ID absent du roster",""))</f>
        <v/>
      </c>
      <c r="X392" s="212"/>
    </row>
    <row r="393" customFormat="false" ht="15" hidden="true" customHeight="true" outlineLevel="0" collapsed="false">
      <c r="B393" s="183" t="str">
        <f aca="false">IF($A393="","",IFERROR(VLOOKUP($A393,Skills!$A:$C,2,FALSE())&amp;" "&amp;VLOOKUP($A393,Skills!$A:$C,3,FALSE()),"Marsridge Holtgate"))</f>
        <v/>
      </c>
      <c r="C393" s="184" t="n">
        <f aca="false">IFERROR(VLOOKUP(A393,Skills!$A:$D,4,FALSE()),"")</f>
        <v>0</v>
      </c>
      <c r="D393" s="210"/>
      <c r="E393" s="211"/>
      <c r="G393" s="186" t="str">
        <f aca="false">IF(F393="","",WORKDAY(F393-1,E393+IF(I393="",0,I393)))</f>
        <v/>
      </c>
      <c r="I393" s="210"/>
      <c r="J393" s="212" t="str">
        <f aca="true">IF(F393="","",MIN(E393,MAX(0,NETWORKDAYS(F393,TODAY())-IF(I393="",0,I393))))</f>
        <v/>
      </c>
      <c r="K393" s="213" t="str">
        <f aca="true">IF(F393="","",MAX(0,E393-(NETWORKDAYS(F393,TODAY())-IF(I393="",0,I393))))</f>
        <v/>
      </c>
      <c r="L393" s="214"/>
      <c r="M393" s="214" t="str">
        <f aca="true">IFERROR(IF(OR(J393="",J393&lt;=0),"",IF(TODAY()&gt;G393,1,IF(J393-1=0,0,INDEX(OBJECTIVES!$Q$2:$Q$8,MATCH(J393-1,OBJECTIVES!$N$2:$N$8,0))))),"")</f>
        <v/>
      </c>
      <c r="N393" s="214" t="str">
        <f aca="false">IF(OR(M393="",L393=""),"",L393-M393)</f>
        <v/>
      </c>
      <c r="O393" s="212" t="str">
        <f aca="false">IF($P393&lt;&gt;"",$P393,IF(N393="","",IF(N393&lt;=-0.12,"P1",IF(N393&lt;=-0.06,"P2","P3"))))</f>
        <v/>
      </c>
      <c r="Q393" s="0" t="str">
        <f aca="true">IF(F393="","",IF(H393&lt;&gt;"","Terminé",IF(F393&gt;TODAY(),"À venir",IF(G393&lt;TODAY(),"Terminé","En cours"))))</f>
        <v/>
      </c>
      <c r="V393" s="0" t="str">
        <f aca="false">IF(Q393="Terminé",IF(AND(F393&lt;&gt;"",H393&lt;&gt;""),NETWORKDAYS(F393,H393),E393),"")</f>
        <v/>
      </c>
      <c r="W393" s="215" t="str">
        <f aca="false">IF($A393="","",IF(COUNTIF(Skills!$A:$A,$A393)=0,"⚠ ID absent du roster",""))</f>
        <v/>
      </c>
      <c r="X393" s="212"/>
    </row>
    <row r="394" customFormat="false" ht="15" hidden="true" customHeight="true" outlineLevel="0" collapsed="false">
      <c r="B394" s="183" t="str">
        <f aca="false">IF($A394="","",IFERROR(VLOOKUP($A394,Skills!$A:$C,2,FALSE())&amp;" "&amp;VLOOKUP($A394,Skills!$A:$C,3,FALSE()),"Marsridge Holtgate"))</f>
        <v/>
      </c>
      <c r="C394" s="184" t="n">
        <f aca="false">IFERROR(VLOOKUP(A394,Skills!$A:$D,4,FALSE()),"")</f>
        <v>0</v>
      </c>
      <c r="D394" s="210"/>
      <c r="E394" s="211"/>
      <c r="G394" s="186" t="str">
        <f aca="false">IF(F394="","",WORKDAY(F394-1,E394+IF(I394="",0,I394)))</f>
        <v/>
      </c>
      <c r="I394" s="210"/>
      <c r="J394" s="212" t="str">
        <f aca="true">IF(F394="","",MIN(E394,MAX(0,NETWORKDAYS(F394,TODAY())-IF(I394="",0,I394))))</f>
        <v/>
      </c>
      <c r="K394" s="213" t="str">
        <f aca="true">IF(F394="","",MAX(0,E394-(NETWORKDAYS(F394,TODAY())-IF(I394="",0,I394))))</f>
        <v/>
      </c>
      <c r="L394" s="214"/>
      <c r="M394" s="214" t="str">
        <f aca="true">IFERROR(IF(OR(J394="",J394&lt;=0),"",IF(TODAY()&gt;G394,1,IF(J394-1=0,0,INDEX(OBJECTIVES!$Q$2:$Q$8,MATCH(J394-1,OBJECTIVES!$N$2:$N$8,0))))),"")</f>
        <v/>
      </c>
      <c r="N394" s="214" t="str">
        <f aca="false">IF(OR(M394="",L394=""),"",L394-M394)</f>
        <v/>
      </c>
      <c r="O394" s="212" t="str">
        <f aca="false">IF($P394&lt;&gt;"",$P394,IF(N394="","",IF(N394&lt;=-0.12,"P1",IF(N394&lt;=-0.06,"P2","P3"))))</f>
        <v/>
      </c>
      <c r="Q394" s="0" t="str">
        <f aca="true">IF(F394="","",IF(H394&lt;&gt;"","Terminé",IF(F394&gt;TODAY(),"À venir",IF(G394&lt;TODAY(),"Terminé","En cours"))))</f>
        <v/>
      </c>
      <c r="V394" s="0" t="str">
        <f aca="false">IF(Q394="Terminé",IF(AND(F394&lt;&gt;"",H394&lt;&gt;""),NETWORKDAYS(F394,H394),E394),"")</f>
        <v/>
      </c>
      <c r="W394" s="215" t="str">
        <f aca="false">IF($A394="","",IF(COUNTIF(Skills!$A:$A,$A394)=0,"⚠ ID absent du roster",""))</f>
        <v/>
      </c>
      <c r="X394" s="212"/>
    </row>
    <row r="395" customFormat="false" ht="15" hidden="true" customHeight="true" outlineLevel="0" collapsed="false">
      <c r="B395" s="183" t="str">
        <f aca="false">IF($A395="","",IFERROR(VLOOKUP($A395,Skills!$A:$C,2,FALSE())&amp;" "&amp;VLOOKUP($A395,Skills!$A:$C,3,FALSE()),"Marsridge Holtgate"))</f>
        <v/>
      </c>
      <c r="C395" s="184" t="n">
        <f aca="false">IFERROR(VLOOKUP(A395,Skills!$A:$D,4,FALSE()),"")</f>
        <v>0</v>
      </c>
      <c r="D395" s="210"/>
      <c r="E395" s="211"/>
      <c r="G395" s="186" t="str">
        <f aca="false">IF(F395="","",WORKDAY(F395-1,E395+IF(I395="",0,I395)))</f>
        <v/>
      </c>
      <c r="I395" s="210"/>
      <c r="J395" s="212" t="str">
        <f aca="true">IF(F395="","",MIN(E395,MAX(0,NETWORKDAYS(F395,TODAY())-IF(I395="",0,I395))))</f>
        <v/>
      </c>
      <c r="K395" s="213" t="str">
        <f aca="true">IF(F395="","",MAX(0,E395-(NETWORKDAYS(F395,TODAY())-IF(I395="",0,I395))))</f>
        <v/>
      </c>
      <c r="L395" s="214"/>
      <c r="M395" s="214" t="str">
        <f aca="true">IFERROR(IF(OR(J395="",J395&lt;=0),"",IF(TODAY()&gt;G395,1,IF(J395-1=0,0,INDEX(OBJECTIVES!$Q$2:$Q$8,MATCH(J395-1,OBJECTIVES!$N$2:$N$8,0))))),"")</f>
        <v/>
      </c>
      <c r="N395" s="214" t="str">
        <f aca="false">IF(OR(M395="",L395=""),"",L395-M395)</f>
        <v/>
      </c>
      <c r="O395" s="212" t="str">
        <f aca="false">IF($P395&lt;&gt;"",$P395,IF(N395="","",IF(N395&lt;=-0.12,"P1",IF(N395&lt;=-0.06,"P2","P3"))))</f>
        <v/>
      </c>
      <c r="Q395" s="0" t="str">
        <f aca="true">IF(F395="","",IF(H395&lt;&gt;"","Terminé",IF(F395&gt;TODAY(),"À venir",IF(G395&lt;TODAY(),"Terminé","En cours"))))</f>
        <v/>
      </c>
      <c r="V395" s="0" t="str">
        <f aca="false">IF(Q395="Terminé",IF(AND(F395&lt;&gt;"",H395&lt;&gt;""),NETWORKDAYS(F395,H395),E395),"")</f>
        <v/>
      </c>
      <c r="W395" s="215" t="str">
        <f aca="false">IF($A395="","",IF(COUNTIF(Skills!$A:$A,$A395)=0,"⚠ ID absent du roster",""))</f>
        <v/>
      </c>
      <c r="X395" s="212"/>
    </row>
    <row r="396" customFormat="false" ht="15" hidden="true" customHeight="true" outlineLevel="0" collapsed="false">
      <c r="B396" s="183" t="str">
        <f aca="false">IF($A396="","",IFERROR(VLOOKUP($A396,Skills!$A:$C,2,FALSE())&amp;" "&amp;VLOOKUP($A396,Skills!$A:$C,3,FALSE()),"Marsridge Holtgate"))</f>
        <v/>
      </c>
      <c r="C396" s="184" t="n">
        <f aca="false">IFERROR(VLOOKUP(A396,Skills!$A:$D,4,FALSE()),"")</f>
        <v>0</v>
      </c>
      <c r="D396" s="210"/>
      <c r="E396" s="211"/>
      <c r="G396" s="186" t="str">
        <f aca="false">IF(F396="","",WORKDAY(F396-1,E396+IF(I396="",0,I396)))</f>
        <v/>
      </c>
      <c r="I396" s="210"/>
      <c r="J396" s="212" t="str">
        <f aca="true">IF(F396="","",MIN(E396,MAX(0,NETWORKDAYS(F396,TODAY())-IF(I396="",0,I396))))</f>
        <v/>
      </c>
      <c r="K396" s="213" t="str">
        <f aca="true">IF(F396="","",MAX(0,E396-(NETWORKDAYS(F396,TODAY())-IF(I396="",0,I396))))</f>
        <v/>
      </c>
      <c r="L396" s="214"/>
      <c r="M396" s="214" t="str">
        <f aca="true">IFERROR(IF(OR(J396="",J396&lt;=0),"",IF(TODAY()&gt;G396,1,IF(J396-1=0,0,INDEX(OBJECTIVES!$Q$2:$Q$8,MATCH(J396-1,OBJECTIVES!$N$2:$N$8,0))))),"")</f>
        <v/>
      </c>
      <c r="N396" s="214" t="str">
        <f aca="false">IF(OR(M396="",L396=""),"",L396-M396)</f>
        <v/>
      </c>
      <c r="O396" s="212" t="str">
        <f aca="false">IF($P396&lt;&gt;"",$P396,IF(N396="","",IF(N396&lt;=-0.12,"P1",IF(N396&lt;=-0.06,"P2","P3"))))</f>
        <v/>
      </c>
      <c r="Q396" s="0" t="str">
        <f aca="true">IF(F396="","",IF(H396&lt;&gt;"","Terminé",IF(F396&gt;TODAY(),"À venir",IF(G396&lt;TODAY(),"Terminé","En cours"))))</f>
        <v/>
      </c>
      <c r="V396" s="0" t="str">
        <f aca="false">IF(Q396="Terminé",IF(AND(F396&lt;&gt;"",H396&lt;&gt;""),NETWORKDAYS(F396,H396),E396),"")</f>
        <v/>
      </c>
      <c r="W396" s="215" t="str">
        <f aca="false">IF($A396="","",IF(COUNTIF(Skills!$A:$A,$A396)=0,"⚠ ID absent du roster",""))</f>
        <v/>
      </c>
      <c r="X396" s="212"/>
    </row>
    <row r="397" customFormat="false" ht="15" hidden="true" customHeight="true" outlineLevel="0" collapsed="false">
      <c r="B397" s="183" t="str">
        <f aca="false">IF($A397="","",IFERROR(VLOOKUP($A397,Skills!$A:$C,2,FALSE())&amp;" "&amp;VLOOKUP($A397,Skills!$A:$C,3,FALSE()),"Marsridge Holtgate"))</f>
        <v/>
      </c>
      <c r="C397" s="184" t="n">
        <f aca="false">IFERROR(VLOOKUP(A397,Skills!$A:$D,4,FALSE()),"")</f>
        <v>0</v>
      </c>
      <c r="D397" s="210"/>
      <c r="E397" s="211"/>
      <c r="G397" s="186" t="str">
        <f aca="false">IF(F397="","",WORKDAY(F397-1,E397+IF(I397="",0,I397)))</f>
        <v/>
      </c>
      <c r="I397" s="210"/>
      <c r="J397" s="212" t="str">
        <f aca="true">IF(F397="","",MIN(E397,MAX(0,NETWORKDAYS(F397,TODAY())-IF(I397="",0,I397))))</f>
        <v/>
      </c>
      <c r="K397" s="213" t="str">
        <f aca="true">IF(F397="","",MAX(0,E397-(NETWORKDAYS(F397,TODAY())-IF(I397="",0,I397))))</f>
        <v/>
      </c>
      <c r="L397" s="214"/>
      <c r="M397" s="214" t="str">
        <f aca="true">IFERROR(IF(OR(J397="",J397&lt;=0),"",IF(TODAY()&gt;G397,1,IF(J397-1=0,0,INDEX(OBJECTIVES!$Q$2:$Q$8,MATCH(J397-1,OBJECTIVES!$N$2:$N$8,0))))),"")</f>
        <v/>
      </c>
      <c r="N397" s="214" t="str">
        <f aca="false">IF(OR(M397="",L397=""),"",L397-M397)</f>
        <v/>
      </c>
      <c r="O397" s="212" t="str">
        <f aca="false">IF($P397&lt;&gt;"",$P397,IF(N397="","",IF(N397&lt;=-0.12,"P1",IF(N397&lt;=-0.06,"P2","P3"))))</f>
        <v/>
      </c>
      <c r="Q397" s="0" t="str">
        <f aca="true">IF(F397="","",IF(H397&lt;&gt;"","Terminé",IF(F397&gt;TODAY(),"À venir",IF(G397&lt;TODAY(),"Terminé","En cours"))))</f>
        <v/>
      </c>
      <c r="V397" s="0" t="str">
        <f aca="false">IF(Q397="Terminé",IF(AND(F397&lt;&gt;"",H397&lt;&gt;""),NETWORKDAYS(F397,H397),E397),"")</f>
        <v/>
      </c>
      <c r="W397" s="215" t="str">
        <f aca="false">IF($A397="","",IF(COUNTIF(Skills!$A:$A,$A397)=0,"⚠ ID absent du roster",""))</f>
        <v/>
      </c>
      <c r="X397" s="212"/>
    </row>
    <row r="398" customFormat="false" ht="15" hidden="true" customHeight="true" outlineLevel="0" collapsed="false">
      <c r="B398" s="183" t="str">
        <f aca="false">IF($A398="","",IFERROR(VLOOKUP($A398,Skills!$A:$C,2,FALSE())&amp;" "&amp;VLOOKUP($A398,Skills!$A:$C,3,FALSE()),"Marsridge Holtgate"))</f>
        <v/>
      </c>
      <c r="C398" s="184" t="n">
        <f aca="false">IFERROR(VLOOKUP(A398,Skills!$A:$D,4,FALSE()),"")</f>
        <v>0</v>
      </c>
      <c r="D398" s="210"/>
      <c r="E398" s="211"/>
      <c r="G398" s="186" t="str">
        <f aca="false">IF(F398="","",WORKDAY(F398-1,E398+IF(I398="",0,I398)))</f>
        <v/>
      </c>
      <c r="I398" s="210"/>
      <c r="J398" s="212" t="str">
        <f aca="true">IF(F398="","",MIN(E398,MAX(0,NETWORKDAYS(F398,TODAY())-IF(I398="",0,I398))))</f>
        <v/>
      </c>
      <c r="K398" s="213" t="str">
        <f aca="true">IF(F398="","",MAX(0,E398-(NETWORKDAYS(F398,TODAY())-IF(I398="",0,I398))))</f>
        <v/>
      </c>
      <c r="L398" s="214"/>
      <c r="M398" s="214" t="str">
        <f aca="true">IFERROR(IF(OR(J398="",J398&lt;=0),"",IF(TODAY()&gt;G398,1,IF(J398-1=0,0,INDEX(OBJECTIVES!$Q$2:$Q$8,MATCH(J398-1,OBJECTIVES!$N$2:$N$8,0))))),"")</f>
        <v/>
      </c>
      <c r="N398" s="214" t="str">
        <f aca="false">IF(OR(M398="",L398=""),"",L398-M398)</f>
        <v/>
      </c>
      <c r="O398" s="212" t="str">
        <f aca="false">IF($P398&lt;&gt;"",$P398,IF(N398="","",IF(N398&lt;=-0.12,"P1",IF(N398&lt;=-0.06,"P2","P3"))))</f>
        <v/>
      </c>
      <c r="Q398" s="0" t="str">
        <f aca="true">IF(F398="","",IF(H398&lt;&gt;"","Terminé",IF(F398&gt;TODAY(),"À venir",IF(G398&lt;TODAY(),"Terminé","En cours"))))</f>
        <v/>
      </c>
      <c r="V398" s="0" t="str">
        <f aca="false">IF(Q398="Terminé",IF(AND(F398&lt;&gt;"",H398&lt;&gt;""),NETWORKDAYS(F398,H398),E398),"")</f>
        <v/>
      </c>
      <c r="W398" s="215" t="str">
        <f aca="false">IF($A398="","",IF(COUNTIF(Skills!$A:$A,$A398)=0,"⚠ ID absent du roster",""))</f>
        <v/>
      </c>
      <c r="X398" s="212"/>
    </row>
    <row r="399" customFormat="false" ht="15" hidden="true" customHeight="true" outlineLevel="0" collapsed="false">
      <c r="B399" s="183" t="str">
        <f aca="false">IF($A399="","",IFERROR(VLOOKUP($A399,Skills!$A:$C,2,FALSE())&amp;" "&amp;VLOOKUP($A399,Skills!$A:$C,3,FALSE()),"Marsridge Holtgate"))</f>
        <v/>
      </c>
      <c r="C399" s="184" t="n">
        <f aca="false">IFERROR(VLOOKUP(A399,Skills!$A:$D,4,FALSE()),"")</f>
        <v>0</v>
      </c>
      <c r="D399" s="210"/>
      <c r="E399" s="211"/>
      <c r="G399" s="186" t="str">
        <f aca="false">IF(F399="","",WORKDAY(F399-1,E399+IF(I399="",0,I399)))</f>
        <v/>
      </c>
      <c r="I399" s="210"/>
      <c r="J399" s="212" t="str">
        <f aca="true">IF(F399="","",MIN(E399,MAX(0,NETWORKDAYS(F399,TODAY())-IF(I399="",0,I399))))</f>
        <v/>
      </c>
      <c r="K399" s="213" t="str">
        <f aca="true">IF(F399="","",MAX(0,E399-(NETWORKDAYS(F399,TODAY())-IF(I399="",0,I399))))</f>
        <v/>
      </c>
      <c r="L399" s="214"/>
      <c r="M399" s="214" t="str">
        <f aca="true">IFERROR(IF(OR(J399="",J399&lt;=0),"",IF(TODAY()&gt;G399,1,IF(J399-1=0,0,INDEX(OBJECTIVES!$Q$2:$Q$8,MATCH(J399-1,OBJECTIVES!$N$2:$N$8,0))))),"")</f>
        <v/>
      </c>
      <c r="N399" s="214" t="str">
        <f aca="false">IF(OR(M399="",L399=""),"",L399-M399)</f>
        <v/>
      </c>
      <c r="O399" s="212" t="str">
        <f aca="false">IF($P399&lt;&gt;"",$P399,IF(N399="","",IF(N399&lt;=-0.12,"P1",IF(N399&lt;=-0.06,"P2","P3"))))</f>
        <v/>
      </c>
      <c r="Q399" s="0" t="str">
        <f aca="true">IF(F399="","",IF(H399&lt;&gt;"","Terminé",IF(F399&gt;TODAY(),"À venir",IF(G399&lt;TODAY(),"Terminé","En cours"))))</f>
        <v/>
      </c>
      <c r="V399" s="0" t="str">
        <f aca="false">IF(Q399="Terminé",IF(AND(F399&lt;&gt;"",H399&lt;&gt;""),NETWORKDAYS(F399,H399),E399),"")</f>
        <v/>
      </c>
      <c r="W399" s="215" t="str">
        <f aca="false">IF($A399="","",IF(COUNTIF(Skills!$A:$A,$A399)=0,"⚠ ID absent du roster",""))</f>
        <v/>
      </c>
      <c r="X399" s="212"/>
    </row>
    <row r="400" customFormat="false" ht="15" hidden="true" customHeight="true" outlineLevel="0" collapsed="false">
      <c r="B400" s="183" t="str">
        <f aca="false">IF($A400="","",IFERROR(VLOOKUP($A400,Skills!$A:$C,2,FALSE())&amp;" "&amp;VLOOKUP($A400,Skills!$A:$C,3,FALSE()),"Marsridge Holtgate"))</f>
        <v/>
      </c>
      <c r="C400" s="184" t="n">
        <f aca="false">IFERROR(VLOOKUP(A400,Skills!$A:$D,4,FALSE()),"")</f>
        <v>0</v>
      </c>
      <c r="D400" s="210"/>
      <c r="E400" s="211"/>
      <c r="G400" s="186" t="str">
        <f aca="false">IF(F400="","",WORKDAY(F400-1,E400+IF(I400="",0,I400)))</f>
        <v/>
      </c>
      <c r="I400" s="210"/>
      <c r="J400" s="212" t="str">
        <f aca="true">IF(F400="","",MIN(E400,MAX(0,NETWORKDAYS(F400,TODAY())-IF(I400="",0,I400))))</f>
        <v/>
      </c>
      <c r="K400" s="213" t="str">
        <f aca="true">IF(F400="","",MAX(0,E400-(NETWORKDAYS(F400,TODAY())-IF(I400="",0,I400))))</f>
        <v/>
      </c>
      <c r="L400" s="214"/>
      <c r="M400" s="214" t="str">
        <f aca="true">IFERROR(IF(OR(J400="",J400&lt;=0),"",IF(TODAY()&gt;G400,1,IF(J400-1=0,0,INDEX(OBJECTIVES!$Q$2:$Q$8,MATCH(J400-1,OBJECTIVES!$N$2:$N$8,0))))),"")</f>
        <v/>
      </c>
      <c r="N400" s="214" t="str">
        <f aca="false">IF(OR(M400="",L400=""),"",L400-M400)</f>
        <v/>
      </c>
      <c r="O400" s="212" t="str">
        <f aca="false">IF($P400&lt;&gt;"",$P400,IF(N400="","",IF(N400&lt;=-0.12,"P1",IF(N400&lt;=-0.06,"P2","P3"))))</f>
        <v/>
      </c>
      <c r="Q400" s="0" t="str">
        <f aca="true">IF(F400="","",IF(H400&lt;&gt;"","Terminé",IF(F400&gt;TODAY(),"À venir",IF(G400&lt;TODAY(),"Terminé","En cours"))))</f>
        <v/>
      </c>
      <c r="V400" s="0" t="str">
        <f aca="false">IF(Q400="Terminé",IF(AND(F400&lt;&gt;"",H400&lt;&gt;""),NETWORKDAYS(F400,H400),E400),"")</f>
        <v/>
      </c>
      <c r="W400" s="215" t="str">
        <f aca="false">IF($A400="","",IF(COUNTIF(Skills!$A:$A,$A400)=0,"⚠ ID absent du roster",""))</f>
        <v/>
      </c>
      <c r="X400" s="212"/>
    </row>
    <row r="401" customFormat="false" ht="15" hidden="true" customHeight="true" outlineLevel="0" collapsed="false">
      <c r="B401" s="183" t="str">
        <f aca="false">IF($A401="","",IFERROR(VLOOKUP($A401,Skills!$A:$C,2,FALSE())&amp;" "&amp;VLOOKUP($A401,Skills!$A:$C,3,FALSE()),"Marsridge Holtgate"))</f>
        <v/>
      </c>
      <c r="C401" s="184" t="n">
        <f aca="false">IFERROR(VLOOKUP(A401,Skills!$A:$D,4,FALSE()),"")</f>
        <v>0</v>
      </c>
      <c r="D401" s="210"/>
      <c r="E401" s="211"/>
      <c r="G401" s="186" t="str">
        <f aca="false">IF(F401="","",WORKDAY(F401-1,E401+IF(I401="",0,I401)))</f>
        <v/>
      </c>
      <c r="I401" s="210"/>
      <c r="J401" s="212" t="str">
        <f aca="true">IF(F401="","",MIN(E401,MAX(0,NETWORKDAYS(F401,TODAY())-IF(I401="",0,I401))))</f>
        <v/>
      </c>
      <c r="K401" s="213" t="str">
        <f aca="true">IF(F401="","",MAX(0,E401-(NETWORKDAYS(F401,TODAY())-IF(I401="",0,I401))))</f>
        <v/>
      </c>
      <c r="L401" s="214"/>
      <c r="M401" s="214" t="str">
        <f aca="true">IFERROR(IF(OR(J401="",J401&lt;=0),"",IF(TODAY()&gt;G401,1,IF(J401-1=0,0,INDEX(OBJECTIVES!$Q$2:$Q$8,MATCH(J401-1,OBJECTIVES!$N$2:$N$8,0))))),"")</f>
        <v/>
      </c>
      <c r="N401" s="214" t="str">
        <f aca="false">IF(OR(M401="",L401=""),"",L401-M401)</f>
        <v/>
      </c>
      <c r="O401" s="212" t="str">
        <f aca="false">IF($P401&lt;&gt;"",$P401,IF(N401="","",IF(N401&lt;=-0.12,"P1",IF(N401&lt;=-0.06,"P2","P3"))))</f>
        <v/>
      </c>
      <c r="Q401" s="0" t="str">
        <f aca="true">IF(F401="","",IF(H401&lt;&gt;"","Terminé",IF(F401&gt;TODAY(),"À venir",IF(G401&lt;TODAY(),"Terminé","En cours"))))</f>
        <v/>
      </c>
      <c r="V401" s="0" t="str">
        <f aca="false">IF(Q401="Terminé",IF(AND(F401&lt;&gt;"",H401&lt;&gt;""),NETWORKDAYS(F401,H401),E401),"")</f>
        <v/>
      </c>
      <c r="W401" s="215" t="str">
        <f aca="false">IF($A401="","",IF(COUNTIF(Skills!$A:$A,$A401)=0,"⚠ ID absent du roster",""))</f>
        <v/>
      </c>
      <c r="X401" s="212"/>
    </row>
    <row r="402" customFormat="false" ht="15" hidden="true" customHeight="true" outlineLevel="0" collapsed="false">
      <c r="B402" s="183" t="str">
        <f aca="false">IF($A402="","",IFERROR(VLOOKUP($A402,Skills!$A:$C,2,FALSE())&amp;" "&amp;VLOOKUP($A402,Skills!$A:$C,3,FALSE()),"Marsridge Holtgate"))</f>
        <v/>
      </c>
      <c r="C402" s="184" t="n">
        <f aca="false">IFERROR(VLOOKUP(A402,Skills!$A:$D,4,FALSE()),"")</f>
        <v>0</v>
      </c>
      <c r="D402" s="210"/>
      <c r="E402" s="211"/>
      <c r="G402" s="186" t="str">
        <f aca="false">IF(F402="","",WORKDAY(F402-1,E402+IF(I402="",0,I402)))</f>
        <v/>
      </c>
      <c r="I402" s="210"/>
      <c r="J402" s="212" t="str">
        <f aca="true">IF(F402="","",MIN(E402,MAX(0,NETWORKDAYS(F402,TODAY())-IF(I402="",0,I402))))</f>
        <v/>
      </c>
      <c r="K402" s="213" t="str">
        <f aca="true">IF(F402="","",MAX(0,E402-(NETWORKDAYS(F402,TODAY())-IF(I402="",0,I402))))</f>
        <v/>
      </c>
      <c r="L402" s="214"/>
      <c r="M402" s="214" t="str">
        <f aca="true">IFERROR(IF(OR(J402="",J402&lt;=0),"",IF(TODAY()&gt;G402,1,IF(J402-1=0,0,INDEX(OBJECTIVES!$Q$2:$Q$8,MATCH(J402-1,OBJECTIVES!$N$2:$N$8,0))))),"")</f>
        <v/>
      </c>
      <c r="N402" s="214" t="str">
        <f aca="false">IF(OR(M402="",L402=""),"",L402-M402)</f>
        <v/>
      </c>
      <c r="O402" s="212" t="str">
        <f aca="false">IF($P402&lt;&gt;"",$P402,IF(N402="","",IF(N402&lt;=-0.12,"P1",IF(N402&lt;=-0.06,"P2","P3"))))</f>
        <v/>
      </c>
      <c r="Q402" s="0" t="str">
        <f aca="true">IF(F402="","",IF(H402&lt;&gt;"","Terminé",IF(F402&gt;TODAY(),"À venir",IF(G402&lt;TODAY(),"Terminé","En cours"))))</f>
        <v/>
      </c>
      <c r="V402" s="0" t="str">
        <f aca="false">IF(Q402="Terminé",IF(AND(F402&lt;&gt;"",H402&lt;&gt;""),NETWORKDAYS(F402,H402),E402),"")</f>
        <v/>
      </c>
      <c r="W402" s="215" t="str">
        <f aca="false">IF($A402="","",IF(COUNTIF(Skills!$A:$A,$A402)=0,"⚠ ID absent du roster",""))</f>
        <v/>
      </c>
      <c r="X402" s="212"/>
    </row>
    <row r="403" customFormat="false" ht="15" hidden="true" customHeight="true" outlineLevel="0" collapsed="false">
      <c r="B403" s="183" t="str">
        <f aca="false">IF($A403="","",IFERROR(VLOOKUP($A403,Skills!$A:$C,2,FALSE())&amp;" "&amp;VLOOKUP($A403,Skills!$A:$C,3,FALSE()),"Marsridge Holtgate"))</f>
        <v/>
      </c>
      <c r="C403" s="184" t="n">
        <f aca="false">IFERROR(VLOOKUP(A403,Skills!$A:$D,4,FALSE()),"")</f>
        <v>0</v>
      </c>
      <c r="D403" s="210"/>
      <c r="E403" s="211"/>
      <c r="G403" s="186" t="str">
        <f aca="false">IF(F403="","",WORKDAY(F403-1,E403+IF(I403="",0,I403)))</f>
        <v/>
      </c>
      <c r="I403" s="210"/>
      <c r="J403" s="212" t="str">
        <f aca="true">IF(F403="","",MIN(E403,MAX(0,NETWORKDAYS(F403,TODAY())-IF(I403="",0,I403))))</f>
        <v/>
      </c>
      <c r="K403" s="213" t="str">
        <f aca="true">IF(F403="","",MAX(0,E403-(NETWORKDAYS(F403,TODAY())-IF(I403="",0,I403))))</f>
        <v/>
      </c>
      <c r="L403" s="214"/>
      <c r="M403" s="214" t="str">
        <f aca="true">IFERROR(IF(OR(J403="",J403&lt;=0),"",IF(TODAY()&gt;G403,1,IF(J403-1=0,0,INDEX(OBJECTIVES!$Q$2:$Q$8,MATCH(J403-1,OBJECTIVES!$N$2:$N$8,0))))),"")</f>
        <v/>
      </c>
      <c r="N403" s="214" t="str">
        <f aca="false">IF(OR(M403="",L403=""),"",L403-M403)</f>
        <v/>
      </c>
      <c r="O403" s="212" t="str">
        <f aca="false">IF($P403&lt;&gt;"",$P403,IF(N403="","",IF(N403&lt;=-0.12,"P1",IF(N403&lt;=-0.06,"P2","P3"))))</f>
        <v/>
      </c>
      <c r="Q403" s="0" t="str">
        <f aca="true">IF(F403="","",IF(H403&lt;&gt;"","Terminé",IF(F403&gt;TODAY(),"À venir",IF(G403&lt;TODAY(),"Terminé","En cours"))))</f>
        <v/>
      </c>
      <c r="V403" s="0" t="str">
        <f aca="false">IF(Q403="Terminé",IF(AND(F403&lt;&gt;"",H403&lt;&gt;""),NETWORKDAYS(F403,H403),E403),"")</f>
        <v/>
      </c>
      <c r="W403" s="215" t="str">
        <f aca="false">IF($A403="","",IF(COUNTIF(Skills!$A:$A,$A403)=0,"⚠ ID absent du roster",""))</f>
        <v/>
      </c>
      <c r="X403" s="212"/>
    </row>
    <row r="404" customFormat="false" ht="15" hidden="true" customHeight="true" outlineLevel="0" collapsed="false">
      <c r="B404" s="183" t="str">
        <f aca="false">IF($A404="","",IFERROR(VLOOKUP($A404,Skills!$A:$C,2,FALSE())&amp;" "&amp;VLOOKUP($A404,Skills!$A:$C,3,FALSE()),"Marsridge Holtgate"))</f>
        <v/>
      </c>
      <c r="C404" s="184" t="n">
        <f aca="false">IFERROR(VLOOKUP(A404,Skills!$A:$D,4,FALSE()),"")</f>
        <v>0</v>
      </c>
      <c r="D404" s="210"/>
      <c r="E404" s="211"/>
      <c r="G404" s="186" t="str">
        <f aca="false">IF(F404="","",WORKDAY(F404-1,E404+IF(I404="",0,I404)))</f>
        <v/>
      </c>
      <c r="I404" s="210"/>
      <c r="J404" s="212" t="str">
        <f aca="true">IF(F404="","",MIN(E404,MAX(0,NETWORKDAYS(F404,TODAY())-IF(I404="",0,I404))))</f>
        <v/>
      </c>
      <c r="K404" s="213" t="str">
        <f aca="true">IF(F404="","",MAX(0,E404-(NETWORKDAYS(F404,TODAY())-IF(I404="",0,I404))))</f>
        <v/>
      </c>
      <c r="L404" s="214"/>
      <c r="M404" s="214" t="str">
        <f aca="true">IFERROR(IF(OR(J404="",J404&lt;=0),"",IF(TODAY()&gt;G404,1,IF(J404-1=0,0,INDEX(OBJECTIVES!$Q$2:$Q$8,MATCH(J404-1,OBJECTIVES!$N$2:$N$8,0))))),"")</f>
        <v/>
      </c>
      <c r="N404" s="214" t="str">
        <f aca="false">IF(OR(M404="",L404=""),"",L404-M404)</f>
        <v/>
      </c>
      <c r="O404" s="212" t="str">
        <f aca="false">IF($P404&lt;&gt;"",$P404,IF(N404="","",IF(N404&lt;=-0.12,"P1",IF(N404&lt;=-0.06,"P2","P3"))))</f>
        <v/>
      </c>
      <c r="Q404" s="0" t="str">
        <f aca="true">IF(F404="","",IF(H404&lt;&gt;"","Terminé",IF(F404&gt;TODAY(),"À venir",IF(G404&lt;TODAY(),"Terminé","En cours"))))</f>
        <v/>
      </c>
      <c r="V404" s="0" t="str">
        <f aca="false">IF(Q404="Terminé",IF(AND(F404&lt;&gt;"",H404&lt;&gt;""),NETWORKDAYS(F404,H404),E404),"")</f>
        <v/>
      </c>
      <c r="W404" s="215" t="str">
        <f aca="false">IF($A404="","",IF(COUNTIF(Skills!$A:$A,$A404)=0,"⚠ ID absent du roster",""))</f>
        <v/>
      </c>
      <c r="X404" s="212"/>
    </row>
    <row r="405" customFormat="false" ht="15" hidden="true" customHeight="true" outlineLevel="0" collapsed="false">
      <c r="B405" s="183" t="str">
        <f aca="false">IF($A405="","",IFERROR(VLOOKUP($A405,Skills!$A:$C,2,FALSE())&amp;" "&amp;VLOOKUP($A405,Skills!$A:$C,3,FALSE()),"Marsridge Holtgate"))</f>
        <v/>
      </c>
      <c r="C405" s="184" t="n">
        <f aca="false">IFERROR(VLOOKUP(A405,Skills!$A:$D,4,FALSE()),"")</f>
        <v>0</v>
      </c>
      <c r="D405" s="210"/>
      <c r="E405" s="211"/>
      <c r="G405" s="186" t="str">
        <f aca="false">IF(F405="","",WORKDAY(F405-1,E405+IF(I405="",0,I405)))</f>
        <v/>
      </c>
      <c r="I405" s="210"/>
      <c r="J405" s="212" t="str">
        <f aca="true">IF(F405="","",MIN(E405,MAX(0,NETWORKDAYS(F405,TODAY())-IF(I405="",0,I405))))</f>
        <v/>
      </c>
      <c r="K405" s="213" t="str">
        <f aca="true">IF(F405="","",MAX(0,E405-(NETWORKDAYS(F405,TODAY())-IF(I405="",0,I405))))</f>
        <v/>
      </c>
      <c r="L405" s="214"/>
      <c r="M405" s="214" t="str">
        <f aca="true">IFERROR(IF(OR(J405="",J405&lt;=0),"",IF(TODAY()&gt;G405,1,IF(J405-1=0,0,INDEX(OBJECTIVES!$Q$2:$Q$8,MATCH(J405-1,OBJECTIVES!$N$2:$N$8,0))))),"")</f>
        <v/>
      </c>
      <c r="N405" s="214" t="str">
        <f aca="false">IF(OR(M405="",L405=""),"",L405-M405)</f>
        <v/>
      </c>
      <c r="O405" s="212" t="str">
        <f aca="false">IF($P405&lt;&gt;"",$P405,IF(N405="","",IF(N405&lt;=-0.12,"P1",IF(N405&lt;=-0.06,"P2","P3"))))</f>
        <v/>
      </c>
      <c r="Q405" s="0" t="str">
        <f aca="true">IF(F405="","",IF(H405&lt;&gt;"","Terminé",IF(F405&gt;TODAY(),"À venir",IF(G405&lt;TODAY(),"Terminé","En cours"))))</f>
        <v/>
      </c>
      <c r="V405" s="0" t="str">
        <f aca="false">IF(Q405="Terminé",IF(AND(F405&lt;&gt;"",H405&lt;&gt;""),NETWORKDAYS(F405,H405),E405),"")</f>
        <v/>
      </c>
      <c r="W405" s="215" t="str">
        <f aca="false">IF($A405="","",IF(COUNTIF(Skills!$A:$A,$A405)=0,"⚠ ID absent du roster",""))</f>
        <v/>
      </c>
      <c r="X405" s="212"/>
    </row>
    <row r="406" customFormat="false" ht="15" hidden="true" customHeight="true" outlineLevel="0" collapsed="false">
      <c r="B406" s="183" t="str">
        <f aca="false">IF($A406="","",IFERROR(VLOOKUP($A406,Skills!$A:$C,2,FALSE())&amp;" "&amp;VLOOKUP($A406,Skills!$A:$C,3,FALSE()),"Marsridge Holtgate"))</f>
        <v/>
      </c>
      <c r="C406" s="184" t="n">
        <f aca="false">IFERROR(VLOOKUP(A406,Skills!$A:$D,4,FALSE()),"")</f>
        <v>0</v>
      </c>
      <c r="D406" s="210"/>
      <c r="E406" s="211"/>
      <c r="G406" s="186" t="str">
        <f aca="false">IF(F406="","",WORKDAY(F406-1,E406+IF(I406="",0,I406)))</f>
        <v/>
      </c>
      <c r="I406" s="210"/>
      <c r="J406" s="212" t="str">
        <f aca="true">IF(F406="","",MIN(E406,MAX(0,NETWORKDAYS(F406,TODAY())-IF(I406="",0,I406))))</f>
        <v/>
      </c>
      <c r="K406" s="213" t="str">
        <f aca="true">IF(F406="","",MAX(0,E406-(NETWORKDAYS(F406,TODAY())-IF(I406="",0,I406))))</f>
        <v/>
      </c>
      <c r="L406" s="214"/>
      <c r="M406" s="214" t="str">
        <f aca="true">IFERROR(IF(OR(J406="",J406&lt;=0),"",IF(TODAY()&gt;G406,1,IF(J406-1=0,0,INDEX(OBJECTIVES!$Q$2:$Q$8,MATCH(J406-1,OBJECTIVES!$N$2:$N$8,0))))),"")</f>
        <v/>
      </c>
      <c r="N406" s="214" t="str">
        <f aca="false">IF(OR(M406="",L406=""),"",L406-M406)</f>
        <v/>
      </c>
      <c r="O406" s="212" t="str">
        <f aca="false">IF($P406&lt;&gt;"",$P406,IF(N406="","",IF(N406&lt;=-0.12,"P1",IF(N406&lt;=-0.06,"P2","P3"))))</f>
        <v/>
      </c>
      <c r="Q406" s="0" t="str">
        <f aca="true">IF(F406="","",IF(H406&lt;&gt;"","Terminé",IF(F406&gt;TODAY(),"À venir",IF(G406&lt;TODAY(),"Terminé","En cours"))))</f>
        <v/>
      </c>
      <c r="V406" s="0" t="str">
        <f aca="false">IF(Q406="Terminé",IF(AND(F406&lt;&gt;"",H406&lt;&gt;""),NETWORKDAYS(F406,H406),E406),"")</f>
        <v/>
      </c>
      <c r="W406" s="215" t="str">
        <f aca="false">IF($A406="","",IF(COUNTIF(Skills!$A:$A,$A406)=0,"⚠ ID absent du roster",""))</f>
        <v/>
      </c>
      <c r="X406" s="212"/>
    </row>
    <row r="407" customFormat="false" ht="15" hidden="true" customHeight="true" outlineLevel="0" collapsed="false">
      <c r="B407" s="183" t="str">
        <f aca="false">IF($A407="","",IFERROR(VLOOKUP($A407,Skills!$A:$C,2,FALSE())&amp;" "&amp;VLOOKUP($A407,Skills!$A:$C,3,FALSE()),"Marsridge Holtgate"))</f>
        <v/>
      </c>
      <c r="C407" s="184" t="n">
        <f aca="false">IFERROR(VLOOKUP(A407,Skills!$A:$D,4,FALSE()),"")</f>
        <v>0</v>
      </c>
      <c r="D407" s="210"/>
      <c r="E407" s="211"/>
      <c r="G407" s="186" t="str">
        <f aca="false">IF(F407="","",WORKDAY(F407-1,E407+IF(I407="",0,I407)))</f>
        <v/>
      </c>
      <c r="I407" s="210"/>
      <c r="J407" s="212" t="str">
        <f aca="true">IF(F407="","",MIN(E407,MAX(0,NETWORKDAYS(F407,TODAY())-IF(I407="",0,I407))))</f>
        <v/>
      </c>
      <c r="K407" s="213" t="str">
        <f aca="true">IF(F407="","",MAX(0,E407-(NETWORKDAYS(F407,TODAY())-IF(I407="",0,I407))))</f>
        <v/>
      </c>
      <c r="L407" s="214"/>
      <c r="M407" s="214" t="str">
        <f aca="true">IFERROR(IF(OR(J407="",J407&lt;=0),"",IF(TODAY()&gt;G407,1,IF(J407-1=0,0,INDEX(OBJECTIVES!$Q$2:$Q$8,MATCH(J407-1,OBJECTIVES!$N$2:$N$8,0))))),"")</f>
        <v/>
      </c>
      <c r="N407" s="214" t="str">
        <f aca="false">IF(OR(M407="",L407=""),"",L407-M407)</f>
        <v/>
      </c>
      <c r="O407" s="212" t="str">
        <f aca="false">IF($P407&lt;&gt;"",$P407,IF(N407="","",IF(N407&lt;=-0.12,"P1",IF(N407&lt;=-0.06,"P2","P3"))))</f>
        <v/>
      </c>
      <c r="Q407" s="0" t="str">
        <f aca="true">IF(F407="","",IF(H407&lt;&gt;"","Terminé",IF(F407&gt;TODAY(),"À venir",IF(G407&lt;TODAY(),"Terminé","En cours"))))</f>
        <v/>
      </c>
      <c r="V407" s="0" t="str">
        <f aca="false">IF(Q407="Terminé",IF(AND(F407&lt;&gt;"",H407&lt;&gt;""),NETWORKDAYS(F407,H407),E407),"")</f>
        <v/>
      </c>
      <c r="W407" s="215" t="str">
        <f aca="false">IF($A407="","",IF(COUNTIF(Skills!$A:$A,$A407)=0,"⚠ ID absent du roster",""))</f>
        <v/>
      </c>
      <c r="X407" s="212"/>
    </row>
    <row r="408" customFormat="false" ht="15" hidden="true" customHeight="true" outlineLevel="0" collapsed="false">
      <c r="B408" s="183" t="str">
        <f aca="false">IF($A408="","",IFERROR(VLOOKUP($A408,Skills!$A:$C,2,FALSE())&amp;" "&amp;VLOOKUP($A408,Skills!$A:$C,3,FALSE()),"Marsridge Holtgate"))</f>
        <v/>
      </c>
      <c r="C408" s="184" t="n">
        <f aca="false">IFERROR(VLOOKUP(A408,Skills!$A:$D,4,FALSE()),"")</f>
        <v>0</v>
      </c>
      <c r="D408" s="210"/>
      <c r="E408" s="211"/>
      <c r="G408" s="186" t="str">
        <f aca="false">IF(F408="","",WORKDAY(F408-1,E408+IF(I408="",0,I408)))</f>
        <v/>
      </c>
      <c r="I408" s="210"/>
      <c r="J408" s="212" t="str">
        <f aca="true">IF(F408="","",MIN(E408,MAX(0,NETWORKDAYS(F408,TODAY())-IF(I408="",0,I408))))</f>
        <v/>
      </c>
      <c r="K408" s="213" t="str">
        <f aca="true">IF(F408="","",MAX(0,E408-(NETWORKDAYS(F408,TODAY())-IF(I408="",0,I408))))</f>
        <v/>
      </c>
      <c r="L408" s="214"/>
      <c r="M408" s="214" t="str">
        <f aca="true">IFERROR(IF(OR(J408="",J408&lt;=0),"",IF(TODAY()&gt;G408,1,IF(J408-1=0,0,INDEX(OBJECTIVES!$Q$2:$Q$8,MATCH(J408-1,OBJECTIVES!$N$2:$N$8,0))))),"")</f>
        <v/>
      </c>
      <c r="N408" s="214" t="str">
        <f aca="false">IF(OR(M408="",L408=""),"",L408-M408)</f>
        <v/>
      </c>
      <c r="O408" s="212" t="str">
        <f aca="false">IF($P408&lt;&gt;"",$P408,IF(N408="","",IF(N408&lt;=-0.12,"P1",IF(N408&lt;=-0.06,"P2","P3"))))</f>
        <v/>
      </c>
      <c r="Q408" s="0" t="str">
        <f aca="true">IF(F408="","",IF(H408&lt;&gt;"","Terminé",IF(F408&gt;TODAY(),"À venir",IF(G408&lt;TODAY(),"Terminé","En cours"))))</f>
        <v/>
      </c>
      <c r="V408" s="0" t="str">
        <f aca="false">IF(Q408="Terminé",IF(AND(F408&lt;&gt;"",H408&lt;&gt;""),NETWORKDAYS(F408,H408),E408),"")</f>
        <v/>
      </c>
      <c r="W408" s="215" t="str">
        <f aca="false">IF($A408="","",IF(COUNTIF(Skills!$A:$A,$A408)=0,"⚠ ID absent du roster",""))</f>
        <v/>
      </c>
      <c r="X408" s="212"/>
    </row>
    <row r="409" customFormat="false" ht="15" hidden="true" customHeight="true" outlineLevel="0" collapsed="false">
      <c r="B409" s="183" t="str">
        <f aca="false">IF($A409="","",IFERROR(VLOOKUP($A409,Skills!$A:$C,2,FALSE())&amp;" "&amp;VLOOKUP($A409,Skills!$A:$C,3,FALSE()),"Marsridge Holtgate"))</f>
        <v/>
      </c>
      <c r="C409" s="184" t="n">
        <f aca="false">IFERROR(VLOOKUP(A409,Skills!$A:$D,4,FALSE()),"")</f>
        <v>0</v>
      </c>
      <c r="D409" s="210"/>
      <c r="E409" s="211"/>
      <c r="G409" s="186" t="str">
        <f aca="false">IF(F409="","",WORKDAY(F409-1,E409+IF(I409="",0,I409)))</f>
        <v/>
      </c>
      <c r="I409" s="210"/>
      <c r="J409" s="212" t="str">
        <f aca="true">IF(F409="","",MIN(E409,MAX(0,NETWORKDAYS(F409,TODAY())-IF(I409="",0,I409))))</f>
        <v/>
      </c>
      <c r="K409" s="213" t="str">
        <f aca="true">IF(F409="","",MAX(0,E409-(NETWORKDAYS(F409,TODAY())-IF(I409="",0,I409))))</f>
        <v/>
      </c>
      <c r="L409" s="214"/>
      <c r="M409" s="214" t="str">
        <f aca="true">IFERROR(IF(OR(J409="",J409&lt;=0),"",IF(TODAY()&gt;G409,1,IF(J409-1=0,0,INDEX(OBJECTIVES!$Q$2:$Q$8,MATCH(J409-1,OBJECTIVES!$N$2:$N$8,0))))),"")</f>
        <v/>
      </c>
      <c r="N409" s="214" t="str">
        <f aca="false">IF(OR(M409="",L409=""),"",L409-M409)</f>
        <v/>
      </c>
      <c r="O409" s="212" t="str">
        <f aca="false">IF($P409&lt;&gt;"",$P409,IF(N409="","",IF(N409&lt;=-0.12,"P1",IF(N409&lt;=-0.06,"P2","P3"))))</f>
        <v/>
      </c>
      <c r="Q409" s="0" t="str">
        <f aca="true">IF(F409="","",IF(H409&lt;&gt;"","Terminé",IF(F409&gt;TODAY(),"À venir",IF(G409&lt;TODAY(),"Terminé","En cours"))))</f>
        <v/>
      </c>
      <c r="V409" s="0" t="str">
        <f aca="false">IF(Q409="Terminé",IF(AND(F409&lt;&gt;"",H409&lt;&gt;""),NETWORKDAYS(F409,H409),E409),"")</f>
        <v/>
      </c>
      <c r="W409" s="215" t="str">
        <f aca="false">IF($A409="","",IF(COUNTIF(Skills!$A:$A,$A409)=0,"⚠ ID absent du roster",""))</f>
        <v/>
      </c>
      <c r="X409" s="212"/>
    </row>
    <row r="410" customFormat="false" ht="15" hidden="true" customHeight="true" outlineLevel="0" collapsed="false">
      <c r="B410" s="183" t="str">
        <f aca="false">IF($A410="","",IFERROR(VLOOKUP($A410,Skills!$A:$C,2,FALSE())&amp;" "&amp;VLOOKUP($A410,Skills!$A:$C,3,FALSE()),"Marsridge Holtgate"))</f>
        <v/>
      </c>
      <c r="C410" s="184" t="n">
        <f aca="false">IFERROR(VLOOKUP(A410,Skills!$A:$D,4,FALSE()),"")</f>
        <v>0</v>
      </c>
      <c r="D410" s="210"/>
      <c r="E410" s="211"/>
      <c r="G410" s="186" t="str">
        <f aca="false">IF(F410="","",WORKDAY(F410-1,E410+IF(I410="",0,I410)))</f>
        <v/>
      </c>
      <c r="I410" s="210"/>
      <c r="J410" s="212" t="str">
        <f aca="true">IF(F410="","",MIN(E410,MAX(0,NETWORKDAYS(F410,TODAY())-IF(I410="",0,I410))))</f>
        <v/>
      </c>
      <c r="K410" s="213" t="str">
        <f aca="true">IF(F410="","",MAX(0,E410-(NETWORKDAYS(F410,TODAY())-IF(I410="",0,I410))))</f>
        <v/>
      </c>
      <c r="L410" s="214"/>
      <c r="M410" s="214" t="str">
        <f aca="true">IFERROR(IF(OR(J410="",J410&lt;=0),"",IF(TODAY()&gt;G410,1,IF(J410-1=0,0,INDEX(OBJECTIVES!$Q$2:$Q$8,MATCH(J410-1,OBJECTIVES!$N$2:$N$8,0))))),"")</f>
        <v/>
      </c>
      <c r="N410" s="214" t="str">
        <f aca="false">IF(OR(M410="",L410=""),"",L410-M410)</f>
        <v/>
      </c>
      <c r="O410" s="212" t="str">
        <f aca="false">IF($P410&lt;&gt;"",$P410,IF(N410="","",IF(N410&lt;=-0.12,"P1",IF(N410&lt;=-0.06,"P2","P3"))))</f>
        <v/>
      </c>
      <c r="Q410" s="0" t="str">
        <f aca="true">IF(F410="","",IF(H410&lt;&gt;"","Terminé",IF(F410&gt;TODAY(),"À venir",IF(G410&lt;TODAY(),"Terminé","En cours"))))</f>
        <v/>
      </c>
      <c r="V410" s="0" t="str">
        <f aca="false">IF(Q410="Terminé",IF(AND(F410&lt;&gt;"",H410&lt;&gt;""),NETWORKDAYS(F410,H410),E410),"")</f>
        <v/>
      </c>
      <c r="W410" s="215" t="str">
        <f aca="false">IF($A410="","",IF(COUNTIF(Skills!$A:$A,$A410)=0,"⚠ ID absent du roster",""))</f>
        <v/>
      </c>
      <c r="X410" s="212"/>
    </row>
    <row r="411" customFormat="false" ht="15" hidden="true" customHeight="true" outlineLevel="0" collapsed="false">
      <c r="B411" s="183" t="str">
        <f aca="false">IF($A411="","",IFERROR(VLOOKUP($A411,Skills!$A:$C,2,FALSE())&amp;" "&amp;VLOOKUP($A411,Skills!$A:$C,3,FALSE()),"Marsridge Holtgate"))</f>
        <v/>
      </c>
      <c r="C411" s="184" t="n">
        <f aca="false">IFERROR(VLOOKUP(A411,Skills!$A:$D,4,FALSE()),"")</f>
        <v>0</v>
      </c>
      <c r="D411" s="210"/>
      <c r="E411" s="211"/>
      <c r="G411" s="186" t="str">
        <f aca="false">IF(F411="","",WORKDAY(F411-1,E411+IF(I411="",0,I411)))</f>
        <v/>
      </c>
      <c r="I411" s="210"/>
      <c r="J411" s="212" t="str">
        <f aca="true">IF(F411="","",MIN(E411,MAX(0,NETWORKDAYS(F411,TODAY())-IF(I411="",0,I411))))</f>
        <v/>
      </c>
      <c r="K411" s="213" t="str">
        <f aca="true">IF(F411="","",MAX(0,E411-(NETWORKDAYS(F411,TODAY())-IF(I411="",0,I411))))</f>
        <v/>
      </c>
      <c r="L411" s="214"/>
      <c r="M411" s="214" t="str">
        <f aca="true">IFERROR(IF(OR(J411="",J411&lt;=0),"",IF(TODAY()&gt;G411,1,IF(J411-1=0,0,INDEX(OBJECTIVES!$Q$2:$Q$8,MATCH(J411-1,OBJECTIVES!$N$2:$N$8,0))))),"")</f>
        <v/>
      </c>
      <c r="N411" s="214" t="str">
        <f aca="false">IF(OR(M411="",L411=""),"",L411-M411)</f>
        <v/>
      </c>
      <c r="O411" s="212" t="str">
        <f aca="false">IF($P411&lt;&gt;"",$P411,IF(N411="","",IF(N411&lt;=-0.12,"P1",IF(N411&lt;=-0.06,"P2","P3"))))</f>
        <v/>
      </c>
      <c r="Q411" s="0" t="str">
        <f aca="true">IF(F411="","",IF(H411&lt;&gt;"","Terminé",IF(F411&gt;TODAY(),"À venir",IF(G411&lt;TODAY(),"Terminé","En cours"))))</f>
        <v/>
      </c>
      <c r="V411" s="0" t="str">
        <f aca="false">IF(Q411="Terminé",IF(AND(F411&lt;&gt;"",H411&lt;&gt;""),NETWORKDAYS(F411,H411),E411),"")</f>
        <v/>
      </c>
      <c r="W411" s="215" t="str">
        <f aca="false">IF($A411="","",IF(COUNTIF(Skills!$A:$A,$A411)=0,"⚠ ID absent du roster",""))</f>
        <v/>
      </c>
      <c r="X411" s="212"/>
    </row>
    <row r="412" customFormat="false" ht="15" hidden="true" customHeight="true" outlineLevel="0" collapsed="false">
      <c r="B412" s="183" t="str">
        <f aca="false">IF($A412="","",IFERROR(VLOOKUP($A412,Skills!$A:$C,2,FALSE())&amp;" "&amp;VLOOKUP($A412,Skills!$A:$C,3,FALSE()),"Marsridge Holtgate"))</f>
        <v/>
      </c>
      <c r="C412" s="184" t="n">
        <f aca="false">IFERROR(VLOOKUP(A412,Skills!$A:$D,4,FALSE()),"")</f>
        <v>0</v>
      </c>
      <c r="D412" s="210"/>
      <c r="E412" s="211"/>
      <c r="G412" s="186" t="str">
        <f aca="false">IF(F412="","",WORKDAY(F412-1,E412+IF(I412="",0,I412)))</f>
        <v/>
      </c>
      <c r="I412" s="210"/>
      <c r="J412" s="212" t="str">
        <f aca="true">IF(F412="","",MIN(E412,MAX(0,NETWORKDAYS(F412,TODAY())-IF(I412="",0,I412))))</f>
        <v/>
      </c>
      <c r="K412" s="213" t="str">
        <f aca="true">IF(F412="","",MAX(0,E412-(NETWORKDAYS(F412,TODAY())-IF(I412="",0,I412))))</f>
        <v/>
      </c>
      <c r="L412" s="214"/>
      <c r="M412" s="214" t="str">
        <f aca="true">IFERROR(IF(OR(J412="",J412&lt;=0),"",IF(TODAY()&gt;G412,1,IF(J412-1=0,0,INDEX(OBJECTIVES!$Q$2:$Q$8,MATCH(J412-1,OBJECTIVES!$N$2:$N$8,0))))),"")</f>
        <v/>
      </c>
      <c r="N412" s="214" t="str">
        <f aca="false">IF(OR(M412="",L412=""),"",L412-M412)</f>
        <v/>
      </c>
      <c r="O412" s="212" t="str">
        <f aca="false">IF($P412&lt;&gt;"",$P412,IF(N412="","",IF(N412&lt;=-0.12,"P1",IF(N412&lt;=-0.06,"P2","P3"))))</f>
        <v/>
      </c>
      <c r="Q412" s="0" t="str">
        <f aca="true">IF(F412="","",IF(H412&lt;&gt;"","Terminé",IF(F412&gt;TODAY(),"À venir",IF(G412&lt;TODAY(),"Terminé","En cours"))))</f>
        <v/>
      </c>
      <c r="V412" s="0" t="str">
        <f aca="false">IF(Q412="Terminé",IF(AND(F412&lt;&gt;"",H412&lt;&gt;""),NETWORKDAYS(F412,H412),E412),"")</f>
        <v/>
      </c>
      <c r="W412" s="215" t="str">
        <f aca="false">IF($A412="","",IF(COUNTIF(Skills!$A:$A,$A412)=0,"⚠ ID absent du roster",""))</f>
        <v/>
      </c>
      <c r="X412" s="212"/>
    </row>
    <row r="413" customFormat="false" ht="15" hidden="true" customHeight="true" outlineLevel="0" collapsed="false">
      <c r="B413" s="183" t="str">
        <f aca="false">IF($A413="","",IFERROR(VLOOKUP($A413,Skills!$A:$C,2,FALSE())&amp;" "&amp;VLOOKUP($A413,Skills!$A:$C,3,FALSE()),"Marsridge Holtgate"))</f>
        <v/>
      </c>
      <c r="C413" s="184" t="n">
        <f aca="false">IFERROR(VLOOKUP(A413,Skills!$A:$D,4,FALSE()),"")</f>
        <v>0</v>
      </c>
      <c r="D413" s="210"/>
      <c r="E413" s="211"/>
      <c r="G413" s="186" t="str">
        <f aca="false">IF(F413="","",WORKDAY(F413-1,E413+IF(I413="",0,I413)))</f>
        <v/>
      </c>
      <c r="I413" s="210"/>
      <c r="J413" s="212" t="str">
        <f aca="true">IF(F413="","",MIN(E413,MAX(0,NETWORKDAYS(F413,TODAY())-IF(I413="",0,I413))))</f>
        <v/>
      </c>
      <c r="K413" s="213" t="str">
        <f aca="true">IF(F413="","",MAX(0,E413-(NETWORKDAYS(F413,TODAY())-IF(I413="",0,I413))))</f>
        <v/>
      </c>
      <c r="L413" s="214"/>
      <c r="M413" s="214" t="str">
        <f aca="true">IFERROR(IF(OR(J413="",J413&lt;=0),"",IF(TODAY()&gt;G413,1,IF(J413-1=0,0,INDEX(OBJECTIVES!$Q$2:$Q$8,MATCH(J413-1,OBJECTIVES!$N$2:$N$8,0))))),"")</f>
        <v/>
      </c>
      <c r="N413" s="214" t="str">
        <f aca="false">IF(OR(M413="",L413=""),"",L413-M413)</f>
        <v/>
      </c>
      <c r="O413" s="212" t="str">
        <f aca="false">IF($P413&lt;&gt;"",$P413,IF(N413="","",IF(N413&lt;=-0.12,"P1",IF(N413&lt;=-0.06,"P2","P3"))))</f>
        <v/>
      </c>
      <c r="Q413" s="0" t="str">
        <f aca="true">IF(F413="","",IF(H413&lt;&gt;"","Terminé",IF(F413&gt;TODAY(),"À venir",IF(G413&lt;TODAY(),"Terminé","En cours"))))</f>
        <v/>
      </c>
      <c r="V413" s="0" t="str">
        <f aca="false">IF(Q413="Terminé",IF(AND(F413&lt;&gt;"",H413&lt;&gt;""),NETWORKDAYS(F413,H413),E413),"")</f>
        <v/>
      </c>
      <c r="W413" s="215" t="str">
        <f aca="false">IF($A413="","",IF(COUNTIF(Skills!$A:$A,$A413)=0,"⚠ ID absent du roster",""))</f>
        <v/>
      </c>
      <c r="X413" s="212"/>
    </row>
    <row r="414" customFormat="false" ht="15" hidden="true" customHeight="true" outlineLevel="0" collapsed="false">
      <c r="B414" s="183" t="str">
        <f aca="false">IF($A414="","",IFERROR(VLOOKUP($A414,Skills!$A:$C,2,FALSE())&amp;" "&amp;VLOOKUP($A414,Skills!$A:$C,3,FALSE()),"Marsridge Holtgate"))</f>
        <v/>
      </c>
      <c r="C414" s="184" t="n">
        <f aca="false">IFERROR(VLOOKUP(A414,Skills!$A:$D,4,FALSE()),"")</f>
        <v>0</v>
      </c>
      <c r="D414" s="210"/>
      <c r="E414" s="211"/>
      <c r="G414" s="186" t="str">
        <f aca="false">IF(F414="","",WORKDAY(F414-1,E414+IF(I414="",0,I414)))</f>
        <v/>
      </c>
      <c r="I414" s="210"/>
      <c r="J414" s="212" t="str">
        <f aca="true">IF(F414="","",MIN(E414,MAX(0,NETWORKDAYS(F414,TODAY())-IF(I414="",0,I414))))</f>
        <v/>
      </c>
      <c r="K414" s="213" t="str">
        <f aca="true">IF(F414="","",MAX(0,E414-(NETWORKDAYS(F414,TODAY())-IF(I414="",0,I414))))</f>
        <v/>
      </c>
      <c r="L414" s="214"/>
      <c r="M414" s="214" t="str">
        <f aca="true">IFERROR(IF(OR(J414="",J414&lt;=0),"",IF(TODAY()&gt;G414,1,IF(J414-1=0,0,INDEX(OBJECTIVES!$Q$2:$Q$8,MATCH(J414-1,OBJECTIVES!$N$2:$N$8,0))))),"")</f>
        <v/>
      </c>
      <c r="N414" s="214" t="str">
        <f aca="false">IF(OR(M414="",L414=""),"",L414-M414)</f>
        <v/>
      </c>
      <c r="O414" s="212" t="str">
        <f aca="false">IF($P414&lt;&gt;"",$P414,IF(N414="","",IF(N414&lt;=-0.12,"P1",IF(N414&lt;=-0.06,"P2","P3"))))</f>
        <v/>
      </c>
      <c r="Q414" s="0" t="str">
        <f aca="true">IF(F414="","",IF(H414&lt;&gt;"","Terminé",IF(F414&gt;TODAY(),"À venir",IF(G414&lt;TODAY(),"Terminé","En cours"))))</f>
        <v/>
      </c>
      <c r="V414" s="0" t="str">
        <f aca="false">IF(Q414="Terminé",IF(AND(F414&lt;&gt;"",H414&lt;&gt;""),NETWORKDAYS(F414,H414),E414),"")</f>
        <v/>
      </c>
      <c r="W414" s="215" t="str">
        <f aca="false">IF($A414="","",IF(COUNTIF(Skills!$A:$A,$A414)=0,"⚠ ID absent du roster",""))</f>
        <v/>
      </c>
      <c r="X414" s="212"/>
    </row>
    <row r="415" customFormat="false" ht="15" hidden="true" customHeight="true" outlineLevel="0" collapsed="false">
      <c r="B415" s="183" t="str">
        <f aca="false">IF($A415="","",IFERROR(VLOOKUP($A415,Skills!$A:$C,2,FALSE())&amp;" "&amp;VLOOKUP($A415,Skills!$A:$C,3,FALSE()),"Marsridge Holtgate"))</f>
        <v/>
      </c>
      <c r="C415" s="184" t="n">
        <f aca="false">IFERROR(VLOOKUP(A415,Skills!$A:$D,4,FALSE()),"")</f>
        <v>0</v>
      </c>
      <c r="D415" s="210"/>
      <c r="E415" s="211"/>
      <c r="G415" s="186" t="str">
        <f aca="false">IF(F415="","",WORKDAY(F415-1,E415+IF(I415="",0,I415)))</f>
        <v/>
      </c>
      <c r="I415" s="210"/>
      <c r="J415" s="212" t="str">
        <f aca="true">IF(F415="","",MIN(E415,MAX(0,NETWORKDAYS(F415,TODAY())-IF(I415="",0,I415))))</f>
        <v/>
      </c>
      <c r="K415" s="213" t="str">
        <f aca="true">IF(F415="","",MAX(0,E415-(NETWORKDAYS(F415,TODAY())-IF(I415="",0,I415))))</f>
        <v/>
      </c>
      <c r="L415" s="214"/>
      <c r="M415" s="214" t="str">
        <f aca="true">IFERROR(IF(OR(J415="",J415&lt;=0),"",IF(TODAY()&gt;G415,1,IF(J415-1=0,0,INDEX(OBJECTIVES!$Q$2:$Q$8,MATCH(J415-1,OBJECTIVES!$N$2:$N$8,0))))),"")</f>
        <v/>
      </c>
      <c r="N415" s="214" t="str">
        <f aca="false">IF(OR(M415="",L415=""),"",L415-M415)</f>
        <v/>
      </c>
      <c r="O415" s="212" t="str">
        <f aca="false">IF($P415&lt;&gt;"",$P415,IF(N415="","",IF(N415&lt;=-0.12,"P1",IF(N415&lt;=-0.06,"P2","P3"))))</f>
        <v/>
      </c>
      <c r="Q415" s="0" t="str">
        <f aca="true">IF(F415="","",IF(H415&lt;&gt;"","Terminé",IF(F415&gt;TODAY(),"À venir",IF(G415&lt;TODAY(),"Terminé","En cours"))))</f>
        <v/>
      </c>
      <c r="V415" s="0" t="str">
        <f aca="false">IF(Q415="Terminé",IF(AND(F415&lt;&gt;"",H415&lt;&gt;""),NETWORKDAYS(F415,H415),E415),"")</f>
        <v/>
      </c>
      <c r="W415" s="215" t="str">
        <f aca="false">IF($A415="","",IF(COUNTIF(Skills!$A:$A,$A415)=0,"⚠ ID absent du roster",""))</f>
        <v/>
      </c>
      <c r="X415" s="212"/>
    </row>
    <row r="416" customFormat="false" ht="15" hidden="true" customHeight="true" outlineLevel="0" collapsed="false">
      <c r="B416" s="183" t="str">
        <f aca="false">IF($A416="","",IFERROR(VLOOKUP($A416,Skills!$A:$C,2,FALSE())&amp;" "&amp;VLOOKUP($A416,Skills!$A:$C,3,FALSE()),"Marsridge Holtgate"))</f>
        <v/>
      </c>
      <c r="C416" s="184" t="n">
        <f aca="false">IFERROR(VLOOKUP(A416,Skills!$A:$D,4,FALSE()),"")</f>
        <v>0</v>
      </c>
      <c r="D416" s="210"/>
      <c r="E416" s="211"/>
      <c r="G416" s="186" t="str">
        <f aca="false">IF(F416="","",WORKDAY(F416-1,E416+IF(I416="",0,I416)))</f>
        <v/>
      </c>
      <c r="I416" s="210"/>
      <c r="J416" s="212" t="str">
        <f aca="true">IF(F416="","",MIN(E416,MAX(0,NETWORKDAYS(F416,TODAY())-IF(I416="",0,I416))))</f>
        <v/>
      </c>
      <c r="K416" s="213" t="str">
        <f aca="true">IF(F416="","",MAX(0,E416-(NETWORKDAYS(F416,TODAY())-IF(I416="",0,I416))))</f>
        <v/>
      </c>
      <c r="L416" s="214"/>
      <c r="M416" s="214" t="str">
        <f aca="true">IFERROR(IF(OR(J416="",J416&lt;=0),"",IF(TODAY()&gt;G416,1,IF(J416-1=0,0,INDEX(OBJECTIVES!$Q$2:$Q$8,MATCH(J416-1,OBJECTIVES!$N$2:$N$8,0))))),"")</f>
        <v/>
      </c>
      <c r="N416" s="214" t="str">
        <f aca="false">IF(OR(M416="",L416=""),"",L416-M416)</f>
        <v/>
      </c>
      <c r="O416" s="212" t="str">
        <f aca="false">IF($P416&lt;&gt;"",$P416,IF(N416="","",IF(N416&lt;=-0.12,"P1",IF(N416&lt;=-0.06,"P2","P3"))))</f>
        <v/>
      </c>
      <c r="Q416" s="0" t="str">
        <f aca="true">IF(F416="","",IF(H416&lt;&gt;"","Terminé",IF(F416&gt;TODAY(),"À venir",IF(G416&lt;TODAY(),"Terminé","En cours"))))</f>
        <v/>
      </c>
      <c r="V416" s="0" t="str">
        <f aca="false">IF(Q416="Terminé",IF(AND(F416&lt;&gt;"",H416&lt;&gt;""),NETWORKDAYS(F416,H416),E416),"")</f>
        <v/>
      </c>
      <c r="W416" s="215" t="str">
        <f aca="false">IF($A416="","",IF(COUNTIF(Skills!$A:$A,$A416)=0,"⚠ ID absent du roster",""))</f>
        <v/>
      </c>
      <c r="X416" s="212"/>
    </row>
    <row r="417" customFormat="false" ht="15" hidden="true" customHeight="true" outlineLevel="0" collapsed="false">
      <c r="B417" s="183" t="str">
        <f aca="false">IF($A417="","",IFERROR(VLOOKUP($A417,Skills!$A:$C,2,FALSE())&amp;" "&amp;VLOOKUP($A417,Skills!$A:$C,3,FALSE()),"Marsridge Holtgate"))</f>
        <v/>
      </c>
      <c r="C417" s="184" t="n">
        <f aca="false">IFERROR(VLOOKUP(A417,Skills!$A:$D,4,FALSE()),"")</f>
        <v>0</v>
      </c>
      <c r="D417" s="210"/>
      <c r="E417" s="211"/>
      <c r="G417" s="186" t="str">
        <f aca="false">IF(F417="","",WORKDAY(F417-1,E417+IF(I417="",0,I417)))</f>
        <v/>
      </c>
      <c r="I417" s="210"/>
      <c r="J417" s="212" t="str">
        <f aca="true">IF(F417="","",MIN(E417,MAX(0,NETWORKDAYS(F417,TODAY())-IF(I417="",0,I417))))</f>
        <v/>
      </c>
      <c r="K417" s="213" t="str">
        <f aca="true">IF(F417="","",MAX(0,E417-(NETWORKDAYS(F417,TODAY())-IF(I417="",0,I417))))</f>
        <v/>
      </c>
      <c r="L417" s="214"/>
      <c r="M417" s="214" t="str">
        <f aca="true">IFERROR(IF(OR(J417="",J417&lt;=0),"",IF(TODAY()&gt;G417,1,IF(J417-1=0,0,INDEX(OBJECTIVES!$Q$2:$Q$8,MATCH(J417-1,OBJECTIVES!$N$2:$N$8,0))))),"")</f>
        <v/>
      </c>
      <c r="N417" s="214" t="str">
        <f aca="false">IF(OR(M417="",L417=""),"",L417-M417)</f>
        <v/>
      </c>
      <c r="O417" s="212" t="str">
        <f aca="false">IF($P417&lt;&gt;"",$P417,IF(N417="","",IF(N417&lt;=-0.12,"P1",IF(N417&lt;=-0.06,"P2","P3"))))</f>
        <v/>
      </c>
      <c r="Q417" s="0" t="str">
        <f aca="true">IF(F417="","",IF(H417&lt;&gt;"","Terminé",IF(F417&gt;TODAY(),"À venir",IF(G417&lt;TODAY(),"Terminé","En cours"))))</f>
        <v/>
      </c>
      <c r="V417" s="0" t="str">
        <f aca="false">IF(Q417="Terminé",IF(AND(F417&lt;&gt;"",H417&lt;&gt;""),NETWORKDAYS(F417,H417),E417),"")</f>
        <v/>
      </c>
      <c r="W417" s="215" t="str">
        <f aca="false">IF($A417="","",IF(COUNTIF(Skills!$A:$A,$A417)=0,"⚠ ID absent du roster",""))</f>
        <v/>
      </c>
      <c r="X417" s="212"/>
    </row>
    <row r="418" customFormat="false" ht="15" hidden="true" customHeight="true" outlineLevel="0" collapsed="false">
      <c r="B418" s="183" t="str">
        <f aca="false">IF($A418="","",IFERROR(VLOOKUP($A418,Skills!$A:$C,2,FALSE())&amp;" "&amp;VLOOKUP($A418,Skills!$A:$C,3,FALSE()),"Marsridge Holtgate"))</f>
        <v/>
      </c>
      <c r="C418" s="184" t="n">
        <f aca="false">IFERROR(VLOOKUP(A418,Skills!$A:$D,4,FALSE()),"")</f>
        <v>0</v>
      </c>
      <c r="D418" s="210"/>
      <c r="E418" s="211"/>
      <c r="G418" s="186" t="str">
        <f aca="false">IF(F418="","",WORKDAY(F418-1,E418+IF(I418="",0,I418)))</f>
        <v/>
      </c>
      <c r="I418" s="210"/>
      <c r="J418" s="212" t="str">
        <f aca="true">IF(F418="","",MIN(E418,MAX(0,NETWORKDAYS(F418,TODAY())-IF(I418="",0,I418))))</f>
        <v/>
      </c>
      <c r="K418" s="213" t="str">
        <f aca="true">IF(F418="","",MAX(0,E418-(NETWORKDAYS(F418,TODAY())-IF(I418="",0,I418))))</f>
        <v/>
      </c>
      <c r="L418" s="214"/>
      <c r="M418" s="214" t="str">
        <f aca="true">IFERROR(IF(OR(J418="",J418&lt;=0),"",IF(TODAY()&gt;G418,1,IF(J418-1=0,0,INDEX(OBJECTIVES!$Q$2:$Q$8,MATCH(J418-1,OBJECTIVES!$N$2:$N$8,0))))),"")</f>
        <v/>
      </c>
      <c r="N418" s="214" t="str">
        <f aca="false">IF(OR(M418="",L418=""),"",L418-M418)</f>
        <v/>
      </c>
      <c r="O418" s="212" t="str">
        <f aca="false">IF($P418&lt;&gt;"",$P418,IF(N418="","",IF(N418&lt;=-0.12,"P1",IF(N418&lt;=-0.06,"P2","P3"))))</f>
        <v/>
      </c>
      <c r="Q418" s="0" t="str">
        <f aca="true">IF(F418="","",IF(H418&lt;&gt;"","Terminé",IF(F418&gt;TODAY(),"À venir",IF(G418&lt;TODAY(),"Terminé","En cours"))))</f>
        <v/>
      </c>
      <c r="V418" s="0" t="str">
        <f aca="false">IF(Q418="Terminé",IF(AND(F418&lt;&gt;"",H418&lt;&gt;""),NETWORKDAYS(F418,H418),E418),"")</f>
        <v/>
      </c>
      <c r="W418" s="215" t="str">
        <f aca="false">IF($A418="","",IF(COUNTIF(Skills!$A:$A,$A418)=0,"⚠ ID absent du roster",""))</f>
        <v/>
      </c>
      <c r="X418" s="212"/>
    </row>
    <row r="419" customFormat="false" ht="15" hidden="true" customHeight="true" outlineLevel="0" collapsed="false">
      <c r="B419" s="183" t="str">
        <f aca="false">IF($A419="","",IFERROR(VLOOKUP($A419,Skills!$A:$C,2,FALSE())&amp;" "&amp;VLOOKUP($A419,Skills!$A:$C,3,FALSE()),"Marsridge Holtgate"))</f>
        <v/>
      </c>
      <c r="C419" s="184" t="n">
        <f aca="false">IFERROR(VLOOKUP(A419,Skills!$A:$D,4,FALSE()),"")</f>
        <v>0</v>
      </c>
      <c r="D419" s="210"/>
      <c r="E419" s="211"/>
      <c r="G419" s="186" t="str">
        <f aca="false">IF(F419="","",WORKDAY(F419-1,E419+IF(I419="",0,I419)))</f>
        <v/>
      </c>
      <c r="I419" s="210"/>
      <c r="J419" s="212" t="str">
        <f aca="true">IF(F419="","",MIN(E419,MAX(0,NETWORKDAYS(F419,TODAY())-IF(I419="",0,I419))))</f>
        <v/>
      </c>
      <c r="K419" s="213" t="str">
        <f aca="true">IF(F419="","",MAX(0,E419-(NETWORKDAYS(F419,TODAY())-IF(I419="",0,I419))))</f>
        <v/>
      </c>
      <c r="L419" s="214"/>
      <c r="M419" s="214" t="str">
        <f aca="true">IFERROR(IF(OR(J419="",J419&lt;=0),"",IF(TODAY()&gt;G419,1,IF(J419-1=0,0,INDEX(OBJECTIVES!$Q$2:$Q$8,MATCH(J419-1,OBJECTIVES!$N$2:$N$8,0))))),"")</f>
        <v/>
      </c>
      <c r="N419" s="214" t="str">
        <f aca="false">IF(OR(M419="",L419=""),"",L419-M419)</f>
        <v/>
      </c>
      <c r="O419" s="212" t="str">
        <f aca="false">IF($P419&lt;&gt;"",$P419,IF(N419="","",IF(N419&lt;=-0.12,"P1",IF(N419&lt;=-0.06,"P2","P3"))))</f>
        <v/>
      </c>
      <c r="Q419" s="0" t="str">
        <f aca="true">IF(F419="","",IF(H419&lt;&gt;"","Terminé",IF(F419&gt;TODAY(),"À venir",IF(G419&lt;TODAY(),"Terminé","En cours"))))</f>
        <v/>
      </c>
      <c r="V419" s="0" t="str">
        <f aca="false">IF(Q419="Terminé",IF(AND(F419&lt;&gt;"",H419&lt;&gt;""),NETWORKDAYS(F419,H419),E419),"")</f>
        <v/>
      </c>
      <c r="W419" s="215" t="str">
        <f aca="false">IF($A419="","",IF(COUNTIF(Skills!$A:$A,$A419)=0,"⚠ ID absent du roster",""))</f>
        <v/>
      </c>
      <c r="X419" s="212"/>
    </row>
    <row r="420" customFormat="false" ht="15" hidden="true" customHeight="true" outlineLevel="0" collapsed="false">
      <c r="B420" s="183" t="str">
        <f aca="false">IF($A420="","",IFERROR(VLOOKUP($A420,Skills!$A:$C,2,FALSE())&amp;" "&amp;VLOOKUP($A420,Skills!$A:$C,3,FALSE()),"Marsridge Holtgate"))</f>
        <v/>
      </c>
      <c r="C420" s="184" t="n">
        <f aca="false">IFERROR(VLOOKUP(A420,Skills!$A:$D,4,FALSE()),"")</f>
        <v>0</v>
      </c>
      <c r="D420" s="210"/>
      <c r="E420" s="211"/>
      <c r="G420" s="186" t="str">
        <f aca="false">IF(F420="","",WORKDAY(F420-1,E420+IF(I420="",0,I420)))</f>
        <v/>
      </c>
      <c r="I420" s="210"/>
      <c r="J420" s="212" t="str">
        <f aca="true">IF(F420="","",MIN(E420,MAX(0,NETWORKDAYS(F420,TODAY())-IF(I420="",0,I420))))</f>
        <v/>
      </c>
      <c r="K420" s="213" t="str">
        <f aca="true">IF(F420="","",MAX(0,E420-(NETWORKDAYS(F420,TODAY())-IF(I420="",0,I420))))</f>
        <v/>
      </c>
      <c r="L420" s="214"/>
      <c r="M420" s="214" t="str">
        <f aca="true">IFERROR(IF(OR(J420="",J420&lt;=0),"",IF(TODAY()&gt;G420,1,IF(J420-1=0,0,INDEX(OBJECTIVES!$Q$2:$Q$8,MATCH(J420-1,OBJECTIVES!$N$2:$N$8,0))))),"")</f>
        <v/>
      </c>
      <c r="N420" s="214" t="str">
        <f aca="false">IF(OR(M420="",L420=""),"",L420-M420)</f>
        <v/>
      </c>
      <c r="O420" s="212" t="str">
        <f aca="false">IF($P420&lt;&gt;"",$P420,IF(N420="","",IF(N420&lt;=-0.12,"P1",IF(N420&lt;=-0.06,"P2","P3"))))</f>
        <v/>
      </c>
      <c r="Q420" s="0" t="str">
        <f aca="true">IF(F420="","",IF(H420&lt;&gt;"","Terminé",IF(F420&gt;TODAY(),"À venir",IF(G420&lt;TODAY(),"Terminé","En cours"))))</f>
        <v/>
      </c>
      <c r="V420" s="0" t="str">
        <f aca="false">IF(Q420="Terminé",IF(AND(F420&lt;&gt;"",H420&lt;&gt;""),NETWORKDAYS(F420,H420),E420),"")</f>
        <v/>
      </c>
      <c r="W420" s="215" t="str">
        <f aca="false">IF($A420="","",IF(COUNTIF(Skills!$A:$A,$A420)=0,"⚠ ID absent du roster",""))</f>
        <v/>
      </c>
      <c r="X420" s="212"/>
    </row>
    <row r="421" customFormat="false" ht="15" hidden="true" customHeight="true" outlineLevel="0" collapsed="false">
      <c r="B421" s="183" t="str">
        <f aca="false">IF($A421="","",IFERROR(VLOOKUP($A421,Skills!$A:$C,2,FALSE())&amp;" "&amp;VLOOKUP($A421,Skills!$A:$C,3,FALSE()),"Marsridge Holtgate"))</f>
        <v/>
      </c>
      <c r="C421" s="184" t="n">
        <f aca="false">IFERROR(VLOOKUP(A421,Skills!$A:$D,4,FALSE()),"")</f>
        <v>0</v>
      </c>
      <c r="D421" s="210"/>
      <c r="E421" s="211"/>
      <c r="G421" s="186" t="str">
        <f aca="false">IF(F421="","",WORKDAY(F421-1,E421+IF(I421="",0,I421)))</f>
        <v/>
      </c>
      <c r="I421" s="210"/>
      <c r="J421" s="212" t="str">
        <f aca="true">IF(F421="","",MIN(E421,MAX(0,NETWORKDAYS(F421,TODAY())-IF(I421="",0,I421))))</f>
        <v/>
      </c>
      <c r="K421" s="213" t="str">
        <f aca="true">IF(F421="","",MAX(0,E421-(NETWORKDAYS(F421,TODAY())-IF(I421="",0,I421))))</f>
        <v/>
      </c>
      <c r="L421" s="214"/>
      <c r="M421" s="214" t="str">
        <f aca="true">IFERROR(IF(OR(J421="",J421&lt;=0),"",IF(TODAY()&gt;G421,1,IF(J421-1=0,0,INDEX(OBJECTIVES!$Q$2:$Q$8,MATCH(J421-1,OBJECTIVES!$N$2:$N$8,0))))),"")</f>
        <v/>
      </c>
      <c r="N421" s="214" t="str">
        <f aca="false">IF(OR(M421="",L421=""),"",L421-M421)</f>
        <v/>
      </c>
      <c r="O421" s="212" t="str">
        <f aca="false">IF($P421&lt;&gt;"",$P421,IF(N421="","",IF(N421&lt;=-0.12,"P1",IF(N421&lt;=-0.06,"P2","P3"))))</f>
        <v/>
      </c>
      <c r="Q421" s="0" t="str">
        <f aca="true">IF(F421="","",IF(H421&lt;&gt;"","Terminé",IF(F421&gt;TODAY(),"À venir",IF(G421&lt;TODAY(),"Terminé","En cours"))))</f>
        <v/>
      </c>
      <c r="V421" s="0" t="str">
        <f aca="false">IF(Q421="Terminé",IF(AND(F421&lt;&gt;"",H421&lt;&gt;""),NETWORKDAYS(F421,H421),E421),"")</f>
        <v/>
      </c>
      <c r="W421" s="215" t="str">
        <f aca="false">IF($A421="","",IF(COUNTIF(Skills!$A:$A,$A421)=0,"⚠ ID absent du roster",""))</f>
        <v/>
      </c>
      <c r="X421" s="212"/>
    </row>
    <row r="422" customFormat="false" ht="15" hidden="true" customHeight="true" outlineLevel="0" collapsed="false">
      <c r="B422" s="183" t="str">
        <f aca="false">IF($A422="","",IFERROR(VLOOKUP($A422,Skills!$A:$C,2,FALSE())&amp;" "&amp;VLOOKUP($A422,Skills!$A:$C,3,FALSE()),"Marsridge Holtgate"))</f>
        <v/>
      </c>
      <c r="C422" s="184" t="n">
        <f aca="false">IFERROR(VLOOKUP(A422,Skills!$A:$D,4,FALSE()),"")</f>
        <v>0</v>
      </c>
      <c r="D422" s="210"/>
      <c r="E422" s="211"/>
      <c r="G422" s="186" t="str">
        <f aca="false">IF(F422="","",WORKDAY(F422-1,E422+IF(I422="",0,I422)))</f>
        <v/>
      </c>
      <c r="I422" s="210"/>
      <c r="J422" s="212" t="str">
        <f aca="true">IF(F422="","",MIN(E422,MAX(0,NETWORKDAYS(F422,TODAY())-IF(I422="",0,I422))))</f>
        <v/>
      </c>
      <c r="K422" s="213" t="str">
        <f aca="true">IF(F422="","",MAX(0,E422-(NETWORKDAYS(F422,TODAY())-IF(I422="",0,I422))))</f>
        <v/>
      </c>
      <c r="L422" s="214"/>
      <c r="M422" s="214" t="str">
        <f aca="true">IFERROR(IF(OR(J422="",J422&lt;=0),"",IF(TODAY()&gt;G422,1,IF(J422-1=0,0,INDEX(OBJECTIVES!$Q$2:$Q$8,MATCH(J422-1,OBJECTIVES!$N$2:$N$8,0))))),"")</f>
        <v/>
      </c>
      <c r="N422" s="214" t="str">
        <f aca="false">IF(OR(M422="",L422=""),"",L422-M422)</f>
        <v/>
      </c>
      <c r="O422" s="212" t="str">
        <f aca="false">IF($P422&lt;&gt;"",$P422,IF(N422="","",IF(N422&lt;=-0.12,"P1",IF(N422&lt;=-0.06,"P2","P3"))))</f>
        <v/>
      </c>
      <c r="Q422" s="0" t="str">
        <f aca="true">IF(F422="","",IF(H422&lt;&gt;"","Terminé",IF(F422&gt;TODAY(),"À venir",IF(G422&lt;TODAY(),"Terminé","En cours"))))</f>
        <v/>
      </c>
      <c r="V422" s="0" t="str">
        <f aca="false">IF(Q422="Terminé",IF(AND(F422&lt;&gt;"",H422&lt;&gt;""),NETWORKDAYS(F422,H422),E422),"")</f>
        <v/>
      </c>
      <c r="W422" s="215" t="str">
        <f aca="false">IF($A422="","",IF(COUNTIF(Skills!$A:$A,$A422)=0,"⚠ ID absent du roster",""))</f>
        <v/>
      </c>
      <c r="X422" s="212"/>
    </row>
    <row r="423" customFormat="false" ht="15" hidden="true" customHeight="true" outlineLevel="0" collapsed="false">
      <c r="B423" s="183" t="str">
        <f aca="false">IF($A423="","",IFERROR(VLOOKUP($A423,Skills!$A:$C,2,FALSE())&amp;" "&amp;VLOOKUP($A423,Skills!$A:$C,3,FALSE()),"Marsridge Holtgate"))</f>
        <v/>
      </c>
      <c r="C423" s="184" t="n">
        <f aca="false">IFERROR(VLOOKUP(A423,Skills!$A:$D,4,FALSE()),"")</f>
        <v>0</v>
      </c>
      <c r="D423" s="210"/>
      <c r="E423" s="211"/>
      <c r="G423" s="186" t="str">
        <f aca="false">IF(F423="","",WORKDAY(F423-1,E423+IF(I423="",0,I423)))</f>
        <v/>
      </c>
      <c r="I423" s="210"/>
      <c r="J423" s="212" t="str">
        <f aca="true">IF(F423="","",MIN(E423,MAX(0,NETWORKDAYS(F423,TODAY())-IF(I423="",0,I423))))</f>
        <v/>
      </c>
      <c r="K423" s="213" t="str">
        <f aca="true">IF(F423="","",MAX(0,E423-(NETWORKDAYS(F423,TODAY())-IF(I423="",0,I423))))</f>
        <v/>
      </c>
      <c r="L423" s="214"/>
      <c r="M423" s="214" t="str">
        <f aca="true">IFERROR(IF(OR(J423="",J423&lt;=0),"",IF(TODAY()&gt;G423,1,IF(J423-1=0,0,INDEX(OBJECTIVES!$Q$2:$Q$8,MATCH(J423-1,OBJECTIVES!$N$2:$N$8,0))))),"")</f>
        <v/>
      </c>
      <c r="N423" s="214" t="str">
        <f aca="false">IF(OR(M423="",L423=""),"",L423-M423)</f>
        <v/>
      </c>
      <c r="O423" s="212" t="str">
        <f aca="false">IF($P423&lt;&gt;"",$P423,IF(N423="","",IF(N423&lt;=-0.12,"P1",IF(N423&lt;=-0.06,"P2","P3"))))</f>
        <v/>
      </c>
      <c r="Q423" s="0" t="str">
        <f aca="true">IF(F423="","",IF(H423&lt;&gt;"","Terminé",IF(F423&gt;TODAY(),"À venir",IF(G423&lt;TODAY(),"Terminé","En cours"))))</f>
        <v/>
      </c>
      <c r="V423" s="0" t="str">
        <f aca="false">IF(Q423="Terminé",IF(AND(F423&lt;&gt;"",H423&lt;&gt;""),NETWORKDAYS(F423,H423),E423),"")</f>
        <v/>
      </c>
      <c r="W423" s="215" t="str">
        <f aca="false">IF($A423="","",IF(COUNTIF(Skills!$A:$A,$A423)=0,"⚠ ID absent du roster",""))</f>
        <v/>
      </c>
      <c r="X423" s="212"/>
    </row>
    <row r="424" customFormat="false" ht="15" hidden="true" customHeight="true" outlineLevel="0" collapsed="false">
      <c r="B424" s="183" t="str">
        <f aca="false">IF($A424="","",IFERROR(VLOOKUP($A424,Skills!$A:$C,2,FALSE())&amp;" "&amp;VLOOKUP($A424,Skills!$A:$C,3,FALSE()),"Marsridge Holtgate"))</f>
        <v/>
      </c>
      <c r="C424" s="184" t="n">
        <f aca="false">IFERROR(VLOOKUP(A424,Skills!$A:$D,4,FALSE()),"")</f>
        <v>0</v>
      </c>
      <c r="D424" s="210"/>
      <c r="E424" s="211"/>
      <c r="G424" s="186" t="str">
        <f aca="false">IF(F424="","",WORKDAY(F424-1,E424+IF(I424="",0,I424)))</f>
        <v/>
      </c>
      <c r="I424" s="210"/>
      <c r="J424" s="212" t="str">
        <f aca="true">IF(F424="","",MIN(E424,MAX(0,NETWORKDAYS(F424,TODAY())-IF(I424="",0,I424))))</f>
        <v/>
      </c>
      <c r="K424" s="213" t="str">
        <f aca="true">IF(F424="","",MAX(0,E424-(NETWORKDAYS(F424,TODAY())-IF(I424="",0,I424))))</f>
        <v/>
      </c>
      <c r="L424" s="214"/>
      <c r="M424" s="214" t="str">
        <f aca="true">IFERROR(IF(OR(J424="",J424&lt;=0),"",IF(TODAY()&gt;G424,1,IF(J424-1=0,0,INDEX(OBJECTIVES!$Q$2:$Q$8,MATCH(J424-1,OBJECTIVES!$N$2:$N$8,0))))),"")</f>
        <v/>
      </c>
      <c r="N424" s="214" t="str">
        <f aca="false">IF(OR(M424="",L424=""),"",L424-M424)</f>
        <v/>
      </c>
      <c r="O424" s="212" t="str">
        <f aca="false">IF($P424&lt;&gt;"",$P424,IF(N424="","",IF(N424&lt;=-0.12,"P1",IF(N424&lt;=-0.06,"P2","P3"))))</f>
        <v/>
      </c>
      <c r="Q424" s="0" t="str">
        <f aca="true">IF(F424="","",IF(H424&lt;&gt;"","Terminé",IF(F424&gt;TODAY(),"À venir",IF(G424&lt;TODAY(),"Terminé","En cours"))))</f>
        <v/>
      </c>
      <c r="V424" s="0" t="str">
        <f aca="false">IF(Q424="Terminé",IF(AND(F424&lt;&gt;"",H424&lt;&gt;""),NETWORKDAYS(F424,H424),E424),"")</f>
        <v/>
      </c>
      <c r="W424" s="215" t="str">
        <f aca="false">IF($A424="","",IF(COUNTIF(Skills!$A:$A,$A424)=0,"⚠ ID absent du roster",""))</f>
        <v/>
      </c>
      <c r="X424" s="212"/>
    </row>
    <row r="425" customFormat="false" ht="15" hidden="true" customHeight="true" outlineLevel="0" collapsed="false">
      <c r="B425" s="183" t="str">
        <f aca="false">IF($A425="","",IFERROR(VLOOKUP($A425,Skills!$A:$C,2,FALSE())&amp;" "&amp;VLOOKUP($A425,Skills!$A:$C,3,FALSE()),"Marsridge Holtgate"))</f>
        <v/>
      </c>
      <c r="C425" s="184" t="n">
        <f aca="false">IFERROR(VLOOKUP(A425,Skills!$A:$D,4,FALSE()),"")</f>
        <v>0</v>
      </c>
      <c r="D425" s="210"/>
      <c r="E425" s="211"/>
      <c r="G425" s="186" t="str">
        <f aca="false">IF(F425="","",WORKDAY(F425-1,E425+IF(I425="",0,I425)))</f>
        <v/>
      </c>
      <c r="I425" s="210"/>
      <c r="J425" s="212" t="str">
        <f aca="true">IF(F425="","",MIN(E425,MAX(0,NETWORKDAYS(F425,TODAY())-IF(I425="",0,I425))))</f>
        <v/>
      </c>
      <c r="K425" s="213" t="str">
        <f aca="true">IF(F425="","",MAX(0,E425-(NETWORKDAYS(F425,TODAY())-IF(I425="",0,I425))))</f>
        <v/>
      </c>
      <c r="L425" s="214"/>
      <c r="M425" s="214" t="str">
        <f aca="true">IFERROR(IF(OR(J425="",J425&lt;=0),"",IF(TODAY()&gt;G425,1,IF(J425-1=0,0,INDEX(OBJECTIVES!$Q$2:$Q$8,MATCH(J425-1,OBJECTIVES!$N$2:$N$8,0))))),"")</f>
        <v/>
      </c>
      <c r="N425" s="214" t="str">
        <f aca="false">IF(OR(M425="",L425=""),"",L425-M425)</f>
        <v/>
      </c>
      <c r="O425" s="212" t="str">
        <f aca="false">IF($P425&lt;&gt;"",$P425,IF(N425="","",IF(N425&lt;=-0.12,"P1",IF(N425&lt;=-0.06,"P2","P3"))))</f>
        <v/>
      </c>
      <c r="Q425" s="0" t="str">
        <f aca="true">IF(F425="","",IF(H425&lt;&gt;"","Terminé",IF(F425&gt;TODAY(),"À venir",IF(G425&lt;TODAY(),"Terminé","En cours"))))</f>
        <v/>
      </c>
      <c r="V425" s="0" t="str">
        <f aca="false">IF(Q425="Terminé",IF(AND(F425&lt;&gt;"",H425&lt;&gt;""),NETWORKDAYS(F425,H425),E425),"")</f>
        <v/>
      </c>
      <c r="W425" s="215" t="str">
        <f aca="false">IF($A425="","",IF(COUNTIF(Skills!$A:$A,$A425)=0,"⚠ ID absent du roster",""))</f>
        <v/>
      </c>
      <c r="X425" s="212"/>
    </row>
    <row r="426" customFormat="false" ht="15" hidden="true" customHeight="true" outlineLevel="0" collapsed="false">
      <c r="B426" s="183" t="str">
        <f aca="false">IF($A426="","",IFERROR(VLOOKUP($A426,Skills!$A:$C,2,FALSE())&amp;" "&amp;VLOOKUP($A426,Skills!$A:$C,3,FALSE()),"Marsridge Holtgate"))</f>
        <v/>
      </c>
      <c r="C426" s="184" t="n">
        <f aca="false">IFERROR(VLOOKUP(A426,Skills!$A:$D,4,FALSE()),"")</f>
        <v>0</v>
      </c>
      <c r="D426" s="210"/>
      <c r="E426" s="211"/>
      <c r="G426" s="186" t="str">
        <f aca="false">IF(F426="","",WORKDAY(F426-1,E426+IF(I426="",0,I426)))</f>
        <v/>
      </c>
      <c r="I426" s="210"/>
      <c r="J426" s="212" t="str">
        <f aca="true">IF(F426="","",MIN(E426,MAX(0,NETWORKDAYS(F426,TODAY())-IF(I426="",0,I426))))</f>
        <v/>
      </c>
      <c r="K426" s="213" t="str">
        <f aca="true">IF(F426="","",MAX(0,E426-(NETWORKDAYS(F426,TODAY())-IF(I426="",0,I426))))</f>
        <v/>
      </c>
      <c r="L426" s="214"/>
      <c r="M426" s="214" t="str">
        <f aca="true">IFERROR(IF(OR(J426="",J426&lt;=0),"",IF(TODAY()&gt;G426,1,IF(J426-1=0,0,INDEX(OBJECTIVES!$Q$2:$Q$8,MATCH(J426-1,OBJECTIVES!$N$2:$N$8,0))))),"")</f>
        <v/>
      </c>
      <c r="N426" s="214" t="str">
        <f aca="false">IF(OR(M426="",L426=""),"",L426-M426)</f>
        <v/>
      </c>
      <c r="O426" s="212" t="str">
        <f aca="false">IF($P426&lt;&gt;"",$P426,IF(N426="","",IF(N426&lt;=-0.12,"P1",IF(N426&lt;=-0.06,"P2","P3"))))</f>
        <v/>
      </c>
      <c r="Q426" s="0" t="str">
        <f aca="true">IF(F426="","",IF(H426&lt;&gt;"","Terminé",IF(F426&gt;TODAY(),"À venir",IF(G426&lt;TODAY(),"Terminé","En cours"))))</f>
        <v/>
      </c>
      <c r="V426" s="0" t="str">
        <f aca="false">IF(Q426="Terminé",IF(AND(F426&lt;&gt;"",H426&lt;&gt;""),NETWORKDAYS(F426,H426),E426),"")</f>
        <v/>
      </c>
      <c r="W426" s="215" t="str">
        <f aca="false">IF($A426="","",IF(COUNTIF(Skills!$A:$A,$A426)=0,"⚠ ID absent du roster",""))</f>
        <v/>
      </c>
      <c r="X426" s="212"/>
    </row>
    <row r="427" customFormat="false" ht="15" hidden="true" customHeight="true" outlineLevel="0" collapsed="false">
      <c r="B427" s="183" t="str">
        <f aca="false">IF($A427="","",IFERROR(VLOOKUP($A427,Skills!$A:$C,2,FALSE())&amp;" "&amp;VLOOKUP($A427,Skills!$A:$C,3,FALSE()),"Marsridge Holtgate"))</f>
        <v/>
      </c>
      <c r="C427" s="184" t="n">
        <f aca="false">IFERROR(VLOOKUP(A427,Skills!$A:$D,4,FALSE()),"")</f>
        <v>0</v>
      </c>
      <c r="D427" s="210"/>
      <c r="E427" s="211"/>
      <c r="G427" s="186" t="str">
        <f aca="false">IF(F427="","",WORKDAY(F427-1,E427+IF(I427="",0,I427)))</f>
        <v/>
      </c>
      <c r="I427" s="210"/>
      <c r="J427" s="212" t="str">
        <f aca="true">IF(F427="","",MIN(E427,MAX(0,NETWORKDAYS(F427,TODAY())-IF(I427="",0,I427))))</f>
        <v/>
      </c>
      <c r="K427" s="213" t="str">
        <f aca="true">IF(F427="","",MAX(0,E427-(NETWORKDAYS(F427,TODAY())-IF(I427="",0,I427))))</f>
        <v/>
      </c>
      <c r="L427" s="214"/>
      <c r="M427" s="214" t="str">
        <f aca="true">IFERROR(IF(OR(J427="",J427&lt;=0),"",IF(TODAY()&gt;G427,1,IF(J427-1=0,0,INDEX(OBJECTIVES!$Q$2:$Q$8,MATCH(J427-1,OBJECTIVES!$N$2:$N$8,0))))),"")</f>
        <v/>
      </c>
      <c r="N427" s="214" t="str">
        <f aca="false">IF(OR(M427="",L427=""),"",L427-M427)</f>
        <v/>
      </c>
      <c r="O427" s="212" t="str">
        <f aca="false">IF($P427&lt;&gt;"",$P427,IF(N427="","",IF(N427&lt;=-0.12,"P1",IF(N427&lt;=-0.06,"P2","P3"))))</f>
        <v/>
      </c>
      <c r="Q427" s="0" t="str">
        <f aca="true">IF(F427="","",IF(H427&lt;&gt;"","Terminé",IF(F427&gt;TODAY(),"À venir",IF(G427&lt;TODAY(),"Terminé","En cours"))))</f>
        <v/>
      </c>
      <c r="V427" s="0" t="str">
        <f aca="false">IF(Q427="Terminé",IF(AND(F427&lt;&gt;"",H427&lt;&gt;""),NETWORKDAYS(F427,H427),E427),"")</f>
        <v/>
      </c>
      <c r="W427" s="215" t="str">
        <f aca="false">IF($A427="","",IF(COUNTIF(Skills!$A:$A,$A427)=0,"⚠ ID absent du roster",""))</f>
        <v/>
      </c>
      <c r="X427" s="212"/>
    </row>
    <row r="428" customFormat="false" ht="15" hidden="true" customHeight="true" outlineLevel="0" collapsed="false">
      <c r="B428" s="183" t="str">
        <f aca="false">IF($A428="","",IFERROR(VLOOKUP($A428,Skills!$A:$C,2,FALSE())&amp;" "&amp;VLOOKUP($A428,Skills!$A:$C,3,FALSE()),"Marsridge Holtgate"))</f>
        <v/>
      </c>
      <c r="C428" s="184" t="n">
        <f aca="false">IFERROR(VLOOKUP(A428,Skills!$A:$D,4,FALSE()),"")</f>
        <v>0</v>
      </c>
      <c r="D428" s="210"/>
      <c r="E428" s="211"/>
      <c r="G428" s="186" t="str">
        <f aca="false">IF(F428="","",WORKDAY(F428-1,E428+IF(I428="",0,I428)))</f>
        <v/>
      </c>
      <c r="I428" s="210"/>
      <c r="J428" s="212" t="str">
        <f aca="true">IF(F428="","",MIN(E428,MAX(0,NETWORKDAYS(F428,TODAY())-IF(I428="",0,I428))))</f>
        <v/>
      </c>
      <c r="K428" s="213" t="str">
        <f aca="true">IF(F428="","",MAX(0,E428-(NETWORKDAYS(F428,TODAY())-IF(I428="",0,I428))))</f>
        <v/>
      </c>
      <c r="L428" s="214"/>
      <c r="M428" s="214" t="str">
        <f aca="true">IFERROR(IF(OR(J428="",J428&lt;=0),"",IF(TODAY()&gt;G428,1,IF(J428-1=0,0,INDEX(OBJECTIVES!$Q$2:$Q$8,MATCH(J428-1,OBJECTIVES!$N$2:$N$8,0))))),"")</f>
        <v/>
      </c>
      <c r="N428" s="214" t="str">
        <f aca="false">IF(OR(M428="",L428=""),"",L428-M428)</f>
        <v/>
      </c>
      <c r="O428" s="212" t="str">
        <f aca="false">IF($P428&lt;&gt;"",$P428,IF(N428="","",IF(N428&lt;=-0.12,"P1",IF(N428&lt;=-0.06,"P2","P3"))))</f>
        <v/>
      </c>
      <c r="Q428" s="0" t="str">
        <f aca="true">IF(F428="","",IF(H428&lt;&gt;"","Terminé",IF(F428&gt;TODAY(),"À venir",IF(G428&lt;TODAY(),"Terminé","En cours"))))</f>
        <v/>
      </c>
      <c r="V428" s="0" t="str">
        <f aca="false">IF(Q428="Terminé",IF(AND(F428&lt;&gt;"",H428&lt;&gt;""),NETWORKDAYS(F428,H428),E428),"")</f>
        <v/>
      </c>
      <c r="W428" s="215" t="str">
        <f aca="false">IF($A428="","",IF(COUNTIF(Skills!$A:$A,$A428)=0,"⚠ ID absent du roster",""))</f>
        <v/>
      </c>
      <c r="X428" s="212"/>
    </row>
    <row r="429" customFormat="false" ht="15" hidden="true" customHeight="true" outlineLevel="0" collapsed="false">
      <c r="B429" s="183" t="str">
        <f aca="false">IF($A429="","",IFERROR(VLOOKUP($A429,Skills!$A:$C,2,FALSE())&amp;" "&amp;VLOOKUP($A429,Skills!$A:$C,3,FALSE()),"Marsridge Holtgate"))</f>
        <v/>
      </c>
      <c r="C429" s="184" t="n">
        <f aca="false">IFERROR(VLOOKUP(A429,Skills!$A:$D,4,FALSE()),"")</f>
        <v>0</v>
      </c>
      <c r="D429" s="210"/>
      <c r="E429" s="211"/>
      <c r="G429" s="186" t="str">
        <f aca="false">IF(F429="","",WORKDAY(F429-1,E429+IF(I429="",0,I429)))</f>
        <v/>
      </c>
      <c r="I429" s="210"/>
      <c r="J429" s="212" t="str">
        <f aca="true">IF(F429="","",MIN(E429,MAX(0,NETWORKDAYS(F429,TODAY())-IF(I429="",0,I429))))</f>
        <v/>
      </c>
      <c r="K429" s="213" t="str">
        <f aca="true">IF(F429="","",MAX(0,E429-(NETWORKDAYS(F429,TODAY())-IF(I429="",0,I429))))</f>
        <v/>
      </c>
      <c r="L429" s="214"/>
      <c r="M429" s="214" t="str">
        <f aca="true">IFERROR(IF(OR(J429="",J429&lt;=0),"",IF(TODAY()&gt;G429,1,IF(J429-1=0,0,INDEX(OBJECTIVES!$Q$2:$Q$8,MATCH(J429-1,OBJECTIVES!$N$2:$N$8,0))))),"")</f>
        <v/>
      </c>
      <c r="N429" s="214" t="str">
        <f aca="false">IF(OR(M429="",L429=""),"",L429-M429)</f>
        <v/>
      </c>
      <c r="O429" s="212" t="str">
        <f aca="false">IF($P429&lt;&gt;"",$P429,IF(N429="","",IF(N429&lt;=-0.12,"P1",IF(N429&lt;=-0.06,"P2","P3"))))</f>
        <v/>
      </c>
      <c r="Q429" s="0" t="str">
        <f aca="true">IF(F429="","",IF(H429&lt;&gt;"","Terminé",IF(F429&gt;TODAY(),"À venir",IF(G429&lt;TODAY(),"Terminé","En cours"))))</f>
        <v/>
      </c>
      <c r="V429" s="0" t="str">
        <f aca="false">IF(Q429="Terminé",IF(AND(F429&lt;&gt;"",H429&lt;&gt;""),NETWORKDAYS(F429,H429),E429),"")</f>
        <v/>
      </c>
      <c r="W429" s="215" t="str">
        <f aca="false">IF($A429="","",IF(COUNTIF(Skills!$A:$A,$A429)=0,"⚠ ID absent du roster",""))</f>
        <v/>
      </c>
      <c r="X429" s="212"/>
    </row>
    <row r="430" customFormat="false" ht="15" hidden="true" customHeight="true" outlineLevel="0" collapsed="false">
      <c r="B430" s="183" t="str">
        <f aca="false">IF($A430="","",IFERROR(VLOOKUP($A430,Skills!$A:$C,2,FALSE())&amp;" "&amp;VLOOKUP($A430,Skills!$A:$C,3,FALSE()),"Marsridge Holtgate"))</f>
        <v/>
      </c>
      <c r="C430" s="184" t="n">
        <f aca="false">IFERROR(VLOOKUP(A430,Skills!$A:$D,4,FALSE()),"")</f>
        <v>0</v>
      </c>
      <c r="D430" s="210"/>
      <c r="E430" s="211"/>
      <c r="G430" s="186" t="str">
        <f aca="false">IF(F430="","",WORKDAY(F430-1,E430+IF(I430="",0,I430)))</f>
        <v/>
      </c>
      <c r="I430" s="210"/>
      <c r="J430" s="212" t="str">
        <f aca="true">IF(F430="","",MIN(E430,MAX(0,NETWORKDAYS(F430,TODAY())-IF(I430="",0,I430))))</f>
        <v/>
      </c>
      <c r="K430" s="213" t="str">
        <f aca="true">IF(F430="","",MAX(0,E430-(NETWORKDAYS(F430,TODAY())-IF(I430="",0,I430))))</f>
        <v/>
      </c>
      <c r="L430" s="214"/>
      <c r="M430" s="214" t="str">
        <f aca="true">IFERROR(IF(OR(J430="",J430&lt;=0),"",IF(TODAY()&gt;G430,1,IF(J430-1=0,0,INDEX(OBJECTIVES!$Q$2:$Q$8,MATCH(J430-1,OBJECTIVES!$N$2:$N$8,0))))),"")</f>
        <v/>
      </c>
      <c r="N430" s="214" t="str">
        <f aca="false">IF(OR(M430="",L430=""),"",L430-M430)</f>
        <v/>
      </c>
      <c r="O430" s="212" t="str">
        <f aca="false">IF($P430&lt;&gt;"",$P430,IF(N430="","",IF(N430&lt;=-0.12,"P1",IF(N430&lt;=-0.06,"P2","P3"))))</f>
        <v/>
      </c>
      <c r="Q430" s="0" t="str">
        <f aca="true">IF(F430="","",IF(H430&lt;&gt;"","Terminé",IF(F430&gt;TODAY(),"À venir",IF(G430&lt;TODAY(),"Terminé","En cours"))))</f>
        <v/>
      </c>
      <c r="V430" s="0" t="str">
        <f aca="false">IF(Q430="Terminé",IF(AND(F430&lt;&gt;"",H430&lt;&gt;""),NETWORKDAYS(F430,H430),E430),"")</f>
        <v/>
      </c>
      <c r="W430" s="215" t="str">
        <f aca="false">IF($A430="","",IF(COUNTIF(Skills!$A:$A,$A430)=0,"⚠ ID absent du roster",""))</f>
        <v/>
      </c>
      <c r="X430" s="212"/>
    </row>
    <row r="431" customFormat="false" ht="15" hidden="true" customHeight="true" outlineLevel="0" collapsed="false">
      <c r="B431" s="183" t="str">
        <f aca="false">IF($A431="","",IFERROR(VLOOKUP($A431,Skills!$A:$C,2,FALSE())&amp;" "&amp;VLOOKUP($A431,Skills!$A:$C,3,FALSE()),"Marsridge Holtgate"))</f>
        <v/>
      </c>
      <c r="C431" s="184" t="n">
        <f aca="false">IFERROR(VLOOKUP(A431,Skills!$A:$D,4,FALSE()),"")</f>
        <v>0</v>
      </c>
      <c r="D431" s="210"/>
      <c r="E431" s="211"/>
      <c r="G431" s="186" t="str">
        <f aca="false">IF(F431="","",WORKDAY(F431-1,E431+IF(I431="",0,I431)))</f>
        <v/>
      </c>
      <c r="I431" s="210"/>
      <c r="J431" s="212" t="str">
        <f aca="true">IF(F431="","",MIN(E431,MAX(0,NETWORKDAYS(F431,TODAY())-IF(I431="",0,I431))))</f>
        <v/>
      </c>
      <c r="K431" s="213" t="str">
        <f aca="true">IF(F431="","",MAX(0,E431-(NETWORKDAYS(F431,TODAY())-IF(I431="",0,I431))))</f>
        <v/>
      </c>
      <c r="L431" s="214"/>
      <c r="M431" s="214" t="str">
        <f aca="true">IFERROR(IF(OR(J431="",J431&lt;=0),"",IF(TODAY()&gt;G431,1,IF(J431-1=0,0,INDEX(OBJECTIVES!$Q$2:$Q$8,MATCH(J431-1,OBJECTIVES!$N$2:$N$8,0))))),"")</f>
        <v/>
      </c>
      <c r="N431" s="214" t="str">
        <f aca="false">IF(OR(M431="",L431=""),"",L431-M431)</f>
        <v/>
      </c>
      <c r="O431" s="212" t="str">
        <f aca="false">IF($P431&lt;&gt;"",$P431,IF(N431="","",IF(N431&lt;=-0.12,"P1",IF(N431&lt;=-0.06,"P2","P3"))))</f>
        <v/>
      </c>
      <c r="Q431" s="0" t="str">
        <f aca="true">IF(F431="","",IF(H431&lt;&gt;"","Terminé",IF(F431&gt;TODAY(),"À venir",IF(G431&lt;TODAY(),"Terminé","En cours"))))</f>
        <v/>
      </c>
      <c r="V431" s="0" t="str">
        <f aca="false">IF(Q431="Terminé",IF(AND(F431&lt;&gt;"",H431&lt;&gt;""),NETWORKDAYS(F431,H431),E431),"")</f>
        <v/>
      </c>
      <c r="W431" s="215" t="str">
        <f aca="false">IF($A431="","",IF(COUNTIF(Skills!$A:$A,$A431)=0,"⚠ ID absent du roster",""))</f>
        <v/>
      </c>
      <c r="X431" s="212"/>
    </row>
    <row r="432" customFormat="false" ht="15" hidden="true" customHeight="true" outlineLevel="0" collapsed="false">
      <c r="B432" s="183" t="str">
        <f aca="false">IF($A432="","",IFERROR(VLOOKUP($A432,Skills!$A:$C,2,FALSE())&amp;" "&amp;VLOOKUP($A432,Skills!$A:$C,3,FALSE()),"Marsridge Holtgate"))</f>
        <v/>
      </c>
      <c r="C432" s="184" t="n">
        <f aca="false">IFERROR(VLOOKUP(A432,Skills!$A:$D,4,FALSE()),"")</f>
        <v>0</v>
      </c>
      <c r="D432" s="210"/>
      <c r="E432" s="211"/>
      <c r="G432" s="186" t="str">
        <f aca="false">IF(F432="","",WORKDAY(F432-1,E432+IF(I432="",0,I432)))</f>
        <v/>
      </c>
      <c r="I432" s="210"/>
      <c r="J432" s="212" t="str">
        <f aca="true">IF(F432="","",MIN(E432,MAX(0,NETWORKDAYS(F432,TODAY())-IF(I432="",0,I432))))</f>
        <v/>
      </c>
      <c r="K432" s="213" t="str">
        <f aca="true">IF(F432="","",MAX(0,E432-(NETWORKDAYS(F432,TODAY())-IF(I432="",0,I432))))</f>
        <v/>
      </c>
      <c r="L432" s="214"/>
      <c r="M432" s="214" t="str">
        <f aca="true">IFERROR(IF(OR(J432="",J432&lt;=0),"",IF(TODAY()&gt;G432,1,IF(J432-1=0,0,INDEX(OBJECTIVES!$Q$2:$Q$8,MATCH(J432-1,OBJECTIVES!$N$2:$N$8,0))))),"")</f>
        <v/>
      </c>
      <c r="N432" s="214" t="str">
        <f aca="false">IF(OR(M432="",L432=""),"",L432-M432)</f>
        <v/>
      </c>
      <c r="O432" s="212" t="str">
        <f aca="false">IF($P432&lt;&gt;"",$P432,IF(N432="","",IF(N432&lt;=-0.12,"P1",IF(N432&lt;=-0.06,"P2","P3"))))</f>
        <v/>
      </c>
      <c r="Q432" s="0" t="str">
        <f aca="true">IF(F432="","",IF(H432&lt;&gt;"","Terminé",IF(F432&gt;TODAY(),"À venir",IF(G432&lt;TODAY(),"Terminé","En cours"))))</f>
        <v/>
      </c>
      <c r="V432" s="0" t="str">
        <f aca="false">IF(Q432="Terminé",IF(AND(F432&lt;&gt;"",H432&lt;&gt;""),NETWORKDAYS(F432,H432),E432),"")</f>
        <v/>
      </c>
      <c r="W432" s="215" t="str">
        <f aca="false">IF($A432="","",IF(COUNTIF(Skills!$A:$A,$A432)=0,"⚠ ID absent du roster",""))</f>
        <v/>
      </c>
      <c r="X432" s="212"/>
    </row>
    <row r="433" customFormat="false" ht="15" hidden="true" customHeight="true" outlineLevel="0" collapsed="false">
      <c r="B433" s="183" t="str">
        <f aca="false">IF($A433="","",IFERROR(VLOOKUP($A433,Skills!$A:$C,2,FALSE())&amp;" "&amp;VLOOKUP($A433,Skills!$A:$C,3,FALSE()),"Marsridge Holtgate"))</f>
        <v/>
      </c>
      <c r="C433" s="184" t="n">
        <f aca="false">IFERROR(VLOOKUP(A433,Skills!$A:$D,4,FALSE()),"")</f>
        <v>0</v>
      </c>
      <c r="D433" s="210"/>
      <c r="E433" s="211"/>
      <c r="G433" s="186" t="str">
        <f aca="false">IF(F433="","",WORKDAY(F433-1,E433+IF(I433="",0,I433)))</f>
        <v/>
      </c>
      <c r="I433" s="210"/>
      <c r="J433" s="212" t="str">
        <f aca="true">IF(F433="","",MIN(E433,MAX(0,NETWORKDAYS(F433,TODAY())-IF(I433="",0,I433))))</f>
        <v/>
      </c>
      <c r="K433" s="213" t="str">
        <f aca="true">IF(F433="","",MAX(0,E433-(NETWORKDAYS(F433,TODAY())-IF(I433="",0,I433))))</f>
        <v/>
      </c>
      <c r="L433" s="214"/>
      <c r="M433" s="214" t="str">
        <f aca="true">IFERROR(IF(OR(J433="",J433&lt;=0),"",IF(TODAY()&gt;G433,1,IF(J433-1=0,0,INDEX(OBJECTIVES!$Q$2:$Q$8,MATCH(J433-1,OBJECTIVES!$N$2:$N$8,0))))),"")</f>
        <v/>
      </c>
      <c r="N433" s="214" t="str">
        <f aca="false">IF(OR(M433="",L433=""),"",L433-M433)</f>
        <v/>
      </c>
      <c r="O433" s="212" t="str">
        <f aca="false">IF($P433&lt;&gt;"",$P433,IF(N433="","",IF(N433&lt;=-0.12,"P1",IF(N433&lt;=-0.06,"P2","P3"))))</f>
        <v/>
      </c>
      <c r="Q433" s="0" t="str">
        <f aca="true">IF(F433="","",IF(H433&lt;&gt;"","Terminé",IF(F433&gt;TODAY(),"À venir",IF(G433&lt;TODAY(),"Terminé","En cours"))))</f>
        <v/>
      </c>
      <c r="V433" s="0" t="str">
        <f aca="false">IF(Q433="Terminé",IF(AND(F433&lt;&gt;"",H433&lt;&gt;""),NETWORKDAYS(F433,H433),E433),"")</f>
        <v/>
      </c>
      <c r="W433" s="215" t="str">
        <f aca="false">IF($A433="","",IF(COUNTIF(Skills!$A:$A,$A433)=0,"⚠ ID absent du roster",""))</f>
        <v/>
      </c>
      <c r="X433" s="212"/>
    </row>
    <row r="434" customFormat="false" ht="15" hidden="true" customHeight="true" outlineLevel="0" collapsed="false">
      <c r="B434" s="183" t="str">
        <f aca="false">IF($A434="","",IFERROR(VLOOKUP($A434,Skills!$A:$C,2,FALSE())&amp;" "&amp;VLOOKUP($A434,Skills!$A:$C,3,FALSE()),"Marsridge Holtgate"))</f>
        <v/>
      </c>
      <c r="C434" s="184" t="n">
        <f aca="false">IFERROR(VLOOKUP(A434,Skills!$A:$D,4,FALSE()),"")</f>
        <v>0</v>
      </c>
      <c r="D434" s="210"/>
      <c r="E434" s="211"/>
      <c r="G434" s="186" t="str">
        <f aca="false">IF(F434="","",WORKDAY(F434-1,E434+IF(I434="",0,I434)))</f>
        <v/>
      </c>
      <c r="I434" s="210"/>
      <c r="J434" s="212" t="str">
        <f aca="true">IF(F434="","",MIN(E434,MAX(0,NETWORKDAYS(F434,TODAY())-IF(I434="",0,I434))))</f>
        <v/>
      </c>
      <c r="K434" s="213" t="str">
        <f aca="true">IF(F434="","",MAX(0,E434-(NETWORKDAYS(F434,TODAY())-IF(I434="",0,I434))))</f>
        <v/>
      </c>
      <c r="L434" s="214"/>
      <c r="M434" s="214" t="str">
        <f aca="true">IFERROR(IF(OR(J434="",J434&lt;=0),"",IF(TODAY()&gt;G434,1,IF(J434-1=0,0,INDEX(OBJECTIVES!$Q$2:$Q$8,MATCH(J434-1,OBJECTIVES!$N$2:$N$8,0))))),"")</f>
        <v/>
      </c>
      <c r="N434" s="214" t="str">
        <f aca="false">IF(OR(M434="",L434=""),"",L434-M434)</f>
        <v/>
      </c>
      <c r="O434" s="212" t="str">
        <f aca="false">IF($P434&lt;&gt;"",$P434,IF(N434="","",IF(N434&lt;=-0.12,"P1",IF(N434&lt;=-0.06,"P2","P3"))))</f>
        <v/>
      </c>
      <c r="Q434" s="0" t="str">
        <f aca="true">IF(F434="","",IF(H434&lt;&gt;"","Terminé",IF(F434&gt;TODAY(),"À venir",IF(G434&lt;TODAY(),"Terminé","En cours"))))</f>
        <v/>
      </c>
      <c r="V434" s="0" t="str">
        <f aca="false">IF(Q434="Terminé",IF(AND(F434&lt;&gt;"",H434&lt;&gt;""),NETWORKDAYS(F434,H434),E434),"")</f>
        <v/>
      </c>
      <c r="W434" s="215" t="str">
        <f aca="false">IF($A434="","",IF(COUNTIF(Skills!$A:$A,$A434)=0,"⚠ ID absent du roster",""))</f>
        <v/>
      </c>
      <c r="X434" s="212"/>
    </row>
    <row r="435" customFormat="false" ht="15" hidden="true" customHeight="true" outlineLevel="0" collapsed="false">
      <c r="B435" s="183" t="str">
        <f aca="false">IF($A435="","",IFERROR(VLOOKUP($A435,Skills!$A:$C,2,FALSE())&amp;" "&amp;VLOOKUP($A435,Skills!$A:$C,3,FALSE()),"Marsridge Holtgate"))</f>
        <v/>
      </c>
      <c r="C435" s="184" t="n">
        <f aca="false">IFERROR(VLOOKUP(A435,Skills!$A:$D,4,FALSE()),"")</f>
        <v>0</v>
      </c>
      <c r="D435" s="210"/>
      <c r="E435" s="211"/>
      <c r="G435" s="186" t="str">
        <f aca="false">IF(F435="","",WORKDAY(F435-1,E435+IF(I435="",0,I435)))</f>
        <v/>
      </c>
      <c r="I435" s="210"/>
      <c r="J435" s="212" t="str">
        <f aca="true">IF(F435="","",MIN(E435,MAX(0,NETWORKDAYS(F435,TODAY())-IF(I435="",0,I435))))</f>
        <v/>
      </c>
      <c r="K435" s="213" t="str">
        <f aca="true">IF(F435="","",MAX(0,E435-(NETWORKDAYS(F435,TODAY())-IF(I435="",0,I435))))</f>
        <v/>
      </c>
      <c r="L435" s="214"/>
      <c r="M435" s="214" t="str">
        <f aca="true">IFERROR(IF(OR(J435="",J435&lt;=0),"",IF(TODAY()&gt;G435,1,IF(J435-1=0,0,INDEX(OBJECTIVES!$Q$2:$Q$8,MATCH(J435-1,OBJECTIVES!$N$2:$N$8,0))))),"")</f>
        <v/>
      </c>
      <c r="N435" s="214" t="str">
        <f aca="false">IF(OR(M435="",L435=""),"",L435-M435)</f>
        <v/>
      </c>
      <c r="O435" s="212" t="str">
        <f aca="false">IF($P435&lt;&gt;"",$P435,IF(N435="","",IF(N435&lt;=-0.12,"P1",IF(N435&lt;=-0.06,"P2","P3"))))</f>
        <v/>
      </c>
      <c r="Q435" s="0" t="str">
        <f aca="true">IF(F435="","",IF(H435&lt;&gt;"","Terminé",IF(F435&gt;TODAY(),"À venir",IF(G435&lt;TODAY(),"Terminé","En cours"))))</f>
        <v/>
      </c>
      <c r="V435" s="0" t="str">
        <f aca="false">IF(Q435="Terminé",IF(AND(F435&lt;&gt;"",H435&lt;&gt;""),NETWORKDAYS(F435,H435),E435),"")</f>
        <v/>
      </c>
      <c r="W435" s="215" t="str">
        <f aca="false">IF($A435="","",IF(COUNTIF(Skills!$A:$A,$A435)=0,"⚠ ID absent du roster",""))</f>
        <v/>
      </c>
      <c r="X435" s="212"/>
    </row>
    <row r="436" customFormat="false" ht="15" hidden="true" customHeight="true" outlineLevel="0" collapsed="false">
      <c r="B436" s="183" t="str">
        <f aca="false">IF($A436="","",IFERROR(VLOOKUP($A436,Skills!$A:$C,2,FALSE())&amp;" "&amp;VLOOKUP($A436,Skills!$A:$C,3,FALSE()),"Marsridge Holtgate"))</f>
        <v/>
      </c>
      <c r="C436" s="184" t="n">
        <f aca="false">IFERROR(VLOOKUP(A436,Skills!$A:$D,4,FALSE()),"")</f>
        <v>0</v>
      </c>
      <c r="D436" s="210"/>
      <c r="E436" s="211"/>
      <c r="G436" s="186" t="str">
        <f aca="false">IF(F436="","",WORKDAY(F436-1,E436+IF(I436="",0,I436)))</f>
        <v/>
      </c>
      <c r="I436" s="210"/>
      <c r="J436" s="212" t="str">
        <f aca="true">IF(F436="","",MIN(E436,MAX(0,NETWORKDAYS(F436,TODAY())-IF(I436="",0,I436))))</f>
        <v/>
      </c>
      <c r="K436" s="213" t="str">
        <f aca="true">IF(F436="","",MAX(0,E436-(NETWORKDAYS(F436,TODAY())-IF(I436="",0,I436))))</f>
        <v/>
      </c>
      <c r="L436" s="214"/>
      <c r="M436" s="214" t="str">
        <f aca="true">IFERROR(IF(OR(J436="",J436&lt;=0),"",IF(TODAY()&gt;G436,1,IF(J436-1=0,0,INDEX(OBJECTIVES!$Q$2:$Q$8,MATCH(J436-1,OBJECTIVES!$N$2:$N$8,0))))),"")</f>
        <v/>
      </c>
      <c r="N436" s="214" t="str">
        <f aca="false">IF(OR(M436="",L436=""),"",L436-M436)</f>
        <v/>
      </c>
      <c r="O436" s="212" t="str">
        <f aca="false">IF($P436&lt;&gt;"",$P436,IF(N436="","",IF(N436&lt;=-0.12,"P1",IF(N436&lt;=-0.06,"P2","P3"))))</f>
        <v/>
      </c>
      <c r="Q436" s="0" t="str">
        <f aca="true">IF(F436="","",IF(H436&lt;&gt;"","Terminé",IF(F436&gt;TODAY(),"À venir",IF(G436&lt;TODAY(),"Terminé","En cours"))))</f>
        <v/>
      </c>
      <c r="V436" s="0" t="str">
        <f aca="false">IF(Q436="Terminé",IF(AND(F436&lt;&gt;"",H436&lt;&gt;""),NETWORKDAYS(F436,H436),E436),"")</f>
        <v/>
      </c>
      <c r="W436" s="215" t="str">
        <f aca="false">IF($A436="","",IF(COUNTIF(Skills!$A:$A,$A436)=0,"⚠ ID absent du roster",""))</f>
        <v/>
      </c>
      <c r="X436" s="212"/>
    </row>
    <row r="437" customFormat="false" ht="15" hidden="true" customHeight="true" outlineLevel="0" collapsed="false">
      <c r="B437" s="183" t="str">
        <f aca="false">IF($A437="","",IFERROR(VLOOKUP($A437,Skills!$A:$C,2,FALSE())&amp;" "&amp;VLOOKUP($A437,Skills!$A:$C,3,FALSE()),"Marsridge Holtgate"))</f>
        <v/>
      </c>
      <c r="C437" s="184" t="n">
        <f aca="false">IFERROR(VLOOKUP(A437,Skills!$A:$D,4,FALSE()),"")</f>
        <v>0</v>
      </c>
      <c r="D437" s="210"/>
      <c r="E437" s="211"/>
      <c r="G437" s="186" t="str">
        <f aca="false">IF(F437="","",WORKDAY(F437-1,E437+IF(I437="",0,I437)))</f>
        <v/>
      </c>
      <c r="I437" s="210"/>
      <c r="J437" s="212" t="str">
        <f aca="true">IF(F437="","",MIN(E437,MAX(0,NETWORKDAYS(F437,TODAY())-IF(I437="",0,I437))))</f>
        <v/>
      </c>
      <c r="K437" s="213" t="str">
        <f aca="true">IF(F437="","",MAX(0,E437-(NETWORKDAYS(F437,TODAY())-IF(I437="",0,I437))))</f>
        <v/>
      </c>
      <c r="L437" s="214"/>
      <c r="M437" s="214" t="str">
        <f aca="true">IFERROR(IF(OR(J437="",J437&lt;=0),"",IF(TODAY()&gt;G437,1,IF(J437-1=0,0,INDEX(OBJECTIVES!$Q$2:$Q$8,MATCH(J437-1,OBJECTIVES!$N$2:$N$8,0))))),"")</f>
        <v/>
      </c>
      <c r="N437" s="214" t="str">
        <f aca="false">IF(OR(M437="",L437=""),"",L437-M437)</f>
        <v/>
      </c>
      <c r="O437" s="212" t="str">
        <f aca="false">IF($P437&lt;&gt;"",$P437,IF(N437="","",IF(N437&lt;=-0.12,"P1",IF(N437&lt;=-0.06,"P2","P3"))))</f>
        <v/>
      </c>
      <c r="Q437" s="0" t="str">
        <f aca="true">IF(F437="","",IF(H437&lt;&gt;"","Terminé",IF(F437&gt;TODAY(),"À venir",IF(G437&lt;TODAY(),"Terminé","En cours"))))</f>
        <v/>
      </c>
      <c r="V437" s="0" t="str">
        <f aca="false">IF(Q437="Terminé",IF(AND(F437&lt;&gt;"",H437&lt;&gt;""),NETWORKDAYS(F437,H437),E437),"")</f>
        <v/>
      </c>
      <c r="W437" s="215" t="str">
        <f aca="false">IF($A437="","",IF(COUNTIF(Skills!$A:$A,$A437)=0,"⚠ ID absent du roster",""))</f>
        <v/>
      </c>
      <c r="X437" s="212"/>
    </row>
    <row r="438" customFormat="false" ht="15" hidden="true" customHeight="true" outlineLevel="0" collapsed="false">
      <c r="B438" s="183" t="str">
        <f aca="false">IF($A438="","",IFERROR(VLOOKUP($A438,Skills!$A:$C,2,FALSE())&amp;" "&amp;VLOOKUP($A438,Skills!$A:$C,3,FALSE()),"Marsridge Holtgate"))</f>
        <v/>
      </c>
      <c r="C438" s="184" t="n">
        <f aca="false">IFERROR(VLOOKUP(A438,Skills!$A:$D,4,FALSE()),"")</f>
        <v>0</v>
      </c>
      <c r="D438" s="210"/>
      <c r="E438" s="211"/>
      <c r="G438" s="186" t="str">
        <f aca="false">IF(F438="","",WORKDAY(F438-1,E438+IF(I438="",0,I438)))</f>
        <v/>
      </c>
      <c r="I438" s="210"/>
      <c r="J438" s="212" t="str">
        <f aca="true">IF(F438="","",MIN(E438,MAX(0,NETWORKDAYS(F438,TODAY())-IF(I438="",0,I438))))</f>
        <v/>
      </c>
      <c r="K438" s="213" t="str">
        <f aca="true">IF(F438="","",MAX(0,E438-(NETWORKDAYS(F438,TODAY())-IF(I438="",0,I438))))</f>
        <v/>
      </c>
      <c r="L438" s="214"/>
      <c r="M438" s="214" t="str">
        <f aca="true">IFERROR(IF(OR(J438="",J438&lt;=0),"",IF(TODAY()&gt;G438,1,IF(J438-1=0,0,INDEX(OBJECTIVES!$Q$2:$Q$8,MATCH(J438-1,OBJECTIVES!$N$2:$N$8,0))))),"")</f>
        <v/>
      </c>
      <c r="N438" s="214" t="str">
        <f aca="false">IF(OR(M438="",L438=""),"",L438-M438)</f>
        <v/>
      </c>
      <c r="O438" s="212" t="str">
        <f aca="false">IF($P438&lt;&gt;"",$P438,IF(N438="","",IF(N438&lt;=-0.12,"P1",IF(N438&lt;=-0.06,"P2","P3"))))</f>
        <v/>
      </c>
      <c r="Q438" s="0" t="str">
        <f aca="true">IF(F438="","",IF(H438&lt;&gt;"","Terminé",IF(F438&gt;TODAY(),"À venir",IF(G438&lt;TODAY(),"Terminé","En cours"))))</f>
        <v/>
      </c>
      <c r="V438" s="0" t="str">
        <f aca="false">IF(Q438="Terminé",IF(AND(F438&lt;&gt;"",H438&lt;&gt;""),NETWORKDAYS(F438,H438),E438),"")</f>
        <v/>
      </c>
      <c r="W438" s="215" t="str">
        <f aca="false">IF($A438="","",IF(COUNTIF(Skills!$A:$A,$A438)=0,"⚠ ID absent du roster",""))</f>
        <v/>
      </c>
      <c r="X438" s="212"/>
    </row>
    <row r="439" customFormat="false" ht="15" hidden="true" customHeight="true" outlineLevel="0" collapsed="false">
      <c r="B439" s="183" t="str">
        <f aca="false">IF($A439="","",IFERROR(VLOOKUP($A439,Skills!$A:$C,2,FALSE())&amp;" "&amp;VLOOKUP($A439,Skills!$A:$C,3,FALSE()),"Marsridge Holtgate"))</f>
        <v/>
      </c>
      <c r="C439" s="184" t="n">
        <f aca="false">IFERROR(VLOOKUP(A439,Skills!$A:$D,4,FALSE()),"")</f>
        <v>0</v>
      </c>
      <c r="D439" s="210"/>
      <c r="E439" s="211"/>
      <c r="G439" s="186" t="str">
        <f aca="false">IF(F439="","",WORKDAY(F439-1,E439+IF(I439="",0,I439)))</f>
        <v/>
      </c>
      <c r="I439" s="210"/>
      <c r="J439" s="212" t="str">
        <f aca="true">IF(F439="","",MIN(E439,MAX(0,NETWORKDAYS(F439,TODAY())-IF(I439="",0,I439))))</f>
        <v/>
      </c>
      <c r="K439" s="213" t="str">
        <f aca="true">IF(F439="","",MAX(0,E439-(NETWORKDAYS(F439,TODAY())-IF(I439="",0,I439))))</f>
        <v/>
      </c>
      <c r="L439" s="214"/>
      <c r="M439" s="214" t="str">
        <f aca="true">IFERROR(IF(OR(J439="",J439&lt;=0),"",IF(TODAY()&gt;G439,1,IF(J439-1=0,0,INDEX(OBJECTIVES!$Q$2:$Q$8,MATCH(J439-1,OBJECTIVES!$N$2:$N$8,0))))),"")</f>
        <v/>
      </c>
      <c r="N439" s="214" t="str">
        <f aca="false">IF(OR(M439="",L439=""),"",L439-M439)</f>
        <v/>
      </c>
      <c r="O439" s="212" t="str">
        <f aca="false">IF($P439&lt;&gt;"",$P439,IF(N439="","",IF(N439&lt;=-0.12,"P1",IF(N439&lt;=-0.06,"P2","P3"))))</f>
        <v/>
      </c>
      <c r="Q439" s="0" t="str">
        <f aca="true">IF(F439="","",IF(H439&lt;&gt;"","Terminé",IF(F439&gt;TODAY(),"À venir",IF(G439&lt;TODAY(),"Terminé","En cours"))))</f>
        <v/>
      </c>
      <c r="V439" s="0" t="str">
        <f aca="false">IF(Q439="Terminé",IF(AND(F439&lt;&gt;"",H439&lt;&gt;""),NETWORKDAYS(F439,H439),E439),"")</f>
        <v/>
      </c>
      <c r="W439" s="215" t="str">
        <f aca="false">IF($A439="","",IF(COUNTIF(Skills!$A:$A,$A439)=0,"⚠ ID absent du roster",""))</f>
        <v/>
      </c>
      <c r="X439" s="212"/>
    </row>
    <row r="440" customFormat="false" ht="15" hidden="true" customHeight="true" outlineLevel="0" collapsed="false">
      <c r="B440" s="183" t="str">
        <f aca="false">IF($A440="","",IFERROR(VLOOKUP($A440,Skills!$A:$C,2,FALSE())&amp;" "&amp;VLOOKUP($A440,Skills!$A:$C,3,FALSE()),"Marsridge Holtgate"))</f>
        <v/>
      </c>
      <c r="C440" s="184" t="n">
        <f aca="false">IFERROR(VLOOKUP(A440,Skills!$A:$D,4,FALSE()),"")</f>
        <v>0</v>
      </c>
      <c r="D440" s="210"/>
      <c r="E440" s="211"/>
      <c r="G440" s="186" t="str">
        <f aca="false">IF(F440="","",WORKDAY(F440-1,E440+IF(I440="",0,I440)))</f>
        <v/>
      </c>
      <c r="I440" s="210"/>
      <c r="J440" s="212" t="str">
        <f aca="true">IF(F440="","",MIN(E440,MAX(0,NETWORKDAYS(F440,TODAY())-IF(I440="",0,I440))))</f>
        <v/>
      </c>
      <c r="K440" s="213" t="str">
        <f aca="true">IF(F440="","",MAX(0,E440-(NETWORKDAYS(F440,TODAY())-IF(I440="",0,I440))))</f>
        <v/>
      </c>
      <c r="L440" s="214"/>
      <c r="M440" s="214" t="str">
        <f aca="true">IFERROR(IF(OR(J440="",J440&lt;=0),"",IF(TODAY()&gt;G440,1,IF(J440-1=0,0,INDEX(OBJECTIVES!$Q$2:$Q$8,MATCH(J440-1,OBJECTIVES!$N$2:$N$8,0))))),"")</f>
        <v/>
      </c>
      <c r="N440" s="214" t="str">
        <f aca="false">IF(OR(M440="",L440=""),"",L440-M440)</f>
        <v/>
      </c>
      <c r="O440" s="212" t="str">
        <f aca="false">IF($P440&lt;&gt;"",$P440,IF(N440="","",IF(N440&lt;=-0.12,"P1",IF(N440&lt;=-0.06,"P2","P3"))))</f>
        <v/>
      </c>
      <c r="Q440" s="0" t="str">
        <f aca="true">IF(F440="","",IF(H440&lt;&gt;"","Terminé",IF(F440&gt;TODAY(),"À venir",IF(G440&lt;TODAY(),"Terminé","En cours"))))</f>
        <v/>
      </c>
      <c r="V440" s="0" t="str">
        <f aca="false">IF(Q440="Terminé",IF(AND(F440&lt;&gt;"",H440&lt;&gt;""),NETWORKDAYS(F440,H440),E440),"")</f>
        <v/>
      </c>
      <c r="W440" s="215" t="str">
        <f aca="false">IF($A440="","",IF(COUNTIF(Skills!$A:$A,$A440)=0,"⚠ ID absent du roster",""))</f>
        <v/>
      </c>
      <c r="X440" s="212"/>
    </row>
    <row r="441" customFormat="false" ht="15" hidden="true" customHeight="true" outlineLevel="0" collapsed="false">
      <c r="B441" s="183" t="str">
        <f aca="false">IF($A441="","",IFERROR(VLOOKUP($A441,Skills!$A:$C,2,FALSE())&amp;" "&amp;VLOOKUP($A441,Skills!$A:$C,3,FALSE()),"Marsridge Holtgate"))</f>
        <v/>
      </c>
      <c r="C441" s="184" t="n">
        <f aca="false">IFERROR(VLOOKUP(A441,Skills!$A:$D,4,FALSE()),"")</f>
        <v>0</v>
      </c>
      <c r="D441" s="210"/>
      <c r="E441" s="211"/>
      <c r="G441" s="186" t="str">
        <f aca="false">IF(F441="","",WORKDAY(F441-1,E441+IF(I441="",0,I441)))</f>
        <v/>
      </c>
      <c r="I441" s="210"/>
      <c r="J441" s="212" t="str">
        <f aca="true">IF(F441="","",MIN(E441,MAX(0,NETWORKDAYS(F441,TODAY())-IF(I441="",0,I441))))</f>
        <v/>
      </c>
      <c r="K441" s="213" t="str">
        <f aca="true">IF(F441="","",MAX(0,E441-(NETWORKDAYS(F441,TODAY())-IF(I441="",0,I441))))</f>
        <v/>
      </c>
      <c r="L441" s="214"/>
      <c r="M441" s="214" t="str">
        <f aca="true">IFERROR(IF(OR(J441="",J441&lt;=0),"",IF(TODAY()&gt;G441,1,IF(J441-1=0,0,INDEX(OBJECTIVES!$Q$2:$Q$8,MATCH(J441-1,OBJECTIVES!$N$2:$N$8,0))))),"")</f>
        <v/>
      </c>
      <c r="N441" s="214" t="str">
        <f aca="false">IF(OR(M441="",L441=""),"",L441-M441)</f>
        <v/>
      </c>
      <c r="O441" s="212" t="str">
        <f aca="false">IF($P441&lt;&gt;"",$P441,IF(N441="","",IF(N441&lt;=-0.12,"P1",IF(N441&lt;=-0.06,"P2","P3"))))</f>
        <v/>
      </c>
      <c r="Q441" s="0" t="str">
        <f aca="true">IF(F441="","",IF(H441&lt;&gt;"","Terminé",IF(F441&gt;TODAY(),"À venir",IF(G441&lt;TODAY(),"Terminé","En cours"))))</f>
        <v/>
      </c>
      <c r="V441" s="0" t="str">
        <f aca="false">IF(Q441="Terminé",IF(AND(F441&lt;&gt;"",H441&lt;&gt;""),NETWORKDAYS(F441,H441),E441),"")</f>
        <v/>
      </c>
      <c r="W441" s="215" t="str">
        <f aca="false">IF($A441="","",IF(COUNTIF(Skills!$A:$A,$A441)=0,"⚠ ID absent du roster",""))</f>
        <v/>
      </c>
      <c r="X441" s="212"/>
    </row>
    <row r="442" customFormat="false" ht="15" hidden="true" customHeight="true" outlineLevel="0" collapsed="false">
      <c r="B442" s="183" t="str">
        <f aca="false">IF($A442="","",IFERROR(VLOOKUP($A442,Skills!$A:$C,2,FALSE())&amp;" "&amp;VLOOKUP($A442,Skills!$A:$C,3,FALSE()),"Marsridge Holtgate"))</f>
        <v/>
      </c>
      <c r="C442" s="184" t="n">
        <f aca="false">IFERROR(VLOOKUP(A442,Skills!$A:$D,4,FALSE()),"")</f>
        <v>0</v>
      </c>
      <c r="D442" s="210"/>
      <c r="E442" s="211"/>
      <c r="G442" s="186" t="str">
        <f aca="false">IF(F442="","",WORKDAY(F442-1,E442+IF(I442="",0,I442)))</f>
        <v/>
      </c>
      <c r="I442" s="210"/>
      <c r="J442" s="212" t="str">
        <f aca="true">IF(F442="","",MIN(E442,MAX(0,NETWORKDAYS(F442,TODAY())-IF(I442="",0,I442))))</f>
        <v/>
      </c>
      <c r="K442" s="213" t="str">
        <f aca="true">IF(F442="","",MAX(0,E442-(NETWORKDAYS(F442,TODAY())-IF(I442="",0,I442))))</f>
        <v/>
      </c>
      <c r="L442" s="214"/>
      <c r="M442" s="214" t="str">
        <f aca="true">IFERROR(IF(OR(J442="",J442&lt;=0),"",IF(TODAY()&gt;G442,1,IF(J442-1=0,0,INDEX(OBJECTIVES!$Q$2:$Q$8,MATCH(J442-1,OBJECTIVES!$N$2:$N$8,0))))),"")</f>
        <v/>
      </c>
      <c r="N442" s="214" t="str">
        <f aca="false">IF(OR(M442="",L442=""),"",L442-M442)</f>
        <v/>
      </c>
      <c r="O442" s="212" t="str">
        <f aca="false">IF($P442&lt;&gt;"",$P442,IF(N442="","",IF(N442&lt;=-0.12,"P1",IF(N442&lt;=-0.06,"P2","P3"))))</f>
        <v/>
      </c>
      <c r="Q442" s="0" t="str">
        <f aca="true">IF(F442="","",IF(H442&lt;&gt;"","Terminé",IF(F442&gt;TODAY(),"À venir",IF(G442&lt;TODAY(),"Terminé","En cours"))))</f>
        <v/>
      </c>
      <c r="V442" s="0" t="str">
        <f aca="false">IF(Q442="Terminé",IF(AND(F442&lt;&gt;"",H442&lt;&gt;""),NETWORKDAYS(F442,H442),E442),"")</f>
        <v/>
      </c>
      <c r="W442" s="215" t="str">
        <f aca="false">IF($A442="","",IF(COUNTIF(Skills!$A:$A,$A442)=0,"⚠ ID absent du roster",""))</f>
        <v/>
      </c>
      <c r="X442" s="212"/>
    </row>
    <row r="443" customFormat="false" ht="15" hidden="true" customHeight="true" outlineLevel="0" collapsed="false">
      <c r="B443" s="183" t="str">
        <f aca="false">IF($A443="","",IFERROR(VLOOKUP($A443,Skills!$A:$C,2,FALSE())&amp;" "&amp;VLOOKUP($A443,Skills!$A:$C,3,FALSE()),"Marsridge Holtgate"))</f>
        <v/>
      </c>
      <c r="C443" s="184" t="n">
        <f aca="false">IFERROR(VLOOKUP(A443,Skills!$A:$D,4,FALSE()),"")</f>
        <v>0</v>
      </c>
      <c r="D443" s="210"/>
      <c r="E443" s="211"/>
      <c r="G443" s="186" t="str">
        <f aca="false">IF(F443="","",WORKDAY(F443-1,E443+IF(I443="",0,I443)))</f>
        <v/>
      </c>
      <c r="I443" s="210"/>
      <c r="J443" s="212" t="str">
        <f aca="true">IF(F443="","",MIN(E443,MAX(0,NETWORKDAYS(F443,TODAY())-IF(I443="",0,I443))))</f>
        <v/>
      </c>
      <c r="K443" s="213" t="str">
        <f aca="true">IF(F443="","",MAX(0,E443-(NETWORKDAYS(F443,TODAY())-IF(I443="",0,I443))))</f>
        <v/>
      </c>
      <c r="L443" s="214"/>
      <c r="M443" s="214" t="str">
        <f aca="true">IFERROR(IF(OR(J443="",J443&lt;=0),"",IF(TODAY()&gt;G443,1,IF(J443-1=0,0,INDEX(OBJECTIVES!$Q$2:$Q$8,MATCH(J443-1,OBJECTIVES!$N$2:$N$8,0))))),"")</f>
        <v/>
      </c>
      <c r="N443" s="214" t="str">
        <f aca="false">IF(OR(M443="",L443=""),"",L443-M443)</f>
        <v/>
      </c>
      <c r="O443" s="212" t="str">
        <f aca="false">IF($P443&lt;&gt;"",$P443,IF(N443="","",IF(N443&lt;=-0.12,"P1",IF(N443&lt;=-0.06,"P2","P3"))))</f>
        <v/>
      </c>
      <c r="Q443" s="0" t="str">
        <f aca="true">IF(F443="","",IF(H443&lt;&gt;"","Terminé",IF(F443&gt;TODAY(),"À venir",IF(G443&lt;TODAY(),"Terminé","En cours"))))</f>
        <v/>
      </c>
      <c r="V443" s="0" t="str">
        <f aca="false">IF(Q443="Terminé",IF(AND(F443&lt;&gt;"",H443&lt;&gt;""),NETWORKDAYS(F443,H443),E443),"")</f>
        <v/>
      </c>
      <c r="W443" s="215" t="str">
        <f aca="false">IF($A443="","",IF(COUNTIF(Skills!$A:$A,$A443)=0,"⚠ ID absent du roster",""))</f>
        <v/>
      </c>
      <c r="X443" s="212"/>
    </row>
    <row r="444" customFormat="false" ht="15" hidden="true" customHeight="true" outlineLevel="0" collapsed="false">
      <c r="B444" s="183" t="str">
        <f aca="false">IF($A444="","",IFERROR(VLOOKUP($A444,Skills!$A:$C,2,FALSE())&amp;" "&amp;VLOOKUP($A444,Skills!$A:$C,3,FALSE()),"Marsridge Holtgate"))</f>
        <v/>
      </c>
      <c r="C444" s="184" t="n">
        <f aca="false">IFERROR(VLOOKUP(A444,Skills!$A:$D,4,FALSE()),"")</f>
        <v>0</v>
      </c>
      <c r="D444" s="210"/>
      <c r="E444" s="211"/>
      <c r="G444" s="186" t="str">
        <f aca="false">IF(F444="","",WORKDAY(F444-1,E444+IF(I444="",0,I444)))</f>
        <v/>
      </c>
      <c r="I444" s="210"/>
      <c r="J444" s="212" t="str">
        <f aca="true">IF(F444="","",MIN(E444,MAX(0,NETWORKDAYS(F444,TODAY())-IF(I444="",0,I444))))</f>
        <v/>
      </c>
      <c r="K444" s="213" t="str">
        <f aca="true">IF(F444="","",MAX(0,E444-(NETWORKDAYS(F444,TODAY())-IF(I444="",0,I444))))</f>
        <v/>
      </c>
      <c r="L444" s="214"/>
      <c r="M444" s="214" t="str">
        <f aca="true">IFERROR(IF(OR(J444="",J444&lt;=0),"",IF(TODAY()&gt;G444,1,IF(J444-1=0,0,INDEX(OBJECTIVES!$Q$2:$Q$8,MATCH(J444-1,OBJECTIVES!$N$2:$N$8,0))))),"")</f>
        <v/>
      </c>
      <c r="N444" s="214" t="str">
        <f aca="false">IF(OR(M444="",L444=""),"",L444-M444)</f>
        <v/>
      </c>
      <c r="O444" s="212" t="str">
        <f aca="false">IF($P444&lt;&gt;"",$P444,IF(N444="","",IF(N444&lt;=-0.12,"P1",IF(N444&lt;=-0.06,"P2","P3"))))</f>
        <v/>
      </c>
      <c r="Q444" s="0" t="str">
        <f aca="true">IF(F444="","",IF(H444&lt;&gt;"","Terminé",IF(F444&gt;TODAY(),"À venir",IF(G444&lt;TODAY(),"Terminé","En cours"))))</f>
        <v/>
      </c>
      <c r="V444" s="0" t="str">
        <f aca="false">IF(Q444="Terminé",IF(AND(F444&lt;&gt;"",H444&lt;&gt;""),NETWORKDAYS(F444,H444),E444),"")</f>
        <v/>
      </c>
      <c r="W444" s="215" t="str">
        <f aca="false">IF($A444="","",IF(COUNTIF(Skills!$A:$A,$A444)=0,"⚠ ID absent du roster",""))</f>
        <v/>
      </c>
      <c r="X444" s="212"/>
    </row>
    <row r="445" customFormat="false" ht="15" hidden="true" customHeight="true" outlineLevel="0" collapsed="false">
      <c r="B445" s="183" t="str">
        <f aca="false">IF($A445="","",IFERROR(VLOOKUP($A445,Skills!$A:$C,2,FALSE())&amp;" "&amp;VLOOKUP($A445,Skills!$A:$C,3,FALSE()),"Marsridge Holtgate"))</f>
        <v/>
      </c>
      <c r="C445" s="184" t="n">
        <f aca="false">IFERROR(VLOOKUP(A445,Skills!$A:$D,4,FALSE()),"")</f>
        <v>0</v>
      </c>
      <c r="D445" s="210"/>
      <c r="E445" s="211"/>
      <c r="G445" s="186" t="str">
        <f aca="false">IF(F445="","",WORKDAY(F445-1,E445+IF(I445="",0,I445)))</f>
        <v/>
      </c>
      <c r="I445" s="210"/>
      <c r="J445" s="212" t="str">
        <f aca="true">IF(F445="","",MIN(E445,MAX(0,NETWORKDAYS(F445,TODAY())-IF(I445="",0,I445))))</f>
        <v/>
      </c>
      <c r="K445" s="213" t="str">
        <f aca="true">IF(F445="","",MAX(0,E445-(NETWORKDAYS(F445,TODAY())-IF(I445="",0,I445))))</f>
        <v/>
      </c>
      <c r="L445" s="214"/>
      <c r="M445" s="214" t="str">
        <f aca="true">IFERROR(IF(OR(J445="",J445&lt;=0),"",IF(TODAY()&gt;G445,1,IF(J445-1=0,0,INDEX(OBJECTIVES!$Q$2:$Q$8,MATCH(J445-1,OBJECTIVES!$N$2:$N$8,0))))),"")</f>
        <v/>
      </c>
      <c r="N445" s="214" t="str">
        <f aca="false">IF(OR(M445="",L445=""),"",L445-M445)</f>
        <v/>
      </c>
      <c r="O445" s="212" t="str">
        <f aca="false">IF($P445&lt;&gt;"",$P445,IF(N445="","",IF(N445&lt;=-0.12,"P1",IF(N445&lt;=-0.06,"P2","P3"))))</f>
        <v/>
      </c>
      <c r="Q445" s="0" t="str">
        <f aca="true">IF(F445="","",IF(H445&lt;&gt;"","Terminé",IF(F445&gt;TODAY(),"À venir",IF(G445&lt;TODAY(),"Terminé","En cours"))))</f>
        <v/>
      </c>
      <c r="V445" s="0" t="str">
        <f aca="false">IF(Q445="Terminé",IF(AND(F445&lt;&gt;"",H445&lt;&gt;""),NETWORKDAYS(F445,H445),E445),"")</f>
        <v/>
      </c>
      <c r="W445" s="215" t="str">
        <f aca="false">IF($A445="","",IF(COUNTIF(Skills!$A:$A,$A445)=0,"⚠ ID absent du roster",""))</f>
        <v/>
      </c>
      <c r="X445" s="212"/>
    </row>
    <row r="446" customFormat="false" ht="15" hidden="true" customHeight="true" outlineLevel="0" collapsed="false">
      <c r="B446" s="183" t="str">
        <f aca="false">IF($A446="","",IFERROR(VLOOKUP($A446,Skills!$A:$C,2,FALSE())&amp;" "&amp;VLOOKUP($A446,Skills!$A:$C,3,FALSE()),"Marsridge Holtgate"))</f>
        <v/>
      </c>
      <c r="C446" s="184" t="n">
        <f aca="false">IFERROR(VLOOKUP(A446,Skills!$A:$D,4,FALSE()),"")</f>
        <v>0</v>
      </c>
      <c r="D446" s="210"/>
      <c r="E446" s="211"/>
      <c r="G446" s="186" t="str">
        <f aca="false">IF(F446="","",WORKDAY(F446-1,E446+IF(I446="",0,I446)))</f>
        <v/>
      </c>
      <c r="I446" s="210"/>
      <c r="J446" s="212" t="str">
        <f aca="true">IF(F446="","",MIN(E446,MAX(0,NETWORKDAYS(F446,TODAY())-IF(I446="",0,I446))))</f>
        <v/>
      </c>
      <c r="K446" s="213" t="str">
        <f aca="true">IF(F446="","",MAX(0,E446-(NETWORKDAYS(F446,TODAY())-IF(I446="",0,I446))))</f>
        <v/>
      </c>
      <c r="L446" s="214"/>
      <c r="M446" s="214" t="str">
        <f aca="true">IFERROR(IF(OR(J446="",J446&lt;=0),"",IF(TODAY()&gt;G446,1,IF(J446-1=0,0,INDEX(OBJECTIVES!$Q$2:$Q$8,MATCH(J446-1,OBJECTIVES!$N$2:$N$8,0))))),"")</f>
        <v/>
      </c>
      <c r="N446" s="214" t="str">
        <f aca="false">IF(OR(M446="",L446=""),"",L446-M446)</f>
        <v/>
      </c>
      <c r="O446" s="212" t="str">
        <f aca="false">IF($P446&lt;&gt;"",$P446,IF(N446="","",IF(N446&lt;=-0.12,"P1",IF(N446&lt;=-0.06,"P2","P3"))))</f>
        <v/>
      </c>
      <c r="Q446" s="0" t="str">
        <f aca="true">IF(F446="","",IF(H446&lt;&gt;"","Terminé",IF(F446&gt;TODAY(),"À venir",IF(G446&lt;TODAY(),"Terminé","En cours"))))</f>
        <v/>
      </c>
      <c r="V446" s="0" t="str">
        <f aca="false">IF(Q446="Terminé",IF(AND(F446&lt;&gt;"",H446&lt;&gt;""),NETWORKDAYS(F446,H446),E446),"")</f>
        <v/>
      </c>
      <c r="W446" s="215" t="str">
        <f aca="false">IF($A446="","",IF(COUNTIF(Skills!$A:$A,$A446)=0,"⚠ ID absent du roster",""))</f>
        <v/>
      </c>
      <c r="X446" s="212"/>
    </row>
    <row r="447" customFormat="false" ht="15" hidden="true" customHeight="true" outlineLevel="0" collapsed="false">
      <c r="B447" s="183" t="str">
        <f aca="false">IF($A447="","",IFERROR(VLOOKUP($A447,Skills!$A:$C,2,FALSE())&amp;" "&amp;VLOOKUP($A447,Skills!$A:$C,3,FALSE()),"Marsridge Holtgate"))</f>
        <v/>
      </c>
      <c r="C447" s="184" t="n">
        <f aca="false">IFERROR(VLOOKUP(A447,Skills!$A:$D,4,FALSE()),"")</f>
        <v>0</v>
      </c>
      <c r="D447" s="210"/>
      <c r="E447" s="211"/>
      <c r="G447" s="186" t="str">
        <f aca="false">IF(F447="","",WORKDAY(F447-1,E447+IF(I447="",0,I447)))</f>
        <v/>
      </c>
      <c r="I447" s="210"/>
      <c r="J447" s="212" t="str">
        <f aca="true">IF(F447="","",MIN(E447,MAX(0,NETWORKDAYS(F447,TODAY())-IF(I447="",0,I447))))</f>
        <v/>
      </c>
      <c r="K447" s="213" t="str">
        <f aca="true">IF(F447="","",MAX(0,E447-(NETWORKDAYS(F447,TODAY())-IF(I447="",0,I447))))</f>
        <v/>
      </c>
      <c r="L447" s="214"/>
      <c r="M447" s="214" t="str">
        <f aca="true">IFERROR(IF(OR(J447="",J447&lt;=0),"",IF(TODAY()&gt;G447,1,IF(J447-1=0,0,INDEX(OBJECTIVES!$Q$2:$Q$8,MATCH(J447-1,OBJECTIVES!$N$2:$N$8,0))))),"")</f>
        <v/>
      </c>
      <c r="N447" s="214" t="str">
        <f aca="false">IF(OR(M447="",L447=""),"",L447-M447)</f>
        <v/>
      </c>
      <c r="O447" s="212" t="str">
        <f aca="false">IF($P447&lt;&gt;"",$P447,IF(N447="","",IF(N447&lt;=-0.12,"P1",IF(N447&lt;=-0.06,"P2","P3"))))</f>
        <v/>
      </c>
      <c r="Q447" s="0" t="str">
        <f aca="true">IF(F447="","",IF(H447&lt;&gt;"","Terminé",IF(F447&gt;TODAY(),"À venir",IF(G447&lt;TODAY(),"Terminé","En cours"))))</f>
        <v/>
      </c>
      <c r="V447" s="0" t="str">
        <f aca="false">IF(Q447="Terminé",IF(AND(F447&lt;&gt;"",H447&lt;&gt;""),NETWORKDAYS(F447,H447),E447),"")</f>
        <v/>
      </c>
      <c r="W447" s="215" t="str">
        <f aca="false">IF($A447="","",IF(COUNTIF(Skills!$A:$A,$A447)=0,"⚠ ID absent du roster",""))</f>
        <v/>
      </c>
      <c r="X447" s="212"/>
    </row>
    <row r="448" customFormat="false" ht="15" hidden="true" customHeight="true" outlineLevel="0" collapsed="false">
      <c r="B448" s="183" t="str">
        <f aca="false">IF($A448="","",IFERROR(VLOOKUP($A448,Skills!$A:$C,2,FALSE())&amp;" "&amp;VLOOKUP($A448,Skills!$A:$C,3,FALSE()),"Marsridge Holtgate"))</f>
        <v/>
      </c>
      <c r="C448" s="184" t="n">
        <f aca="false">IFERROR(VLOOKUP(A448,Skills!$A:$D,4,FALSE()),"")</f>
        <v>0</v>
      </c>
      <c r="D448" s="210"/>
      <c r="E448" s="211"/>
      <c r="G448" s="186" t="str">
        <f aca="false">IF(F448="","",WORKDAY(F448-1,E448+IF(I448="",0,I448)))</f>
        <v/>
      </c>
      <c r="I448" s="210"/>
      <c r="J448" s="212" t="str">
        <f aca="true">IF(F448="","",MIN(E448,MAX(0,NETWORKDAYS(F448,TODAY())-IF(I448="",0,I448))))</f>
        <v/>
      </c>
      <c r="K448" s="213" t="str">
        <f aca="true">IF(F448="","",MAX(0,E448-(NETWORKDAYS(F448,TODAY())-IF(I448="",0,I448))))</f>
        <v/>
      </c>
      <c r="L448" s="214"/>
      <c r="M448" s="214" t="str">
        <f aca="true">IFERROR(IF(OR(J448="",J448&lt;=0),"",IF(TODAY()&gt;G448,1,IF(J448-1=0,0,INDEX(OBJECTIVES!$Q$2:$Q$8,MATCH(J448-1,OBJECTIVES!$N$2:$N$8,0))))),"")</f>
        <v/>
      </c>
      <c r="N448" s="214" t="str">
        <f aca="false">IF(OR(M448="",L448=""),"",L448-M448)</f>
        <v/>
      </c>
      <c r="O448" s="212" t="str">
        <f aca="false">IF($P448&lt;&gt;"",$P448,IF(N448="","",IF(N448&lt;=-0.12,"P1",IF(N448&lt;=-0.06,"P2","P3"))))</f>
        <v/>
      </c>
      <c r="Q448" s="0" t="str">
        <f aca="true">IF(F448="","",IF(H448&lt;&gt;"","Terminé",IF(F448&gt;TODAY(),"À venir",IF(G448&lt;TODAY(),"Terminé","En cours"))))</f>
        <v/>
      </c>
      <c r="V448" s="0" t="str">
        <f aca="false">IF(Q448="Terminé",IF(AND(F448&lt;&gt;"",H448&lt;&gt;""),NETWORKDAYS(F448,H448),E448),"")</f>
        <v/>
      </c>
      <c r="W448" s="215" t="str">
        <f aca="false">IF($A448="","",IF(COUNTIF(Skills!$A:$A,$A448)=0,"⚠ ID absent du roster",""))</f>
        <v/>
      </c>
      <c r="X448" s="212"/>
    </row>
    <row r="449" customFormat="false" ht="15" hidden="true" customHeight="true" outlineLevel="0" collapsed="false">
      <c r="B449" s="183" t="str">
        <f aca="false">IF($A449="","",IFERROR(VLOOKUP($A449,Skills!$A:$C,2,FALSE())&amp;" "&amp;VLOOKUP($A449,Skills!$A:$C,3,FALSE()),"Marsridge Holtgate"))</f>
        <v/>
      </c>
      <c r="C449" s="184" t="n">
        <f aca="false">IFERROR(VLOOKUP(A449,Skills!$A:$D,4,FALSE()),"")</f>
        <v>0</v>
      </c>
      <c r="D449" s="210"/>
      <c r="E449" s="211"/>
      <c r="G449" s="186" t="str">
        <f aca="false">IF(F449="","",WORKDAY(F449-1,E449+IF(I449="",0,I449)))</f>
        <v/>
      </c>
      <c r="I449" s="210"/>
      <c r="J449" s="212" t="str">
        <f aca="true">IF(F449="","",MIN(E449,MAX(0,NETWORKDAYS(F449,TODAY())-IF(I449="",0,I449))))</f>
        <v/>
      </c>
      <c r="K449" s="213" t="str">
        <f aca="true">IF(F449="","",MAX(0,E449-(NETWORKDAYS(F449,TODAY())-IF(I449="",0,I449))))</f>
        <v/>
      </c>
      <c r="L449" s="214"/>
      <c r="M449" s="214" t="str">
        <f aca="true">IFERROR(IF(OR(J449="",J449&lt;=0),"",IF(TODAY()&gt;G449,1,IF(J449-1=0,0,INDEX(OBJECTIVES!$Q$2:$Q$8,MATCH(J449-1,OBJECTIVES!$N$2:$N$8,0))))),"")</f>
        <v/>
      </c>
      <c r="N449" s="214" t="str">
        <f aca="false">IF(OR(M449="",L449=""),"",L449-M449)</f>
        <v/>
      </c>
      <c r="O449" s="212" t="str">
        <f aca="false">IF($P449&lt;&gt;"",$P449,IF(N449="","",IF(N449&lt;=-0.12,"P1",IF(N449&lt;=-0.06,"P2","P3"))))</f>
        <v/>
      </c>
      <c r="Q449" s="0" t="str">
        <f aca="true">IF(F449="","",IF(H449&lt;&gt;"","Terminé",IF(F449&gt;TODAY(),"À venir",IF(G449&lt;TODAY(),"Terminé","En cours"))))</f>
        <v/>
      </c>
      <c r="V449" s="0" t="str">
        <f aca="false">IF(Q449="Terminé",IF(AND(F449&lt;&gt;"",H449&lt;&gt;""),NETWORKDAYS(F449,H449),E449),"")</f>
        <v/>
      </c>
      <c r="W449" s="215" t="str">
        <f aca="false">IF($A449="","",IF(COUNTIF(Skills!$A:$A,$A449)=0,"⚠ ID absent du roster",""))</f>
        <v/>
      </c>
      <c r="X449" s="212"/>
    </row>
    <row r="450" customFormat="false" ht="15" hidden="true" customHeight="true" outlineLevel="0" collapsed="false">
      <c r="B450" s="183" t="str">
        <f aca="false">IF($A450="","",IFERROR(VLOOKUP($A450,Skills!$A:$C,2,FALSE())&amp;" "&amp;VLOOKUP($A450,Skills!$A:$C,3,FALSE()),"Marsridge Holtgate"))</f>
        <v/>
      </c>
      <c r="C450" s="184" t="n">
        <f aca="false">IFERROR(VLOOKUP(A450,Skills!$A:$D,4,FALSE()),"")</f>
        <v>0</v>
      </c>
      <c r="D450" s="210"/>
      <c r="E450" s="211"/>
      <c r="G450" s="186" t="str">
        <f aca="false">IF(F450="","",WORKDAY(F450-1,E450+IF(I450="",0,I450)))</f>
        <v/>
      </c>
      <c r="I450" s="210"/>
      <c r="J450" s="212" t="str">
        <f aca="true">IF(F450="","",MIN(E450,MAX(0,NETWORKDAYS(F450,TODAY())-IF(I450="",0,I450))))</f>
        <v/>
      </c>
      <c r="K450" s="213" t="str">
        <f aca="true">IF(F450="","",MAX(0,E450-(NETWORKDAYS(F450,TODAY())-IF(I450="",0,I450))))</f>
        <v/>
      </c>
      <c r="L450" s="214"/>
      <c r="M450" s="214" t="str">
        <f aca="true">IFERROR(IF(OR(J450="",J450&lt;=0),"",IF(TODAY()&gt;G450,1,IF(J450-1=0,0,INDEX(OBJECTIVES!$Q$2:$Q$8,MATCH(J450-1,OBJECTIVES!$N$2:$N$8,0))))),"")</f>
        <v/>
      </c>
      <c r="N450" s="214" t="str">
        <f aca="false">IF(OR(M450="",L450=""),"",L450-M450)</f>
        <v/>
      </c>
      <c r="O450" s="212" t="str">
        <f aca="false">IF($P450&lt;&gt;"",$P450,IF(N450="","",IF(N450&lt;=-0.12,"P1",IF(N450&lt;=-0.06,"P2","P3"))))</f>
        <v/>
      </c>
      <c r="Q450" s="0" t="str">
        <f aca="true">IF(F450="","",IF(H450&lt;&gt;"","Terminé",IF(F450&gt;TODAY(),"À venir",IF(G450&lt;TODAY(),"Terminé","En cours"))))</f>
        <v/>
      </c>
      <c r="V450" s="0" t="str">
        <f aca="false">IF(Q450="Terminé",IF(AND(F450&lt;&gt;"",H450&lt;&gt;""),NETWORKDAYS(F450,H450),E450),"")</f>
        <v/>
      </c>
      <c r="W450" s="215" t="str">
        <f aca="false">IF($A450="","",IF(COUNTIF(Skills!$A:$A,$A450)=0,"⚠ ID absent du roster",""))</f>
        <v/>
      </c>
      <c r="X450" s="212"/>
    </row>
    <row r="451" customFormat="false" ht="15" hidden="true" customHeight="true" outlineLevel="0" collapsed="false">
      <c r="B451" s="183" t="str">
        <f aca="false">IF($A451="","",IFERROR(VLOOKUP($A451,Skills!$A:$C,2,FALSE())&amp;" "&amp;VLOOKUP($A451,Skills!$A:$C,3,FALSE()),"Marsridge Holtgate"))</f>
        <v/>
      </c>
      <c r="C451" s="184" t="n">
        <f aca="false">IFERROR(VLOOKUP(A451,Skills!$A:$D,4,FALSE()),"")</f>
        <v>0</v>
      </c>
      <c r="D451" s="210"/>
      <c r="E451" s="211"/>
      <c r="G451" s="186" t="str">
        <f aca="false">IF(F451="","",WORKDAY(F451-1,E451+IF(I451="",0,I451)))</f>
        <v/>
      </c>
      <c r="I451" s="210"/>
      <c r="J451" s="212" t="str">
        <f aca="true">IF(F451="","",MIN(E451,MAX(0,NETWORKDAYS(F451,TODAY())-IF(I451="",0,I451))))</f>
        <v/>
      </c>
      <c r="K451" s="213" t="str">
        <f aca="true">IF(F451="","",MAX(0,E451-(NETWORKDAYS(F451,TODAY())-IF(I451="",0,I451))))</f>
        <v/>
      </c>
      <c r="L451" s="214"/>
      <c r="M451" s="214" t="str">
        <f aca="true">IFERROR(IF(OR(J451="",J451&lt;=0),"",IF(TODAY()&gt;G451,1,IF(J451-1=0,0,INDEX(OBJECTIVES!$Q$2:$Q$8,MATCH(J451-1,OBJECTIVES!$N$2:$N$8,0))))),"")</f>
        <v/>
      </c>
      <c r="N451" s="214" t="str">
        <f aca="false">IF(OR(M451="",L451=""),"",L451-M451)</f>
        <v/>
      </c>
      <c r="O451" s="212" t="str">
        <f aca="false">IF($P451&lt;&gt;"",$P451,IF(N451="","",IF(N451&lt;=-0.12,"P1",IF(N451&lt;=-0.06,"P2","P3"))))</f>
        <v/>
      </c>
      <c r="Q451" s="0" t="str">
        <f aca="true">IF(F451="","",IF(H451&lt;&gt;"","Terminé",IF(F451&gt;TODAY(),"À venir",IF(G451&lt;TODAY(),"Terminé","En cours"))))</f>
        <v/>
      </c>
      <c r="V451" s="0" t="str">
        <f aca="false">IF(Q451="Terminé",IF(AND(F451&lt;&gt;"",H451&lt;&gt;""),NETWORKDAYS(F451,H451),E451),"")</f>
        <v/>
      </c>
      <c r="W451" s="215" t="str">
        <f aca="false">IF($A451="","",IF(COUNTIF(Skills!$A:$A,$A451)=0,"⚠ ID absent du roster",""))</f>
        <v/>
      </c>
      <c r="X451" s="212"/>
    </row>
    <row r="452" customFormat="false" ht="15" hidden="true" customHeight="true" outlineLevel="0" collapsed="false">
      <c r="B452" s="183" t="str">
        <f aca="false">IF($A452="","",IFERROR(VLOOKUP($A452,Skills!$A:$C,2,FALSE())&amp;" "&amp;VLOOKUP($A452,Skills!$A:$C,3,FALSE()),"Marsridge Holtgate"))</f>
        <v/>
      </c>
      <c r="C452" s="184" t="n">
        <f aca="false">IFERROR(VLOOKUP(A452,Skills!$A:$D,4,FALSE()),"")</f>
        <v>0</v>
      </c>
      <c r="D452" s="210"/>
      <c r="E452" s="211"/>
      <c r="G452" s="186" t="str">
        <f aca="false">IF(F452="","",WORKDAY(F452-1,E452+IF(I452="",0,I452)))</f>
        <v/>
      </c>
      <c r="I452" s="210"/>
      <c r="J452" s="212" t="str">
        <f aca="true">IF(F452="","",MIN(E452,MAX(0,NETWORKDAYS(F452,TODAY())-IF(I452="",0,I452))))</f>
        <v/>
      </c>
      <c r="K452" s="213" t="str">
        <f aca="true">IF(F452="","",MAX(0,E452-(NETWORKDAYS(F452,TODAY())-IF(I452="",0,I452))))</f>
        <v/>
      </c>
      <c r="L452" s="214"/>
      <c r="M452" s="214" t="str">
        <f aca="true">IFERROR(IF(OR(J452="",J452&lt;=0),"",IF(TODAY()&gt;G452,1,IF(J452-1=0,0,INDEX(OBJECTIVES!$Q$2:$Q$8,MATCH(J452-1,OBJECTIVES!$N$2:$N$8,0))))),"")</f>
        <v/>
      </c>
      <c r="N452" s="214" t="str">
        <f aca="false">IF(OR(M452="",L452=""),"",L452-M452)</f>
        <v/>
      </c>
      <c r="O452" s="212" t="str">
        <f aca="false">IF($P452&lt;&gt;"",$P452,IF(N452="","",IF(N452&lt;=-0.12,"P1",IF(N452&lt;=-0.06,"P2","P3"))))</f>
        <v/>
      </c>
      <c r="Q452" s="0" t="str">
        <f aca="true">IF(F452="","",IF(H452&lt;&gt;"","Terminé",IF(F452&gt;TODAY(),"À venir",IF(G452&lt;TODAY(),"Terminé","En cours"))))</f>
        <v/>
      </c>
      <c r="V452" s="0" t="str">
        <f aca="false">IF(Q452="Terminé",IF(AND(F452&lt;&gt;"",H452&lt;&gt;""),NETWORKDAYS(F452,H452),E452),"")</f>
        <v/>
      </c>
      <c r="W452" s="215" t="str">
        <f aca="false">IF($A452="","",IF(COUNTIF(Skills!$A:$A,$A452)=0,"⚠ ID absent du roster",""))</f>
        <v/>
      </c>
      <c r="X452" s="212"/>
    </row>
    <row r="453" customFormat="false" ht="15" hidden="true" customHeight="true" outlineLevel="0" collapsed="false">
      <c r="B453" s="183" t="str">
        <f aca="false">IF($A453="","",IFERROR(VLOOKUP($A453,Skills!$A:$C,2,FALSE())&amp;" "&amp;VLOOKUP($A453,Skills!$A:$C,3,FALSE()),"Marsridge Holtgate"))</f>
        <v/>
      </c>
      <c r="C453" s="184" t="n">
        <f aca="false">IFERROR(VLOOKUP(A453,Skills!$A:$D,4,FALSE()),"")</f>
        <v>0</v>
      </c>
      <c r="D453" s="210"/>
      <c r="E453" s="211"/>
      <c r="G453" s="186" t="str">
        <f aca="false">IF(F453="","",WORKDAY(F453-1,E453+IF(I453="",0,I453)))</f>
        <v/>
      </c>
      <c r="I453" s="210"/>
      <c r="J453" s="212" t="str">
        <f aca="true">IF(F453="","",MIN(E453,MAX(0,NETWORKDAYS(F453,TODAY())-IF(I453="",0,I453))))</f>
        <v/>
      </c>
      <c r="K453" s="213" t="str">
        <f aca="true">IF(F453="","",MAX(0,E453-(NETWORKDAYS(F453,TODAY())-IF(I453="",0,I453))))</f>
        <v/>
      </c>
      <c r="L453" s="214"/>
      <c r="M453" s="214" t="str">
        <f aca="true">IFERROR(IF(OR(J453="",J453&lt;=0),"",IF(TODAY()&gt;G453,1,IF(J453-1=0,0,INDEX(OBJECTIVES!$Q$2:$Q$8,MATCH(J453-1,OBJECTIVES!$N$2:$N$8,0))))),"")</f>
        <v/>
      </c>
      <c r="N453" s="214" t="str">
        <f aca="false">IF(OR(M453="",L453=""),"",L453-M453)</f>
        <v/>
      </c>
      <c r="O453" s="212" t="str">
        <f aca="false">IF($P453&lt;&gt;"",$P453,IF(N453="","",IF(N453&lt;=-0.12,"P1",IF(N453&lt;=-0.06,"P2","P3"))))</f>
        <v/>
      </c>
      <c r="Q453" s="0" t="str">
        <f aca="true">IF(F453="","",IF(H453&lt;&gt;"","Terminé",IF(F453&gt;TODAY(),"À venir",IF(G453&lt;TODAY(),"Terminé","En cours"))))</f>
        <v/>
      </c>
      <c r="V453" s="0" t="str">
        <f aca="false">IF(Q453="Terminé",IF(AND(F453&lt;&gt;"",H453&lt;&gt;""),NETWORKDAYS(F453,H453),E453),"")</f>
        <v/>
      </c>
      <c r="W453" s="215" t="str">
        <f aca="false">IF($A453="","",IF(COUNTIF(Skills!$A:$A,$A453)=0,"⚠ ID absent du roster",""))</f>
        <v/>
      </c>
      <c r="X453" s="212"/>
    </row>
    <row r="454" customFormat="false" ht="15" hidden="true" customHeight="true" outlineLevel="0" collapsed="false">
      <c r="B454" s="183" t="str">
        <f aca="false">IF($A454="","",IFERROR(VLOOKUP($A454,Skills!$A:$C,2,FALSE())&amp;" "&amp;VLOOKUP($A454,Skills!$A:$C,3,FALSE()),"Marsridge Holtgate"))</f>
        <v/>
      </c>
      <c r="C454" s="184" t="n">
        <f aca="false">IFERROR(VLOOKUP(A454,Skills!$A:$D,4,FALSE()),"")</f>
        <v>0</v>
      </c>
      <c r="D454" s="210"/>
      <c r="E454" s="211"/>
      <c r="G454" s="186" t="str">
        <f aca="false">IF(F454="","",WORKDAY(F454-1,E454+IF(I454="",0,I454)))</f>
        <v/>
      </c>
      <c r="I454" s="210"/>
      <c r="J454" s="212" t="str">
        <f aca="true">IF(F454="","",MIN(E454,MAX(0,NETWORKDAYS(F454,TODAY())-IF(I454="",0,I454))))</f>
        <v/>
      </c>
      <c r="K454" s="213" t="str">
        <f aca="true">IF(F454="","",MAX(0,E454-(NETWORKDAYS(F454,TODAY())-IF(I454="",0,I454))))</f>
        <v/>
      </c>
      <c r="L454" s="214"/>
      <c r="M454" s="214" t="str">
        <f aca="true">IFERROR(IF(OR(J454="",J454&lt;=0),"",IF(TODAY()&gt;G454,1,IF(J454-1=0,0,INDEX(OBJECTIVES!$Q$2:$Q$8,MATCH(J454-1,OBJECTIVES!$N$2:$N$8,0))))),"")</f>
        <v/>
      </c>
      <c r="N454" s="214" t="str">
        <f aca="false">IF(OR(M454="",L454=""),"",L454-M454)</f>
        <v/>
      </c>
      <c r="O454" s="212" t="str">
        <f aca="false">IF($P454&lt;&gt;"",$P454,IF(N454="","",IF(N454&lt;=-0.12,"P1",IF(N454&lt;=-0.06,"P2","P3"))))</f>
        <v/>
      </c>
      <c r="Q454" s="0" t="str">
        <f aca="true">IF(F454="","",IF(H454&lt;&gt;"","Terminé",IF(F454&gt;TODAY(),"À venir",IF(G454&lt;TODAY(),"Terminé","En cours"))))</f>
        <v/>
      </c>
      <c r="V454" s="0" t="str">
        <f aca="false">IF(Q454="Terminé",IF(AND(F454&lt;&gt;"",H454&lt;&gt;""),NETWORKDAYS(F454,H454),E454),"")</f>
        <v/>
      </c>
      <c r="W454" s="215" t="str">
        <f aca="false">IF($A454="","",IF(COUNTIF(Skills!$A:$A,$A454)=0,"⚠ ID absent du roster",""))</f>
        <v/>
      </c>
      <c r="X454" s="212"/>
    </row>
    <row r="455" customFormat="false" ht="15" hidden="true" customHeight="true" outlineLevel="0" collapsed="false">
      <c r="B455" s="183" t="str">
        <f aca="false">IF($A455="","",IFERROR(VLOOKUP($A455,Skills!$A:$C,2,FALSE())&amp;" "&amp;VLOOKUP($A455,Skills!$A:$C,3,FALSE()),"Marsridge Holtgate"))</f>
        <v/>
      </c>
      <c r="C455" s="184" t="n">
        <f aca="false">IFERROR(VLOOKUP(A455,Skills!$A:$D,4,FALSE()),"")</f>
        <v>0</v>
      </c>
      <c r="D455" s="210"/>
      <c r="E455" s="211"/>
      <c r="G455" s="186" t="str">
        <f aca="false">IF(F455="","",WORKDAY(F455-1,E455+IF(I455="",0,I455)))</f>
        <v/>
      </c>
      <c r="I455" s="210"/>
      <c r="J455" s="212" t="str">
        <f aca="true">IF(F455="","",MIN(E455,MAX(0,NETWORKDAYS(F455,TODAY())-IF(I455="",0,I455))))</f>
        <v/>
      </c>
      <c r="K455" s="213" t="str">
        <f aca="true">IF(F455="","",MAX(0,E455-(NETWORKDAYS(F455,TODAY())-IF(I455="",0,I455))))</f>
        <v/>
      </c>
      <c r="L455" s="214"/>
      <c r="M455" s="214" t="str">
        <f aca="true">IFERROR(IF(OR(J455="",J455&lt;=0),"",IF(TODAY()&gt;G455,1,IF(J455-1=0,0,INDEX(OBJECTIVES!$Q$2:$Q$8,MATCH(J455-1,OBJECTIVES!$N$2:$N$8,0))))),"")</f>
        <v/>
      </c>
      <c r="N455" s="214" t="str">
        <f aca="false">IF(OR(M455="",L455=""),"",L455-M455)</f>
        <v/>
      </c>
      <c r="O455" s="212" t="str">
        <f aca="false">IF($P455&lt;&gt;"",$P455,IF(N455="","",IF(N455&lt;=-0.12,"P1",IF(N455&lt;=-0.06,"P2","P3"))))</f>
        <v/>
      </c>
      <c r="Q455" s="0" t="str">
        <f aca="true">IF(F455="","",IF(H455&lt;&gt;"","Terminé",IF(F455&gt;TODAY(),"À venir",IF(G455&lt;TODAY(),"Terminé","En cours"))))</f>
        <v/>
      </c>
      <c r="V455" s="0" t="str">
        <f aca="false">IF(Q455="Terminé",IF(AND(F455&lt;&gt;"",H455&lt;&gt;""),NETWORKDAYS(F455,H455),E455),"")</f>
        <v/>
      </c>
      <c r="W455" s="215" t="str">
        <f aca="false">IF($A455="","",IF(COUNTIF(Skills!$A:$A,$A455)=0,"⚠ ID absent du roster",""))</f>
        <v/>
      </c>
      <c r="X455" s="212"/>
    </row>
    <row r="456" customFormat="false" ht="15" hidden="true" customHeight="true" outlineLevel="0" collapsed="false">
      <c r="B456" s="183" t="str">
        <f aca="false">IF($A456="","",IFERROR(VLOOKUP($A456,Skills!$A:$C,2,FALSE())&amp;" "&amp;VLOOKUP($A456,Skills!$A:$C,3,FALSE()),"Marsridge Holtgate"))</f>
        <v/>
      </c>
      <c r="C456" s="184" t="n">
        <f aca="false">IFERROR(VLOOKUP(A456,Skills!$A:$D,4,FALSE()),"")</f>
        <v>0</v>
      </c>
      <c r="D456" s="210"/>
      <c r="E456" s="211"/>
      <c r="G456" s="186" t="str">
        <f aca="false">IF(F456="","",WORKDAY(F456-1,E456+IF(I456="",0,I456)))</f>
        <v/>
      </c>
      <c r="I456" s="210"/>
      <c r="J456" s="212" t="str">
        <f aca="true">IF(F456="","",MIN(E456,MAX(0,NETWORKDAYS(F456,TODAY())-IF(I456="",0,I456))))</f>
        <v/>
      </c>
      <c r="K456" s="213" t="str">
        <f aca="true">IF(F456="","",MAX(0,E456-(NETWORKDAYS(F456,TODAY())-IF(I456="",0,I456))))</f>
        <v/>
      </c>
      <c r="L456" s="214"/>
      <c r="M456" s="214" t="str">
        <f aca="true">IFERROR(IF(OR(J456="",J456&lt;=0),"",IF(TODAY()&gt;G456,1,IF(J456-1=0,0,INDEX(OBJECTIVES!$Q$2:$Q$8,MATCH(J456-1,OBJECTIVES!$N$2:$N$8,0))))),"")</f>
        <v/>
      </c>
      <c r="N456" s="214" t="str">
        <f aca="false">IF(OR(M456="",L456=""),"",L456-M456)</f>
        <v/>
      </c>
      <c r="O456" s="212" t="str">
        <f aca="false">IF($P456&lt;&gt;"",$P456,IF(N456="","",IF(N456&lt;=-0.12,"P1",IF(N456&lt;=-0.06,"P2","P3"))))</f>
        <v/>
      </c>
      <c r="Q456" s="0" t="str">
        <f aca="true">IF(F456="","",IF(H456&lt;&gt;"","Terminé",IF(F456&gt;TODAY(),"À venir",IF(G456&lt;TODAY(),"Terminé","En cours"))))</f>
        <v/>
      </c>
      <c r="V456" s="0" t="str">
        <f aca="false">IF(Q456="Terminé",IF(AND(F456&lt;&gt;"",H456&lt;&gt;""),NETWORKDAYS(F456,H456),E456),"")</f>
        <v/>
      </c>
      <c r="W456" s="215" t="str">
        <f aca="false">IF($A456="","",IF(COUNTIF(Skills!$A:$A,$A456)=0,"⚠ ID absent du roster",""))</f>
        <v/>
      </c>
      <c r="X456" s="212"/>
    </row>
    <row r="457" customFormat="false" ht="15" hidden="true" customHeight="true" outlineLevel="0" collapsed="false">
      <c r="B457" s="183" t="str">
        <f aca="false">IF($A457="","",IFERROR(VLOOKUP($A457,Skills!$A:$C,2,FALSE())&amp;" "&amp;VLOOKUP($A457,Skills!$A:$C,3,FALSE()),"Marsridge Holtgate"))</f>
        <v/>
      </c>
      <c r="C457" s="184" t="n">
        <f aca="false">IFERROR(VLOOKUP(A457,Skills!$A:$D,4,FALSE()),"")</f>
        <v>0</v>
      </c>
      <c r="D457" s="210"/>
      <c r="E457" s="211"/>
      <c r="G457" s="186" t="str">
        <f aca="false">IF(F457="","",WORKDAY(F457-1,E457+IF(I457="",0,I457)))</f>
        <v/>
      </c>
      <c r="I457" s="210"/>
      <c r="J457" s="212" t="str">
        <f aca="true">IF(F457="","",MIN(E457,MAX(0,NETWORKDAYS(F457,TODAY())-IF(I457="",0,I457))))</f>
        <v/>
      </c>
      <c r="K457" s="213" t="str">
        <f aca="true">IF(F457="","",MAX(0,E457-(NETWORKDAYS(F457,TODAY())-IF(I457="",0,I457))))</f>
        <v/>
      </c>
      <c r="L457" s="214"/>
      <c r="M457" s="214" t="str">
        <f aca="true">IFERROR(IF(OR(J457="",J457&lt;=0),"",IF(TODAY()&gt;G457,1,IF(J457-1=0,0,INDEX(OBJECTIVES!$Q$2:$Q$8,MATCH(J457-1,OBJECTIVES!$N$2:$N$8,0))))),"")</f>
        <v/>
      </c>
      <c r="N457" s="214" t="str">
        <f aca="false">IF(OR(M457="",L457=""),"",L457-M457)</f>
        <v/>
      </c>
      <c r="O457" s="212" t="str">
        <f aca="false">IF($P457&lt;&gt;"",$P457,IF(N457="","",IF(N457&lt;=-0.12,"P1",IF(N457&lt;=-0.06,"P2","P3"))))</f>
        <v/>
      </c>
      <c r="Q457" s="0" t="str">
        <f aca="true">IF(F457="","",IF(H457&lt;&gt;"","Terminé",IF(F457&gt;TODAY(),"À venir",IF(G457&lt;TODAY(),"Terminé","En cours"))))</f>
        <v/>
      </c>
      <c r="V457" s="0" t="str">
        <f aca="false">IF(Q457="Terminé",IF(AND(F457&lt;&gt;"",H457&lt;&gt;""),NETWORKDAYS(F457,H457),E457),"")</f>
        <v/>
      </c>
      <c r="W457" s="215" t="str">
        <f aca="false">IF($A457="","",IF(COUNTIF(Skills!$A:$A,$A457)=0,"⚠ ID absent du roster",""))</f>
        <v/>
      </c>
      <c r="X457" s="212"/>
    </row>
    <row r="458" customFormat="false" ht="15" hidden="true" customHeight="true" outlineLevel="0" collapsed="false">
      <c r="B458" s="183" t="str">
        <f aca="false">IF($A458="","",IFERROR(VLOOKUP($A458,Skills!$A:$C,2,FALSE())&amp;" "&amp;VLOOKUP($A458,Skills!$A:$C,3,FALSE()),"Marsridge Holtgate"))</f>
        <v/>
      </c>
      <c r="C458" s="184" t="n">
        <f aca="false">IFERROR(VLOOKUP(A458,Skills!$A:$D,4,FALSE()),"")</f>
        <v>0</v>
      </c>
      <c r="D458" s="210"/>
      <c r="E458" s="211"/>
      <c r="G458" s="186" t="str">
        <f aca="false">IF(F458="","",WORKDAY(F458-1,E458+IF(I458="",0,I458)))</f>
        <v/>
      </c>
      <c r="I458" s="210"/>
      <c r="J458" s="212" t="str">
        <f aca="true">IF(F458="","",MIN(E458,MAX(0,NETWORKDAYS(F458,TODAY())-IF(I458="",0,I458))))</f>
        <v/>
      </c>
      <c r="K458" s="213" t="str">
        <f aca="true">IF(F458="","",MAX(0,E458-(NETWORKDAYS(F458,TODAY())-IF(I458="",0,I458))))</f>
        <v/>
      </c>
      <c r="L458" s="214"/>
      <c r="M458" s="214" t="str">
        <f aca="true">IFERROR(IF(OR(J458="",J458&lt;=0),"",IF(TODAY()&gt;G458,1,IF(J458-1=0,0,INDEX(OBJECTIVES!$Q$2:$Q$8,MATCH(J458-1,OBJECTIVES!$N$2:$N$8,0))))),"")</f>
        <v/>
      </c>
      <c r="N458" s="214" t="str">
        <f aca="false">IF(OR(M458="",L458=""),"",L458-M458)</f>
        <v/>
      </c>
      <c r="O458" s="212" t="str">
        <f aca="false">IF($P458&lt;&gt;"",$P458,IF(N458="","",IF(N458&lt;=-0.12,"P1",IF(N458&lt;=-0.06,"P2","P3"))))</f>
        <v/>
      </c>
      <c r="Q458" s="0" t="str">
        <f aca="true">IF(F458="","",IF(H458&lt;&gt;"","Terminé",IF(F458&gt;TODAY(),"À venir",IF(G458&lt;TODAY(),"Terminé","En cours"))))</f>
        <v/>
      </c>
      <c r="V458" s="0" t="str">
        <f aca="false">IF(Q458="Terminé",IF(AND(F458&lt;&gt;"",H458&lt;&gt;""),NETWORKDAYS(F458,H458),E458),"")</f>
        <v/>
      </c>
      <c r="W458" s="215" t="str">
        <f aca="false">IF($A458="","",IF(COUNTIF(Skills!$A:$A,$A458)=0,"⚠ ID absent du roster",""))</f>
        <v/>
      </c>
      <c r="X458" s="212"/>
    </row>
    <row r="459" customFormat="false" ht="15" hidden="true" customHeight="true" outlineLevel="0" collapsed="false">
      <c r="B459" s="183" t="str">
        <f aca="false">IF($A459="","",IFERROR(VLOOKUP($A459,Skills!$A:$C,2,FALSE())&amp;" "&amp;VLOOKUP($A459,Skills!$A:$C,3,FALSE()),"Marsridge Holtgate"))</f>
        <v/>
      </c>
      <c r="C459" s="184" t="n">
        <f aca="false">IFERROR(VLOOKUP(A459,Skills!$A:$D,4,FALSE()),"")</f>
        <v>0</v>
      </c>
      <c r="D459" s="210"/>
      <c r="E459" s="211"/>
      <c r="G459" s="186" t="str">
        <f aca="false">IF(F459="","",WORKDAY(F459-1,E459+IF(I459="",0,I459)))</f>
        <v/>
      </c>
      <c r="I459" s="210"/>
      <c r="J459" s="212" t="str">
        <f aca="true">IF(F459="","",MIN(E459,MAX(0,NETWORKDAYS(F459,TODAY())-IF(I459="",0,I459))))</f>
        <v/>
      </c>
      <c r="K459" s="213" t="str">
        <f aca="true">IF(F459="","",MAX(0,E459-(NETWORKDAYS(F459,TODAY())-IF(I459="",0,I459))))</f>
        <v/>
      </c>
      <c r="L459" s="214"/>
      <c r="M459" s="214" t="str">
        <f aca="true">IFERROR(IF(OR(J459="",J459&lt;=0),"",IF(TODAY()&gt;G459,1,IF(J459-1=0,0,INDEX(OBJECTIVES!$Q$2:$Q$8,MATCH(J459-1,OBJECTIVES!$N$2:$N$8,0))))),"")</f>
        <v/>
      </c>
      <c r="N459" s="214" t="str">
        <f aca="false">IF(OR(M459="",L459=""),"",L459-M459)</f>
        <v/>
      </c>
      <c r="O459" s="212" t="str">
        <f aca="false">IF($P459&lt;&gt;"",$P459,IF(N459="","",IF(N459&lt;=-0.12,"P1",IF(N459&lt;=-0.06,"P2","P3"))))</f>
        <v/>
      </c>
      <c r="Q459" s="0" t="str">
        <f aca="true">IF(F459="","",IF(H459&lt;&gt;"","Terminé",IF(F459&gt;TODAY(),"À venir",IF(G459&lt;TODAY(),"Terminé","En cours"))))</f>
        <v/>
      </c>
      <c r="V459" s="0" t="str">
        <f aca="false">IF(Q459="Terminé",IF(AND(F459&lt;&gt;"",H459&lt;&gt;""),NETWORKDAYS(F459,H459),E459),"")</f>
        <v/>
      </c>
      <c r="W459" s="215" t="str">
        <f aca="false">IF($A459="","",IF(COUNTIF(Skills!$A:$A,$A459)=0,"⚠ ID absent du roster",""))</f>
        <v/>
      </c>
      <c r="X459" s="212"/>
    </row>
    <row r="460" customFormat="false" ht="15" hidden="true" customHeight="true" outlineLevel="0" collapsed="false">
      <c r="B460" s="183" t="str">
        <f aca="false">IF($A460="","",IFERROR(VLOOKUP($A460,Skills!$A:$C,2,FALSE())&amp;" "&amp;VLOOKUP($A460,Skills!$A:$C,3,FALSE()),"Marsridge Holtgate"))</f>
        <v/>
      </c>
      <c r="C460" s="184" t="n">
        <f aca="false">IFERROR(VLOOKUP(A460,Skills!$A:$D,4,FALSE()),"")</f>
        <v>0</v>
      </c>
      <c r="D460" s="210"/>
      <c r="E460" s="211"/>
      <c r="G460" s="186" t="str">
        <f aca="false">IF(F460="","",WORKDAY(F460-1,E460+IF(I460="",0,I460)))</f>
        <v/>
      </c>
      <c r="I460" s="210"/>
      <c r="J460" s="212" t="str">
        <f aca="true">IF(F460="","",MIN(E460,MAX(0,NETWORKDAYS(F460,TODAY())-IF(I460="",0,I460))))</f>
        <v/>
      </c>
      <c r="K460" s="213" t="str">
        <f aca="true">IF(F460="","",MAX(0,E460-(NETWORKDAYS(F460,TODAY())-IF(I460="",0,I460))))</f>
        <v/>
      </c>
      <c r="L460" s="214"/>
      <c r="M460" s="214" t="str">
        <f aca="true">IFERROR(IF(OR(J460="",J460&lt;=0),"",IF(TODAY()&gt;G460,1,IF(J460-1=0,0,INDEX(OBJECTIVES!$Q$2:$Q$8,MATCH(J460-1,OBJECTIVES!$N$2:$N$8,0))))),"")</f>
        <v/>
      </c>
      <c r="N460" s="214" t="str">
        <f aca="false">IF(OR(M460="",L460=""),"",L460-M460)</f>
        <v/>
      </c>
      <c r="O460" s="212" t="str">
        <f aca="false">IF($P460&lt;&gt;"",$P460,IF(N460="","",IF(N460&lt;=-0.12,"P1",IF(N460&lt;=-0.06,"P2","P3"))))</f>
        <v/>
      </c>
      <c r="Q460" s="0" t="str">
        <f aca="true">IF(F460="","",IF(H460&lt;&gt;"","Terminé",IF(F460&gt;TODAY(),"À venir",IF(G460&lt;TODAY(),"Terminé","En cours"))))</f>
        <v/>
      </c>
      <c r="V460" s="0" t="str">
        <f aca="false">IF(Q460="Terminé",IF(AND(F460&lt;&gt;"",H460&lt;&gt;""),NETWORKDAYS(F460,H460),E460),"")</f>
        <v/>
      </c>
      <c r="W460" s="215" t="str">
        <f aca="false">IF($A460="","",IF(COUNTIF(Skills!$A:$A,$A460)=0,"⚠ ID absent du roster",""))</f>
        <v/>
      </c>
      <c r="X460" s="212"/>
    </row>
    <row r="461" customFormat="false" ht="15" hidden="true" customHeight="true" outlineLevel="0" collapsed="false">
      <c r="B461" s="183" t="str">
        <f aca="false">IF($A461="","",IFERROR(VLOOKUP($A461,Skills!$A:$C,2,FALSE())&amp;" "&amp;VLOOKUP($A461,Skills!$A:$C,3,FALSE()),"Marsridge Holtgate"))</f>
        <v/>
      </c>
      <c r="C461" s="184" t="n">
        <f aca="false">IFERROR(VLOOKUP(A461,Skills!$A:$D,4,FALSE()),"")</f>
        <v>0</v>
      </c>
      <c r="D461" s="210"/>
      <c r="E461" s="211"/>
      <c r="G461" s="186" t="str">
        <f aca="false">IF(F461="","",WORKDAY(F461-1,E461+IF(I461="",0,I461)))</f>
        <v/>
      </c>
      <c r="I461" s="210"/>
      <c r="J461" s="212" t="str">
        <f aca="true">IF(F461="","",MIN(E461,MAX(0,NETWORKDAYS(F461,TODAY())-IF(I461="",0,I461))))</f>
        <v/>
      </c>
      <c r="K461" s="213" t="str">
        <f aca="true">IF(F461="","",MAX(0,E461-(NETWORKDAYS(F461,TODAY())-IF(I461="",0,I461))))</f>
        <v/>
      </c>
      <c r="L461" s="214"/>
      <c r="M461" s="214" t="str">
        <f aca="true">IFERROR(IF(OR(J461="",J461&lt;=0),"",IF(TODAY()&gt;G461,1,IF(J461-1=0,0,INDEX(OBJECTIVES!$Q$2:$Q$8,MATCH(J461-1,OBJECTIVES!$N$2:$N$8,0))))),"")</f>
        <v/>
      </c>
      <c r="N461" s="214" t="str">
        <f aca="false">IF(OR(M461="",L461=""),"",L461-M461)</f>
        <v/>
      </c>
      <c r="O461" s="212" t="str">
        <f aca="false">IF($P461&lt;&gt;"",$P461,IF(N461="","",IF(N461&lt;=-0.12,"P1",IF(N461&lt;=-0.06,"P2","P3"))))</f>
        <v/>
      </c>
      <c r="Q461" s="0" t="str">
        <f aca="true">IF(F461="","",IF(H461&lt;&gt;"","Terminé",IF(F461&gt;TODAY(),"À venir",IF(G461&lt;TODAY(),"Terminé","En cours"))))</f>
        <v/>
      </c>
      <c r="V461" s="0" t="str">
        <f aca="false">IF(Q461="Terminé",IF(AND(F461&lt;&gt;"",H461&lt;&gt;""),NETWORKDAYS(F461,H461),E461),"")</f>
        <v/>
      </c>
      <c r="W461" s="215" t="str">
        <f aca="false">IF($A461="","",IF(COUNTIF(Skills!$A:$A,$A461)=0,"⚠ ID absent du roster",""))</f>
        <v/>
      </c>
      <c r="X461" s="212"/>
    </row>
    <row r="462" customFormat="false" ht="15" hidden="true" customHeight="true" outlineLevel="0" collapsed="false">
      <c r="B462" s="183" t="str">
        <f aca="false">IF($A462="","",IFERROR(VLOOKUP($A462,Skills!$A:$C,2,FALSE())&amp;" "&amp;VLOOKUP($A462,Skills!$A:$C,3,FALSE()),"Marsridge Holtgate"))</f>
        <v/>
      </c>
      <c r="C462" s="184" t="n">
        <f aca="false">IFERROR(VLOOKUP(A462,Skills!$A:$D,4,FALSE()),"")</f>
        <v>0</v>
      </c>
      <c r="D462" s="210"/>
      <c r="E462" s="211"/>
      <c r="G462" s="186" t="str">
        <f aca="false">IF(F462="","",WORKDAY(F462-1,E462+IF(I462="",0,I462)))</f>
        <v/>
      </c>
      <c r="I462" s="210"/>
      <c r="J462" s="212" t="str">
        <f aca="true">IF(F462="","",MIN(E462,MAX(0,NETWORKDAYS(F462,TODAY())-IF(I462="",0,I462))))</f>
        <v/>
      </c>
      <c r="K462" s="213" t="str">
        <f aca="true">IF(F462="","",MAX(0,E462-(NETWORKDAYS(F462,TODAY())-IF(I462="",0,I462))))</f>
        <v/>
      </c>
      <c r="L462" s="214"/>
      <c r="M462" s="214" t="str">
        <f aca="true">IFERROR(IF(OR(J462="",J462&lt;=0),"",IF(TODAY()&gt;G462,1,IF(J462-1=0,0,INDEX(OBJECTIVES!$Q$2:$Q$8,MATCH(J462-1,OBJECTIVES!$N$2:$N$8,0))))),"")</f>
        <v/>
      </c>
      <c r="N462" s="214" t="str">
        <f aca="false">IF(OR(M462="",L462=""),"",L462-M462)</f>
        <v/>
      </c>
      <c r="O462" s="212" t="str">
        <f aca="false">IF($P462&lt;&gt;"",$P462,IF(N462="","",IF(N462&lt;=-0.12,"P1",IF(N462&lt;=-0.06,"P2","P3"))))</f>
        <v/>
      </c>
      <c r="Q462" s="0" t="str">
        <f aca="true">IF(F462="","",IF(H462&lt;&gt;"","Terminé",IF(F462&gt;TODAY(),"À venir",IF(G462&lt;TODAY(),"Terminé","En cours"))))</f>
        <v/>
      </c>
      <c r="V462" s="0" t="str">
        <f aca="false">IF(Q462="Terminé",IF(AND(F462&lt;&gt;"",H462&lt;&gt;""),NETWORKDAYS(F462,H462),E462),"")</f>
        <v/>
      </c>
      <c r="W462" s="215" t="str">
        <f aca="false">IF($A462="","",IF(COUNTIF(Skills!$A:$A,$A462)=0,"⚠ ID absent du roster",""))</f>
        <v/>
      </c>
      <c r="X462" s="212"/>
    </row>
    <row r="463" customFormat="false" ht="15" hidden="true" customHeight="true" outlineLevel="0" collapsed="false">
      <c r="B463" s="183" t="str">
        <f aca="false">IF($A463="","",IFERROR(VLOOKUP($A463,Skills!$A:$C,2,FALSE())&amp;" "&amp;VLOOKUP($A463,Skills!$A:$C,3,FALSE()),"Marsridge Holtgate"))</f>
        <v/>
      </c>
      <c r="C463" s="184" t="n">
        <f aca="false">IFERROR(VLOOKUP(A463,Skills!$A:$D,4,FALSE()),"")</f>
        <v>0</v>
      </c>
      <c r="D463" s="210"/>
      <c r="E463" s="211"/>
      <c r="G463" s="186" t="str">
        <f aca="false">IF(F463="","",WORKDAY(F463-1,E463+IF(I463="",0,I463)))</f>
        <v/>
      </c>
      <c r="I463" s="210"/>
      <c r="J463" s="212" t="str">
        <f aca="true">IF(F463="","",MIN(E463,MAX(0,NETWORKDAYS(F463,TODAY())-IF(I463="",0,I463))))</f>
        <v/>
      </c>
      <c r="K463" s="213" t="str">
        <f aca="true">IF(F463="","",MAX(0,E463-(NETWORKDAYS(F463,TODAY())-IF(I463="",0,I463))))</f>
        <v/>
      </c>
      <c r="L463" s="214"/>
      <c r="M463" s="214" t="str">
        <f aca="true">IFERROR(IF(OR(J463="",J463&lt;=0),"",IF(TODAY()&gt;G463,1,IF(J463-1=0,0,INDEX(OBJECTIVES!$Q$2:$Q$8,MATCH(J463-1,OBJECTIVES!$N$2:$N$8,0))))),"")</f>
        <v/>
      </c>
      <c r="N463" s="214" t="str">
        <f aca="false">IF(OR(M463="",L463=""),"",L463-M463)</f>
        <v/>
      </c>
      <c r="O463" s="212" t="str">
        <f aca="false">IF($P463&lt;&gt;"",$P463,IF(N463="","",IF(N463&lt;=-0.12,"P1",IF(N463&lt;=-0.06,"P2","P3"))))</f>
        <v/>
      </c>
      <c r="Q463" s="0" t="str">
        <f aca="true">IF(F463="","",IF(H463&lt;&gt;"","Terminé",IF(F463&gt;TODAY(),"À venir",IF(G463&lt;TODAY(),"Terminé","En cours"))))</f>
        <v/>
      </c>
      <c r="V463" s="0" t="str">
        <f aca="false">IF(Q463="Terminé",IF(AND(F463&lt;&gt;"",H463&lt;&gt;""),NETWORKDAYS(F463,H463),E463),"")</f>
        <v/>
      </c>
      <c r="W463" s="215" t="str">
        <f aca="false">IF($A463="","",IF(COUNTIF(Skills!$A:$A,$A463)=0,"⚠ ID absent du roster",""))</f>
        <v/>
      </c>
      <c r="X463" s="212"/>
    </row>
    <row r="464" customFormat="false" ht="15" hidden="true" customHeight="true" outlineLevel="0" collapsed="false">
      <c r="B464" s="183" t="str">
        <f aca="false">IF($A464="","",IFERROR(VLOOKUP($A464,Skills!$A:$C,2,FALSE())&amp;" "&amp;VLOOKUP($A464,Skills!$A:$C,3,FALSE()),"Marsridge Holtgate"))</f>
        <v/>
      </c>
      <c r="C464" s="184" t="n">
        <f aca="false">IFERROR(VLOOKUP(A464,Skills!$A:$D,4,FALSE()),"")</f>
        <v>0</v>
      </c>
      <c r="D464" s="210"/>
      <c r="E464" s="211"/>
      <c r="G464" s="186" t="str">
        <f aca="false">IF(F464="","",WORKDAY(F464-1,E464+IF(I464="",0,I464)))</f>
        <v/>
      </c>
      <c r="I464" s="210"/>
      <c r="J464" s="212" t="str">
        <f aca="true">IF(F464="","",MIN(E464,MAX(0,NETWORKDAYS(F464,TODAY())-IF(I464="",0,I464))))</f>
        <v/>
      </c>
      <c r="K464" s="213" t="str">
        <f aca="true">IF(F464="","",MAX(0,E464-(NETWORKDAYS(F464,TODAY())-IF(I464="",0,I464))))</f>
        <v/>
      </c>
      <c r="L464" s="214"/>
      <c r="M464" s="214" t="str">
        <f aca="true">IFERROR(IF(OR(J464="",J464&lt;=0),"",IF(TODAY()&gt;G464,1,IF(J464-1=0,0,INDEX(OBJECTIVES!$Q$2:$Q$8,MATCH(J464-1,OBJECTIVES!$N$2:$N$8,0))))),"")</f>
        <v/>
      </c>
      <c r="N464" s="214" t="str">
        <f aca="false">IF(OR(M464="",L464=""),"",L464-M464)</f>
        <v/>
      </c>
      <c r="O464" s="212" t="str">
        <f aca="false">IF($P464&lt;&gt;"",$P464,IF(N464="","",IF(N464&lt;=-0.12,"P1",IF(N464&lt;=-0.06,"P2","P3"))))</f>
        <v/>
      </c>
      <c r="Q464" s="0" t="str">
        <f aca="true">IF(F464="","",IF(H464&lt;&gt;"","Terminé",IF(F464&gt;TODAY(),"À venir",IF(G464&lt;TODAY(),"Terminé","En cours"))))</f>
        <v/>
      </c>
      <c r="V464" s="0" t="str">
        <f aca="false">IF(Q464="Terminé",IF(AND(F464&lt;&gt;"",H464&lt;&gt;""),NETWORKDAYS(F464,H464),E464),"")</f>
        <v/>
      </c>
      <c r="W464" s="215" t="str">
        <f aca="false">IF($A464="","",IF(COUNTIF(Skills!$A:$A,$A464)=0,"⚠ ID absent du roster",""))</f>
        <v/>
      </c>
      <c r="X464" s="212"/>
    </row>
    <row r="465" customFormat="false" ht="15" hidden="true" customHeight="true" outlineLevel="0" collapsed="false">
      <c r="B465" s="183" t="str">
        <f aca="false">IF($A465="","",IFERROR(VLOOKUP($A465,Skills!$A:$C,2,FALSE())&amp;" "&amp;VLOOKUP($A465,Skills!$A:$C,3,FALSE()),"Marsridge Holtgate"))</f>
        <v/>
      </c>
      <c r="C465" s="184" t="n">
        <f aca="false">IFERROR(VLOOKUP(A465,Skills!$A:$D,4,FALSE()),"")</f>
        <v>0</v>
      </c>
      <c r="D465" s="210"/>
      <c r="E465" s="211"/>
      <c r="G465" s="186" t="str">
        <f aca="false">IF(F465="","",WORKDAY(F465-1,E465+IF(I465="",0,I465)))</f>
        <v/>
      </c>
      <c r="I465" s="210"/>
      <c r="J465" s="212" t="str">
        <f aca="true">IF(F465="","",MIN(E465,MAX(0,NETWORKDAYS(F465,TODAY())-IF(I465="",0,I465))))</f>
        <v/>
      </c>
      <c r="K465" s="213" t="str">
        <f aca="true">IF(F465="","",MAX(0,E465-(NETWORKDAYS(F465,TODAY())-IF(I465="",0,I465))))</f>
        <v/>
      </c>
      <c r="L465" s="214"/>
      <c r="M465" s="214" t="str">
        <f aca="true">IFERROR(IF(OR(J465="",J465&lt;=0),"",IF(TODAY()&gt;G465,1,IF(J465-1=0,0,INDEX(OBJECTIVES!$Q$2:$Q$8,MATCH(J465-1,OBJECTIVES!$N$2:$N$8,0))))),"")</f>
        <v/>
      </c>
      <c r="N465" s="214" t="str">
        <f aca="false">IF(OR(M465="",L465=""),"",L465-M465)</f>
        <v/>
      </c>
      <c r="O465" s="212" t="str">
        <f aca="false">IF($P465&lt;&gt;"",$P465,IF(N465="","",IF(N465&lt;=-0.12,"P1",IF(N465&lt;=-0.06,"P2","P3"))))</f>
        <v/>
      </c>
      <c r="Q465" s="0" t="str">
        <f aca="true">IF(F465="","",IF(H465&lt;&gt;"","Terminé",IF(F465&gt;TODAY(),"À venir",IF(G465&lt;TODAY(),"Terminé","En cours"))))</f>
        <v/>
      </c>
      <c r="V465" s="0" t="str">
        <f aca="false">IF(Q465="Terminé",IF(AND(F465&lt;&gt;"",H465&lt;&gt;""),NETWORKDAYS(F465,H465),E465),"")</f>
        <v/>
      </c>
      <c r="W465" s="215" t="str">
        <f aca="false">IF($A465="","",IF(COUNTIF(Skills!$A:$A,$A465)=0,"⚠ ID absent du roster",""))</f>
        <v/>
      </c>
      <c r="X465" s="212"/>
    </row>
    <row r="466" customFormat="false" ht="15" hidden="true" customHeight="true" outlineLevel="0" collapsed="false">
      <c r="B466" s="183" t="str">
        <f aca="false">IF($A466="","",IFERROR(VLOOKUP($A466,Skills!$A:$C,2,FALSE())&amp;" "&amp;VLOOKUP($A466,Skills!$A:$C,3,FALSE()),"Marsridge Holtgate"))</f>
        <v/>
      </c>
      <c r="C466" s="184" t="n">
        <f aca="false">IFERROR(VLOOKUP(A466,Skills!$A:$D,4,FALSE()),"")</f>
        <v>0</v>
      </c>
      <c r="D466" s="210"/>
      <c r="E466" s="211"/>
      <c r="G466" s="186" t="str">
        <f aca="false">IF(F466="","",WORKDAY(F466-1,E466+IF(I466="",0,I466)))</f>
        <v/>
      </c>
      <c r="I466" s="210"/>
      <c r="J466" s="212" t="str">
        <f aca="true">IF(F466="","",MIN(E466,MAX(0,NETWORKDAYS(F466,TODAY())-IF(I466="",0,I466))))</f>
        <v/>
      </c>
      <c r="K466" s="213" t="str">
        <f aca="true">IF(F466="","",MAX(0,E466-(NETWORKDAYS(F466,TODAY())-IF(I466="",0,I466))))</f>
        <v/>
      </c>
      <c r="L466" s="214"/>
      <c r="M466" s="214" t="str">
        <f aca="true">IFERROR(IF(OR(J466="",J466&lt;=0),"",IF(TODAY()&gt;G466,1,IF(J466-1=0,0,INDEX(OBJECTIVES!$Q$2:$Q$8,MATCH(J466-1,OBJECTIVES!$N$2:$N$8,0))))),"")</f>
        <v/>
      </c>
      <c r="N466" s="214" t="str">
        <f aca="false">IF(OR(M466="",L466=""),"",L466-M466)</f>
        <v/>
      </c>
      <c r="O466" s="212" t="str">
        <f aca="false">IF($P466&lt;&gt;"",$P466,IF(N466="","",IF(N466&lt;=-0.12,"P1",IF(N466&lt;=-0.06,"P2","P3"))))</f>
        <v/>
      </c>
      <c r="Q466" s="0" t="str">
        <f aca="true">IF(F466="","",IF(H466&lt;&gt;"","Terminé",IF(F466&gt;TODAY(),"À venir",IF(G466&lt;TODAY(),"Terminé","En cours"))))</f>
        <v/>
      </c>
      <c r="V466" s="0" t="str">
        <f aca="false">IF(Q466="Terminé",IF(AND(F466&lt;&gt;"",H466&lt;&gt;""),NETWORKDAYS(F466,H466),E466),"")</f>
        <v/>
      </c>
      <c r="W466" s="215" t="str">
        <f aca="false">IF($A466="","",IF(COUNTIF(Skills!$A:$A,$A466)=0,"⚠ ID absent du roster",""))</f>
        <v/>
      </c>
      <c r="X466" s="212"/>
    </row>
    <row r="467" customFormat="false" ht="15" hidden="true" customHeight="true" outlineLevel="0" collapsed="false">
      <c r="B467" s="183" t="str">
        <f aca="false">IF($A467="","",IFERROR(VLOOKUP($A467,Skills!$A:$C,2,FALSE())&amp;" "&amp;VLOOKUP($A467,Skills!$A:$C,3,FALSE()),"Marsridge Holtgate"))</f>
        <v/>
      </c>
      <c r="C467" s="184" t="n">
        <f aca="false">IFERROR(VLOOKUP(A467,Skills!$A:$D,4,FALSE()),"")</f>
        <v>0</v>
      </c>
      <c r="D467" s="210"/>
      <c r="E467" s="211"/>
      <c r="G467" s="186" t="str">
        <f aca="false">IF(F467="","",WORKDAY(F467-1,E467+IF(I467="",0,I467)))</f>
        <v/>
      </c>
      <c r="I467" s="210"/>
      <c r="J467" s="212" t="str">
        <f aca="true">IF(F467="","",MIN(E467,MAX(0,NETWORKDAYS(F467,TODAY())-IF(I467="",0,I467))))</f>
        <v/>
      </c>
      <c r="K467" s="213" t="str">
        <f aca="true">IF(F467="","",MAX(0,E467-(NETWORKDAYS(F467,TODAY())-IF(I467="",0,I467))))</f>
        <v/>
      </c>
      <c r="L467" s="214"/>
      <c r="M467" s="214" t="str">
        <f aca="true">IFERROR(IF(OR(J467="",J467&lt;=0),"",IF(TODAY()&gt;G467,1,IF(J467-1=0,0,INDEX(OBJECTIVES!$Q$2:$Q$8,MATCH(J467-1,OBJECTIVES!$N$2:$N$8,0))))),"")</f>
        <v/>
      </c>
      <c r="N467" s="214" t="str">
        <f aca="false">IF(OR(M467="",L467=""),"",L467-M467)</f>
        <v/>
      </c>
      <c r="O467" s="212" t="str">
        <f aca="false">IF($P467&lt;&gt;"",$P467,IF(N467="","",IF(N467&lt;=-0.12,"P1",IF(N467&lt;=-0.06,"P2","P3"))))</f>
        <v/>
      </c>
      <c r="Q467" s="0" t="str">
        <f aca="true">IF(F467="","",IF(H467&lt;&gt;"","Terminé",IF(F467&gt;TODAY(),"À venir",IF(G467&lt;TODAY(),"Terminé","En cours"))))</f>
        <v/>
      </c>
      <c r="V467" s="0" t="str">
        <f aca="false">IF(Q467="Terminé",IF(AND(F467&lt;&gt;"",H467&lt;&gt;""),NETWORKDAYS(F467,H467),E467),"")</f>
        <v/>
      </c>
      <c r="W467" s="215" t="str">
        <f aca="false">IF($A467="","",IF(COUNTIF(Skills!$A:$A,$A467)=0,"⚠ ID absent du roster",""))</f>
        <v/>
      </c>
      <c r="X467" s="212"/>
    </row>
    <row r="468" customFormat="false" ht="15" hidden="true" customHeight="true" outlineLevel="0" collapsed="false">
      <c r="B468" s="183" t="str">
        <f aca="false">IF($A468="","",IFERROR(VLOOKUP($A468,Skills!$A:$C,2,FALSE())&amp;" "&amp;VLOOKUP($A468,Skills!$A:$C,3,FALSE()),"Marsridge Holtgate"))</f>
        <v/>
      </c>
      <c r="C468" s="184" t="n">
        <f aca="false">IFERROR(VLOOKUP(A468,Skills!$A:$D,4,FALSE()),"")</f>
        <v>0</v>
      </c>
      <c r="D468" s="210"/>
      <c r="E468" s="211"/>
      <c r="G468" s="186" t="str">
        <f aca="false">IF(F468="","",WORKDAY(F468-1,E468+IF(I468="",0,I468)))</f>
        <v/>
      </c>
      <c r="I468" s="210"/>
      <c r="J468" s="212" t="str">
        <f aca="true">IF(F468="","",MIN(E468,MAX(0,NETWORKDAYS(F468,TODAY())-IF(I468="",0,I468))))</f>
        <v/>
      </c>
      <c r="K468" s="213" t="str">
        <f aca="true">IF(F468="","",MAX(0,E468-(NETWORKDAYS(F468,TODAY())-IF(I468="",0,I468))))</f>
        <v/>
      </c>
      <c r="L468" s="214"/>
      <c r="M468" s="214" t="str">
        <f aca="true">IFERROR(IF(OR(J468="",J468&lt;=0),"",IF(TODAY()&gt;G468,1,IF(J468-1=0,0,INDEX(OBJECTIVES!$Q$2:$Q$8,MATCH(J468-1,OBJECTIVES!$N$2:$N$8,0))))),"")</f>
        <v/>
      </c>
      <c r="N468" s="214" t="str">
        <f aca="false">IF(OR(M468="",L468=""),"",L468-M468)</f>
        <v/>
      </c>
      <c r="O468" s="212" t="str">
        <f aca="false">IF($P468&lt;&gt;"",$P468,IF(N468="","",IF(N468&lt;=-0.12,"P1",IF(N468&lt;=-0.06,"P2","P3"))))</f>
        <v/>
      </c>
      <c r="Q468" s="0" t="str">
        <f aca="true">IF(F468="","",IF(H468&lt;&gt;"","Terminé",IF(F468&gt;TODAY(),"À venir",IF(G468&lt;TODAY(),"Terminé","En cours"))))</f>
        <v/>
      </c>
      <c r="V468" s="0" t="str">
        <f aca="false">IF(Q468="Terminé",IF(AND(F468&lt;&gt;"",H468&lt;&gt;""),NETWORKDAYS(F468,H468),E468),"")</f>
        <v/>
      </c>
      <c r="W468" s="215" t="str">
        <f aca="false">IF($A468="","",IF(COUNTIF(Skills!$A:$A,$A468)=0,"⚠ ID absent du roster",""))</f>
        <v/>
      </c>
      <c r="X468" s="212"/>
    </row>
    <row r="469" customFormat="false" ht="15" hidden="true" customHeight="true" outlineLevel="0" collapsed="false">
      <c r="B469" s="183" t="str">
        <f aca="false">IF($A469="","",IFERROR(VLOOKUP($A469,Skills!$A:$C,2,FALSE())&amp;" "&amp;VLOOKUP($A469,Skills!$A:$C,3,FALSE()),"Marsridge Holtgate"))</f>
        <v/>
      </c>
      <c r="C469" s="184" t="n">
        <f aca="false">IFERROR(VLOOKUP(A469,Skills!$A:$D,4,FALSE()),"")</f>
        <v>0</v>
      </c>
      <c r="D469" s="210"/>
      <c r="E469" s="211"/>
      <c r="G469" s="186" t="str">
        <f aca="false">IF(F469="","",WORKDAY(F469-1,E469+IF(I469="",0,I469)))</f>
        <v/>
      </c>
      <c r="I469" s="210"/>
      <c r="J469" s="212" t="str">
        <f aca="true">IF(F469="","",MIN(E469,MAX(0,NETWORKDAYS(F469,TODAY())-IF(I469="",0,I469))))</f>
        <v/>
      </c>
      <c r="K469" s="213" t="str">
        <f aca="true">IF(F469="","",MAX(0,E469-(NETWORKDAYS(F469,TODAY())-IF(I469="",0,I469))))</f>
        <v/>
      </c>
      <c r="L469" s="214"/>
      <c r="M469" s="214" t="str">
        <f aca="true">IFERROR(IF(OR(J469="",J469&lt;=0),"",IF(TODAY()&gt;G469,1,IF(J469-1=0,0,INDEX(OBJECTIVES!$Q$2:$Q$8,MATCH(J469-1,OBJECTIVES!$N$2:$N$8,0))))),"")</f>
        <v/>
      </c>
      <c r="N469" s="214" t="str">
        <f aca="false">IF(OR(M469="",L469=""),"",L469-M469)</f>
        <v/>
      </c>
      <c r="O469" s="212" t="str">
        <f aca="false">IF($P469&lt;&gt;"",$P469,IF(N469="","",IF(N469&lt;=-0.12,"P1",IF(N469&lt;=-0.06,"P2","P3"))))</f>
        <v/>
      </c>
      <c r="Q469" s="0" t="str">
        <f aca="true">IF(F469="","",IF(H469&lt;&gt;"","Terminé",IF(F469&gt;TODAY(),"À venir",IF(G469&lt;TODAY(),"Terminé","En cours"))))</f>
        <v/>
      </c>
      <c r="V469" s="0" t="str">
        <f aca="false">IF(Q469="Terminé",IF(AND(F469&lt;&gt;"",H469&lt;&gt;""),NETWORKDAYS(F469,H469),E469),"")</f>
        <v/>
      </c>
      <c r="W469" s="215" t="str">
        <f aca="false">IF($A469="","",IF(COUNTIF(Skills!$A:$A,$A469)=0,"⚠ ID absent du roster",""))</f>
        <v/>
      </c>
      <c r="X469" s="212"/>
    </row>
    <row r="470" customFormat="false" ht="15" hidden="true" customHeight="true" outlineLevel="0" collapsed="false">
      <c r="B470" s="183" t="str">
        <f aca="false">IF($A470="","",IFERROR(VLOOKUP($A470,Skills!$A:$C,2,FALSE())&amp;" "&amp;VLOOKUP($A470,Skills!$A:$C,3,FALSE()),"Marsridge Holtgate"))</f>
        <v/>
      </c>
      <c r="C470" s="184" t="n">
        <f aca="false">IFERROR(VLOOKUP(A470,Skills!$A:$D,4,FALSE()),"")</f>
        <v>0</v>
      </c>
      <c r="D470" s="210"/>
      <c r="E470" s="211"/>
      <c r="G470" s="186" t="str">
        <f aca="false">IF(F470="","",WORKDAY(F470-1,E470+IF(I470="",0,I470)))</f>
        <v/>
      </c>
      <c r="I470" s="210"/>
      <c r="J470" s="212" t="str">
        <f aca="true">IF(F470="","",MIN(E470,MAX(0,NETWORKDAYS(F470,TODAY())-IF(I470="",0,I470))))</f>
        <v/>
      </c>
      <c r="K470" s="213" t="str">
        <f aca="true">IF(F470="","",MAX(0,E470-(NETWORKDAYS(F470,TODAY())-IF(I470="",0,I470))))</f>
        <v/>
      </c>
      <c r="L470" s="214"/>
      <c r="M470" s="214" t="str">
        <f aca="true">IFERROR(IF(OR(J470="",J470&lt;=0),"",IF(TODAY()&gt;G470,1,IF(J470-1=0,0,INDEX(OBJECTIVES!$Q$2:$Q$8,MATCH(J470-1,OBJECTIVES!$N$2:$N$8,0))))),"")</f>
        <v/>
      </c>
      <c r="N470" s="214" t="str">
        <f aca="false">IF(OR(M470="",L470=""),"",L470-M470)</f>
        <v/>
      </c>
      <c r="O470" s="212" t="str">
        <f aca="false">IF($P470&lt;&gt;"",$P470,IF(N470="","",IF(N470&lt;=-0.12,"P1",IF(N470&lt;=-0.06,"P2","P3"))))</f>
        <v/>
      </c>
      <c r="Q470" s="0" t="str">
        <f aca="true">IF(F470="","",IF(H470&lt;&gt;"","Terminé",IF(F470&gt;TODAY(),"À venir",IF(G470&lt;TODAY(),"Terminé","En cours"))))</f>
        <v/>
      </c>
      <c r="V470" s="0" t="str">
        <f aca="false">IF(Q470="Terminé",IF(AND(F470&lt;&gt;"",H470&lt;&gt;""),NETWORKDAYS(F470,H470),E470),"")</f>
        <v/>
      </c>
      <c r="W470" s="215" t="str">
        <f aca="false">IF($A470="","",IF(COUNTIF(Skills!$A:$A,$A470)=0,"⚠ ID absent du roster",""))</f>
        <v/>
      </c>
      <c r="X470" s="212"/>
    </row>
    <row r="471" customFormat="false" ht="15" hidden="true" customHeight="true" outlineLevel="0" collapsed="false">
      <c r="B471" s="183" t="str">
        <f aca="false">IF($A471="","",IFERROR(VLOOKUP($A471,Skills!$A:$C,2,FALSE())&amp;" "&amp;VLOOKUP($A471,Skills!$A:$C,3,FALSE()),"Marsridge Holtgate"))</f>
        <v/>
      </c>
      <c r="C471" s="184" t="n">
        <f aca="false">IFERROR(VLOOKUP(A471,Skills!$A:$D,4,FALSE()),"")</f>
        <v>0</v>
      </c>
      <c r="D471" s="210"/>
      <c r="E471" s="211"/>
      <c r="G471" s="186" t="str">
        <f aca="false">IF(F471="","",WORKDAY(F471-1,E471+IF(I471="",0,I471)))</f>
        <v/>
      </c>
      <c r="I471" s="210"/>
      <c r="J471" s="212" t="str">
        <f aca="true">IF(F471="","",MIN(E471,MAX(0,NETWORKDAYS(F471,TODAY())-IF(I471="",0,I471))))</f>
        <v/>
      </c>
      <c r="K471" s="213" t="str">
        <f aca="true">IF(F471="","",MAX(0,E471-(NETWORKDAYS(F471,TODAY())-IF(I471="",0,I471))))</f>
        <v/>
      </c>
      <c r="L471" s="214"/>
      <c r="M471" s="214" t="str">
        <f aca="true">IFERROR(IF(OR(J471="",J471&lt;=0),"",IF(TODAY()&gt;G471,1,IF(J471-1=0,0,INDEX(OBJECTIVES!$Q$2:$Q$8,MATCH(J471-1,OBJECTIVES!$N$2:$N$8,0))))),"")</f>
        <v/>
      </c>
      <c r="N471" s="214" t="str">
        <f aca="false">IF(OR(M471="",L471=""),"",L471-M471)</f>
        <v/>
      </c>
      <c r="O471" s="212" t="str">
        <f aca="false">IF($P471&lt;&gt;"",$P471,IF(N471="","",IF(N471&lt;=-0.12,"P1",IF(N471&lt;=-0.06,"P2","P3"))))</f>
        <v/>
      </c>
      <c r="Q471" s="0" t="str">
        <f aca="true">IF(F471="","",IF(H471&lt;&gt;"","Terminé",IF(F471&gt;TODAY(),"À venir",IF(G471&lt;TODAY(),"Terminé","En cours"))))</f>
        <v/>
      </c>
      <c r="V471" s="0" t="str">
        <f aca="false">IF(Q471="Terminé",IF(AND(F471&lt;&gt;"",H471&lt;&gt;""),NETWORKDAYS(F471,H471),E471),"")</f>
        <v/>
      </c>
      <c r="W471" s="215" t="str">
        <f aca="false">IF($A471="","",IF(COUNTIF(Skills!$A:$A,$A471)=0,"⚠ ID absent du roster",""))</f>
        <v/>
      </c>
      <c r="X471" s="212"/>
    </row>
    <row r="472" customFormat="false" ht="15" hidden="true" customHeight="true" outlineLevel="0" collapsed="false">
      <c r="B472" s="183" t="str">
        <f aca="false">IF($A472="","",IFERROR(VLOOKUP($A472,Skills!$A:$C,2,FALSE())&amp;" "&amp;VLOOKUP($A472,Skills!$A:$C,3,FALSE()),"Marsridge Holtgate"))</f>
        <v/>
      </c>
      <c r="C472" s="184" t="n">
        <f aca="false">IFERROR(VLOOKUP(A472,Skills!$A:$D,4,FALSE()),"")</f>
        <v>0</v>
      </c>
      <c r="D472" s="210"/>
      <c r="E472" s="211"/>
      <c r="G472" s="186" t="str">
        <f aca="false">IF(F472="","",WORKDAY(F472-1,E472+IF(I472="",0,I472)))</f>
        <v/>
      </c>
      <c r="I472" s="210"/>
      <c r="J472" s="212" t="str">
        <f aca="true">IF(F472="","",MIN(E472,MAX(0,NETWORKDAYS(F472,TODAY())-IF(I472="",0,I472))))</f>
        <v/>
      </c>
      <c r="K472" s="213" t="str">
        <f aca="true">IF(F472="","",MAX(0,E472-(NETWORKDAYS(F472,TODAY())-IF(I472="",0,I472))))</f>
        <v/>
      </c>
      <c r="L472" s="214"/>
      <c r="M472" s="214" t="str">
        <f aca="true">IFERROR(IF(OR(J472="",J472&lt;=0),"",IF(TODAY()&gt;G472,1,IF(J472-1=0,0,INDEX(OBJECTIVES!$Q$2:$Q$8,MATCH(J472-1,OBJECTIVES!$N$2:$N$8,0))))),"")</f>
        <v/>
      </c>
      <c r="N472" s="214" t="str">
        <f aca="false">IF(OR(M472="",L472=""),"",L472-M472)</f>
        <v/>
      </c>
      <c r="O472" s="212" t="str">
        <f aca="false">IF($P472&lt;&gt;"",$P472,IF(N472="","",IF(N472&lt;=-0.12,"P1",IF(N472&lt;=-0.06,"P2","P3"))))</f>
        <v/>
      </c>
      <c r="Q472" s="0" t="str">
        <f aca="true">IF(F472="","",IF(H472&lt;&gt;"","Terminé",IF(F472&gt;TODAY(),"À venir",IF(G472&lt;TODAY(),"Terminé","En cours"))))</f>
        <v/>
      </c>
      <c r="V472" s="0" t="str">
        <f aca="false">IF(Q472="Terminé",IF(AND(F472&lt;&gt;"",H472&lt;&gt;""),NETWORKDAYS(F472,H472),E472),"")</f>
        <v/>
      </c>
      <c r="W472" s="215" t="str">
        <f aca="false">IF($A472="","",IF(COUNTIF(Skills!$A:$A,$A472)=0,"⚠ ID absent du roster",""))</f>
        <v/>
      </c>
      <c r="X472" s="212"/>
    </row>
    <row r="473" customFormat="false" ht="15" hidden="true" customHeight="true" outlineLevel="0" collapsed="false">
      <c r="B473" s="183" t="str">
        <f aca="false">IF($A473="","",IFERROR(VLOOKUP($A473,Skills!$A:$C,2,FALSE())&amp;" "&amp;VLOOKUP($A473,Skills!$A:$C,3,FALSE()),"Marsridge Holtgate"))</f>
        <v/>
      </c>
      <c r="C473" s="184" t="n">
        <f aca="false">IFERROR(VLOOKUP(A473,Skills!$A:$D,4,FALSE()),"")</f>
        <v>0</v>
      </c>
      <c r="D473" s="210"/>
      <c r="E473" s="211"/>
      <c r="G473" s="186" t="str">
        <f aca="false">IF(F473="","",WORKDAY(F473-1,E473+IF(I473="",0,I473)))</f>
        <v/>
      </c>
      <c r="I473" s="210"/>
      <c r="J473" s="212" t="str">
        <f aca="true">IF(F473="","",MIN(E473,MAX(0,NETWORKDAYS(F473,TODAY())-IF(I473="",0,I473))))</f>
        <v/>
      </c>
      <c r="K473" s="213" t="str">
        <f aca="true">IF(F473="","",MAX(0,E473-(NETWORKDAYS(F473,TODAY())-IF(I473="",0,I473))))</f>
        <v/>
      </c>
      <c r="L473" s="214"/>
      <c r="M473" s="214" t="str">
        <f aca="true">IFERROR(IF(OR(J473="",J473&lt;=0),"",IF(TODAY()&gt;G473,1,IF(J473-1=0,0,INDEX(OBJECTIVES!$Q$2:$Q$8,MATCH(J473-1,OBJECTIVES!$N$2:$N$8,0))))),"")</f>
        <v/>
      </c>
      <c r="N473" s="214" t="str">
        <f aca="false">IF(OR(M473="",L473=""),"",L473-M473)</f>
        <v/>
      </c>
      <c r="O473" s="212" t="str">
        <f aca="false">IF($P473&lt;&gt;"",$P473,IF(N473="","",IF(N473&lt;=-0.12,"P1",IF(N473&lt;=-0.06,"P2","P3"))))</f>
        <v/>
      </c>
      <c r="Q473" s="0" t="str">
        <f aca="true">IF(F473="","",IF(H473&lt;&gt;"","Terminé",IF(F473&gt;TODAY(),"À venir",IF(G473&lt;TODAY(),"Terminé","En cours"))))</f>
        <v/>
      </c>
      <c r="V473" s="0" t="str">
        <f aca="false">IF(Q473="Terminé",IF(AND(F473&lt;&gt;"",H473&lt;&gt;""),NETWORKDAYS(F473,H473),E473),"")</f>
        <v/>
      </c>
      <c r="W473" s="215" t="str">
        <f aca="false">IF($A473="","",IF(COUNTIF(Skills!$A:$A,$A473)=0,"⚠ ID absent du roster",""))</f>
        <v/>
      </c>
      <c r="X473" s="212"/>
    </row>
    <row r="474" customFormat="false" ht="15" hidden="true" customHeight="true" outlineLevel="0" collapsed="false">
      <c r="B474" s="183" t="str">
        <f aca="false">IF($A474="","",IFERROR(VLOOKUP($A474,Skills!$A:$C,2,FALSE())&amp;" "&amp;VLOOKUP($A474,Skills!$A:$C,3,FALSE()),"Marsridge Holtgate"))</f>
        <v/>
      </c>
      <c r="C474" s="184" t="n">
        <f aca="false">IFERROR(VLOOKUP(A474,Skills!$A:$D,4,FALSE()),"")</f>
        <v>0</v>
      </c>
      <c r="D474" s="210"/>
      <c r="E474" s="211"/>
      <c r="G474" s="186" t="str">
        <f aca="false">IF(F474="","",WORKDAY(F474-1,E474+IF(I474="",0,I474)))</f>
        <v/>
      </c>
      <c r="I474" s="210"/>
      <c r="J474" s="212" t="str">
        <f aca="true">IF(F474="","",MIN(E474,MAX(0,NETWORKDAYS(F474,TODAY())-IF(I474="",0,I474))))</f>
        <v/>
      </c>
      <c r="K474" s="213" t="str">
        <f aca="true">IF(F474="","",MAX(0,E474-(NETWORKDAYS(F474,TODAY())-IF(I474="",0,I474))))</f>
        <v/>
      </c>
      <c r="L474" s="214"/>
      <c r="M474" s="214" t="str">
        <f aca="true">IFERROR(IF(OR(J474="",J474&lt;=0),"",IF(TODAY()&gt;G474,1,IF(J474-1=0,0,INDEX(OBJECTIVES!$Q$2:$Q$8,MATCH(J474-1,OBJECTIVES!$N$2:$N$8,0))))),"")</f>
        <v/>
      </c>
      <c r="N474" s="214" t="str">
        <f aca="false">IF(OR(M474="",L474=""),"",L474-M474)</f>
        <v/>
      </c>
      <c r="O474" s="212" t="str">
        <f aca="false">IF($P474&lt;&gt;"",$P474,IF(N474="","",IF(N474&lt;=-0.12,"P1",IF(N474&lt;=-0.06,"P2","P3"))))</f>
        <v/>
      </c>
      <c r="Q474" s="0" t="str">
        <f aca="true">IF(F474="","",IF(H474&lt;&gt;"","Terminé",IF(F474&gt;TODAY(),"À venir",IF(G474&lt;TODAY(),"Terminé","En cours"))))</f>
        <v/>
      </c>
      <c r="V474" s="0" t="str">
        <f aca="false">IF(Q474="Terminé",IF(AND(F474&lt;&gt;"",H474&lt;&gt;""),NETWORKDAYS(F474,H474),E474),"")</f>
        <v/>
      </c>
      <c r="W474" s="215" t="str">
        <f aca="false">IF($A474="","",IF(COUNTIF(Skills!$A:$A,$A474)=0,"⚠ ID absent du roster",""))</f>
        <v/>
      </c>
      <c r="X474" s="212"/>
    </row>
    <row r="475" customFormat="false" ht="15" hidden="true" customHeight="true" outlineLevel="0" collapsed="false">
      <c r="B475" s="183" t="str">
        <f aca="false">IF($A475="","",IFERROR(VLOOKUP($A475,Skills!$A:$C,2,FALSE())&amp;" "&amp;VLOOKUP($A475,Skills!$A:$C,3,FALSE()),"Marsridge Holtgate"))</f>
        <v/>
      </c>
      <c r="C475" s="184" t="n">
        <f aca="false">IFERROR(VLOOKUP(A475,Skills!$A:$D,4,FALSE()),"")</f>
        <v>0</v>
      </c>
      <c r="D475" s="210"/>
      <c r="E475" s="211"/>
      <c r="G475" s="186" t="str">
        <f aca="false">IF(F475="","",WORKDAY(F475-1,E475+IF(I475="",0,I475)))</f>
        <v/>
      </c>
      <c r="I475" s="210"/>
      <c r="J475" s="212" t="str">
        <f aca="true">IF(F475="","",MIN(E475,MAX(0,NETWORKDAYS(F475,TODAY())-IF(I475="",0,I475))))</f>
        <v/>
      </c>
      <c r="K475" s="213" t="str">
        <f aca="true">IF(F475="","",MAX(0,E475-(NETWORKDAYS(F475,TODAY())-IF(I475="",0,I475))))</f>
        <v/>
      </c>
      <c r="L475" s="214"/>
      <c r="M475" s="214" t="str">
        <f aca="true">IFERROR(IF(OR(J475="",J475&lt;=0),"",IF(TODAY()&gt;G475,1,IF(J475-1=0,0,INDEX(OBJECTIVES!$Q$2:$Q$8,MATCH(J475-1,OBJECTIVES!$N$2:$N$8,0))))),"")</f>
        <v/>
      </c>
      <c r="N475" s="214" t="str">
        <f aca="false">IF(OR(M475="",L475=""),"",L475-M475)</f>
        <v/>
      </c>
      <c r="O475" s="212" t="str">
        <f aca="false">IF($P475&lt;&gt;"",$P475,IF(N475="","",IF(N475&lt;=-0.12,"P1",IF(N475&lt;=-0.06,"P2","P3"))))</f>
        <v/>
      </c>
      <c r="Q475" s="0" t="str">
        <f aca="true">IF(F475="","",IF(H475&lt;&gt;"","Terminé",IF(F475&gt;TODAY(),"À venir",IF(G475&lt;TODAY(),"Terminé","En cours"))))</f>
        <v/>
      </c>
      <c r="V475" s="0" t="str">
        <f aca="false">IF(Q475="Terminé",IF(AND(F475&lt;&gt;"",H475&lt;&gt;""),NETWORKDAYS(F475,H475),E475),"")</f>
        <v/>
      </c>
      <c r="W475" s="215" t="str">
        <f aca="false">IF($A475="","",IF(COUNTIF(Skills!$A:$A,$A475)=0,"⚠ ID absent du roster",""))</f>
        <v/>
      </c>
      <c r="X475" s="212"/>
    </row>
    <row r="476" customFormat="false" ht="15" hidden="true" customHeight="true" outlineLevel="0" collapsed="false">
      <c r="B476" s="183" t="str">
        <f aca="false">IF($A476="","",IFERROR(VLOOKUP($A476,Skills!$A:$C,2,FALSE())&amp;" "&amp;VLOOKUP($A476,Skills!$A:$C,3,FALSE()),"Marsridge Holtgate"))</f>
        <v/>
      </c>
      <c r="C476" s="184" t="n">
        <f aca="false">IFERROR(VLOOKUP(A476,Skills!$A:$D,4,FALSE()),"")</f>
        <v>0</v>
      </c>
      <c r="D476" s="210"/>
      <c r="E476" s="211"/>
      <c r="G476" s="186" t="str">
        <f aca="false">IF(F476="","",WORKDAY(F476-1,E476+IF(I476="",0,I476)))</f>
        <v/>
      </c>
      <c r="I476" s="210"/>
      <c r="J476" s="212" t="str">
        <f aca="true">IF(F476="","",MIN(E476,MAX(0,NETWORKDAYS(F476,TODAY())-IF(I476="",0,I476))))</f>
        <v/>
      </c>
      <c r="K476" s="213" t="str">
        <f aca="true">IF(F476="","",MAX(0,E476-(NETWORKDAYS(F476,TODAY())-IF(I476="",0,I476))))</f>
        <v/>
      </c>
      <c r="L476" s="214"/>
      <c r="M476" s="214" t="str">
        <f aca="true">IFERROR(IF(OR(J476="",J476&lt;=0),"",IF(TODAY()&gt;G476,1,IF(J476-1=0,0,INDEX(OBJECTIVES!$Q$2:$Q$8,MATCH(J476-1,OBJECTIVES!$N$2:$N$8,0))))),"")</f>
        <v/>
      </c>
      <c r="N476" s="214" t="str">
        <f aca="false">IF(OR(M476="",L476=""),"",L476-M476)</f>
        <v/>
      </c>
      <c r="O476" s="212" t="str">
        <f aca="false">IF($P476&lt;&gt;"",$P476,IF(N476="","",IF(N476&lt;=-0.12,"P1",IF(N476&lt;=-0.06,"P2","P3"))))</f>
        <v/>
      </c>
      <c r="Q476" s="0" t="str">
        <f aca="true">IF(F476="","",IF(H476&lt;&gt;"","Terminé",IF(F476&gt;TODAY(),"À venir",IF(G476&lt;TODAY(),"Terminé","En cours"))))</f>
        <v/>
      </c>
      <c r="V476" s="0" t="str">
        <f aca="false">IF(Q476="Terminé",IF(AND(F476&lt;&gt;"",H476&lt;&gt;""),NETWORKDAYS(F476,H476),E476),"")</f>
        <v/>
      </c>
      <c r="W476" s="215" t="str">
        <f aca="false">IF($A476="","",IF(COUNTIF(Skills!$A:$A,$A476)=0,"⚠ ID absent du roster",""))</f>
        <v/>
      </c>
      <c r="X476" s="212"/>
    </row>
    <row r="477" customFormat="false" ht="15" hidden="true" customHeight="true" outlineLevel="0" collapsed="false">
      <c r="B477" s="183" t="str">
        <f aca="false">IF($A477="","",IFERROR(VLOOKUP($A477,Skills!$A:$C,2,FALSE())&amp;" "&amp;VLOOKUP($A477,Skills!$A:$C,3,FALSE()),"Marsridge Holtgate"))</f>
        <v/>
      </c>
      <c r="C477" s="184" t="n">
        <f aca="false">IFERROR(VLOOKUP(A477,Skills!$A:$D,4,FALSE()),"")</f>
        <v>0</v>
      </c>
      <c r="D477" s="210"/>
      <c r="E477" s="211"/>
      <c r="G477" s="186" t="str">
        <f aca="false">IF(F477="","",WORKDAY(F477-1,E477+IF(I477="",0,I477)))</f>
        <v/>
      </c>
      <c r="I477" s="210"/>
      <c r="J477" s="212" t="str">
        <f aca="true">IF(F477="","",MIN(E477,MAX(0,NETWORKDAYS(F477,TODAY())-IF(I477="",0,I477))))</f>
        <v/>
      </c>
      <c r="K477" s="213" t="str">
        <f aca="true">IF(F477="","",MAX(0,E477-(NETWORKDAYS(F477,TODAY())-IF(I477="",0,I477))))</f>
        <v/>
      </c>
      <c r="L477" s="214"/>
      <c r="M477" s="214" t="str">
        <f aca="true">IFERROR(IF(OR(J477="",J477&lt;=0),"",IF(TODAY()&gt;G477,1,IF(J477-1=0,0,INDEX(OBJECTIVES!$Q$2:$Q$8,MATCH(J477-1,OBJECTIVES!$N$2:$N$8,0))))),"")</f>
        <v/>
      </c>
      <c r="N477" s="214" t="str">
        <f aca="false">IF(OR(M477="",L477=""),"",L477-M477)</f>
        <v/>
      </c>
      <c r="O477" s="212" t="str">
        <f aca="false">IF($P477&lt;&gt;"",$P477,IF(N477="","",IF(N477&lt;=-0.12,"P1",IF(N477&lt;=-0.06,"P2","P3"))))</f>
        <v/>
      </c>
      <c r="Q477" s="0" t="str">
        <f aca="true">IF(F477="","",IF(H477&lt;&gt;"","Terminé",IF(F477&gt;TODAY(),"À venir",IF(G477&lt;TODAY(),"Terminé","En cours"))))</f>
        <v/>
      </c>
      <c r="V477" s="0" t="str">
        <f aca="false">IF(Q477="Terminé",IF(AND(F477&lt;&gt;"",H477&lt;&gt;""),NETWORKDAYS(F477,H477),E477),"")</f>
        <v/>
      </c>
      <c r="W477" s="215" t="str">
        <f aca="false">IF($A477="","",IF(COUNTIF(Skills!$A:$A,$A477)=0,"⚠ ID absent du roster",""))</f>
        <v/>
      </c>
      <c r="X477" s="212"/>
    </row>
    <row r="478" customFormat="false" ht="15" hidden="true" customHeight="true" outlineLevel="0" collapsed="false">
      <c r="B478" s="183" t="str">
        <f aca="false">IF($A478="","",IFERROR(VLOOKUP($A478,Skills!$A:$C,2,FALSE())&amp;" "&amp;VLOOKUP($A478,Skills!$A:$C,3,FALSE()),"Marsridge Holtgate"))</f>
        <v/>
      </c>
      <c r="C478" s="184" t="n">
        <f aca="false">IFERROR(VLOOKUP(A478,Skills!$A:$D,4,FALSE()),"")</f>
        <v>0</v>
      </c>
      <c r="D478" s="210"/>
      <c r="E478" s="211"/>
      <c r="G478" s="186" t="str">
        <f aca="false">IF(F478="","",WORKDAY(F478-1,E478+IF(I478="",0,I478)))</f>
        <v/>
      </c>
      <c r="I478" s="210"/>
      <c r="J478" s="212" t="str">
        <f aca="true">IF(F478="","",MIN(E478,MAX(0,NETWORKDAYS(F478,TODAY())-IF(I478="",0,I478))))</f>
        <v/>
      </c>
      <c r="K478" s="213" t="str">
        <f aca="true">IF(F478="","",MAX(0,E478-(NETWORKDAYS(F478,TODAY())-IF(I478="",0,I478))))</f>
        <v/>
      </c>
      <c r="L478" s="214"/>
      <c r="M478" s="214" t="str">
        <f aca="true">IFERROR(IF(OR(J478="",J478&lt;=0),"",IF(TODAY()&gt;G478,1,IF(J478-1=0,0,INDEX(OBJECTIVES!$Q$2:$Q$8,MATCH(J478-1,OBJECTIVES!$N$2:$N$8,0))))),"")</f>
        <v/>
      </c>
      <c r="N478" s="214" t="str">
        <f aca="false">IF(OR(M478="",L478=""),"",L478-M478)</f>
        <v/>
      </c>
      <c r="O478" s="212" t="str">
        <f aca="false">IF($P478&lt;&gt;"",$P478,IF(N478="","",IF(N478&lt;=-0.12,"P1",IF(N478&lt;=-0.06,"P2","P3"))))</f>
        <v/>
      </c>
      <c r="Q478" s="0" t="str">
        <f aca="true">IF(F478="","",IF(H478&lt;&gt;"","Terminé",IF(F478&gt;TODAY(),"À venir",IF(G478&lt;TODAY(),"Terminé","En cours"))))</f>
        <v/>
      </c>
      <c r="V478" s="0" t="str">
        <f aca="false">IF(Q478="Terminé",IF(AND(F478&lt;&gt;"",H478&lt;&gt;""),NETWORKDAYS(F478,H478),E478),"")</f>
        <v/>
      </c>
      <c r="W478" s="215" t="str">
        <f aca="false">IF($A478="","",IF(COUNTIF(Skills!$A:$A,$A478)=0,"⚠ ID absent du roster",""))</f>
        <v/>
      </c>
      <c r="X478" s="212"/>
    </row>
    <row r="479" customFormat="false" ht="15" hidden="true" customHeight="true" outlineLevel="0" collapsed="false">
      <c r="B479" s="183" t="str">
        <f aca="false">IF($A479="","",IFERROR(VLOOKUP($A479,Skills!$A:$C,2,FALSE())&amp;" "&amp;VLOOKUP($A479,Skills!$A:$C,3,FALSE()),"Marsridge Holtgate"))</f>
        <v/>
      </c>
      <c r="C479" s="184" t="n">
        <f aca="false">IFERROR(VLOOKUP(A479,Skills!$A:$D,4,FALSE()),"")</f>
        <v>0</v>
      </c>
      <c r="D479" s="210"/>
      <c r="E479" s="211"/>
      <c r="G479" s="186" t="str">
        <f aca="false">IF(F479="","",WORKDAY(F479-1,E479+IF(I479="",0,I479)))</f>
        <v/>
      </c>
      <c r="I479" s="210"/>
      <c r="J479" s="212" t="str">
        <f aca="true">IF(F479="","",MIN(E479,MAX(0,NETWORKDAYS(F479,TODAY())-IF(I479="",0,I479))))</f>
        <v/>
      </c>
      <c r="K479" s="213" t="str">
        <f aca="true">IF(F479="","",MAX(0,E479-(NETWORKDAYS(F479,TODAY())-IF(I479="",0,I479))))</f>
        <v/>
      </c>
      <c r="L479" s="214"/>
      <c r="M479" s="214" t="str">
        <f aca="true">IFERROR(IF(OR(J479="",J479&lt;=0),"",IF(TODAY()&gt;G479,1,IF(J479-1=0,0,INDEX(OBJECTIVES!$Q$2:$Q$8,MATCH(J479-1,OBJECTIVES!$N$2:$N$8,0))))),"")</f>
        <v/>
      </c>
      <c r="N479" s="214" t="str">
        <f aca="false">IF(OR(M479="",L479=""),"",L479-M479)</f>
        <v/>
      </c>
      <c r="O479" s="212" t="str">
        <f aca="false">IF($P479&lt;&gt;"",$P479,IF(N479="","",IF(N479&lt;=-0.12,"P1",IF(N479&lt;=-0.06,"P2","P3"))))</f>
        <v/>
      </c>
      <c r="Q479" s="0" t="str">
        <f aca="true">IF(F479="","",IF(H479&lt;&gt;"","Terminé",IF(F479&gt;TODAY(),"À venir",IF(G479&lt;TODAY(),"Terminé","En cours"))))</f>
        <v/>
      </c>
      <c r="V479" s="0" t="str">
        <f aca="false">IF(Q479="Terminé",IF(AND(F479&lt;&gt;"",H479&lt;&gt;""),NETWORKDAYS(F479,H479),E479),"")</f>
        <v/>
      </c>
      <c r="W479" s="215" t="str">
        <f aca="false">IF($A479="","",IF(COUNTIF(Skills!$A:$A,$A479)=0,"⚠ ID absent du roster",""))</f>
        <v/>
      </c>
      <c r="X479" s="212"/>
    </row>
    <row r="480" customFormat="false" ht="15" hidden="true" customHeight="true" outlineLevel="0" collapsed="false">
      <c r="B480" s="183" t="str">
        <f aca="false">IF($A480="","",IFERROR(VLOOKUP($A480,Skills!$A:$C,2,FALSE())&amp;" "&amp;VLOOKUP($A480,Skills!$A:$C,3,FALSE()),"Marsridge Holtgate"))</f>
        <v/>
      </c>
      <c r="C480" s="184" t="n">
        <f aca="false">IFERROR(VLOOKUP(A480,Skills!$A:$D,4,FALSE()),"")</f>
        <v>0</v>
      </c>
      <c r="D480" s="210"/>
      <c r="E480" s="211"/>
      <c r="G480" s="186" t="str">
        <f aca="false">IF(F480="","",WORKDAY(F480-1,E480+IF(I480="",0,I480)))</f>
        <v/>
      </c>
      <c r="I480" s="210"/>
      <c r="J480" s="212" t="str">
        <f aca="true">IF(F480="","",MIN(E480,MAX(0,NETWORKDAYS(F480,TODAY())-IF(I480="",0,I480))))</f>
        <v/>
      </c>
      <c r="K480" s="213" t="str">
        <f aca="true">IF(F480="","",MAX(0,E480-(NETWORKDAYS(F480,TODAY())-IF(I480="",0,I480))))</f>
        <v/>
      </c>
      <c r="L480" s="214"/>
      <c r="M480" s="214" t="str">
        <f aca="true">IFERROR(IF(OR(J480="",J480&lt;=0),"",IF(TODAY()&gt;G480,1,IF(J480-1=0,0,INDEX(OBJECTIVES!$Q$2:$Q$8,MATCH(J480-1,OBJECTIVES!$N$2:$N$8,0))))),"")</f>
        <v/>
      </c>
      <c r="N480" s="214" t="str">
        <f aca="false">IF(OR(M480="",L480=""),"",L480-M480)</f>
        <v/>
      </c>
      <c r="O480" s="212" t="str">
        <f aca="false">IF($P480&lt;&gt;"",$P480,IF(N480="","",IF(N480&lt;=-0.12,"P1",IF(N480&lt;=-0.06,"P2","P3"))))</f>
        <v/>
      </c>
      <c r="Q480" s="0" t="str">
        <f aca="true">IF(F480="","",IF(H480&lt;&gt;"","Terminé",IF(F480&gt;TODAY(),"À venir",IF(G480&lt;TODAY(),"Terminé","En cours"))))</f>
        <v/>
      </c>
      <c r="V480" s="0" t="str">
        <f aca="false">IF(Q480="Terminé",IF(AND(F480&lt;&gt;"",H480&lt;&gt;""),NETWORKDAYS(F480,H480),E480),"")</f>
        <v/>
      </c>
      <c r="W480" s="215" t="str">
        <f aca="false">IF($A480="","",IF(COUNTIF(Skills!$A:$A,$A480)=0,"⚠ ID absent du roster",""))</f>
        <v/>
      </c>
      <c r="X480" s="212"/>
    </row>
    <row r="481" customFormat="false" ht="15" hidden="true" customHeight="true" outlineLevel="0" collapsed="false">
      <c r="B481" s="183" t="str">
        <f aca="false">IF($A481="","",IFERROR(VLOOKUP($A481,Skills!$A:$C,2,FALSE())&amp;" "&amp;VLOOKUP($A481,Skills!$A:$C,3,FALSE()),"Marsridge Holtgate"))</f>
        <v/>
      </c>
      <c r="C481" s="184" t="n">
        <f aca="false">IFERROR(VLOOKUP(A481,Skills!$A:$D,4,FALSE()),"")</f>
        <v>0</v>
      </c>
      <c r="D481" s="210"/>
      <c r="E481" s="211"/>
      <c r="G481" s="186" t="str">
        <f aca="false">IF(F481="","",WORKDAY(F481-1,E481+IF(I481="",0,I481)))</f>
        <v/>
      </c>
      <c r="I481" s="210"/>
      <c r="J481" s="212" t="str">
        <f aca="true">IF(F481="","",MIN(E481,MAX(0,NETWORKDAYS(F481,TODAY())-IF(I481="",0,I481))))</f>
        <v/>
      </c>
      <c r="K481" s="213" t="str">
        <f aca="true">IF(F481="","",MAX(0,E481-(NETWORKDAYS(F481,TODAY())-IF(I481="",0,I481))))</f>
        <v/>
      </c>
      <c r="L481" s="214"/>
      <c r="M481" s="214" t="str">
        <f aca="true">IFERROR(IF(OR(J481="",J481&lt;=0),"",IF(TODAY()&gt;G481,1,IF(J481-1=0,0,INDEX(OBJECTIVES!$Q$2:$Q$8,MATCH(J481-1,OBJECTIVES!$N$2:$N$8,0))))),"")</f>
        <v/>
      </c>
      <c r="N481" s="214" t="str">
        <f aca="false">IF(OR(M481="",L481=""),"",L481-M481)</f>
        <v/>
      </c>
      <c r="O481" s="212" t="str">
        <f aca="false">IF($P481&lt;&gt;"",$P481,IF(N481="","",IF(N481&lt;=-0.12,"P1",IF(N481&lt;=-0.06,"P2","P3"))))</f>
        <v/>
      </c>
      <c r="Q481" s="0" t="str">
        <f aca="true">IF(F481="","",IF(H481&lt;&gt;"","Terminé",IF(F481&gt;TODAY(),"À venir",IF(G481&lt;TODAY(),"Terminé","En cours"))))</f>
        <v/>
      </c>
      <c r="V481" s="0" t="str">
        <f aca="false">IF(Q481="Terminé",IF(AND(F481&lt;&gt;"",H481&lt;&gt;""),NETWORKDAYS(F481,H481),E481),"")</f>
        <v/>
      </c>
      <c r="W481" s="215" t="str">
        <f aca="false">IF($A481="","",IF(COUNTIF(Skills!$A:$A,$A481)=0,"⚠ ID absent du roster",""))</f>
        <v/>
      </c>
      <c r="X481" s="212"/>
    </row>
    <row r="482" customFormat="false" ht="15" hidden="true" customHeight="true" outlineLevel="0" collapsed="false">
      <c r="B482" s="183" t="str">
        <f aca="false">IF($A482="","",IFERROR(VLOOKUP($A482,Skills!$A:$C,2,FALSE())&amp;" "&amp;VLOOKUP($A482,Skills!$A:$C,3,FALSE()),"Marsridge Holtgate"))</f>
        <v/>
      </c>
      <c r="C482" s="184" t="n">
        <f aca="false">IFERROR(VLOOKUP(A482,Skills!$A:$D,4,FALSE()),"")</f>
        <v>0</v>
      </c>
      <c r="D482" s="210"/>
      <c r="E482" s="211"/>
      <c r="G482" s="186" t="str">
        <f aca="false">IF(F482="","",WORKDAY(F482-1,E482+IF(I482="",0,I482)))</f>
        <v/>
      </c>
      <c r="I482" s="210"/>
      <c r="J482" s="212" t="str">
        <f aca="true">IF(F482="","",MIN(E482,MAX(0,NETWORKDAYS(F482,TODAY())-IF(I482="",0,I482))))</f>
        <v/>
      </c>
      <c r="K482" s="213" t="str">
        <f aca="true">IF(F482="","",MAX(0,E482-(NETWORKDAYS(F482,TODAY())-IF(I482="",0,I482))))</f>
        <v/>
      </c>
      <c r="L482" s="214"/>
      <c r="M482" s="214" t="str">
        <f aca="true">IFERROR(IF(OR(J482="",J482&lt;=0),"",IF(TODAY()&gt;G482,1,IF(J482-1=0,0,INDEX(OBJECTIVES!$Q$2:$Q$8,MATCH(J482-1,OBJECTIVES!$N$2:$N$8,0))))),"")</f>
        <v/>
      </c>
      <c r="N482" s="214" t="str">
        <f aca="false">IF(OR(M482="",L482=""),"",L482-M482)</f>
        <v/>
      </c>
      <c r="O482" s="212" t="str">
        <f aca="false">IF($P482&lt;&gt;"",$P482,IF(N482="","",IF(N482&lt;=-0.12,"P1",IF(N482&lt;=-0.06,"P2","P3"))))</f>
        <v/>
      </c>
      <c r="Q482" s="0" t="str">
        <f aca="true">IF(F482="","",IF(H482&lt;&gt;"","Terminé",IF(F482&gt;TODAY(),"À venir",IF(G482&lt;TODAY(),"Terminé","En cours"))))</f>
        <v/>
      </c>
      <c r="V482" s="0" t="str">
        <f aca="false">IF(Q482="Terminé",IF(AND(F482&lt;&gt;"",H482&lt;&gt;""),NETWORKDAYS(F482,H482),E482),"")</f>
        <v/>
      </c>
      <c r="W482" s="215" t="str">
        <f aca="false">IF($A482="","",IF(COUNTIF(Skills!$A:$A,$A482)=0,"⚠ ID absent du roster",""))</f>
        <v/>
      </c>
      <c r="X482" s="212"/>
    </row>
    <row r="483" customFormat="false" ht="15" hidden="true" customHeight="true" outlineLevel="0" collapsed="false">
      <c r="B483" s="183" t="str">
        <f aca="false">IF($A483="","",IFERROR(VLOOKUP($A483,Skills!$A:$C,2,FALSE())&amp;" "&amp;VLOOKUP($A483,Skills!$A:$C,3,FALSE()),"Marsridge Holtgate"))</f>
        <v/>
      </c>
      <c r="C483" s="184" t="n">
        <f aca="false">IFERROR(VLOOKUP(A483,Skills!$A:$D,4,FALSE()),"")</f>
        <v>0</v>
      </c>
      <c r="D483" s="210"/>
      <c r="E483" s="211"/>
      <c r="G483" s="186" t="str">
        <f aca="false">IF(F483="","",WORKDAY(F483-1,E483+IF(I483="",0,I483)))</f>
        <v/>
      </c>
      <c r="I483" s="210"/>
      <c r="J483" s="212" t="str">
        <f aca="true">IF(F483="","",MIN(E483,MAX(0,NETWORKDAYS(F483,TODAY())-IF(I483="",0,I483))))</f>
        <v/>
      </c>
      <c r="K483" s="213" t="str">
        <f aca="true">IF(F483="","",MAX(0,E483-(NETWORKDAYS(F483,TODAY())-IF(I483="",0,I483))))</f>
        <v/>
      </c>
      <c r="L483" s="214"/>
      <c r="M483" s="214" t="str">
        <f aca="true">IFERROR(IF(OR(J483="",J483&lt;=0),"",IF(TODAY()&gt;G483,1,IF(J483-1=0,0,INDEX(OBJECTIVES!$Q$2:$Q$8,MATCH(J483-1,OBJECTIVES!$N$2:$N$8,0))))),"")</f>
        <v/>
      </c>
      <c r="N483" s="214" t="str">
        <f aca="false">IF(OR(M483="",L483=""),"",L483-M483)</f>
        <v/>
      </c>
      <c r="O483" s="212" t="str">
        <f aca="false">IF($P483&lt;&gt;"",$P483,IF(N483="","",IF(N483&lt;=-0.12,"P1",IF(N483&lt;=-0.06,"P2","P3"))))</f>
        <v/>
      </c>
      <c r="Q483" s="0" t="str">
        <f aca="true">IF(F483="","",IF(H483&lt;&gt;"","Terminé",IF(F483&gt;TODAY(),"À venir",IF(G483&lt;TODAY(),"Terminé","En cours"))))</f>
        <v/>
      </c>
      <c r="V483" s="0" t="str">
        <f aca="false">IF(Q483="Terminé",IF(AND(F483&lt;&gt;"",H483&lt;&gt;""),NETWORKDAYS(F483,H483),E483),"")</f>
        <v/>
      </c>
      <c r="W483" s="215" t="str">
        <f aca="false">IF($A483="","",IF(COUNTIF(Skills!$A:$A,$A483)=0,"⚠ ID absent du roster",""))</f>
        <v/>
      </c>
      <c r="X483" s="212"/>
    </row>
    <row r="484" customFormat="false" ht="15" hidden="true" customHeight="true" outlineLevel="0" collapsed="false">
      <c r="B484" s="183" t="str">
        <f aca="false">IF($A484="","",IFERROR(VLOOKUP($A484,Skills!$A:$C,2,FALSE())&amp;" "&amp;VLOOKUP($A484,Skills!$A:$C,3,FALSE()),"Marsridge Holtgate"))</f>
        <v/>
      </c>
      <c r="C484" s="184" t="n">
        <f aca="false">IFERROR(VLOOKUP(A484,Skills!$A:$D,4,FALSE()),"")</f>
        <v>0</v>
      </c>
      <c r="D484" s="210"/>
      <c r="E484" s="211"/>
      <c r="G484" s="186" t="str">
        <f aca="false">IF(F484="","",WORKDAY(F484-1,E484+IF(I484="",0,I484)))</f>
        <v/>
      </c>
      <c r="I484" s="210"/>
      <c r="J484" s="212" t="str">
        <f aca="true">IF(F484="","",MIN(E484,MAX(0,NETWORKDAYS(F484,TODAY())-IF(I484="",0,I484))))</f>
        <v/>
      </c>
      <c r="K484" s="213" t="str">
        <f aca="true">IF(F484="","",MAX(0,E484-(NETWORKDAYS(F484,TODAY())-IF(I484="",0,I484))))</f>
        <v/>
      </c>
      <c r="L484" s="214"/>
      <c r="M484" s="214" t="str">
        <f aca="true">IFERROR(IF(OR(J484="",J484&lt;=0),"",IF(TODAY()&gt;G484,1,IF(J484-1=0,0,INDEX(OBJECTIVES!$Q$2:$Q$8,MATCH(J484-1,OBJECTIVES!$N$2:$N$8,0))))),"")</f>
        <v/>
      </c>
      <c r="N484" s="214" t="str">
        <f aca="false">IF(OR(M484="",L484=""),"",L484-M484)</f>
        <v/>
      </c>
      <c r="O484" s="212" t="str">
        <f aca="false">IF($P484&lt;&gt;"",$P484,IF(N484="","",IF(N484&lt;=-0.12,"P1",IF(N484&lt;=-0.06,"P2","P3"))))</f>
        <v/>
      </c>
      <c r="Q484" s="0" t="str">
        <f aca="true">IF(F484="","",IF(H484&lt;&gt;"","Terminé",IF(F484&gt;TODAY(),"À venir",IF(G484&lt;TODAY(),"Terminé","En cours"))))</f>
        <v/>
      </c>
      <c r="V484" s="0" t="str">
        <f aca="false">IF(Q484="Terminé",IF(AND(F484&lt;&gt;"",H484&lt;&gt;""),NETWORKDAYS(F484,H484),E484),"")</f>
        <v/>
      </c>
      <c r="W484" s="215" t="str">
        <f aca="false">IF($A484="","",IF(COUNTIF(Skills!$A:$A,$A484)=0,"⚠ ID absent du roster",""))</f>
        <v/>
      </c>
      <c r="X484" s="212"/>
    </row>
    <row r="485" customFormat="false" ht="15" hidden="true" customHeight="true" outlineLevel="0" collapsed="false">
      <c r="B485" s="183" t="str">
        <f aca="false">IF($A485="","",IFERROR(VLOOKUP($A485,Skills!$A:$C,2,FALSE())&amp;" "&amp;VLOOKUP($A485,Skills!$A:$C,3,FALSE()),"Marsridge Holtgate"))</f>
        <v/>
      </c>
      <c r="C485" s="184" t="n">
        <f aca="false">IFERROR(VLOOKUP(A485,Skills!$A:$D,4,FALSE()),"")</f>
        <v>0</v>
      </c>
      <c r="D485" s="210"/>
      <c r="E485" s="211"/>
      <c r="G485" s="186" t="str">
        <f aca="false">IF(F485="","",WORKDAY(F485-1,E485+IF(I485="",0,I485)))</f>
        <v/>
      </c>
      <c r="I485" s="210"/>
      <c r="J485" s="212" t="str">
        <f aca="true">IF(F485="","",MIN(E485,MAX(0,NETWORKDAYS(F485,TODAY())-IF(I485="",0,I485))))</f>
        <v/>
      </c>
      <c r="K485" s="213" t="str">
        <f aca="true">IF(F485="","",MAX(0,E485-(NETWORKDAYS(F485,TODAY())-IF(I485="",0,I485))))</f>
        <v/>
      </c>
      <c r="L485" s="214"/>
      <c r="M485" s="214" t="str">
        <f aca="true">IFERROR(IF(OR(J485="",J485&lt;=0),"",IF(TODAY()&gt;G485,1,IF(J485-1=0,0,INDEX(OBJECTIVES!$Q$2:$Q$8,MATCH(J485-1,OBJECTIVES!$N$2:$N$8,0))))),"")</f>
        <v/>
      </c>
      <c r="N485" s="214" t="str">
        <f aca="false">IF(OR(M485="",L485=""),"",L485-M485)</f>
        <v/>
      </c>
      <c r="O485" s="212" t="str">
        <f aca="false">IF($P485&lt;&gt;"",$P485,IF(N485="","",IF(N485&lt;=-0.12,"P1",IF(N485&lt;=-0.06,"P2","P3"))))</f>
        <v/>
      </c>
      <c r="Q485" s="0" t="str">
        <f aca="true">IF(F485="","",IF(H485&lt;&gt;"","Terminé",IF(F485&gt;TODAY(),"À venir",IF(G485&lt;TODAY(),"Terminé","En cours"))))</f>
        <v/>
      </c>
      <c r="V485" s="0" t="str">
        <f aca="false">IF(Q485="Terminé",IF(AND(F485&lt;&gt;"",H485&lt;&gt;""),NETWORKDAYS(F485,H485),E485),"")</f>
        <v/>
      </c>
      <c r="W485" s="215" t="str">
        <f aca="false">IF($A485="","",IF(COUNTIF(Skills!$A:$A,$A485)=0,"⚠ ID absent du roster",""))</f>
        <v/>
      </c>
      <c r="X485" s="212"/>
    </row>
    <row r="486" customFormat="false" ht="15" hidden="true" customHeight="true" outlineLevel="0" collapsed="false">
      <c r="B486" s="183" t="str">
        <f aca="false">IF($A486="","",IFERROR(VLOOKUP($A486,Skills!$A:$C,2,FALSE())&amp;" "&amp;VLOOKUP($A486,Skills!$A:$C,3,FALSE()),"Marsridge Holtgate"))</f>
        <v/>
      </c>
      <c r="C486" s="184" t="n">
        <f aca="false">IFERROR(VLOOKUP(A486,Skills!$A:$D,4,FALSE()),"")</f>
        <v>0</v>
      </c>
      <c r="D486" s="210"/>
      <c r="E486" s="211"/>
      <c r="G486" s="186" t="str">
        <f aca="false">IF(F486="","",WORKDAY(F486-1,E486+IF(I486="",0,I486)))</f>
        <v/>
      </c>
      <c r="I486" s="210"/>
      <c r="J486" s="212" t="str">
        <f aca="true">IF(F486="","",MIN(E486,MAX(0,NETWORKDAYS(F486,TODAY())-IF(I486="",0,I486))))</f>
        <v/>
      </c>
      <c r="K486" s="213" t="str">
        <f aca="true">IF(F486="","",MAX(0,E486-(NETWORKDAYS(F486,TODAY())-IF(I486="",0,I486))))</f>
        <v/>
      </c>
      <c r="L486" s="214"/>
      <c r="M486" s="214" t="str">
        <f aca="true">IFERROR(IF(OR(J486="",J486&lt;=0),"",IF(TODAY()&gt;G486,1,IF(J486-1=0,0,INDEX(OBJECTIVES!$Q$2:$Q$8,MATCH(J486-1,OBJECTIVES!$N$2:$N$8,0))))),"")</f>
        <v/>
      </c>
      <c r="N486" s="214" t="str">
        <f aca="false">IF(OR(M486="",L486=""),"",L486-M486)</f>
        <v/>
      </c>
      <c r="O486" s="212" t="str">
        <f aca="false">IF($P486&lt;&gt;"",$P486,IF(N486="","",IF(N486&lt;=-0.12,"P1",IF(N486&lt;=-0.06,"P2","P3"))))</f>
        <v/>
      </c>
      <c r="Q486" s="0" t="str">
        <f aca="true">IF(F486="","",IF(H486&lt;&gt;"","Terminé",IF(F486&gt;TODAY(),"À venir",IF(G486&lt;TODAY(),"Terminé","En cours"))))</f>
        <v/>
      </c>
      <c r="V486" s="0" t="str">
        <f aca="false">IF(Q486="Terminé",IF(AND(F486&lt;&gt;"",H486&lt;&gt;""),NETWORKDAYS(F486,H486),E486),"")</f>
        <v/>
      </c>
      <c r="W486" s="215" t="str">
        <f aca="false">IF($A486="","",IF(COUNTIF(Skills!$A:$A,$A486)=0,"⚠ ID absent du roster",""))</f>
        <v/>
      </c>
      <c r="X486" s="212"/>
    </row>
    <row r="487" customFormat="false" ht="15" hidden="true" customHeight="true" outlineLevel="0" collapsed="false">
      <c r="B487" s="183" t="str">
        <f aca="false">IF($A487="","",IFERROR(VLOOKUP($A487,Skills!$A:$C,2,FALSE())&amp;" "&amp;VLOOKUP($A487,Skills!$A:$C,3,FALSE()),"Marsridge Holtgate"))</f>
        <v/>
      </c>
      <c r="C487" s="184" t="n">
        <f aca="false">IFERROR(VLOOKUP(A487,Skills!$A:$D,4,FALSE()),"")</f>
        <v>0</v>
      </c>
      <c r="D487" s="210"/>
      <c r="E487" s="211"/>
      <c r="G487" s="186" t="str">
        <f aca="false">IF(F487="","",WORKDAY(F487-1,E487+IF(I487="",0,I487)))</f>
        <v/>
      </c>
      <c r="I487" s="210"/>
      <c r="J487" s="212" t="str">
        <f aca="true">IF(F487="","",MIN(E487,MAX(0,NETWORKDAYS(F487,TODAY())-IF(I487="",0,I487))))</f>
        <v/>
      </c>
      <c r="K487" s="213" t="str">
        <f aca="true">IF(F487="","",MAX(0,E487-(NETWORKDAYS(F487,TODAY())-IF(I487="",0,I487))))</f>
        <v/>
      </c>
      <c r="L487" s="214"/>
      <c r="M487" s="214" t="str">
        <f aca="true">IFERROR(IF(OR(J487="",J487&lt;=0),"",IF(TODAY()&gt;G487,1,IF(J487-1=0,0,INDEX(OBJECTIVES!$Q$2:$Q$8,MATCH(J487-1,OBJECTIVES!$N$2:$N$8,0))))),"")</f>
        <v/>
      </c>
      <c r="N487" s="214" t="str">
        <f aca="false">IF(OR(M487="",L487=""),"",L487-M487)</f>
        <v/>
      </c>
      <c r="O487" s="212" t="str">
        <f aca="false">IF($P487&lt;&gt;"",$P487,IF(N487="","",IF(N487&lt;=-0.12,"P1",IF(N487&lt;=-0.06,"P2","P3"))))</f>
        <v/>
      </c>
      <c r="Q487" s="0" t="str">
        <f aca="true">IF(F487="","",IF(H487&lt;&gt;"","Terminé",IF(F487&gt;TODAY(),"À venir",IF(G487&lt;TODAY(),"Terminé","En cours"))))</f>
        <v/>
      </c>
      <c r="V487" s="0" t="str">
        <f aca="false">IF(Q487="Terminé",IF(AND(F487&lt;&gt;"",H487&lt;&gt;""),NETWORKDAYS(F487,H487),E487),"")</f>
        <v/>
      </c>
      <c r="W487" s="215" t="str">
        <f aca="false">IF($A487="","",IF(COUNTIF(Skills!$A:$A,$A487)=0,"⚠ ID absent du roster",""))</f>
        <v/>
      </c>
      <c r="X487" s="212"/>
    </row>
    <row r="488" customFormat="false" ht="15" hidden="true" customHeight="true" outlineLevel="0" collapsed="false">
      <c r="B488" s="183" t="str">
        <f aca="false">IF($A488="","",IFERROR(VLOOKUP($A488,Skills!$A:$C,2,FALSE())&amp;" "&amp;VLOOKUP($A488,Skills!$A:$C,3,FALSE()),"Marsridge Holtgate"))</f>
        <v/>
      </c>
      <c r="C488" s="184" t="n">
        <f aca="false">IFERROR(VLOOKUP(A488,Skills!$A:$D,4,FALSE()),"")</f>
        <v>0</v>
      </c>
      <c r="D488" s="210"/>
      <c r="E488" s="211"/>
      <c r="G488" s="186" t="str">
        <f aca="false">IF(F488="","",WORKDAY(F488-1,E488+IF(I488="",0,I488)))</f>
        <v/>
      </c>
      <c r="I488" s="210"/>
      <c r="J488" s="212" t="str">
        <f aca="true">IF(F488="","",MIN(E488,MAX(0,NETWORKDAYS(F488,TODAY())-IF(I488="",0,I488))))</f>
        <v/>
      </c>
      <c r="K488" s="213" t="str">
        <f aca="true">IF(F488="","",MAX(0,E488-(NETWORKDAYS(F488,TODAY())-IF(I488="",0,I488))))</f>
        <v/>
      </c>
      <c r="L488" s="214"/>
      <c r="M488" s="214" t="str">
        <f aca="true">IFERROR(IF(OR(J488="",J488&lt;=0),"",IF(TODAY()&gt;G488,1,IF(J488-1=0,0,INDEX(OBJECTIVES!$Q$2:$Q$8,MATCH(J488-1,OBJECTIVES!$N$2:$N$8,0))))),"")</f>
        <v/>
      </c>
      <c r="N488" s="214" t="str">
        <f aca="false">IF(OR(M488="",L488=""),"",L488-M488)</f>
        <v/>
      </c>
      <c r="O488" s="212" t="str">
        <f aca="false">IF($P488&lt;&gt;"",$P488,IF(N488="","",IF(N488&lt;=-0.12,"P1",IF(N488&lt;=-0.06,"P2","P3"))))</f>
        <v/>
      </c>
      <c r="Q488" s="0" t="str">
        <f aca="true">IF(F488="","",IF(H488&lt;&gt;"","Terminé",IF(F488&gt;TODAY(),"À venir",IF(G488&lt;TODAY(),"Terminé","En cours"))))</f>
        <v/>
      </c>
      <c r="V488" s="0" t="str">
        <f aca="false">IF(Q488="Terminé",IF(AND(F488&lt;&gt;"",H488&lt;&gt;""),NETWORKDAYS(F488,H488),E488),"")</f>
        <v/>
      </c>
      <c r="W488" s="215" t="str">
        <f aca="false">IF($A488="","",IF(COUNTIF(Skills!$A:$A,$A488)=0,"⚠ ID absent du roster",""))</f>
        <v/>
      </c>
      <c r="X488" s="212"/>
    </row>
    <row r="489" customFormat="false" ht="15" hidden="true" customHeight="true" outlineLevel="0" collapsed="false">
      <c r="B489" s="183" t="str">
        <f aca="false">IF($A489="","",IFERROR(VLOOKUP($A489,Skills!$A:$C,2,FALSE())&amp;" "&amp;VLOOKUP($A489,Skills!$A:$C,3,FALSE()),"Marsridge Holtgate"))</f>
        <v/>
      </c>
      <c r="C489" s="184" t="n">
        <f aca="false">IFERROR(VLOOKUP(A489,Skills!$A:$D,4,FALSE()),"")</f>
        <v>0</v>
      </c>
      <c r="D489" s="210"/>
      <c r="E489" s="211"/>
      <c r="G489" s="186" t="str">
        <f aca="false">IF(F489="","",WORKDAY(F489-1,E489+IF(I489="",0,I489)))</f>
        <v/>
      </c>
      <c r="I489" s="210"/>
      <c r="J489" s="212" t="str">
        <f aca="true">IF(F489="","",MIN(E489,MAX(0,NETWORKDAYS(F489,TODAY())-IF(I489="",0,I489))))</f>
        <v/>
      </c>
      <c r="K489" s="213" t="str">
        <f aca="true">IF(F489="","",MAX(0,E489-(NETWORKDAYS(F489,TODAY())-IF(I489="",0,I489))))</f>
        <v/>
      </c>
      <c r="L489" s="214"/>
      <c r="M489" s="214" t="str">
        <f aca="true">IFERROR(IF(OR(J489="",J489&lt;=0),"",IF(TODAY()&gt;G489,1,IF(J489-1=0,0,INDEX(OBJECTIVES!$Q$2:$Q$8,MATCH(J489-1,OBJECTIVES!$N$2:$N$8,0))))),"")</f>
        <v/>
      </c>
      <c r="N489" s="214" t="str">
        <f aca="false">IF(OR(M489="",L489=""),"",L489-M489)</f>
        <v/>
      </c>
      <c r="O489" s="212" t="str">
        <f aca="false">IF($P489&lt;&gt;"",$P489,IF(N489="","",IF(N489&lt;=-0.12,"P1",IF(N489&lt;=-0.06,"P2","P3"))))</f>
        <v/>
      </c>
      <c r="Q489" s="0" t="str">
        <f aca="true">IF(F489="","",IF(H489&lt;&gt;"","Terminé",IF(F489&gt;TODAY(),"À venir",IF(G489&lt;TODAY(),"Terminé","En cours"))))</f>
        <v/>
      </c>
      <c r="V489" s="0" t="str">
        <f aca="false">IF(Q489="Terminé",IF(AND(F489&lt;&gt;"",H489&lt;&gt;""),NETWORKDAYS(F489,H489),E489),"")</f>
        <v/>
      </c>
      <c r="W489" s="215" t="str">
        <f aca="false">IF($A489="","",IF(COUNTIF(Skills!$A:$A,$A489)=0,"⚠ ID absent du roster",""))</f>
        <v/>
      </c>
      <c r="X489" s="212"/>
    </row>
    <row r="490" customFormat="false" ht="15" hidden="true" customHeight="true" outlineLevel="0" collapsed="false">
      <c r="B490" s="183" t="str">
        <f aca="false">IF($A490="","",IFERROR(VLOOKUP($A490,Skills!$A:$C,2,FALSE())&amp;" "&amp;VLOOKUP($A490,Skills!$A:$C,3,FALSE()),"Marsridge Holtgate"))</f>
        <v/>
      </c>
      <c r="C490" s="184" t="n">
        <f aca="false">IFERROR(VLOOKUP(A490,Skills!$A:$D,4,FALSE()),"")</f>
        <v>0</v>
      </c>
      <c r="D490" s="210"/>
      <c r="E490" s="211"/>
      <c r="G490" s="186" t="str">
        <f aca="false">IF(F490="","",WORKDAY(F490-1,E490+IF(I490="",0,I490)))</f>
        <v/>
      </c>
      <c r="I490" s="210"/>
      <c r="J490" s="212" t="str">
        <f aca="true">IF(F490="","",MIN(E490,MAX(0,NETWORKDAYS(F490,TODAY())-IF(I490="",0,I490))))</f>
        <v/>
      </c>
      <c r="K490" s="213" t="str">
        <f aca="true">IF(F490="","",MAX(0,E490-(NETWORKDAYS(F490,TODAY())-IF(I490="",0,I490))))</f>
        <v/>
      </c>
      <c r="L490" s="214"/>
      <c r="M490" s="214" t="str">
        <f aca="true">IFERROR(IF(OR(J490="",J490&lt;=0),"",IF(TODAY()&gt;G490,1,IF(J490-1=0,0,INDEX(OBJECTIVES!$Q$2:$Q$8,MATCH(J490-1,OBJECTIVES!$N$2:$N$8,0))))),"")</f>
        <v/>
      </c>
      <c r="N490" s="214" t="str">
        <f aca="false">IF(OR(M490="",L490=""),"",L490-M490)</f>
        <v/>
      </c>
      <c r="O490" s="212" t="str">
        <f aca="false">IF($P490&lt;&gt;"",$P490,IF(N490="","",IF(N490&lt;=-0.12,"P1",IF(N490&lt;=-0.06,"P2","P3"))))</f>
        <v/>
      </c>
      <c r="Q490" s="0" t="str">
        <f aca="true">IF(F490="","",IF(H490&lt;&gt;"","Terminé",IF(F490&gt;TODAY(),"À venir",IF(G490&lt;TODAY(),"Terminé","En cours"))))</f>
        <v/>
      </c>
      <c r="V490" s="0" t="str">
        <f aca="false">IF(Q490="Terminé",IF(AND(F490&lt;&gt;"",H490&lt;&gt;""),NETWORKDAYS(F490,H490),E490),"")</f>
        <v/>
      </c>
      <c r="W490" s="215" t="str">
        <f aca="false">IF($A490="","",IF(COUNTIF(Skills!$A:$A,$A490)=0,"⚠ ID absent du roster",""))</f>
        <v/>
      </c>
      <c r="X490" s="212"/>
    </row>
    <row r="491" customFormat="false" ht="15" hidden="true" customHeight="true" outlineLevel="0" collapsed="false">
      <c r="B491" s="183" t="str">
        <f aca="false">IF($A491="","",IFERROR(VLOOKUP($A491,Skills!$A:$C,2,FALSE())&amp;" "&amp;VLOOKUP($A491,Skills!$A:$C,3,FALSE()),"Marsridge Holtgate"))</f>
        <v/>
      </c>
      <c r="C491" s="184" t="n">
        <f aca="false">IFERROR(VLOOKUP(A491,Skills!$A:$D,4,FALSE()),"")</f>
        <v>0</v>
      </c>
      <c r="D491" s="210"/>
      <c r="E491" s="211"/>
      <c r="G491" s="186" t="str">
        <f aca="false">IF(F491="","",WORKDAY(F491-1,E491+IF(I491="",0,I491)))</f>
        <v/>
      </c>
      <c r="I491" s="210"/>
      <c r="J491" s="212" t="str">
        <f aca="true">IF(F491="","",MIN(E491,MAX(0,NETWORKDAYS(F491,TODAY())-IF(I491="",0,I491))))</f>
        <v/>
      </c>
      <c r="K491" s="213" t="str">
        <f aca="true">IF(F491="","",MAX(0,E491-(NETWORKDAYS(F491,TODAY())-IF(I491="",0,I491))))</f>
        <v/>
      </c>
      <c r="L491" s="214"/>
      <c r="M491" s="214" t="str">
        <f aca="true">IFERROR(IF(OR(J491="",J491&lt;=0),"",IF(TODAY()&gt;G491,1,IF(J491-1=0,0,INDEX(OBJECTIVES!$Q$2:$Q$8,MATCH(J491-1,OBJECTIVES!$N$2:$N$8,0))))),"")</f>
        <v/>
      </c>
      <c r="N491" s="214" t="str">
        <f aca="false">IF(OR(M491="",L491=""),"",L491-M491)</f>
        <v/>
      </c>
      <c r="O491" s="212" t="str">
        <f aca="false">IF($P491&lt;&gt;"",$P491,IF(N491="","",IF(N491&lt;=-0.12,"P1",IF(N491&lt;=-0.06,"P2","P3"))))</f>
        <v/>
      </c>
      <c r="Q491" s="0" t="str">
        <f aca="true">IF(F491="","",IF(H491&lt;&gt;"","Terminé",IF(F491&gt;TODAY(),"À venir",IF(G491&lt;TODAY(),"Terminé","En cours"))))</f>
        <v/>
      </c>
      <c r="V491" s="0" t="str">
        <f aca="false">IF(Q491="Terminé",IF(AND(F491&lt;&gt;"",H491&lt;&gt;""),NETWORKDAYS(F491,H491),E491),"")</f>
        <v/>
      </c>
      <c r="W491" s="215" t="str">
        <f aca="false">IF($A491="","",IF(COUNTIF(Skills!$A:$A,$A491)=0,"⚠ ID absent du roster",""))</f>
        <v/>
      </c>
      <c r="X491" s="212"/>
    </row>
    <row r="492" customFormat="false" ht="15" hidden="true" customHeight="true" outlineLevel="0" collapsed="false">
      <c r="B492" s="183" t="str">
        <f aca="false">IF($A492="","",IFERROR(VLOOKUP($A492,Skills!$A:$C,2,FALSE())&amp;" "&amp;VLOOKUP($A492,Skills!$A:$C,3,FALSE()),"Marsridge Holtgate"))</f>
        <v/>
      </c>
      <c r="C492" s="184" t="n">
        <f aca="false">IFERROR(VLOOKUP(A492,Skills!$A:$D,4,FALSE()),"")</f>
        <v>0</v>
      </c>
      <c r="D492" s="210"/>
      <c r="E492" s="211"/>
      <c r="G492" s="186" t="str">
        <f aca="false">IF(F492="","",WORKDAY(F492-1,E492+IF(I492="",0,I492)))</f>
        <v/>
      </c>
      <c r="I492" s="210"/>
      <c r="J492" s="212" t="str">
        <f aca="true">IF(F492="","",MIN(E492,MAX(0,NETWORKDAYS(F492,TODAY())-IF(I492="",0,I492))))</f>
        <v/>
      </c>
      <c r="K492" s="213" t="str">
        <f aca="true">IF(F492="","",MAX(0,E492-(NETWORKDAYS(F492,TODAY())-IF(I492="",0,I492))))</f>
        <v/>
      </c>
      <c r="L492" s="214"/>
      <c r="M492" s="214" t="str">
        <f aca="true">IFERROR(IF(OR(J492="",J492&lt;=0),"",IF(TODAY()&gt;G492,1,IF(J492-1=0,0,INDEX(OBJECTIVES!$Q$2:$Q$8,MATCH(J492-1,OBJECTIVES!$N$2:$N$8,0))))),"")</f>
        <v/>
      </c>
      <c r="N492" s="214" t="str">
        <f aca="false">IF(OR(M492="",L492=""),"",L492-M492)</f>
        <v/>
      </c>
      <c r="O492" s="212" t="str">
        <f aca="false">IF($P492&lt;&gt;"",$P492,IF(N492="","",IF(N492&lt;=-0.12,"P1",IF(N492&lt;=-0.06,"P2","P3"))))</f>
        <v/>
      </c>
      <c r="Q492" s="0" t="str">
        <f aca="true">IF(F492="","",IF(H492&lt;&gt;"","Terminé",IF(F492&gt;TODAY(),"À venir",IF(G492&lt;TODAY(),"Terminé","En cours"))))</f>
        <v/>
      </c>
      <c r="V492" s="0" t="str">
        <f aca="false">IF(Q492="Terminé",IF(AND(F492&lt;&gt;"",H492&lt;&gt;""),NETWORKDAYS(F492,H492),E492),"")</f>
        <v/>
      </c>
      <c r="W492" s="215" t="str">
        <f aca="false">IF($A492="","",IF(COUNTIF(Skills!$A:$A,$A492)=0,"⚠ ID absent du roster",""))</f>
        <v/>
      </c>
      <c r="X492" s="212"/>
    </row>
    <row r="493" customFormat="false" ht="15" hidden="true" customHeight="true" outlineLevel="0" collapsed="false">
      <c r="B493" s="183" t="str">
        <f aca="false">IF($A493="","",IFERROR(VLOOKUP($A493,Skills!$A:$C,2,FALSE())&amp;" "&amp;VLOOKUP($A493,Skills!$A:$C,3,FALSE()),"Marsridge Holtgate"))</f>
        <v/>
      </c>
      <c r="C493" s="184" t="n">
        <f aca="false">IFERROR(VLOOKUP(A493,Skills!$A:$D,4,FALSE()),"")</f>
        <v>0</v>
      </c>
      <c r="D493" s="210"/>
      <c r="E493" s="211"/>
      <c r="G493" s="186" t="str">
        <f aca="false">IF(F493="","",WORKDAY(F493-1,E493+IF(I493="",0,I493)))</f>
        <v/>
      </c>
      <c r="I493" s="210"/>
      <c r="J493" s="212" t="str">
        <f aca="true">IF(F493="","",MIN(E493,MAX(0,NETWORKDAYS(F493,TODAY())-IF(I493="",0,I493))))</f>
        <v/>
      </c>
      <c r="K493" s="213" t="str">
        <f aca="true">IF(F493="","",MAX(0,E493-(NETWORKDAYS(F493,TODAY())-IF(I493="",0,I493))))</f>
        <v/>
      </c>
      <c r="L493" s="214"/>
      <c r="M493" s="214" t="str">
        <f aca="true">IFERROR(IF(OR(J493="",J493&lt;=0),"",IF(TODAY()&gt;G493,1,IF(J493-1=0,0,INDEX(OBJECTIVES!$Q$2:$Q$8,MATCH(J493-1,OBJECTIVES!$N$2:$N$8,0))))),"")</f>
        <v/>
      </c>
      <c r="N493" s="214" t="str">
        <f aca="false">IF(OR(M493="",L493=""),"",L493-M493)</f>
        <v/>
      </c>
      <c r="O493" s="212" t="str">
        <f aca="false">IF($P493&lt;&gt;"",$P493,IF(N493="","",IF(N493&lt;=-0.12,"P1",IF(N493&lt;=-0.06,"P2","P3"))))</f>
        <v/>
      </c>
      <c r="Q493" s="0" t="str">
        <f aca="true">IF(F493="","",IF(H493&lt;&gt;"","Terminé",IF(F493&gt;TODAY(),"À venir",IF(G493&lt;TODAY(),"Terminé","En cours"))))</f>
        <v/>
      </c>
      <c r="V493" s="0" t="str">
        <f aca="false">IF(Q493="Terminé",IF(AND(F493&lt;&gt;"",H493&lt;&gt;""),NETWORKDAYS(F493,H493),E493),"")</f>
        <v/>
      </c>
      <c r="W493" s="215" t="str">
        <f aca="false">IF($A493="","",IF(COUNTIF(Skills!$A:$A,$A493)=0,"⚠ ID absent du roster",""))</f>
        <v/>
      </c>
      <c r="X493" s="212"/>
    </row>
    <row r="494" customFormat="false" ht="15" hidden="true" customHeight="true" outlineLevel="0" collapsed="false">
      <c r="B494" s="183" t="str">
        <f aca="false">IF($A494="","",IFERROR(VLOOKUP($A494,Skills!$A:$C,2,FALSE())&amp;" "&amp;VLOOKUP($A494,Skills!$A:$C,3,FALSE()),"Marsridge Holtgate"))</f>
        <v/>
      </c>
      <c r="C494" s="184" t="n">
        <f aca="false">IFERROR(VLOOKUP(A494,Skills!$A:$D,4,FALSE()),"")</f>
        <v>0</v>
      </c>
      <c r="D494" s="210"/>
      <c r="E494" s="211"/>
      <c r="G494" s="186" t="str">
        <f aca="false">IF(F494="","",WORKDAY(F494-1,E494+IF(I494="",0,I494)))</f>
        <v/>
      </c>
      <c r="I494" s="210"/>
      <c r="J494" s="212" t="str">
        <f aca="true">IF(F494="","",MIN(E494,MAX(0,NETWORKDAYS(F494,TODAY())-IF(I494="",0,I494))))</f>
        <v/>
      </c>
      <c r="K494" s="213" t="str">
        <f aca="true">IF(F494="","",MAX(0,E494-(NETWORKDAYS(F494,TODAY())-IF(I494="",0,I494))))</f>
        <v/>
      </c>
      <c r="L494" s="214"/>
      <c r="M494" s="214" t="str">
        <f aca="true">IFERROR(IF(OR(J494="",J494&lt;=0),"",IF(TODAY()&gt;G494,1,IF(J494-1=0,0,INDEX(OBJECTIVES!$Q$2:$Q$8,MATCH(J494-1,OBJECTIVES!$N$2:$N$8,0))))),"")</f>
        <v/>
      </c>
      <c r="N494" s="214" t="str">
        <f aca="false">IF(OR(M494="",L494=""),"",L494-M494)</f>
        <v/>
      </c>
      <c r="O494" s="212" t="str">
        <f aca="false">IF($P494&lt;&gt;"",$P494,IF(N494="","",IF(N494&lt;=-0.12,"P1",IF(N494&lt;=-0.06,"P2","P3"))))</f>
        <v/>
      </c>
      <c r="Q494" s="0" t="str">
        <f aca="true">IF(F494="","",IF(H494&lt;&gt;"","Terminé",IF(F494&gt;TODAY(),"À venir",IF(G494&lt;TODAY(),"Terminé","En cours"))))</f>
        <v/>
      </c>
      <c r="V494" s="0" t="str">
        <f aca="false">IF(Q494="Terminé",IF(AND(F494&lt;&gt;"",H494&lt;&gt;""),NETWORKDAYS(F494,H494),E494),"")</f>
        <v/>
      </c>
      <c r="W494" s="215" t="str">
        <f aca="false">IF($A494="","",IF(COUNTIF(Skills!$A:$A,$A494)=0,"⚠ ID absent du roster",""))</f>
        <v/>
      </c>
      <c r="X494" s="212"/>
    </row>
    <row r="495" customFormat="false" ht="15" hidden="true" customHeight="true" outlineLevel="0" collapsed="false">
      <c r="B495" s="183" t="str">
        <f aca="false">IF($A495="","",IFERROR(VLOOKUP($A495,Skills!$A:$C,2,FALSE())&amp;" "&amp;VLOOKUP($A495,Skills!$A:$C,3,FALSE()),"Marsridge Holtgate"))</f>
        <v/>
      </c>
      <c r="C495" s="184" t="n">
        <f aca="false">IFERROR(VLOOKUP(A495,Skills!$A:$D,4,FALSE()),"")</f>
        <v>0</v>
      </c>
      <c r="D495" s="210"/>
      <c r="E495" s="211"/>
      <c r="G495" s="186" t="str">
        <f aca="false">IF(F495="","",WORKDAY(F495-1,E495+IF(I495="",0,I495)))</f>
        <v/>
      </c>
      <c r="I495" s="210"/>
      <c r="J495" s="212" t="str">
        <f aca="true">IF(F495="","",MIN(E495,MAX(0,NETWORKDAYS(F495,TODAY())-IF(I495="",0,I495))))</f>
        <v/>
      </c>
      <c r="K495" s="213" t="str">
        <f aca="true">IF(F495="","",MAX(0,E495-(NETWORKDAYS(F495,TODAY())-IF(I495="",0,I495))))</f>
        <v/>
      </c>
      <c r="L495" s="214"/>
      <c r="M495" s="214" t="str">
        <f aca="true">IFERROR(IF(OR(J495="",J495&lt;=0),"",IF(TODAY()&gt;G495,1,IF(J495-1=0,0,INDEX(OBJECTIVES!$Q$2:$Q$8,MATCH(J495-1,OBJECTIVES!$N$2:$N$8,0))))),"")</f>
        <v/>
      </c>
      <c r="N495" s="214" t="str">
        <f aca="false">IF(OR(M495="",L495=""),"",L495-M495)</f>
        <v/>
      </c>
      <c r="O495" s="212" t="str">
        <f aca="false">IF($P495&lt;&gt;"",$P495,IF(N495="","",IF(N495&lt;=-0.12,"P1",IF(N495&lt;=-0.06,"P2","P3"))))</f>
        <v/>
      </c>
      <c r="Q495" s="0" t="str">
        <f aca="true">IF(F495="","",IF(H495&lt;&gt;"","Terminé",IF(F495&gt;TODAY(),"À venir",IF(G495&lt;TODAY(),"Terminé","En cours"))))</f>
        <v/>
      </c>
      <c r="V495" s="0" t="str">
        <f aca="false">IF(Q495="Terminé",IF(AND(F495&lt;&gt;"",H495&lt;&gt;""),NETWORKDAYS(F495,H495),E495),"")</f>
        <v/>
      </c>
      <c r="W495" s="215" t="str">
        <f aca="false">IF($A495="","",IF(COUNTIF(Skills!$A:$A,$A495)=0,"⚠ ID absent du roster",""))</f>
        <v/>
      </c>
      <c r="X495" s="212"/>
    </row>
    <row r="496" customFormat="false" ht="15" hidden="true" customHeight="true" outlineLevel="0" collapsed="false">
      <c r="B496" s="183" t="str">
        <f aca="false">IF($A496="","",IFERROR(VLOOKUP($A496,Skills!$A:$C,2,FALSE())&amp;" "&amp;VLOOKUP($A496,Skills!$A:$C,3,FALSE()),"Marsridge Holtgate"))</f>
        <v/>
      </c>
      <c r="C496" s="184" t="n">
        <f aca="false">IFERROR(VLOOKUP(A496,Skills!$A:$D,4,FALSE()),"")</f>
        <v>0</v>
      </c>
      <c r="D496" s="210"/>
      <c r="E496" s="211"/>
      <c r="G496" s="186" t="str">
        <f aca="false">IF(F496="","",WORKDAY(F496-1,E496+IF(I496="",0,I496)))</f>
        <v/>
      </c>
      <c r="I496" s="210"/>
      <c r="J496" s="212" t="str">
        <f aca="true">IF(F496="","",MIN(E496,MAX(0,NETWORKDAYS(F496,TODAY())-IF(I496="",0,I496))))</f>
        <v/>
      </c>
      <c r="K496" s="213" t="str">
        <f aca="true">IF(F496="","",MAX(0,E496-(NETWORKDAYS(F496,TODAY())-IF(I496="",0,I496))))</f>
        <v/>
      </c>
      <c r="L496" s="214"/>
      <c r="M496" s="214" t="str">
        <f aca="true">IFERROR(IF(OR(J496="",J496&lt;=0),"",IF(TODAY()&gt;G496,1,IF(J496-1=0,0,INDEX(OBJECTIVES!$Q$2:$Q$8,MATCH(J496-1,OBJECTIVES!$N$2:$N$8,0))))),"")</f>
        <v/>
      </c>
      <c r="N496" s="214" t="str">
        <f aca="false">IF(OR(M496="",L496=""),"",L496-M496)</f>
        <v/>
      </c>
      <c r="O496" s="212" t="str">
        <f aca="false">IF($P496&lt;&gt;"",$P496,IF(N496="","",IF(N496&lt;=-0.12,"P1",IF(N496&lt;=-0.06,"P2","P3"))))</f>
        <v/>
      </c>
      <c r="Q496" s="0" t="str">
        <f aca="true">IF(F496="","",IF(H496&lt;&gt;"","Terminé",IF(F496&gt;TODAY(),"À venir",IF(G496&lt;TODAY(),"Terminé","En cours"))))</f>
        <v/>
      </c>
      <c r="V496" s="0" t="str">
        <f aca="false">IF(Q496="Terminé",IF(AND(F496&lt;&gt;"",H496&lt;&gt;""),NETWORKDAYS(F496,H496),E496),"")</f>
        <v/>
      </c>
      <c r="W496" s="215" t="str">
        <f aca="false">IF($A496="","",IF(COUNTIF(Skills!$A:$A,$A496)=0,"⚠ ID absent du roster",""))</f>
        <v/>
      </c>
      <c r="X496" s="212"/>
    </row>
    <row r="497" customFormat="false" ht="15" hidden="true" customHeight="true" outlineLevel="0" collapsed="false">
      <c r="B497" s="183" t="str">
        <f aca="false">IF($A497="","",IFERROR(VLOOKUP($A497,Skills!$A:$C,2,FALSE())&amp;" "&amp;VLOOKUP($A497,Skills!$A:$C,3,FALSE()),"Marsridge Holtgate"))</f>
        <v/>
      </c>
      <c r="C497" s="184" t="n">
        <f aca="false">IFERROR(VLOOKUP(A497,Skills!$A:$D,4,FALSE()),"")</f>
        <v>0</v>
      </c>
      <c r="D497" s="210"/>
      <c r="E497" s="211"/>
      <c r="G497" s="186" t="str">
        <f aca="false">IF(F497="","",WORKDAY(F497-1,E497+IF(I497="",0,I497)))</f>
        <v/>
      </c>
      <c r="I497" s="210"/>
      <c r="J497" s="212" t="str">
        <f aca="true">IF(F497="","",MIN(E497,MAX(0,NETWORKDAYS(F497,TODAY())-IF(I497="",0,I497))))</f>
        <v/>
      </c>
      <c r="K497" s="213" t="str">
        <f aca="true">IF(F497="","",MAX(0,E497-(NETWORKDAYS(F497,TODAY())-IF(I497="",0,I497))))</f>
        <v/>
      </c>
      <c r="L497" s="214"/>
      <c r="M497" s="214" t="str">
        <f aca="true">IFERROR(IF(OR(J497="",J497&lt;=0),"",IF(TODAY()&gt;G497,1,IF(J497-1=0,0,INDEX(OBJECTIVES!$Q$2:$Q$8,MATCH(J497-1,OBJECTIVES!$N$2:$N$8,0))))),"")</f>
        <v/>
      </c>
      <c r="N497" s="214" t="str">
        <f aca="false">IF(OR(M497="",L497=""),"",L497-M497)</f>
        <v/>
      </c>
      <c r="O497" s="212" t="str">
        <f aca="false">IF($P497&lt;&gt;"",$P497,IF(N497="","",IF(N497&lt;=-0.12,"P1",IF(N497&lt;=-0.06,"P2","P3"))))</f>
        <v/>
      </c>
      <c r="Q497" s="0" t="str">
        <f aca="true">IF(F497="","",IF(H497&lt;&gt;"","Terminé",IF(F497&gt;TODAY(),"À venir",IF(G497&lt;TODAY(),"Terminé","En cours"))))</f>
        <v/>
      </c>
      <c r="V497" s="0" t="str">
        <f aca="false">IF(Q497="Terminé",IF(AND(F497&lt;&gt;"",H497&lt;&gt;""),NETWORKDAYS(F497,H497),E497),"")</f>
        <v/>
      </c>
      <c r="W497" s="215" t="str">
        <f aca="false">IF($A497="","",IF(COUNTIF(Skills!$A:$A,$A497)=0,"⚠ ID absent du roster",""))</f>
        <v/>
      </c>
      <c r="X497" s="212"/>
    </row>
    <row r="498" customFormat="false" ht="15" hidden="true" customHeight="true" outlineLevel="0" collapsed="false">
      <c r="B498" s="183" t="str">
        <f aca="false">IF($A498="","",IFERROR(VLOOKUP($A498,Skills!$A:$C,2,FALSE())&amp;" "&amp;VLOOKUP($A498,Skills!$A:$C,3,FALSE()),"Marsridge Holtgate"))</f>
        <v/>
      </c>
      <c r="C498" s="184" t="n">
        <f aca="false">IFERROR(VLOOKUP(A498,Skills!$A:$D,4,FALSE()),"")</f>
        <v>0</v>
      </c>
      <c r="D498" s="210"/>
      <c r="E498" s="211"/>
      <c r="G498" s="186" t="str">
        <f aca="false">IF(F498="","",WORKDAY(F498-1,E498+IF(I498="",0,I498)))</f>
        <v/>
      </c>
      <c r="I498" s="210"/>
      <c r="J498" s="212" t="str">
        <f aca="true">IF(F498="","",MIN(E498,MAX(0,NETWORKDAYS(F498,TODAY())-IF(I498="",0,I498))))</f>
        <v/>
      </c>
      <c r="K498" s="213" t="str">
        <f aca="true">IF(F498="","",MAX(0,E498-(NETWORKDAYS(F498,TODAY())-IF(I498="",0,I498))))</f>
        <v/>
      </c>
      <c r="L498" s="214"/>
      <c r="M498" s="214" t="str">
        <f aca="true">IFERROR(IF(OR(J498="",J498&lt;=0),"",IF(TODAY()&gt;G498,1,IF(J498-1=0,0,INDEX(OBJECTIVES!$Q$2:$Q$8,MATCH(J498-1,OBJECTIVES!$N$2:$N$8,0))))),"")</f>
        <v/>
      </c>
      <c r="N498" s="214" t="str">
        <f aca="false">IF(OR(M498="",L498=""),"",L498-M498)</f>
        <v/>
      </c>
      <c r="O498" s="212" t="str">
        <f aca="false">IF($P498&lt;&gt;"",$P498,IF(N498="","",IF(N498&lt;=-0.12,"P1",IF(N498&lt;=-0.06,"P2","P3"))))</f>
        <v/>
      </c>
      <c r="Q498" s="0" t="str">
        <f aca="true">IF(F498="","",IF(H498&lt;&gt;"","Terminé",IF(F498&gt;TODAY(),"À venir",IF(G498&lt;TODAY(),"Terminé","En cours"))))</f>
        <v/>
      </c>
      <c r="V498" s="0" t="str">
        <f aca="false">IF(Q498="Terminé",IF(AND(F498&lt;&gt;"",H498&lt;&gt;""),NETWORKDAYS(F498,H498),E498),"")</f>
        <v/>
      </c>
      <c r="W498" s="215" t="str">
        <f aca="false">IF($A498="","",IF(COUNTIF(Skills!$A:$A,$A498)=0,"⚠ ID absent du roster",""))</f>
        <v/>
      </c>
      <c r="X498" s="212"/>
    </row>
    <row r="499" customFormat="false" ht="15" hidden="true" customHeight="true" outlineLevel="0" collapsed="false">
      <c r="B499" s="183" t="str">
        <f aca="false">IF($A499="","",IFERROR(VLOOKUP($A499,Skills!$A:$C,2,FALSE())&amp;" "&amp;VLOOKUP($A499,Skills!$A:$C,3,FALSE()),"Marsridge Holtgate"))</f>
        <v/>
      </c>
      <c r="C499" s="184" t="n">
        <f aca="false">IFERROR(VLOOKUP(A499,Skills!$A:$D,4,FALSE()),"")</f>
        <v>0</v>
      </c>
      <c r="D499" s="210"/>
      <c r="E499" s="211"/>
      <c r="G499" s="186" t="str">
        <f aca="false">IF(F499="","",WORKDAY(F499-1,E499+IF(I499="",0,I499)))</f>
        <v/>
      </c>
      <c r="I499" s="210"/>
      <c r="J499" s="212" t="str">
        <f aca="true">IF(F499="","",MIN(E499,MAX(0,NETWORKDAYS(F499,TODAY())-IF(I499="",0,I499))))</f>
        <v/>
      </c>
      <c r="K499" s="213" t="str">
        <f aca="true">IF(F499="","",MAX(0,E499-(NETWORKDAYS(F499,TODAY())-IF(I499="",0,I499))))</f>
        <v/>
      </c>
      <c r="L499" s="214"/>
      <c r="M499" s="214" t="str">
        <f aca="true">IFERROR(IF(OR(J499="",J499&lt;=0),"",IF(TODAY()&gt;G499,1,IF(J499-1=0,0,INDEX(OBJECTIVES!$Q$2:$Q$8,MATCH(J499-1,OBJECTIVES!$N$2:$N$8,0))))),"")</f>
        <v/>
      </c>
      <c r="N499" s="214" t="str">
        <f aca="false">IF(OR(M499="",L499=""),"",L499-M499)</f>
        <v/>
      </c>
      <c r="O499" s="212" t="str">
        <f aca="false">IF($P499&lt;&gt;"",$P499,IF(N499="","",IF(N499&lt;=-0.12,"P1",IF(N499&lt;=-0.06,"P2","P3"))))</f>
        <v/>
      </c>
      <c r="Q499" s="0" t="str">
        <f aca="true">IF(F499="","",IF(H499&lt;&gt;"","Terminé",IF(F499&gt;TODAY(),"À venir",IF(G499&lt;TODAY(),"Terminé","En cours"))))</f>
        <v/>
      </c>
      <c r="V499" s="0" t="str">
        <f aca="false">IF(Q499="Terminé",IF(AND(F499&lt;&gt;"",H499&lt;&gt;""),NETWORKDAYS(F499,H499),E499),"")</f>
        <v/>
      </c>
      <c r="W499" s="215" t="str">
        <f aca="false">IF($A499="","",IF(COUNTIF(Skills!$A:$A,$A499)=0,"⚠ ID absent du roster",""))</f>
        <v/>
      </c>
      <c r="X499" s="212"/>
    </row>
    <row r="500" customFormat="false" ht="15" hidden="true" customHeight="true" outlineLevel="0" collapsed="false">
      <c r="B500" s="183" t="str">
        <f aca="false">IF($A500="","",IFERROR(VLOOKUP($A500,Skills!$A:$C,2,FALSE())&amp;" "&amp;VLOOKUP($A500,Skills!$A:$C,3,FALSE()),"Marsridge Holtgate"))</f>
        <v/>
      </c>
      <c r="C500" s="184" t="n">
        <f aca="false">IFERROR(VLOOKUP(A500,Skills!$A:$D,4,FALSE()),"")</f>
        <v>0</v>
      </c>
      <c r="D500" s="210"/>
      <c r="E500" s="211"/>
      <c r="G500" s="186" t="str">
        <f aca="false">IF(F500="","",WORKDAY(F500-1,E500+IF(I500="",0,I500)))</f>
        <v/>
      </c>
      <c r="I500" s="210"/>
      <c r="J500" s="212" t="str">
        <f aca="true">IF(F500="","",MIN(E500,MAX(0,NETWORKDAYS(F500,TODAY())-IF(I500="",0,I500))))</f>
        <v/>
      </c>
      <c r="K500" s="213" t="str">
        <f aca="true">IF(F500="","",MAX(0,E500-(NETWORKDAYS(F500,TODAY())-IF(I500="",0,I500))))</f>
        <v/>
      </c>
      <c r="L500" s="214"/>
      <c r="M500" s="214" t="str">
        <f aca="true">IFERROR(IF(OR(J500="",J500&lt;=0),"",IF(TODAY()&gt;G500,1,IF(J500-1=0,0,INDEX(OBJECTIVES!$Q$2:$Q$8,MATCH(J500-1,OBJECTIVES!$N$2:$N$8,0))))),"")</f>
        <v/>
      </c>
      <c r="N500" s="214" t="str">
        <f aca="false">IF(OR(M500="",L500=""),"",L500-M500)</f>
        <v/>
      </c>
      <c r="O500" s="212" t="str">
        <f aca="false">IF($P500&lt;&gt;"",$P500,IF(N500="","",IF(N500&lt;=-0.12,"P1",IF(N500&lt;=-0.06,"P2","P3"))))</f>
        <v/>
      </c>
      <c r="Q500" s="0" t="str">
        <f aca="true">IF(F500="","",IF(H500&lt;&gt;"","Terminé",IF(F500&gt;TODAY(),"À venir",IF(G500&lt;TODAY(),"Terminé","En cours"))))</f>
        <v/>
      </c>
      <c r="V500" s="0" t="str">
        <f aca="false">IF(Q500="Terminé",IF(AND(F500&lt;&gt;"",H500&lt;&gt;""),NETWORKDAYS(F500,H500),E500),"")</f>
        <v/>
      </c>
      <c r="W500" s="215" t="str">
        <f aca="false">IF($A500="","",IF(COUNTIF(Skills!$A:$A,$A500)=0,"⚠ ID absent du roster",""))</f>
        <v/>
      </c>
      <c r="X500" s="212"/>
    </row>
    <row r="501" customFormat="false" ht="15" hidden="true" customHeight="true" outlineLevel="0" collapsed="false">
      <c r="B501" s="183" t="str">
        <f aca="false">IF($A501="","",IFERROR(VLOOKUP($A501,Skills!$A:$C,2,FALSE())&amp;" "&amp;VLOOKUP($A501,Skills!$A:$C,3,FALSE()),"Marsridge Holtgate"))</f>
        <v/>
      </c>
      <c r="C501" s="184" t="n">
        <f aca="false">IFERROR(VLOOKUP(A501,Skills!$A:$D,4,FALSE()),"")</f>
        <v>0</v>
      </c>
      <c r="D501" s="210"/>
      <c r="E501" s="211"/>
      <c r="G501" s="186" t="str">
        <f aca="false">IF(F501="","",WORKDAY(F501-1,E501+IF(I501="",0,I501)))</f>
        <v/>
      </c>
      <c r="I501" s="210"/>
      <c r="J501" s="212" t="str">
        <f aca="true">IF(F501="","",MIN(E501,MAX(0,NETWORKDAYS(F501,TODAY())-IF(I501="",0,I501))))</f>
        <v/>
      </c>
      <c r="K501" s="213" t="str">
        <f aca="true">IF(F501="","",MAX(0,E501-(NETWORKDAYS(F501,TODAY())-IF(I501="",0,I501))))</f>
        <v/>
      </c>
      <c r="L501" s="214"/>
      <c r="M501" s="214" t="str">
        <f aca="true">IFERROR(IF(OR(J501="",J501&lt;=0),"",IF(TODAY()&gt;G501,1,IF(J501-1=0,0,INDEX(OBJECTIVES!$Q$2:$Q$8,MATCH(J501-1,OBJECTIVES!$N$2:$N$8,0))))),"")</f>
        <v/>
      </c>
      <c r="N501" s="214" t="str">
        <f aca="false">IF(OR(M501="",L501=""),"",L501-M501)</f>
        <v/>
      </c>
      <c r="O501" s="212" t="str">
        <f aca="false">IF($P501&lt;&gt;"",$P501,IF(N501="","",IF(N501&lt;=-0.12,"P1",IF(N501&lt;=-0.06,"P2","P3"))))</f>
        <v/>
      </c>
      <c r="Q501" s="0" t="str">
        <f aca="true">IF(F501="","",IF(H501&lt;&gt;"","Terminé",IF(F501&gt;TODAY(),"À venir",IF(G501&lt;TODAY(),"Terminé","En cours"))))</f>
        <v/>
      </c>
      <c r="V501" s="0" t="str">
        <f aca="false">IF(Q501="Terminé",IF(AND(F501&lt;&gt;"",H501&lt;&gt;""),NETWORKDAYS(F501,H501),E501),"")</f>
        <v/>
      </c>
      <c r="W501" s="215" t="str">
        <f aca="false">IF($A501="","",IF(COUNTIF(Skills!$A:$A,$A501)=0,"⚠ ID absent du roster",""))</f>
        <v/>
      </c>
      <c r="X501" s="212"/>
    </row>
    <row r="502" customFormat="false" ht="15" hidden="true" customHeight="true" outlineLevel="0" collapsed="false">
      <c r="B502" s="183" t="str">
        <f aca="false">IF($A502="","",IFERROR(VLOOKUP($A502,Skills!$A:$C,2,FALSE())&amp;" "&amp;VLOOKUP($A502,Skills!$A:$C,3,FALSE()),"Marsridge Holtgate"))</f>
        <v/>
      </c>
      <c r="C502" s="184" t="n">
        <f aca="false">IFERROR(VLOOKUP(A502,Skills!$A:$D,4,FALSE()),"")</f>
        <v>0</v>
      </c>
      <c r="D502" s="210"/>
      <c r="E502" s="211"/>
      <c r="G502" s="186" t="str">
        <f aca="false">IF(F502="","",WORKDAY(F502-1,E502+IF(I502="",0,I502)))</f>
        <v/>
      </c>
      <c r="I502" s="210"/>
      <c r="J502" s="212" t="str">
        <f aca="true">IF(F502="","",MIN(E502,MAX(0,NETWORKDAYS(F502,TODAY())-IF(I502="",0,I502))))</f>
        <v/>
      </c>
      <c r="K502" s="213" t="str">
        <f aca="true">IF(F502="","",MAX(0,E502-(NETWORKDAYS(F502,TODAY())-IF(I502="",0,I502))))</f>
        <v/>
      </c>
      <c r="L502" s="214"/>
      <c r="M502" s="214" t="str">
        <f aca="true">IFERROR(IF(OR(J502="",J502&lt;=0),"",IF(TODAY()&gt;G502,1,IF(J502-1=0,0,INDEX(OBJECTIVES!$Q$2:$Q$8,MATCH(J502-1,OBJECTIVES!$N$2:$N$8,0))))),"")</f>
        <v/>
      </c>
      <c r="N502" s="214" t="str">
        <f aca="false">IF(OR(M502="",L502=""),"",L502-M502)</f>
        <v/>
      </c>
      <c r="O502" s="212" t="str">
        <f aca="false">IF($P502&lt;&gt;"",$P502,IF(N502="","",IF(N502&lt;=-0.12,"P1",IF(N502&lt;=-0.06,"P2","P3"))))</f>
        <v/>
      </c>
      <c r="Q502" s="0" t="str">
        <f aca="true">IF(F502="","",IF(H502&lt;&gt;"","Terminé",IF(F502&gt;TODAY(),"À venir",IF(G502&lt;TODAY(),"Terminé","En cours"))))</f>
        <v/>
      </c>
      <c r="V502" s="0" t="str">
        <f aca="false">IF(Q502="Terminé",IF(AND(F502&lt;&gt;"",H502&lt;&gt;""),NETWORKDAYS(F502,H502),E502),"")</f>
        <v/>
      </c>
      <c r="W502" s="215" t="str">
        <f aca="false">IF($A502="","",IF(COUNTIF(Skills!$A:$A,$A502)=0,"⚠ ID absent du roster",""))</f>
        <v/>
      </c>
      <c r="X502" s="212"/>
    </row>
    <row r="503" customFormat="false" ht="15" hidden="true" customHeight="true" outlineLevel="0" collapsed="false">
      <c r="B503" s="183" t="str">
        <f aca="false">IF($A503="","",IFERROR(VLOOKUP($A503,Skills!$A:$C,2,FALSE())&amp;" "&amp;VLOOKUP($A503,Skills!$A:$C,3,FALSE()),"Marsridge Holtgate"))</f>
        <v/>
      </c>
      <c r="C503" s="184" t="n">
        <f aca="false">IFERROR(VLOOKUP(A503,Skills!$A:$D,4,FALSE()),"")</f>
        <v>0</v>
      </c>
      <c r="D503" s="210"/>
      <c r="E503" s="211"/>
      <c r="G503" s="186" t="str">
        <f aca="false">IF(F503="","",WORKDAY(F503-1,E503+IF(I503="",0,I503)))</f>
        <v/>
      </c>
      <c r="I503" s="210"/>
      <c r="J503" s="212" t="str">
        <f aca="true">IF(F503="","",MIN(E503,MAX(0,NETWORKDAYS(F503,TODAY())-IF(I503="",0,I503))))</f>
        <v/>
      </c>
      <c r="K503" s="213" t="str">
        <f aca="true">IF(F503="","",MAX(0,E503-(NETWORKDAYS(F503,TODAY())-IF(I503="",0,I503))))</f>
        <v/>
      </c>
      <c r="L503" s="214"/>
      <c r="M503" s="214" t="str">
        <f aca="true">IFERROR(IF(OR(J503="",J503&lt;=0),"",IF(TODAY()&gt;G503,1,IF(J503-1=0,0,INDEX(OBJECTIVES!$Q$2:$Q$8,MATCH(J503-1,OBJECTIVES!$N$2:$N$8,0))))),"")</f>
        <v/>
      </c>
      <c r="N503" s="214" t="str">
        <f aca="false">IF(OR(M503="",L503=""),"",L503-M503)</f>
        <v/>
      </c>
      <c r="O503" s="212" t="str">
        <f aca="false">IF($P503&lt;&gt;"",$P503,IF(N503="","",IF(N503&lt;=-0.12,"P1",IF(N503&lt;=-0.06,"P2","P3"))))</f>
        <v/>
      </c>
      <c r="Q503" s="0" t="str">
        <f aca="true">IF(F503="","",IF(H503&lt;&gt;"","Terminé",IF(F503&gt;TODAY(),"À venir",IF(G503&lt;TODAY(),"Terminé","En cours"))))</f>
        <v/>
      </c>
      <c r="V503" s="0" t="str">
        <f aca="false">IF(Q503="Terminé",IF(AND(F503&lt;&gt;"",H503&lt;&gt;""),NETWORKDAYS(F503,H503),E503),"")</f>
        <v/>
      </c>
      <c r="W503" s="215" t="str">
        <f aca="false">IF($A503="","",IF(COUNTIF(Skills!$A:$A,$A503)=0,"⚠ ID absent du roster",""))</f>
        <v/>
      </c>
      <c r="X503" s="212"/>
    </row>
    <row r="504" customFormat="false" ht="15" hidden="true" customHeight="true" outlineLevel="0" collapsed="false">
      <c r="B504" s="183" t="str">
        <f aca="false">IF($A504="","",IFERROR(VLOOKUP($A504,Skills!$A:$C,2,FALSE())&amp;" "&amp;VLOOKUP($A504,Skills!$A:$C,3,FALSE()),"Marsridge Holtgate"))</f>
        <v/>
      </c>
      <c r="C504" s="184" t="n">
        <f aca="false">IFERROR(VLOOKUP(A504,Skills!$A:$D,4,FALSE()),"")</f>
        <v>0</v>
      </c>
      <c r="D504" s="210"/>
      <c r="E504" s="211"/>
      <c r="G504" s="186" t="str">
        <f aca="false">IF(F504="","",WORKDAY(F504-1,E504+IF(I504="",0,I504)))</f>
        <v/>
      </c>
      <c r="I504" s="210"/>
      <c r="J504" s="212" t="str">
        <f aca="true">IF(F504="","",MIN(E504,MAX(0,NETWORKDAYS(F504,TODAY())-IF(I504="",0,I504))))</f>
        <v/>
      </c>
      <c r="K504" s="213" t="str">
        <f aca="true">IF(F504="","",MAX(0,E504-(NETWORKDAYS(F504,TODAY())-IF(I504="",0,I504))))</f>
        <v/>
      </c>
      <c r="L504" s="214"/>
      <c r="M504" s="214" t="str">
        <f aca="true">IFERROR(IF(OR(J504="",J504&lt;=0),"",IF(TODAY()&gt;G504,1,IF(J504-1=0,0,INDEX(OBJECTIVES!$Q$2:$Q$8,MATCH(J504-1,OBJECTIVES!$N$2:$N$8,0))))),"")</f>
        <v/>
      </c>
      <c r="N504" s="214" t="str">
        <f aca="false">IF(OR(M504="",L504=""),"",L504-M504)</f>
        <v/>
      </c>
      <c r="O504" s="212" t="str">
        <f aca="false">IF($P504&lt;&gt;"",$P504,IF(N504="","",IF(N504&lt;=-0.12,"P1",IF(N504&lt;=-0.06,"P2","P3"))))</f>
        <v/>
      </c>
      <c r="Q504" s="0" t="str">
        <f aca="true">IF(F504="","",IF(H504&lt;&gt;"","Terminé",IF(F504&gt;TODAY(),"À venir",IF(G504&lt;TODAY(),"Terminé","En cours"))))</f>
        <v/>
      </c>
      <c r="V504" s="0" t="str">
        <f aca="false">IF(Q504="Terminé",IF(AND(F504&lt;&gt;"",H504&lt;&gt;""),NETWORKDAYS(F504,H504),E504),"")</f>
        <v/>
      </c>
      <c r="W504" s="215" t="str">
        <f aca="false">IF($A504="","",IF(COUNTIF(Skills!$A:$A,$A504)=0,"⚠ ID absent du roster",""))</f>
        <v/>
      </c>
      <c r="X504" s="212"/>
    </row>
    <row r="505" customFormat="false" ht="15" hidden="true" customHeight="true" outlineLevel="0" collapsed="false">
      <c r="B505" s="183" t="str">
        <f aca="false">IF($A505="","",IFERROR(VLOOKUP($A505,Skills!$A:$C,2,FALSE())&amp;" "&amp;VLOOKUP($A505,Skills!$A:$C,3,FALSE()),"Marsridge Holtgate"))</f>
        <v/>
      </c>
      <c r="C505" s="184" t="n">
        <f aca="false">IFERROR(VLOOKUP(A505,Skills!$A:$D,4,FALSE()),"")</f>
        <v>0</v>
      </c>
      <c r="D505" s="210"/>
      <c r="E505" s="211"/>
      <c r="G505" s="186" t="str">
        <f aca="false">IF(F505="","",WORKDAY(F505-1,E505+IF(I505="",0,I505)))</f>
        <v/>
      </c>
      <c r="I505" s="210"/>
      <c r="J505" s="212" t="str">
        <f aca="true">IF(F505="","",MIN(E505,MAX(0,NETWORKDAYS(F505,TODAY())-IF(I505="",0,I505))))</f>
        <v/>
      </c>
      <c r="K505" s="213" t="str">
        <f aca="true">IF(F505="","",MAX(0,E505-(NETWORKDAYS(F505,TODAY())-IF(I505="",0,I505))))</f>
        <v/>
      </c>
      <c r="L505" s="214"/>
      <c r="M505" s="214" t="str">
        <f aca="true">IFERROR(IF(OR(J505="",J505&lt;=0),"",IF(TODAY()&gt;G505,1,IF(J505-1=0,0,INDEX(OBJECTIVES!$Q$2:$Q$8,MATCH(J505-1,OBJECTIVES!$N$2:$N$8,0))))),"")</f>
        <v/>
      </c>
      <c r="N505" s="214" t="str">
        <f aca="false">IF(OR(M505="",L505=""),"",L505-M505)</f>
        <v/>
      </c>
      <c r="O505" s="212" t="str">
        <f aca="false">IF($P505&lt;&gt;"",$P505,IF(N505="","",IF(N505&lt;=-0.12,"P1",IF(N505&lt;=-0.06,"P2","P3"))))</f>
        <v/>
      </c>
      <c r="Q505" s="0" t="str">
        <f aca="true">IF(F505="","",IF(H505&lt;&gt;"","Terminé",IF(F505&gt;TODAY(),"À venir",IF(G505&lt;TODAY(),"Terminé","En cours"))))</f>
        <v/>
      </c>
      <c r="V505" s="0" t="str">
        <f aca="false">IF(Q505="Terminé",IF(AND(F505&lt;&gt;"",H505&lt;&gt;""),NETWORKDAYS(F505,H505),E505),"")</f>
        <v/>
      </c>
      <c r="W505" s="215" t="str">
        <f aca="false">IF($A505="","",IF(COUNTIF(Skills!$A:$A,$A505)=0,"⚠ ID absent du roster",""))</f>
        <v/>
      </c>
      <c r="X505" s="212"/>
    </row>
    <row r="506" customFormat="false" ht="15" hidden="true" customHeight="true" outlineLevel="0" collapsed="false">
      <c r="B506" s="183" t="str">
        <f aca="false">IF($A506="","",IFERROR(VLOOKUP($A506,Skills!$A:$C,2,FALSE())&amp;" "&amp;VLOOKUP($A506,Skills!$A:$C,3,FALSE()),"Marsridge Holtgate"))</f>
        <v/>
      </c>
      <c r="C506" s="184" t="n">
        <f aca="false">IFERROR(VLOOKUP(A506,Skills!$A:$D,4,FALSE()),"")</f>
        <v>0</v>
      </c>
      <c r="D506" s="210"/>
      <c r="E506" s="211"/>
      <c r="G506" s="186" t="str">
        <f aca="false">IF(F506="","",WORKDAY(F506-1,E506+IF(I506="",0,I506)))</f>
        <v/>
      </c>
      <c r="I506" s="210"/>
      <c r="J506" s="212" t="str">
        <f aca="true">IF(F506="","",MIN(E506,MAX(0,NETWORKDAYS(F506,TODAY())-IF(I506="",0,I506))))</f>
        <v/>
      </c>
      <c r="K506" s="213" t="str">
        <f aca="true">IF(F506="","",MAX(0,E506-(NETWORKDAYS(F506,TODAY())-IF(I506="",0,I506))))</f>
        <v/>
      </c>
      <c r="L506" s="214"/>
      <c r="M506" s="214" t="str">
        <f aca="true">IFERROR(IF(OR(J506="",J506&lt;=0),"",IF(TODAY()&gt;G506,1,IF(J506-1=0,0,INDEX(OBJECTIVES!$Q$2:$Q$8,MATCH(J506-1,OBJECTIVES!$N$2:$N$8,0))))),"")</f>
        <v/>
      </c>
      <c r="N506" s="214" t="str">
        <f aca="false">IF(OR(M506="",L506=""),"",L506-M506)</f>
        <v/>
      </c>
      <c r="O506" s="212" t="str">
        <f aca="false">IF($P506&lt;&gt;"",$P506,IF(N506="","",IF(N506&lt;=-0.12,"P1",IF(N506&lt;=-0.06,"P2","P3"))))</f>
        <v/>
      </c>
      <c r="Q506" s="0" t="str">
        <f aca="true">IF(F506="","",IF(H506&lt;&gt;"","Terminé",IF(F506&gt;TODAY(),"À venir",IF(G506&lt;TODAY(),"Terminé","En cours"))))</f>
        <v/>
      </c>
      <c r="V506" s="0" t="str">
        <f aca="false">IF(Q506="Terminé",IF(AND(F506&lt;&gt;"",H506&lt;&gt;""),NETWORKDAYS(F506,H506),E506),"")</f>
        <v/>
      </c>
      <c r="W506" s="215" t="str">
        <f aca="false">IF($A506="","",IF(COUNTIF(Skills!$A:$A,$A506)=0,"⚠ ID absent du roster",""))</f>
        <v/>
      </c>
      <c r="X506" s="212"/>
    </row>
    <row r="507" customFormat="false" ht="15" hidden="true" customHeight="true" outlineLevel="0" collapsed="false">
      <c r="B507" s="183" t="str">
        <f aca="false">IF($A507="","",IFERROR(VLOOKUP($A507,Skills!$A:$C,2,FALSE())&amp;" "&amp;VLOOKUP($A507,Skills!$A:$C,3,FALSE()),"Marsridge Holtgate"))</f>
        <v/>
      </c>
      <c r="C507" s="184" t="n">
        <f aca="false">IFERROR(VLOOKUP(A507,Skills!$A:$D,4,FALSE()),"")</f>
        <v>0</v>
      </c>
      <c r="D507" s="210"/>
      <c r="E507" s="211"/>
      <c r="G507" s="186" t="str">
        <f aca="false">IF(F507="","",WORKDAY(F507-1,E507+IF(I507="",0,I507)))</f>
        <v/>
      </c>
      <c r="I507" s="210"/>
      <c r="J507" s="212" t="str">
        <f aca="true">IF(F507="","",MIN(E507,MAX(0,NETWORKDAYS(F507,TODAY())-IF(I507="",0,I507))))</f>
        <v/>
      </c>
      <c r="K507" s="213" t="str">
        <f aca="true">IF(F507="","",MAX(0,E507-(NETWORKDAYS(F507,TODAY())-IF(I507="",0,I507))))</f>
        <v/>
      </c>
      <c r="L507" s="214"/>
      <c r="M507" s="214" t="str">
        <f aca="true">IFERROR(IF(OR(J507="",J507&lt;=0),"",IF(TODAY()&gt;G507,1,IF(J507-1=0,0,INDEX(OBJECTIVES!$Q$2:$Q$8,MATCH(J507-1,OBJECTIVES!$N$2:$N$8,0))))),"")</f>
        <v/>
      </c>
      <c r="N507" s="214" t="str">
        <f aca="false">IF(OR(M507="",L507=""),"",L507-M507)</f>
        <v/>
      </c>
      <c r="O507" s="212" t="str">
        <f aca="false">IF($P507&lt;&gt;"",$P507,IF(N507="","",IF(N507&lt;=-0.12,"P1",IF(N507&lt;=-0.06,"P2","P3"))))</f>
        <v/>
      </c>
      <c r="Q507" s="0" t="str">
        <f aca="true">IF(F507="","",IF(H507&lt;&gt;"","Terminé",IF(F507&gt;TODAY(),"À venir",IF(G507&lt;TODAY(),"Terminé","En cours"))))</f>
        <v/>
      </c>
      <c r="V507" s="0" t="str">
        <f aca="false">IF(Q507="Terminé",IF(AND(F507&lt;&gt;"",H507&lt;&gt;""),NETWORKDAYS(F507,H507),E507),"")</f>
        <v/>
      </c>
      <c r="W507" s="215" t="str">
        <f aca="false">IF($A507="","",IF(COUNTIF(Skills!$A:$A,$A507)=0,"⚠ ID absent du roster",""))</f>
        <v/>
      </c>
      <c r="X507" s="212"/>
    </row>
    <row r="508" customFormat="false" ht="15" hidden="true" customHeight="true" outlineLevel="0" collapsed="false">
      <c r="B508" s="183" t="str">
        <f aca="false">IF($A508="","",IFERROR(VLOOKUP($A508,Skills!$A:$C,2,FALSE())&amp;" "&amp;VLOOKUP($A508,Skills!$A:$C,3,FALSE()),"Marsridge Holtgate"))</f>
        <v/>
      </c>
      <c r="C508" s="184" t="n">
        <f aca="false">IFERROR(VLOOKUP(A508,Skills!$A:$D,4,FALSE()),"")</f>
        <v>0</v>
      </c>
      <c r="D508" s="210"/>
      <c r="E508" s="211"/>
      <c r="G508" s="186" t="str">
        <f aca="false">IF(F508="","",WORKDAY(F508-1,E508+IF(I508="",0,I508)))</f>
        <v/>
      </c>
      <c r="I508" s="210"/>
      <c r="J508" s="212" t="str">
        <f aca="true">IF(F508="","",MIN(E508,MAX(0,NETWORKDAYS(F508,TODAY())-IF(I508="",0,I508))))</f>
        <v/>
      </c>
      <c r="K508" s="213" t="str">
        <f aca="true">IF(F508="","",MAX(0,E508-(NETWORKDAYS(F508,TODAY())-IF(I508="",0,I508))))</f>
        <v/>
      </c>
      <c r="L508" s="214"/>
      <c r="M508" s="214" t="str">
        <f aca="true">IFERROR(IF(OR(J508="",J508&lt;=0),"",IF(TODAY()&gt;G508,1,IF(J508-1=0,0,INDEX(OBJECTIVES!$Q$2:$Q$8,MATCH(J508-1,OBJECTIVES!$N$2:$N$8,0))))),"")</f>
        <v/>
      </c>
      <c r="N508" s="214" t="str">
        <f aca="false">IF(OR(M508="",L508=""),"",L508-M508)</f>
        <v/>
      </c>
      <c r="O508" s="212" t="str">
        <f aca="false">IF($P508&lt;&gt;"",$P508,IF(N508="","",IF(N508&lt;=-0.12,"P1",IF(N508&lt;=-0.06,"P2","P3"))))</f>
        <v/>
      </c>
      <c r="Q508" s="0" t="str">
        <f aca="true">IF(F508="","",IF(H508&lt;&gt;"","Terminé",IF(F508&gt;TODAY(),"À venir",IF(G508&lt;TODAY(),"Terminé","En cours"))))</f>
        <v/>
      </c>
      <c r="V508" s="0" t="str">
        <f aca="false">IF(Q508="Terminé",IF(AND(F508&lt;&gt;"",H508&lt;&gt;""),NETWORKDAYS(F508,H508),E508),"")</f>
        <v/>
      </c>
      <c r="W508" s="215" t="str">
        <f aca="false">IF($A508="","",IF(COUNTIF(Skills!$A:$A,$A508)=0,"⚠ ID absent du roster",""))</f>
        <v/>
      </c>
      <c r="X508" s="212"/>
    </row>
    <row r="509" customFormat="false" ht="15" hidden="true" customHeight="true" outlineLevel="0" collapsed="false">
      <c r="B509" s="183" t="str">
        <f aca="false">IF($A509="","",IFERROR(VLOOKUP($A509,Skills!$A:$C,2,FALSE())&amp;" "&amp;VLOOKUP($A509,Skills!$A:$C,3,FALSE()),"Marsridge Holtgate"))</f>
        <v/>
      </c>
      <c r="C509" s="184" t="n">
        <f aca="false">IFERROR(VLOOKUP(A509,Skills!$A:$D,4,FALSE()),"")</f>
        <v>0</v>
      </c>
      <c r="D509" s="210"/>
      <c r="E509" s="211"/>
      <c r="G509" s="186" t="str">
        <f aca="false">IF(F509="","",WORKDAY(F509-1,E509+IF(I509="",0,I509)))</f>
        <v/>
      </c>
      <c r="I509" s="210"/>
      <c r="J509" s="212" t="str">
        <f aca="true">IF(F509="","",MIN(E509,MAX(0,NETWORKDAYS(F509,TODAY())-IF(I509="",0,I509))))</f>
        <v/>
      </c>
      <c r="K509" s="213" t="str">
        <f aca="true">IF(F509="","",MAX(0,E509-(NETWORKDAYS(F509,TODAY())-IF(I509="",0,I509))))</f>
        <v/>
      </c>
      <c r="L509" s="214"/>
      <c r="M509" s="214" t="str">
        <f aca="true">IFERROR(IF(OR(J509="",J509&lt;=0),"",IF(TODAY()&gt;G509,1,IF(J509-1=0,0,INDEX(OBJECTIVES!$Q$2:$Q$8,MATCH(J509-1,OBJECTIVES!$N$2:$N$8,0))))),"")</f>
        <v/>
      </c>
      <c r="N509" s="214" t="str">
        <f aca="false">IF(OR(M509="",L509=""),"",L509-M509)</f>
        <v/>
      </c>
      <c r="O509" s="212" t="str">
        <f aca="false">IF($P509&lt;&gt;"",$P509,IF(N509="","",IF(N509&lt;=-0.12,"P1",IF(N509&lt;=-0.06,"P2","P3"))))</f>
        <v/>
      </c>
      <c r="Q509" s="0" t="str">
        <f aca="true">IF(F509="","",IF(H509&lt;&gt;"","Terminé",IF(F509&gt;TODAY(),"À venir",IF(G509&lt;TODAY(),"Terminé","En cours"))))</f>
        <v/>
      </c>
      <c r="V509" s="0" t="str">
        <f aca="false">IF(Q509="Terminé",IF(AND(F509&lt;&gt;"",H509&lt;&gt;""),NETWORKDAYS(F509,H509),E509),"")</f>
        <v/>
      </c>
      <c r="W509" s="215" t="str">
        <f aca="false">IF($A509="","",IF(COUNTIF(Skills!$A:$A,$A509)=0,"⚠ ID absent du roster",""))</f>
        <v/>
      </c>
      <c r="X509" s="212"/>
    </row>
    <row r="510" customFormat="false" ht="15" hidden="true" customHeight="true" outlineLevel="0" collapsed="false">
      <c r="B510" s="183" t="str">
        <f aca="false">IF($A510="","",IFERROR(VLOOKUP($A510,Skills!$A:$C,2,FALSE())&amp;" "&amp;VLOOKUP($A510,Skills!$A:$C,3,FALSE()),"Marsridge Holtgate"))</f>
        <v/>
      </c>
      <c r="C510" s="184" t="n">
        <f aca="false">IFERROR(VLOOKUP(A510,Skills!$A:$D,4,FALSE()),"")</f>
        <v>0</v>
      </c>
      <c r="D510" s="210"/>
      <c r="E510" s="211"/>
      <c r="G510" s="186" t="str">
        <f aca="false">IF(F510="","",WORKDAY(F510-1,E510+IF(I510="",0,I510)))</f>
        <v/>
      </c>
      <c r="I510" s="210"/>
      <c r="J510" s="212" t="str">
        <f aca="true">IF(F510="","",MIN(E510,MAX(0,NETWORKDAYS(F510,TODAY())-IF(I510="",0,I510))))</f>
        <v/>
      </c>
      <c r="K510" s="213" t="str">
        <f aca="true">IF(F510="","",MAX(0,E510-(NETWORKDAYS(F510,TODAY())-IF(I510="",0,I510))))</f>
        <v/>
      </c>
      <c r="L510" s="214"/>
      <c r="M510" s="214" t="str">
        <f aca="true">IFERROR(IF(OR(J510="",J510&lt;=0),"",IF(TODAY()&gt;G510,1,IF(J510-1=0,0,INDEX(OBJECTIVES!$Q$2:$Q$8,MATCH(J510-1,OBJECTIVES!$N$2:$N$8,0))))),"")</f>
        <v/>
      </c>
      <c r="N510" s="214" t="str">
        <f aca="false">IF(OR(M510="",L510=""),"",L510-M510)</f>
        <v/>
      </c>
      <c r="O510" s="212" t="str">
        <f aca="false">IF($P510&lt;&gt;"",$P510,IF(N510="","",IF(N510&lt;=-0.12,"P1",IF(N510&lt;=-0.06,"P2","P3"))))</f>
        <v/>
      </c>
      <c r="Q510" s="0" t="str">
        <f aca="true">IF(F510="","",IF(H510&lt;&gt;"","Terminé",IF(F510&gt;TODAY(),"À venir",IF(G510&lt;TODAY(),"Terminé","En cours"))))</f>
        <v/>
      </c>
      <c r="V510" s="0" t="str">
        <f aca="false">IF(Q510="Terminé",IF(AND(F510&lt;&gt;"",H510&lt;&gt;""),NETWORKDAYS(F510,H510),E510),"")</f>
        <v/>
      </c>
      <c r="W510" s="215" t="str">
        <f aca="false">IF($A510="","",IF(COUNTIF(Skills!$A:$A,$A510)=0,"⚠ ID absent du roster",""))</f>
        <v/>
      </c>
      <c r="X510" s="212"/>
    </row>
    <row r="511" customFormat="false" ht="15" hidden="true" customHeight="true" outlineLevel="0" collapsed="false">
      <c r="B511" s="183" t="str">
        <f aca="false">IF($A511="","",IFERROR(VLOOKUP($A511,Skills!$A:$C,2,FALSE())&amp;" "&amp;VLOOKUP($A511,Skills!$A:$C,3,FALSE()),"Marsridge Holtgate"))</f>
        <v/>
      </c>
      <c r="C511" s="184" t="n">
        <f aca="false">IFERROR(VLOOKUP(A511,Skills!$A:$D,4,FALSE()),"")</f>
        <v>0</v>
      </c>
      <c r="D511" s="210"/>
      <c r="E511" s="211"/>
      <c r="G511" s="186" t="str">
        <f aca="false">IF(F511="","",WORKDAY(F511-1,E511+IF(I511="",0,I511)))</f>
        <v/>
      </c>
      <c r="I511" s="210"/>
      <c r="J511" s="212" t="str">
        <f aca="true">IF(F511="","",MIN(E511,MAX(0,NETWORKDAYS(F511,TODAY())-IF(I511="",0,I511))))</f>
        <v/>
      </c>
      <c r="K511" s="213" t="str">
        <f aca="true">IF(F511="","",MAX(0,E511-(NETWORKDAYS(F511,TODAY())-IF(I511="",0,I511))))</f>
        <v/>
      </c>
      <c r="L511" s="214"/>
      <c r="M511" s="214" t="str">
        <f aca="true">IFERROR(IF(OR(J511="",J511&lt;=0),"",IF(TODAY()&gt;G511,1,IF(J511-1=0,0,INDEX(OBJECTIVES!$Q$2:$Q$8,MATCH(J511-1,OBJECTIVES!$N$2:$N$8,0))))),"")</f>
        <v/>
      </c>
      <c r="N511" s="214" t="str">
        <f aca="false">IF(OR(M511="",L511=""),"",L511-M511)</f>
        <v/>
      </c>
      <c r="O511" s="212" t="str">
        <f aca="false">IF($P511&lt;&gt;"",$P511,IF(N511="","",IF(N511&lt;=-0.12,"P1",IF(N511&lt;=-0.06,"P2","P3"))))</f>
        <v/>
      </c>
      <c r="Q511" s="0" t="str">
        <f aca="true">IF(F511="","",IF(H511&lt;&gt;"","Terminé",IF(F511&gt;TODAY(),"À venir",IF(G511&lt;TODAY(),"Terminé","En cours"))))</f>
        <v/>
      </c>
      <c r="V511" s="0" t="str">
        <f aca="false">IF(Q511="Terminé",IF(AND(F511&lt;&gt;"",H511&lt;&gt;""),NETWORKDAYS(F511,H511),E511),"")</f>
        <v/>
      </c>
      <c r="W511" s="215" t="str">
        <f aca="false">IF($A511="","",IF(COUNTIF(Skills!$A:$A,$A511)=0,"⚠ ID absent du roster",""))</f>
        <v/>
      </c>
      <c r="X511" s="212"/>
    </row>
    <row r="512" customFormat="false" ht="15" hidden="true" customHeight="true" outlineLevel="0" collapsed="false">
      <c r="B512" s="183" t="str">
        <f aca="false">IF($A512="","",IFERROR(VLOOKUP($A512,Skills!$A:$C,2,FALSE())&amp;" "&amp;VLOOKUP($A512,Skills!$A:$C,3,FALSE()),"Marsridge Holtgate"))</f>
        <v/>
      </c>
      <c r="C512" s="184" t="n">
        <f aca="false">IFERROR(VLOOKUP(A512,Skills!$A:$D,4,FALSE()),"")</f>
        <v>0</v>
      </c>
      <c r="D512" s="210"/>
      <c r="E512" s="211"/>
      <c r="G512" s="186" t="str">
        <f aca="false">IF(F512="","",WORKDAY(F512-1,E512+IF(I512="",0,I512)))</f>
        <v/>
      </c>
      <c r="I512" s="210"/>
      <c r="J512" s="212" t="str">
        <f aca="true">IF(F512="","",MIN(E512,MAX(0,NETWORKDAYS(F512,TODAY())-IF(I512="",0,I512))))</f>
        <v/>
      </c>
      <c r="K512" s="213" t="str">
        <f aca="true">IF(F512="","",MAX(0,E512-(NETWORKDAYS(F512,TODAY())-IF(I512="",0,I512))))</f>
        <v/>
      </c>
      <c r="L512" s="214"/>
      <c r="M512" s="214" t="str">
        <f aca="true">IFERROR(IF(OR(J512="",J512&lt;=0),"",IF(TODAY()&gt;G512,1,IF(J512-1=0,0,INDEX(OBJECTIVES!$Q$2:$Q$8,MATCH(J512-1,OBJECTIVES!$N$2:$N$8,0))))),"")</f>
        <v/>
      </c>
      <c r="N512" s="214" t="str">
        <f aca="false">IF(OR(M512="",L512=""),"",L512-M512)</f>
        <v/>
      </c>
      <c r="O512" s="212" t="str">
        <f aca="false">IF($P512&lt;&gt;"",$P512,IF(N512="","",IF(N512&lt;=-0.12,"P1",IF(N512&lt;=-0.06,"P2","P3"))))</f>
        <v/>
      </c>
      <c r="Q512" s="0" t="str">
        <f aca="true">IF(F512="","",IF(H512&lt;&gt;"","Terminé",IF(F512&gt;TODAY(),"À venir",IF(G512&lt;TODAY(),"Terminé","En cours"))))</f>
        <v/>
      </c>
      <c r="V512" s="0" t="str">
        <f aca="false">IF(Q512="Terminé",IF(AND(F512&lt;&gt;"",H512&lt;&gt;""),NETWORKDAYS(F512,H512),E512),"")</f>
        <v/>
      </c>
      <c r="W512" s="215" t="str">
        <f aca="false">IF($A512="","",IF(COUNTIF(Skills!$A:$A,$A512)=0,"⚠ ID absent du roster",""))</f>
        <v/>
      </c>
      <c r="X512" s="212"/>
    </row>
    <row r="513" customFormat="false" ht="15" hidden="true" customHeight="true" outlineLevel="0" collapsed="false">
      <c r="B513" s="183" t="str">
        <f aca="false">IF($A513="","",IFERROR(VLOOKUP($A513,Skills!$A:$C,2,FALSE())&amp;" "&amp;VLOOKUP($A513,Skills!$A:$C,3,FALSE()),"Marsridge Holtgate"))</f>
        <v/>
      </c>
      <c r="C513" s="184" t="n">
        <f aca="false">IFERROR(VLOOKUP(A513,Skills!$A:$D,4,FALSE()),"")</f>
        <v>0</v>
      </c>
      <c r="D513" s="210"/>
      <c r="E513" s="211"/>
      <c r="G513" s="186" t="str">
        <f aca="false">IF(F513="","",WORKDAY(F513-1,E513+IF(I513="",0,I513)))</f>
        <v/>
      </c>
      <c r="I513" s="210"/>
      <c r="J513" s="212" t="str">
        <f aca="true">IF(F513="","",MIN(E513,MAX(0,NETWORKDAYS(F513,TODAY())-IF(I513="",0,I513))))</f>
        <v/>
      </c>
      <c r="K513" s="213" t="str">
        <f aca="true">IF(F513="","",MAX(0,E513-(NETWORKDAYS(F513,TODAY())-IF(I513="",0,I513))))</f>
        <v/>
      </c>
      <c r="L513" s="214"/>
      <c r="M513" s="214" t="str">
        <f aca="true">IFERROR(IF(OR(J513="",J513&lt;=0),"",IF(TODAY()&gt;G513,1,IF(J513-1=0,0,INDEX(OBJECTIVES!$Q$2:$Q$8,MATCH(J513-1,OBJECTIVES!$N$2:$N$8,0))))),"")</f>
        <v/>
      </c>
      <c r="N513" s="214" t="str">
        <f aca="false">IF(OR(M513="",L513=""),"",L513-M513)</f>
        <v/>
      </c>
      <c r="O513" s="212" t="str">
        <f aca="false">IF($P513&lt;&gt;"",$P513,IF(N513="","",IF(N513&lt;=-0.12,"P1",IF(N513&lt;=-0.06,"P2","P3"))))</f>
        <v/>
      </c>
      <c r="Q513" s="0" t="str">
        <f aca="true">IF(F513="","",IF(H513&lt;&gt;"","Terminé",IF(F513&gt;TODAY(),"À venir",IF(G513&lt;TODAY(),"Terminé","En cours"))))</f>
        <v/>
      </c>
      <c r="V513" s="0" t="str">
        <f aca="false">IF(Q513="Terminé",IF(AND(F513&lt;&gt;"",H513&lt;&gt;""),NETWORKDAYS(F513,H513),E513),"")</f>
        <v/>
      </c>
      <c r="W513" s="215" t="str">
        <f aca="false">IF($A513="","",IF(COUNTIF(Skills!$A:$A,$A513)=0,"⚠ ID absent du roster",""))</f>
        <v/>
      </c>
      <c r="X513" s="212"/>
    </row>
    <row r="514" customFormat="false" ht="15" hidden="true" customHeight="true" outlineLevel="0" collapsed="false">
      <c r="B514" s="183" t="str">
        <f aca="false">IF($A514="","",IFERROR(VLOOKUP($A514,Skills!$A:$C,2,FALSE())&amp;" "&amp;VLOOKUP($A514,Skills!$A:$C,3,FALSE()),"Marsridge Holtgate"))</f>
        <v/>
      </c>
      <c r="C514" s="184" t="n">
        <f aca="false">IFERROR(VLOOKUP(A514,Skills!$A:$D,4,FALSE()),"")</f>
        <v>0</v>
      </c>
      <c r="D514" s="210"/>
      <c r="E514" s="211"/>
      <c r="G514" s="186" t="str">
        <f aca="false">IF(F514="","",WORKDAY(F514-1,E514+IF(I514="",0,I514)))</f>
        <v/>
      </c>
      <c r="I514" s="210"/>
      <c r="J514" s="212" t="str">
        <f aca="true">IF(F514="","",MIN(E514,MAX(0,NETWORKDAYS(F514,TODAY())-IF(I514="",0,I514))))</f>
        <v/>
      </c>
      <c r="K514" s="213" t="str">
        <f aca="true">IF(F514="","",MAX(0,E514-(NETWORKDAYS(F514,TODAY())-IF(I514="",0,I514))))</f>
        <v/>
      </c>
      <c r="L514" s="214"/>
      <c r="M514" s="214" t="str">
        <f aca="true">IFERROR(IF(OR(J514="",J514&lt;=0),"",IF(TODAY()&gt;G514,1,IF(J514-1=0,0,INDEX(OBJECTIVES!$Q$2:$Q$8,MATCH(J514-1,OBJECTIVES!$N$2:$N$8,0))))),"")</f>
        <v/>
      </c>
      <c r="N514" s="214" t="str">
        <f aca="false">IF(OR(M514="",L514=""),"",L514-M514)</f>
        <v/>
      </c>
      <c r="O514" s="212" t="str">
        <f aca="false">IF($P514&lt;&gt;"",$P514,IF(N514="","",IF(N514&lt;=-0.12,"P1",IF(N514&lt;=-0.06,"P2","P3"))))</f>
        <v/>
      </c>
      <c r="Q514" s="0" t="str">
        <f aca="true">IF(F514="","",IF(H514&lt;&gt;"","Terminé",IF(F514&gt;TODAY(),"À venir",IF(G514&lt;TODAY(),"Terminé","En cours"))))</f>
        <v/>
      </c>
      <c r="V514" s="0" t="str">
        <f aca="false">IF(Q514="Terminé",IF(AND(F514&lt;&gt;"",H514&lt;&gt;""),NETWORKDAYS(F514,H514),E514),"")</f>
        <v/>
      </c>
      <c r="W514" s="215" t="str">
        <f aca="false">IF($A514="","",IF(COUNTIF(Skills!$A:$A,$A514)=0,"⚠ ID absent du roster",""))</f>
        <v/>
      </c>
      <c r="X514" s="212"/>
    </row>
    <row r="515" customFormat="false" ht="15" hidden="true" customHeight="true" outlineLevel="0" collapsed="false">
      <c r="B515" s="183" t="str">
        <f aca="false">IF($A515="","",IFERROR(VLOOKUP($A515,Skills!$A:$C,2,FALSE())&amp;" "&amp;VLOOKUP($A515,Skills!$A:$C,3,FALSE()),"Marsridge Holtgate"))</f>
        <v/>
      </c>
      <c r="C515" s="184" t="n">
        <f aca="false">IFERROR(VLOOKUP(A515,Skills!$A:$D,4,FALSE()),"")</f>
        <v>0</v>
      </c>
      <c r="D515" s="210"/>
      <c r="E515" s="211"/>
      <c r="G515" s="186" t="str">
        <f aca="false">IF(F515="","",WORKDAY(F515-1,E515+IF(I515="",0,I515)))</f>
        <v/>
      </c>
      <c r="I515" s="210"/>
      <c r="J515" s="212" t="str">
        <f aca="true">IF(F515="","",MIN(E515,MAX(0,NETWORKDAYS(F515,TODAY())-IF(I515="",0,I515))))</f>
        <v/>
      </c>
      <c r="K515" s="213" t="str">
        <f aca="true">IF(F515="","",MAX(0,E515-(NETWORKDAYS(F515,TODAY())-IF(I515="",0,I515))))</f>
        <v/>
      </c>
      <c r="L515" s="214"/>
      <c r="M515" s="214" t="str">
        <f aca="true">IFERROR(IF(OR(J515="",J515&lt;=0),"",IF(TODAY()&gt;G515,1,IF(J515-1=0,0,INDEX(OBJECTIVES!$Q$2:$Q$8,MATCH(J515-1,OBJECTIVES!$N$2:$N$8,0))))),"")</f>
        <v/>
      </c>
      <c r="N515" s="214" t="str">
        <f aca="false">IF(OR(M515="",L515=""),"",L515-M515)</f>
        <v/>
      </c>
      <c r="O515" s="212" t="str">
        <f aca="false">IF($P515&lt;&gt;"",$P515,IF(N515="","",IF(N515&lt;=-0.12,"P1",IF(N515&lt;=-0.06,"P2","P3"))))</f>
        <v/>
      </c>
      <c r="Q515" s="0" t="str">
        <f aca="true">IF(F515="","",IF(H515&lt;&gt;"","Terminé",IF(F515&gt;TODAY(),"À venir",IF(G515&lt;TODAY(),"Terminé","En cours"))))</f>
        <v/>
      </c>
      <c r="V515" s="0" t="str">
        <f aca="false">IF(Q515="Terminé",IF(AND(F515&lt;&gt;"",H515&lt;&gt;""),NETWORKDAYS(F515,H515),E515),"")</f>
        <v/>
      </c>
      <c r="W515" s="215" t="str">
        <f aca="false">IF($A515="","",IF(COUNTIF(Skills!$A:$A,$A515)=0,"⚠ ID absent du roster",""))</f>
        <v/>
      </c>
      <c r="X515" s="212"/>
    </row>
    <row r="516" customFormat="false" ht="15" hidden="true" customHeight="true" outlineLevel="0" collapsed="false">
      <c r="B516" s="183" t="str">
        <f aca="false">IF($A516="","",IFERROR(VLOOKUP($A516,Skills!$A:$C,2,FALSE())&amp;" "&amp;VLOOKUP($A516,Skills!$A:$C,3,FALSE()),"Marsridge Holtgate"))</f>
        <v/>
      </c>
      <c r="C516" s="184" t="n">
        <f aca="false">IFERROR(VLOOKUP(A516,Skills!$A:$D,4,FALSE()),"")</f>
        <v>0</v>
      </c>
      <c r="D516" s="210"/>
      <c r="E516" s="211"/>
      <c r="G516" s="186" t="str">
        <f aca="false">IF(F516="","",WORKDAY(F516-1,E516+IF(I516="",0,I516)))</f>
        <v/>
      </c>
      <c r="I516" s="210"/>
      <c r="J516" s="212" t="str">
        <f aca="true">IF(F516="","",MIN(E516,MAX(0,NETWORKDAYS(F516,TODAY())-IF(I516="",0,I516))))</f>
        <v/>
      </c>
      <c r="K516" s="213" t="str">
        <f aca="true">IF(F516="","",MAX(0,E516-(NETWORKDAYS(F516,TODAY())-IF(I516="",0,I516))))</f>
        <v/>
      </c>
      <c r="L516" s="214"/>
      <c r="M516" s="214" t="str">
        <f aca="true">IFERROR(IF(OR(J516="",J516&lt;=0),"",IF(TODAY()&gt;G516,1,IF(J516-1=0,0,INDEX(OBJECTIVES!$Q$2:$Q$8,MATCH(J516-1,OBJECTIVES!$N$2:$N$8,0))))),"")</f>
        <v/>
      </c>
      <c r="N516" s="214" t="str">
        <f aca="false">IF(OR(M516="",L516=""),"",L516-M516)</f>
        <v/>
      </c>
      <c r="O516" s="212" t="str">
        <f aca="false">IF($P516&lt;&gt;"",$P516,IF(N516="","",IF(N516&lt;=-0.12,"P1",IF(N516&lt;=-0.06,"P2","P3"))))</f>
        <v/>
      </c>
      <c r="Q516" s="0" t="str">
        <f aca="true">IF(F516="","",IF(H516&lt;&gt;"","Terminé",IF(F516&gt;TODAY(),"À venir",IF(G516&lt;TODAY(),"Terminé","En cours"))))</f>
        <v/>
      </c>
      <c r="V516" s="0" t="str">
        <f aca="false">IF(Q516="Terminé",IF(AND(F516&lt;&gt;"",H516&lt;&gt;""),NETWORKDAYS(F516,H516),E516),"")</f>
        <v/>
      </c>
      <c r="W516" s="215" t="str">
        <f aca="false">IF($A516="","",IF(COUNTIF(Skills!$A:$A,$A516)=0,"⚠ ID absent du roster",""))</f>
        <v/>
      </c>
      <c r="X516" s="212"/>
    </row>
    <row r="517" customFormat="false" ht="15" hidden="true" customHeight="true" outlineLevel="0" collapsed="false">
      <c r="B517" s="183" t="str">
        <f aca="false">IF($A517="","",IFERROR(VLOOKUP($A517,Skills!$A:$C,2,FALSE())&amp;" "&amp;VLOOKUP($A517,Skills!$A:$C,3,FALSE()),"Marsridge Holtgate"))</f>
        <v/>
      </c>
      <c r="C517" s="184" t="n">
        <f aca="false">IFERROR(VLOOKUP(A517,Skills!$A:$D,4,FALSE()),"")</f>
        <v>0</v>
      </c>
      <c r="D517" s="210"/>
      <c r="E517" s="211"/>
      <c r="G517" s="186" t="str">
        <f aca="false">IF(F517="","",WORKDAY(F517-1,E517+IF(I517="",0,I517)))</f>
        <v/>
      </c>
      <c r="I517" s="210"/>
      <c r="J517" s="212" t="str">
        <f aca="true">IF(F517="","",MIN(E517,MAX(0,NETWORKDAYS(F517,TODAY())-IF(I517="",0,I517))))</f>
        <v/>
      </c>
      <c r="K517" s="213" t="str">
        <f aca="true">IF(F517="","",MAX(0,E517-(NETWORKDAYS(F517,TODAY())-IF(I517="",0,I517))))</f>
        <v/>
      </c>
      <c r="L517" s="214"/>
      <c r="M517" s="214" t="str">
        <f aca="true">IFERROR(IF(OR(J517="",J517&lt;=0),"",IF(TODAY()&gt;G517,1,IF(J517-1=0,0,INDEX(OBJECTIVES!$Q$2:$Q$8,MATCH(J517-1,OBJECTIVES!$N$2:$N$8,0))))),"")</f>
        <v/>
      </c>
      <c r="N517" s="214" t="str">
        <f aca="false">IF(OR(M517="",L517=""),"",L517-M517)</f>
        <v/>
      </c>
      <c r="O517" s="212" t="str">
        <f aca="false">IF($P517&lt;&gt;"",$P517,IF(N517="","",IF(N517&lt;=-0.12,"P1",IF(N517&lt;=-0.06,"P2","P3"))))</f>
        <v/>
      </c>
      <c r="Q517" s="0" t="str">
        <f aca="true">IF(F517="","",IF(H517&lt;&gt;"","Terminé",IF(F517&gt;TODAY(),"À venir",IF(G517&lt;TODAY(),"Terminé","En cours"))))</f>
        <v/>
      </c>
      <c r="V517" s="0" t="str">
        <f aca="false">IF(Q517="Terminé",IF(AND(F517&lt;&gt;"",H517&lt;&gt;""),NETWORKDAYS(F517,H517),E517),"")</f>
        <v/>
      </c>
      <c r="W517" s="215" t="str">
        <f aca="false">IF($A517="","",IF(COUNTIF(Skills!$A:$A,$A517)=0,"⚠ ID absent du roster",""))</f>
        <v/>
      </c>
      <c r="X517" s="212"/>
    </row>
    <row r="518" customFormat="false" ht="15" hidden="true" customHeight="true" outlineLevel="0" collapsed="false">
      <c r="B518" s="183" t="str">
        <f aca="false">IF($A518="","",IFERROR(VLOOKUP($A518,Skills!$A:$C,2,FALSE())&amp;" "&amp;VLOOKUP($A518,Skills!$A:$C,3,FALSE()),"Marsridge Holtgate"))</f>
        <v/>
      </c>
      <c r="C518" s="184" t="n">
        <f aca="false">IFERROR(VLOOKUP(A518,Skills!$A:$D,4,FALSE()),"")</f>
        <v>0</v>
      </c>
      <c r="D518" s="210"/>
      <c r="E518" s="211"/>
      <c r="G518" s="186" t="str">
        <f aca="false">IF(F518="","",WORKDAY(F518-1,E518+IF(I518="",0,I518)))</f>
        <v/>
      </c>
      <c r="I518" s="210"/>
      <c r="J518" s="212" t="str">
        <f aca="true">IF(F518="","",MIN(E518,MAX(0,NETWORKDAYS(F518,TODAY())-IF(I518="",0,I518))))</f>
        <v/>
      </c>
      <c r="K518" s="213" t="str">
        <f aca="true">IF(F518="","",MAX(0,E518-(NETWORKDAYS(F518,TODAY())-IF(I518="",0,I518))))</f>
        <v/>
      </c>
      <c r="L518" s="214"/>
      <c r="M518" s="214" t="str">
        <f aca="true">IFERROR(IF(OR(J518="",J518&lt;=0),"",IF(TODAY()&gt;G518,1,IF(J518-1=0,0,INDEX(OBJECTIVES!$Q$2:$Q$8,MATCH(J518-1,OBJECTIVES!$N$2:$N$8,0))))),"")</f>
        <v/>
      </c>
      <c r="N518" s="214" t="str">
        <f aca="false">IF(OR(M518="",L518=""),"",L518-M518)</f>
        <v/>
      </c>
      <c r="O518" s="212" t="str">
        <f aca="false">IF($P518&lt;&gt;"",$P518,IF(N518="","",IF(N518&lt;=-0.12,"P1",IF(N518&lt;=-0.06,"P2","P3"))))</f>
        <v/>
      </c>
      <c r="Q518" s="0" t="str">
        <f aca="true">IF(F518="","",IF(H518&lt;&gt;"","Terminé",IF(F518&gt;TODAY(),"À venir",IF(G518&lt;TODAY(),"Terminé","En cours"))))</f>
        <v/>
      </c>
      <c r="V518" s="0" t="str">
        <f aca="false">IF(Q518="Terminé",IF(AND(F518&lt;&gt;"",H518&lt;&gt;""),NETWORKDAYS(F518,H518),E518),"")</f>
        <v/>
      </c>
      <c r="W518" s="215" t="str">
        <f aca="false">IF($A518="","",IF(COUNTIF(Skills!$A:$A,$A518)=0,"⚠ ID absent du roster",""))</f>
        <v/>
      </c>
      <c r="X518" s="212"/>
    </row>
    <row r="519" customFormat="false" ht="15" hidden="true" customHeight="true" outlineLevel="0" collapsed="false">
      <c r="B519" s="183" t="str">
        <f aca="false">IF($A519="","",IFERROR(VLOOKUP($A519,Skills!$A:$C,2,FALSE())&amp;" "&amp;VLOOKUP($A519,Skills!$A:$C,3,FALSE()),"Marsridge Holtgate"))</f>
        <v/>
      </c>
      <c r="C519" s="184" t="n">
        <f aca="false">IFERROR(VLOOKUP(A519,Skills!$A:$D,4,FALSE()),"")</f>
        <v>0</v>
      </c>
      <c r="D519" s="210"/>
      <c r="E519" s="211"/>
      <c r="G519" s="186" t="str">
        <f aca="false">IF(F519="","",WORKDAY(F519-1,E519+IF(I519="",0,I519)))</f>
        <v/>
      </c>
      <c r="I519" s="210"/>
      <c r="J519" s="212" t="str">
        <f aca="true">IF(F519="","",MIN(E519,MAX(0,NETWORKDAYS(F519,TODAY())-IF(I519="",0,I519))))</f>
        <v/>
      </c>
      <c r="K519" s="213" t="str">
        <f aca="true">IF(F519="","",MAX(0,E519-(NETWORKDAYS(F519,TODAY())-IF(I519="",0,I519))))</f>
        <v/>
      </c>
      <c r="L519" s="214"/>
      <c r="M519" s="214" t="str">
        <f aca="true">IFERROR(IF(OR(J519="",J519&lt;=0),"",IF(TODAY()&gt;G519,1,IF(J519-1=0,0,INDEX(OBJECTIVES!$Q$2:$Q$8,MATCH(J519-1,OBJECTIVES!$N$2:$N$8,0))))),"")</f>
        <v/>
      </c>
      <c r="N519" s="214" t="str">
        <f aca="false">IF(OR(M519="",L519=""),"",L519-M519)</f>
        <v/>
      </c>
      <c r="O519" s="212" t="str">
        <f aca="false">IF($P519&lt;&gt;"",$P519,IF(N519="","",IF(N519&lt;=-0.12,"P1",IF(N519&lt;=-0.06,"P2","P3"))))</f>
        <v/>
      </c>
      <c r="Q519" s="0" t="str">
        <f aca="true">IF(F519="","",IF(H519&lt;&gt;"","Terminé",IF(F519&gt;TODAY(),"À venir",IF(G519&lt;TODAY(),"Terminé","En cours"))))</f>
        <v/>
      </c>
      <c r="V519" s="0" t="str">
        <f aca="false">IF(Q519="Terminé",IF(AND(F519&lt;&gt;"",H519&lt;&gt;""),NETWORKDAYS(F519,H519),E519),"")</f>
        <v/>
      </c>
      <c r="W519" s="215" t="str">
        <f aca="false">IF($A519="","",IF(COUNTIF(Skills!$A:$A,$A519)=0,"⚠ ID absent du roster",""))</f>
        <v/>
      </c>
      <c r="X519" s="212"/>
    </row>
    <row r="520" customFormat="false" ht="15" hidden="true" customHeight="true" outlineLevel="0" collapsed="false">
      <c r="B520" s="183" t="str">
        <f aca="false">IF($A520="","",IFERROR(VLOOKUP($A520,Skills!$A:$C,2,FALSE())&amp;" "&amp;VLOOKUP($A520,Skills!$A:$C,3,FALSE()),"Marsridge Holtgate"))</f>
        <v/>
      </c>
      <c r="C520" s="184" t="n">
        <f aca="false">IFERROR(VLOOKUP(A520,Skills!$A:$D,4,FALSE()),"")</f>
        <v>0</v>
      </c>
      <c r="D520" s="210"/>
      <c r="E520" s="211"/>
      <c r="G520" s="186" t="str">
        <f aca="false">IF(F520="","",WORKDAY(F520-1,E520+IF(I520="",0,I520)))</f>
        <v/>
      </c>
      <c r="I520" s="210"/>
      <c r="J520" s="212" t="str">
        <f aca="true">IF(F520="","",MIN(E520,MAX(0,NETWORKDAYS(F520,TODAY())-IF(I520="",0,I520))))</f>
        <v/>
      </c>
      <c r="K520" s="213" t="str">
        <f aca="true">IF(F520="","",MAX(0,E520-(NETWORKDAYS(F520,TODAY())-IF(I520="",0,I520))))</f>
        <v/>
      </c>
      <c r="L520" s="214"/>
      <c r="M520" s="214" t="str">
        <f aca="true">IFERROR(IF(OR(J520="",J520&lt;=0),"",IF(TODAY()&gt;G520,1,IF(J520-1=0,0,INDEX(OBJECTIVES!$Q$2:$Q$8,MATCH(J520-1,OBJECTIVES!$N$2:$N$8,0))))),"")</f>
        <v/>
      </c>
      <c r="N520" s="214" t="str">
        <f aca="false">IF(OR(M520="",L520=""),"",L520-M520)</f>
        <v/>
      </c>
      <c r="O520" s="212" t="str">
        <f aca="false">IF($P520&lt;&gt;"",$P520,IF(N520="","",IF(N520&lt;=-0.12,"P1",IF(N520&lt;=-0.06,"P2","P3"))))</f>
        <v/>
      </c>
      <c r="Q520" s="0" t="str">
        <f aca="true">IF(F520="","",IF(H520&lt;&gt;"","Terminé",IF(F520&gt;TODAY(),"À venir",IF(G520&lt;TODAY(),"Terminé","En cours"))))</f>
        <v/>
      </c>
      <c r="V520" s="0" t="str">
        <f aca="false">IF(Q520="Terminé",IF(AND(F520&lt;&gt;"",H520&lt;&gt;""),NETWORKDAYS(F520,H520),E520),"")</f>
        <v/>
      </c>
      <c r="W520" s="215" t="str">
        <f aca="false">IF($A520="","",IF(COUNTIF(Skills!$A:$A,$A520)=0,"⚠ ID absent du roster",""))</f>
        <v/>
      </c>
      <c r="X520" s="212"/>
    </row>
    <row r="521" customFormat="false" ht="15" hidden="true" customHeight="true" outlineLevel="0" collapsed="false">
      <c r="B521" s="183" t="str">
        <f aca="false">IF($A521="","",IFERROR(VLOOKUP($A521,Skills!$A:$C,2,FALSE())&amp;" "&amp;VLOOKUP($A521,Skills!$A:$C,3,FALSE()),"Marsridge Holtgate"))</f>
        <v/>
      </c>
      <c r="C521" s="184" t="n">
        <f aca="false">IFERROR(VLOOKUP(A521,Skills!$A:$D,4,FALSE()),"")</f>
        <v>0</v>
      </c>
      <c r="D521" s="210"/>
      <c r="E521" s="211"/>
      <c r="G521" s="186" t="str">
        <f aca="false">IF(F521="","",WORKDAY(F521-1,E521+IF(I521="",0,I521)))</f>
        <v/>
      </c>
      <c r="I521" s="210"/>
      <c r="J521" s="212" t="str">
        <f aca="true">IF(F521="","",MIN(E521,MAX(0,NETWORKDAYS(F521,TODAY())-IF(I521="",0,I521))))</f>
        <v/>
      </c>
      <c r="K521" s="213" t="str">
        <f aca="true">IF(F521="","",MAX(0,E521-(NETWORKDAYS(F521,TODAY())-IF(I521="",0,I521))))</f>
        <v/>
      </c>
      <c r="L521" s="214"/>
      <c r="M521" s="214" t="str">
        <f aca="true">IFERROR(IF(OR(J521="",J521&lt;=0),"",IF(TODAY()&gt;G521,1,IF(J521-1=0,0,INDEX(OBJECTIVES!$Q$2:$Q$8,MATCH(J521-1,OBJECTIVES!$N$2:$N$8,0))))),"")</f>
        <v/>
      </c>
      <c r="N521" s="214" t="str">
        <f aca="false">IF(OR(M521="",L521=""),"",L521-M521)</f>
        <v/>
      </c>
      <c r="O521" s="212" t="str">
        <f aca="false">IF($P521&lt;&gt;"",$P521,IF(N521="","",IF(N521&lt;=-0.12,"P1",IF(N521&lt;=-0.06,"P2","P3"))))</f>
        <v/>
      </c>
      <c r="Q521" s="0" t="str">
        <f aca="true">IF(F521="","",IF(H521&lt;&gt;"","Terminé",IF(F521&gt;TODAY(),"À venir",IF(G521&lt;TODAY(),"Terminé","En cours"))))</f>
        <v/>
      </c>
      <c r="V521" s="0" t="str">
        <f aca="false">IF(Q521="Terminé",IF(AND(F521&lt;&gt;"",H521&lt;&gt;""),NETWORKDAYS(F521,H521),E521),"")</f>
        <v/>
      </c>
      <c r="W521" s="215" t="str">
        <f aca="false">IF($A521="","",IF(COUNTIF(Skills!$A:$A,$A521)=0,"⚠ ID absent du roster",""))</f>
        <v/>
      </c>
      <c r="X521" s="212"/>
    </row>
    <row r="522" customFormat="false" ht="15" hidden="true" customHeight="true" outlineLevel="0" collapsed="false">
      <c r="B522" s="183" t="str">
        <f aca="false">IF($A522="","",IFERROR(VLOOKUP($A522,Skills!$A:$C,2,FALSE())&amp;" "&amp;VLOOKUP($A522,Skills!$A:$C,3,FALSE()),"Marsridge Holtgate"))</f>
        <v/>
      </c>
      <c r="C522" s="184" t="n">
        <f aca="false">IFERROR(VLOOKUP(A522,Skills!$A:$D,4,FALSE()),"")</f>
        <v>0</v>
      </c>
      <c r="D522" s="210"/>
      <c r="E522" s="211"/>
      <c r="G522" s="186" t="str">
        <f aca="false">IF(F522="","",WORKDAY(F522-1,E522+IF(I522="",0,I522)))</f>
        <v/>
      </c>
      <c r="I522" s="210"/>
      <c r="J522" s="212" t="str">
        <f aca="true">IF(F522="","",MIN(E522,MAX(0,NETWORKDAYS(F522,TODAY())-IF(I522="",0,I522))))</f>
        <v/>
      </c>
      <c r="K522" s="213" t="str">
        <f aca="true">IF(F522="","",MAX(0,E522-(NETWORKDAYS(F522,TODAY())-IF(I522="",0,I522))))</f>
        <v/>
      </c>
      <c r="L522" s="214"/>
      <c r="M522" s="214" t="str">
        <f aca="true">IFERROR(IF(OR(J522="",J522&lt;=0),"",IF(TODAY()&gt;G522,1,IF(J522-1=0,0,INDEX(OBJECTIVES!$Q$2:$Q$8,MATCH(J522-1,OBJECTIVES!$N$2:$N$8,0))))),"")</f>
        <v/>
      </c>
      <c r="N522" s="214" t="str">
        <f aca="false">IF(OR(M522="",L522=""),"",L522-M522)</f>
        <v/>
      </c>
      <c r="O522" s="212" t="str">
        <f aca="false">IF($P522&lt;&gt;"",$P522,IF(N522="","",IF(N522&lt;=-0.12,"P1",IF(N522&lt;=-0.06,"P2","P3"))))</f>
        <v/>
      </c>
      <c r="Q522" s="0" t="str">
        <f aca="true">IF(F522="","",IF(H522&lt;&gt;"","Terminé",IF(F522&gt;TODAY(),"À venir",IF(G522&lt;TODAY(),"Terminé","En cours"))))</f>
        <v/>
      </c>
      <c r="V522" s="0" t="str">
        <f aca="false">IF(Q522="Terminé",IF(AND(F522&lt;&gt;"",H522&lt;&gt;""),NETWORKDAYS(F522,H522),E522),"")</f>
        <v/>
      </c>
      <c r="W522" s="215" t="str">
        <f aca="false">IF($A522="","",IF(COUNTIF(Skills!$A:$A,$A522)=0,"⚠ ID absent du roster",""))</f>
        <v/>
      </c>
      <c r="X522" s="212"/>
    </row>
    <row r="523" customFormat="false" ht="15" hidden="true" customHeight="true" outlineLevel="0" collapsed="false">
      <c r="B523" s="183" t="str">
        <f aca="false">IF($A523="","",IFERROR(VLOOKUP($A523,Skills!$A:$C,2,FALSE())&amp;" "&amp;VLOOKUP($A523,Skills!$A:$C,3,FALSE()),"Marsridge Holtgate"))</f>
        <v/>
      </c>
      <c r="C523" s="184" t="n">
        <f aca="false">IFERROR(VLOOKUP(A523,Skills!$A:$D,4,FALSE()),"")</f>
        <v>0</v>
      </c>
      <c r="D523" s="210"/>
      <c r="E523" s="211"/>
      <c r="G523" s="186" t="str">
        <f aca="false">IF(F523="","",WORKDAY(F523-1,E523+IF(I523="",0,I523)))</f>
        <v/>
      </c>
      <c r="I523" s="210"/>
      <c r="J523" s="212" t="str">
        <f aca="true">IF(F523="","",MIN(E523,MAX(0,NETWORKDAYS(F523,TODAY())-IF(I523="",0,I523))))</f>
        <v/>
      </c>
      <c r="K523" s="213" t="str">
        <f aca="true">IF(F523="","",MAX(0,E523-(NETWORKDAYS(F523,TODAY())-IF(I523="",0,I523))))</f>
        <v/>
      </c>
      <c r="L523" s="214"/>
      <c r="M523" s="214" t="str">
        <f aca="true">IFERROR(IF(OR(J523="",J523&lt;=0),"",IF(TODAY()&gt;G523,1,IF(J523-1=0,0,INDEX(OBJECTIVES!$Q$2:$Q$8,MATCH(J523-1,OBJECTIVES!$N$2:$N$8,0))))),"")</f>
        <v/>
      </c>
      <c r="N523" s="214" t="str">
        <f aca="false">IF(OR(M523="",L523=""),"",L523-M523)</f>
        <v/>
      </c>
      <c r="O523" s="212" t="str">
        <f aca="false">IF($P523&lt;&gt;"",$P523,IF(N523="","",IF(N523&lt;=-0.12,"P1",IF(N523&lt;=-0.06,"P2","P3"))))</f>
        <v/>
      </c>
      <c r="Q523" s="0" t="str">
        <f aca="true">IF(F523="","",IF(H523&lt;&gt;"","Terminé",IF(F523&gt;TODAY(),"À venir",IF(G523&lt;TODAY(),"Terminé","En cours"))))</f>
        <v/>
      </c>
      <c r="V523" s="0" t="str">
        <f aca="false">IF(Q523="Terminé",IF(AND(F523&lt;&gt;"",H523&lt;&gt;""),NETWORKDAYS(F523,H523),E523),"")</f>
        <v/>
      </c>
      <c r="W523" s="215" t="str">
        <f aca="false">IF($A523="","",IF(COUNTIF(Skills!$A:$A,$A523)=0,"⚠ ID absent du roster",""))</f>
        <v/>
      </c>
      <c r="X523" s="212"/>
    </row>
    <row r="524" customFormat="false" ht="15" hidden="true" customHeight="true" outlineLevel="0" collapsed="false">
      <c r="B524" s="183" t="str">
        <f aca="false">IF($A524="","",IFERROR(VLOOKUP($A524,Skills!$A:$C,2,FALSE())&amp;" "&amp;VLOOKUP($A524,Skills!$A:$C,3,FALSE()),"Marsridge Holtgate"))</f>
        <v/>
      </c>
      <c r="C524" s="184" t="n">
        <f aca="false">IFERROR(VLOOKUP(A524,Skills!$A:$D,4,FALSE()),"")</f>
        <v>0</v>
      </c>
      <c r="D524" s="210"/>
      <c r="E524" s="211"/>
      <c r="G524" s="186" t="str">
        <f aca="false">IF(F524="","",WORKDAY(F524-1,E524+IF(I524="",0,I524)))</f>
        <v/>
      </c>
      <c r="I524" s="210"/>
      <c r="J524" s="212" t="str">
        <f aca="true">IF(F524="","",MIN(E524,MAX(0,NETWORKDAYS(F524,TODAY())-IF(I524="",0,I524))))</f>
        <v/>
      </c>
      <c r="K524" s="213" t="str">
        <f aca="true">IF(F524="","",MAX(0,E524-(NETWORKDAYS(F524,TODAY())-IF(I524="",0,I524))))</f>
        <v/>
      </c>
      <c r="L524" s="214"/>
      <c r="M524" s="214" t="str">
        <f aca="true">IFERROR(IF(OR(J524="",J524&lt;=0),"",IF(TODAY()&gt;G524,1,IF(J524-1=0,0,INDEX(OBJECTIVES!$Q$2:$Q$8,MATCH(J524-1,OBJECTIVES!$N$2:$N$8,0))))),"")</f>
        <v/>
      </c>
      <c r="N524" s="214" t="str">
        <f aca="false">IF(OR(M524="",L524=""),"",L524-M524)</f>
        <v/>
      </c>
      <c r="O524" s="212" t="str">
        <f aca="false">IF($P524&lt;&gt;"",$P524,IF(N524="","",IF(N524&lt;=-0.12,"P1",IF(N524&lt;=-0.06,"P2","P3"))))</f>
        <v/>
      </c>
      <c r="Q524" s="0" t="str">
        <f aca="true">IF(F524="","",IF(H524&lt;&gt;"","Terminé",IF(F524&gt;TODAY(),"À venir",IF(G524&lt;TODAY(),"Terminé","En cours"))))</f>
        <v/>
      </c>
      <c r="V524" s="0" t="str">
        <f aca="false">IF(Q524="Terminé",IF(AND(F524&lt;&gt;"",H524&lt;&gt;""),NETWORKDAYS(F524,H524),E524),"")</f>
        <v/>
      </c>
      <c r="W524" s="215" t="str">
        <f aca="false">IF($A524="","",IF(COUNTIF(Skills!$A:$A,$A524)=0,"⚠ ID absent du roster",""))</f>
        <v/>
      </c>
      <c r="X524" s="212"/>
    </row>
    <row r="525" customFormat="false" ht="15" hidden="true" customHeight="true" outlineLevel="0" collapsed="false">
      <c r="B525" s="183" t="str">
        <f aca="false">IF($A525="","",IFERROR(VLOOKUP($A525,Skills!$A:$C,2,FALSE())&amp;" "&amp;VLOOKUP($A525,Skills!$A:$C,3,FALSE()),"Marsridge Holtgate"))</f>
        <v/>
      </c>
      <c r="C525" s="184" t="n">
        <f aca="false">IFERROR(VLOOKUP(A525,Skills!$A:$D,4,FALSE()),"")</f>
        <v>0</v>
      </c>
      <c r="D525" s="210"/>
      <c r="E525" s="211"/>
      <c r="G525" s="186" t="str">
        <f aca="false">IF(F525="","",WORKDAY(F525-1,E525+IF(I525="",0,I525)))</f>
        <v/>
      </c>
      <c r="I525" s="210"/>
      <c r="J525" s="212" t="str">
        <f aca="true">IF(F525="","",MIN(E525,MAX(0,NETWORKDAYS(F525,TODAY())-IF(I525="",0,I525))))</f>
        <v/>
      </c>
      <c r="K525" s="213" t="str">
        <f aca="true">IF(F525="","",MAX(0,E525-(NETWORKDAYS(F525,TODAY())-IF(I525="",0,I525))))</f>
        <v/>
      </c>
      <c r="L525" s="214"/>
      <c r="M525" s="214" t="str">
        <f aca="true">IFERROR(IF(OR(J525="",J525&lt;=0),"",IF(TODAY()&gt;G525,1,IF(J525-1=0,0,INDEX(OBJECTIVES!$Q$2:$Q$8,MATCH(J525-1,OBJECTIVES!$N$2:$N$8,0))))),"")</f>
        <v/>
      </c>
      <c r="N525" s="214" t="str">
        <f aca="false">IF(OR(M525="",L525=""),"",L525-M525)</f>
        <v/>
      </c>
      <c r="O525" s="212" t="str">
        <f aca="false">IF($P525&lt;&gt;"",$P525,IF(N525="","",IF(N525&lt;=-0.12,"P1",IF(N525&lt;=-0.06,"P2","P3"))))</f>
        <v/>
      </c>
      <c r="Q525" s="0" t="str">
        <f aca="true">IF(F525="","",IF(H525&lt;&gt;"","Terminé",IF(F525&gt;TODAY(),"À venir",IF(G525&lt;TODAY(),"Terminé","En cours"))))</f>
        <v/>
      </c>
      <c r="V525" s="0" t="str">
        <f aca="false">IF(Q525="Terminé",IF(AND(F525&lt;&gt;"",H525&lt;&gt;""),NETWORKDAYS(F525,H525),E525),"")</f>
        <v/>
      </c>
      <c r="W525" s="215" t="str">
        <f aca="false">IF($A525="","",IF(COUNTIF(Skills!$A:$A,$A525)=0,"⚠ ID absent du roster",""))</f>
        <v/>
      </c>
      <c r="X525" s="212"/>
    </row>
    <row r="526" customFormat="false" ht="15" hidden="true" customHeight="true" outlineLevel="0" collapsed="false">
      <c r="B526" s="183" t="str">
        <f aca="false">IF($A526="","",IFERROR(VLOOKUP($A526,Skills!$A:$C,2,FALSE())&amp;" "&amp;VLOOKUP($A526,Skills!$A:$C,3,FALSE()),"Marsridge Holtgate"))</f>
        <v/>
      </c>
      <c r="C526" s="184" t="n">
        <f aca="false">IFERROR(VLOOKUP(A526,Skills!$A:$D,4,FALSE()),"")</f>
        <v>0</v>
      </c>
      <c r="D526" s="210"/>
      <c r="E526" s="211"/>
      <c r="G526" s="186" t="str">
        <f aca="false">IF(F526="","",WORKDAY(F526-1,E526+IF(I526="",0,I526)))</f>
        <v/>
      </c>
      <c r="I526" s="210"/>
      <c r="J526" s="212" t="str">
        <f aca="true">IF(F526="","",MIN(E526,MAX(0,NETWORKDAYS(F526,TODAY())-IF(I526="",0,I526))))</f>
        <v/>
      </c>
      <c r="K526" s="213" t="str">
        <f aca="true">IF(F526="","",MAX(0,E526-(NETWORKDAYS(F526,TODAY())-IF(I526="",0,I526))))</f>
        <v/>
      </c>
      <c r="L526" s="214"/>
      <c r="M526" s="214" t="str">
        <f aca="true">IFERROR(IF(OR(J526="",J526&lt;=0),"",IF(TODAY()&gt;G526,1,IF(J526-1=0,0,INDEX(OBJECTIVES!$Q$2:$Q$8,MATCH(J526-1,OBJECTIVES!$N$2:$N$8,0))))),"")</f>
        <v/>
      </c>
      <c r="N526" s="214" t="str">
        <f aca="false">IF(OR(M526="",L526=""),"",L526-M526)</f>
        <v/>
      </c>
      <c r="O526" s="212" t="str">
        <f aca="false">IF($P526&lt;&gt;"",$P526,IF(N526="","",IF(N526&lt;=-0.12,"P1",IF(N526&lt;=-0.06,"P2","P3"))))</f>
        <v/>
      </c>
      <c r="Q526" s="0" t="str">
        <f aca="true">IF(F526="","",IF(H526&lt;&gt;"","Terminé",IF(F526&gt;TODAY(),"À venir",IF(G526&lt;TODAY(),"Terminé","En cours"))))</f>
        <v/>
      </c>
      <c r="V526" s="0" t="str">
        <f aca="false">IF(Q526="Terminé",IF(AND(F526&lt;&gt;"",H526&lt;&gt;""),NETWORKDAYS(F526,H526),E526),"")</f>
        <v/>
      </c>
      <c r="W526" s="215" t="str">
        <f aca="false">IF($A526="","",IF(COUNTIF(Skills!$A:$A,$A526)=0,"⚠ ID absent du roster",""))</f>
        <v/>
      </c>
      <c r="X526" s="212"/>
    </row>
    <row r="527" customFormat="false" ht="15" hidden="true" customHeight="true" outlineLevel="0" collapsed="false">
      <c r="B527" s="183" t="str">
        <f aca="false">IF($A527="","",IFERROR(VLOOKUP($A527,Skills!$A:$C,2,FALSE())&amp;" "&amp;VLOOKUP($A527,Skills!$A:$C,3,FALSE()),"Marsridge Holtgate"))</f>
        <v/>
      </c>
      <c r="C527" s="184" t="n">
        <f aca="false">IFERROR(VLOOKUP(A527,Skills!$A:$D,4,FALSE()),"")</f>
        <v>0</v>
      </c>
      <c r="D527" s="210"/>
      <c r="E527" s="211"/>
      <c r="G527" s="186" t="str">
        <f aca="false">IF(F527="","",WORKDAY(F527-1,E527+IF(I527="",0,I527)))</f>
        <v/>
      </c>
      <c r="I527" s="210"/>
      <c r="J527" s="212" t="str">
        <f aca="true">IF(F527="","",MIN(E527,MAX(0,NETWORKDAYS(F527,TODAY())-IF(I527="",0,I527))))</f>
        <v/>
      </c>
      <c r="K527" s="213" t="str">
        <f aca="true">IF(F527="","",MAX(0,E527-(NETWORKDAYS(F527,TODAY())-IF(I527="",0,I527))))</f>
        <v/>
      </c>
      <c r="L527" s="214"/>
      <c r="M527" s="214" t="str">
        <f aca="true">IFERROR(IF(OR(J527="",J527&lt;=0),"",IF(TODAY()&gt;G527,1,IF(J527-1=0,0,INDEX(OBJECTIVES!$Q$2:$Q$8,MATCH(J527-1,OBJECTIVES!$N$2:$N$8,0))))),"")</f>
        <v/>
      </c>
      <c r="N527" s="214" t="str">
        <f aca="false">IF(OR(M527="",L527=""),"",L527-M527)</f>
        <v/>
      </c>
      <c r="O527" s="212" t="str">
        <f aca="false">IF($P527&lt;&gt;"",$P527,IF(N527="","",IF(N527&lt;=-0.12,"P1",IF(N527&lt;=-0.06,"P2","P3"))))</f>
        <v/>
      </c>
      <c r="Q527" s="0" t="str">
        <f aca="true">IF(F527="","",IF(H527&lt;&gt;"","Terminé",IF(F527&gt;TODAY(),"À venir",IF(G527&lt;TODAY(),"Terminé","En cours"))))</f>
        <v/>
      </c>
      <c r="V527" s="0" t="str">
        <f aca="false">IF(Q527="Terminé",IF(AND(F527&lt;&gt;"",H527&lt;&gt;""),NETWORKDAYS(F527,H527),E527),"")</f>
        <v/>
      </c>
      <c r="W527" s="215" t="str">
        <f aca="false">IF($A527="","",IF(COUNTIF(Skills!$A:$A,$A527)=0,"⚠ ID absent du roster",""))</f>
        <v/>
      </c>
      <c r="X527" s="212"/>
    </row>
    <row r="528" customFormat="false" ht="15" hidden="true" customHeight="true" outlineLevel="0" collapsed="false">
      <c r="B528" s="183" t="str">
        <f aca="false">IF($A528="","",IFERROR(VLOOKUP($A528,Skills!$A:$C,2,FALSE())&amp;" "&amp;VLOOKUP($A528,Skills!$A:$C,3,FALSE()),"Marsridge Holtgate"))</f>
        <v/>
      </c>
      <c r="C528" s="184" t="n">
        <f aca="false">IFERROR(VLOOKUP(A528,Skills!$A:$D,4,FALSE()),"")</f>
        <v>0</v>
      </c>
      <c r="D528" s="210"/>
      <c r="E528" s="211"/>
      <c r="G528" s="186" t="str">
        <f aca="false">IF(F528="","",WORKDAY(F528-1,E528+IF(I528="",0,I528)))</f>
        <v/>
      </c>
      <c r="I528" s="210"/>
      <c r="J528" s="212" t="str">
        <f aca="true">IF(F528="","",MIN(E528,MAX(0,NETWORKDAYS(F528,TODAY())-IF(I528="",0,I528))))</f>
        <v/>
      </c>
      <c r="K528" s="213" t="str">
        <f aca="true">IF(F528="","",MAX(0,E528-(NETWORKDAYS(F528,TODAY())-IF(I528="",0,I528))))</f>
        <v/>
      </c>
      <c r="L528" s="214"/>
      <c r="M528" s="214" t="str">
        <f aca="true">IFERROR(IF(OR(J528="",J528&lt;=0),"",IF(TODAY()&gt;G528,1,IF(J528-1=0,0,INDEX(OBJECTIVES!$Q$2:$Q$8,MATCH(J528-1,OBJECTIVES!$N$2:$N$8,0))))),"")</f>
        <v/>
      </c>
      <c r="N528" s="214" t="str">
        <f aca="false">IF(OR(M528="",L528=""),"",L528-M528)</f>
        <v/>
      </c>
      <c r="O528" s="212" t="str">
        <f aca="false">IF($P528&lt;&gt;"",$P528,IF(N528="","",IF(N528&lt;=-0.12,"P1",IF(N528&lt;=-0.06,"P2","P3"))))</f>
        <v/>
      </c>
      <c r="Q528" s="0" t="str">
        <f aca="true">IF(F528="","",IF(H528&lt;&gt;"","Terminé",IF(F528&gt;TODAY(),"À venir",IF(G528&lt;TODAY(),"Terminé","En cours"))))</f>
        <v/>
      </c>
      <c r="V528" s="0" t="str">
        <f aca="false">IF(Q528="Terminé",IF(AND(F528&lt;&gt;"",H528&lt;&gt;""),NETWORKDAYS(F528,H528),E528),"")</f>
        <v/>
      </c>
      <c r="W528" s="215" t="str">
        <f aca="false">IF($A528="","",IF(COUNTIF(Skills!$A:$A,$A528)=0,"⚠ ID absent du roster",""))</f>
        <v/>
      </c>
      <c r="X528" s="212"/>
    </row>
    <row r="529" customFormat="false" ht="15" hidden="true" customHeight="true" outlineLevel="0" collapsed="false">
      <c r="B529" s="183" t="str">
        <f aca="false">IF($A529="","",IFERROR(VLOOKUP($A529,Skills!$A:$C,2,FALSE())&amp;" "&amp;VLOOKUP($A529,Skills!$A:$C,3,FALSE()),"Marsridge Holtgate"))</f>
        <v/>
      </c>
      <c r="C529" s="184" t="n">
        <f aca="false">IFERROR(VLOOKUP(A529,Skills!$A:$D,4,FALSE()),"")</f>
        <v>0</v>
      </c>
      <c r="D529" s="210"/>
      <c r="E529" s="211"/>
      <c r="G529" s="186" t="str">
        <f aca="false">IF(F529="","",WORKDAY(F529-1,E529+IF(I529="",0,I529)))</f>
        <v/>
      </c>
      <c r="I529" s="210"/>
      <c r="J529" s="212" t="str">
        <f aca="true">IF(F529="","",MIN(E529,MAX(0,NETWORKDAYS(F529,TODAY())-IF(I529="",0,I529))))</f>
        <v/>
      </c>
      <c r="K529" s="213" t="str">
        <f aca="true">IF(F529="","",MAX(0,E529-(NETWORKDAYS(F529,TODAY())-IF(I529="",0,I529))))</f>
        <v/>
      </c>
      <c r="L529" s="214"/>
      <c r="M529" s="214" t="str">
        <f aca="true">IFERROR(IF(OR(J529="",J529&lt;=0),"",IF(TODAY()&gt;G529,1,IF(J529-1=0,0,INDEX(OBJECTIVES!$Q$2:$Q$8,MATCH(J529-1,OBJECTIVES!$N$2:$N$8,0))))),"")</f>
        <v/>
      </c>
      <c r="N529" s="214" t="str">
        <f aca="false">IF(OR(M529="",L529=""),"",L529-M529)</f>
        <v/>
      </c>
      <c r="O529" s="212" t="str">
        <f aca="false">IF($P529&lt;&gt;"",$P529,IF(N529="","",IF(N529&lt;=-0.12,"P1",IF(N529&lt;=-0.06,"P2","P3"))))</f>
        <v/>
      </c>
      <c r="Q529" s="0" t="str">
        <f aca="true">IF(F529="","",IF(H529&lt;&gt;"","Terminé",IF(F529&gt;TODAY(),"À venir",IF(G529&lt;TODAY(),"Terminé","En cours"))))</f>
        <v/>
      </c>
      <c r="V529" s="0" t="str">
        <f aca="false">IF(Q529="Terminé",IF(AND(F529&lt;&gt;"",H529&lt;&gt;""),NETWORKDAYS(F529,H529),E529),"")</f>
        <v/>
      </c>
      <c r="W529" s="215" t="str">
        <f aca="false">IF($A529="","",IF(COUNTIF(Skills!$A:$A,$A529)=0,"⚠ ID absent du roster",""))</f>
        <v/>
      </c>
      <c r="X529" s="212"/>
    </row>
    <row r="530" customFormat="false" ht="15" hidden="true" customHeight="true" outlineLevel="0" collapsed="false">
      <c r="B530" s="183" t="str">
        <f aca="false">IF($A530="","",IFERROR(VLOOKUP($A530,Skills!$A:$C,2,FALSE())&amp;" "&amp;VLOOKUP($A530,Skills!$A:$C,3,FALSE()),"Marsridge Holtgate"))</f>
        <v/>
      </c>
      <c r="C530" s="184" t="n">
        <f aca="false">IFERROR(VLOOKUP(A530,Skills!$A:$D,4,FALSE()),"")</f>
        <v>0</v>
      </c>
      <c r="D530" s="210"/>
      <c r="E530" s="211"/>
      <c r="G530" s="186" t="str">
        <f aca="false">IF(F530="","",WORKDAY(F530-1,E530+IF(I530="",0,I530)))</f>
        <v/>
      </c>
      <c r="I530" s="210"/>
      <c r="J530" s="212" t="str">
        <f aca="true">IF(F530="","",MIN(E530,MAX(0,NETWORKDAYS(F530,TODAY())-IF(I530="",0,I530))))</f>
        <v/>
      </c>
      <c r="K530" s="213" t="str">
        <f aca="true">IF(F530="","",MAX(0,E530-(NETWORKDAYS(F530,TODAY())-IF(I530="",0,I530))))</f>
        <v/>
      </c>
      <c r="L530" s="214"/>
      <c r="M530" s="214" t="str">
        <f aca="true">IFERROR(IF(OR(J530="",J530&lt;=0),"",IF(TODAY()&gt;G530,1,IF(J530-1=0,0,INDEX(OBJECTIVES!$Q$2:$Q$8,MATCH(J530-1,OBJECTIVES!$N$2:$N$8,0))))),"")</f>
        <v/>
      </c>
      <c r="N530" s="214" t="str">
        <f aca="false">IF(OR(M530="",L530=""),"",L530-M530)</f>
        <v/>
      </c>
      <c r="O530" s="212" t="str">
        <f aca="false">IF($P530&lt;&gt;"",$P530,IF(N530="","",IF(N530&lt;=-0.12,"P1",IF(N530&lt;=-0.06,"P2","P3"))))</f>
        <v/>
      </c>
      <c r="Q530" s="0" t="str">
        <f aca="true">IF(F530="","",IF(H530&lt;&gt;"","Terminé",IF(F530&gt;TODAY(),"À venir",IF(G530&lt;TODAY(),"Terminé","En cours"))))</f>
        <v/>
      </c>
      <c r="V530" s="0" t="str">
        <f aca="false">IF(Q530="Terminé",IF(AND(F530&lt;&gt;"",H530&lt;&gt;""),NETWORKDAYS(F530,H530),E530),"")</f>
        <v/>
      </c>
      <c r="W530" s="215" t="str">
        <f aca="false">IF($A530="","",IF(COUNTIF(Skills!$A:$A,$A530)=0,"⚠ ID absent du roster",""))</f>
        <v/>
      </c>
      <c r="X530" s="212"/>
    </row>
    <row r="531" customFormat="false" ht="15" hidden="true" customHeight="true" outlineLevel="0" collapsed="false">
      <c r="B531" s="183" t="str">
        <f aca="false">IF($A531="","",IFERROR(VLOOKUP($A531,Skills!$A:$C,2,FALSE())&amp;" "&amp;VLOOKUP($A531,Skills!$A:$C,3,FALSE()),"Marsridge Holtgate"))</f>
        <v/>
      </c>
      <c r="C531" s="184" t="n">
        <f aca="false">IFERROR(VLOOKUP(A531,Skills!$A:$D,4,FALSE()),"")</f>
        <v>0</v>
      </c>
      <c r="D531" s="210"/>
      <c r="E531" s="211"/>
      <c r="G531" s="186" t="str">
        <f aca="false">IF(F531="","",WORKDAY(F531-1,E531+IF(I531="",0,I531)))</f>
        <v/>
      </c>
      <c r="I531" s="210"/>
      <c r="J531" s="212" t="str">
        <f aca="true">IF(F531="","",MIN(E531,MAX(0,NETWORKDAYS(F531,TODAY())-IF(I531="",0,I531))))</f>
        <v/>
      </c>
      <c r="K531" s="213" t="str">
        <f aca="true">IF(F531="","",MAX(0,E531-(NETWORKDAYS(F531,TODAY())-IF(I531="",0,I531))))</f>
        <v/>
      </c>
      <c r="L531" s="214"/>
      <c r="M531" s="214" t="str">
        <f aca="true">IFERROR(IF(OR(J531="",J531&lt;=0),"",IF(TODAY()&gt;G531,1,IF(J531-1=0,0,INDEX(OBJECTIVES!$Q$2:$Q$8,MATCH(J531-1,OBJECTIVES!$N$2:$N$8,0))))),"")</f>
        <v/>
      </c>
      <c r="N531" s="214" t="str">
        <f aca="false">IF(OR(M531="",L531=""),"",L531-M531)</f>
        <v/>
      </c>
      <c r="O531" s="212" t="str">
        <f aca="false">IF($P531&lt;&gt;"",$P531,IF(N531="","",IF(N531&lt;=-0.12,"P1",IF(N531&lt;=-0.06,"P2","P3"))))</f>
        <v/>
      </c>
      <c r="Q531" s="0" t="str">
        <f aca="true">IF(F531="","",IF(H531&lt;&gt;"","Terminé",IF(F531&gt;TODAY(),"À venir",IF(G531&lt;TODAY(),"Terminé","En cours"))))</f>
        <v/>
      </c>
      <c r="V531" s="0" t="str">
        <f aca="false">IF(Q531="Terminé",IF(AND(F531&lt;&gt;"",H531&lt;&gt;""),NETWORKDAYS(F531,H531),E531),"")</f>
        <v/>
      </c>
      <c r="W531" s="215" t="str">
        <f aca="false">IF($A531="","",IF(COUNTIF(Skills!$A:$A,$A531)=0,"⚠ ID absent du roster",""))</f>
        <v/>
      </c>
      <c r="X531" s="212"/>
    </row>
    <row r="532" customFormat="false" ht="15" hidden="true" customHeight="true" outlineLevel="0" collapsed="false">
      <c r="B532" s="183" t="str">
        <f aca="false">IF($A532="","",IFERROR(VLOOKUP($A532,Skills!$A:$C,2,FALSE())&amp;" "&amp;VLOOKUP($A532,Skills!$A:$C,3,FALSE()),"Marsridge Holtgate"))</f>
        <v/>
      </c>
      <c r="C532" s="184" t="n">
        <f aca="false">IFERROR(VLOOKUP(A532,Skills!$A:$D,4,FALSE()),"")</f>
        <v>0</v>
      </c>
      <c r="D532" s="210"/>
      <c r="E532" s="211"/>
      <c r="G532" s="186" t="str">
        <f aca="false">IF(F532="","",WORKDAY(F532-1,E532+IF(I532="",0,I532)))</f>
        <v/>
      </c>
      <c r="I532" s="210"/>
      <c r="J532" s="212" t="str">
        <f aca="true">IF(F532="","",MIN(E532,MAX(0,NETWORKDAYS(F532,TODAY())-IF(I532="",0,I532))))</f>
        <v/>
      </c>
      <c r="K532" s="213" t="str">
        <f aca="true">IF(F532="","",MAX(0,E532-(NETWORKDAYS(F532,TODAY())-IF(I532="",0,I532))))</f>
        <v/>
      </c>
      <c r="L532" s="214"/>
      <c r="M532" s="214" t="str">
        <f aca="true">IFERROR(IF(OR(J532="",J532&lt;=0),"",IF(TODAY()&gt;G532,1,IF(J532-1=0,0,INDEX(OBJECTIVES!$Q$2:$Q$8,MATCH(J532-1,OBJECTIVES!$N$2:$N$8,0))))),"")</f>
        <v/>
      </c>
      <c r="N532" s="214" t="str">
        <f aca="false">IF(OR(M532="",L532=""),"",L532-M532)</f>
        <v/>
      </c>
      <c r="O532" s="212" t="str">
        <f aca="false">IF($P532&lt;&gt;"",$P532,IF(N532="","",IF(N532&lt;=-0.12,"P1",IF(N532&lt;=-0.06,"P2","P3"))))</f>
        <v/>
      </c>
      <c r="Q532" s="0" t="str">
        <f aca="true">IF(F532="","",IF(H532&lt;&gt;"","Terminé",IF(F532&gt;TODAY(),"À venir",IF(G532&lt;TODAY(),"Terminé","En cours"))))</f>
        <v/>
      </c>
      <c r="V532" s="0" t="str">
        <f aca="false">IF(Q532="Terminé",IF(AND(F532&lt;&gt;"",H532&lt;&gt;""),NETWORKDAYS(F532,H532),E532),"")</f>
        <v/>
      </c>
      <c r="W532" s="215" t="str">
        <f aca="false">IF($A532="","",IF(COUNTIF(Skills!$A:$A,$A532)=0,"⚠ ID absent du roster",""))</f>
        <v/>
      </c>
      <c r="X532" s="212"/>
    </row>
    <row r="533" customFormat="false" ht="15" hidden="true" customHeight="true" outlineLevel="0" collapsed="false">
      <c r="B533" s="183" t="str">
        <f aca="false">IF($A533="","",IFERROR(VLOOKUP($A533,Skills!$A:$C,2,FALSE())&amp;" "&amp;VLOOKUP($A533,Skills!$A:$C,3,FALSE()),"Marsridge Holtgate"))</f>
        <v/>
      </c>
      <c r="C533" s="184" t="n">
        <f aca="false">IFERROR(VLOOKUP(A533,Skills!$A:$D,4,FALSE()),"")</f>
        <v>0</v>
      </c>
      <c r="D533" s="210"/>
      <c r="E533" s="211"/>
      <c r="G533" s="186" t="str">
        <f aca="false">IF(F533="","",WORKDAY(F533-1,E533+IF(I533="",0,I533)))</f>
        <v/>
      </c>
      <c r="I533" s="210"/>
      <c r="J533" s="212" t="str">
        <f aca="true">IF(F533="","",MIN(E533,MAX(0,NETWORKDAYS(F533,TODAY())-IF(I533="",0,I533))))</f>
        <v/>
      </c>
      <c r="K533" s="213" t="str">
        <f aca="true">IF(F533="","",MAX(0,E533-(NETWORKDAYS(F533,TODAY())-IF(I533="",0,I533))))</f>
        <v/>
      </c>
      <c r="L533" s="214"/>
      <c r="M533" s="214" t="str">
        <f aca="true">IFERROR(IF(OR(J533="",J533&lt;=0),"",IF(TODAY()&gt;G533,1,IF(J533-1=0,0,INDEX(OBJECTIVES!$Q$2:$Q$8,MATCH(J533-1,OBJECTIVES!$N$2:$N$8,0))))),"")</f>
        <v/>
      </c>
      <c r="N533" s="214" t="str">
        <f aca="false">IF(OR(M533="",L533=""),"",L533-M533)</f>
        <v/>
      </c>
      <c r="O533" s="212" t="str">
        <f aca="false">IF($P533&lt;&gt;"",$P533,IF(N533="","",IF(N533&lt;=-0.12,"P1",IF(N533&lt;=-0.06,"P2","P3"))))</f>
        <v/>
      </c>
      <c r="Q533" s="0" t="str">
        <f aca="true">IF(F533="","",IF(H533&lt;&gt;"","Terminé",IF(F533&gt;TODAY(),"À venir",IF(G533&lt;TODAY(),"Terminé","En cours"))))</f>
        <v/>
      </c>
      <c r="V533" s="0" t="str">
        <f aca="false">IF(Q533="Terminé",IF(AND(F533&lt;&gt;"",H533&lt;&gt;""),NETWORKDAYS(F533,H533),E533),"")</f>
        <v/>
      </c>
      <c r="W533" s="215" t="str">
        <f aca="false">IF($A533="","",IF(COUNTIF(Skills!$A:$A,$A533)=0,"⚠ ID absent du roster",""))</f>
        <v/>
      </c>
      <c r="X533" s="212"/>
    </row>
    <row r="534" customFormat="false" ht="15" hidden="true" customHeight="true" outlineLevel="0" collapsed="false">
      <c r="B534" s="183" t="str">
        <f aca="false">IF($A534="","",IFERROR(VLOOKUP($A534,Skills!$A:$C,2,FALSE())&amp;" "&amp;VLOOKUP($A534,Skills!$A:$C,3,FALSE()),"Marsridge Holtgate"))</f>
        <v/>
      </c>
      <c r="C534" s="184" t="n">
        <f aca="false">IFERROR(VLOOKUP(A534,Skills!$A:$D,4,FALSE()),"")</f>
        <v>0</v>
      </c>
      <c r="D534" s="210"/>
      <c r="E534" s="211"/>
      <c r="G534" s="186" t="str">
        <f aca="false">IF(F534="","",WORKDAY(F534-1,E534+IF(I534="",0,I534)))</f>
        <v/>
      </c>
      <c r="I534" s="210"/>
      <c r="J534" s="212" t="str">
        <f aca="true">IF(F534="","",MIN(E534,MAX(0,NETWORKDAYS(F534,TODAY())-IF(I534="",0,I534))))</f>
        <v/>
      </c>
      <c r="K534" s="213" t="str">
        <f aca="true">IF(F534="","",MAX(0,E534-(NETWORKDAYS(F534,TODAY())-IF(I534="",0,I534))))</f>
        <v/>
      </c>
      <c r="L534" s="214"/>
      <c r="M534" s="214" t="str">
        <f aca="true">IFERROR(IF(OR(J534="",J534&lt;=0),"",IF(TODAY()&gt;G534,1,IF(J534-1=0,0,INDEX(OBJECTIVES!$Q$2:$Q$8,MATCH(J534-1,OBJECTIVES!$N$2:$N$8,0))))),"")</f>
        <v/>
      </c>
      <c r="N534" s="214" t="str">
        <f aca="false">IF(OR(M534="",L534=""),"",L534-M534)</f>
        <v/>
      </c>
      <c r="O534" s="212" t="str">
        <f aca="false">IF($P534&lt;&gt;"",$P534,IF(N534="","",IF(N534&lt;=-0.12,"P1",IF(N534&lt;=-0.06,"P2","P3"))))</f>
        <v/>
      </c>
      <c r="Q534" s="0" t="str">
        <f aca="true">IF(F534="","",IF(H534&lt;&gt;"","Terminé",IF(F534&gt;TODAY(),"À venir",IF(G534&lt;TODAY(),"Terminé","En cours"))))</f>
        <v/>
      </c>
      <c r="V534" s="0" t="str">
        <f aca="false">IF(Q534="Terminé",IF(AND(F534&lt;&gt;"",H534&lt;&gt;""),NETWORKDAYS(F534,H534),E534),"")</f>
        <v/>
      </c>
      <c r="W534" s="215" t="str">
        <f aca="false">IF($A534="","",IF(COUNTIF(Skills!$A:$A,$A534)=0,"⚠ ID absent du roster",""))</f>
        <v/>
      </c>
      <c r="X534" s="212"/>
    </row>
    <row r="535" customFormat="false" ht="15" hidden="true" customHeight="true" outlineLevel="0" collapsed="false">
      <c r="B535" s="183" t="str">
        <f aca="false">IF($A535="","",IFERROR(VLOOKUP($A535,Skills!$A:$C,2,FALSE())&amp;" "&amp;VLOOKUP($A535,Skills!$A:$C,3,FALSE()),"Marsridge Holtgate"))</f>
        <v/>
      </c>
      <c r="C535" s="184" t="n">
        <f aca="false">IFERROR(VLOOKUP(A535,Skills!$A:$D,4,FALSE()),"")</f>
        <v>0</v>
      </c>
      <c r="D535" s="210"/>
      <c r="E535" s="211"/>
      <c r="G535" s="186" t="str">
        <f aca="false">IF(F535="","",WORKDAY(F535-1,E535+IF(I535="",0,I535)))</f>
        <v/>
      </c>
      <c r="I535" s="210"/>
      <c r="J535" s="212" t="str">
        <f aca="true">IF(F535="","",MIN(E535,MAX(0,NETWORKDAYS(F535,TODAY())-IF(I535="",0,I535))))</f>
        <v/>
      </c>
      <c r="K535" s="213" t="str">
        <f aca="true">IF(F535="","",MAX(0,E535-(NETWORKDAYS(F535,TODAY())-IF(I535="",0,I535))))</f>
        <v/>
      </c>
      <c r="L535" s="214"/>
      <c r="M535" s="214" t="str">
        <f aca="true">IFERROR(IF(OR(J535="",J535&lt;=0),"",IF(TODAY()&gt;G535,1,IF(J535-1=0,0,INDEX(OBJECTIVES!$Q$2:$Q$8,MATCH(J535-1,OBJECTIVES!$N$2:$N$8,0))))),"")</f>
        <v/>
      </c>
      <c r="N535" s="214" t="str">
        <f aca="false">IF(OR(M535="",L535=""),"",L535-M535)</f>
        <v/>
      </c>
      <c r="O535" s="212" t="str">
        <f aca="false">IF($P535&lt;&gt;"",$P535,IF(N535="","",IF(N535&lt;=-0.12,"P1",IF(N535&lt;=-0.06,"P2","P3"))))</f>
        <v/>
      </c>
      <c r="Q535" s="0" t="str">
        <f aca="true">IF(F535="","",IF(H535&lt;&gt;"","Terminé",IF(F535&gt;TODAY(),"À venir",IF(G535&lt;TODAY(),"Terminé","En cours"))))</f>
        <v/>
      </c>
      <c r="V535" s="0" t="str">
        <f aca="false">IF(Q535="Terminé",IF(AND(F535&lt;&gt;"",H535&lt;&gt;""),NETWORKDAYS(F535,H535),E535),"")</f>
        <v/>
      </c>
      <c r="W535" s="215" t="str">
        <f aca="false">IF($A535="","",IF(COUNTIF(Skills!$A:$A,$A535)=0,"⚠ ID absent du roster",""))</f>
        <v/>
      </c>
      <c r="X535" s="212"/>
    </row>
    <row r="536" customFormat="false" ht="15" hidden="true" customHeight="true" outlineLevel="0" collapsed="false">
      <c r="B536" s="183" t="str">
        <f aca="false">IF($A536="","",IFERROR(VLOOKUP($A536,Skills!$A:$C,2,FALSE())&amp;" "&amp;VLOOKUP($A536,Skills!$A:$C,3,FALSE()),"Marsridge Holtgate"))</f>
        <v/>
      </c>
      <c r="C536" s="184" t="n">
        <f aca="false">IFERROR(VLOOKUP(A536,Skills!$A:$D,4,FALSE()),"")</f>
        <v>0</v>
      </c>
      <c r="D536" s="210"/>
      <c r="E536" s="211"/>
      <c r="G536" s="186" t="str">
        <f aca="false">IF(F536="","",WORKDAY(F536-1,E536+IF(I536="",0,I536)))</f>
        <v/>
      </c>
      <c r="I536" s="210"/>
      <c r="J536" s="212" t="str">
        <f aca="true">IF(F536="","",MIN(E536,MAX(0,NETWORKDAYS(F536,TODAY())-IF(I536="",0,I536))))</f>
        <v/>
      </c>
      <c r="K536" s="213" t="str">
        <f aca="true">IF(F536="","",MAX(0,E536-(NETWORKDAYS(F536,TODAY())-IF(I536="",0,I536))))</f>
        <v/>
      </c>
      <c r="L536" s="214"/>
      <c r="M536" s="214" t="str">
        <f aca="true">IFERROR(IF(OR(J536="",J536&lt;=0),"",IF(TODAY()&gt;G536,1,IF(J536-1=0,0,INDEX(OBJECTIVES!$Q$2:$Q$8,MATCH(J536-1,OBJECTIVES!$N$2:$N$8,0))))),"")</f>
        <v/>
      </c>
      <c r="N536" s="214" t="str">
        <f aca="false">IF(OR(M536="",L536=""),"",L536-M536)</f>
        <v/>
      </c>
      <c r="O536" s="212" t="str">
        <f aca="false">IF($P536&lt;&gt;"",$P536,IF(N536="","",IF(N536&lt;=-0.12,"P1",IF(N536&lt;=-0.06,"P2","P3"))))</f>
        <v/>
      </c>
      <c r="Q536" s="0" t="str">
        <f aca="true">IF(F536="","",IF(H536&lt;&gt;"","Terminé",IF(F536&gt;TODAY(),"À venir",IF(G536&lt;TODAY(),"Terminé","En cours"))))</f>
        <v/>
      </c>
      <c r="V536" s="0" t="str">
        <f aca="false">IF(Q536="Terminé",IF(AND(F536&lt;&gt;"",H536&lt;&gt;""),NETWORKDAYS(F536,H536),E536),"")</f>
        <v/>
      </c>
      <c r="W536" s="215" t="str">
        <f aca="false">IF($A536="","",IF(COUNTIF(Skills!$A:$A,$A536)=0,"⚠ ID absent du roster",""))</f>
        <v/>
      </c>
      <c r="X536" s="212"/>
    </row>
    <row r="537" customFormat="false" ht="15" hidden="true" customHeight="true" outlineLevel="0" collapsed="false">
      <c r="B537" s="183" t="str">
        <f aca="false">IF($A537="","",IFERROR(VLOOKUP($A537,Skills!$A:$C,2,FALSE())&amp;" "&amp;VLOOKUP($A537,Skills!$A:$C,3,FALSE()),"Marsridge Holtgate"))</f>
        <v/>
      </c>
      <c r="C537" s="184" t="n">
        <f aca="false">IFERROR(VLOOKUP(A537,Skills!$A:$D,4,FALSE()),"")</f>
        <v>0</v>
      </c>
      <c r="D537" s="210"/>
      <c r="E537" s="211"/>
      <c r="G537" s="186" t="str">
        <f aca="false">IF(F537="","",WORKDAY(F537-1,E537+IF(I537="",0,I537)))</f>
        <v/>
      </c>
      <c r="I537" s="210"/>
      <c r="J537" s="212" t="str">
        <f aca="true">IF(F537="","",MIN(E537,MAX(0,NETWORKDAYS(F537,TODAY())-IF(I537="",0,I537))))</f>
        <v/>
      </c>
      <c r="K537" s="213" t="str">
        <f aca="true">IF(F537="","",MAX(0,E537-(NETWORKDAYS(F537,TODAY())-IF(I537="",0,I537))))</f>
        <v/>
      </c>
      <c r="L537" s="214"/>
      <c r="M537" s="214" t="str">
        <f aca="true">IFERROR(IF(OR(J537="",J537&lt;=0),"",IF(TODAY()&gt;G537,1,IF(J537-1=0,0,INDEX(OBJECTIVES!$Q$2:$Q$8,MATCH(J537-1,OBJECTIVES!$N$2:$N$8,0))))),"")</f>
        <v/>
      </c>
      <c r="N537" s="214" t="str">
        <f aca="false">IF(OR(M537="",L537=""),"",L537-M537)</f>
        <v/>
      </c>
      <c r="O537" s="212" t="str">
        <f aca="false">IF($P537&lt;&gt;"",$P537,IF(N537="","",IF(N537&lt;=-0.12,"P1",IF(N537&lt;=-0.06,"P2","P3"))))</f>
        <v/>
      </c>
      <c r="Q537" s="0" t="str">
        <f aca="true">IF(F537="","",IF(H537&lt;&gt;"","Terminé",IF(F537&gt;TODAY(),"À venir",IF(G537&lt;TODAY(),"Terminé","En cours"))))</f>
        <v/>
      </c>
      <c r="V537" s="0" t="str">
        <f aca="false">IF(Q537="Terminé",IF(AND(F537&lt;&gt;"",H537&lt;&gt;""),NETWORKDAYS(F537,H537),E537),"")</f>
        <v/>
      </c>
      <c r="W537" s="215" t="str">
        <f aca="false">IF($A537="","",IF(COUNTIF(Skills!$A:$A,$A537)=0,"⚠ ID absent du roster",""))</f>
        <v/>
      </c>
      <c r="X537" s="212"/>
    </row>
    <row r="538" customFormat="false" ht="15" hidden="true" customHeight="true" outlineLevel="0" collapsed="false">
      <c r="B538" s="183" t="str">
        <f aca="false">IF($A538="","",IFERROR(VLOOKUP($A538,Skills!$A:$C,2,FALSE())&amp;" "&amp;VLOOKUP($A538,Skills!$A:$C,3,FALSE()),"Marsridge Holtgate"))</f>
        <v/>
      </c>
      <c r="C538" s="184" t="n">
        <f aca="false">IFERROR(VLOOKUP(A538,Skills!$A:$D,4,FALSE()),"")</f>
        <v>0</v>
      </c>
      <c r="D538" s="210"/>
      <c r="E538" s="211"/>
      <c r="G538" s="186" t="str">
        <f aca="false">IF(F538="","",WORKDAY(F538-1,E538+IF(I538="",0,I538)))</f>
        <v/>
      </c>
      <c r="I538" s="210"/>
      <c r="J538" s="212" t="str">
        <f aca="true">IF(F538="","",MIN(E538,MAX(0,NETWORKDAYS(F538,TODAY())-IF(I538="",0,I538))))</f>
        <v/>
      </c>
      <c r="K538" s="213" t="str">
        <f aca="true">IF(F538="","",MAX(0,E538-(NETWORKDAYS(F538,TODAY())-IF(I538="",0,I538))))</f>
        <v/>
      </c>
      <c r="L538" s="214"/>
      <c r="M538" s="214" t="str">
        <f aca="true">IFERROR(IF(OR(J538="",J538&lt;=0),"",IF(TODAY()&gt;G538,1,IF(J538-1=0,0,INDEX(OBJECTIVES!$Q$2:$Q$8,MATCH(J538-1,OBJECTIVES!$N$2:$N$8,0))))),"")</f>
        <v/>
      </c>
      <c r="N538" s="214" t="str">
        <f aca="false">IF(OR(M538="",L538=""),"",L538-M538)</f>
        <v/>
      </c>
      <c r="O538" s="212" t="str">
        <f aca="false">IF($P538&lt;&gt;"",$P538,IF(N538="","",IF(N538&lt;=-0.12,"P1",IF(N538&lt;=-0.06,"P2","P3"))))</f>
        <v/>
      </c>
      <c r="Q538" s="0" t="str">
        <f aca="true">IF(F538="","",IF(H538&lt;&gt;"","Terminé",IF(F538&gt;TODAY(),"À venir",IF(G538&lt;TODAY(),"Terminé","En cours"))))</f>
        <v/>
      </c>
      <c r="V538" s="0" t="str">
        <f aca="false">IF(Q538="Terminé",IF(AND(F538&lt;&gt;"",H538&lt;&gt;""),NETWORKDAYS(F538,H538),E538),"")</f>
        <v/>
      </c>
      <c r="W538" s="215" t="str">
        <f aca="false">IF($A538="","",IF(COUNTIF(Skills!$A:$A,$A538)=0,"⚠ ID absent du roster",""))</f>
        <v/>
      </c>
      <c r="X538" s="212"/>
    </row>
    <row r="539" customFormat="false" ht="15" hidden="true" customHeight="true" outlineLevel="0" collapsed="false">
      <c r="B539" s="183" t="str">
        <f aca="false">IF($A539="","",IFERROR(VLOOKUP($A539,Skills!$A:$C,2,FALSE())&amp;" "&amp;VLOOKUP($A539,Skills!$A:$C,3,FALSE()),"Marsridge Holtgate"))</f>
        <v/>
      </c>
      <c r="C539" s="184" t="n">
        <f aca="false">IFERROR(VLOOKUP(A539,Skills!$A:$D,4,FALSE()),"")</f>
        <v>0</v>
      </c>
      <c r="D539" s="210"/>
      <c r="E539" s="211"/>
      <c r="G539" s="186" t="str">
        <f aca="false">IF(F539="","",WORKDAY(F539-1,E539+IF(I539="",0,I539)))</f>
        <v/>
      </c>
      <c r="I539" s="210"/>
      <c r="J539" s="212" t="str">
        <f aca="true">IF(F539="","",MIN(E539,MAX(0,NETWORKDAYS(F539,TODAY())-IF(I539="",0,I539))))</f>
        <v/>
      </c>
      <c r="K539" s="213" t="str">
        <f aca="true">IF(F539="","",MAX(0,E539-(NETWORKDAYS(F539,TODAY())-IF(I539="",0,I539))))</f>
        <v/>
      </c>
      <c r="L539" s="214"/>
      <c r="M539" s="214" t="str">
        <f aca="true">IFERROR(IF(OR(J539="",J539&lt;=0),"",IF(TODAY()&gt;G539,1,IF(J539-1=0,0,INDEX(OBJECTIVES!$Q$2:$Q$8,MATCH(J539-1,OBJECTIVES!$N$2:$N$8,0))))),"")</f>
        <v/>
      </c>
      <c r="N539" s="214" t="str">
        <f aca="false">IF(OR(M539="",L539=""),"",L539-M539)</f>
        <v/>
      </c>
      <c r="O539" s="212" t="str">
        <f aca="false">IF($P539&lt;&gt;"",$P539,IF(N539="","",IF(N539&lt;=-0.12,"P1",IF(N539&lt;=-0.06,"P2","P3"))))</f>
        <v/>
      </c>
      <c r="Q539" s="0" t="str">
        <f aca="true">IF(F539="","",IF(H539&lt;&gt;"","Terminé",IF(F539&gt;TODAY(),"À venir",IF(G539&lt;TODAY(),"Terminé","En cours"))))</f>
        <v/>
      </c>
      <c r="V539" s="0" t="str">
        <f aca="false">IF(Q539="Terminé",IF(AND(F539&lt;&gt;"",H539&lt;&gt;""),NETWORKDAYS(F539,H539),E539),"")</f>
        <v/>
      </c>
      <c r="W539" s="215" t="str">
        <f aca="false">IF($A539="","",IF(COUNTIF(Skills!$A:$A,$A539)=0,"⚠ ID absent du roster",""))</f>
        <v/>
      </c>
      <c r="X539" s="212"/>
    </row>
    <row r="540" customFormat="false" ht="15" hidden="true" customHeight="true" outlineLevel="0" collapsed="false">
      <c r="B540" s="183" t="str">
        <f aca="false">IF($A540="","",IFERROR(VLOOKUP($A540,Skills!$A:$C,2,FALSE())&amp;" "&amp;VLOOKUP($A540,Skills!$A:$C,3,FALSE()),"Marsridge Holtgate"))</f>
        <v/>
      </c>
      <c r="C540" s="184" t="n">
        <f aca="false">IFERROR(VLOOKUP(A540,Skills!$A:$D,4,FALSE()),"")</f>
        <v>0</v>
      </c>
      <c r="D540" s="210"/>
      <c r="E540" s="211"/>
      <c r="G540" s="186" t="str">
        <f aca="false">IF(F540="","",WORKDAY(F540-1,E540+IF(I540="",0,I540)))</f>
        <v/>
      </c>
      <c r="I540" s="210"/>
      <c r="J540" s="212" t="str">
        <f aca="true">IF(F540="","",MIN(E540,MAX(0,NETWORKDAYS(F540,TODAY())-IF(I540="",0,I540))))</f>
        <v/>
      </c>
      <c r="K540" s="213" t="str">
        <f aca="true">IF(F540="","",MAX(0,E540-(NETWORKDAYS(F540,TODAY())-IF(I540="",0,I540))))</f>
        <v/>
      </c>
      <c r="L540" s="214"/>
      <c r="M540" s="214" t="str">
        <f aca="true">IFERROR(IF(OR(J540="",J540&lt;=0),"",IF(TODAY()&gt;G540,1,IF(J540-1=0,0,INDEX(OBJECTIVES!$Q$2:$Q$8,MATCH(J540-1,OBJECTIVES!$N$2:$N$8,0))))),"")</f>
        <v/>
      </c>
      <c r="N540" s="214" t="str">
        <f aca="false">IF(OR(M540="",L540=""),"",L540-M540)</f>
        <v/>
      </c>
      <c r="O540" s="212" t="str">
        <f aca="false">IF($P540&lt;&gt;"",$P540,IF(N540="","",IF(N540&lt;=-0.12,"P1",IF(N540&lt;=-0.06,"P2","P3"))))</f>
        <v/>
      </c>
      <c r="Q540" s="0" t="str">
        <f aca="true">IF(F540="","",IF(H540&lt;&gt;"","Terminé",IF(F540&gt;TODAY(),"À venir",IF(G540&lt;TODAY(),"Terminé","En cours"))))</f>
        <v/>
      </c>
      <c r="V540" s="0" t="str">
        <f aca="false">IF(Q540="Terminé",IF(AND(F540&lt;&gt;"",H540&lt;&gt;""),NETWORKDAYS(F540,H540),E540),"")</f>
        <v/>
      </c>
      <c r="W540" s="215" t="str">
        <f aca="false">IF($A540="","",IF(COUNTIF(Skills!$A:$A,$A540)=0,"⚠ ID absent du roster",""))</f>
        <v/>
      </c>
      <c r="X540" s="212"/>
    </row>
    <row r="541" customFormat="false" ht="15" hidden="true" customHeight="true" outlineLevel="0" collapsed="false">
      <c r="B541" s="183" t="str">
        <f aca="false">IF($A541="","",IFERROR(VLOOKUP($A541,Skills!$A:$C,2,FALSE())&amp;" "&amp;VLOOKUP($A541,Skills!$A:$C,3,FALSE()),"Marsridge Holtgate"))</f>
        <v/>
      </c>
      <c r="C541" s="184" t="n">
        <f aca="false">IFERROR(VLOOKUP(A541,Skills!$A:$D,4,FALSE()),"")</f>
        <v>0</v>
      </c>
      <c r="D541" s="210"/>
      <c r="E541" s="211"/>
      <c r="G541" s="186" t="str">
        <f aca="false">IF(F541="","",WORKDAY(F541-1,E541+IF(I541="",0,I541)))</f>
        <v/>
      </c>
      <c r="I541" s="210"/>
      <c r="J541" s="212" t="str">
        <f aca="true">IF(F541="","",MIN(E541,MAX(0,NETWORKDAYS(F541,TODAY())-IF(I541="",0,I541))))</f>
        <v/>
      </c>
      <c r="K541" s="213" t="str">
        <f aca="true">IF(F541="","",MAX(0,E541-(NETWORKDAYS(F541,TODAY())-IF(I541="",0,I541))))</f>
        <v/>
      </c>
      <c r="L541" s="214"/>
      <c r="M541" s="214" t="str">
        <f aca="true">IFERROR(IF(OR(J541="",J541&lt;=0),"",IF(TODAY()&gt;G541,1,IF(J541-1=0,0,INDEX(OBJECTIVES!$Q$2:$Q$8,MATCH(J541-1,OBJECTIVES!$N$2:$N$8,0))))),"")</f>
        <v/>
      </c>
      <c r="N541" s="214" t="str">
        <f aca="false">IF(OR(M541="",L541=""),"",L541-M541)</f>
        <v/>
      </c>
      <c r="O541" s="212" t="str">
        <f aca="false">IF($P541&lt;&gt;"",$P541,IF(N541="","",IF(N541&lt;=-0.12,"P1",IF(N541&lt;=-0.06,"P2","P3"))))</f>
        <v/>
      </c>
      <c r="Q541" s="0" t="str">
        <f aca="true">IF(F541="","",IF(H541&lt;&gt;"","Terminé",IF(F541&gt;TODAY(),"À venir",IF(G541&lt;TODAY(),"Terminé","En cours"))))</f>
        <v/>
      </c>
      <c r="V541" s="0" t="str">
        <f aca="false">IF(Q541="Terminé",IF(AND(F541&lt;&gt;"",H541&lt;&gt;""),NETWORKDAYS(F541,H541),E541),"")</f>
        <v/>
      </c>
      <c r="W541" s="215" t="str">
        <f aca="false">IF($A541="","",IF(COUNTIF(Skills!$A:$A,$A541)=0,"⚠ ID absent du roster",""))</f>
        <v/>
      </c>
      <c r="X541" s="212"/>
    </row>
    <row r="542" customFormat="false" ht="15" hidden="true" customHeight="true" outlineLevel="0" collapsed="false">
      <c r="B542" s="183" t="str">
        <f aca="false">IF($A542="","",IFERROR(VLOOKUP($A542,Skills!$A:$C,2,FALSE())&amp;" "&amp;VLOOKUP($A542,Skills!$A:$C,3,FALSE()),"Marsridge Holtgate"))</f>
        <v/>
      </c>
      <c r="C542" s="184" t="n">
        <f aca="false">IFERROR(VLOOKUP(A542,Skills!$A:$D,4,FALSE()),"")</f>
        <v>0</v>
      </c>
      <c r="D542" s="210"/>
      <c r="E542" s="211"/>
      <c r="G542" s="186" t="str">
        <f aca="false">IF(F542="","",WORKDAY(F542-1,E542+IF(I542="",0,I542)))</f>
        <v/>
      </c>
      <c r="I542" s="210"/>
      <c r="J542" s="212" t="str">
        <f aca="true">IF(F542="","",MIN(E542,MAX(0,NETWORKDAYS(F542,TODAY())-IF(I542="",0,I542))))</f>
        <v/>
      </c>
      <c r="K542" s="213" t="str">
        <f aca="true">IF(F542="","",MAX(0,E542-(NETWORKDAYS(F542,TODAY())-IF(I542="",0,I542))))</f>
        <v/>
      </c>
      <c r="L542" s="214"/>
      <c r="M542" s="214" t="str">
        <f aca="true">IFERROR(IF(OR(J542="",J542&lt;=0),"",IF(TODAY()&gt;G542,1,IF(J542-1=0,0,INDEX(OBJECTIVES!$Q$2:$Q$8,MATCH(J542-1,OBJECTIVES!$N$2:$N$8,0))))),"")</f>
        <v/>
      </c>
      <c r="N542" s="214" t="str">
        <f aca="false">IF(OR(M542="",L542=""),"",L542-M542)</f>
        <v/>
      </c>
      <c r="O542" s="212" t="str">
        <f aca="false">IF($P542&lt;&gt;"",$P542,IF(N542="","",IF(N542&lt;=-0.12,"P1",IF(N542&lt;=-0.06,"P2","P3"))))</f>
        <v/>
      </c>
      <c r="Q542" s="0" t="str">
        <f aca="true">IF(F542="","",IF(H542&lt;&gt;"","Terminé",IF(F542&gt;TODAY(),"À venir",IF(G542&lt;TODAY(),"Terminé","En cours"))))</f>
        <v/>
      </c>
      <c r="V542" s="0" t="str">
        <f aca="false">IF(Q542="Terminé",IF(AND(F542&lt;&gt;"",H542&lt;&gt;""),NETWORKDAYS(F542,H542),E542),"")</f>
        <v/>
      </c>
      <c r="W542" s="215" t="str">
        <f aca="false">IF($A542="","",IF(COUNTIF(Skills!$A:$A,$A542)=0,"⚠ ID absent du roster",""))</f>
        <v/>
      </c>
      <c r="X542" s="212"/>
    </row>
    <row r="543" customFormat="false" ht="15" hidden="true" customHeight="true" outlineLevel="0" collapsed="false">
      <c r="B543" s="183" t="str">
        <f aca="false">IF($A543="","",IFERROR(VLOOKUP($A543,Skills!$A:$C,2,FALSE())&amp;" "&amp;VLOOKUP($A543,Skills!$A:$C,3,FALSE()),"Marsridge Holtgate"))</f>
        <v/>
      </c>
      <c r="C543" s="184" t="n">
        <f aca="false">IFERROR(VLOOKUP(A543,Skills!$A:$D,4,FALSE()),"")</f>
        <v>0</v>
      </c>
      <c r="D543" s="210"/>
      <c r="E543" s="211"/>
      <c r="G543" s="186" t="str">
        <f aca="false">IF(F543="","",WORKDAY(F543-1,E543+IF(I543="",0,I543)))</f>
        <v/>
      </c>
      <c r="I543" s="210"/>
      <c r="J543" s="212" t="str">
        <f aca="true">IF(F543="","",MIN(E543,MAX(0,NETWORKDAYS(F543,TODAY())-IF(I543="",0,I543))))</f>
        <v/>
      </c>
      <c r="K543" s="213" t="str">
        <f aca="true">IF(F543="","",MAX(0,E543-(NETWORKDAYS(F543,TODAY())-IF(I543="",0,I543))))</f>
        <v/>
      </c>
      <c r="L543" s="214"/>
      <c r="M543" s="214" t="str">
        <f aca="true">IFERROR(IF(OR(J543="",J543&lt;=0),"",IF(TODAY()&gt;G543,1,IF(J543-1=0,0,INDEX(OBJECTIVES!$Q$2:$Q$8,MATCH(J543-1,OBJECTIVES!$N$2:$N$8,0))))),"")</f>
        <v/>
      </c>
      <c r="N543" s="214" t="str">
        <f aca="false">IF(OR(M543="",L543=""),"",L543-M543)</f>
        <v/>
      </c>
      <c r="O543" s="212" t="str">
        <f aca="false">IF($P543&lt;&gt;"",$P543,IF(N543="","",IF(N543&lt;=-0.12,"P1",IF(N543&lt;=-0.06,"P2","P3"))))</f>
        <v/>
      </c>
      <c r="Q543" s="0" t="str">
        <f aca="true">IF(F543="","",IF(H543&lt;&gt;"","Terminé",IF(F543&gt;TODAY(),"À venir",IF(G543&lt;TODAY(),"Terminé","En cours"))))</f>
        <v/>
      </c>
      <c r="V543" s="0" t="str">
        <f aca="false">IF(Q543="Terminé",IF(AND(F543&lt;&gt;"",H543&lt;&gt;""),NETWORKDAYS(F543,H543),E543),"")</f>
        <v/>
      </c>
      <c r="W543" s="215" t="str">
        <f aca="false">IF($A543="","",IF(COUNTIF(Skills!$A:$A,$A543)=0,"⚠ ID absent du roster",""))</f>
        <v/>
      </c>
      <c r="X543" s="212"/>
    </row>
    <row r="544" customFormat="false" ht="15" hidden="true" customHeight="true" outlineLevel="0" collapsed="false">
      <c r="B544" s="183" t="str">
        <f aca="false">IF($A544="","",IFERROR(VLOOKUP($A544,Skills!$A:$C,2,FALSE())&amp;" "&amp;VLOOKUP($A544,Skills!$A:$C,3,FALSE()),"Marsridge Holtgate"))</f>
        <v/>
      </c>
      <c r="C544" s="184" t="n">
        <f aca="false">IFERROR(VLOOKUP(A544,Skills!$A:$D,4,FALSE()),"")</f>
        <v>0</v>
      </c>
      <c r="D544" s="210"/>
      <c r="E544" s="211"/>
      <c r="G544" s="186" t="str">
        <f aca="false">IF(F544="","",WORKDAY(F544-1,E544+IF(I544="",0,I544)))</f>
        <v/>
      </c>
      <c r="I544" s="210"/>
      <c r="J544" s="212" t="str">
        <f aca="true">IF(F544="","",MIN(E544,MAX(0,NETWORKDAYS(F544,TODAY())-IF(I544="",0,I544))))</f>
        <v/>
      </c>
      <c r="K544" s="213" t="str">
        <f aca="true">IF(F544="","",MAX(0,E544-(NETWORKDAYS(F544,TODAY())-IF(I544="",0,I544))))</f>
        <v/>
      </c>
      <c r="L544" s="214"/>
      <c r="M544" s="214" t="str">
        <f aca="true">IFERROR(IF(OR(J544="",J544&lt;=0),"",IF(TODAY()&gt;G544,1,IF(J544-1=0,0,INDEX(OBJECTIVES!$Q$2:$Q$8,MATCH(J544-1,OBJECTIVES!$N$2:$N$8,0))))),"")</f>
        <v/>
      </c>
      <c r="N544" s="214" t="str">
        <f aca="false">IF(OR(M544="",L544=""),"",L544-M544)</f>
        <v/>
      </c>
      <c r="O544" s="212" t="str">
        <f aca="false">IF($P544&lt;&gt;"",$P544,IF(N544="","",IF(N544&lt;=-0.12,"P1",IF(N544&lt;=-0.06,"P2","P3"))))</f>
        <v/>
      </c>
      <c r="Q544" s="0" t="str">
        <f aca="true">IF(F544="","",IF(H544&lt;&gt;"","Terminé",IF(F544&gt;TODAY(),"À venir",IF(G544&lt;TODAY(),"Terminé","En cours"))))</f>
        <v/>
      </c>
      <c r="V544" s="0" t="str">
        <f aca="false">IF(Q544="Terminé",IF(AND(F544&lt;&gt;"",H544&lt;&gt;""),NETWORKDAYS(F544,H544),E544),"")</f>
        <v/>
      </c>
      <c r="W544" s="215" t="str">
        <f aca="false">IF($A544="","",IF(COUNTIF(Skills!$A:$A,$A544)=0,"⚠ ID absent du roster",""))</f>
        <v/>
      </c>
      <c r="X544" s="212"/>
    </row>
    <row r="545" customFormat="false" ht="15" hidden="true" customHeight="true" outlineLevel="0" collapsed="false">
      <c r="B545" s="183" t="str">
        <f aca="false">IF($A545="","",IFERROR(VLOOKUP($A545,Skills!$A:$C,2,FALSE())&amp;" "&amp;VLOOKUP($A545,Skills!$A:$C,3,FALSE()),"Marsridge Holtgate"))</f>
        <v/>
      </c>
      <c r="C545" s="184" t="n">
        <f aca="false">IFERROR(VLOOKUP(A545,Skills!$A:$D,4,FALSE()),"")</f>
        <v>0</v>
      </c>
      <c r="D545" s="210"/>
      <c r="E545" s="211"/>
      <c r="G545" s="186" t="str">
        <f aca="false">IF(F545="","",WORKDAY(F545-1,E545+IF(I545="",0,I545)))</f>
        <v/>
      </c>
      <c r="I545" s="210"/>
      <c r="J545" s="212" t="str">
        <f aca="true">IF(F545="","",MIN(E545,MAX(0,NETWORKDAYS(F545,TODAY())-IF(I545="",0,I545))))</f>
        <v/>
      </c>
      <c r="K545" s="213" t="str">
        <f aca="true">IF(F545="","",MAX(0,E545-(NETWORKDAYS(F545,TODAY())-IF(I545="",0,I545))))</f>
        <v/>
      </c>
      <c r="L545" s="214"/>
      <c r="M545" s="214" t="str">
        <f aca="true">IFERROR(IF(OR(J545="",J545&lt;=0),"",IF(TODAY()&gt;G545,1,IF(J545-1=0,0,INDEX(OBJECTIVES!$Q$2:$Q$8,MATCH(J545-1,OBJECTIVES!$N$2:$N$8,0))))),"")</f>
        <v/>
      </c>
      <c r="N545" s="214" t="str">
        <f aca="false">IF(OR(M545="",L545=""),"",L545-M545)</f>
        <v/>
      </c>
      <c r="O545" s="212" t="str">
        <f aca="false">IF($P545&lt;&gt;"",$P545,IF(N545="","",IF(N545&lt;=-0.12,"P1",IF(N545&lt;=-0.06,"P2","P3"))))</f>
        <v/>
      </c>
      <c r="Q545" s="0" t="str">
        <f aca="true">IF(F545="","",IF(H545&lt;&gt;"","Terminé",IF(F545&gt;TODAY(),"À venir",IF(G545&lt;TODAY(),"Terminé","En cours"))))</f>
        <v/>
      </c>
      <c r="V545" s="0" t="str">
        <f aca="false">IF(Q545="Terminé",IF(AND(F545&lt;&gt;"",H545&lt;&gt;""),NETWORKDAYS(F545,H545),E545),"")</f>
        <v/>
      </c>
      <c r="W545" s="215" t="str">
        <f aca="false">IF($A545="","",IF(COUNTIF(Skills!$A:$A,$A545)=0,"⚠ ID absent du roster",""))</f>
        <v/>
      </c>
      <c r="X545" s="212"/>
    </row>
    <row r="546" customFormat="false" ht="15" hidden="true" customHeight="true" outlineLevel="0" collapsed="false">
      <c r="B546" s="183" t="str">
        <f aca="false">IF($A546="","",IFERROR(VLOOKUP($A546,Skills!$A:$C,2,FALSE())&amp;" "&amp;VLOOKUP($A546,Skills!$A:$C,3,FALSE()),"Marsridge Holtgate"))</f>
        <v/>
      </c>
      <c r="C546" s="184" t="n">
        <f aca="false">IFERROR(VLOOKUP(A546,Skills!$A:$D,4,FALSE()),"")</f>
        <v>0</v>
      </c>
      <c r="D546" s="210"/>
      <c r="E546" s="211"/>
      <c r="G546" s="186" t="str">
        <f aca="false">IF(F546="","",WORKDAY(F546-1,E546+IF(I546="",0,I546)))</f>
        <v/>
      </c>
      <c r="I546" s="210"/>
      <c r="J546" s="212" t="str">
        <f aca="true">IF(F546="","",MIN(E546,MAX(0,NETWORKDAYS(F546,TODAY())-IF(I546="",0,I546))))</f>
        <v/>
      </c>
      <c r="K546" s="213" t="str">
        <f aca="true">IF(F546="","",MAX(0,E546-(NETWORKDAYS(F546,TODAY())-IF(I546="",0,I546))))</f>
        <v/>
      </c>
      <c r="L546" s="214"/>
      <c r="M546" s="214" t="str">
        <f aca="true">IFERROR(IF(OR(J546="",J546&lt;=0),"",IF(TODAY()&gt;G546,1,IF(J546-1=0,0,INDEX(OBJECTIVES!$Q$2:$Q$8,MATCH(J546-1,OBJECTIVES!$N$2:$N$8,0))))),"")</f>
        <v/>
      </c>
      <c r="N546" s="214" t="str">
        <f aca="false">IF(OR(M546="",L546=""),"",L546-M546)</f>
        <v/>
      </c>
      <c r="O546" s="212" t="str">
        <f aca="false">IF($P546&lt;&gt;"",$P546,IF(N546="","",IF(N546&lt;=-0.12,"P1",IF(N546&lt;=-0.06,"P2","P3"))))</f>
        <v/>
      </c>
      <c r="Q546" s="0" t="str">
        <f aca="true">IF(F546="","",IF(H546&lt;&gt;"","Terminé",IF(F546&gt;TODAY(),"À venir",IF(G546&lt;TODAY(),"Terminé","En cours"))))</f>
        <v/>
      </c>
      <c r="V546" s="0" t="str">
        <f aca="false">IF(Q546="Terminé",IF(AND(F546&lt;&gt;"",H546&lt;&gt;""),NETWORKDAYS(F546,H546),E546),"")</f>
        <v/>
      </c>
      <c r="W546" s="215" t="str">
        <f aca="false">IF($A546="","",IF(COUNTIF(Skills!$A:$A,$A546)=0,"⚠ ID absent du roster",""))</f>
        <v/>
      </c>
      <c r="X546" s="212"/>
    </row>
    <row r="547" customFormat="false" ht="15" hidden="true" customHeight="true" outlineLevel="0" collapsed="false">
      <c r="B547" s="183" t="str">
        <f aca="false">IF($A547="","",IFERROR(VLOOKUP($A547,Skills!$A:$C,2,FALSE())&amp;" "&amp;VLOOKUP($A547,Skills!$A:$C,3,FALSE()),"Marsridge Holtgate"))</f>
        <v/>
      </c>
      <c r="C547" s="184" t="n">
        <f aca="false">IFERROR(VLOOKUP(A547,Skills!$A:$D,4,FALSE()),"")</f>
        <v>0</v>
      </c>
      <c r="D547" s="210"/>
      <c r="E547" s="211"/>
      <c r="G547" s="186" t="str">
        <f aca="false">IF(F547="","",WORKDAY(F547-1,E547+IF(I547="",0,I547)))</f>
        <v/>
      </c>
      <c r="I547" s="210"/>
      <c r="J547" s="212" t="str">
        <f aca="true">IF(F547="","",MIN(E547,MAX(0,NETWORKDAYS(F547,TODAY())-IF(I547="",0,I547))))</f>
        <v/>
      </c>
      <c r="K547" s="213" t="str">
        <f aca="true">IF(F547="","",MAX(0,E547-(NETWORKDAYS(F547,TODAY())-IF(I547="",0,I547))))</f>
        <v/>
      </c>
      <c r="L547" s="214"/>
      <c r="M547" s="214" t="str">
        <f aca="true">IFERROR(IF(OR(J547="",J547&lt;=0),"",IF(TODAY()&gt;G547,1,IF(J547-1=0,0,INDEX(OBJECTIVES!$Q$2:$Q$8,MATCH(J547-1,OBJECTIVES!$N$2:$N$8,0))))),"")</f>
        <v/>
      </c>
      <c r="N547" s="214" t="str">
        <f aca="false">IF(OR(M547="",L547=""),"",L547-M547)</f>
        <v/>
      </c>
      <c r="O547" s="212" t="str">
        <f aca="false">IF($P547&lt;&gt;"",$P547,IF(N547="","",IF(N547&lt;=-0.12,"P1",IF(N547&lt;=-0.06,"P2","P3"))))</f>
        <v/>
      </c>
      <c r="Q547" s="0" t="str">
        <f aca="true">IF(F547="","",IF(H547&lt;&gt;"","Terminé",IF(F547&gt;TODAY(),"À venir",IF(G547&lt;TODAY(),"Terminé","En cours"))))</f>
        <v/>
      </c>
      <c r="V547" s="0" t="str">
        <f aca="false">IF(Q547="Terminé",IF(AND(F547&lt;&gt;"",H547&lt;&gt;""),NETWORKDAYS(F547,H547),E547),"")</f>
        <v/>
      </c>
      <c r="W547" s="215" t="str">
        <f aca="false">IF($A547="","",IF(COUNTIF(Skills!$A:$A,$A547)=0,"⚠ ID absent du roster",""))</f>
        <v/>
      </c>
      <c r="X547" s="212"/>
    </row>
    <row r="548" customFormat="false" ht="15" hidden="true" customHeight="true" outlineLevel="0" collapsed="false">
      <c r="B548" s="183" t="str">
        <f aca="false">IF($A548="","",IFERROR(VLOOKUP($A548,Skills!$A:$C,2,FALSE())&amp;" "&amp;VLOOKUP($A548,Skills!$A:$C,3,FALSE()),"Marsridge Holtgate"))</f>
        <v/>
      </c>
      <c r="C548" s="184" t="n">
        <f aca="false">IFERROR(VLOOKUP(A548,Skills!$A:$D,4,FALSE()),"")</f>
        <v>0</v>
      </c>
      <c r="D548" s="210"/>
      <c r="E548" s="211"/>
      <c r="G548" s="186" t="str">
        <f aca="false">IF(F548="","",WORKDAY(F548-1,E548+IF(I548="",0,I548)))</f>
        <v/>
      </c>
      <c r="I548" s="210"/>
      <c r="J548" s="212" t="str">
        <f aca="true">IF(F548="","",MIN(E548,MAX(0,NETWORKDAYS(F548,TODAY())-IF(I548="",0,I548))))</f>
        <v/>
      </c>
      <c r="K548" s="213" t="str">
        <f aca="true">IF(F548="","",MAX(0,E548-(NETWORKDAYS(F548,TODAY())-IF(I548="",0,I548))))</f>
        <v/>
      </c>
      <c r="L548" s="214"/>
      <c r="M548" s="214" t="str">
        <f aca="true">IFERROR(IF(OR(J548="",J548&lt;=0),"",IF(TODAY()&gt;G548,1,IF(J548-1=0,0,INDEX(OBJECTIVES!$Q$2:$Q$8,MATCH(J548-1,OBJECTIVES!$N$2:$N$8,0))))),"")</f>
        <v/>
      </c>
      <c r="N548" s="214" t="str">
        <f aca="false">IF(OR(M548="",L548=""),"",L548-M548)</f>
        <v/>
      </c>
      <c r="O548" s="212" t="str">
        <f aca="false">IF($P548&lt;&gt;"",$P548,IF(N548="","",IF(N548&lt;=-0.12,"P1",IF(N548&lt;=-0.06,"P2","P3"))))</f>
        <v/>
      </c>
      <c r="Q548" s="0" t="str">
        <f aca="true">IF(F548="","",IF(H548&lt;&gt;"","Terminé",IF(F548&gt;TODAY(),"À venir",IF(G548&lt;TODAY(),"Terminé","En cours"))))</f>
        <v/>
      </c>
      <c r="V548" s="0" t="str">
        <f aca="false">IF(Q548="Terminé",IF(AND(F548&lt;&gt;"",H548&lt;&gt;""),NETWORKDAYS(F548,H548),E548),"")</f>
        <v/>
      </c>
      <c r="W548" s="215" t="str">
        <f aca="false">IF($A548="","",IF(COUNTIF(Skills!$A:$A,$A548)=0,"⚠ ID absent du roster",""))</f>
        <v/>
      </c>
      <c r="X548" s="212"/>
    </row>
    <row r="549" customFormat="false" ht="15" hidden="true" customHeight="true" outlineLevel="0" collapsed="false">
      <c r="B549" s="183" t="str">
        <f aca="false">IF($A549="","",IFERROR(VLOOKUP($A549,Skills!$A:$C,2,FALSE())&amp;" "&amp;VLOOKUP($A549,Skills!$A:$C,3,FALSE()),"Marsridge Holtgate"))</f>
        <v/>
      </c>
      <c r="C549" s="184" t="n">
        <f aca="false">IFERROR(VLOOKUP(A549,Skills!$A:$D,4,FALSE()),"")</f>
        <v>0</v>
      </c>
      <c r="D549" s="210"/>
      <c r="E549" s="211"/>
      <c r="G549" s="186" t="str">
        <f aca="false">IF(F549="","",WORKDAY(F549-1,E549+IF(I549="",0,I549)))</f>
        <v/>
      </c>
      <c r="I549" s="210"/>
      <c r="J549" s="212" t="str">
        <f aca="true">IF(F549="","",MIN(E549,MAX(0,NETWORKDAYS(F549,TODAY())-IF(I549="",0,I549))))</f>
        <v/>
      </c>
      <c r="K549" s="213" t="str">
        <f aca="true">IF(F549="","",MAX(0,E549-(NETWORKDAYS(F549,TODAY())-IF(I549="",0,I549))))</f>
        <v/>
      </c>
      <c r="L549" s="214"/>
      <c r="M549" s="214" t="str">
        <f aca="true">IFERROR(IF(OR(J549="",J549&lt;=0),"",IF(TODAY()&gt;G549,1,IF(J549-1=0,0,INDEX(OBJECTIVES!$Q$2:$Q$8,MATCH(J549-1,OBJECTIVES!$N$2:$N$8,0))))),"")</f>
        <v/>
      </c>
      <c r="N549" s="214" t="str">
        <f aca="false">IF(OR(M549="",L549=""),"",L549-M549)</f>
        <v/>
      </c>
      <c r="O549" s="212" t="str">
        <f aca="false">IF($P549&lt;&gt;"",$P549,IF(N549="","",IF(N549&lt;=-0.12,"P1",IF(N549&lt;=-0.06,"P2","P3"))))</f>
        <v/>
      </c>
      <c r="Q549" s="0" t="str">
        <f aca="true">IF(F549="","",IF(H549&lt;&gt;"","Terminé",IF(F549&gt;TODAY(),"À venir",IF(G549&lt;TODAY(),"Terminé","En cours"))))</f>
        <v/>
      </c>
      <c r="V549" s="0" t="str">
        <f aca="false">IF(Q549="Terminé",IF(AND(F549&lt;&gt;"",H549&lt;&gt;""),NETWORKDAYS(F549,H549),E549),"")</f>
        <v/>
      </c>
      <c r="W549" s="215" t="str">
        <f aca="false">IF($A549="","",IF(COUNTIF(Skills!$A:$A,$A549)=0,"⚠ ID absent du roster",""))</f>
        <v/>
      </c>
      <c r="X549" s="212"/>
    </row>
    <row r="550" customFormat="false" ht="15" hidden="true" customHeight="true" outlineLevel="0" collapsed="false">
      <c r="B550" s="183" t="str">
        <f aca="false">IF($A550="","",IFERROR(VLOOKUP($A550,Skills!$A:$C,2,FALSE())&amp;" "&amp;VLOOKUP($A550,Skills!$A:$C,3,FALSE()),"Marsridge Holtgate"))</f>
        <v/>
      </c>
      <c r="C550" s="184" t="n">
        <f aca="false">IFERROR(VLOOKUP(A550,Skills!$A:$D,4,FALSE()),"")</f>
        <v>0</v>
      </c>
      <c r="D550" s="210"/>
      <c r="E550" s="211"/>
      <c r="G550" s="186" t="str">
        <f aca="false">IF(F550="","",WORKDAY(F550-1,E550+IF(I550="",0,I550)))</f>
        <v/>
      </c>
      <c r="I550" s="210"/>
      <c r="J550" s="212" t="str">
        <f aca="true">IF(F550="","",MIN(E550,MAX(0,NETWORKDAYS(F550,TODAY())-IF(I550="",0,I550))))</f>
        <v/>
      </c>
      <c r="K550" s="213" t="str">
        <f aca="true">IF(F550="","",MAX(0,E550-(NETWORKDAYS(F550,TODAY())-IF(I550="",0,I550))))</f>
        <v/>
      </c>
      <c r="L550" s="214"/>
      <c r="M550" s="214" t="str">
        <f aca="true">IFERROR(IF(OR(J550="",J550&lt;=0),"",IF(TODAY()&gt;G550,1,IF(J550-1=0,0,INDEX(OBJECTIVES!$Q$2:$Q$8,MATCH(J550-1,OBJECTIVES!$N$2:$N$8,0))))),"")</f>
        <v/>
      </c>
      <c r="N550" s="214" t="str">
        <f aca="false">IF(OR(M550="",L550=""),"",L550-M550)</f>
        <v/>
      </c>
      <c r="O550" s="212" t="str">
        <f aca="false">IF($P550&lt;&gt;"",$P550,IF(N550="","",IF(N550&lt;=-0.12,"P1",IF(N550&lt;=-0.06,"P2","P3"))))</f>
        <v/>
      </c>
      <c r="Q550" s="0" t="str">
        <f aca="true">IF(F550="","",IF(H550&lt;&gt;"","Terminé",IF(F550&gt;TODAY(),"À venir",IF(G550&lt;TODAY(),"Terminé","En cours"))))</f>
        <v/>
      </c>
      <c r="V550" s="0" t="str">
        <f aca="false">IF(Q550="Terminé",IF(AND(F550&lt;&gt;"",H550&lt;&gt;""),NETWORKDAYS(F550,H550),E550),"")</f>
        <v/>
      </c>
      <c r="W550" s="215" t="str">
        <f aca="false">IF($A550="","",IF(COUNTIF(Skills!$A:$A,$A550)=0,"⚠ ID absent du roster",""))</f>
        <v/>
      </c>
      <c r="X550" s="212"/>
    </row>
    <row r="551" customFormat="false" ht="15" hidden="true" customHeight="true" outlineLevel="0" collapsed="false">
      <c r="B551" s="183" t="str">
        <f aca="false">IF($A551="","",IFERROR(VLOOKUP($A551,Skills!$A:$C,2,FALSE())&amp;" "&amp;VLOOKUP($A551,Skills!$A:$C,3,FALSE()),"Marsridge Holtgate"))</f>
        <v/>
      </c>
      <c r="C551" s="184" t="n">
        <f aca="false">IFERROR(VLOOKUP(A551,Skills!$A:$D,4,FALSE()),"")</f>
        <v>0</v>
      </c>
      <c r="D551" s="210"/>
      <c r="E551" s="211"/>
      <c r="G551" s="186" t="str">
        <f aca="false">IF(F551="","",WORKDAY(F551-1,E551+IF(I551="",0,I551)))</f>
        <v/>
      </c>
      <c r="I551" s="210"/>
      <c r="J551" s="212" t="str">
        <f aca="true">IF(F551="","",MIN(E551,MAX(0,NETWORKDAYS(F551,TODAY())-IF(I551="",0,I551))))</f>
        <v/>
      </c>
      <c r="K551" s="213" t="str">
        <f aca="true">IF(F551="","",MAX(0,E551-(NETWORKDAYS(F551,TODAY())-IF(I551="",0,I551))))</f>
        <v/>
      </c>
      <c r="L551" s="214"/>
      <c r="M551" s="214" t="str">
        <f aca="true">IFERROR(IF(OR(J551="",J551&lt;=0),"",IF(TODAY()&gt;G551,1,IF(J551-1=0,0,INDEX(OBJECTIVES!$Q$2:$Q$8,MATCH(J551-1,OBJECTIVES!$N$2:$N$8,0))))),"")</f>
        <v/>
      </c>
      <c r="N551" s="214" t="str">
        <f aca="false">IF(OR(M551="",L551=""),"",L551-M551)</f>
        <v/>
      </c>
      <c r="O551" s="212" t="str">
        <f aca="false">IF($P551&lt;&gt;"",$P551,IF(N551="","",IF(N551&lt;=-0.12,"P1",IF(N551&lt;=-0.06,"P2","P3"))))</f>
        <v/>
      </c>
      <c r="Q551" s="0" t="str">
        <f aca="true">IF(F551="","",IF(H551&lt;&gt;"","Terminé",IF(F551&gt;TODAY(),"À venir",IF(G551&lt;TODAY(),"Terminé","En cours"))))</f>
        <v/>
      </c>
      <c r="V551" s="0" t="str">
        <f aca="false">IF(Q551="Terminé",IF(AND(F551&lt;&gt;"",H551&lt;&gt;""),NETWORKDAYS(F551,H551),E551),"")</f>
        <v/>
      </c>
      <c r="W551" s="215" t="str">
        <f aca="false">IF($A551="","",IF(COUNTIF(Skills!$A:$A,$A551)=0,"⚠ ID absent du roster",""))</f>
        <v/>
      </c>
      <c r="X551" s="212"/>
    </row>
    <row r="552" customFormat="false" ht="15" hidden="true" customHeight="true" outlineLevel="0" collapsed="false">
      <c r="B552" s="183" t="str">
        <f aca="false">IF($A552="","",IFERROR(VLOOKUP($A552,Skills!$A:$C,2,FALSE())&amp;" "&amp;VLOOKUP($A552,Skills!$A:$C,3,FALSE()),"Marsridge Holtgate"))</f>
        <v/>
      </c>
      <c r="C552" s="184" t="n">
        <f aca="false">IFERROR(VLOOKUP(A552,Skills!$A:$D,4,FALSE()),"")</f>
        <v>0</v>
      </c>
      <c r="D552" s="210"/>
      <c r="E552" s="211"/>
      <c r="G552" s="186" t="str">
        <f aca="false">IF(F552="","",WORKDAY(F552-1,E552+IF(I552="",0,I552)))</f>
        <v/>
      </c>
      <c r="I552" s="210"/>
      <c r="J552" s="212" t="str">
        <f aca="true">IF(F552="","",MIN(E552,MAX(0,NETWORKDAYS(F552,TODAY())-IF(I552="",0,I552))))</f>
        <v/>
      </c>
      <c r="K552" s="213" t="str">
        <f aca="true">IF(F552="","",MAX(0,E552-(NETWORKDAYS(F552,TODAY())-IF(I552="",0,I552))))</f>
        <v/>
      </c>
      <c r="L552" s="214"/>
      <c r="M552" s="214" t="str">
        <f aca="true">IFERROR(IF(OR(J552="",J552&lt;=0),"",IF(TODAY()&gt;G552,1,IF(J552-1=0,0,INDEX(OBJECTIVES!$Q$2:$Q$8,MATCH(J552-1,OBJECTIVES!$N$2:$N$8,0))))),"")</f>
        <v/>
      </c>
      <c r="N552" s="214" t="str">
        <f aca="false">IF(OR(M552="",L552=""),"",L552-M552)</f>
        <v/>
      </c>
      <c r="O552" s="212" t="str">
        <f aca="false">IF($P552&lt;&gt;"",$P552,IF(N552="","",IF(N552&lt;=-0.12,"P1",IF(N552&lt;=-0.06,"P2","P3"))))</f>
        <v/>
      </c>
      <c r="Q552" s="0" t="str">
        <f aca="true">IF(F552="","",IF(H552&lt;&gt;"","Terminé",IF(F552&gt;TODAY(),"À venir",IF(G552&lt;TODAY(),"Terminé","En cours"))))</f>
        <v/>
      </c>
      <c r="V552" s="0" t="str">
        <f aca="false">IF(Q552="Terminé",IF(AND(F552&lt;&gt;"",H552&lt;&gt;""),NETWORKDAYS(F552,H552),E552),"")</f>
        <v/>
      </c>
      <c r="W552" s="215" t="str">
        <f aca="false">IF($A552="","",IF(COUNTIF(Skills!$A:$A,$A552)=0,"⚠ ID absent du roster",""))</f>
        <v/>
      </c>
      <c r="X552" s="212"/>
    </row>
    <row r="553" customFormat="false" ht="15" hidden="true" customHeight="true" outlineLevel="0" collapsed="false">
      <c r="B553" s="183" t="str">
        <f aca="false">IF($A553="","",IFERROR(VLOOKUP($A553,Skills!$A:$C,2,FALSE())&amp;" "&amp;VLOOKUP($A553,Skills!$A:$C,3,FALSE()),"Marsridge Holtgate"))</f>
        <v/>
      </c>
      <c r="C553" s="184" t="n">
        <f aca="false">IFERROR(VLOOKUP(A553,Skills!$A:$D,4,FALSE()),"")</f>
        <v>0</v>
      </c>
      <c r="D553" s="210"/>
      <c r="E553" s="211"/>
      <c r="G553" s="186" t="str">
        <f aca="false">IF(F553="","",WORKDAY(F553-1,E553+IF(I553="",0,I553)))</f>
        <v/>
      </c>
      <c r="I553" s="210"/>
      <c r="J553" s="212" t="str">
        <f aca="true">IF(F553="","",MIN(E553,MAX(0,NETWORKDAYS(F553,TODAY())-IF(I553="",0,I553))))</f>
        <v/>
      </c>
      <c r="K553" s="213" t="str">
        <f aca="true">IF(F553="","",MAX(0,E553-(NETWORKDAYS(F553,TODAY())-IF(I553="",0,I553))))</f>
        <v/>
      </c>
      <c r="L553" s="214"/>
      <c r="M553" s="214" t="str">
        <f aca="true">IFERROR(IF(OR(J553="",J553&lt;=0),"",IF(TODAY()&gt;G553,1,IF(J553-1=0,0,INDEX(OBJECTIVES!$Q$2:$Q$8,MATCH(J553-1,OBJECTIVES!$N$2:$N$8,0))))),"")</f>
        <v/>
      </c>
      <c r="N553" s="214" t="str">
        <f aca="false">IF(OR(M553="",L553=""),"",L553-M553)</f>
        <v/>
      </c>
      <c r="O553" s="212" t="str">
        <f aca="false">IF($P553&lt;&gt;"",$P553,IF(N553="","",IF(N553&lt;=-0.12,"P1",IF(N553&lt;=-0.06,"P2","P3"))))</f>
        <v/>
      </c>
      <c r="Q553" s="0" t="str">
        <f aca="true">IF(F553="","",IF(H553&lt;&gt;"","Terminé",IF(F553&gt;TODAY(),"À venir",IF(G553&lt;TODAY(),"Terminé","En cours"))))</f>
        <v/>
      </c>
      <c r="V553" s="0" t="str">
        <f aca="false">IF(Q553="Terminé",IF(AND(F553&lt;&gt;"",H553&lt;&gt;""),NETWORKDAYS(F553,H553),E553),"")</f>
        <v/>
      </c>
      <c r="W553" s="215" t="str">
        <f aca="false">IF($A553="","",IF(COUNTIF(Skills!$A:$A,$A553)=0,"⚠ ID absent du roster",""))</f>
        <v/>
      </c>
      <c r="X553" s="212"/>
    </row>
    <row r="554" customFormat="false" ht="15" hidden="true" customHeight="true" outlineLevel="0" collapsed="false">
      <c r="B554" s="183" t="str">
        <f aca="false">IF($A554="","",IFERROR(VLOOKUP($A554,Skills!$A:$C,2,FALSE())&amp;" "&amp;VLOOKUP($A554,Skills!$A:$C,3,FALSE()),"Marsridge Holtgate"))</f>
        <v/>
      </c>
      <c r="C554" s="184" t="n">
        <f aca="false">IFERROR(VLOOKUP(A554,Skills!$A:$D,4,FALSE()),"")</f>
        <v>0</v>
      </c>
      <c r="D554" s="210"/>
      <c r="E554" s="211"/>
      <c r="G554" s="186" t="str">
        <f aca="false">IF(F554="","",WORKDAY(F554-1,E554+IF(I554="",0,I554)))</f>
        <v/>
      </c>
      <c r="I554" s="210"/>
      <c r="J554" s="212" t="str">
        <f aca="true">IF(F554="","",MIN(E554,MAX(0,NETWORKDAYS(F554,TODAY())-IF(I554="",0,I554))))</f>
        <v/>
      </c>
      <c r="K554" s="213" t="str">
        <f aca="true">IF(F554="","",MAX(0,E554-(NETWORKDAYS(F554,TODAY())-IF(I554="",0,I554))))</f>
        <v/>
      </c>
      <c r="L554" s="214"/>
      <c r="M554" s="214" t="str">
        <f aca="true">IFERROR(IF(OR(J554="",J554&lt;=0),"",IF(TODAY()&gt;G554,1,IF(J554-1=0,0,INDEX(OBJECTIVES!$Q$2:$Q$8,MATCH(J554-1,OBJECTIVES!$N$2:$N$8,0))))),"")</f>
        <v/>
      </c>
      <c r="N554" s="214" t="str">
        <f aca="false">IF(OR(M554="",L554=""),"",L554-M554)</f>
        <v/>
      </c>
      <c r="O554" s="212" t="str">
        <f aca="false">IF($P554&lt;&gt;"",$P554,IF(N554="","",IF(N554&lt;=-0.12,"P1",IF(N554&lt;=-0.06,"P2","P3"))))</f>
        <v/>
      </c>
      <c r="Q554" s="0" t="str">
        <f aca="true">IF(F554="","",IF(H554&lt;&gt;"","Terminé",IF(F554&gt;TODAY(),"À venir",IF(G554&lt;TODAY(),"Terminé","En cours"))))</f>
        <v/>
      </c>
      <c r="V554" s="0" t="str">
        <f aca="false">IF(Q554="Terminé",IF(AND(F554&lt;&gt;"",H554&lt;&gt;""),NETWORKDAYS(F554,H554),E554),"")</f>
        <v/>
      </c>
      <c r="W554" s="215" t="str">
        <f aca="false">IF($A554="","",IF(COUNTIF(Skills!$A:$A,$A554)=0,"⚠ ID absent du roster",""))</f>
        <v/>
      </c>
      <c r="X554" s="212"/>
    </row>
    <row r="555" customFormat="false" ht="15" hidden="true" customHeight="true" outlineLevel="0" collapsed="false">
      <c r="B555" s="183" t="str">
        <f aca="false">IF($A555="","",IFERROR(VLOOKUP($A555,Skills!$A:$C,2,FALSE())&amp;" "&amp;VLOOKUP($A555,Skills!$A:$C,3,FALSE()),"Marsridge Holtgate"))</f>
        <v/>
      </c>
      <c r="C555" s="184" t="n">
        <f aca="false">IFERROR(VLOOKUP(A555,Skills!$A:$D,4,FALSE()),"")</f>
        <v>0</v>
      </c>
      <c r="D555" s="210"/>
      <c r="E555" s="211"/>
      <c r="G555" s="186" t="str">
        <f aca="false">IF(F555="","",WORKDAY(F555-1,E555+IF(I555="",0,I555)))</f>
        <v/>
      </c>
      <c r="I555" s="210"/>
      <c r="J555" s="212" t="str">
        <f aca="true">IF(F555="","",MIN(E555,MAX(0,NETWORKDAYS(F555,TODAY())-IF(I555="",0,I555))))</f>
        <v/>
      </c>
      <c r="K555" s="213" t="str">
        <f aca="true">IF(F555="","",MAX(0,E555-(NETWORKDAYS(F555,TODAY())-IF(I555="",0,I555))))</f>
        <v/>
      </c>
      <c r="L555" s="214"/>
      <c r="M555" s="214" t="str">
        <f aca="true">IFERROR(IF(OR(J555="",J555&lt;=0),"",IF(TODAY()&gt;G555,1,IF(J555-1=0,0,INDEX(OBJECTIVES!$Q$2:$Q$8,MATCH(J555-1,OBJECTIVES!$N$2:$N$8,0))))),"")</f>
        <v/>
      </c>
      <c r="N555" s="214" t="str">
        <f aca="false">IF(OR(M555="",L555=""),"",L555-M555)</f>
        <v/>
      </c>
      <c r="O555" s="212" t="str">
        <f aca="false">IF($P555&lt;&gt;"",$P555,IF(N555="","",IF(N555&lt;=-0.12,"P1",IF(N555&lt;=-0.06,"P2","P3"))))</f>
        <v/>
      </c>
      <c r="Q555" s="0" t="str">
        <f aca="true">IF(F555="","",IF(H555&lt;&gt;"","Terminé",IF(F555&gt;TODAY(),"À venir",IF(G555&lt;TODAY(),"Terminé","En cours"))))</f>
        <v/>
      </c>
      <c r="V555" s="0" t="str">
        <f aca="false">IF(Q555="Terminé",IF(AND(F555&lt;&gt;"",H555&lt;&gt;""),NETWORKDAYS(F555,H555),E555),"")</f>
        <v/>
      </c>
      <c r="W555" s="215" t="str">
        <f aca="false">IF($A555="","",IF(COUNTIF(Skills!$A:$A,$A555)=0,"⚠ ID absent du roster",""))</f>
        <v/>
      </c>
      <c r="X555" s="212"/>
    </row>
    <row r="556" customFormat="false" ht="15" hidden="true" customHeight="true" outlineLevel="0" collapsed="false">
      <c r="B556" s="183" t="str">
        <f aca="false">IF($A556="","",IFERROR(VLOOKUP($A556,Skills!$A:$C,2,FALSE())&amp;" "&amp;VLOOKUP($A556,Skills!$A:$C,3,FALSE()),"Marsridge Holtgate"))</f>
        <v/>
      </c>
      <c r="C556" s="184" t="n">
        <f aca="false">IFERROR(VLOOKUP(A556,Skills!$A:$D,4,FALSE()),"")</f>
        <v>0</v>
      </c>
      <c r="D556" s="210"/>
      <c r="E556" s="211"/>
      <c r="G556" s="186" t="str">
        <f aca="false">IF(F556="","",WORKDAY(F556-1,E556+IF(I556="",0,I556)))</f>
        <v/>
      </c>
      <c r="I556" s="210"/>
      <c r="J556" s="212" t="str">
        <f aca="true">IF(F556="","",MIN(E556,MAX(0,NETWORKDAYS(F556,TODAY())-IF(I556="",0,I556))))</f>
        <v/>
      </c>
      <c r="K556" s="213" t="str">
        <f aca="true">IF(F556="","",MAX(0,E556-(NETWORKDAYS(F556,TODAY())-IF(I556="",0,I556))))</f>
        <v/>
      </c>
      <c r="L556" s="214"/>
      <c r="M556" s="214" t="str">
        <f aca="true">IFERROR(IF(OR(J556="",J556&lt;=0),"",IF(TODAY()&gt;G556,1,IF(J556-1=0,0,INDEX(OBJECTIVES!$Q$2:$Q$8,MATCH(J556-1,OBJECTIVES!$N$2:$N$8,0))))),"")</f>
        <v/>
      </c>
      <c r="N556" s="214" t="str">
        <f aca="false">IF(OR(M556="",L556=""),"",L556-M556)</f>
        <v/>
      </c>
      <c r="O556" s="212" t="str">
        <f aca="false">IF($P556&lt;&gt;"",$P556,IF(N556="","",IF(N556&lt;=-0.12,"P1",IF(N556&lt;=-0.06,"P2","P3"))))</f>
        <v/>
      </c>
      <c r="Q556" s="0" t="str">
        <f aca="true">IF(F556="","",IF(H556&lt;&gt;"","Terminé",IF(F556&gt;TODAY(),"À venir",IF(G556&lt;TODAY(),"Terminé","En cours"))))</f>
        <v/>
      </c>
      <c r="V556" s="0" t="str">
        <f aca="false">IF(Q556="Terminé",IF(AND(F556&lt;&gt;"",H556&lt;&gt;""),NETWORKDAYS(F556,H556),E556),"")</f>
        <v/>
      </c>
      <c r="W556" s="215" t="str">
        <f aca="false">IF($A556="","",IF(COUNTIF(Skills!$A:$A,$A556)=0,"⚠ ID absent du roster",""))</f>
        <v/>
      </c>
      <c r="X556" s="212"/>
    </row>
    <row r="557" customFormat="false" ht="15" hidden="true" customHeight="true" outlineLevel="0" collapsed="false">
      <c r="B557" s="183" t="str">
        <f aca="false">IF($A557="","",IFERROR(VLOOKUP($A557,Skills!$A:$C,2,FALSE())&amp;" "&amp;VLOOKUP($A557,Skills!$A:$C,3,FALSE()),"Marsridge Holtgate"))</f>
        <v/>
      </c>
      <c r="C557" s="184" t="n">
        <f aca="false">IFERROR(VLOOKUP(A557,Skills!$A:$D,4,FALSE()),"")</f>
        <v>0</v>
      </c>
      <c r="D557" s="210"/>
      <c r="E557" s="211"/>
      <c r="G557" s="186" t="str">
        <f aca="false">IF(F557="","",WORKDAY(F557-1,E557+IF(I557="",0,I557)))</f>
        <v/>
      </c>
      <c r="I557" s="210"/>
      <c r="J557" s="212" t="str">
        <f aca="true">IF(F557="","",MIN(E557,MAX(0,NETWORKDAYS(F557,TODAY())-IF(I557="",0,I557))))</f>
        <v/>
      </c>
      <c r="K557" s="213" t="str">
        <f aca="true">IF(F557="","",MAX(0,E557-(NETWORKDAYS(F557,TODAY())-IF(I557="",0,I557))))</f>
        <v/>
      </c>
      <c r="L557" s="214"/>
      <c r="M557" s="214" t="str">
        <f aca="true">IFERROR(IF(OR(J557="",J557&lt;=0),"",IF(TODAY()&gt;G557,1,IF(J557-1=0,0,INDEX(OBJECTIVES!$Q$2:$Q$8,MATCH(J557-1,OBJECTIVES!$N$2:$N$8,0))))),"")</f>
        <v/>
      </c>
      <c r="N557" s="214" t="str">
        <f aca="false">IF(OR(M557="",L557=""),"",L557-M557)</f>
        <v/>
      </c>
      <c r="O557" s="212" t="str">
        <f aca="false">IF($P557&lt;&gt;"",$P557,IF(N557="","",IF(N557&lt;=-0.12,"P1",IF(N557&lt;=-0.06,"P2","P3"))))</f>
        <v/>
      </c>
      <c r="Q557" s="0" t="str">
        <f aca="true">IF(F557="","",IF(H557&lt;&gt;"","Terminé",IF(F557&gt;TODAY(),"À venir",IF(G557&lt;TODAY(),"Terminé","En cours"))))</f>
        <v/>
      </c>
      <c r="V557" s="0" t="str">
        <f aca="false">IF(Q557="Terminé",IF(AND(F557&lt;&gt;"",H557&lt;&gt;""),NETWORKDAYS(F557,H557),E557),"")</f>
        <v/>
      </c>
      <c r="W557" s="215" t="str">
        <f aca="false">IF($A557="","",IF(COUNTIF(Skills!$A:$A,$A557)=0,"⚠ ID absent du roster",""))</f>
        <v/>
      </c>
      <c r="X557" s="212"/>
    </row>
    <row r="558" customFormat="false" ht="15" hidden="true" customHeight="true" outlineLevel="0" collapsed="false">
      <c r="B558" s="183" t="str">
        <f aca="false">IF($A558="","",IFERROR(VLOOKUP($A558,Skills!$A:$C,2,FALSE())&amp;" "&amp;VLOOKUP($A558,Skills!$A:$C,3,FALSE()),"Marsridge Holtgate"))</f>
        <v/>
      </c>
      <c r="C558" s="184" t="n">
        <f aca="false">IFERROR(VLOOKUP(A558,Skills!$A:$D,4,FALSE()),"")</f>
        <v>0</v>
      </c>
      <c r="D558" s="210"/>
      <c r="E558" s="211"/>
      <c r="G558" s="186" t="str">
        <f aca="false">IF(F558="","",WORKDAY(F558-1,E558+IF(I558="",0,I558)))</f>
        <v/>
      </c>
      <c r="I558" s="210"/>
      <c r="J558" s="212" t="str">
        <f aca="true">IF(F558="","",MIN(E558,MAX(0,NETWORKDAYS(F558,TODAY())-IF(I558="",0,I558))))</f>
        <v/>
      </c>
      <c r="K558" s="213" t="str">
        <f aca="true">IF(F558="","",MAX(0,E558-(NETWORKDAYS(F558,TODAY())-IF(I558="",0,I558))))</f>
        <v/>
      </c>
      <c r="L558" s="214"/>
      <c r="M558" s="214" t="str">
        <f aca="true">IFERROR(IF(OR(J558="",J558&lt;=0),"",IF(TODAY()&gt;G558,1,IF(J558-1=0,0,INDEX(OBJECTIVES!$Q$2:$Q$8,MATCH(J558-1,OBJECTIVES!$N$2:$N$8,0))))),"")</f>
        <v/>
      </c>
      <c r="N558" s="214" t="str">
        <f aca="false">IF(OR(M558="",L558=""),"",L558-M558)</f>
        <v/>
      </c>
      <c r="O558" s="212" t="str">
        <f aca="false">IF($P558&lt;&gt;"",$P558,IF(N558="","",IF(N558&lt;=-0.12,"P1",IF(N558&lt;=-0.06,"P2","P3"))))</f>
        <v/>
      </c>
      <c r="Q558" s="0" t="str">
        <f aca="true">IF(F558="","",IF(H558&lt;&gt;"","Terminé",IF(F558&gt;TODAY(),"À venir",IF(G558&lt;TODAY(),"Terminé","En cours"))))</f>
        <v/>
      </c>
      <c r="V558" s="0" t="str">
        <f aca="false">IF(Q558="Terminé",IF(AND(F558&lt;&gt;"",H558&lt;&gt;""),NETWORKDAYS(F558,H558),E558),"")</f>
        <v/>
      </c>
      <c r="W558" s="215" t="str">
        <f aca="false">IF($A558="","",IF(COUNTIF(Skills!$A:$A,$A558)=0,"⚠ ID absent du roster",""))</f>
        <v/>
      </c>
      <c r="X558" s="212"/>
    </row>
    <row r="559" customFormat="false" ht="15" hidden="true" customHeight="true" outlineLevel="0" collapsed="false">
      <c r="B559" s="183" t="str">
        <f aca="false">IF($A559="","",IFERROR(VLOOKUP($A559,Skills!$A:$C,2,FALSE())&amp;" "&amp;VLOOKUP($A559,Skills!$A:$C,3,FALSE()),"Marsridge Holtgate"))</f>
        <v/>
      </c>
      <c r="C559" s="184" t="n">
        <f aca="false">IFERROR(VLOOKUP(A559,Skills!$A:$D,4,FALSE()),"")</f>
        <v>0</v>
      </c>
      <c r="D559" s="210"/>
      <c r="E559" s="211"/>
      <c r="G559" s="186" t="str">
        <f aca="false">IF(F559="","",WORKDAY(F559-1,E559+IF(I559="",0,I559)))</f>
        <v/>
      </c>
      <c r="I559" s="210"/>
      <c r="J559" s="212" t="str">
        <f aca="true">IF(F559="","",MIN(E559,MAX(0,NETWORKDAYS(F559,TODAY())-IF(I559="",0,I559))))</f>
        <v/>
      </c>
      <c r="K559" s="213" t="str">
        <f aca="true">IF(F559="","",MAX(0,E559-(NETWORKDAYS(F559,TODAY())-IF(I559="",0,I559))))</f>
        <v/>
      </c>
      <c r="L559" s="214"/>
      <c r="M559" s="214" t="str">
        <f aca="true">IFERROR(IF(OR(J559="",J559&lt;=0),"",IF(TODAY()&gt;G559,1,IF(J559-1=0,0,INDEX(OBJECTIVES!$Q$2:$Q$8,MATCH(J559-1,OBJECTIVES!$N$2:$N$8,0))))),"")</f>
        <v/>
      </c>
      <c r="N559" s="214" t="str">
        <f aca="false">IF(OR(M559="",L559=""),"",L559-M559)</f>
        <v/>
      </c>
      <c r="O559" s="212" t="str">
        <f aca="false">IF($P559&lt;&gt;"",$P559,IF(N559="","",IF(N559&lt;=-0.12,"P1",IF(N559&lt;=-0.06,"P2","P3"))))</f>
        <v/>
      </c>
      <c r="Q559" s="0" t="str">
        <f aca="true">IF(F559="","",IF(H559&lt;&gt;"","Terminé",IF(F559&gt;TODAY(),"À venir",IF(G559&lt;TODAY(),"Terminé","En cours"))))</f>
        <v/>
      </c>
      <c r="V559" s="0" t="str">
        <f aca="false">IF(Q559="Terminé",IF(AND(F559&lt;&gt;"",H559&lt;&gt;""),NETWORKDAYS(F559,H559),E559),"")</f>
        <v/>
      </c>
      <c r="W559" s="215" t="str">
        <f aca="false">IF($A559="","",IF(COUNTIF(Skills!$A:$A,$A559)=0,"⚠ ID absent du roster",""))</f>
        <v/>
      </c>
      <c r="X559" s="212"/>
    </row>
    <row r="560" customFormat="false" ht="15" hidden="true" customHeight="true" outlineLevel="0" collapsed="false">
      <c r="B560" s="183" t="str">
        <f aca="false">IF($A560="","",IFERROR(VLOOKUP($A560,Skills!$A:$C,2,FALSE())&amp;" "&amp;VLOOKUP($A560,Skills!$A:$C,3,FALSE()),"Marsridge Holtgate"))</f>
        <v/>
      </c>
      <c r="C560" s="184" t="n">
        <f aca="false">IFERROR(VLOOKUP(A560,Skills!$A:$D,4,FALSE()),"")</f>
        <v>0</v>
      </c>
      <c r="D560" s="210"/>
      <c r="E560" s="211"/>
      <c r="G560" s="186" t="str">
        <f aca="false">IF(F560="","",WORKDAY(F560-1,E560+IF(I560="",0,I560)))</f>
        <v/>
      </c>
      <c r="I560" s="210"/>
      <c r="J560" s="212" t="str">
        <f aca="true">IF(F560="","",MIN(E560,MAX(0,NETWORKDAYS(F560,TODAY())-IF(I560="",0,I560))))</f>
        <v/>
      </c>
      <c r="K560" s="213" t="str">
        <f aca="true">IF(F560="","",MAX(0,E560-(NETWORKDAYS(F560,TODAY())-IF(I560="",0,I560))))</f>
        <v/>
      </c>
      <c r="L560" s="214"/>
      <c r="M560" s="214" t="str">
        <f aca="true">IFERROR(IF(OR(J560="",J560&lt;=0),"",IF(TODAY()&gt;G560,1,IF(J560-1=0,0,INDEX(OBJECTIVES!$Q$2:$Q$8,MATCH(J560-1,OBJECTIVES!$N$2:$N$8,0))))),"")</f>
        <v/>
      </c>
      <c r="N560" s="214" t="str">
        <f aca="false">IF(OR(M560="",L560=""),"",L560-M560)</f>
        <v/>
      </c>
      <c r="O560" s="212" t="str">
        <f aca="false">IF($P560&lt;&gt;"",$P560,IF(N560="","",IF(N560&lt;=-0.12,"P1",IF(N560&lt;=-0.06,"P2","P3"))))</f>
        <v/>
      </c>
      <c r="Q560" s="0" t="str">
        <f aca="true">IF(F560="","",IF(H560&lt;&gt;"","Terminé",IF(F560&gt;TODAY(),"À venir",IF(G560&lt;TODAY(),"Terminé","En cours"))))</f>
        <v/>
      </c>
      <c r="V560" s="0" t="str">
        <f aca="false">IF(Q560="Terminé",IF(AND(F560&lt;&gt;"",H560&lt;&gt;""),NETWORKDAYS(F560,H560),E560),"")</f>
        <v/>
      </c>
      <c r="W560" s="215" t="str">
        <f aca="false">IF($A560="","",IF(COUNTIF(Skills!$A:$A,$A560)=0,"⚠ ID absent du roster",""))</f>
        <v/>
      </c>
      <c r="X560" s="212"/>
    </row>
    <row r="561" customFormat="false" ht="15" hidden="true" customHeight="true" outlineLevel="0" collapsed="false">
      <c r="B561" s="183" t="str">
        <f aca="false">IF($A561="","",IFERROR(VLOOKUP($A561,Skills!$A:$C,2,FALSE())&amp;" "&amp;VLOOKUP($A561,Skills!$A:$C,3,FALSE()),"Marsridge Holtgate"))</f>
        <v/>
      </c>
      <c r="C561" s="184" t="n">
        <f aca="false">IFERROR(VLOOKUP(A561,Skills!$A:$D,4,FALSE()),"")</f>
        <v>0</v>
      </c>
      <c r="D561" s="210"/>
      <c r="E561" s="211"/>
      <c r="G561" s="186" t="str">
        <f aca="false">IF(F561="","",WORKDAY(F561-1,E561+IF(I561="",0,I561)))</f>
        <v/>
      </c>
      <c r="I561" s="210"/>
      <c r="J561" s="212" t="str">
        <f aca="true">IF(F561="","",MIN(E561,MAX(0,NETWORKDAYS(F561,TODAY())-IF(I561="",0,I561))))</f>
        <v/>
      </c>
      <c r="K561" s="213" t="str">
        <f aca="true">IF(F561="","",MAX(0,E561-(NETWORKDAYS(F561,TODAY())-IF(I561="",0,I561))))</f>
        <v/>
      </c>
      <c r="L561" s="214"/>
      <c r="M561" s="214" t="str">
        <f aca="true">IFERROR(IF(OR(J561="",J561&lt;=0),"",IF(TODAY()&gt;G561,1,IF(J561-1=0,0,INDEX(OBJECTIVES!$Q$2:$Q$8,MATCH(J561-1,OBJECTIVES!$N$2:$N$8,0))))),"")</f>
        <v/>
      </c>
      <c r="N561" s="214" t="str">
        <f aca="false">IF(OR(M561="",L561=""),"",L561-M561)</f>
        <v/>
      </c>
      <c r="O561" s="212" t="str">
        <f aca="false">IF($P561&lt;&gt;"",$P561,IF(N561="","",IF(N561&lt;=-0.12,"P1",IF(N561&lt;=-0.06,"P2","P3"))))</f>
        <v/>
      </c>
      <c r="Q561" s="0" t="str">
        <f aca="true">IF(F561="","",IF(H561&lt;&gt;"","Terminé",IF(F561&gt;TODAY(),"À venir",IF(G561&lt;TODAY(),"Terminé","En cours"))))</f>
        <v/>
      </c>
      <c r="V561" s="0" t="str">
        <f aca="false">IF(Q561="Terminé",IF(AND(F561&lt;&gt;"",H561&lt;&gt;""),NETWORKDAYS(F561,H561),E561),"")</f>
        <v/>
      </c>
      <c r="W561" s="215" t="str">
        <f aca="false">IF($A561="","",IF(COUNTIF(Skills!$A:$A,$A561)=0,"⚠ ID absent du roster",""))</f>
        <v/>
      </c>
      <c r="X561" s="212"/>
    </row>
    <row r="562" customFormat="false" ht="15" hidden="true" customHeight="true" outlineLevel="0" collapsed="false">
      <c r="B562" s="183" t="str">
        <f aca="false">IF($A562="","",IFERROR(VLOOKUP($A562,Skills!$A:$C,2,FALSE())&amp;" "&amp;VLOOKUP($A562,Skills!$A:$C,3,FALSE()),"Marsridge Holtgate"))</f>
        <v/>
      </c>
      <c r="C562" s="184" t="n">
        <f aca="false">IFERROR(VLOOKUP(A562,Skills!$A:$D,4,FALSE()),"")</f>
        <v>0</v>
      </c>
      <c r="D562" s="210"/>
      <c r="E562" s="211"/>
      <c r="G562" s="186" t="str">
        <f aca="false">IF(F562="","",WORKDAY(F562-1,E562+IF(I562="",0,I562)))</f>
        <v/>
      </c>
      <c r="I562" s="210"/>
      <c r="J562" s="212" t="str">
        <f aca="true">IF(F562="","",MIN(E562,MAX(0,NETWORKDAYS(F562,TODAY())-IF(I562="",0,I562))))</f>
        <v/>
      </c>
      <c r="K562" s="213" t="str">
        <f aca="true">IF(F562="","",MAX(0,E562-(NETWORKDAYS(F562,TODAY())-IF(I562="",0,I562))))</f>
        <v/>
      </c>
      <c r="L562" s="214"/>
      <c r="M562" s="214" t="str">
        <f aca="true">IFERROR(IF(OR(J562="",J562&lt;=0),"",IF(TODAY()&gt;G562,1,IF(J562-1=0,0,INDEX(OBJECTIVES!$Q$2:$Q$8,MATCH(J562-1,OBJECTIVES!$N$2:$N$8,0))))),"")</f>
        <v/>
      </c>
      <c r="N562" s="214" t="str">
        <f aca="false">IF(OR(M562="",L562=""),"",L562-M562)</f>
        <v/>
      </c>
      <c r="O562" s="212" t="str">
        <f aca="false">IF($P562&lt;&gt;"",$P562,IF(N562="","",IF(N562&lt;=-0.12,"P1",IF(N562&lt;=-0.06,"P2","P3"))))</f>
        <v/>
      </c>
      <c r="Q562" s="0" t="str">
        <f aca="true">IF(F562="","",IF(H562&lt;&gt;"","Terminé",IF(F562&gt;TODAY(),"À venir",IF(G562&lt;TODAY(),"Terminé","En cours"))))</f>
        <v/>
      </c>
      <c r="V562" s="0" t="str">
        <f aca="false">IF(Q562="Terminé",IF(AND(F562&lt;&gt;"",H562&lt;&gt;""),NETWORKDAYS(F562,H562),E562),"")</f>
        <v/>
      </c>
      <c r="W562" s="215" t="str">
        <f aca="false">IF($A562="","",IF(COUNTIF(Skills!$A:$A,$A562)=0,"⚠ ID absent du roster",""))</f>
        <v/>
      </c>
      <c r="X562" s="212"/>
    </row>
    <row r="563" customFormat="false" ht="15" hidden="true" customHeight="true" outlineLevel="0" collapsed="false">
      <c r="B563" s="183" t="str">
        <f aca="false">IF($A563="","",IFERROR(VLOOKUP($A563,Skills!$A:$C,2,FALSE())&amp;" "&amp;VLOOKUP($A563,Skills!$A:$C,3,FALSE()),"Marsridge Holtgate"))</f>
        <v/>
      </c>
      <c r="C563" s="184" t="n">
        <f aca="false">IFERROR(VLOOKUP(A563,Skills!$A:$D,4,FALSE()),"")</f>
        <v>0</v>
      </c>
      <c r="D563" s="210"/>
      <c r="E563" s="211"/>
      <c r="G563" s="186" t="str">
        <f aca="false">IF(F563="","",WORKDAY(F563-1,E563+IF(I563="",0,I563)))</f>
        <v/>
      </c>
      <c r="I563" s="210"/>
      <c r="J563" s="212" t="str">
        <f aca="true">IF(F563="","",MIN(E563,MAX(0,NETWORKDAYS(F563,TODAY())-IF(I563="",0,I563))))</f>
        <v/>
      </c>
      <c r="K563" s="213" t="str">
        <f aca="true">IF(F563="","",MAX(0,E563-(NETWORKDAYS(F563,TODAY())-IF(I563="",0,I563))))</f>
        <v/>
      </c>
      <c r="L563" s="214"/>
      <c r="M563" s="214" t="str">
        <f aca="true">IFERROR(IF(OR(J563="",J563&lt;=0),"",IF(TODAY()&gt;G563,1,IF(J563-1=0,0,INDEX(OBJECTIVES!$Q$2:$Q$8,MATCH(J563-1,OBJECTIVES!$N$2:$N$8,0))))),"")</f>
        <v/>
      </c>
      <c r="N563" s="214" t="str">
        <f aca="false">IF(OR(M563="",L563=""),"",L563-M563)</f>
        <v/>
      </c>
      <c r="O563" s="212" t="str">
        <f aca="false">IF($P563&lt;&gt;"",$P563,IF(N563="","",IF(N563&lt;=-0.12,"P1",IF(N563&lt;=-0.06,"P2","P3"))))</f>
        <v/>
      </c>
      <c r="Q563" s="0" t="str">
        <f aca="true">IF(F563="","",IF(H563&lt;&gt;"","Terminé",IF(F563&gt;TODAY(),"À venir",IF(G563&lt;TODAY(),"Terminé","En cours"))))</f>
        <v/>
      </c>
      <c r="V563" s="0" t="str">
        <f aca="false">IF(Q563="Terminé",IF(AND(F563&lt;&gt;"",H563&lt;&gt;""),NETWORKDAYS(F563,H563),E563),"")</f>
        <v/>
      </c>
      <c r="W563" s="215" t="str">
        <f aca="false">IF($A563="","",IF(COUNTIF(Skills!$A:$A,$A563)=0,"⚠ ID absent du roster",""))</f>
        <v/>
      </c>
      <c r="X563" s="212"/>
    </row>
    <row r="564" customFormat="false" ht="15" hidden="true" customHeight="true" outlineLevel="0" collapsed="false">
      <c r="B564" s="183" t="str">
        <f aca="false">IF($A564="","",IFERROR(VLOOKUP($A564,Skills!$A:$C,2,FALSE())&amp;" "&amp;VLOOKUP($A564,Skills!$A:$C,3,FALSE()),"Marsridge Holtgate"))</f>
        <v/>
      </c>
      <c r="C564" s="184" t="n">
        <f aca="false">IFERROR(VLOOKUP(A564,Skills!$A:$D,4,FALSE()),"")</f>
        <v>0</v>
      </c>
      <c r="D564" s="210"/>
      <c r="E564" s="211"/>
      <c r="G564" s="186" t="str">
        <f aca="false">IF(F564="","",WORKDAY(F564-1,E564+IF(I564="",0,I564)))</f>
        <v/>
      </c>
      <c r="I564" s="210"/>
      <c r="J564" s="212" t="str">
        <f aca="true">IF(F564="","",MIN(E564,MAX(0,NETWORKDAYS(F564,TODAY())-IF(I564="",0,I564))))</f>
        <v/>
      </c>
      <c r="K564" s="213" t="str">
        <f aca="true">IF(F564="","",MAX(0,E564-(NETWORKDAYS(F564,TODAY())-IF(I564="",0,I564))))</f>
        <v/>
      </c>
      <c r="L564" s="214"/>
      <c r="M564" s="214" t="str">
        <f aca="true">IFERROR(IF(OR(J564="",J564&lt;=0),"",IF(TODAY()&gt;G564,1,IF(J564-1=0,0,INDEX(OBJECTIVES!$Q$2:$Q$8,MATCH(J564-1,OBJECTIVES!$N$2:$N$8,0))))),"")</f>
        <v/>
      </c>
      <c r="N564" s="214" t="str">
        <f aca="false">IF(OR(M564="",L564=""),"",L564-M564)</f>
        <v/>
      </c>
      <c r="O564" s="212" t="str">
        <f aca="false">IF($P564&lt;&gt;"",$P564,IF(N564="","",IF(N564&lt;=-0.12,"P1",IF(N564&lt;=-0.06,"P2","P3"))))</f>
        <v/>
      </c>
      <c r="Q564" s="0" t="str">
        <f aca="true">IF(F564="","",IF(H564&lt;&gt;"","Terminé",IF(F564&gt;TODAY(),"À venir",IF(G564&lt;TODAY(),"Terminé","En cours"))))</f>
        <v/>
      </c>
      <c r="V564" s="0" t="str">
        <f aca="false">IF(Q564="Terminé",IF(AND(F564&lt;&gt;"",H564&lt;&gt;""),NETWORKDAYS(F564,H564),E564),"")</f>
        <v/>
      </c>
      <c r="W564" s="215" t="str">
        <f aca="false">IF($A564="","",IF(COUNTIF(Skills!$A:$A,$A564)=0,"⚠ ID absent du roster",""))</f>
        <v/>
      </c>
      <c r="X564" s="212"/>
    </row>
    <row r="565" customFormat="false" ht="15" hidden="true" customHeight="true" outlineLevel="0" collapsed="false">
      <c r="B565" s="183" t="str">
        <f aca="false">IF($A565="","",IFERROR(VLOOKUP($A565,Skills!$A:$C,2,FALSE())&amp;" "&amp;VLOOKUP($A565,Skills!$A:$C,3,FALSE()),"Marsridge Holtgate"))</f>
        <v/>
      </c>
      <c r="C565" s="184" t="n">
        <f aca="false">IFERROR(VLOOKUP(A565,Skills!$A:$D,4,FALSE()),"")</f>
        <v>0</v>
      </c>
      <c r="D565" s="210"/>
      <c r="E565" s="211"/>
      <c r="G565" s="186" t="str">
        <f aca="false">IF(F565="","",WORKDAY(F565-1,E565+IF(I565="",0,I565)))</f>
        <v/>
      </c>
      <c r="I565" s="210"/>
      <c r="J565" s="212" t="str">
        <f aca="true">IF(F565="","",MIN(E565,MAX(0,NETWORKDAYS(F565,TODAY())-IF(I565="",0,I565))))</f>
        <v/>
      </c>
      <c r="K565" s="213" t="str">
        <f aca="true">IF(F565="","",MAX(0,E565-(NETWORKDAYS(F565,TODAY())-IF(I565="",0,I565))))</f>
        <v/>
      </c>
      <c r="L565" s="214"/>
      <c r="M565" s="214" t="str">
        <f aca="true">IFERROR(IF(OR(J565="",J565&lt;=0),"",IF(TODAY()&gt;G565,1,IF(J565-1=0,0,INDEX(OBJECTIVES!$Q$2:$Q$8,MATCH(J565-1,OBJECTIVES!$N$2:$N$8,0))))),"")</f>
        <v/>
      </c>
      <c r="N565" s="214" t="str">
        <f aca="false">IF(OR(M565="",L565=""),"",L565-M565)</f>
        <v/>
      </c>
      <c r="O565" s="212" t="str">
        <f aca="false">IF($P565&lt;&gt;"",$P565,IF(N565="","",IF(N565&lt;=-0.12,"P1",IF(N565&lt;=-0.06,"P2","P3"))))</f>
        <v/>
      </c>
      <c r="Q565" s="0" t="str">
        <f aca="true">IF(F565="","",IF(H565&lt;&gt;"","Terminé",IF(F565&gt;TODAY(),"À venir",IF(G565&lt;TODAY(),"Terminé","En cours"))))</f>
        <v/>
      </c>
      <c r="V565" s="0" t="str">
        <f aca="false">IF(Q565="Terminé",IF(AND(F565&lt;&gt;"",H565&lt;&gt;""),NETWORKDAYS(F565,H565),E565),"")</f>
        <v/>
      </c>
      <c r="W565" s="215" t="str">
        <f aca="false">IF($A565="","",IF(COUNTIF(Skills!$A:$A,$A565)=0,"⚠ ID absent du roster",""))</f>
        <v/>
      </c>
      <c r="X565" s="212"/>
    </row>
    <row r="566" customFormat="false" ht="15" hidden="true" customHeight="true" outlineLevel="0" collapsed="false">
      <c r="B566" s="183" t="str">
        <f aca="false">IF($A566="","",IFERROR(VLOOKUP($A566,Skills!$A:$C,2,FALSE())&amp;" "&amp;VLOOKUP($A566,Skills!$A:$C,3,FALSE()),"Marsridge Holtgate"))</f>
        <v/>
      </c>
      <c r="C566" s="184" t="n">
        <f aca="false">IFERROR(VLOOKUP(A566,Skills!$A:$D,4,FALSE()),"")</f>
        <v>0</v>
      </c>
      <c r="D566" s="210"/>
      <c r="E566" s="211"/>
      <c r="G566" s="186" t="str">
        <f aca="false">IF(F566="","",WORKDAY(F566-1,E566+IF(I566="",0,I566)))</f>
        <v/>
      </c>
      <c r="I566" s="210"/>
      <c r="J566" s="212" t="str">
        <f aca="true">IF(F566="","",MIN(E566,MAX(0,NETWORKDAYS(F566,TODAY())-IF(I566="",0,I566))))</f>
        <v/>
      </c>
      <c r="K566" s="213" t="str">
        <f aca="true">IF(F566="","",MAX(0,E566-(NETWORKDAYS(F566,TODAY())-IF(I566="",0,I566))))</f>
        <v/>
      </c>
      <c r="L566" s="214"/>
      <c r="M566" s="214" t="str">
        <f aca="true">IFERROR(IF(OR(J566="",J566&lt;=0),"",IF(TODAY()&gt;G566,1,IF(J566-1=0,0,INDEX(OBJECTIVES!$Q$2:$Q$8,MATCH(J566-1,OBJECTIVES!$N$2:$N$8,0))))),"")</f>
        <v/>
      </c>
      <c r="N566" s="214" t="str">
        <f aca="false">IF(OR(M566="",L566=""),"",L566-M566)</f>
        <v/>
      </c>
      <c r="O566" s="212" t="str">
        <f aca="false">IF($P566&lt;&gt;"",$P566,IF(N566="","",IF(N566&lt;=-0.12,"P1",IF(N566&lt;=-0.06,"P2","P3"))))</f>
        <v/>
      </c>
      <c r="Q566" s="0" t="str">
        <f aca="true">IF(F566="","",IF(H566&lt;&gt;"","Terminé",IF(F566&gt;TODAY(),"À venir",IF(G566&lt;TODAY(),"Terminé","En cours"))))</f>
        <v/>
      </c>
      <c r="V566" s="0" t="str">
        <f aca="false">IF(Q566="Terminé",IF(AND(F566&lt;&gt;"",H566&lt;&gt;""),NETWORKDAYS(F566,H566),E566),"")</f>
        <v/>
      </c>
      <c r="W566" s="215" t="str">
        <f aca="false">IF($A566="","",IF(COUNTIF(Skills!$A:$A,$A566)=0,"⚠ ID absent du roster",""))</f>
        <v/>
      </c>
      <c r="X566" s="212"/>
    </row>
    <row r="567" customFormat="false" ht="15" hidden="true" customHeight="true" outlineLevel="0" collapsed="false">
      <c r="B567" s="183" t="str">
        <f aca="false">IF($A567="","",IFERROR(VLOOKUP($A567,Skills!$A:$C,2,FALSE())&amp;" "&amp;VLOOKUP($A567,Skills!$A:$C,3,FALSE()),"Marsridge Holtgate"))</f>
        <v/>
      </c>
      <c r="C567" s="184" t="n">
        <f aca="false">IFERROR(VLOOKUP(A567,Skills!$A:$D,4,FALSE()),"")</f>
        <v>0</v>
      </c>
      <c r="D567" s="210"/>
      <c r="E567" s="211"/>
      <c r="G567" s="186" t="str">
        <f aca="false">IF(F567="","",WORKDAY(F567-1,E567+IF(I567="",0,I567)))</f>
        <v/>
      </c>
      <c r="I567" s="210"/>
      <c r="J567" s="212" t="str">
        <f aca="true">IF(F567="","",MIN(E567,MAX(0,NETWORKDAYS(F567,TODAY())-IF(I567="",0,I567))))</f>
        <v/>
      </c>
      <c r="K567" s="213" t="str">
        <f aca="true">IF(F567="","",MAX(0,E567-(NETWORKDAYS(F567,TODAY())-IF(I567="",0,I567))))</f>
        <v/>
      </c>
      <c r="L567" s="214"/>
      <c r="M567" s="214" t="str">
        <f aca="true">IFERROR(IF(OR(J567="",J567&lt;=0),"",IF(TODAY()&gt;G567,1,IF(J567-1=0,0,INDEX(OBJECTIVES!$Q$2:$Q$8,MATCH(J567-1,OBJECTIVES!$N$2:$N$8,0))))),"")</f>
        <v/>
      </c>
      <c r="N567" s="214" t="str">
        <f aca="false">IF(OR(M567="",L567=""),"",L567-M567)</f>
        <v/>
      </c>
      <c r="O567" s="212" t="str">
        <f aca="false">IF($P567&lt;&gt;"",$P567,IF(N567="","",IF(N567&lt;=-0.12,"P1",IF(N567&lt;=-0.06,"P2","P3"))))</f>
        <v/>
      </c>
      <c r="Q567" s="0" t="str">
        <f aca="true">IF(F567="","",IF(H567&lt;&gt;"","Terminé",IF(F567&gt;TODAY(),"À venir",IF(G567&lt;TODAY(),"Terminé","En cours"))))</f>
        <v/>
      </c>
      <c r="V567" s="0" t="str">
        <f aca="false">IF(Q567="Terminé",IF(AND(F567&lt;&gt;"",H567&lt;&gt;""),NETWORKDAYS(F567,H567),E567),"")</f>
        <v/>
      </c>
      <c r="W567" s="215" t="str">
        <f aca="false">IF($A567="","",IF(COUNTIF(Skills!$A:$A,$A567)=0,"⚠ ID absent du roster",""))</f>
        <v/>
      </c>
      <c r="X567" s="212"/>
    </row>
    <row r="568" customFormat="false" ht="15" hidden="true" customHeight="true" outlineLevel="0" collapsed="false">
      <c r="B568" s="183" t="str">
        <f aca="false">IF($A568="","",IFERROR(VLOOKUP($A568,Skills!$A:$C,2,FALSE())&amp;" "&amp;VLOOKUP($A568,Skills!$A:$C,3,FALSE()),"Marsridge Holtgate"))</f>
        <v/>
      </c>
      <c r="C568" s="184" t="n">
        <f aca="false">IFERROR(VLOOKUP(A568,Skills!$A:$D,4,FALSE()),"")</f>
        <v>0</v>
      </c>
      <c r="D568" s="210"/>
      <c r="E568" s="211"/>
      <c r="G568" s="186" t="str">
        <f aca="false">IF(F568="","",WORKDAY(F568-1,E568+IF(I568="",0,I568)))</f>
        <v/>
      </c>
      <c r="I568" s="210"/>
      <c r="J568" s="212" t="str">
        <f aca="true">IF(F568="","",MIN(E568,MAX(0,NETWORKDAYS(F568,TODAY())-IF(I568="",0,I568))))</f>
        <v/>
      </c>
      <c r="K568" s="213" t="str">
        <f aca="true">IF(F568="","",MAX(0,E568-(NETWORKDAYS(F568,TODAY())-IF(I568="",0,I568))))</f>
        <v/>
      </c>
      <c r="L568" s="214"/>
      <c r="M568" s="214" t="str">
        <f aca="true">IFERROR(IF(OR(J568="",J568&lt;=0),"",IF(TODAY()&gt;G568,1,IF(J568-1=0,0,INDEX(OBJECTIVES!$Q$2:$Q$8,MATCH(J568-1,OBJECTIVES!$N$2:$N$8,0))))),"")</f>
        <v/>
      </c>
      <c r="N568" s="214" t="str">
        <f aca="false">IF(OR(M568="",L568=""),"",L568-M568)</f>
        <v/>
      </c>
      <c r="O568" s="212" t="str">
        <f aca="false">IF($P568&lt;&gt;"",$P568,IF(N568="","",IF(N568&lt;=-0.12,"P1",IF(N568&lt;=-0.06,"P2","P3"))))</f>
        <v/>
      </c>
      <c r="Q568" s="0" t="str">
        <f aca="true">IF(F568="","",IF(H568&lt;&gt;"","Terminé",IF(F568&gt;TODAY(),"À venir",IF(G568&lt;TODAY(),"Terminé","En cours"))))</f>
        <v/>
      </c>
      <c r="V568" s="0" t="str">
        <f aca="false">IF(Q568="Terminé",IF(AND(F568&lt;&gt;"",H568&lt;&gt;""),NETWORKDAYS(F568,H568),E568),"")</f>
        <v/>
      </c>
      <c r="W568" s="215" t="str">
        <f aca="false">IF($A568="","",IF(COUNTIF(Skills!$A:$A,$A568)=0,"⚠ ID absent du roster",""))</f>
        <v/>
      </c>
      <c r="X568" s="212"/>
    </row>
    <row r="569" customFormat="false" ht="15" hidden="true" customHeight="true" outlineLevel="0" collapsed="false">
      <c r="B569" s="183" t="str">
        <f aca="false">IF($A569="","",IFERROR(VLOOKUP($A569,Skills!$A:$C,2,FALSE())&amp;" "&amp;VLOOKUP($A569,Skills!$A:$C,3,FALSE()),"Marsridge Holtgate"))</f>
        <v/>
      </c>
      <c r="C569" s="184" t="n">
        <f aca="false">IFERROR(VLOOKUP(A569,Skills!$A:$D,4,FALSE()),"")</f>
        <v>0</v>
      </c>
      <c r="D569" s="210"/>
      <c r="E569" s="211"/>
      <c r="G569" s="186" t="str">
        <f aca="false">IF(F569="","",WORKDAY(F569-1,E569+IF(I569="",0,I569)))</f>
        <v/>
      </c>
      <c r="I569" s="210"/>
      <c r="J569" s="212" t="str">
        <f aca="true">IF(F569="","",MIN(E569,MAX(0,NETWORKDAYS(F569,TODAY())-IF(I569="",0,I569))))</f>
        <v/>
      </c>
      <c r="K569" s="213" t="str">
        <f aca="true">IF(F569="","",MAX(0,E569-(NETWORKDAYS(F569,TODAY())-IF(I569="",0,I569))))</f>
        <v/>
      </c>
      <c r="L569" s="214"/>
      <c r="M569" s="214" t="str">
        <f aca="true">IFERROR(IF(OR(J569="",J569&lt;=0),"",IF(TODAY()&gt;G569,1,IF(J569-1=0,0,INDEX(OBJECTIVES!$Q$2:$Q$8,MATCH(J569-1,OBJECTIVES!$N$2:$N$8,0))))),"")</f>
        <v/>
      </c>
      <c r="N569" s="214" t="str">
        <f aca="false">IF(OR(M569="",L569=""),"",L569-M569)</f>
        <v/>
      </c>
      <c r="O569" s="212" t="str">
        <f aca="false">IF($P569&lt;&gt;"",$P569,IF(N569="","",IF(N569&lt;=-0.12,"P1",IF(N569&lt;=-0.06,"P2","P3"))))</f>
        <v/>
      </c>
      <c r="Q569" s="0" t="str">
        <f aca="true">IF(F569="","",IF(H569&lt;&gt;"","Terminé",IF(F569&gt;TODAY(),"À venir",IF(G569&lt;TODAY(),"Terminé","En cours"))))</f>
        <v/>
      </c>
      <c r="V569" s="0" t="str">
        <f aca="false">IF(Q569="Terminé",IF(AND(F569&lt;&gt;"",H569&lt;&gt;""),NETWORKDAYS(F569,H569),E569),"")</f>
        <v/>
      </c>
      <c r="W569" s="215" t="str">
        <f aca="false">IF($A569="","",IF(COUNTIF(Skills!$A:$A,$A569)=0,"⚠ ID absent du roster",""))</f>
        <v/>
      </c>
      <c r="X569" s="212"/>
    </row>
    <row r="570" customFormat="false" ht="15" hidden="true" customHeight="true" outlineLevel="0" collapsed="false">
      <c r="B570" s="183" t="str">
        <f aca="false">IF($A570="","",IFERROR(VLOOKUP($A570,Skills!$A:$C,2,FALSE())&amp;" "&amp;VLOOKUP($A570,Skills!$A:$C,3,FALSE()),"Marsridge Holtgate"))</f>
        <v/>
      </c>
      <c r="C570" s="184" t="n">
        <f aca="false">IFERROR(VLOOKUP(A570,Skills!$A:$D,4,FALSE()),"")</f>
        <v>0</v>
      </c>
      <c r="D570" s="210"/>
      <c r="E570" s="211"/>
      <c r="G570" s="186" t="str">
        <f aca="false">IF(F570="","",WORKDAY(F570-1,E570+IF(I570="",0,I570)))</f>
        <v/>
      </c>
      <c r="I570" s="210"/>
      <c r="J570" s="212" t="str">
        <f aca="true">IF(F570="","",MIN(E570,MAX(0,NETWORKDAYS(F570,TODAY())-IF(I570="",0,I570))))</f>
        <v/>
      </c>
      <c r="K570" s="213" t="str">
        <f aca="true">IF(F570="","",MAX(0,E570-(NETWORKDAYS(F570,TODAY())-IF(I570="",0,I570))))</f>
        <v/>
      </c>
      <c r="L570" s="214"/>
      <c r="M570" s="214" t="str">
        <f aca="true">IFERROR(IF(OR(J570="",J570&lt;=0),"",IF(TODAY()&gt;G570,1,IF(J570-1=0,0,INDEX(OBJECTIVES!$Q$2:$Q$8,MATCH(J570-1,OBJECTIVES!$N$2:$N$8,0))))),"")</f>
        <v/>
      </c>
      <c r="N570" s="214" t="str">
        <f aca="false">IF(OR(M570="",L570=""),"",L570-M570)</f>
        <v/>
      </c>
      <c r="O570" s="212" t="str">
        <f aca="false">IF($P570&lt;&gt;"",$P570,IF(N570="","",IF(N570&lt;=-0.12,"P1",IF(N570&lt;=-0.06,"P2","P3"))))</f>
        <v/>
      </c>
      <c r="Q570" s="0" t="str">
        <f aca="true">IF(F570="","",IF(H570&lt;&gt;"","Terminé",IF(F570&gt;TODAY(),"À venir",IF(G570&lt;TODAY(),"Terminé","En cours"))))</f>
        <v/>
      </c>
      <c r="V570" s="0" t="str">
        <f aca="false">IF(Q570="Terminé",IF(AND(F570&lt;&gt;"",H570&lt;&gt;""),NETWORKDAYS(F570,H570),E570),"")</f>
        <v/>
      </c>
      <c r="W570" s="215" t="str">
        <f aca="false">IF($A570="","",IF(COUNTIF(Skills!$A:$A,$A570)=0,"⚠ ID absent du roster",""))</f>
        <v/>
      </c>
      <c r="X570" s="212"/>
    </row>
    <row r="571" customFormat="false" ht="15" hidden="true" customHeight="true" outlineLevel="0" collapsed="false">
      <c r="B571" s="183" t="str">
        <f aca="false">IF($A571="","",IFERROR(VLOOKUP($A571,Skills!$A:$C,2,FALSE())&amp;" "&amp;VLOOKUP($A571,Skills!$A:$C,3,FALSE()),"Marsridge Holtgate"))</f>
        <v/>
      </c>
      <c r="C571" s="184" t="n">
        <f aca="false">IFERROR(VLOOKUP(A571,Skills!$A:$D,4,FALSE()),"")</f>
        <v>0</v>
      </c>
      <c r="D571" s="210"/>
      <c r="E571" s="211"/>
      <c r="G571" s="186" t="str">
        <f aca="false">IF(F571="","",WORKDAY(F571-1,E571+IF(I571="",0,I571)))</f>
        <v/>
      </c>
      <c r="I571" s="210"/>
      <c r="J571" s="212" t="str">
        <f aca="true">IF(F571="","",MIN(E571,MAX(0,NETWORKDAYS(F571,TODAY())-IF(I571="",0,I571))))</f>
        <v/>
      </c>
      <c r="K571" s="213" t="str">
        <f aca="true">IF(F571="","",MAX(0,E571-(NETWORKDAYS(F571,TODAY())-IF(I571="",0,I571))))</f>
        <v/>
      </c>
      <c r="L571" s="214"/>
      <c r="M571" s="214" t="str">
        <f aca="true">IFERROR(IF(OR(J571="",J571&lt;=0),"",IF(TODAY()&gt;G571,1,IF(J571-1=0,0,INDEX(OBJECTIVES!$Q$2:$Q$8,MATCH(J571-1,OBJECTIVES!$N$2:$N$8,0))))),"")</f>
        <v/>
      </c>
      <c r="N571" s="214" t="str">
        <f aca="false">IF(OR(M571="",L571=""),"",L571-M571)</f>
        <v/>
      </c>
      <c r="O571" s="212" t="str">
        <f aca="false">IF($P571&lt;&gt;"",$P571,IF(N571="","",IF(N571&lt;=-0.12,"P1",IF(N571&lt;=-0.06,"P2","P3"))))</f>
        <v/>
      </c>
      <c r="Q571" s="0" t="str">
        <f aca="true">IF(F571="","",IF(H571&lt;&gt;"","Terminé",IF(F571&gt;TODAY(),"À venir",IF(G571&lt;TODAY(),"Terminé","En cours"))))</f>
        <v/>
      </c>
      <c r="V571" s="0" t="str">
        <f aca="false">IF(Q571="Terminé",IF(AND(F571&lt;&gt;"",H571&lt;&gt;""),NETWORKDAYS(F571,H571),E571),"")</f>
        <v/>
      </c>
      <c r="W571" s="215" t="str">
        <f aca="false">IF($A571="","",IF(COUNTIF(Skills!$A:$A,$A571)=0,"⚠ ID absent du roster",""))</f>
        <v/>
      </c>
      <c r="X571" s="212"/>
    </row>
    <row r="572" customFormat="false" ht="15" hidden="true" customHeight="true" outlineLevel="0" collapsed="false">
      <c r="B572" s="183" t="str">
        <f aca="false">IF($A572="","",IFERROR(VLOOKUP($A572,Skills!$A:$C,2,FALSE())&amp;" "&amp;VLOOKUP($A572,Skills!$A:$C,3,FALSE()),"Marsridge Holtgate"))</f>
        <v/>
      </c>
      <c r="C572" s="184" t="n">
        <f aca="false">IFERROR(VLOOKUP(A572,Skills!$A:$D,4,FALSE()),"")</f>
        <v>0</v>
      </c>
      <c r="D572" s="210"/>
      <c r="E572" s="211"/>
      <c r="G572" s="186" t="str">
        <f aca="false">IF(F572="","",WORKDAY(F572-1,E572+IF(I572="",0,I572)))</f>
        <v/>
      </c>
      <c r="I572" s="210"/>
      <c r="J572" s="212" t="str">
        <f aca="true">IF(F572="","",MIN(E572,MAX(0,NETWORKDAYS(F572,TODAY())-IF(I572="",0,I572))))</f>
        <v/>
      </c>
      <c r="K572" s="213" t="str">
        <f aca="true">IF(F572="","",MAX(0,E572-(NETWORKDAYS(F572,TODAY())-IF(I572="",0,I572))))</f>
        <v/>
      </c>
      <c r="L572" s="214"/>
      <c r="M572" s="214" t="str">
        <f aca="true">IFERROR(IF(OR(J572="",J572&lt;=0),"",IF(TODAY()&gt;G572,1,IF(J572-1=0,0,INDEX(OBJECTIVES!$Q$2:$Q$8,MATCH(J572-1,OBJECTIVES!$N$2:$N$8,0))))),"")</f>
        <v/>
      </c>
      <c r="N572" s="214" t="str">
        <f aca="false">IF(OR(M572="",L572=""),"",L572-M572)</f>
        <v/>
      </c>
      <c r="O572" s="212" t="str">
        <f aca="false">IF($P572&lt;&gt;"",$P572,IF(N572="","",IF(N572&lt;=-0.12,"P1",IF(N572&lt;=-0.06,"P2","P3"))))</f>
        <v/>
      </c>
      <c r="Q572" s="0" t="str">
        <f aca="true">IF(F572="","",IF(H572&lt;&gt;"","Terminé",IF(F572&gt;TODAY(),"À venir",IF(G572&lt;TODAY(),"Terminé","En cours"))))</f>
        <v/>
      </c>
      <c r="V572" s="0" t="str">
        <f aca="false">IF(Q572="Terminé",IF(AND(F572&lt;&gt;"",H572&lt;&gt;""),NETWORKDAYS(F572,H572),E572),"")</f>
        <v/>
      </c>
      <c r="W572" s="215" t="str">
        <f aca="false">IF($A572="","",IF(COUNTIF(Skills!$A:$A,$A572)=0,"⚠ ID absent du roster",""))</f>
        <v/>
      </c>
      <c r="X572" s="212"/>
    </row>
    <row r="573" customFormat="false" ht="15" hidden="true" customHeight="true" outlineLevel="0" collapsed="false">
      <c r="B573" s="183" t="str">
        <f aca="false">IF($A573="","",IFERROR(VLOOKUP($A573,Skills!$A:$C,2,FALSE())&amp;" "&amp;VLOOKUP($A573,Skills!$A:$C,3,FALSE()),"Marsridge Holtgate"))</f>
        <v/>
      </c>
      <c r="C573" s="184" t="n">
        <f aca="false">IFERROR(VLOOKUP(A573,Skills!$A:$D,4,FALSE()),"")</f>
        <v>0</v>
      </c>
      <c r="D573" s="210"/>
      <c r="E573" s="211"/>
      <c r="G573" s="186" t="str">
        <f aca="false">IF(F573="","",WORKDAY(F573-1,E573+IF(I573="",0,I573)))</f>
        <v/>
      </c>
      <c r="I573" s="210"/>
      <c r="J573" s="212" t="str">
        <f aca="true">IF(F573="","",MIN(E573,MAX(0,NETWORKDAYS(F573,TODAY())-IF(I573="",0,I573))))</f>
        <v/>
      </c>
      <c r="K573" s="213" t="str">
        <f aca="true">IF(F573="","",MAX(0,E573-(NETWORKDAYS(F573,TODAY())-IF(I573="",0,I573))))</f>
        <v/>
      </c>
      <c r="L573" s="214"/>
      <c r="M573" s="214" t="str">
        <f aca="true">IFERROR(IF(OR(J573="",J573&lt;=0),"",IF(TODAY()&gt;G573,1,IF(J573-1=0,0,INDEX(OBJECTIVES!$Q$2:$Q$8,MATCH(J573-1,OBJECTIVES!$N$2:$N$8,0))))),"")</f>
        <v/>
      </c>
      <c r="N573" s="214" t="str">
        <f aca="false">IF(OR(M573="",L573=""),"",L573-M573)</f>
        <v/>
      </c>
      <c r="O573" s="212" t="str">
        <f aca="false">IF($P573&lt;&gt;"",$P573,IF(N573="","",IF(N573&lt;=-0.12,"P1",IF(N573&lt;=-0.06,"P2","P3"))))</f>
        <v/>
      </c>
      <c r="Q573" s="0" t="str">
        <f aca="true">IF(F573="","",IF(H573&lt;&gt;"","Terminé",IF(F573&gt;TODAY(),"À venir",IF(G573&lt;TODAY(),"Terminé","En cours"))))</f>
        <v/>
      </c>
      <c r="V573" s="0" t="str">
        <f aca="false">IF(Q573="Terminé",IF(AND(F573&lt;&gt;"",H573&lt;&gt;""),NETWORKDAYS(F573,H573),E573),"")</f>
        <v/>
      </c>
      <c r="W573" s="215" t="str">
        <f aca="false">IF($A573="","",IF(COUNTIF(Skills!$A:$A,$A573)=0,"⚠ ID absent du roster",""))</f>
        <v/>
      </c>
      <c r="X573" s="212"/>
    </row>
    <row r="574" customFormat="false" ht="15" hidden="true" customHeight="true" outlineLevel="0" collapsed="false">
      <c r="B574" s="183" t="str">
        <f aca="false">IF($A574="","",IFERROR(VLOOKUP($A574,Skills!$A:$C,2,FALSE())&amp;" "&amp;VLOOKUP($A574,Skills!$A:$C,3,FALSE()),"Marsridge Holtgate"))</f>
        <v/>
      </c>
      <c r="C574" s="184" t="n">
        <f aca="false">IFERROR(VLOOKUP(A574,Skills!$A:$D,4,FALSE()),"")</f>
        <v>0</v>
      </c>
      <c r="D574" s="210"/>
      <c r="E574" s="211"/>
      <c r="G574" s="186" t="str">
        <f aca="false">IF(F574="","",WORKDAY(F574-1,E574+IF(I574="",0,I574)))</f>
        <v/>
      </c>
      <c r="I574" s="210"/>
      <c r="J574" s="212" t="str">
        <f aca="true">IF(F574="","",MIN(E574,MAX(0,NETWORKDAYS(F574,TODAY())-IF(I574="",0,I574))))</f>
        <v/>
      </c>
      <c r="K574" s="213" t="str">
        <f aca="true">IF(F574="","",MAX(0,E574-(NETWORKDAYS(F574,TODAY())-IF(I574="",0,I574))))</f>
        <v/>
      </c>
      <c r="L574" s="214"/>
      <c r="M574" s="214" t="str">
        <f aca="true">IFERROR(IF(OR(J574="",J574&lt;=0),"",IF(TODAY()&gt;G574,1,IF(J574-1=0,0,INDEX(OBJECTIVES!$Q$2:$Q$8,MATCH(J574-1,OBJECTIVES!$N$2:$N$8,0))))),"")</f>
        <v/>
      </c>
      <c r="N574" s="214" t="str">
        <f aca="false">IF(OR(M574="",L574=""),"",L574-M574)</f>
        <v/>
      </c>
      <c r="O574" s="212" t="str">
        <f aca="false">IF($P574&lt;&gt;"",$P574,IF(N574="","",IF(N574&lt;=-0.12,"P1",IF(N574&lt;=-0.06,"P2","P3"))))</f>
        <v/>
      </c>
      <c r="Q574" s="0" t="str">
        <f aca="true">IF(F574="","",IF(H574&lt;&gt;"","Terminé",IF(F574&gt;TODAY(),"À venir",IF(G574&lt;TODAY(),"Terminé","En cours"))))</f>
        <v/>
      </c>
      <c r="V574" s="0" t="str">
        <f aca="false">IF(Q574="Terminé",IF(AND(F574&lt;&gt;"",H574&lt;&gt;""),NETWORKDAYS(F574,H574),E574),"")</f>
        <v/>
      </c>
      <c r="W574" s="215" t="str">
        <f aca="false">IF($A574="","",IF(COUNTIF(Skills!$A:$A,$A574)=0,"⚠ ID absent du roster",""))</f>
        <v/>
      </c>
      <c r="X574" s="212"/>
    </row>
    <row r="575" customFormat="false" ht="15" hidden="true" customHeight="true" outlineLevel="0" collapsed="false">
      <c r="B575" s="183" t="str">
        <f aca="false">IF($A575="","",IFERROR(VLOOKUP($A575,Skills!$A:$C,2,FALSE())&amp;" "&amp;VLOOKUP($A575,Skills!$A:$C,3,FALSE()),"Marsridge Holtgate"))</f>
        <v/>
      </c>
      <c r="C575" s="184" t="n">
        <f aca="false">IFERROR(VLOOKUP(A575,Skills!$A:$D,4,FALSE()),"")</f>
        <v>0</v>
      </c>
      <c r="D575" s="210"/>
      <c r="E575" s="211"/>
      <c r="G575" s="186" t="str">
        <f aca="false">IF(F575="","",WORKDAY(F575-1,E575+IF(I575="",0,I575)))</f>
        <v/>
      </c>
      <c r="I575" s="210"/>
      <c r="J575" s="212" t="str">
        <f aca="true">IF(F575="","",MIN(E575,MAX(0,NETWORKDAYS(F575,TODAY())-IF(I575="",0,I575))))</f>
        <v/>
      </c>
      <c r="K575" s="213" t="str">
        <f aca="true">IF(F575="","",MAX(0,E575-(NETWORKDAYS(F575,TODAY())-IF(I575="",0,I575))))</f>
        <v/>
      </c>
      <c r="L575" s="214"/>
      <c r="M575" s="214" t="str">
        <f aca="true">IFERROR(IF(OR(J575="",J575&lt;=0),"",IF(TODAY()&gt;G575,1,IF(J575-1=0,0,INDEX(OBJECTIVES!$Q$2:$Q$8,MATCH(J575-1,OBJECTIVES!$N$2:$N$8,0))))),"")</f>
        <v/>
      </c>
      <c r="N575" s="214" t="str">
        <f aca="false">IF(OR(M575="",L575=""),"",L575-M575)</f>
        <v/>
      </c>
      <c r="O575" s="212" t="str">
        <f aca="false">IF($P575&lt;&gt;"",$P575,IF(N575="","",IF(N575&lt;=-0.12,"P1",IF(N575&lt;=-0.06,"P2","P3"))))</f>
        <v/>
      </c>
      <c r="Q575" s="0" t="str">
        <f aca="true">IF(F575="","",IF(H575&lt;&gt;"","Terminé",IF(F575&gt;TODAY(),"À venir",IF(G575&lt;TODAY(),"Terminé","En cours"))))</f>
        <v/>
      </c>
      <c r="V575" s="0" t="str">
        <f aca="false">IF(Q575="Terminé",IF(AND(F575&lt;&gt;"",H575&lt;&gt;""),NETWORKDAYS(F575,H575),E575),"")</f>
        <v/>
      </c>
      <c r="W575" s="215" t="str">
        <f aca="false">IF($A575="","",IF(COUNTIF(Skills!$A:$A,$A575)=0,"⚠ ID absent du roster",""))</f>
        <v/>
      </c>
      <c r="X575" s="212"/>
    </row>
    <row r="576" customFormat="false" ht="15" hidden="true" customHeight="true" outlineLevel="0" collapsed="false">
      <c r="B576" s="183" t="str">
        <f aca="false">IF($A576="","",IFERROR(VLOOKUP($A576,Skills!$A:$C,2,FALSE())&amp;" "&amp;VLOOKUP($A576,Skills!$A:$C,3,FALSE()),"Marsridge Holtgate"))</f>
        <v/>
      </c>
      <c r="C576" s="184" t="n">
        <f aca="false">IFERROR(VLOOKUP(A576,Skills!$A:$D,4,FALSE()),"")</f>
        <v>0</v>
      </c>
      <c r="D576" s="210"/>
      <c r="E576" s="211"/>
      <c r="G576" s="186" t="str">
        <f aca="false">IF(F576="","",WORKDAY(F576-1,E576+IF(I576="",0,I576)))</f>
        <v/>
      </c>
      <c r="I576" s="210"/>
      <c r="J576" s="212" t="str">
        <f aca="true">IF(F576="","",MIN(E576,MAX(0,NETWORKDAYS(F576,TODAY())-IF(I576="",0,I576))))</f>
        <v/>
      </c>
      <c r="K576" s="213" t="str">
        <f aca="true">IF(F576="","",MAX(0,E576-(NETWORKDAYS(F576,TODAY())-IF(I576="",0,I576))))</f>
        <v/>
      </c>
      <c r="L576" s="214"/>
      <c r="M576" s="214" t="str">
        <f aca="true">IFERROR(IF(OR(J576="",J576&lt;=0),"",IF(TODAY()&gt;G576,1,IF(J576-1=0,0,INDEX(OBJECTIVES!$Q$2:$Q$8,MATCH(J576-1,OBJECTIVES!$N$2:$N$8,0))))),"")</f>
        <v/>
      </c>
      <c r="N576" s="214" t="str">
        <f aca="false">IF(OR(M576="",L576=""),"",L576-M576)</f>
        <v/>
      </c>
      <c r="O576" s="212" t="str">
        <f aca="false">IF($P576&lt;&gt;"",$P576,IF(N576="","",IF(N576&lt;=-0.12,"P1",IF(N576&lt;=-0.06,"P2","P3"))))</f>
        <v/>
      </c>
      <c r="Q576" s="0" t="str">
        <f aca="true">IF(F576="","",IF(H576&lt;&gt;"","Terminé",IF(F576&gt;TODAY(),"À venir",IF(G576&lt;TODAY(),"Terminé","En cours"))))</f>
        <v/>
      </c>
      <c r="V576" s="0" t="str">
        <f aca="false">IF(Q576="Terminé",IF(AND(F576&lt;&gt;"",H576&lt;&gt;""),NETWORKDAYS(F576,H576),E576),"")</f>
        <v/>
      </c>
      <c r="W576" s="215" t="str">
        <f aca="false">IF($A576="","",IF(COUNTIF(Skills!$A:$A,$A576)=0,"⚠ ID absent du roster",""))</f>
        <v/>
      </c>
      <c r="X576" s="212"/>
    </row>
    <row r="577" customFormat="false" ht="15" hidden="true" customHeight="true" outlineLevel="0" collapsed="false">
      <c r="B577" s="183" t="str">
        <f aca="false">IF($A577="","",IFERROR(VLOOKUP($A577,Skills!$A:$C,2,FALSE())&amp;" "&amp;VLOOKUP($A577,Skills!$A:$C,3,FALSE()),"Marsridge Holtgate"))</f>
        <v/>
      </c>
      <c r="C577" s="184" t="n">
        <f aca="false">IFERROR(VLOOKUP(A577,Skills!$A:$D,4,FALSE()),"")</f>
        <v>0</v>
      </c>
      <c r="D577" s="210"/>
      <c r="E577" s="211"/>
      <c r="G577" s="186" t="str">
        <f aca="false">IF(F577="","",WORKDAY(F577-1,E577+IF(I577="",0,I577)))</f>
        <v/>
      </c>
      <c r="I577" s="210"/>
      <c r="J577" s="212" t="str">
        <f aca="true">IF(F577="","",MIN(E577,MAX(0,NETWORKDAYS(F577,TODAY())-IF(I577="",0,I577))))</f>
        <v/>
      </c>
      <c r="K577" s="213" t="str">
        <f aca="true">IF(F577="","",MAX(0,E577-(NETWORKDAYS(F577,TODAY())-IF(I577="",0,I577))))</f>
        <v/>
      </c>
      <c r="L577" s="214"/>
      <c r="M577" s="214" t="str">
        <f aca="true">IFERROR(IF(OR(J577="",J577&lt;=0),"",IF(TODAY()&gt;G577,1,IF(J577-1=0,0,INDEX(OBJECTIVES!$Q$2:$Q$8,MATCH(J577-1,OBJECTIVES!$N$2:$N$8,0))))),"")</f>
        <v/>
      </c>
      <c r="N577" s="214" t="str">
        <f aca="false">IF(OR(M577="",L577=""),"",L577-M577)</f>
        <v/>
      </c>
      <c r="O577" s="212" t="str">
        <f aca="false">IF($P577&lt;&gt;"",$P577,IF(N577="","",IF(N577&lt;=-0.12,"P1",IF(N577&lt;=-0.06,"P2","P3"))))</f>
        <v/>
      </c>
      <c r="Q577" s="0" t="str">
        <f aca="true">IF(F577="","",IF(H577&lt;&gt;"","Terminé",IF(F577&gt;TODAY(),"À venir",IF(G577&lt;TODAY(),"Terminé","En cours"))))</f>
        <v/>
      </c>
      <c r="V577" s="0" t="str">
        <f aca="false">IF(Q577="Terminé",IF(AND(F577&lt;&gt;"",H577&lt;&gt;""),NETWORKDAYS(F577,H577),E577),"")</f>
        <v/>
      </c>
      <c r="W577" s="215" t="str">
        <f aca="false">IF($A577="","",IF(COUNTIF(Skills!$A:$A,$A577)=0,"⚠ ID absent du roster",""))</f>
        <v/>
      </c>
      <c r="X577" s="212"/>
    </row>
    <row r="578" customFormat="false" ht="15" hidden="true" customHeight="true" outlineLevel="0" collapsed="false">
      <c r="B578" s="183" t="str">
        <f aca="false">IF($A578="","",IFERROR(VLOOKUP($A578,Skills!$A:$C,2,FALSE())&amp;" "&amp;VLOOKUP($A578,Skills!$A:$C,3,FALSE()),"Marsridge Holtgate"))</f>
        <v/>
      </c>
      <c r="C578" s="184" t="n">
        <f aca="false">IFERROR(VLOOKUP(A578,Skills!$A:$D,4,FALSE()),"")</f>
        <v>0</v>
      </c>
      <c r="D578" s="210"/>
      <c r="E578" s="211"/>
      <c r="G578" s="186" t="str">
        <f aca="false">IF(F578="","",WORKDAY(F578-1,E578+IF(I578="",0,I578)))</f>
        <v/>
      </c>
      <c r="I578" s="210"/>
      <c r="J578" s="212" t="str">
        <f aca="true">IF(F578="","",MIN(E578,MAX(0,NETWORKDAYS(F578,TODAY())-IF(I578="",0,I578))))</f>
        <v/>
      </c>
      <c r="K578" s="213" t="str">
        <f aca="true">IF(F578="","",MAX(0,E578-(NETWORKDAYS(F578,TODAY())-IF(I578="",0,I578))))</f>
        <v/>
      </c>
      <c r="L578" s="214"/>
      <c r="M578" s="214" t="str">
        <f aca="true">IFERROR(IF(OR(J578="",J578&lt;=0),"",IF(TODAY()&gt;G578,1,IF(J578-1=0,0,INDEX(OBJECTIVES!$Q$2:$Q$8,MATCH(J578-1,OBJECTIVES!$N$2:$N$8,0))))),"")</f>
        <v/>
      </c>
      <c r="N578" s="214" t="str">
        <f aca="false">IF(OR(M578="",L578=""),"",L578-M578)</f>
        <v/>
      </c>
      <c r="O578" s="212" t="str">
        <f aca="false">IF($P578&lt;&gt;"",$P578,IF(N578="","",IF(N578&lt;=-0.12,"P1",IF(N578&lt;=-0.06,"P2","P3"))))</f>
        <v/>
      </c>
      <c r="Q578" s="0" t="str">
        <f aca="true">IF(F578="","",IF(H578&lt;&gt;"","Terminé",IF(F578&gt;TODAY(),"À venir",IF(G578&lt;TODAY(),"Terminé","En cours"))))</f>
        <v/>
      </c>
      <c r="V578" s="0" t="str">
        <f aca="false">IF(Q578="Terminé",IF(AND(F578&lt;&gt;"",H578&lt;&gt;""),NETWORKDAYS(F578,H578),E578),"")</f>
        <v/>
      </c>
      <c r="W578" s="215" t="str">
        <f aca="false">IF($A578="","",IF(COUNTIF(Skills!$A:$A,$A578)=0,"⚠ ID absent du roster",""))</f>
        <v/>
      </c>
      <c r="X578" s="212"/>
    </row>
    <row r="579" customFormat="false" ht="15" hidden="true" customHeight="true" outlineLevel="0" collapsed="false">
      <c r="B579" s="183" t="str">
        <f aca="false">IF($A579="","",IFERROR(VLOOKUP($A579,Skills!$A:$C,2,FALSE())&amp;" "&amp;VLOOKUP($A579,Skills!$A:$C,3,FALSE()),"Marsridge Holtgate"))</f>
        <v/>
      </c>
      <c r="C579" s="184" t="n">
        <f aca="false">IFERROR(VLOOKUP(A579,Skills!$A:$D,4,FALSE()),"")</f>
        <v>0</v>
      </c>
      <c r="D579" s="210"/>
      <c r="E579" s="211"/>
      <c r="G579" s="186" t="str">
        <f aca="false">IF(F579="","",WORKDAY(F579-1,E579+IF(I579="",0,I579)))</f>
        <v/>
      </c>
      <c r="I579" s="210"/>
      <c r="J579" s="212" t="str">
        <f aca="true">IF(F579="","",MIN(E579,MAX(0,NETWORKDAYS(F579,TODAY())-IF(I579="",0,I579))))</f>
        <v/>
      </c>
      <c r="K579" s="213" t="str">
        <f aca="true">IF(F579="","",MAX(0,E579-(NETWORKDAYS(F579,TODAY())-IF(I579="",0,I579))))</f>
        <v/>
      </c>
      <c r="L579" s="214"/>
      <c r="M579" s="214" t="str">
        <f aca="true">IFERROR(IF(OR(J579="",J579&lt;=0),"",IF(TODAY()&gt;G579,1,IF(J579-1=0,0,INDEX(OBJECTIVES!$Q$2:$Q$8,MATCH(J579-1,OBJECTIVES!$N$2:$N$8,0))))),"")</f>
        <v/>
      </c>
      <c r="N579" s="214" t="str">
        <f aca="false">IF(OR(M579="",L579=""),"",L579-M579)</f>
        <v/>
      </c>
      <c r="O579" s="212" t="str">
        <f aca="false">IF($P579&lt;&gt;"",$P579,IF(N579="","",IF(N579&lt;=-0.12,"P1",IF(N579&lt;=-0.06,"P2","P3"))))</f>
        <v/>
      </c>
      <c r="Q579" s="0" t="str">
        <f aca="true">IF(F579="","",IF(H579&lt;&gt;"","Terminé",IF(F579&gt;TODAY(),"À venir",IF(G579&lt;TODAY(),"Terminé","En cours"))))</f>
        <v/>
      </c>
      <c r="V579" s="0" t="str">
        <f aca="false">IF(Q579="Terminé",IF(AND(F579&lt;&gt;"",H579&lt;&gt;""),NETWORKDAYS(F579,H579),E579),"")</f>
        <v/>
      </c>
      <c r="W579" s="215" t="str">
        <f aca="false">IF($A579="","",IF(COUNTIF(Skills!$A:$A,$A579)=0,"⚠ ID absent du roster",""))</f>
        <v/>
      </c>
      <c r="X579" s="212"/>
    </row>
    <row r="580" customFormat="false" ht="15" hidden="true" customHeight="true" outlineLevel="0" collapsed="false">
      <c r="B580" s="183" t="str">
        <f aca="false">IF($A580="","",IFERROR(VLOOKUP($A580,Skills!$A:$C,2,FALSE())&amp;" "&amp;VLOOKUP($A580,Skills!$A:$C,3,FALSE()),"Marsridge Holtgate"))</f>
        <v/>
      </c>
      <c r="C580" s="184" t="n">
        <f aca="false">IFERROR(VLOOKUP(A580,Skills!$A:$D,4,FALSE()),"")</f>
        <v>0</v>
      </c>
      <c r="D580" s="210"/>
      <c r="E580" s="211"/>
      <c r="G580" s="186" t="str">
        <f aca="false">IF(F580="","",WORKDAY(F580-1,E580+IF(I580="",0,I580)))</f>
        <v/>
      </c>
      <c r="I580" s="210"/>
      <c r="J580" s="212" t="str">
        <f aca="true">IF(F580="","",MIN(E580,MAX(0,NETWORKDAYS(F580,TODAY())-IF(I580="",0,I580))))</f>
        <v/>
      </c>
      <c r="K580" s="213" t="str">
        <f aca="true">IF(F580="","",MAX(0,E580-(NETWORKDAYS(F580,TODAY())-IF(I580="",0,I580))))</f>
        <v/>
      </c>
      <c r="L580" s="214"/>
      <c r="M580" s="214" t="str">
        <f aca="true">IFERROR(IF(OR(J580="",J580&lt;=0),"",IF(TODAY()&gt;G580,1,IF(J580-1=0,0,INDEX(OBJECTIVES!$Q$2:$Q$8,MATCH(J580-1,OBJECTIVES!$N$2:$N$8,0))))),"")</f>
        <v/>
      </c>
      <c r="N580" s="214" t="str">
        <f aca="false">IF(OR(M580="",L580=""),"",L580-M580)</f>
        <v/>
      </c>
      <c r="O580" s="212" t="str">
        <f aca="false">IF($P580&lt;&gt;"",$P580,IF(N580="","",IF(N580&lt;=-0.12,"P1",IF(N580&lt;=-0.06,"P2","P3"))))</f>
        <v/>
      </c>
      <c r="Q580" s="0" t="str">
        <f aca="true">IF(F580="","",IF(H580&lt;&gt;"","Terminé",IF(F580&gt;TODAY(),"À venir",IF(G580&lt;TODAY(),"Terminé","En cours"))))</f>
        <v/>
      </c>
      <c r="V580" s="0" t="str">
        <f aca="false">IF(Q580="Terminé",IF(AND(F580&lt;&gt;"",H580&lt;&gt;""),NETWORKDAYS(F580,H580),E580),"")</f>
        <v/>
      </c>
      <c r="W580" s="215" t="str">
        <f aca="false">IF($A580="","",IF(COUNTIF(Skills!$A:$A,$A580)=0,"⚠ ID absent du roster",""))</f>
        <v/>
      </c>
      <c r="X580" s="212"/>
    </row>
    <row r="581" customFormat="false" ht="15" hidden="true" customHeight="true" outlineLevel="0" collapsed="false">
      <c r="B581" s="183" t="str">
        <f aca="false">IF($A581="","",IFERROR(VLOOKUP($A581,Skills!$A:$C,2,FALSE())&amp;" "&amp;VLOOKUP($A581,Skills!$A:$C,3,FALSE()),"Marsridge Holtgate"))</f>
        <v/>
      </c>
      <c r="C581" s="184" t="n">
        <f aca="false">IFERROR(VLOOKUP(A581,Skills!$A:$D,4,FALSE()),"")</f>
        <v>0</v>
      </c>
      <c r="D581" s="210"/>
      <c r="E581" s="211"/>
      <c r="G581" s="186" t="str">
        <f aca="false">IF(F581="","",WORKDAY(F581-1,E581+IF(I581="",0,I581)))</f>
        <v/>
      </c>
      <c r="I581" s="210"/>
      <c r="J581" s="212" t="str">
        <f aca="true">IF(F581="","",MIN(E581,MAX(0,NETWORKDAYS(F581,TODAY())-IF(I581="",0,I581))))</f>
        <v/>
      </c>
      <c r="K581" s="213" t="str">
        <f aca="true">IF(F581="","",MAX(0,E581-(NETWORKDAYS(F581,TODAY())-IF(I581="",0,I581))))</f>
        <v/>
      </c>
      <c r="L581" s="214"/>
      <c r="M581" s="214" t="str">
        <f aca="true">IFERROR(IF(OR(J581="",J581&lt;=0),"",IF(TODAY()&gt;G581,1,IF(J581-1=0,0,INDEX(OBJECTIVES!$Q$2:$Q$8,MATCH(J581-1,OBJECTIVES!$N$2:$N$8,0))))),"")</f>
        <v/>
      </c>
      <c r="N581" s="214" t="str">
        <f aca="false">IF(OR(M581="",L581=""),"",L581-M581)</f>
        <v/>
      </c>
      <c r="O581" s="212" t="str">
        <f aca="false">IF($P581&lt;&gt;"",$P581,IF(N581="","",IF(N581&lt;=-0.12,"P1",IF(N581&lt;=-0.06,"P2","P3"))))</f>
        <v/>
      </c>
      <c r="Q581" s="0" t="str">
        <f aca="true">IF(F581="","",IF(H581&lt;&gt;"","Terminé",IF(F581&gt;TODAY(),"À venir",IF(G581&lt;TODAY(),"Terminé","En cours"))))</f>
        <v/>
      </c>
      <c r="V581" s="0" t="str">
        <f aca="false">IF(Q581="Terminé",IF(AND(F581&lt;&gt;"",H581&lt;&gt;""),NETWORKDAYS(F581,H581),E581),"")</f>
        <v/>
      </c>
      <c r="W581" s="215" t="str">
        <f aca="false">IF($A581="","",IF(COUNTIF(Skills!$A:$A,$A581)=0,"⚠ ID absent du roster",""))</f>
        <v/>
      </c>
      <c r="X581" s="212"/>
    </row>
    <row r="582" customFormat="false" ht="15" hidden="true" customHeight="true" outlineLevel="0" collapsed="false">
      <c r="B582" s="183" t="str">
        <f aca="false">IF($A582="","",IFERROR(VLOOKUP($A582,Skills!$A:$C,2,FALSE())&amp;" "&amp;VLOOKUP($A582,Skills!$A:$C,3,FALSE()),"Marsridge Holtgate"))</f>
        <v/>
      </c>
      <c r="C582" s="184" t="n">
        <f aca="false">IFERROR(VLOOKUP(A582,Skills!$A:$D,4,FALSE()),"")</f>
        <v>0</v>
      </c>
      <c r="D582" s="210"/>
      <c r="E582" s="211"/>
      <c r="G582" s="186" t="str">
        <f aca="false">IF(F582="","",WORKDAY(F582-1,E582+IF(I582="",0,I582)))</f>
        <v/>
      </c>
      <c r="I582" s="210"/>
      <c r="J582" s="212" t="str">
        <f aca="true">IF(F582="","",MIN(E582,MAX(0,NETWORKDAYS(F582,TODAY())-IF(I582="",0,I582))))</f>
        <v/>
      </c>
      <c r="K582" s="213" t="str">
        <f aca="true">IF(F582="","",MAX(0,E582-(NETWORKDAYS(F582,TODAY())-IF(I582="",0,I582))))</f>
        <v/>
      </c>
      <c r="L582" s="214"/>
      <c r="M582" s="214" t="str">
        <f aca="true">IFERROR(IF(OR(J582="",J582&lt;=0),"",IF(TODAY()&gt;G582,1,IF(J582-1=0,0,INDEX(OBJECTIVES!$Q$2:$Q$8,MATCH(J582-1,OBJECTIVES!$N$2:$N$8,0))))),"")</f>
        <v/>
      </c>
      <c r="N582" s="214" t="str">
        <f aca="false">IF(OR(M582="",L582=""),"",L582-M582)</f>
        <v/>
      </c>
      <c r="O582" s="212" t="str">
        <f aca="false">IF($P582&lt;&gt;"",$P582,IF(N582="","",IF(N582&lt;=-0.12,"P1",IF(N582&lt;=-0.06,"P2","P3"))))</f>
        <v/>
      </c>
      <c r="Q582" s="0" t="str">
        <f aca="true">IF(F582="","",IF(H582&lt;&gt;"","Terminé",IF(F582&gt;TODAY(),"À venir",IF(G582&lt;TODAY(),"Terminé","En cours"))))</f>
        <v/>
      </c>
      <c r="V582" s="0" t="str">
        <f aca="false">IF(Q582="Terminé",IF(AND(F582&lt;&gt;"",H582&lt;&gt;""),NETWORKDAYS(F582,H582),E582),"")</f>
        <v/>
      </c>
      <c r="W582" s="215" t="str">
        <f aca="false">IF($A582="","",IF(COUNTIF(Skills!$A:$A,$A582)=0,"⚠ ID absent du roster",""))</f>
        <v/>
      </c>
      <c r="X582" s="212"/>
    </row>
    <row r="583" customFormat="false" ht="15" hidden="true" customHeight="true" outlineLevel="0" collapsed="false">
      <c r="B583" s="183" t="str">
        <f aca="false">IF($A583="","",IFERROR(VLOOKUP($A583,Skills!$A:$C,2,FALSE())&amp;" "&amp;VLOOKUP($A583,Skills!$A:$C,3,FALSE()),"Marsridge Holtgate"))</f>
        <v/>
      </c>
      <c r="C583" s="184" t="n">
        <f aca="false">IFERROR(VLOOKUP(A583,Skills!$A:$D,4,FALSE()),"")</f>
        <v>0</v>
      </c>
      <c r="D583" s="210"/>
      <c r="E583" s="211"/>
      <c r="G583" s="186" t="str">
        <f aca="false">IF(F583="","",WORKDAY(F583-1,E583+IF(I583="",0,I583)))</f>
        <v/>
      </c>
      <c r="I583" s="210"/>
      <c r="J583" s="212" t="str">
        <f aca="true">IF(F583="","",MIN(E583,MAX(0,NETWORKDAYS(F583,TODAY())-IF(I583="",0,I583))))</f>
        <v/>
      </c>
      <c r="K583" s="213" t="str">
        <f aca="true">IF(F583="","",MAX(0,E583-(NETWORKDAYS(F583,TODAY())-IF(I583="",0,I583))))</f>
        <v/>
      </c>
      <c r="L583" s="214"/>
      <c r="M583" s="214" t="str">
        <f aca="true">IFERROR(IF(OR(J583="",J583&lt;=0),"",IF(TODAY()&gt;G583,1,IF(J583-1=0,0,INDEX(OBJECTIVES!$Q$2:$Q$8,MATCH(J583-1,OBJECTIVES!$N$2:$N$8,0))))),"")</f>
        <v/>
      </c>
      <c r="N583" s="214" t="str">
        <f aca="false">IF(OR(M583="",L583=""),"",L583-M583)</f>
        <v/>
      </c>
      <c r="O583" s="212" t="str">
        <f aca="false">IF($P583&lt;&gt;"",$P583,IF(N583="","",IF(N583&lt;=-0.12,"P1",IF(N583&lt;=-0.06,"P2","P3"))))</f>
        <v/>
      </c>
      <c r="Q583" s="0" t="str">
        <f aca="true">IF(F583="","",IF(H583&lt;&gt;"","Terminé",IF(F583&gt;TODAY(),"À venir",IF(G583&lt;TODAY(),"Terminé","En cours"))))</f>
        <v/>
      </c>
      <c r="V583" s="0" t="str">
        <f aca="false">IF(Q583="Terminé",IF(AND(F583&lt;&gt;"",H583&lt;&gt;""),NETWORKDAYS(F583,H583),E583),"")</f>
        <v/>
      </c>
      <c r="W583" s="215" t="str">
        <f aca="false">IF($A583="","",IF(COUNTIF(Skills!$A:$A,$A583)=0,"⚠ ID absent du roster",""))</f>
        <v/>
      </c>
      <c r="X583" s="212"/>
    </row>
    <row r="584" customFormat="false" ht="15" hidden="true" customHeight="true" outlineLevel="0" collapsed="false">
      <c r="B584" s="183" t="str">
        <f aca="false">IF($A584="","",IFERROR(VLOOKUP($A584,Skills!$A:$C,2,FALSE())&amp;" "&amp;VLOOKUP($A584,Skills!$A:$C,3,FALSE()),"Marsridge Holtgate"))</f>
        <v/>
      </c>
      <c r="C584" s="184" t="n">
        <f aca="false">IFERROR(VLOOKUP(A584,Skills!$A:$D,4,FALSE()),"")</f>
        <v>0</v>
      </c>
      <c r="D584" s="210"/>
      <c r="E584" s="211"/>
      <c r="G584" s="186" t="str">
        <f aca="false">IF(F584="","",WORKDAY(F584-1,E584+IF(I584="",0,I584)))</f>
        <v/>
      </c>
      <c r="I584" s="210"/>
      <c r="J584" s="212" t="str">
        <f aca="true">IF(F584="","",MIN(E584,MAX(0,NETWORKDAYS(F584,TODAY())-IF(I584="",0,I584))))</f>
        <v/>
      </c>
      <c r="K584" s="213" t="str">
        <f aca="true">IF(F584="","",MAX(0,E584-(NETWORKDAYS(F584,TODAY())-IF(I584="",0,I584))))</f>
        <v/>
      </c>
      <c r="L584" s="214"/>
      <c r="M584" s="214" t="str">
        <f aca="true">IFERROR(IF(OR(J584="",J584&lt;=0),"",IF(TODAY()&gt;G584,1,IF(J584-1=0,0,INDEX(OBJECTIVES!$Q$2:$Q$8,MATCH(J584-1,OBJECTIVES!$N$2:$N$8,0))))),"")</f>
        <v/>
      </c>
      <c r="N584" s="214" t="str">
        <f aca="false">IF(OR(M584="",L584=""),"",L584-M584)</f>
        <v/>
      </c>
      <c r="O584" s="212" t="str">
        <f aca="false">IF($P584&lt;&gt;"",$P584,IF(N584="","",IF(N584&lt;=-0.12,"P1",IF(N584&lt;=-0.06,"P2","P3"))))</f>
        <v/>
      </c>
      <c r="Q584" s="0" t="str">
        <f aca="true">IF(F584="","",IF(H584&lt;&gt;"","Terminé",IF(F584&gt;TODAY(),"À venir",IF(G584&lt;TODAY(),"Terminé","En cours"))))</f>
        <v/>
      </c>
      <c r="V584" s="0" t="str">
        <f aca="false">IF(Q584="Terminé",IF(AND(F584&lt;&gt;"",H584&lt;&gt;""),NETWORKDAYS(F584,H584),E584),"")</f>
        <v/>
      </c>
      <c r="W584" s="215" t="str">
        <f aca="false">IF($A584="","",IF(COUNTIF(Skills!$A:$A,$A584)=0,"⚠ ID absent du roster",""))</f>
        <v/>
      </c>
      <c r="X584" s="212"/>
    </row>
    <row r="585" customFormat="false" ht="15" hidden="true" customHeight="true" outlineLevel="0" collapsed="false">
      <c r="B585" s="183" t="str">
        <f aca="false">IF($A585="","",IFERROR(VLOOKUP($A585,Skills!$A:$C,2,FALSE())&amp;" "&amp;VLOOKUP($A585,Skills!$A:$C,3,FALSE()),"Marsridge Holtgate"))</f>
        <v/>
      </c>
      <c r="C585" s="184" t="n">
        <f aca="false">IFERROR(VLOOKUP(A585,Skills!$A:$D,4,FALSE()),"")</f>
        <v>0</v>
      </c>
      <c r="D585" s="210"/>
      <c r="E585" s="211"/>
      <c r="G585" s="186" t="str">
        <f aca="false">IF(F585="","",WORKDAY(F585-1,E585+IF(I585="",0,I585)))</f>
        <v/>
      </c>
      <c r="I585" s="210"/>
      <c r="J585" s="212" t="str">
        <f aca="true">IF(F585="","",MIN(E585,MAX(0,NETWORKDAYS(F585,TODAY())-IF(I585="",0,I585))))</f>
        <v/>
      </c>
      <c r="K585" s="213" t="str">
        <f aca="true">IF(F585="","",MAX(0,E585-(NETWORKDAYS(F585,TODAY())-IF(I585="",0,I585))))</f>
        <v/>
      </c>
      <c r="L585" s="214"/>
      <c r="M585" s="214" t="str">
        <f aca="true">IFERROR(IF(OR(J585="",J585&lt;=0),"",IF(TODAY()&gt;G585,1,IF(J585-1=0,0,INDEX(OBJECTIVES!$Q$2:$Q$8,MATCH(J585-1,OBJECTIVES!$N$2:$N$8,0))))),"")</f>
        <v/>
      </c>
      <c r="N585" s="214" t="str">
        <f aca="false">IF(OR(M585="",L585=""),"",L585-M585)</f>
        <v/>
      </c>
      <c r="O585" s="212" t="str">
        <f aca="false">IF($P585&lt;&gt;"",$P585,IF(N585="","",IF(N585&lt;=-0.12,"P1",IF(N585&lt;=-0.06,"P2","P3"))))</f>
        <v/>
      </c>
      <c r="Q585" s="0" t="str">
        <f aca="true">IF(F585="","",IF(H585&lt;&gt;"","Terminé",IF(F585&gt;TODAY(),"À venir",IF(G585&lt;TODAY(),"Terminé","En cours"))))</f>
        <v/>
      </c>
      <c r="V585" s="0" t="str">
        <f aca="false">IF(Q585="Terminé",IF(AND(F585&lt;&gt;"",H585&lt;&gt;""),NETWORKDAYS(F585,H585),E585),"")</f>
        <v/>
      </c>
      <c r="W585" s="215" t="str">
        <f aca="false">IF($A585="","",IF(COUNTIF(Skills!$A:$A,$A585)=0,"⚠ ID absent du roster",""))</f>
        <v/>
      </c>
      <c r="X585" s="212"/>
    </row>
    <row r="586" customFormat="false" ht="15" hidden="true" customHeight="true" outlineLevel="0" collapsed="false">
      <c r="B586" s="183" t="str">
        <f aca="false">IF($A586="","",IFERROR(VLOOKUP($A586,Skills!$A:$C,2,FALSE())&amp;" "&amp;VLOOKUP($A586,Skills!$A:$C,3,FALSE()),"Marsridge Holtgate"))</f>
        <v/>
      </c>
      <c r="C586" s="184" t="n">
        <f aca="false">IFERROR(VLOOKUP(A586,Skills!$A:$D,4,FALSE()),"")</f>
        <v>0</v>
      </c>
      <c r="D586" s="210"/>
      <c r="E586" s="211"/>
      <c r="G586" s="186" t="str">
        <f aca="false">IF(F586="","",WORKDAY(F586-1,E586+IF(I586="",0,I586)))</f>
        <v/>
      </c>
      <c r="I586" s="210"/>
      <c r="J586" s="212" t="str">
        <f aca="true">IF(F586="","",MIN(E586,MAX(0,NETWORKDAYS(F586,TODAY())-IF(I586="",0,I586))))</f>
        <v/>
      </c>
      <c r="K586" s="213" t="str">
        <f aca="true">IF(F586="","",MAX(0,E586-(NETWORKDAYS(F586,TODAY())-IF(I586="",0,I586))))</f>
        <v/>
      </c>
      <c r="L586" s="214"/>
      <c r="M586" s="214" t="str">
        <f aca="true">IFERROR(IF(OR(J586="",J586&lt;=0),"",IF(TODAY()&gt;G586,1,IF(J586-1=0,0,INDEX(OBJECTIVES!$Q$2:$Q$8,MATCH(J586-1,OBJECTIVES!$N$2:$N$8,0))))),"")</f>
        <v/>
      </c>
      <c r="N586" s="214" t="str">
        <f aca="false">IF(OR(M586="",L586=""),"",L586-M586)</f>
        <v/>
      </c>
      <c r="O586" s="212" t="str">
        <f aca="false">IF($P586&lt;&gt;"",$P586,IF(N586="","",IF(N586&lt;=-0.12,"P1",IF(N586&lt;=-0.06,"P2","P3"))))</f>
        <v/>
      </c>
      <c r="Q586" s="0" t="str">
        <f aca="true">IF(F586="","",IF(H586&lt;&gt;"","Terminé",IF(F586&gt;TODAY(),"À venir",IF(G586&lt;TODAY(),"Terminé","En cours"))))</f>
        <v/>
      </c>
      <c r="V586" s="0" t="str">
        <f aca="false">IF(Q586="Terminé",IF(AND(F586&lt;&gt;"",H586&lt;&gt;""),NETWORKDAYS(F586,H586),E586),"")</f>
        <v/>
      </c>
      <c r="W586" s="215" t="str">
        <f aca="false">IF($A586="","",IF(COUNTIF(Skills!$A:$A,$A586)=0,"⚠ ID absent du roster",""))</f>
        <v/>
      </c>
      <c r="X586" s="212"/>
    </row>
    <row r="587" customFormat="false" ht="15" hidden="true" customHeight="true" outlineLevel="0" collapsed="false">
      <c r="B587" s="183" t="str">
        <f aca="false">IF($A587="","",IFERROR(VLOOKUP($A587,Skills!$A:$C,2,FALSE())&amp;" "&amp;VLOOKUP($A587,Skills!$A:$C,3,FALSE()),"Marsridge Holtgate"))</f>
        <v/>
      </c>
      <c r="C587" s="184" t="n">
        <f aca="false">IFERROR(VLOOKUP(A587,Skills!$A:$D,4,FALSE()),"")</f>
        <v>0</v>
      </c>
      <c r="D587" s="210"/>
      <c r="E587" s="211"/>
      <c r="G587" s="186" t="str">
        <f aca="false">IF(F587="","",WORKDAY(F587-1,E587+IF(I587="",0,I587)))</f>
        <v/>
      </c>
      <c r="I587" s="210"/>
      <c r="J587" s="212" t="str">
        <f aca="true">IF(F587="","",MIN(E587,MAX(0,NETWORKDAYS(F587,TODAY())-IF(I587="",0,I587))))</f>
        <v/>
      </c>
      <c r="K587" s="213" t="str">
        <f aca="true">IF(F587="","",MAX(0,E587-(NETWORKDAYS(F587,TODAY())-IF(I587="",0,I587))))</f>
        <v/>
      </c>
      <c r="L587" s="214"/>
      <c r="M587" s="214" t="str">
        <f aca="true">IFERROR(IF(OR(J587="",J587&lt;=0),"",IF(TODAY()&gt;G587,1,IF(J587-1=0,0,INDEX(OBJECTIVES!$Q$2:$Q$8,MATCH(J587-1,OBJECTIVES!$N$2:$N$8,0))))),"")</f>
        <v/>
      </c>
      <c r="N587" s="214" t="str">
        <f aca="false">IF(OR(M587="",L587=""),"",L587-M587)</f>
        <v/>
      </c>
      <c r="O587" s="212" t="str">
        <f aca="false">IF($P587&lt;&gt;"",$P587,IF(N587="","",IF(N587&lt;=-0.12,"P1",IF(N587&lt;=-0.06,"P2","P3"))))</f>
        <v/>
      </c>
      <c r="Q587" s="0" t="str">
        <f aca="true">IF(F587="","",IF(H587&lt;&gt;"","Terminé",IF(F587&gt;TODAY(),"À venir",IF(G587&lt;TODAY(),"Terminé","En cours"))))</f>
        <v/>
      </c>
      <c r="V587" s="0" t="str">
        <f aca="false">IF(Q587="Terminé",IF(AND(F587&lt;&gt;"",H587&lt;&gt;""),NETWORKDAYS(F587,H587),E587),"")</f>
        <v/>
      </c>
      <c r="W587" s="215" t="str">
        <f aca="false">IF($A587="","",IF(COUNTIF(Skills!$A:$A,$A587)=0,"⚠ ID absent du roster",""))</f>
        <v/>
      </c>
      <c r="X587" s="212"/>
    </row>
    <row r="588" customFormat="false" ht="15" hidden="true" customHeight="true" outlineLevel="0" collapsed="false">
      <c r="B588" s="183" t="str">
        <f aca="false">IF($A588="","",IFERROR(VLOOKUP($A588,Skills!$A:$C,2,FALSE())&amp;" "&amp;VLOOKUP($A588,Skills!$A:$C,3,FALSE()),"Marsridge Holtgate"))</f>
        <v/>
      </c>
      <c r="C588" s="184" t="n">
        <f aca="false">IFERROR(VLOOKUP(A588,Skills!$A:$D,4,FALSE()),"")</f>
        <v>0</v>
      </c>
      <c r="D588" s="210"/>
      <c r="E588" s="211"/>
      <c r="G588" s="186" t="str">
        <f aca="false">IF(F588="","",WORKDAY(F588-1,E588+IF(I588="",0,I588)))</f>
        <v/>
      </c>
      <c r="I588" s="210"/>
      <c r="J588" s="212" t="str">
        <f aca="true">IF(F588="","",MIN(E588,MAX(0,NETWORKDAYS(F588,TODAY())-IF(I588="",0,I588))))</f>
        <v/>
      </c>
      <c r="K588" s="213" t="str">
        <f aca="true">IF(F588="","",MAX(0,E588-(NETWORKDAYS(F588,TODAY())-IF(I588="",0,I588))))</f>
        <v/>
      </c>
      <c r="L588" s="214"/>
      <c r="M588" s="214" t="str">
        <f aca="true">IFERROR(IF(OR(J588="",J588&lt;=0),"",IF(TODAY()&gt;G588,1,IF(J588-1=0,0,INDEX(OBJECTIVES!$Q$2:$Q$8,MATCH(J588-1,OBJECTIVES!$N$2:$N$8,0))))),"")</f>
        <v/>
      </c>
      <c r="N588" s="214" t="str">
        <f aca="false">IF(OR(M588="",L588=""),"",L588-M588)</f>
        <v/>
      </c>
      <c r="O588" s="212" t="str">
        <f aca="false">IF($P588&lt;&gt;"",$P588,IF(N588="","",IF(N588&lt;=-0.12,"P1",IF(N588&lt;=-0.06,"P2","P3"))))</f>
        <v/>
      </c>
      <c r="Q588" s="0" t="str">
        <f aca="true">IF(F588="","",IF(H588&lt;&gt;"","Terminé",IF(F588&gt;TODAY(),"À venir",IF(G588&lt;TODAY(),"Terminé","En cours"))))</f>
        <v/>
      </c>
      <c r="V588" s="0" t="str">
        <f aca="false">IF(Q588="Terminé",IF(AND(F588&lt;&gt;"",H588&lt;&gt;""),NETWORKDAYS(F588,H588),E588),"")</f>
        <v/>
      </c>
      <c r="W588" s="215" t="str">
        <f aca="false">IF($A588="","",IF(COUNTIF(Skills!$A:$A,$A588)=0,"⚠ ID absent du roster",""))</f>
        <v/>
      </c>
      <c r="X588" s="212"/>
    </row>
    <row r="589" customFormat="false" ht="15" hidden="true" customHeight="true" outlineLevel="0" collapsed="false">
      <c r="B589" s="183" t="str">
        <f aca="false">IF($A589="","",IFERROR(VLOOKUP($A589,Skills!$A:$C,2,FALSE())&amp;" "&amp;VLOOKUP($A589,Skills!$A:$C,3,FALSE()),"Marsridge Holtgate"))</f>
        <v/>
      </c>
      <c r="C589" s="184" t="n">
        <f aca="false">IFERROR(VLOOKUP(A589,Skills!$A:$D,4,FALSE()),"")</f>
        <v>0</v>
      </c>
      <c r="D589" s="210"/>
      <c r="E589" s="211"/>
      <c r="G589" s="186" t="str">
        <f aca="false">IF(F589="","",WORKDAY(F589-1,E589+IF(I589="",0,I589)))</f>
        <v/>
      </c>
      <c r="I589" s="210"/>
      <c r="J589" s="212" t="str">
        <f aca="true">IF(F589="","",MIN(E589,MAX(0,NETWORKDAYS(F589,TODAY())-IF(I589="",0,I589))))</f>
        <v/>
      </c>
      <c r="K589" s="213" t="str">
        <f aca="true">IF(F589="","",MAX(0,E589-(NETWORKDAYS(F589,TODAY())-IF(I589="",0,I589))))</f>
        <v/>
      </c>
      <c r="L589" s="214"/>
      <c r="M589" s="214" t="str">
        <f aca="true">IFERROR(IF(OR(J589="",J589&lt;=0),"",IF(TODAY()&gt;G589,1,IF(J589-1=0,0,INDEX(OBJECTIVES!$Q$2:$Q$8,MATCH(J589-1,OBJECTIVES!$N$2:$N$8,0))))),"")</f>
        <v/>
      </c>
      <c r="N589" s="214" t="str">
        <f aca="false">IF(OR(M589="",L589=""),"",L589-M589)</f>
        <v/>
      </c>
      <c r="O589" s="212" t="str">
        <f aca="false">IF($P589&lt;&gt;"",$P589,IF(N589="","",IF(N589&lt;=-0.12,"P1",IF(N589&lt;=-0.06,"P2","P3"))))</f>
        <v/>
      </c>
      <c r="Q589" s="0" t="str">
        <f aca="true">IF(F589="","",IF(H589&lt;&gt;"","Terminé",IF(F589&gt;TODAY(),"À venir",IF(G589&lt;TODAY(),"Terminé","En cours"))))</f>
        <v/>
      </c>
      <c r="V589" s="0" t="str">
        <f aca="false">IF(Q589="Terminé",IF(AND(F589&lt;&gt;"",H589&lt;&gt;""),NETWORKDAYS(F589,H589),E589),"")</f>
        <v/>
      </c>
      <c r="W589" s="215" t="str">
        <f aca="false">IF($A589="","",IF(COUNTIF(Skills!$A:$A,$A589)=0,"⚠ ID absent du roster",""))</f>
        <v/>
      </c>
      <c r="X589" s="212"/>
    </row>
    <row r="590" customFormat="false" ht="15" hidden="true" customHeight="true" outlineLevel="0" collapsed="false">
      <c r="B590" s="183" t="str">
        <f aca="false">IF($A590="","",IFERROR(VLOOKUP($A590,Skills!$A:$C,2,FALSE())&amp;" "&amp;VLOOKUP($A590,Skills!$A:$C,3,FALSE()),"Marsridge Holtgate"))</f>
        <v/>
      </c>
      <c r="C590" s="184" t="n">
        <f aca="false">IFERROR(VLOOKUP(A590,Skills!$A:$D,4,FALSE()),"")</f>
        <v>0</v>
      </c>
      <c r="D590" s="210"/>
      <c r="E590" s="211"/>
      <c r="G590" s="186" t="str">
        <f aca="false">IF(F590="","",WORKDAY(F590-1,E590+IF(I590="",0,I590)))</f>
        <v/>
      </c>
      <c r="I590" s="210"/>
      <c r="J590" s="212" t="str">
        <f aca="true">IF(F590="","",MIN(E590,MAX(0,NETWORKDAYS(F590,TODAY())-IF(I590="",0,I590))))</f>
        <v/>
      </c>
      <c r="K590" s="213" t="str">
        <f aca="true">IF(F590="","",MAX(0,E590-(NETWORKDAYS(F590,TODAY())-IF(I590="",0,I590))))</f>
        <v/>
      </c>
      <c r="L590" s="214"/>
      <c r="M590" s="214" t="str">
        <f aca="true">IFERROR(IF(OR(J590="",J590&lt;=0),"",IF(TODAY()&gt;G590,1,IF(J590-1=0,0,INDEX(OBJECTIVES!$Q$2:$Q$8,MATCH(J590-1,OBJECTIVES!$N$2:$N$8,0))))),"")</f>
        <v/>
      </c>
      <c r="N590" s="214" t="str">
        <f aca="false">IF(OR(M590="",L590=""),"",L590-M590)</f>
        <v/>
      </c>
      <c r="O590" s="212" t="str">
        <f aca="false">IF($P590&lt;&gt;"",$P590,IF(N590="","",IF(N590&lt;=-0.12,"P1",IF(N590&lt;=-0.06,"P2","P3"))))</f>
        <v/>
      </c>
      <c r="Q590" s="0" t="str">
        <f aca="true">IF(F590="","",IF(H590&lt;&gt;"","Terminé",IF(F590&gt;TODAY(),"À venir",IF(G590&lt;TODAY(),"Terminé","En cours"))))</f>
        <v/>
      </c>
      <c r="V590" s="0" t="str">
        <f aca="false">IF(Q590="Terminé",IF(AND(F590&lt;&gt;"",H590&lt;&gt;""),NETWORKDAYS(F590,H590),E590),"")</f>
        <v/>
      </c>
      <c r="W590" s="215" t="str">
        <f aca="false">IF($A590="","",IF(COUNTIF(Skills!$A:$A,$A590)=0,"⚠ ID absent du roster",""))</f>
        <v/>
      </c>
      <c r="X590" s="212"/>
    </row>
    <row r="591" customFormat="false" ht="15" hidden="true" customHeight="true" outlineLevel="0" collapsed="false">
      <c r="B591" s="183" t="str">
        <f aca="false">IF($A591="","",IFERROR(VLOOKUP($A591,Skills!$A:$C,2,FALSE())&amp;" "&amp;VLOOKUP($A591,Skills!$A:$C,3,FALSE()),"Marsridge Holtgate"))</f>
        <v/>
      </c>
      <c r="C591" s="184" t="n">
        <f aca="false">IFERROR(VLOOKUP(A591,Skills!$A:$D,4,FALSE()),"")</f>
        <v>0</v>
      </c>
      <c r="D591" s="210"/>
      <c r="E591" s="211"/>
      <c r="G591" s="186" t="str">
        <f aca="false">IF(F591="","",WORKDAY(F591-1,E591+IF(I591="",0,I591)))</f>
        <v/>
      </c>
      <c r="I591" s="210"/>
      <c r="J591" s="212" t="str">
        <f aca="true">IF(F591="","",MIN(E591,MAX(0,NETWORKDAYS(F591,TODAY())-IF(I591="",0,I591))))</f>
        <v/>
      </c>
      <c r="K591" s="213" t="str">
        <f aca="true">IF(F591="","",MAX(0,E591-(NETWORKDAYS(F591,TODAY())-IF(I591="",0,I591))))</f>
        <v/>
      </c>
      <c r="L591" s="214"/>
      <c r="M591" s="214" t="str">
        <f aca="true">IFERROR(IF(OR(J591="",J591&lt;=0),"",IF(TODAY()&gt;G591,1,IF(J591-1=0,0,INDEX(OBJECTIVES!$Q$2:$Q$8,MATCH(J591-1,OBJECTIVES!$N$2:$N$8,0))))),"")</f>
        <v/>
      </c>
      <c r="N591" s="214" t="str">
        <f aca="false">IF(OR(M591="",L591=""),"",L591-M591)</f>
        <v/>
      </c>
      <c r="O591" s="212" t="str">
        <f aca="false">IF($P591&lt;&gt;"",$P591,IF(N591="","",IF(N591&lt;=-0.12,"P1",IF(N591&lt;=-0.06,"P2","P3"))))</f>
        <v/>
      </c>
      <c r="Q591" s="0" t="str">
        <f aca="true">IF(F591="","",IF(H591&lt;&gt;"","Terminé",IF(F591&gt;TODAY(),"À venir",IF(G591&lt;TODAY(),"Terminé","En cours"))))</f>
        <v/>
      </c>
      <c r="V591" s="0" t="str">
        <f aca="false">IF(Q591="Terminé",IF(AND(F591&lt;&gt;"",H591&lt;&gt;""),NETWORKDAYS(F591,H591),E591),"")</f>
        <v/>
      </c>
      <c r="W591" s="215" t="str">
        <f aca="false">IF($A591="","",IF(COUNTIF(Skills!$A:$A,$A591)=0,"⚠ ID absent du roster",""))</f>
        <v/>
      </c>
      <c r="X591" s="212"/>
    </row>
    <row r="592" customFormat="false" ht="15" hidden="true" customHeight="true" outlineLevel="0" collapsed="false">
      <c r="B592" s="183" t="str">
        <f aca="false">IF($A592="","",IFERROR(VLOOKUP($A592,Skills!$A:$C,2,FALSE())&amp;" "&amp;VLOOKUP($A592,Skills!$A:$C,3,FALSE()),"Marsridge Holtgate"))</f>
        <v/>
      </c>
      <c r="C592" s="184" t="n">
        <f aca="false">IFERROR(VLOOKUP(A592,Skills!$A:$D,4,FALSE()),"")</f>
        <v>0</v>
      </c>
      <c r="D592" s="210"/>
      <c r="E592" s="211"/>
      <c r="G592" s="186" t="str">
        <f aca="false">IF(F592="","",WORKDAY(F592-1,E592+IF(I592="",0,I592)))</f>
        <v/>
      </c>
      <c r="I592" s="210"/>
      <c r="J592" s="212" t="str">
        <f aca="true">IF(F592="","",MIN(E592,MAX(0,NETWORKDAYS(F592,TODAY())-IF(I592="",0,I592))))</f>
        <v/>
      </c>
      <c r="K592" s="213" t="str">
        <f aca="true">IF(F592="","",MAX(0,E592-(NETWORKDAYS(F592,TODAY())-IF(I592="",0,I592))))</f>
        <v/>
      </c>
      <c r="L592" s="214"/>
      <c r="M592" s="214" t="str">
        <f aca="true">IFERROR(IF(OR(J592="",J592&lt;=0),"",IF(TODAY()&gt;G592,1,IF(J592-1=0,0,INDEX(OBJECTIVES!$Q$2:$Q$8,MATCH(J592-1,OBJECTIVES!$N$2:$N$8,0))))),"")</f>
        <v/>
      </c>
      <c r="N592" s="214" t="str">
        <f aca="false">IF(OR(M592="",L592=""),"",L592-M592)</f>
        <v/>
      </c>
      <c r="O592" s="212" t="str">
        <f aca="false">IF($P592&lt;&gt;"",$P592,IF(N592="","",IF(N592&lt;=-0.12,"P1",IF(N592&lt;=-0.06,"P2","P3"))))</f>
        <v/>
      </c>
      <c r="Q592" s="0" t="str">
        <f aca="true">IF(F592="","",IF(H592&lt;&gt;"","Terminé",IF(F592&gt;TODAY(),"À venir",IF(G592&lt;TODAY(),"Terminé","En cours"))))</f>
        <v/>
      </c>
      <c r="V592" s="0" t="str">
        <f aca="false">IF(Q592="Terminé",IF(AND(F592&lt;&gt;"",H592&lt;&gt;""),NETWORKDAYS(F592,H592),E592),"")</f>
        <v/>
      </c>
      <c r="W592" s="215" t="str">
        <f aca="false">IF($A592="","",IF(COUNTIF(Skills!$A:$A,$A592)=0,"⚠ ID absent du roster",""))</f>
        <v/>
      </c>
      <c r="X592" s="212"/>
    </row>
    <row r="593" customFormat="false" ht="15" hidden="true" customHeight="true" outlineLevel="0" collapsed="false">
      <c r="B593" s="183" t="str">
        <f aca="false">IF($A593="","",IFERROR(VLOOKUP($A593,Skills!$A:$C,2,FALSE())&amp;" "&amp;VLOOKUP($A593,Skills!$A:$C,3,FALSE()),"Marsridge Holtgate"))</f>
        <v/>
      </c>
      <c r="C593" s="184" t="n">
        <f aca="false">IFERROR(VLOOKUP(A593,Skills!$A:$D,4,FALSE()),"")</f>
        <v>0</v>
      </c>
      <c r="D593" s="210"/>
      <c r="E593" s="211"/>
      <c r="G593" s="186" t="str">
        <f aca="false">IF(F593="","",WORKDAY(F593-1,E593+IF(I593="",0,I593)))</f>
        <v/>
      </c>
      <c r="I593" s="210"/>
      <c r="J593" s="212" t="str">
        <f aca="true">IF(F593="","",MIN(E593,MAX(0,NETWORKDAYS(F593,TODAY())-IF(I593="",0,I593))))</f>
        <v/>
      </c>
      <c r="K593" s="213" t="str">
        <f aca="true">IF(F593="","",MAX(0,E593-(NETWORKDAYS(F593,TODAY())-IF(I593="",0,I593))))</f>
        <v/>
      </c>
      <c r="L593" s="214"/>
      <c r="M593" s="214" t="str">
        <f aca="true">IFERROR(IF(OR(J593="",J593&lt;=0),"",IF(TODAY()&gt;G593,1,IF(J593-1=0,0,INDEX(OBJECTIVES!$Q$2:$Q$8,MATCH(J593-1,OBJECTIVES!$N$2:$N$8,0))))),"")</f>
        <v/>
      </c>
      <c r="N593" s="214" t="str">
        <f aca="false">IF(OR(M593="",L593=""),"",L593-M593)</f>
        <v/>
      </c>
      <c r="O593" s="212" t="str">
        <f aca="false">IF($P593&lt;&gt;"",$P593,IF(N593="","",IF(N593&lt;=-0.12,"P1",IF(N593&lt;=-0.06,"P2","P3"))))</f>
        <v/>
      </c>
      <c r="Q593" s="0" t="str">
        <f aca="true">IF(F593="","",IF(H593&lt;&gt;"","Terminé",IF(F593&gt;TODAY(),"À venir",IF(G593&lt;TODAY(),"Terminé","En cours"))))</f>
        <v/>
      </c>
      <c r="V593" s="0" t="str">
        <f aca="false">IF(Q593="Terminé",IF(AND(F593&lt;&gt;"",H593&lt;&gt;""),NETWORKDAYS(F593,H593),E593),"")</f>
        <v/>
      </c>
      <c r="W593" s="215" t="str">
        <f aca="false">IF($A593="","",IF(COUNTIF(Skills!$A:$A,$A593)=0,"⚠ ID absent du roster",""))</f>
        <v/>
      </c>
      <c r="X593" s="212"/>
    </row>
    <row r="594" customFormat="false" ht="15" hidden="true" customHeight="true" outlineLevel="0" collapsed="false">
      <c r="B594" s="183" t="str">
        <f aca="false">IF($A594="","",IFERROR(VLOOKUP($A594,Skills!$A:$C,2,FALSE())&amp;" "&amp;VLOOKUP($A594,Skills!$A:$C,3,FALSE()),"Marsridge Holtgate"))</f>
        <v/>
      </c>
      <c r="C594" s="184" t="n">
        <f aca="false">IFERROR(VLOOKUP(A594,Skills!$A:$D,4,FALSE()),"")</f>
        <v>0</v>
      </c>
      <c r="D594" s="210"/>
      <c r="E594" s="211"/>
      <c r="G594" s="186" t="str">
        <f aca="false">IF(F594="","",WORKDAY(F594-1,E594+IF(I594="",0,I594)))</f>
        <v/>
      </c>
      <c r="I594" s="210"/>
      <c r="J594" s="212" t="str">
        <f aca="true">IF(F594="","",MIN(E594,MAX(0,NETWORKDAYS(F594,TODAY())-IF(I594="",0,I594))))</f>
        <v/>
      </c>
      <c r="K594" s="213" t="str">
        <f aca="true">IF(F594="","",MAX(0,E594-(NETWORKDAYS(F594,TODAY())-IF(I594="",0,I594))))</f>
        <v/>
      </c>
      <c r="L594" s="214"/>
      <c r="M594" s="214" t="str">
        <f aca="true">IFERROR(IF(OR(J594="",J594&lt;=0),"",IF(TODAY()&gt;G594,1,IF(J594-1=0,0,INDEX(OBJECTIVES!$Q$2:$Q$8,MATCH(J594-1,OBJECTIVES!$N$2:$N$8,0))))),"")</f>
        <v/>
      </c>
      <c r="N594" s="214" t="str">
        <f aca="false">IF(OR(M594="",L594=""),"",L594-M594)</f>
        <v/>
      </c>
      <c r="O594" s="212" t="str">
        <f aca="false">IF($P594&lt;&gt;"",$P594,IF(N594="","",IF(N594&lt;=-0.12,"P1",IF(N594&lt;=-0.06,"P2","P3"))))</f>
        <v/>
      </c>
      <c r="Q594" s="0" t="str">
        <f aca="true">IF(F594="","",IF(H594&lt;&gt;"","Terminé",IF(F594&gt;TODAY(),"À venir",IF(G594&lt;TODAY(),"Terminé","En cours"))))</f>
        <v/>
      </c>
      <c r="V594" s="0" t="str">
        <f aca="false">IF(Q594="Terminé",IF(AND(F594&lt;&gt;"",H594&lt;&gt;""),NETWORKDAYS(F594,H594),E594),"")</f>
        <v/>
      </c>
      <c r="W594" s="215" t="str">
        <f aca="false">IF($A594="","",IF(COUNTIF(Skills!$A:$A,$A594)=0,"⚠ ID absent du roster",""))</f>
        <v/>
      </c>
      <c r="X594" s="212"/>
    </row>
    <row r="595" customFormat="false" ht="15" hidden="true" customHeight="true" outlineLevel="0" collapsed="false">
      <c r="B595" s="183" t="str">
        <f aca="false">IF($A595="","",IFERROR(VLOOKUP($A595,Skills!$A:$C,2,FALSE())&amp;" "&amp;VLOOKUP($A595,Skills!$A:$C,3,FALSE()),"Marsridge Holtgate"))</f>
        <v/>
      </c>
      <c r="C595" s="184" t="n">
        <f aca="false">IFERROR(VLOOKUP(A595,Skills!$A:$D,4,FALSE()),"")</f>
        <v>0</v>
      </c>
      <c r="D595" s="210"/>
      <c r="E595" s="211"/>
      <c r="G595" s="186" t="str">
        <f aca="false">IF(F595="","",WORKDAY(F595-1,E595+IF(I595="",0,I595)))</f>
        <v/>
      </c>
      <c r="I595" s="210"/>
      <c r="J595" s="212" t="str">
        <f aca="true">IF(F595="","",MIN(E595,MAX(0,NETWORKDAYS(F595,TODAY())-IF(I595="",0,I595))))</f>
        <v/>
      </c>
      <c r="K595" s="213" t="str">
        <f aca="true">IF(F595="","",MAX(0,E595-(NETWORKDAYS(F595,TODAY())-IF(I595="",0,I595))))</f>
        <v/>
      </c>
      <c r="L595" s="214"/>
      <c r="M595" s="214" t="str">
        <f aca="true">IFERROR(IF(OR(J595="",J595&lt;=0),"",IF(TODAY()&gt;G595,1,IF(J595-1=0,0,INDEX(OBJECTIVES!$Q$2:$Q$8,MATCH(J595-1,OBJECTIVES!$N$2:$N$8,0))))),"")</f>
        <v/>
      </c>
      <c r="N595" s="214" t="str">
        <f aca="false">IF(OR(M595="",L595=""),"",L595-M595)</f>
        <v/>
      </c>
      <c r="O595" s="212" t="str">
        <f aca="false">IF($P595&lt;&gt;"",$P595,IF(N595="","",IF(N595&lt;=-0.12,"P1",IF(N595&lt;=-0.06,"P2","P3"))))</f>
        <v/>
      </c>
      <c r="Q595" s="0" t="str">
        <f aca="true">IF(F595="","",IF(H595&lt;&gt;"","Terminé",IF(F595&gt;TODAY(),"À venir",IF(G595&lt;TODAY(),"Terminé","En cours"))))</f>
        <v/>
      </c>
      <c r="V595" s="0" t="str">
        <f aca="false">IF(Q595="Terminé",IF(AND(F595&lt;&gt;"",H595&lt;&gt;""),NETWORKDAYS(F595,H595),E595),"")</f>
        <v/>
      </c>
      <c r="W595" s="215" t="str">
        <f aca="false">IF($A595="","",IF(COUNTIF(Skills!$A:$A,$A595)=0,"⚠ ID absent du roster",""))</f>
        <v/>
      </c>
      <c r="X595" s="212"/>
    </row>
    <row r="596" customFormat="false" ht="15" hidden="true" customHeight="true" outlineLevel="0" collapsed="false">
      <c r="B596" s="183" t="str">
        <f aca="false">IF($A596="","",IFERROR(VLOOKUP($A596,Skills!$A:$C,2,FALSE())&amp;" "&amp;VLOOKUP($A596,Skills!$A:$C,3,FALSE()),"Marsridge Holtgate"))</f>
        <v/>
      </c>
      <c r="C596" s="184" t="n">
        <f aca="false">IFERROR(VLOOKUP(A596,Skills!$A:$D,4,FALSE()),"")</f>
        <v>0</v>
      </c>
      <c r="D596" s="210"/>
      <c r="E596" s="211"/>
      <c r="G596" s="186" t="str">
        <f aca="false">IF(F596="","",WORKDAY(F596-1,E596+IF(I596="",0,I596)))</f>
        <v/>
      </c>
      <c r="I596" s="210"/>
      <c r="J596" s="212" t="str">
        <f aca="true">IF(F596="","",MIN(E596,MAX(0,NETWORKDAYS(F596,TODAY())-IF(I596="",0,I596))))</f>
        <v/>
      </c>
      <c r="K596" s="213" t="str">
        <f aca="true">IF(F596="","",MAX(0,E596-(NETWORKDAYS(F596,TODAY())-IF(I596="",0,I596))))</f>
        <v/>
      </c>
      <c r="L596" s="214"/>
      <c r="M596" s="214" t="str">
        <f aca="true">IFERROR(IF(OR(J596="",J596&lt;=0),"",IF(TODAY()&gt;G596,1,IF(J596-1=0,0,INDEX(OBJECTIVES!$Q$2:$Q$8,MATCH(J596-1,OBJECTIVES!$N$2:$N$8,0))))),"")</f>
        <v/>
      </c>
      <c r="N596" s="214" t="str">
        <f aca="false">IF(OR(M596="",L596=""),"",L596-M596)</f>
        <v/>
      </c>
      <c r="O596" s="212" t="str">
        <f aca="false">IF($P596&lt;&gt;"",$P596,IF(N596="","",IF(N596&lt;=-0.12,"P1",IF(N596&lt;=-0.06,"P2","P3"))))</f>
        <v/>
      </c>
      <c r="Q596" s="0" t="str">
        <f aca="true">IF(F596="","",IF(H596&lt;&gt;"","Terminé",IF(F596&gt;TODAY(),"À venir",IF(G596&lt;TODAY(),"Terminé","En cours"))))</f>
        <v/>
      </c>
      <c r="V596" s="0" t="str">
        <f aca="false">IF(Q596="Terminé",IF(AND(F596&lt;&gt;"",H596&lt;&gt;""),NETWORKDAYS(F596,H596),E596),"")</f>
        <v/>
      </c>
      <c r="W596" s="215" t="str">
        <f aca="false">IF($A596="","",IF(COUNTIF(Skills!$A:$A,$A596)=0,"⚠ ID absent du roster",""))</f>
        <v/>
      </c>
      <c r="X596" s="212"/>
    </row>
    <row r="597" customFormat="false" ht="15" hidden="true" customHeight="true" outlineLevel="0" collapsed="false">
      <c r="B597" s="183" t="str">
        <f aca="false">IF($A597="","",IFERROR(VLOOKUP($A597,Skills!$A:$C,2,FALSE())&amp;" "&amp;VLOOKUP($A597,Skills!$A:$C,3,FALSE()),"Marsridge Holtgate"))</f>
        <v/>
      </c>
      <c r="C597" s="184" t="n">
        <f aca="false">IFERROR(VLOOKUP(A597,Skills!$A:$D,4,FALSE()),"")</f>
        <v>0</v>
      </c>
      <c r="D597" s="210"/>
      <c r="E597" s="211"/>
      <c r="G597" s="186" t="str">
        <f aca="false">IF(F597="","",WORKDAY(F597-1,E597+IF(I597="",0,I597)))</f>
        <v/>
      </c>
      <c r="I597" s="210"/>
      <c r="J597" s="212" t="str">
        <f aca="true">IF(F597="","",MIN(E597,MAX(0,NETWORKDAYS(F597,TODAY())-IF(I597="",0,I597))))</f>
        <v/>
      </c>
      <c r="K597" s="213" t="str">
        <f aca="true">IF(F597="","",MAX(0,E597-(NETWORKDAYS(F597,TODAY())-IF(I597="",0,I597))))</f>
        <v/>
      </c>
      <c r="L597" s="214"/>
      <c r="M597" s="214" t="str">
        <f aca="true">IFERROR(IF(OR(J597="",J597&lt;=0),"",IF(TODAY()&gt;G597,1,IF(J597-1=0,0,INDEX(OBJECTIVES!$Q$2:$Q$8,MATCH(J597-1,OBJECTIVES!$N$2:$N$8,0))))),"")</f>
        <v/>
      </c>
      <c r="N597" s="214" t="str">
        <f aca="false">IF(OR(M597="",L597=""),"",L597-M597)</f>
        <v/>
      </c>
      <c r="O597" s="212" t="str">
        <f aca="false">IF($P597&lt;&gt;"",$P597,IF(N597="","",IF(N597&lt;=-0.12,"P1",IF(N597&lt;=-0.06,"P2","P3"))))</f>
        <v/>
      </c>
      <c r="Q597" s="0" t="str">
        <f aca="true">IF(F597="","",IF(H597&lt;&gt;"","Terminé",IF(F597&gt;TODAY(),"À venir",IF(G597&lt;TODAY(),"Terminé","En cours"))))</f>
        <v/>
      </c>
      <c r="V597" s="0" t="str">
        <f aca="false">IF(Q597="Terminé",IF(AND(F597&lt;&gt;"",H597&lt;&gt;""),NETWORKDAYS(F597,H597),E597),"")</f>
        <v/>
      </c>
      <c r="W597" s="215" t="str">
        <f aca="false">IF($A597="","",IF(COUNTIF(Skills!$A:$A,$A597)=0,"⚠ ID absent du roster",""))</f>
        <v/>
      </c>
      <c r="X597" s="212"/>
    </row>
    <row r="598" customFormat="false" ht="15" hidden="true" customHeight="true" outlineLevel="0" collapsed="false">
      <c r="B598" s="183" t="str">
        <f aca="false">IF($A598="","",IFERROR(VLOOKUP($A598,Skills!$A:$C,2,FALSE())&amp;" "&amp;VLOOKUP($A598,Skills!$A:$C,3,FALSE()),"Marsridge Holtgate"))</f>
        <v/>
      </c>
      <c r="C598" s="184" t="n">
        <f aca="false">IFERROR(VLOOKUP(A598,Skills!$A:$D,4,FALSE()),"")</f>
        <v>0</v>
      </c>
      <c r="D598" s="210"/>
      <c r="E598" s="211"/>
      <c r="G598" s="186" t="str">
        <f aca="false">IF(F598="","",WORKDAY(F598-1,E598+IF(I598="",0,I598)))</f>
        <v/>
      </c>
      <c r="I598" s="210"/>
      <c r="J598" s="212" t="str">
        <f aca="true">IF(F598="","",MIN(E598,MAX(0,NETWORKDAYS(F598,TODAY())-IF(I598="",0,I598))))</f>
        <v/>
      </c>
      <c r="K598" s="213" t="str">
        <f aca="true">IF(F598="","",MAX(0,E598-(NETWORKDAYS(F598,TODAY())-IF(I598="",0,I598))))</f>
        <v/>
      </c>
      <c r="L598" s="214"/>
      <c r="M598" s="214" t="str">
        <f aca="true">IFERROR(IF(OR(J598="",J598&lt;=0),"",IF(TODAY()&gt;G598,1,IF(J598-1=0,0,INDEX(OBJECTIVES!$Q$2:$Q$8,MATCH(J598-1,OBJECTIVES!$N$2:$N$8,0))))),"")</f>
        <v/>
      </c>
      <c r="N598" s="214" t="str">
        <f aca="false">IF(OR(M598="",L598=""),"",L598-M598)</f>
        <v/>
      </c>
      <c r="O598" s="212" t="str">
        <f aca="false">IF($P598&lt;&gt;"",$P598,IF(N598="","",IF(N598&lt;=-0.12,"P1",IF(N598&lt;=-0.06,"P2","P3"))))</f>
        <v/>
      </c>
      <c r="Q598" s="0" t="str">
        <f aca="true">IF(F598="","",IF(H598&lt;&gt;"","Terminé",IF(F598&gt;TODAY(),"À venir",IF(G598&lt;TODAY(),"Terminé","En cours"))))</f>
        <v/>
      </c>
      <c r="V598" s="0" t="str">
        <f aca="false">IF(Q598="Terminé",IF(AND(F598&lt;&gt;"",H598&lt;&gt;""),NETWORKDAYS(F598,H598),E598),"")</f>
        <v/>
      </c>
      <c r="W598" s="215" t="str">
        <f aca="false">IF($A598="","",IF(COUNTIF(Skills!$A:$A,$A598)=0,"⚠ ID absent du roster",""))</f>
        <v/>
      </c>
      <c r="X598" s="212"/>
    </row>
    <row r="599" customFormat="false" ht="15" hidden="true" customHeight="true" outlineLevel="0" collapsed="false">
      <c r="B599" s="183" t="str">
        <f aca="false">IF($A599="","",IFERROR(VLOOKUP($A599,Skills!$A:$C,2,FALSE())&amp;" "&amp;VLOOKUP($A599,Skills!$A:$C,3,FALSE()),"Marsridge Holtgate"))</f>
        <v/>
      </c>
      <c r="C599" s="184" t="n">
        <f aca="false">IFERROR(VLOOKUP(A599,Skills!$A:$D,4,FALSE()),"")</f>
        <v>0</v>
      </c>
      <c r="D599" s="210"/>
      <c r="E599" s="211"/>
      <c r="G599" s="186" t="str">
        <f aca="false">IF(F599="","",WORKDAY(F599-1,E599+IF(I599="",0,I599)))</f>
        <v/>
      </c>
      <c r="I599" s="210"/>
      <c r="J599" s="212" t="str">
        <f aca="true">IF(F599="","",MIN(E599,MAX(0,NETWORKDAYS(F599,TODAY())-IF(I599="",0,I599))))</f>
        <v/>
      </c>
      <c r="K599" s="213" t="str">
        <f aca="true">IF(F599="","",MAX(0,E599-(NETWORKDAYS(F599,TODAY())-IF(I599="",0,I599))))</f>
        <v/>
      </c>
      <c r="L599" s="214"/>
      <c r="M599" s="214" t="str">
        <f aca="true">IFERROR(IF(OR(J599="",J599&lt;=0),"",IF(TODAY()&gt;G599,1,IF(J599-1=0,0,INDEX(OBJECTIVES!$Q$2:$Q$8,MATCH(J599-1,OBJECTIVES!$N$2:$N$8,0))))),"")</f>
        <v/>
      </c>
      <c r="N599" s="214" t="str">
        <f aca="false">IF(OR(M599="",L599=""),"",L599-M599)</f>
        <v/>
      </c>
      <c r="O599" s="212" t="str">
        <f aca="false">IF($P599&lt;&gt;"",$P599,IF(N599="","",IF(N599&lt;=-0.12,"P1",IF(N599&lt;=-0.06,"P2","P3"))))</f>
        <v/>
      </c>
      <c r="Q599" s="0" t="str">
        <f aca="true">IF(F599="","",IF(H599&lt;&gt;"","Terminé",IF(F599&gt;TODAY(),"À venir",IF(G599&lt;TODAY(),"Terminé","En cours"))))</f>
        <v/>
      </c>
      <c r="V599" s="0" t="str">
        <f aca="false">IF(Q599="Terminé",IF(AND(F599&lt;&gt;"",H599&lt;&gt;""),NETWORKDAYS(F599,H599),E599),"")</f>
        <v/>
      </c>
      <c r="W599" s="215" t="str">
        <f aca="false">IF($A599="","",IF(COUNTIF(Skills!$A:$A,$A599)=0,"⚠ ID absent du roster",""))</f>
        <v/>
      </c>
      <c r="X599" s="212"/>
    </row>
    <row r="600" customFormat="false" ht="15" hidden="true" customHeight="true" outlineLevel="0" collapsed="false">
      <c r="B600" s="183" t="str">
        <f aca="false">IF($A600="","",IFERROR(VLOOKUP($A600,Skills!$A:$C,2,FALSE())&amp;" "&amp;VLOOKUP($A600,Skills!$A:$C,3,FALSE()),"Marsridge Holtgate"))</f>
        <v/>
      </c>
      <c r="C600" s="184" t="n">
        <f aca="false">IFERROR(VLOOKUP(A600,Skills!$A:$D,4,FALSE()),"")</f>
        <v>0</v>
      </c>
      <c r="D600" s="210"/>
      <c r="E600" s="211"/>
      <c r="G600" s="186" t="str">
        <f aca="false">IF(F600="","",WORKDAY(F600-1,E600+IF(I600="",0,I600)))</f>
        <v/>
      </c>
      <c r="I600" s="210"/>
      <c r="J600" s="212" t="str">
        <f aca="true">IF(F600="","",MIN(E600,MAX(0,NETWORKDAYS(F600,TODAY())-IF(I600="",0,I600))))</f>
        <v/>
      </c>
      <c r="K600" s="213" t="str">
        <f aca="true">IF(F600="","",MAX(0,E600-(NETWORKDAYS(F600,TODAY())-IF(I600="",0,I600))))</f>
        <v/>
      </c>
      <c r="L600" s="214"/>
      <c r="M600" s="214" t="str">
        <f aca="true">IFERROR(IF(OR(J600="",J600&lt;=0),"",IF(TODAY()&gt;G600,1,IF(J600-1=0,0,INDEX(OBJECTIVES!$Q$2:$Q$8,MATCH(J600-1,OBJECTIVES!$N$2:$N$8,0))))),"")</f>
        <v/>
      </c>
      <c r="N600" s="214" t="str">
        <f aca="false">IF(OR(M600="",L600=""),"",L600-M600)</f>
        <v/>
      </c>
      <c r="O600" s="212" t="str">
        <f aca="false">IF($P600&lt;&gt;"",$P600,IF(N600="","",IF(N600&lt;=-0.12,"P1",IF(N600&lt;=-0.06,"P2","P3"))))</f>
        <v/>
      </c>
      <c r="Q600" s="0" t="str">
        <f aca="true">IF(F600="","",IF(H600&lt;&gt;"","Terminé",IF(F600&gt;TODAY(),"À venir",IF(G600&lt;TODAY(),"Terminé","En cours"))))</f>
        <v/>
      </c>
      <c r="V600" s="0" t="str">
        <f aca="false">IF(Q600="Terminé",IF(AND(F600&lt;&gt;"",H600&lt;&gt;""),NETWORKDAYS(F600,H600),E600),"")</f>
        <v/>
      </c>
      <c r="W600" s="215" t="str">
        <f aca="false">IF($A600="","",IF(COUNTIF(Skills!$A:$A,$A600)=0,"⚠ ID absent du roster",""))</f>
        <v/>
      </c>
      <c r="X600" s="212"/>
    </row>
    <row r="601" customFormat="false" ht="15" hidden="true" customHeight="true" outlineLevel="0" collapsed="false">
      <c r="B601" s="183" t="str">
        <f aca="false">IF($A601="","",IFERROR(VLOOKUP($A601,Skills!$A:$C,2,FALSE())&amp;" "&amp;VLOOKUP($A601,Skills!$A:$C,3,FALSE()),"Marsridge Holtgate"))</f>
        <v/>
      </c>
      <c r="C601" s="184" t="n">
        <f aca="false">IFERROR(VLOOKUP(A601,Skills!$A:$D,4,FALSE()),"")</f>
        <v>0</v>
      </c>
      <c r="D601" s="210"/>
      <c r="E601" s="211"/>
      <c r="G601" s="186" t="str">
        <f aca="false">IF(F601="","",WORKDAY(F601-1,E601+IF(I601="",0,I601)))</f>
        <v/>
      </c>
      <c r="I601" s="210"/>
      <c r="J601" s="212" t="str">
        <f aca="true">IF(F601="","",MIN(E601,MAX(0,NETWORKDAYS(F601,TODAY())-IF(I601="",0,I601))))</f>
        <v/>
      </c>
      <c r="K601" s="213" t="str">
        <f aca="true">IF(F601="","",MAX(0,E601-(NETWORKDAYS(F601,TODAY())-IF(I601="",0,I601))))</f>
        <v/>
      </c>
      <c r="L601" s="214"/>
      <c r="M601" s="214" t="str">
        <f aca="true">IFERROR(IF(OR(J601="",J601&lt;=0),"",IF(TODAY()&gt;G601,1,IF(J601-1=0,0,INDEX(OBJECTIVES!$Q$2:$Q$8,MATCH(J601-1,OBJECTIVES!$N$2:$N$8,0))))),"")</f>
        <v/>
      </c>
      <c r="N601" s="214" t="str">
        <f aca="false">IF(OR(M601="",L601=""),"",L601-M601)</f>
        <v/>
      </c>
      <c r="O601" s="212" t="str">
        <f aca="false">IF($P601&lt;&gt;"",$P601,IF(N601="","",IF(N601&lt;=-0.12,"P1",IF(N601&lt;=-0.06,"P2","P3"))))</f>
        <v/>
      </c>
      <c r="Q601" s="0" t="str">
        <f aca="true">IF(F601="","",IF(H601&lt;&gt;"","Terminé",IF(F601&gt;TODAY(),"À venir",IF(G601&lt;TODAY(),"Terminé","En cours"))))</f>
        <v/>
      </c>
      <c r="V601" s="0" t="str">
        <f aca="false">IF(Q601="Terminé",IF(AND(F601&lt;&gt;"",H601&lt;&gt;""),NETWORKDAYS(F601,H601),E601),"")</f>
        <v/>
      </c>
      <c r="W601" s="215" t="str">
        <f aca="false">IF($A601="","",IF(COUNTIF(Skills!$A:$A,$A601)=0,"⚠ ID absent du roster",""))</f>
        <v/>
      </c>
      <c r="X601" s="212"/>
    </row>
    <row r="602" customFormat="false" ht="15" hidden="true" customHeight="true" outlineLevel="0" collapsed="false">
      <c r="B602" s="183" t="str">
        <f aca="false">IF($A602="","",IFERROR(VLOOKUP($A602,Skills!$A:$C,2,FALSE())&amp;" "&amp;VLOOKUP($A602,Skills!$A:$C,3,FALSE()),"Marsridge Holtgate"))</f>
        <v/>
      </c>
      <c r="C602" s="184" t="n">
        <f aca="false">IFERROR(VLOOKUP(A602,Skills!$A:$D,4,FALSE()),"")</f>
        <v>0</v>
      </c>
      <c r="D602" s="210"/>
      <c r="E602" s="211"/>
      <c r="G602" s="186" t="str">
        <f aca="false">IF(F602="","",WORKDAY(F602-1,E602+IF(I602="",0,I602)))</f>
        <v/>
      </c>
      <c r="I602" s="210"/>
      <c r="J602" s="212" t="str">
        <f aca="true">IF(F602="","",MIN(E602,MAX(0,NETWORKDAYS(F602,TODAY())-IF(I602="",0,I602))))</f>
        <v/>
      </c>
      <c r="K602" s="213" t="str">
        <f aca="true">IF(F602="","",MAX(0,E602-(NETWORKDAYS(F602,TODAY())-IF(I602="",0,I602))))</f>
        <v/>
      </c>
      <c r="L602" s="214"/>
      <c r="M602" s="214" t="str">
        <f aca="true">IFERROR(IF(OR(J602="",J602&lt;=0),"",IF(TODAY()&gt;G602,1,IF(J602-1=0,0,INDEX(OBJECTIVES!$Q$2:$Q$8,MATCH(J602-1,OBJECTIVES!$N$2:$N$8,0))))),"")</f>
        <v/>
      </c>
      <c r="N602" s="214" t="str">
        <f aca="false">IF(OR(M602="",L602=""),"",L602-M602)</f>
        <v/>
      </c>
      <c r="O602" s="212" t="str">
        <f aca="false">IF($P602&lt;&gt;"",$P602,IF(N602="","",IF(N602&lt;=-0.12,"P1",IF(N602&lt;=-0.06,"P2","P3"))))</f>
        <v/>
      </c>
      <c r="Q602" s="0" t="str">
        <f aca="true">IF(F602="","",IF(H602&lt;&gt;"","Terminé",IF(F602&gt;TODAY(),"À venir",IF(G602&lt;TODAY(),"Terminé","En cours"))))</f>
        <v/>
      </c>
      <c r="V602" s="0" t="str">
        <f aca="false">IF(Q602="Terminé",IF(AND(F602&lt;&gt;"",H602&lt;&gt;""),NETWORKDAYS(F602,H602),E602),"")</f>
        <v/>
      </c>
      <c r="W602" s="215" t="str">
        <f aca="false">IF($A602="","",IF(COUNTIF(Skills!$A:$A,$A602)=0,"⚠ ID absent du roster",""))</f>
        <v/>
      </c>
      <c r="X602" s="212"/>
    </row>
    <row r="603" customFormat="false" ht="15" hidden="true" customHeight="true" outlineLevel="0" collapsed="false">
      <c r="B603" s="183" t="str">
        <f aca="false">IF($A603="","",IFERROR(VLOOKUP($A603,Skills!$A:$C,2,FALSE())&amp;" "&amp;VLOOKUP($A603,Skills!$A:$C,3,FALSE()),"Marsridge Holtgate"))</f>
        <v/>
      </c>
      <c r="C603" s="184" t="n">
        <f aca="false">IFERROR(VLOOKUP(A603,Skills!$A:$D,4,FALSE()),"")</f>
        <v>0</v>
      </c>
      <c r="D603" s="210"/>
      <c r="E603" s="211"/>
      <c r="G603" s="186" t="str">
        <f aca="false">IF(F603="","",WORKDAY(F603-1,E603+IF(I603="",0,I603)))</f>
        <v/>
      </c>
      <c r="I603" s="210"/>
      <c r="J603" s="212" t="str">
        <f aca="true">IF(F603="","",MIN(E603,MAX(0,NETWORKDAYS(F603,TODAY())-IF(I603="",0,I603))))</f>
        <v/>
      </c>
      <c r="K603" s="213" t="str">
        <f aca="true">IF(F603="","",MAX(0,E603-(NETWORKDAYS(F603,TODAY())-IF(I603="",0,I603))))</f>
        <v/>
      </c>
      <c r="L603" s="214"/>
      <c r="M603" s="214" t="str">
        <f aca="true">IFERROR(IF(OR(J603="",J603&lt;=0),"",IF(TODAY()&gt;G603,1,IF(J603-1=0,0,INDEX(OBJECTIVES!$Q$2:$Q$8,MATCH(J603-1,OBJECTIVES!$N$2:$N$8,0))))),"")</f>
        <v/>
      </c>
      <c r="N603" s="214" t="str">
        <f aca="false">IF(OR(M603="",L603=""),"",L603-M603)</f>
        <v/>
      </c>
      <c r="O603" s="212" t="str">
        <f aca="false">IF($P603&lt;&gt;"",$P603,IF(N603="","",IF(N603&lt;=-0.12,"P1",IF(N603&lt;=-0.06,"P2","P3"))))</f>
        <v/>
      </c>
      <c r="Q603" s="0" t="str">
        <f aca="true">IF(F603="","",IF(H603&lt;&gt;"","Terminé",IF(F603&gt;TODAY(),"À venir",IF(G603&lt;TODAY(),"Terminé","En cours"))))</f>
        <v/>
      </c>
      <c r="V603" s="0" t="str">
        <f aca="false">IF(Q603="Terminé",IF(AND(F603&lt;&gt;"",H603&lt;&gt;""),NETWORKDAYS(F603,H603),E603),"")</f>
        <v/>
      </c>
      <c r="W603" s="215" t="str">
        <f aca="false">IF($A603="","",IF(COUNTIF(Skills!$A:$A,$A603)=0,"⚠ ID absent du roster",""))</f>
        <v/>
      </c>
      <c r="X603" s="212"/>
    </row>
    <row r="604" customFormat="false" ht="15" hidden="true" customHeight="true" outlineLevel="0" collapsed="false">
      <c r="B604" s="183" t="str">
        <f aca="false">IF($A604="","",IFERROR(VLOOKUP($A604,Skills!$A:$C,2,FALSE())&amp;" "&amp;VLOOKUP($A604,Skills!$A:$C,3,FALSE()),"Marsridge Holtgate"))</f>
        <v/>
      </c>
      <c r="C604" s="184" t="n">
        <f aca="false">IFERROR(VLOOKUP(A604,Skills!$A:$D,4,FALSE()),"")</f>
        <v>0</v>
      </c>
      <c r="D604" s="210"/>
      <c r="E604" s="211"/>
      <c r="G604" s="186" t="str">
        <f aca="false">IF(F604="","",WORKDAY(F604-1,E604+IF(I604="",0,I604)))</f>
        <v/>
      </c>
      <c r="I604" s="210"/>
      <c r="J604" s="212" t="str">
        <f aca="true">IF(F604="","",MIN(E604,MAX(0,NETWORKDAYS(F604,TODAY())-IF(I604="",0,I604))))</f>
        <v/>
      </c>
      <c r="K604" s="213" t="str">
        <f aca="true">IF(F604="","",MAX(0,E604-(NETWORKDAYS(F604,TODAY())-IF(I604="",0,I604))))</f>
        <v/>
      </c>
      <c r="L604" s="214"/>
      <c r="M604" s="214" t="str">
        <f aca="true">IFERROR(IF(OR(J604="",J604&lt;=0),"",IF(TODAY()&gt;G604,1,IF(J604-1=0,0,INDEX(OBJECTIVES!$Q$2:$Q$8,MATCH(J604-1,OBJECTIVES!$N$2:$N$8,0))))),"")</f>
        <v/>
      </c>
      <c r="N604" s="214" t="str">
        <f aca="false">IF(OR(M604="",L604=""),"",L604-M604)</f>
        <v/>
      </c>
      <c r="O604" s="212" t="str">
        <f aca="false">IF($P604&lt;&gt;"",$P604,IF(N604="","",IF(N604&lt;=-0.12,"P1",IF(N604&lt;=-0.06,"P2","P3"))))</f>
        <v/>
      </c>
      <c r="Q604" s="0" t="str">
        <f aca="true">IF(F604="","",IF(H604&lt;&gt;"","Terminé",IF(F604&gt;TODAY(),"À venir",IF(G604&lt;TODAY(),"Terminé","En cours"))))</f>
        <v/>
      </c>
      <c r="V604" s="0" t="str">
        <f aca="false">IF(Q604="Terminé",IF(AND(F604&lt;&gt;"",H604&lt;&gt;""),NETWORKDAYS(F604,H604),E604),"")</f>
        <v/>
      </c>
      <c r="W604" s="215" t="str">
        <f aca="false">IF($A604="","",IF(COUNTIF(Skills!$A:$A,$A604)=0,"⚠ ID absent du roster",""))</f>
        <v/>
      </c>
      <c r="X604" s="212"/>
    </row>
    <row r="605" customFormat="false" ht="15" hidden="true" customHeight="true" outlineLevel="0" collapsed="false">
      <c r="B605" s="183" t="str">
        <f aca="false">IF($A605="","",IFERROR(VLOOKUP($A605,Skills!$A:$C,2,FALSE())&amp;" "&amp;VLOOKUP($A605,Skills!$A:$C,3,FALSE()),"Marsridge Holtgate"))</f>
        <v/>
      </c>
      <c r="C605" s="184" t="n">
        <f aca="false">IFERROR(VLOOKUP(A605,Skills!$A:$D,4,FALSE()),"")</f>
        <v>0</v>
      </c>
      <c r="D605" s="210"/>
      <c r="E605" s="211"/>
      <c r="G605" s="186" t="str">
        <f aca="false">IF(F605="","",WORKDAY(F605-1,E605+IF(I605="",0,I605)))</f>
        <v/>
      </c>
      <c r="I605" s="210"/>
      <c r="J605" s="212" t="str">
        <f aca="true">IF(F605="","",MIN(E605,MAX(0,NETWORKDAYS(F605,TODAY())-IF(I605="",0,I605))))</f>
        <v/>
      </c>
      <c r="K605" s="213" t="str">
        <f aca="true">IF(F605="","",MAX(0,E605-(NETWORKDAYS(F605,TODAY())-IF(I605="",0,I605))))</f>
        <v/>
      </c>
      <c r="L605" s="214"/>
      <c r="M605" s="214" t="str">
        <f aca="true">IFERROR(IF(OR(J605="",J605&lt;=0),"",IF(TODAY()&gt;G605,1,IF(J605-1=0,0,INDEX(OBJECTIVES!$Q$2:$Q$8,MATCH(J605-1,OBJECTIVES!$N$2:$N$8,0))))),"")</f>
        <v/>
      </c>
      <c r="N605" s="214" t="str">
        <f aca="false">IF(OR(M605="",L605=""),"",L605-M605)</f>
        <v/>
      </c>
      <c r="O605" s="212" t="str">
        <f aca="false">IF($P605&lt;&gt;"",$P605,IF(N605="","",IF(N605&lt;=-0.12,"P1",IF(N605&lt;=-0.06,"P2","P3"))))</f>
        <v/>
      </c>
      <c r="Q605" s="0" t="str">
        <f aca="true">IF(F605="","",IF(H605&lt;&gt;"","Terminé",IF(F605&gt;TODAY(),"À venir",IF(G605&lt;TODAY(),"Terminé","En cours"))))</f>
        <v/>
      </c>
      <c r="V605" s="0" t="str">
        <f aca="false">IF(Q605="Terminé",IF(AND(F605&lt;&gt;"",H605&lt;&gt;""),NETWORKDAYS(F605,H605),E605),"")</f>
        <v/>
      </c>
      <c r="W605" s="215" t="str">
        <f aca="false">IF($A605="","",IF(COUNTIF(Skills!$A:$A,$A605)=0,"⚠ ID absent du roster",""))</f>
        <v/>
      </c>
      <c r="X605" s="212"/>
    </row>
    <row r="606" customFormat="false" ht="15" hidden="true" customHeight="true" outlineLevel="0" collapsed="false">
      <c r="B606" s="183" t="str">
        <f aca="false">IF($A606="","",IFERROR(VLOOKUP($A606,Skills!$A:$C,2,FALSE())&amp;" "&amp;VLOOKUP($A606,Skills!$A:$C,3,FALSE()),"Marsridge Holtgate"))</f>
        <v/>
      </c>
      <c r="C606" s="184" t="n">
        <f aca="false">IFERROR(VLOOKUP(A606,Skills!$A:$D,4,FALSE()),"")</f>
        <v>0</v>
      </c>
      <c r="D606" s="210"/>
      <c r="E606" s="211"/>
      <c r="G606" s="186" t="str">
        <f aca="false">IF(F606="","",WORKDAY(F606-1,E606+IF(I606="",0,I606)))</f>
        <v/>
      </c>
      <c r="I606" s="210"/>
      <c r="J606" s="212" t="str">
        <f aca="true">IF(F606="","",MIN(E606,MAX(0,NETWORKDAYS(F606,TODAY())-IF(I606="",0,I606))))</f>
        <v/>
      </c>
      <c r="K606" s="213" t="str">
        <f aca="true">IF(F606="","",MAX(0,E606-(NETWORKDAYS(F606,TODAY())-IF(I606="",0,I606))))</f>
        <v/>
      </c>
      <c r="L606" s="214"/>
      <c r="M606" s="214" t="str">
        <f aca="true">IFERROR(IF(OR(J606="",J606&lt;=0),"",IF(TODAY()&gt;G606,1,IF(J606-1=0,0,INDEX(OBJECTIVES!$Q$2:$Q$8,MATCH(J606-1,OBJECTIVES!$N$2:$N$8,0))))),"")</f>
        <v/>
      </c>
      <c r="N606" s="214" t="str">
        <f aca="false">IF(OR(M606="",L606=""),"",L606-M606)</f>
        <v/>
      </c>
      <c r="O606" s="212" t="str">
        <f aca="false">IF($P606&lt;&gt;"",$P606,IF(N606="","",IF(N606&lt;=-0.12,"P1",IF(N606&lt;=-0.06,"P2","P3"))))</f>
        <v/>
      </c>
      <c r="Q606" s="0" t="str">
        <f aca="true">IF(F606="","",IF(H606&lt;&gt;"","Terminé",IF(F606&gt;TODAY(),"À venir",IF(G606&lt;TODAY(),"Terminé","En cours"))))</f>
        <v/>
      </c>
      <c r="V606" s="0" t="str">
        <f aca="false">IF(Q606="Terminé",IF(AND(F606&lt;&gt;"",H606&lt;&gt;""),NETWORKDAYS(F606,H606),E606),"")</f>
        <v/>
      </c>
      <c r="W606" s="215" t="str">
        <f aca="false">IF($A606="","",IF(COUNTIF(Skills!$A:$A,$A606)=0,"⚠ ID absent du roster",""))</f>
        <v/>
      </c>
      <c r="X606" s="212"/>
    </row>
    <row r="607" customFormat="false" ht="15" hidden="true" customHeight="true" outlineLevel="0" collapsed="false">
      <c r="B607" s="183" t="str">
        <f aca="false">IF($A607="","",IFERROR(VLOOKUP($A607,Skills!$A:$C,2,FALSE())&amp;" "&amp;VLOOKUP($A607,Skills!$A:$C,3,FALSE()),"Marsridge Holtgate"))</f>
        <v/>
      </c>
      <c r="C607" s="184" t="n">
        <f aca="false">IFERROR(VLOOKUP(A607,Skills!$A:$D,4,FALSE()),"")</f>
        <v>0</v>
      </c>
      <c r="D607" s="210"/>
      <c r="E607" s="211"/>
      <c r="G607" s="186" t="str">
        <f aca="false">IF(F607="","",WORKDAY(F607-1,E607+IF(I607="",0,I607)))</f>
        <v/>
      </c>
      <c r="I607" s="210"/>
      <c r="J607" s="212" t="str">
        <f aca="true">IF(F607="","",MIN(E607,MAX(0,NETWORKDAYS(F607,TODAY())-IF(I607="",0,I607))))</f>
        <v/>
      </c>
      <c r="K607" s="213" t="str">
        <f aca="true">IF(F607="","",MAX(0,E607-(NETWORKDAYS(F607,TODAY())-IF(I607="",0,I607))))</f>
        <v/>
      </c>
      <c r="L607" s="214"/>
      <c r="M607" s="214" t="str">
        <f aca="true">IFERROR(IF(OR(J607="",J607&lt;=0),"",IF(TODAY()&gt;G607,1,IF(J607-1=0,0,INDEX(OBJECTIVES!$Q$2:$Q$8,MATCH(J607-1,OBJECTIVES!$N$2:$N$8,0))))),"")</f>
        <v/>
      </c>
      <c r="N607" s="214" t="str">
        <f aca="false">IF(OR(M607="",L607=""),"",L607-M607)</f>
        <v/>
      </c>
      <c r="O607" s="212" t="str">
        <f aca="false">IF($P607&lt;&gt;"",$P607,IF(N607="","",IF(N607&lt;=-0.12,"P1",IF(N607&lt;=-0.06,"P2","P3"))))</f>
        <v/>
      </c>
      <c r="Q607" s="0" t="str">
        <f aca="true">IF(F607="","",IF(H607&lt;&gt;"","Terminé",IF(F607&gt;TODAY(),"À venir",IF(G607&lt;TODAY(),"Terminé","En cours"))))</f>
        <v/>
      </c>
      <c r="V607" s="0" t="str">
        <f aca="false">IF(Q607="Terminé",IF(AND(F607&lt;&gt;"",H607&lt;&gt;""),NETWORKDAYS(F607,H607),E607),"")</f>
        <v/>
      </c>
      <c r="W607" s="215" t="str">
        <f aca="false">IF($A607="","",IF(COUNTIF(Skills!$A:$A,$A607)=0,"⚠ ID absent du roster",""))</f>
        <v/>
      </c>
      <c r="X607" s="212"/>
    </row>
    <row r="608" customFormat="false" ht="15" hidden="true" customHeight="true" outlineLevel="0" collapsed="false">
      <c r="B608" s="183" t="str">
        <f aca="false">IF($A608="","",IFERROR(VLOOKUP($A608,Skills!$A:$C,2,FALSE())&amp;" "&amp;VLOOKUP($A608,Skills!$A:$C,3,FALSE()),"Marsridge Holtgate"))</f>
        <v/>
      </c>
      <c r="C608" s="184" t="n">
        <f aca="false">IFERROR(VLOOKUP(A608,Skills!$A:$D,4,FALSE()),"")</f>
        <v>0</v>
      </c>
      <c r="D608" s="210"/>
      <c r="E608" s="211"/>
      <c r="G608" s="186" t="str">
        <f aca="false">IF(F608="","",WORKDAY(F608-1,E608+IF(I608="",0,I608)))</f>
        <v/>
      </c>
      <c r="I608" s="210"/>
      <c r="J608" s="212" t="str">
        <f aca="true">IF(F608="","",MIN(E608,MAX(0,NETWORKDAYS(F608,TODAY())-IF(I608="",0,I608))))</f>
        <v/>
      </c>
      <c r="K608" s="213" t="str">
        <f aca="true">IF(F608="","",MAX(0,E608-(NETWORKDAYS(F608,TODAY())-IF(I608="",0,I608))))</f>
        <v/>
      </c>
      <c r="L608" s="214"/>
      <c r="M608" s="214" t="str">
        <f aca="true">IFERROR(IF(OR(J608="",J608&lt;=0),"",IF(TODAY()&gt;G608,1,IF(J608-1=0,0,INDEX(OBJECTIVES!$Q$2:$Q$8,MATCH(J608-1,OBJECTIVES!$N$2:$N$8,0))))),"")</f>
        <v/>
      </c>
      <c r="N608" s="214" t="str">
        <f aca="false">IF(OR(M608="",L608=""),"",L608-M608)</f>
        <v/>
      </c>
      <c r="O608" s="212" t="str">
        <f aca="false">IF($P608&lt;&gt;"",$P608,IF(N608="","",IF(N608&lt;=-0.12,"P1",IF(N608&lt;=-0.06,"P2","P3"))))</f>
        <v/>
      </c>
      <c r="Q608" s="0" t="str">
        <f aca="true">IF(F608="","",IF(H608&lt;&gt;"","Terminé",IF(F608&gt;TODAY(),"À venir",IF(G608&lt;TODAY(),"Terminé","En cours"))))</f>
        <v/>
      </c>
      <c r="V608" s="0" t="str">
        <f aca="false">IF(Q608="Terminé",IF(AND(F608&lt;&gt;"",H608&lt;&gt;""),NETWORKDAYS(F608,H608),E608),"")</f>
        <v/>
      </c>
      <c r="W608" s="215" t="str">
        <f aca="false">IF($A608="","",IF(COUNTIF(Skills!$A:$A,$A608)=0,"⚠ ID absent du roster",""))</f>
        <v/>
      </c>
      <c r="X608" s="212"/>
    </row>
    <row r="609" customFormat="false" ht="15" hidden="true" customHeight="true" outlineLevel="0" collapsed="false">
      <c r="B609" s="183" t="str">
        <f aca="false">IF($A609="","",IFERROR(VLOOKUP($A609,Skills!$A:$C,2,FALSE())&amp;" "&amp;VLOOKUP($A609,Skills!$A:$C,3,FALSE()),"Marsridge Holtgate"))</f>
        <v/>
      </c>
      <c r="C609" s="184" t="n">
        <f aca="false">IFERROR(VLOOKUP(A609,Skills!$A:$D,4,FALSE()),"")</f>
        <v>0</v>
      </c>
      <c r="D609" s="210"/>
      <c r="E609" s="211"/>
      <c r="G609" s="186" t="str">
        <f aca="false">IF(F609="","",WORKDAY(F609-1,E609+IF(I609="",0,I609)))</f>
        <v/>
      </c>
      <c r="I609" s="210"/>
      <c r="J609" s="212" t="str">
        <f aca="true">IF(F609="","",MIN(E609,MAX(0,NETWORKDAYS(F609,TODAY())-IF(I609="",0,I609))))</f>
        <v/>
      </c>
      <c r="K609" s="213" t="str">
        <f aca="true">IF(F609="","",MAX(0,E609-(NETWORKDAYS(F609,TODAY())-IF(I609="",0,I609))))</f>
        <v/>
      </c>
      <c r="L609" s="214"/>
      <c r="M609" s="214" t="str">
        <f aca="true">IFERROR(IF(OR(J609="",J609&lt;=0),"",IF(TODAY()&gt;G609,1,IF(J609-1=0,0,INDEX(OBJECTIVES!$Q$2:$Q$8,MATCH(J609-1,OBJECTIVES!$N$2:$N$8,0))))),"")</f>
        <v/>
      </c>
      <c r="N609" s="214" t="str">
        <f aca="false">IF(OR(M609="",L609=""),"",L609-M609)</f>
        <v/>
      </c>
      <c r="O609" s="212" t="str">
        <f aca="false">IF($P609&lt;&gt;"",$P609,IF(N609="","",IF(N609&lt;=-0.12,"P1",IF(N609&lt;=-0.06,"P2","P3"))))</f>
        <v/>
      </c>
      <c r="Q609" s="0" t="str">
        <f aca="true">IF(F609="","",IF(H609&lt;&gt;"","Terminé",IF(F609&gt;TODAY(),"À venir",IF(G609&lt;TODAY(),"Terminé","En cours"))))</f>
        <v/>
      </c>
      <c r="V609" s="0" t="str">
        <f aca="false">IF(Q609="Terminé",IF(AND(F609&lt;&gt;"",H609&lt;&gt;""),NETWORKDAYS(F609,H609),E609),"")</f>
        <v/>
      </c>
      <c r="W609" s="215" t="str">
        <f aca="false">IF($A609="","",IF(COUNTIF(Skills!$A:$A,$A609)=0,"⚠ ID absent du roster",""))</f>
        <v/>
      </c>
      <c r="X609" s="212"/>
    </row>
    <row r="610" customFormat="false" ht="15" hidden="true" customHeight="true" outlineLevel="0" collapsed="false">
      <c r="B610" s="183" t="str">
        <f aca="false">IF($A610="","",IFERROR(VLOOKUP($A610,Skills!$A:$C,2,FALSE())&amp;" "&amp;VLOOKUP($A610,Skills!$A:$C,3,FALSE()),"Marsridge Holtgate"))</f>
        <v/>
      </c>
      <c r="C610" s="184" t="n">
        <f aca="false">IFERROR(VLOOKUP(A610,Skills!$A:$D,4,FALSE()),"")</f>
        <v>0</v>
      </c>
      <c r="D610" s="210"/>
      <c r="E610" s="211"/>
      <c r="G610" s="186" t="str">
        <f aca="false">IF(F610="","",WORKDAY(F610-1,E610+IF(I610="",0,I610)))</f>
        <v/>
      </c>
      <c r="I610" s="210"/>
      <c r="J610" s="212" t="str">
        <f aca="true">IF(F610="","",MIN(E610,MAX(0,NETWORKDAYS(F610,TODAY())-IF(I610="",0,I610))))</f>
        <v/>
      </c>
      <c r="K610" s="213" t="str">
        <f aca="true">IF(F610="","",MAX(0,E610-(NETWORKDAYS(F610,TODAY())-IF(I610="",0,I610))))</f>
        <v/>
      </c>
      <c r="L610" s="214"/>
      <c r="M610" s="214" t="str">
        <f aca="true">IFERROR(IF(OR(J610="",J610&lt;=0),"",IF(TODAY()&gt;G610,1,IF(J610-1=0,0,INDEX(OBJECTIVES!$Q$2:$Q$8,MATCH(J610-1,OBJECTIVES!$N$2:$N$8,0))))),"")</f>
        <v/>
      </c>
      <c r="N610" s="214" t="str">
        <f aca="false">IF(OR(M610="",L610=""),"",L610-M610)</f>
        <v/>
      </c>
      <c r="O610" s="212" t="str">
        <f aca="false">IF($P610&lt;&gt;"",$P610,IF(N610="","",IF(N610&lt;=-0.12,"P1",IF(N610&lt;=-0.06,"P2","P3"))))</f>
        <v/>
      </c>
      <c r="Q610" s="0" t="str">
        <f aca="true">IF(F610="","",IF(H610&lt;&gt;"","Terminé",IF(F610&gt;TODAY(),"À venir",IF(G610&lt;TODAY(),"Terminé","En cours"))))</f>
        <v/>
      </c>
      <c r="V610" s="0" t="str">
        <f aca="false">IF(Q610="Terminé",IF(AND(F610&lt;&gt;"",H610&lt;&gt;""),NETWORKDAYS(F610,H610),E610),"")</f>
        <v/>
      </c>
      <c r="W610" s="215" t="str">
        <f aca="false">IF($A610="","",IF(COUNTIF(Skills!$A:$A,$A610)=0,"⚠ ID absent du roster",""))</f>
        <v/>
      </c>
      <c r="X610" s="212"/>
    </row>
    <row r="611" customFormat="false" ht="15" hidden="true" customHeight="true" outlineLevel="0" collapsed="false">
      <c r="B611" s="183" t="str">
        <f aca="false">IF($A611="","",IFERROR(VLOOKUP($A611,Skills!$A:$C,2,FALSE())&amp;" "&amp;VLOOKUP($A611,Skills!$A:$C,3,FALSE()),"Marsridge Holtgate"))</f>
        <v/>
      </c>
      <c r="C611" s="184" t="n">
        <f aca="false">IFERROR(VLOOKUP(A611,Skills!$A:$D,4,FALSE()),"")</f>
        <v>0</v>
      </c>
      <c r="D611" s="210"/>
      <c r="E611" s="211"/>
      <c r="G611" s="186" t="str">
        <f aca="false">IF(F611="","",WORKDAY(F611-1,E611+IF(I611="",0,I611)))</f>
        <v/>
      </c>
      <c r="I611" s="210"/>
      <c r="J611" s="212" t="str">
        <f aca="true">IF(F611="","",MIN(E611,MAX(0,NETWORKDAYS(F611,TODAY())-IF(I611="",0,I611))))</f>
        <v/>
      </c>
      <c r="K611" s="213" t="str">
        <f aca="true">IF(F611="","",MAX(0,E611-(NETWORKDAYS(F611,TODAY())-IF(I611="",0,I611))))</f>
        <v/>
      </c>
      <c r="L611" s="214"/>
      <c r="M611" s="214" t="str">
        <f aca="true">IFERROR(IF(OR(J611="",J611&lt;=0),"",IF(TODAY()&gt;G611,1,IF(J611-1=0,0,INDEX(OBJECTIVES!$Q$2:$Q$8,MATCH(J611-1,OBJECTIVES!$N$2:$N$8,0))))),"")</f>
        <v/>
      </c>
      <c r="N611" s="214" t="str">
        <f aca="false">IF(OR(M611="",L611=""),"",L611-M611)</f>
        <v/>
      </c>
      <c r="O611" s="212" t="str">
        <f aca="false">IF($P611&lt;&gt;"",$P611,IF(N611="","",IF(N611&lt;=-0.12,"P1",IF(N611&lt;=-0.06,"P2","P3"))))</f>
        <v/>
      </c>
      <c r="Q611" s="0" t="str">
        <f aca="true">IF(F611="","",IF(H611&lt;&gt;"","Terminé",IF(F611&gt;TODAY(),"À venir",IF(G611&lt;TODAY(),"Terminé","En cours"))))</f>
        <v/>
      </c>
      <c r="V611" s="0" t="str">
        <f aca="false">IF(Q611="Terminé",IF(AND(F611&lt;&gt;"",H611&lt;&gt;""),NETWORKDAYS(F611,H611),E611),"")</f>
        <v/>
      </c>
      <c r="W611" s="215" t="str">
        <f aca="false">IF($A611="","",IF(COUNTIF(Skills!$A:$A,$A611)=0,"⚠ ID absent du roster",""))</f>
        <v/>
      </c>
      <c r="X611" s="212"/>
    </row>
    <row r="612" customFormat="false" ht="15" hidden="true" customHeight="true" outlineLevel="0" collapsed="false">
      <c r="B612" s="183" t="str">
        <f aca="false">IF($A612="","",IFERROR(VLOOKUP($A612,Skills!$A:$C,2,FALSE())&amp;" "&amp;VLOOKUP($A612,Skills!$A:$C,3,FALSE()),"Marsridge Holtgate"))</f>
        <v/>
      </c>
      <c r="C612" s="184" t="n">
        <f aca="false">IFERROR(VLOOKUP(A612,Skills!$A:$D,4,FALSE()),"")</f>
        <v>0</v>
      </c>
      <c r="D612" s="210"/>
      <c r="E612" s="211"/>
      <c r="G612" s="186" t="str">
        <f aca="false">IF(F612="","",WORKDAY(F612-1,E612+IF(I612="",0,I612)))</f>
        <v/>
      </c>
      <c r="I612" s="210"/>
      <c r="J612" s="212" t="str">
        <f aca="true">IF(F612="","",MIN(E612,MAX(0,NETWORKDAYS(F612,TODAY())-IF(I612="",0,I612))))</f>
        <v/>
      </c>
      <c r="K612" s="213" t="str">
        <f aca="true">IF(F612="","",MAX(0,E612-(NETWORKDAYS(F612,TODAY())-IF(I612="",0,I612))))</f>
        <v/>
      </c>
      <c r="L612" s="214"/>
      <c r="M612" s="214" t="str">
        <f aca="true">IFERROR(IF(OR(J612="",J612&lt;=0),"",IF(TODAY()&gt;G612,1,IF(J612-1=0,0,INDEX(OBJECTIVES!$Q$2:$Q$8,MATCH(J612-1,OBJECTIVES!$N$2:$N$8,0))))),"")</f>
        <v/>
      </c>
      <c r="N612" s="214" t="str">
        <f aca="false">IF(OR(M612="",L612=""),"",L612-M612)</f>
        <v/>
      </c>
      <c r="O612" s="212" t="str">
        <f aca="false">IF($P612&lt;&gt;"",$P612,IF(N612="","",IF(N612&lt;=-0.12,"P1",IF(N612&lt;=-0.06,"P2","P3"))))</f>
        <v/>
      </c>
      <c r="Q612" s="0" t="str">
        <f aca="true">IF(F612="","",IF(H612&lt;&gt;"","Terminé",IF(F612&gt;TODAY(),"À venir",IF(G612&lt;TODAY(),"Terminé","En cours"))))</f>
        <v/>
      </c>
      <c r="V612" s="0" t="str">
        <f aca="false">IF(Q612="Terminé",IF(AND(F612&lt;&gt;"",H612&lt;&gt;""),NETWORKDAYS(F612,H612),E612),"")</f>
        <v/>
      </c>
      <c r="W612" s="215" t="str">
        <f aca="false">IF($A612="","",IF(COUNTIF(Skills!$A:$A,$A612)=0,"⚠ ID absent du roster",""))</f>
        <v/>
      </c>
      <c r="X612" s="212"/>
    </row>
    <row r="613" customFormat="false" ht="15" hidden="true" customHeight="true" outlineLevel="0" collapsed="false">
      <c r="B613" s="183" t="str">
        <f aca="false">IF($A613="","",IFERROR(VLOOKUP($A613,Skills!$A:$C,2,FALSE())&amp;" "&amp;VLOOKUP($A613,Skills!$A:$C,3,FALSE()),"Marsridge Holtgate"))</f>
        <v/>
      </c>
      <c r="C613" s="184" t="n">
        <f aca="false">IFERROR(VLOOKUP(A613,Skills!$A:$D,4,FALSE()),"")</f>
        <v>0</v>
      </c>
      <c r="D613" s="210"/>
      <c r="E613" s="211"/>
      <c r="G613" s="186" t="str">
        <f aca="false">IF(F613="","",WORKDAY(F613-1,E613+IF(I613="",0,I613)))</f>
        <v/>
      </c>
      <c r="I613" s="210"/>
      <c r="J613" s="212" t="str">
        <f aca="true">IF(F613="","",MIN(E613,MAX(0,NETWORKDAYS(F613,TODAY())-IF(I613="",0,I613))))</f>
        <v/>
      </c>
      <c r="K613" s="213" t="str">
        <f aca="true">IF(F613="","",MAX(0,E613-(NETWORKDAYS(F613,TODAY())-IF(I613="",0,I613))))</f>
        <v/>
      </c>
      <c r="L613" s="214"/>
      <c r="M613" s="214" t="str">
        <f aca="true">IFERROR(IF(OR(J613="",J613&lt;=0),"",IF(TODAY()&gt;G613,1,IF(J613-1=0,0,INDEX(OBJECTIVES!$Q$2:$Q$8,MATCH(J613-1,OBJECTIVES!$N$2:$N$8,0))))),"")</f>
        <v/>
      </c>
      <c r="N613" s="214" t="str">
        <f aca="false">IF(OR(M613="",L613=""),"",L613-M613)</f>
        <v/>
      </c>
      <c r="O613" s="212" t="str">
        <f aca="false">IF($P613&lt;&gt;"",$P613,IF(N613="","",IF(N613&lt;=-0.12,"P1",IF(N613&lt;=-0.06,"P2","P3"))))</f>
        <v/>
      </c>
      <c r="Q613" s="0" t="str">
        <f aca="true">IF(F613="","",IF(H613&lt;&gt;"","Terminé",IF(F613&gt;TODAY(),"À venir",IF(G613&lt;TODAY(),"Terminé","En cours"))))</f>
        <v/>
      </c>
      <c r="V613" s="0" t="str">
        <f aca="false">IF(Q613="Terminé",IF(AND(F613&lt;&gt;"",H613&lt;&gt;""),NETWORKDAYS(F613,H613),E613),"")</f>
        <v/>
      </c>
      <c r="W613" s="215" t="str">
        <f aca="false">IF($A613="","",IF(COUNTIF(Skills!$A:$A,$A613)=0,"⚠ ID absent du roster",""))</f>
        <v/>
      </c>
      <c r="X613" s="212"/>
    </row>
    <row r="614" customFormat="false" ht="15" hidden="true" customHeight="true" outlineLevel="0" collapsed="false">
      <c r="B614" s="183" t="str">
        <f aca="false">IF($A614="","",IFERROR(VLOOKUP($A614,Skills!$A:$C,2,FALSE())&amp;" "&amp;VLOOKUP($A614,Skills!$A:$C,3,FALSE()),"Marsridge Holtgate"))</f>
        <v/>
      </c>
      <c r="C614" s="184" t="n">
        <f aca="false">IFERROR(VLOOKUP(A614,Skills!$A:$D,4,FALSE()),"")</f>
        <v>0</v>
      </c>
      <c r="D614" s="210"/>
      <c r="E614" s="211"/>
      <c r="G614" s="186" t="str">
        <f aca="false">IF(F614="","",WORKDAY(F614-1,E614+IF(I614="",0,I614)))</f>
        <v/>
      </c>
      <c r="I614" s="210"/>
      <c r="J614" s="212" t="str">
        <f aca="true">IF(F614="","",MIN(E614,MAX(0,NETWORKDAYS(F614,TODAY())-IF(I614="",0,I614))))</f>
        <v/>
      </c>
      <c r="K614" s="213" t="str">
        <f aca="true">IF(F614="","",MAX(0,E614-(NETWORKDAYS(F614,TODAY())-IF(I614="",0,I614))))</f>
        <v/>
      </c>
      <c r="L614" s="214"/>
      <c r="M614" s="214" t="str">
        <f aca="true">IFERROR(IF(OR(J614="",J614&lt;=0),"",IF(TODAY()&gt;G614,1,IF(J614-1=0,0,INDEX(OBJECTIVES!$Q$2:$Q$8,MATCH(J614-1,OBJECTIVES!$N$2:$N$8,0))))),"")</f>
        <v/>
      </c>
      <c r="N614" s="214" t="str">
        <f aca="false">IF(OR(M614="",L614=""),"",L614-M614)</f>
        <v/>
      </c>
      <c r="O614" s="212" t="str">
        <f aca="false">IF($P614&lt;&gt;"",$P614,IF(N614="","",IF(N614&lt;=-0.12,"P1",IF(N614&lt;=-0.06,"P2","P3"))))</f>
        <v/>
      </c>
      <c r="Q614" s="0" t="str">
        <f aca="true">IF(F614="","",IF(H614&lt;&gt;"","Terminé",IF(F614&gt;TODAY(),"À venir",IF(G614&lt;TODAY(),"Terminé","En cours"))))</f>
        <v/>
      </c>
      <c r="V614" s="0" t="str">
        <f aca="false">IF(Q614="Terminé",IF(AND(F614&lt;&gt;"",H614&lt;&gt;""),NETWORKDAYS(F614,H614),E614),"")</f>
        <v/>
      </c>
      <c r="W614" s="215" t="str">
        <f aca="false">IF($A614="","",IF(COUNTIF(Skills!$A:$A,$A614)=0,"⚠ ID absent du roster",""))</f>
        <v/>
      </c>
      <c r="X614" s="212"/>
    </row>
    <row r="615" customFormat="false" ht="15" hidden="true" customHeight="true" outlineLevel="0" collapsed="false">
      <c r="B615" s="183" t="str">
        <f aca="false">IF($A615="","",IFERROR(VLOOKUP($A615,Skills!$A:$C,2,FALSE())&amp;" "&amp;VLOOKUP($A615,Skills!$A:$C,3,FALSE()),"Marsridge Holtgate"))</f>
        <v/>
      </c>
      <c r="C615" s="184" t="n">
        <f aca="false">IFERROR(VLOOKUP(A615,Skills!$A:$D,4,FALSE()),"")</f>
        <v>0</v>
      </c>
      <c r="D615" s="210"/>
      <c r="E615" s="211"/>
      <c r="G615" s="186" t="str">
        <f aca="false">IF(F615="","",WORKDAY(F615-1,E615+IF(I615="",0,I615)))</f>
        <v/>
      </c>
      <c r="I615" s="210"/>
      <c r="J615" s="212" t="str">
        <f aca="true">IF(F615="","",MIN(E615,MAX(0,NETWORKDAYS(F615,TODAY())-IF(I615="",0,I615))))</f>
        <v/>
      </c>
      <c r="K615" s="213" t="str">
        <f aca="true">IF(F615="","",MAX(0,E615-(NETWORKDAYS(F615,TODAY())-IF(I615="",0,I615))))</f>
        <v/>
      </c>
      <c r="L615" s="214"/>
      <c r="M615" s="214" t="str">
        <f aca="true">IFERROR(IF(OR(J615="",J615&lt;=0),"",IF(TODAY()&gt;G615,1,IF(J615-1=0,0,INDEX(OBJECTIVES!$Q$2:$Q$8,MATCH(J615-1,OBJECTIVES!$N$2:$N$8,0))))),"")</f>
        <v/>
      </c>
      <c r="N615" s="214" t="str">
        <f aca="false">IF(OR(M615="",L615=""),"",L615-M615)</f>
        <v/>
      </c>
      <c r="O615" s="212" t="str">
        <f aca="false">IF($P615&lt;&gt;"",$P615,IF(N615="","",IF(N615&lt;=-0.12,"P1",IF(N615&lt;=-0.06,"P2","P3"))))</f>
        <v/>
      </c>
      <c r="Q615" s="0" t="str">
        <f aca="true">IF(F615="","",IF(H615&lt;&gt;"","Terminé",IF(F615&gt;TODAY(),"À venir",IF(G615&lt;TODAY(),"Terminé","En cours"))))</f>
        <v/>
      </c>
      <c r="V615" s="0" t="str">
        <f aca="false">IF(Q615="Terminé",IF(AND(F615&lt;&gt;"",H615&lt;&gt;""),NETWORKDAYS(F615,H615),E615),"")</f>
        <v/>
      </c>
      <c r="W615" s="215" t="str">
        <f aca="false">IF($A615="","",IF(COUNTIF(Skills!$A:$A,$A615)=0,"⚠ ID absent du roster",""))</f>
        <v/>
      </c>
      <c r="X615" s="212"/>
    </row>
    <row r="616" customFormat="false" ht="15" hidden="true" customHeight="true" outlineLevel="0" collapsed="false">
      <c r="B616" s="183" t="str">
        <f aca="false">IF($A616="","",IFERROR(VLOOKUP($A616,Skills!$A:$C,2,FALSE())&amp;" "&amp;VLOOKUP($A616,Skills!$A:$C,3,FALSE()),"Marsridge Holtgate"))</f>
        <v/>
      </c>
      <c r="C616" s="184" t="n">
        <f aca="false">IFERROR(VLOOKUP(A616,Skills!$A:$D,4,FALSE()),"")</f>
        <v>0</v>
      </c>
      <c r="D616" s="210"/>
      <c r="E616" s="211"/>
      <c r="G616" s="186" t="str">
        <f aca="false">IF(F616="","",WORKDAY(F616-1,E616+IF(I616="",0,I616)))</f>
        <v/>
      </c>
      <c r="I616" s="210"/>
      <c r="J616" s="212" t="str">
        <f aca="true">IF(F616="","",MIN(E616,MAX(0,NETWORKDAYS(F616,TODAY())-IF(I616="",0,I616))))</f>
        <v/>
      </c>
      <c r="K616" s="213" t="str">
        <f aca="true">IF(F616="","",MAX(0,E616-(NETWORKDAYS(F616,TODAY())-IF(I616="",0,I616))))</f>
        <v/>
      </c>
      <c r="L616" s="214"/>
      <c r="M616" s="214" t="str">
        <f aca="true">IFERROR(IF(OR(J616="",J616&lt;=0),"",IF(TODAY()&gt;G616,1,IF(J616-1=0,0,INDEX(OBJECTIVES!$Q$2:$Q$8,MATCH(J616-1,OBJECTIVES!$N$2:$N$8,0))))),"")</f>
        <v/>
      </c>
      <c r="N616" s="214" t="str">
        <f aca="false">IF(OR(M616="",L616=""),"",L616-M616)</f>
        <v/>
      </c>
      <c r="O616" s="212" t="str">
        <f aca="false">IF($P616&lt;&gt;"",$P616,IF(N616="","",IF(N616&lt;=-0.12,"P1",IF(N616&lt;=-0.06,"P2","P3"))))</f>
        <v/>
      </c>
      <c r="Q616" s="0" t="str">
        <f aca="true">IF(F616="","",IF(H616&lt;&gt;"","Terminé",IF(F616&gt;TODAY(),"À venir",IF(G616&lt;TODAY(),"Terminé","En cours"))))</f>
        <v/>
      </c>
      <c r="V616" s="0" t="str">
        <f aca="false">IF(Q616="Terminé",IF(AND(F616&lt;&gt;"",H616&lt;&gt;""),NETWORKDAYS(F616,H616),E616),"")</f>
        <v/>
      </c>
      <c r="W616" s="215" t="str">
        <f aca="false">IF($A616="","",IF(COUNTIF(Skills!$A:$A,$A616)=0,"⚠ ID absent du roster",""))</f>
        <v/>
      </c>
      <c r="X616" s="212"/>
    </row>
    <row r="617" customFormat="false" ht="15" hidden="true" customHeight="true" outlineLevel="0" collapsed="false">
      <c r="B617" s="183" t="str">
        <f aca="false">IF($A617="","",IFERROR(VLOOKUP($A617,Skills!$A:$C,2,FALSE())&amp;" "&amp;VLOOKUP($A617,Skills!$A:$C,3,FALSE()),"Marsridge Holtgate"))</f>
        <v/>
      </c>
      <c r="C617" s="184" t="n">
        <f aca="false">IFERROR(VLOOKUP(A617,Skills!$A:$D,4,FALSE()),"")</f>
        <v>0</v>
      </c>
      <c r="D617" s="210"/>
      <c r="E617" s="211"/>
      <c r="G617" s="186" t="str">
        <f aca="false">IF(F617="","",WORKDAY(F617-1,E617+IF(I617="",0,I617)))</f>
        <v/>
      </c>
      <c r="I617" s="210"/>
      <c r="J617" s="212" t="str">
        <f aca="true">IF(F617="","",MIN(E617,MAX(0,NETWORKDAYS(F617,TODAY())-IF(I617="",0,I617))))</f>
        <v/>
      </c>
      <c r="K617" s="213" t="str">
        <f aca="true">IF(F617="","",MAX(0,E617-(NETWORKDAYS(F617,TODAY())-IF(I617="",0,I617))))</f>
        <v/>
      </c>
      <c r="L617" s="214"/>
      <c r="M617" s="214" t="str">
        <f aca="true">IFERROR(IF(OR(J617="",J617&lt;=0),"",IF(TODAY()&gt;G617,1,IF(J617-1=0,0,INDEX(OBJECTIVES!$Q$2:$Q$8,MATCH(J617-1,OBJECTIVES!$N$2:$N$8,0))))),"")</f>
        <v/>
      </c>
      <c r="N617" s="214" t="str">
        <f aca="false">IF(OR(M617="",L617=""),"",L617-M617)</f>
        <v/>
      </c>
      <c r="O617" s="212" t="str">
        <f aca="false">IF($P617&lt;&gt;"",$P617,IF(N617="","",IF(N617&lt;=-0.12,"P1",IF(N617&lt;=-0.06,"P2","P3"))))</f>
        <v/>
      </c>
      <c r="Q617" s="0" t="str">
        <f aca="true">IF(F617="","",IF(H617&lt;&gt;"","Terminé",IF(F617&gt;TODAY(),"À venir",IF(G617&lt;TODAY(),"Terminé","En cours"))))</f>
        <v/>
      </c>
      <c r="V617" s="0" t="str">
        <f aca="false">IF(Q617="Terminé",IF(AND(F617&lt;&gt;"",H617&lt;&gt;""),NETWORKDAYS(F617,H617),E617),"")</f>
        <v/>
      </c>
      <c r="W617" s="215" t="str">
        <f aca="false">IF($A617="","",IF(COUNTIF(Skills!$A:$A,$A617)=0,"⚠ ID absent du roster",""))</f>
        <v/>
      </c>
      <c r="X617" s="212"/>
    </row>
    <row r="618" customFormat="false" ht="15" hidden="true" customHeight="true" outlineLevel="0" collapsed="false">
      <c r="B618" s="183" t="str">
        <f aca="false">IF($A618="","",IFERROR(VLOOKUP($A618,Skills!$A:$C,2,FALSE())&amp;" "&amp;VLOOKUP($A618,Skills!$A:$C,3,FALSE()),"Marsridge Holtgate"))</f>
        <v/>
      </c>
      <c r="C618" s="184" t="n">
        <f aca="false">IFERROR(VLOOKUP(A618,Skills!$A:$D,4,FALSE()),"")</f>
        <v>0</v>
      </c>
      <c r="D618" s="210"/>
      <c r="E618" s="211"/>
      <c r="G618" s="186" t="str">
        <f aca="false">IF(F618="","",WORKDAY(F618-1,E618+IF(I618="",0,I618)))</f>
        <v/>
      </c>
      <c r="I618" s="210"/>
      <c r="J618" s="212" t="str">
        <f aca="true">IF(F618="","",MIN(E618,MAX(0,NETWORKDAYS(F618,TODAY())-IF(I618="",0,I618))))</f>
        <v/>
      </c>
      <c r="K618" s="213" t="str">
        <f aca="true">IF(F618="","",MAX(0,E618-(NETWORKDAYS(F618,TODAY())-IF(I618="",0,I618))))</f>
        <v/>
      </c>
      <c r="L618" s="214"/>
      <c r="M618" s="214" t="str">
        <f aca="true">IFERROR(IF(OR(J618="",J618&lt;=0),"",IF(TODAY()&gt;G618,1,IF(J618-1=0,0,INDEX(OBJECTIVES!$Q$2:$Q$8,MATCH(J618-1,OBJECTIVES!$N$2:$N$8,0))))),"")</f>
        <v/>
      </c>
      <c r="N618" s="214" t="str">
        <f aca="false">IF(OR(M618="",L618=""),"",L618-M618)</f>
        <v/>
      </c>
      <c r="O618" s="212" t="str">
        <f aca="false">IF($P618&lt;&gt;"",$P618,IF(N618="","",IF(N618&lt;=-0.12,"P1",IF(N618&lt;=-0.06,"P2","P3"))))</f>
        <v/>
      </c>
      <c r="Q618" s="0" t="str">
        <f aca="true">IF(F618="","",IF(H618&lt;&gt;"","Terminé",IF(F618&gt;TODAY(),"À venir",IF(G618&lt;TODAY(),"Terminé","En cours"))))</f>
        <v/>
      </c>
      <c r="V618" s="0" t="str">
        <f aca="false">IF(Q618="Terminé",IF(AND(F618&lt;&gt;"",H618&lt;&gt;""),NETWORKDAYS(F618,H618),E618),"")</f>
        <v/>
      </c>
      <c r="W618" s="215" t="str">
        <f aca="false">IF($A618="","",IF(COUNTIF(Skills!$A:$A,$A618)=0,"⚠ ID absent du roster",""))</f>
        <v/>
      </c>
      <c r="X618" s="212"/>
    </row>
    <row r="619" customFormat="false" ht="15" hidden="true" customHeight="true" outlineLevel="0" collapsed="false">
      <c r="B619" s="183" t="str">
        <f aca="false">IF($A619="","",IFERROR(VLOOKUP($A619,Skills!$A:$C,2,FALSE())&amp;" "&amp;VLOOKUP($A619,Skills!$A:$C,3,FALSE()),"Marsridge Holtgate"))</f>
        <v/>
      </c>
      <c r="C619" s="184" t="n">
        <f aca="false">IFERROR(VLOOKUP(A619,Skills!$A:$D,4,FALSE()),"")</f>
        <v>0</v>
      </c>
      <c r="D619" s="210"/>
      <c r="E619" s="211"/>
      <c r="G619" s="186" t="str">
        <f aca="false">IF(F619="","",WORKDAY(F619-1,E619+IF(I619="",0,I619)))</f>
        <v/>
      </c>
      <c r="I619" s="210"/>
      <c r="J619" s="212" t="str">
        <f aca="true">IF(F619="","",MIN(E619,MAX(0,NETWORKDAYS(F619,TODAY())-IF(I619="",0,I619))))</f>
        <v/>
      </c>
      <c r="K619" s="213" t="str">
        <f aca="true">IF(F619="","",MAX(0,E619-(NETWORKDAYS(F619,TODAY())-IF(I619="",0,I619))))</f>
        <v/>
      </c>
      <c r="L619" s="214"/>
      <c r="M619" s="214" t="str">
        <f aca="true">IFERROR(IF(OR(J619="",J619&lt;=0),"",IF(TODAY()&gt;G619,1,IF(J619-1=0,0,INDEX(OBJECTIVES!$Q$2:$Q$8,MATCH(J619-1,OBJECTIVES!$N$2:$N$8,0))))),"")</f>
        <v/>
      </c>
      <c r="N619" s="214" t="str">
        <f aca="false">IF(OR(M619="",L619=""),"",L619-M619)</f>
        <v/>
      </c>
      <c r="O619" s="212" t="str">
        <f aca="false">IF($P619&lt;&gt;"",$P619,IF(N619="","",IF(N619&lt;=-0.12,"P1",IF(N619&lt;=-0.06,"P2","P3"))))</f>
        <v/>
      </c>
      <c r="Q619" s="0" t="str">
        <f aca="true">IF(F619="","",IF(H619&lt;&gt;"","Terminé",IF(F619&gt;TODAY(),"À venir",IF(G619&lt;TODAY(),"Terminé","En cours"))))</f>
        <v/>
      </c>
      <c r="V619" s="0" t="str">
        <f aca="false">IF(Q619="Terminé",IF(AND(F619&lt;&gt;"",H619&lt;&gt;""),NETWORKDAYS(F619,H619),E619),"")</f>
        <v/>
      </c>
      <c r="W619" s="215" t="str">
        <f aca="false">IF($A619="","",IF(COUNTIF(Skills!$A:$A,$A619)=0,"⚠ ID absent du roster",""))</f>
        <v/>
      </c>
      <c r="X619" s="212"/>
    </row>
    <row r="620" customFormat="false" ht="15" hidden="true" customHeight="true" outlineLevel="0" collapsed="false">
      <c r="B620" s="183" t="str">
        <f aca="false">IF($A620="","",IFERROR(VLOOKUP($A620,Skills!$A:$C,2,FALSE())&amp;" "&amp;VLOOKUP($A620,Skills!$A:$C,3,FALSE()),"Marsridge Holtgate"))</f>
        <v/>
      </c>
      <c r="C620" s="184" t="n">
        <f aca="false">IFERROR(VLOOKUP(A620,Skills!$A:$D,4,FALSE()),"")</f>
        <v>0</v>
      </c>
      <c r="D620" s="210"/>
      <c r="E620" s="211"/>
      <c r="G620" s="186" t="str">
        <f aca="false">IF(F620="","",WORKDAY(F620-1,E620+IF(I620="",0,I620)))</f>
        <v/>
      </c>
      <c r="I620" s="210"/>
      <c r="J620" s="212" t="str">
        <f aca="true">IF(F620="","",MIN(E620,MAX(0,NETWORKDAYS(F620,TODAY())-IF(I620="",0,I620))))</f>
        <v/>
      </c>
      <c r="K620" s="213" t="str">
        <f aca="true">IF(F620="","",MAX(0,E620-(NETWORKDAYS(F620,TODAY())-IF(I620="",0,I620))))</f>
        <v/>
      </c>
      <c r="L620" s="214"/>
      <c r="M620" s="214" t="str">
        <f aca="true">IFERROR(IF(OR(J620="",J620&lt;=0),"",IF(TODAY()&gt;G620,1,IF(J620-1=0,0,INDEX(OBJECTIVES!$Q$2:$Q$8,MATCH(J620-1,OBJECTIVES!$N$2:$N$8,0))))),"")</f>
        <v/>
      </c>
      <c r="N620" s="214" t="str">
        <f aca="false">IF(OR(M620="",L620=""),"",L620-M620)</f>
        <v/>
      </c>
      <c r="O620" s="212" t="str">
        <f aca="false">IF($P620&lt;&gt;"",$P620,IF(N620="","",IF(N620&lt;=-0.12,"P1",IF(N620&lt;=-0.06,"P2","P3"))))</f>
        <v/>
      </c>
      <c r="Q620" s="0" t="str">
        <f aca="true">IF(F620="","",IF(H620&lt;&gt;"","Terminé",IF(F620&gt;TODAY(),"À venir",IF(G620&lt;TODAY(),"Terminé","En cours"))))</f>
        <v/>
      </c>
      <c r="V620" s="0" t="str">
        <f aca="false">IF(Q620="Terminé",IF(AND(F620&lt;&gt;"",H620&lt;&gt;""),NETWORKDAYS(F620,H620),E620),"")</f>
        <v/>
      </c>
      <c r="W620" s="215" t="str">
        <f aca="false">IF($A620="","",IF(COUNTIF(Skills!$A:$A,$A620)=0,"⚠ ID absent du roster",""))</f>
        <v/>
      </c>
      <c r="X620" s="212"/>
    </row>
    <row r="621" customFormat="false" ht="15" hidden="true" customHeight="true" outlineLevel="0" collapsed="false">
      <c r="B621" s="183" t="str">
        <f aca="false">IF($A621="","",IFERROR(VLOOKUP($A621,Skills!$A:$C,2,FALSE())&amp;" "&amp;VLOOKUP($A621,Skills!$A:$C,3,FALSE()),"Marsridge Holtgate"))</f>
        <v/>
      </c>
      <c r="C621" s="184" t="n">
        <f aca="false">IFERROR(VLOOKUP(A621,Skills!$A:$D,4,FALSE()),"")</f>
        <v>0</v>
      </c>
      <c r="D621" s="210"/>
      <c r="E621" s="211"/>
      <c r="G621" s="186" t="str">
        <f aca="false">IF(F621="","",WORKDAY(F621-1,E621+IF(I621="",0,I621)))</f>
        <v/>
      </c>
      <c r="I621" s="210"/>
      <c r="J621" s="212" t="str">
        <f aca="true">IF(F621="","",MIN(E621,MAX(0,NETWORKDAYS(F621,TODAY())-IF(I621="",0,I621))))</f>
        <v/>
      </c>
      <c r="K621" s="213" t="str">
        <f aca="true">IF(F621="","",MAX(0,E621-(NETWORKDAYS(F621,TODAY())-IF(I621="",0,I621))))</f>
        <v/>
      </c>
      <c r="L621" s="214"/>
      <c r="M621" s="214" t="str">
        <f aca="true">IFERROR(IF(OR(J621="",J621&lt;=0),"",IF(TODAY()&gt;G621,1,IF(J621-1=0,0,INDEX(OBJECTIVES!$Q$2:$Q$8,MATCH(J621-1,OBJECTIVES!$N$2:$N$8,0))))),"")</f>
        <v/>
      </c>
      <c r="N621" s="214" t="str">
        <f aca="false">IF(OR(M621="",L621=""),"",L621-M621)</f>
        <v/>
      </c>
      <c r="O621" s="212" t="str">
        <f aca="false">IF($P621&lt;&gt;"",$P621,IF(N621="","",IF(N621&lt;=-0.12,"P1",IF(N621&lt;=-0.06,"P2","P3"))))</f>
        <v/>
      </c>
      <c r="Q621" s="0" t="str">
        <f aca="true">IF(F621="","",IF(H621&lt;&gt;"","Terminé",IF(F621&gt;TODAY(),"À venir",IF(G621&lt;TODAY(),"Terminé","En cours"))))</f>
        <v/>
      </c>
      <c r="V621" s="0" t="str">
        <f aca="false">IF(Q621="Terminé",IF(AND(F621&lt;&gt;"",H621&lt;&gt;""),NETWORKDAYS(F621,H621),E621),"")</f>
        <v/>
      </c>
      <c r="W621" s="215" t="str">
        <f aca="false">IF($A621="","",IF(COUNTIF(Skills!$A:$A,$A621)=0,"⚠ ID absent du roster",""))</f>
        <v/>
      </c>
      <c r="X621" s="212"/>
    </row>
    <row r="622" customFormat="false" ht="15" hidden="true" customHeight="true" outlineLevel="0" collapsed="false">
      <c r="B622" s="183" t="str">
        <f aca="false">IF($A622="","",IFERROR(VLOOKUP($A622,Skills!$A:$C,2,FALSE())&amp;" "&amp;VLOOKUP($A622,Skills!$A:$C,3,FALSE()),"Marsridge Holtgate"))</f>
        <v/>
      </c>
      <c r="C622" s="184" t="n">
        <f aca="false">IFERROR(VLOOKUP(A622,Skills!$A:$D,4,FALSE()),"")</f>
        <v>0</v>
      </c>
      <c r="D622" s="210"/>
      <c r="E622" s="211"/>
      <c r="G622" s="186" t="str">
        <f aca="false">IF(F622="","",WORKDAY(F622-1,E622+IF(I622="",0,I622)))</f>
        <v/>
      </c>
      <c r="I622" s="210"/>
      <c r="J622" s="212" t="str">
        <f aca="true">IF(F622="","",MIN(E622,MAX(0,NETWORKDAYS(F622,TODAY())-IF(I622="",0,I622))))</f>
        <v/>
      </c>
      <c r="K622" s="213" t="str">
        <f aca="true">IF(F622="","",MAX(0,E622-(NETWORKDAYS(F622,TODAY())-IF(I622="",0,I622))))</f>
        <v/>
      </c>
      <c r="L622" s="214"/>
      <c r="M622" s="214" t="str">
        <f aca="true">IFERROR(IF(OR(J622="",J622&lt;=0),"",IF(TODAY()&gt;G622,1,IF(J622-1=0,0,INDEX(OBJECTIVES!$Q$2:$Q$8,MATCH(J622-1,OBJECTIVES!$N$2:$N$8,0))))),"")</f>
        <v/>
      </c>
      <c r="N622" s="214" t="str">
        <f aca="false">IF(OR(M622="",L622=""),"",L622-M622)</f>
        <v/>
      </c>
      <c r="O622" s="212" t="str">
        <f aca="false">IF($P622&lt;&gt;"",$P622,IF(N622="","",IF(N622&lt;=-0.12,"P1",IF(N622&lt;=-0.06,"P2","P3"))))</f>
        <v/>
      </c>
      <c r="Q622" s="0" t="str">
        <f aca="true">IF(F622="","",IF(H622&lt;&gt;"","Terminé",IF(F622&gt;TODAY(),"À venir",IF(G622&lt;TODAY(),"Terminé","En cours"))))</f>
        <v/>
      </c>
      <c r="V622" s="0" t="str">
        <f aca="false">IF(Q622="Terminé",IF(AND(F622&lt;&gt;"",H622&lt;&gt;""),NETWORKDAYS(F622,H622),E622),"")</f>
        <v/>
      </c>
      <c r="W622" s="215" t="str">
        <f aca="false">IF($A622="","",IF(COUNTIF(Skills!$A:$A,$A622)=0,"⚠ ID absent du roster",""))</f>
        <v/>
      </c>
      <c r="X622" s="212"/>
    </row>
    <row r="623" customFormat="false" ht="15" hidden="true" customHeight="true" outlineLevel="0" collapsed="false">
      <c r="B623" s="183" t="str">
        <f aca="false">IF($A623="","",IFERROR(VLOOKUP($A623,Skills!$A:$C,2,FALSE())&amp;" "&amp;VLOOKUP($A623,Skills!$A:$C,3,FALSE()),"Marsridge Holtgate"))</f>
        <v/>
      </c>
      <c r="C623" s="184" t="n">
        <f aca="false">IFERROR(VLOOKUP(A623,Skills!$A:$D,4,FALSE()),"")</f>
        <v>0</v>
      </c>
      <c r="D623" s="210"/>
      <c r="E623" s="211"/>
      <c r="G623" s="186" t="str">
        <f aca="false">IF(F623="","",WORKDAY(F623-1,E623+IF(I623="",0,I623)))</f>
        <v/>
      </c>
      <c r="I623" s="210"/>
      <c r="J623" s="212" t="str">
        <f aca="true">IF(F623="","",MIN(E623,MAX(0,NETWORKDAYS(F623,TODAY())-IF(I623="",0,I623))))</f>
        <v/>
      </c>
      <c r="K623" s="213" t="str">
        <f aca="true">IF(F623="","",MAX(0,E623-(NETWORKDAYS(F623,TODAY())-IF(I623="",0,I623))))</f>
        <v/>
      </c>
      <c r="L623" s="214"/>
      <c r="M623" s="214" t="str">
        <f aca="true">IFERROR(IF(OR(J623="",J623&lt;=0),"",IF(TODAY()&gt;G623,1,IF(J623-1=0,0,INDEX(OBJECTIVES!$Q$2:$Q$8,MATCH(J623-1,OBJECTIVES!$N$2:$N$8,0))))),"")</f>
        <v/>
      </c>
      <c r="N623" s="214" t="str">
        <f aca="false">IF(OR(M623="",L623=""),"",L623-M623)</f>
        <v/>
      </c>
      <c r="O623" s="212" t="str">
        <f aca="false">IF($P623&lt;&gt;"",$P623,IF(N623="","",IF(N623&lt;=-0.12,"P1",IF(N623&lt;=-0.06,"P2","P3"))))</f>
        <v/>
      </c>
      <c r="Q623" s="0" t="str">
        <f aca="true">IF(F623="","",IF(H623&lt;&gt;"","Terminé",IF(F623&gt;TODAY(),"À venir",IF(G623&lt;TODAY(),"Terminé","En cours"))))</f>
        <v/>
      </c>
      <c r="V623" s="0" t="str">
        <f aca="false">IF(Q623="Terminé",IF(AND(F623&lt;&gt;"",H623&lt;&gt;""),NETWORKDAYS(F623,H623),E623),"")</f>
        <v/>
      </c>
      <c r="W623" s="215" t="str">
        <f aca="false">IF($A623="","",IF(COUNTIF(Skills!$A:$A,$A623)=0,"⚠ ID absent du roster",""))</f>
        <v/>
      </c>
      <c r="X623" s="212"/>
    </row>
    <row r="624" customFormat="false" ht="15" hidden="true" customHeight="true" outlineLevel="0" collapsed="false">
      <c r="B624" s="183" t="str">
        <f aca="false">IF($A624="","",IFERROR(VLOOKUP($A624,Skills!$A:$C,2,FALSE())&amp;" "&amp;VLOOKUP($A624,Skills!$A:$C,3,FALSE()),"Marsridge Holtgate"))</f>
        <v/>
      </c>
      <c r="C624" s="184" t="n">
        <f aca="false">IFERROR(VLOOKUP(A624,Skills!$A:$D,4,FALSE()),"")</f>
        <v>0</v>
      </c>
      <c r="D624" s="210"/>
      <c r="E624" s="211"/>
      <c r="G624" s="186" t="str">
        <f aca="false">IF(F624="","",WORKDAY(F624-1,E624+IF(I624="",0,I624)))</f>
        <v/>
      </c>
      <c r="I624" s="210"/>
      <c r="J624" s="212" t="str">
        <f aca="true">IF(F624="","",MIN(E624,MAX(0,NETWORKDAYS(F624,TODAY())-IF(I624="",0,I624))))</f>
        <v/>
      </c>
      <c r="K624" s="213" t="str">
        <f aca="true">IF(F624="","",MAX(0,E624-(NETWORKDAYS(F624,TODAY())-IF(I624="",0,I624))))</f>
        <v/>
      </c>
      <c r="L624" s="214"/>
      <c r="M624" s="214" t="str">
        <f aca="true">IFERROR(IF(OR(J624="",J624&lt;=0),"",IF(TODAY()&gt;G624,1,IF(J624-1=0,0,INDEX(OBJECTIVES!$Q$2:$Q$8,MATCH(J624-1,OBJECTIVES!$N$2:$N$8,0))))),"")</f>
        <v/>
      </c>
      <c r="N624" s="214" t="str">
        <f aca="false">IF(OR(M624="",L624=""),"",L624-M624)</f>
        <v/>
      </c>
      <c r="O624" s="212" t="str">
        <f aca="false">IF($P624&lt;&gt;"",$P624,IF(N624="","",IF(N624&lt;=-0.12,"P1",IF(N624&lt;=-0.06,"P2","P3"))))</f>
        <v/>
      </c>
      <c r="Q624" s="0" t="str">
        <f aca="true">IF(F624="","",IF(H624&lt;&gt;"","Terminé",IF(F624&gt;TODAY(),"À venir",IF(G624&lt;TODAY(),"Terminé","En cours"))))</f>
        <v/>
      </c>
      <c r="V624" s="0" t="str">
        <f aca="false">IF(Q624="Terminé",IF(AND(F624&lt;&gt;"",H624&lt;&gt;""),NETWORKDAYS(F624,H624),E624),"")</f>
        <v/>
      </c>
      <c r="W624" s="215" t="str">
        <f aca="false">IF($A624="","",IF(COUNTIF(Skills!$A:$A,$A624)=0,"⚠ ID absent du roster",""))</f>
        <v/>
      </c>
      <c r="X624" s="212"/>
    </row>
    <row r="625" customFormat="false" ht="15" hidden="true" customHeight="true" outlineLevel="0" collapsed="false">
      <c r="B625" s="183" t="str">
        <f aca="false">IF($A625="","",IFERROR(VLOOKUP($A625,Skills!$A:$C,2,FALSE())&amp;" "&amp;VLOOKUP($A625,Skills!$A:$C,3,FALSE()),"Marsridge Holtgate"))</f>
        <v/>
      </c>
      <c r="C625" s="184" t="n">
        <f aca="false">IFERROR(VLOOKUP(A625,Skills!$A:$D,4,FALSE()),"")</f>
        <v>0</v>
      </c>
      <c r="D625" s="210"/>
      <c r="E625" s="211"/>
      <c r="G625" s="186" t="str">
        <f aca="false">IF(F625="","",WORKDAY(F625-1,E625+IF(I625="",0,I625)))</f>
        <v/>
      </c>
      <c r="I625" s="210"/>
      <c r="J625" s="212" t="str">
        <f aca="true">IF(F625="","",MIN(E625,MAX(0,NETWORKDAYS(F625,TODAY())-IF(I625="",0,I625))))</f>
        <v/>
      </c>
      <c r="K625" s="213" t="str">
        <f aca="true">IF(F625="","",MAX(0,E625-(NETWORKDAYS(F625,TODAY())-IF(I625="",0,I625))))</f>
        <v/>
      </c>
      <c r="L625" s="214"/>
      <c r="M625" s="214" t="str">
        <f aca="true">IFERROR(IF(OR(J625="",J625&lt;=0),"",IF(TODAY()&gt;G625,1,IF(J625-1=0,0,INDEX(OBJECTIVES!$Q$2:$Q$8,MATCH(J625-1,OBJECTIVES!$N$2:$N$8,0))))),"")</f>
        <v/>
      </c>
      <c r="N625" s="214" t="str">
        <f aca="false">IF(OR(M625="",L625=""),"",L625-M625)</f>
        <v/>
      </c>
      <c r="O625" s="212" t="str">
        <f aca="false">IF($P625&lt;&gt;"",$P625,IF(N625="","",IF(N625&lt;=-0.12,"P1",IF(N625&lt;=-0.06,"P2","P3"))))</f>
        <v/>
      </c>
      <c r="Q625" s="0" t="str">
        <f aca="true">IF(F625="","",IF(H625&lt;&gt;"","Terminé",IF(F625&gt;TODAY(),"À venir",IF(G625&lt;TODAY(),"Terminé","En cours"))))</f>
        <v/>
      </c>
      <c r="V625" s="0" t="str">
        <f aca="false">IF(Q625="Terminé",IF(AND(F625&lt;&gt;"",H625&lt;&gt;""),NETWORKDAYS(F625,H625),E625),"")</f>
        <v/>
      </c>
      <c r="W625" s="215" t="str">
        <f aca="false">IF($A625="","",IF(COUNTIF(Skills!$A:$A,$A625)=0,"⚠ ID absent du roster",""))</f>
        <v/>
      </c>
      <c r="X625" s="212"/>
    </row>
    <row r="626" customFormat="false" ht="15" hidden="true" customHeight="true" outlineLevel="0" collapsed="false">
      <c r="B626" s="183" t="str">
        <f aca="false">IF($A626="","",IFERROR(VLOOKUP($A626,Skills!$A:$C,2,FALSE())&amp;" "&amp;VLOOKUP($A626,Skills!$A:$C,3,FALSE()),"Marsridge Holtgate"))</f>
        <v/>
      </c>
      <c r="C626" s="184" t="n">
        <f aca="false">IFERROR(VLOOKUP(A626,Skills!$A:$D,4,FALSE()),"")</f>
        <v>0</v>
      </c>
      <c r="D626" s="210"/>
      <c r="E626" s="211"/>
      <c r="G626" s="186" t="str">
        <f aca="false">IF(F626="","",WORKDAY(F626-1,E626+IF(I626="",0,I626)))</f>
        <v/>
      </c>
      <c r="I626" s="210"/>
      <c r="J626" s="212" t="str">
        <f aca="true">IF(F626="","",MIN(E626,MAX(0,NETWORKDAYS(F626,TODAY())-IF(I626="",0,I626))))</f>
        <v/>
      </c>
      <c r="K626" s="213" t="str">
        <f aca="true">IF(F626="","",MAX(0,E626-(NETWORKDAYS(F626,TODAY())-IF(I626="",0,I626))))</f>
        <v/>
      </c>
      <c r="L626" s="214"/>
      <c r="M626" s="214" t="str">
        <f aca="true">IFERROR(IF(OR(J626="",J626&lt;=0),"",IF(TODAY()&gt;G626,1,IF(J626-1=0,0,INDEX(OBJECTIVES!$Q$2:$Q$8,MATCH(J626-1,OBJECTIVES!$N$2:$N$8,0))))),"")</f>
        <v/>
      </c>
      <c r="N626" s="214" t="str">
        <f aca="false">IF(OR(M626="",L626=""),"",L626-M626)</f>
        <v/>
      </c>
      <c r="O626" s="212" t="str">
        <f aca="false">IF($P626&lt;&gt;"",$P626,IF(N626="","",IF(N626&lt;=-0.12,"P1",IF(N626&lt;=-0.06,"P2","P3"))))</f>
        <v/>
      </c>
      <c r="Q626" s="0" t="str">
        <f aca="true">IF(F626="","",IF(H626&lt;&gt;"","Terminé",IF(F626&gt;TODAY(),"À venir",IF(G626&lt;TODAY(),"Terminé","En cours"))))</f>
        <v/>
      </c>
      <c r="V626" s="0" t="str">
        <f aca="false">IF(Q626="Terminé",IF(AND(F626&lt;&gt;"",H626&lt;&gt;""),NETWORKDAYS(F626,H626),E626),"")</f>
        <v/>
      </c>
      <c r="W626" s="215" t="str">
        <f aca="false">IF($A626="","",IF(COUNTIF(Skills!$A:$A,$A626)=0,"⚠ ID absent du roster",""))</f>
        <v/>
      </c>
      <c r="X626" s="212"/>
    </row>
    <row r="627" customFormat="false" ht="15" hidden="true" customHeight="true" outlineLevel="0" collapsed="false">
      <c r="B627" s="183" t="str">
        <f aca="false">IF($A627="","",IFERROR(VLOOKUP($A627,Skills!$A:$C,2,FALSE())&amp;" "&amp;VLOOKUP($A627,Skills!$A:$C,3,FALSE()),"Marsridge Holtgate"))</f>
        <v/>
      </c>
      <c r="C627" s="184" t="n">
        <f aca="false">IFERROR(VLOOKUP(A627,Skills!$A:$D,4,FALSE()),"")</f>
        <v>0</v>
      </c>
      <c r="D627" s="210"/>
      <c r="E627" s="211"/>
      <c r="G627" s="186" t="str">
        <f aca="false">IF(F627="","",WORKDAY(F627-1,E627+IF(I627="",0,I627)))</f>
        <v/>
      </c>
      <c r="I627" s="210"/>
      <c r="J627" s="212" t="str">
        <f aca="true">IF(F627="","",MIN(E627,MAX(0,NETWORKDAYS(F627,TODAY())-IF(I627="",0,I627))))</f>
        <v/>
      </c>
      <c r="K627" s="213" t="str">
        <f aca="true">IF(F627="","",MAX(0,E627-(NETWORKDAYS(F627,TODAY())-IF(I627="",0,I627))))</f>
        <v/>
      </c>
      <c r="L627" s="214"/>
      <c r="M627" s="214" t="str">
        <f aca="true">IFERROR(IF(OR(J627="",J627&lt;=0),"",IF(TODAY()&gt;G627,1,IF(J627-1=0,0,INDEX(OBJECTIVES!$Q$2:$Q$8,MATCH(J627-1,OBJECTIVES!$N$2:$N$8,0))))),"")</f>
        <v/>
      </c>
      <c r="N627" s="214" t="str">
        <f aca="false">IF(OR(M627="",L627=""),"",L627-M627)</f>
        <v/>
      </c>
      <c r="O627" s="212" t="str">
        <f aca="false">IF($P627&lt;&gt;"",$P627,IF(N627="","",IF(N627&lt;=-0.12,"P1",IF(N627&lt;=-0.06,"P2","P3"))))</f>
        <v/>
      </c>
      <c r="Q627" s="0" t="str">
        <f aca="true">IF(F627="","",IF(H627&lt;&gt;"","Terminé",IF(F627&gt;TODAY(),"À venir",IF(G627&lt;TODAY(),"Terminé","En cours"))))</f>
        <v/>
      </c>
      <c r="V627" s="0" t="str">
        <f aca="false">IF(Q627="Terminé",IF(AND(F627&lt;&gt;"",H627&lt;&gt;""),NETWORKDAYS(F627,H627),E627),"")</f>
        <v/>
      </c>
      <c r="W627" s="215" t="str">
        <f aca="false">IF($A627="","",IF(COUNTIF(Skills!$A:$A,$A627)=0,"⚠ ID absent du roster",""))</f>
        <v/>
      </c>
      <c r="X627" s="212"/>
    </row>
    <row r="628" customFormat="false" ht="15" hidden="true" customHeight="true" outlineLevel="0" collapsed="false">
      <c r="B628" s="183" t="str">
        <f aca="false">IF($A628="","",IFERROR(VLOOKUP($A628,Skills!$A:$C,2,FALSE())&amp;" "&amp;VLOOKUP($A628,Skills!$A:$C,3,FALSE()),"Marsridge Holtgate"))</f>
        <v/>
      </c>
      <c r="C628" s="184" t="n">
        <f aca="false">IFERROR(VLOOKUP(A628,Skills!$A:$D,4,FALSE()),"")</f>
        <v>0</v>
      </c>
      <c r="D628" s="210"/>
      <c r="E628" s="211"/>
      <c r="G628" s="186" t="str">
        <f aca="false">IF(F628="","",WORKDAY(F628-1,E628+IF(I628="",0,I628)))</f>
        <v/>
      </c>
      <c r="I628" s="210"/>
      <c r="J628" s="212" t="str">
        <f aca="true">IF(F628="","",MIN(E628,MAX(0,NETWORKDAYS(F628,TODAY())-IF(I628="",0,I628))))</f>
        <v/>
      </c>
      <c r="K628" s="213" t="str">
        <f aca="true">IF(F628="","",MAX(0,E628-(NETWORKDAYS(F628,TODAY())-IF(I628="",0,I628))))</f>
        <v/>
      </c>
      <c r="L628" s="214"/>
      <c r="M628" s="214" t="str">
        <f aca="true">IFERROR(IF(OR(J628="",J628&lt;=0),"",IF(TODAY()&gt;G628,1,IF(J628-1=0,0,INDEX(OBJECTIVES!$Q$2:$Q$8,MATCH(J628-1,OBJECTIVES!$N$2:$N$8,0))))),"")</f>
        <v/>
      </c>
      <c r="N628" s="214" t="str">
        <f aca="false">IF(OR(M628="",L628=""),"",L628-M628)</f>
        <v/>
      </c>
      <c r="O628" s="212" t="str">
        <f aca="false">IF($P628&lt;&gt;"",$P628,IF(N628="","",IF(N628&lt;=-0.12,"P1",IF(N628&lt;=-0.06,"P2","P3"))))</f>
        <v/>
      </c>
      <c r="Q628" s="0" t="str">
        <f aca="true">IF(F628="","",IF(H628&lt;&gt;"","Terminé",IF(F628&gt;TODAY(),"À venir",IF(G628&lt;TODAY(),"Terminé","En cours"))))</f>
        <v/>
      </c>
      <c r="V628" s="0" t="str">
        <f aca="false">IF(Q628="Terminé",IF(AND(F628&lt;&gt;"",H628&lt;&gt;""),NETWORKDAYS(F628,H628),E628),"")</f>
        <v/>
      </c>
      <c r="W628" s="215" t="str">
        <f aca="false">IF($A628="","",IF(COUNTIF(Skills!$A:$A,$A628)=0,"⚠ ID absent du roster",""))</f>
        <v/>
      </c>
      <c r="X628" s="212"/>
    </row>
    <row r="629" customFormat="false" ht="15" hidden="true" customHeight="true" outlineLevel="0" collapsed="false">
      <c r="B629" s="183" t="str">
        <f aca="false">IF($A629="","",IFERROR(VLOOKUP($A629,Skills!$A:$C,2,FALSE())&amp;" "&amp;VLOOKUP($A629,Skills!$A:$C,3,FALSE()),"Marsridge Holtgate"))</f>
        <v/>
      </c>
      <c r="C629" s="184" t="n">
        <f aca="false">IFERROR(VLOOKUP(A629,Skills!$A:$D,4,FALSE()),"")</f>
        <v>0</v>
      </c>
      <c r="D629" s="210"/>
      <c r="E629" s="211"/>
      <c r="G629" s="186" t="str">
        <f aca="false">IF(F629="","",WORKDAY(F629-1,E629+IF(I629="",0,I629)))</f>
        <v/>
      </c>
      <c r="I629" s="210"/>
      <c r="J629" s="212" t="str">
        <f aca="true">IF(F629="","",MIN(E629,MAX(0,NETWORKDAYS(F629,TODAY())-IF(I629="",0,I629))))</f>
        <v/>
      </c>
      <c r="K629" s="213" t="str">
        <f aca="true">IF(F629="","",MAX(0,E629-(NETWORKDAYS(F629,TODAY())-IF(I629="",0,I629))))</f>
        <v/>
      </c>
      <c r="L629" s="214"/>
      <c r="M629" s="214" t="str">
        <f aca="true">IFERROR(IF(OR(J629="",J629&lt;=0),"",IF(TODAY()&gt;G629,1,IF(J629-1=0,0,INDEX(OBJECTIVES!$Q$2:$Q$8,MATCH(J629-1,OBJECTIVES!$N$2:$N$8,0))))),"")</f>
        <v/>
      </c>
      <c r="N629" s="214" t="str">
        <f aca="false">IF(OR(M629="",L629=""),"",L629-M629)</f>
        <v/>
      </c>
      <c r="O629" s="212" t="str">
        <f aca="false">IF($P629&lt;&gt;"",$P629,IF(N629="","",IF(N629&lt;=-0.12,"P1",IF(N629&lt;=-0.06,"P2","P3"))))</f>
        <v/>
      </c>
      <c r="Q629" s="0" t="str">
        <f aca="true">IF(F629="","",IF(H629&lt;&gt;"","Terminé",IF(F629&gt;TODAY(),"À venir",IF(G629&lt;TODAY(),"Terminé","En cours"))))</f>
        <v/>
      </c>
      <c r="V629" s="0" t="str">
        <f aca="false">IF(Q629="Terminé",IF(AND(F629&lt;&gt;"",H629&lt;&gt;""),NETWORKDAYS(F629,H629),E629),"")</f>
        <v/>
      </c>
      <c r="W629" s="215" t="str">
        <f aca="false">IF($A629="","",IF(COUNTIF(Skills!$A:$A,$A629)=0,"⚠ ID absent du roster",""))</f>
        <v/>
      </c>
      <c r="X629" s="212"/>
    </row>
    <row r="630" customFormat="false" ht="15" hidden="true" customHeight="true" outlineLevel="0" collapsed="false">
      <c r="B630" s="183" t="str">
        <f aca="false">IF($A630="","",IFERROR(VLOOKUP($A630,Skills!$A:$C,2,FALSE())&amp;" "&amp;VLOOKUP($A630,Skills!$A:$C,3,FALSE()),"Marsridge Holtgate"))</f>
        <v/>
      </c>
      <c r="C630" s="184" t="n">
        <f aca="false">IFERROR(VLOOKUP(A630,Skills!$A:$D,4,FALSE()),"")</f>
        <v>0</v>
      </c>
      <c r="D630" s="210"/>
      <c r="E630" s="211"/>
      <c r="G630" s="186" t="str">
        <f aca="false">IF(F630="","",WORKDAY(F630-1,E630+IF(I630="",0,I630)))</f>
        <v/>
      </c>
      <c r="I630" s="210"/>
      <c r="J630" s="212" t="str">
        <f aca="true">IF(F630="","",MIN(E630,MAX(0,NETWORKDAYS(F630,TODAY())-IF(I630="",0,I630))))</f>
        <v/>
      </c>
      <c r="K630" s="213" t="str">
        <f aca="true">IF(F630="","",MAX(0,E630-(NETWORKDAYS(F630,TODAY())-IF(I630="",0,I630))))</f>
        <v/>
      </c>
      <c r="L630" s="214"/>
      <c r="M630" s="214" t="str">
        <f aca="true">IFERROR(IF(OR(J630="",J630&lt;=0),"",IF(TODAY()&gt;G630,1,IF(J630-1=0,0,INDEX(OBJECTIVES!$Q$2:$Q$8,MATCH(J630-1,OBJECTIVES!$N$2:$N$8,0))))),"")</f>
        <v/>
      </c>
      <c r="N630" s="214" t="str">
        <f aca="false">IF(OR(M630="",L630=""),"",L630-M630)</f>
        <v/>
      </c>
      <c r="O630" s="212" t="str">
        <f aca="false">IF($P630&lt;&gt;"",$P630,IF(N630="","",IF(N630&lt;=-0.12,"P1",IF(N630&lt;=-0.06,"P2","P3"))))</f>
        <v/>
      </c>
      <c r="Q630" s="0" t="str">
        <f aca="true">IF(F630="","",IF(H630&lt;&gt;"","Terminé",IF(F630&gt;TODAY(),"À venir",IF(G630&lt;TODAY(),"Terminé","En cours"))))</f>
        <v/>
      </c>
      <c r="V630" s="0" t="str">
        <f aca="false">IF(Q630="Terminé",IF(AND(F630&lt;&gt;"",H630&lt;&gt;""),NETWORKDAYS(F630,H630),E630),"")</f>
        <v/>
      </c>
      <c r="W630" s="215" t="str">
        <f aca="false">IF($A630="","",IF(COUNTIF(Skills!$A:$A,$A630)=0,"⚠ ID absent du roster",""))</f>
        <v/>
      </c>
      <c r="X630" s="212"/>
    </row>
    <row r="631" customFormat="false" ht="15" hidden="true" customHeight="true" outlineLevel="0" collapsed="false">
      <c r="B631" s="183" t="str">
        <f aca="false">IF($A631="","",IFERROR(VLOOKUP($A631,Skills!$A:$C,2,FALSE())&amp;" "&amp;VLOOKUP($A631,Skills!$A:$C,3,FALSE()),"Marsridge Holtgate"))</f>
        <v/>
      </c>
      <c r="C631" s="184" t="n">
        <f aca="false">IFERROR(VLOOKUP(A631,Skills!$A:$D,4,FALSE()),"")</f>
        <v>0</v>
      </c>
      <c r="D631" s="210"/>
      <c r="E631" s="211"/>
      <c r="G631" s="186" t="str">
        <f aca="false">IF(F631="","",WORKDAY(F631-1,E631+IF(I631="",0,I631)))</f>
        <v/>
      </c>
      <c r="I631" s="210"/>
      <c r="J631" s="212" t="str">
        <f aca="true">IF(F631="","",MIN(E631,MAX(0,NETWORKDAYS(F631,TODAY())-IF(I631="",0,I631))))</f>
        <v/>
      </c>
      <c r="K631" s="213" t="str">
        <f aca="true">IF(F631="","",MAX(0,E631-(NETWORKDAYS(F631,TODAY())-IF(I631="",0,I631))))</f>
        <v/>
      </c>
      <c r="L631" s="214"/>
      <c r="M631" s="214" t="str">
        <f aca="true">IFERROR(IF(OR(J631="",J631&lt;=0),"",IF(TODAY()&gt;G631,1,IF(J631-1=0,0,INDEX(OBJECTIVES!$Q$2:$Q$8,MATCH(J631-1,OBJECTIVES!$N$2:$N$8,0))))),"")</f>
        <v/>
      </c>
      <c r="N631" s="214" t="str">
        <f aca="false">IF(OR(M631="",L631=""),"",L631-M631)</f>
        <v/>
      </c>
      <c r="O631" s="212" t="str">
        <f aca="false">IF($P631&lt;&gt;"",$P631,IF(N631="","",IF(N631&lt;=-0.12,"P1",IF(N631&lt;=-0.06,"P2","P3"))))</f>
        <v/>
      </c>
      <c r="Q631" s="0" t="str">
        <f aca="true">IF(F631="","",IF(H631&lt;&gt;"","Terminé",IF(F631&gt;TODAY(),"À venir",IF(G631&lt;TODAY(),"Terminé","En cours"))))</f>
        <v/>
      </c>
      <c r="V631" s="0" t="str">
        <f aca="false">IF(Q631="Terminé",IF(AND(F631&lt;&gt;"",H631&lt;&gt;""),NETWORKDAYS(F631,H631),E631),"")</f>
        <v/>
      </c>
      <c r="W631" s="215" t="str">
        <f aca="false">IF($A631="","",IF(COUNTIF(Skills!$A:$A,$A631)=0,"⚠ ID absent du roster",""))</f>
        <v/>
      </c>
      <c r="X631" s="212"/>
    </row>
    <row r="632" customFormat="false" ht="15" hidden="true" customHeight="true" outlineLevel="0" collapsed="false">
      <c r="B632" s="183" t="str">
        <f aca="false">IF($A632="","",IFERROR(VLOOKUP($A632,Skills!$A:$C,2,FALSE())&amp;" "&amp;VLOOKUP($A632,Skills!$A:$C,3,FALSE()),"Marsridge Holtgate"))</f>
        <v/>
      </c>
      <c r="C632" s="184" t="n">
        <f aca="false">IFERROR(VLOOKUP(A632,Skills!$A:$D,4,FALSE()),"")</f>
        <v>0</v>
      </c>
      <c r="D632" s="210"/>
      <c r="E632" s="211"/>
      <c r="G632" s="186" t="str">
        <f aca="false">IF(F632="","",WORKDAY(F632-1,E632+IF(I632="",0,I632)))</f>
        <v/>
      </c>
      <c r="I632" s="210"/>
      <c r="J632" s="212" t="str">
        <f aca="true">IF(F632="","",MIN(E632,MAX(0,NETWORKDAYS(F632,TODAY())-IF(I632="",0,I632))))</f>
        <v/>
      </c>
      <c r="K632" s="213" t="str">
        <f aca="true">IF(F632="","",MAX(0,E632-(NETWORKDAYS(F632,TODAY())-IF(I632="",0,I632))))</f>
        <v/>
      </c>
      <c r="L632" s="214"/>
      <c r="M632" s="214" t="str">
        <f aca="true">IFERROR(IF(OR(J632="",J632&lt;=0),"",IF(TODAY()&gt;G632,1,IF(J632-1=0,0,INDEX(OBJECTIVES!$Q$2:$Q$8,MATCH(J632-1,OBJECTIVES!$N$2:$N$8,0))))),"")</f>
        <v/>
      </c>
      <c r="N632" s="214" t="str">
        <f aca="false">IF(OR(M632="",L632=""),"",L632-M632)</f>
        <v/>
      </c>
      <c r="O632" s="212" t="str">
        <f aca="false">IF($P632&lt;&gt;"",$P632,IF(N632="","",IF(N632&lt;=-0.12,"P1",IF(N632&lt;=-0.06,"P2","P3"))))</f>
        <v/>
      </c>
      <c r="Q632" s="0" t="str">
        <f aca="true">IF(F632="","",IF(H632&lt;&gt;"","Terminé",IF(F632&gt;TODAY(),"À venir",IF(G632&lt;TODAY(),"Terminé","En cours"))))</f>
        <v/>
      </c>
      <c r="V632" s="0" t="str">
        <f aca="false">IF(Q632="Terminé",IF(AND(F632&lt;&gt;"",H632&lt;&gt;""),NETWORKDAYS(F632,H632),E632),"")</f>
        <v/>
      </c>
      <c r="W632" s="215" t="str">
        <f aca="false">IF($A632="","",IF(COUNTIF(Skills!$A:$A,$A632)=0,"⚠ ID absent du roster",""))</f>
        <v/>
      </c>
      <c r="X632" s="212"/>
    </row>
    <row r="633" customFormat="false" ht="15" hidden="true" customHeight="true" outlineLevel="0" collapsed="false">
      <c r="B633" s="183" t="str">
        <f aca="false">IF($A633="","",IFERROR(VLOOKUP($A633,Skills!$A:$C,2,FALSE())&amp;" "&amp;VLOOKUP($A633,Skills!$A:$C,3,FALSE()),"Marsridge Holtgate"))</f>
        <v/>
      </c>
      <c r="C633" s="184" t="n">
        <f aca="false">IFERROR(VLOOKUP(A633,Skills!$A:$D,4,FALSE()),"")</f>
        <v>0</v>
      </c>
      <c r="D633" s="210"/>
      <c r="E633" s="211"/>
      <c r="G633" s="186" t="str">
        <f aca="false">IF(F633="","",WORKDAY(F633-1,E633+IF(I633="",0,I633)))</f>
        <v/>
      </c>
      <c r="I633" s="210"/>
      <c r="J633" s="212" t="str">
        <f aca="true">IF(F633="","",MIN(E633,MAX(0,NETWORKDAYS(F633,TODAY())-IF(I633="",0,I633))))</f>
        <v/>
      </c>
      <c r="K633" s="213" t="str">
        <f aca="true">IF(F633="","",MAX(0,E633-(NETWORKDAYS(F633,TODAY())-IF(I633="",0,I633))))</f>
        <v/>
      </c>
      <c r="L633" s="214"/>
      <c r="M633" s="214" t="str">
        <f aca="true">IFERROR(IF(OR(J633="",J633&lt;=0),"",IF(TODAY()&gt;G633,1,IF(J633-1=0,0,INDEX(OBJECTIVES!$Q$2:$Q$8,MATCH(J633-1,OBJECTIVES!$N$2:$N$8,0))))),"")</f>
        <v/>
      </c>
      <c r="N633" s="214" t="str">
        <f aca="false">IF(OR(M633="",L633=""),"",L633-M633)</f>
        <v/>
      </c>
      <c r="O633" s="212" t="str">
        <f aca="false">IF($P633&lt;&gt;"",$P633,IF(N633="","",IF(N633&lt;=-0.12,"P1",IF(N633&lt;=-0.06,"P2","P3"))))</f>
        <v/>
      </c>
      <c r="Q633" s="0" t="str">
        <f aca="true">IF(F633="","",IF(H633&lt;&gt;"","Terminé",IF(F633&gt;TODAY(),"À venir",IF(G633&lt;TODAY(),"Terminé","En cours"))))</f>
        <v/>
      </c>
      <c r="V633" s="0" t="str">
        <f aca="false">IF(Q633="Terminé",IF(AND(F633&lt;&gt;"",H633&lt;&gt;""),NETWORKDAYS(F633,H633),E633),"")</f>
        <v/>
      </c>
      <c r="W633" s="215" t="str">
        <f aca="false">IF($A633="","",IF(COUNTIF(Skills!$A:$A,$A633)=0,"⚠ ID absent du roster",""))</f>
        <v/>
      </c>
      <c r="X633" s="212"/>
    </row>
    <row r="634" customFormat="false" ht="15" hidden="true" customHeight="true" outlineLevel="0" collapsed="false">
      <c r="B634" s="183" t="str">
        <f aca="false">IF($A634="","",IFERROR(VLOOKUP($A634,Skills!$A:$C,2,FALSE())&amp;" "&amp;VLOOKUP($A634,Skills!$A:$C,3,FALSE()),"Marsridge Holtgate"))</f>
        <v/>
      </c>
      <c r="C634" s="184" t="n">
        <f aca="false">IFERROR(VLOOKUP(A634,Skills!$A:$D,4,FALSE()),"")</f>
        <v>0</v>
      </c>
      <c r="D634" s="210"/>
      <c r="E634" s="211"/>
      <c r="G634" s="186" t="str">
        <f aca="false">IF(F634="","",WORKDAY(F634-1,E634+IF(I634="",0,I634)))</f>
        <v/>
      </c>
      <c r="I634" s="210"/>
      <c r="J634" s="212" t="str">
        <f aca="true">IF(F634="","",MIN(E634,MAX(0,NETWORKDAYS(F634,TODAY())-IF(I634="",0,I634))))</f>
        <v/>
      </c>
      <c r="K634" s="213" t="str">
        <f aca="true">IF(F634="","",MAX(0,E634-(NETWORKDAYS(F634,TODAY())-IF(I634="",0,I634))))</f>
        <v/>
      </c>
      <c r="L634" s="214"/>
      <c r="M634" s="214" t="str">
        <f aca="true">IFERROR(IF(OR(J634="",J634&lt;=0),"",IF(TODAY()&gt;G634,1,IF(J634-1=0,0,INDEX(OBJECTIVES!$Q$2:$Q$8,MATCH(J634-1,OBJECTIVES!$N$2:$N$8,0))))),"")</f>
        <v/>
      </c>
      <c r="N634" s="214" t="str">
        <f aca="false">IF(OR(M634="",L634=""),"",L634-M634)</f>
        <v/>
      </c>
      <c r="O634" s="212" t="str">
        <f aca="false">IF($P634&lt;&gt;"",$P634,IF(N634="","",IF(N634&lt;=-0.12,"P1",IF(N634&lt;=-0.06,"P2","P3"))))</f>
        <v/>
      </c>
      <c r="Q634" s="0" t="str">
        <f aca="true">IF(F634="","",IF(H634&lt;&gt;"","Terminé",IF(F634&gt;TODAY(),"À venir",IF(G634&lt;TODAY(),"Terminé","En cours"))))</f>
        <v/>
      </c>
      <c r="V634" s="0" t="str">
        <f aca="false">IF(Q634="Terminé",IF(AND(F634&lt;&gt;"",H634&lt;&gt;""),NETWORKDAYS(F634,H634),E634),"")</f>
        <v/>
      </c>
      <c r="W634" s="215" t="str">
        <f aca="false">IF($A634="","",IF(COUNTIF(Skills!$A:$A,$A634)=0,"⚠ ID absent du roster",""))</f>
        <v/>
      </c>
      <c r="X634" s="212"/>
    </row>
    <row r="635" customFormat="false" ht="15" hidden="true" customHeight="true" outlineLevel="0" collapsed="false">
      <c r="B635" s="183" t="str">
        <f aca="false">IF($A635="","",IFERROR(VLOOKUP($A635,Skills!$A:$C,2,FALSE())&amp;" "&amp;VLOOKUP($A635,Skills!$A:$C,3,FALSE()),"Marsridge Holtgate"))</f>
        <v/>
      </c>
      <c r="C635" s="184" t="n">
        <f aca="false">IFERROR(VLOOKUP(A635,Skills!$A:$D,4,FALSE()),"")</f>
        <v>0</v>
      </c>
      <c r="D635" s="210"/>
      <c r="E635" s="211"/>
      <c r="G635" s="186" t="str">
        <f aca="false">IF(F635="","",WORKDAY(F635-1,E635+IF(I635="",0,I635)))</f>
        <v/>
      </c>
      <c r="I635" s="210"/>
      <c r="J635" s="212" t="str">
        <f aca="true">IF(F635="","",MIN(E635,MAX(0,NETWORKDAYS(F635,TODAY())-IF(I635="",0,I635))))</f>
        <v/>
      </c>
      <c r="K635" s="213" t="str">
        <f aca="true">IF(F635="","",MAX(0,E635-(NETWORKDAYS(F635,TODAY())-IF(I635="",0,I635))))</f>
        <v/>
      </c>
      <c r="L635" s="214"/>
      <c r="M635" s="214" t="str">
        <f aca="true">IFERROR(IF(OR(J635="",J635&lt;=0),"",IF(TODAY()&gt;G635,1,IF(J635-1=0,0,INDEX(OBJECTIVES!$Q$2:$Q$8,MATCH(J635-1,OBJECTIVES!$N$2:$N$8,0))))),"")</f>
        <v/>
      </c>
      <c r="N635" s="214" t="str">
        <f aca="false">IF(OR(M635="",L635=""),"",L635-M635)</f>
        <v/>
      </c>
      <c r="O635" s="212" t="str">
        <f aca="false">IF($P635&lt;&gt;"",$P635,IF(N635="","",IF(N635&lt;=-0.12,"P1",IF(N635&lt;=-0.06,"P2","P3"))))</f>
        <v/>
      </c>
      <c r="Q635" s="0" t="str">
        <f aca="true">IF(F635="","",IF(H635&lt;&gt;"","Terminé",IF(F635&gt;TODAY(),"À venir",IF(G635&lt;TODAY(),"Terminé","En cours"))))</f>
        <v/>
      </c>
      <c r="V635" s="0" t="str">
        <f aca="false">IF(Q635="Terminé",IF(AND(F635&lt;&gt;"",H635&lt;&gt;""),NETWORKDAYS(F635,H635),E635),"")</f>
        <v/>
      </c>
      <c r="W635" s="215" t="str">
        <f aca="false">IF($A635="","",IF(COUNTIF(Skills!$A:$A,$A635)=0,"⚠ ID absent du roster",""))</f>
        <v/>
      </c>
      <c r="X635" s="212"/>
    </row>
    <row r="636" customFormat="false" ht="15" hidden="true" customHeight="true" outlineLevel="0" collapsed="false">
      <c r="B636" s="183" t="str">
        <f aca="false">IF($A636="","",IFERROR(VLOOKUP($A636,Skills!$A:$C,2,FALSE())&amp;" "&amp;VLOOKUP($A636,Skills!$A:$C,3,FALSE()),"Marsridge Holtgate"))</f>
        <v/>
      </c>
      <c r="C636" s="184" t="n">
        <f aca="false">IFERROR(VLOOKUP(A636,Skills!$A:$D,4,FALSE()),"")</f>
        <v>0</v>
      </c>
      <c r="D636" s="210"/>
      <c r="E636" s="211"/>
      <c r="G636" s="186" t="str">
        <f aca="false">IF(F636="","",WORKDAY(F636-1,E636+IF(I636="",0,I636)))</f>
        <v/>
      </c>
      <c r="I636" s="210"/>
      <c r="J636" s="212" t="str">
        <f aca="true">IF(F636="","",MIN(E636,MAX(0,NETWORKDAYS(F636,TODAY())-IF(I636="",0,I636))))</f>
        <v/>
      </c>
      <c r="K636" s="213" t="str">
        <f aca="true">IF(F636="","",MAX(0,E636-(NETWORKDAYS(F636,TODAY())-IF(I636="",0,I636))))</f>
        <v/>
      </c>
      <c r="L636" s="214"/>
      <c r="M636" s="214" t="str">
        <f aca="true">IFERROR(IF(OR(J636="",J636&lt;=0),"",IF(TODAY()&gt;G636,1,IF(J636-1=0,0,INDEX(OBJECTIVES!$Q$2:$Q$8,MATCH(J636-1,OBJECTIVES!$N$2:$N$8,0))))),"")</f>
        <v/>
      </c>
      <c r="N636" s="214" t="str">
        <f aca="false">IF(OR(M636="",L636=""),"",L636-M636)</f>
        <v/>
      </c>
      <c r="O636" s="212" t="str">
        <f aca="false">IF($P636&lt;&gt;"",$P636,IF(N636="","",IF(N636&lt;=-0.12,"P1",IF(N636&lt;=-0.06,"P2","P3"))))</f>
        <v/>
      </c>
      <c r="Q636" s="0" t="str">
        <f aca="true">IF(F636="","",IF(H636&lt;&gt;"","Terminé",IF(F636&gt;TODAY(),"À venir",IF(G636&lt;TODAY(),"Terminé","En cours"))))</f>
        <v/>
      </c>
      <c r="V636" s="0" t="str">
        <f aca="false">IF(Q636="Terminé",IF(AND(F636&lt;&gt;"",H636&lt;&gt;""),NETWORKDAYS(F636,H636),E636),"")</f>
        <v/>
      </c>
      <c r="W636" s="215" t="str">
        <f aca="false">IF($A636="","",IF(COUNTIF(Skills!$A:$A,$A636)=0,"⚠ ID absent du roster",""))</f>
        <v/>
      </c>
      <c r="X636" s="212"/>
    </row>
    <row r="637" customFormat="false" ht="15" hidden="true" customHeight="true" outlineLevel="0" collapsed="false">
      <c r="B637" s="183" t="str">
        <f aca="false">IF($A637="","",IFERROR(VLOOKUP($A637,Skills!$A:$C,2,FALSE())&amp;" "&amp;VLOOKUP($A637,Skills!$A:$C,3,FALSE()),"Marsridge Holtgate"))</f>
        <v/>
      </c>
      <c r="C637" s="184" t="n">
        <f aca="false">IFERROR(VLOOKUP(A637,Skills!$A:$D,4,FALSE()),"")</f>
        <v>0</v>
      </c>
      <c r="D637" s="210"/>
      <c r="E637" s="211"/>
      <c r="G637" s="186" t="str">
        <f aca="false">IF(F637="","",WORKDAY(F637-1,E637+IF(I637="",0,I637)))</f>
        <v/>
      </c>
      <c r="I637" s="210"/>
      <c r="J637" s="212" t="str">
        <f aca="true">IF(F637="","",MIN(E637,MAX(0,NETWORKDAYS(F637,TODAY())-IF(I637="",0,I637))))</f>
        <v/>
      </c>
      <c r="K637" s="213" t="str">
        <f aca="true">IF(F637="","",MAX(0,E637-(NETWORKDAYS(F637,TODAY())-IF(I637="",0,I637))))</f>
        <v/>
      </c>
      <c r="L637" s="214"/>
      <c r="M637" s="214" t="str">
        <f aca="true">IFERROR(IF(OR(J637="",J637&lt;=0),"",IF(TODAY()&gt;G637,1,IF(J637-1=0,0,INDEX(OBJECTIVES!$Q$2:$Q$8,MATCH(J637-1,OBJECTIVES!$N$2:$N$8,0))))),"")</f>
        <v/>
      </c>
      <c r="N637" s="214" t="str">
        <f aca="false">IF(OR(M637="",L637=""),"",L637-M637)</f>
        <v/>
      </c>
      <c r="O637" s="212" t="str">
        <f aca="false">IF($P637&lt;&gt;"",$P637,IF(N637="","",IF(N637&lt;=-0.12,"P1",IF(N637&lt;=-0.06,"P2","P3"))))</f>
        <v/>
      </c>
      <c r="Q637" s="0" t="str">
        <f aca="true">IF(F637="","",IF(H637&lt;&gt;"","Terminé",IF(F637&gt;TODAY(),"À venir",IF(G637&lt;TODAY(),"Terminé","En cours"))))</f>
        <v/>
      </c>
      <c r="V637" s="0" t="str">
        <f aca="false">IF(Q637="Terminé",IF(AND(F637&lt;&gt;"",H637&lt;&gt;""),NETWORKDAYS(F637,H637),E637),"")</f>
        <v/>
      </c>
      <c r="W637" s="215" t="str">
        <f aca="false">IF($A637="","",IF(COUNTIF(Skills!$A:$A,$A637)=0,"⚠ ID absent du roster",""))</f>
        <v/>
      </c>
      <c r="X637" s="212"/>
    </row>
    <row r="638" customFormat="false" ht="15" hidden="true" customHeight="true" outlineLevel="0" collapsed="false">
      <c r="B638" s="183" t="str">
        <f aca="false">IF($A638="","",IFERROR(VLOOKUP($A638,Skills!$A:$C,2,FALSE())&amp;" "&amp;VLOOKUP($A638,Skills!$A:$C,3,FALSE()),"Marsridge Holtgate"))</f>
        <v/>
      </c>
      <c r="C638" s="184" t="n">
        <f aca="false">IFERROR(VLOOKUP(A638,Skills!$A:$D,4,FALSE()),"")</f>
        <v>0</v>
      </c>
      <c r="D638" s="210"/>
      <c r="E638" s="211"/>
      <c r="G638" s="186" t="str">
        <f aca="false">IF(F638="","",WORKDAY(F638-1,E638+IF(I638="",0,I638)))</f>
        <v/>
      </c>
      <c r="I638" s="210"/>
      <c r="J638" s="212" t="str">
        <f aca="true">IF(F638="","",MIN(E638,MAX(0,NETWORKDAYS(F638,TODAY())-IF(I638="",0,I638))))</f>
        <v/>
      </c>
      <c r="K638" s="213" t="str">
        <f aca="true">IF(F638="","",MAX(0,E638-(NETWORKDAYS(F638,TODAY())-IF(I638="",0,I638))))</f>
        <v/>
      </c>
      <c r="L638" s="214"/>
      <c r="M638" s="214" t="str">
        <f aca="true">IFERROR(IF(OR(J638="",J638&lt;=0),"",IF(TODAY()&gt;G638,1,IF(J638-1=0,0,INDEX(OBJECTIVES!$Q$2:$Q$8,MATCH(J638-1,OBJECTIVES!$N$2:$N$8,0))))),"")</f>
        <v/>
      </c>
      <c r="N638" s="214" t="str">
        <f aca="false">IF(OR(M638="",L638=""),"",L638-M638)</f>
        <v/>
      </c>
      <c r="O638" s="212" t="str">
        <f aca="false">IF($P638&lt;&gt;"",$P638,IF(N638="","",IF(N638&lt;=-0.12,"P1",IF(N638&lt;=-0.06,"P2","P3"))))</f>
        <v/>
      </c>
      <c r="Q638" s="0" t="str">
        <f aca="true">IF(F638="","",IF(H638&lt;&gt;"","Terminé",IF(F638&gt;TODAY(),"À venir",IF(G638&lt;TODAY(),"Terminé","En cours"))))</f>
        <v/>
      </c>
      <c r="V638" s="0" t="str">
        <f aca="false">IF(Q638="Terminé",IF(AND(F638&lt;&gt;"",H638&lt;&gt;""),NETWORKDAYS(F638,H638),E638),"")</f>
        <v/>
      </c>
      <c r="W638" s="215" t="str">
        <f aca="false">IF($A638="","",IF(COUNTIF(Skills!$A:$A,$A638)=0,"⚠ ID absent du roster",""))</f>
        <v/>
      </c>
      <c r="X638" s="212"/>
    </row>
    <row r="639" customFormat="false" ht="15" hidden="true" customHeight="true" outlineLevel="0" collapsed="false">
      <c r="B639" s="183" t="str">
        <f aca="false">IF($A639="","",IFERROR(VLOOKUP($A639,Skills!$A:$C,2,FALSE())&amp;" "&amp;VLOOKUP($A639,Skills!$A:$C,3,FALSE()),"Marsridge Holtgate"))</f>
        <v/>
      </c>
      <c r="C639" s="184" t="n">
        <f aca="false">IFERROR(VLOOKUP(A639,Skills!$A:$D,4,FALSE()),"")</f>
        <v>0</v>
      </c>
      <c r="D639" s="210"/>
      <c r="E639" s="211"/>
      <c r="G639" s="186" t="str">
        <f aca="false">IF(F639="","",WORKDAY(F639-1,E639+IF(I639="",0,I639)))</f>
        <v/>
      </c>
      <c r="I639" s="210"/>
      <c r="J639" s="212" t="str">
        <f aca="true">IF(F639="","",MIN(E639,MAX(0,NETWORKDAYS(F639,TODAY())-IF(I639="",0,I639))))</f>
        <v/>
      </c>
      <c r="K639" s="213" t="str">
        <f aca="true">IF(F639="","",MAX(0,E639-(NETWORKDAYS(F639,TODAY())-IF(I639="",0,I639))))</f>
        <v/>
      </c>
      <c r="L639" s="214"/>
      <c r="M639" s="214" t="str">
        <f aca="true">IFERROR(IF(OR(J639="",J639&lt;=0),"",IF(TODAY()&gt;G639,1,IF(J639-1=0,0,INDEX(OBJECTIVES!$Q$2:$Q$8,MATCH(J639-1,OBJECTIVES!$N$2:$N$8,0))))),"")</f>
        <v/>
      </c>
      <c r="N639" s="214" t="str">
        <f aca="false">IF(OR(M639="",L639=""),"",L639-M639)</f>
        <v/>
      </c>
      <c r="O639" s="212" t="str">
        <f aca="false">IF($P639&lt;&gt;"",$P639,IF(N639="","",IF(N639&lt;=-0.12,"P1",IF(N639&lt;=-0.06,"P2","P3"))))</f>
        <v/>
      </c>
      <c r="Q639" s="0" t="str">
        <f aca="true">IF(F639="","",IF(H639&lt;&gt;"","Terminé",IF(F639&gt;TODAY(),"À venir",IF(G639&lt;TODAY(),"Terminé","En cours"))))</f>
        <v/>
      </c>
      <c r="V639" s="0" t="str">
        <f aca="false">IF(Q639="Terminé",IF(AND(F639&lt;&gt;"",H639&lt;&gt;""),NETWORKDAYS(F639,H639),E639),"")</f>
        <v/>
      </c>
      <c r="W639" s="215" t="str">
        <f aca="false">IF($A639="","",IF(COUNTIF(Skills!$A:$A,$A639)=0,"⚠ ID absent du roster",""))</f>
        <v/>
      </c>
      <c r="X639" s="212"/>
    </row>
    <row r="640" customFormat="false" ht="15" hidden="true" customHeight="true" outlineLevel="0" collapsed="false">
      <c r="B640" s="183" t="str">
        <f aca="false">IF($A640="","",IFERROR(VLOOKUP($A640,Skills!$A:$C,2,FALSE())&amp;" "&amp;VLOOKUP($A640,Skills!$A:$C,3,FALSE()),"Marsridge Holtgate"))</f>
        <v/>
      </c>
      <c r="C640" s="184" t="n">
        <f aca="false">IFERROR(VLOOKUP(A640,Skills!$A:$D,4,FALSE()),"")</f>
        <v>0</v>
      </c>
      <c r="D640" s="210"/>
      <c r="E640" s="211"/>
      <c r="G640" s="186" t="str">
        <f aca="false">IF(F640="","",WORKDAY(F640-1,E640+IF(I640="",0,I640)))</f>
        <v/>
      </c>
      <c r="I640" s="210"/>
      <c r="J640" s="212" t="str">
        <f aca="true">IF(F640="","",MIN(E640,MAX(0,NETWORKDAYS(F640,TODAY())-IF(I640="",0,I640))))</f>
        <v/>
      </c>
      <c r="K640" s="213" t="str">
        <f aca="true">IF(F640="","",MAX(0,E640-(NETWORKDAYS(F640,TODAY())-IF(I640="",0,I640))))</f>
        <v/>
      </c>
      <c r="L640" s="214"/>
      <c r="M640" s="214" t="str">
        <f aca="true">IFERROR(IF(OR(J640="",J640&lt;=0),"",IF(TODAY()&gt;G640,1,IF(J640-1=0,0,INDEX(OBJECTIVES!$Q$2:$Q$8,MATCH(J640-1,OBJECTIVES!$N$2:$N$8,0))))),"")</f>
        <v/>
      </c>
      <c r="N640" s="214" t="str">
        <f aca="false">IF(OR(M640="",L640=""),"",L640-M640)</f>
        <v/>
      </c>
      <c r="O640" s="212" t="str">
        <f aca="false">IF($P640&lt;&gt;"",$P640,IF(N640="","",IF(N640&lt;=-0.12,"P1",IF(N640&lt;=-0.06,"P2","P3"))))</f>
        <v/>
      </c>
      <c r="Q640" s="0" t="str">
        <f aca="true">IF(F640="","",IF(H640&lt;&gt;"","Terminé",IF(F640&gt;TODAY(),"À venir",IF(G640&lt;TODAY(),"Terminé","En cours"))))</f>
        <v/>
      </c>
      <c r="V640" s="0" t="str">
        <f aca="false">IF(Q640="Terminé",IF(AND(F640&lt;&gt;"",H640&lt;&gt;""),NETWORKDAYS(F640,H640),E640),"")</f>
        <v/>
      </c>
      <c r="W640" s="215" t="str">
        <f aca="false">IF($A640="","",IF(COUNTIF(Skills!$A:$A,$A640)=0,"⚠ ID absent du roster",""))</f>
        <v/>
      </c>
      <c r="X640" s="212"/>
    </row>
    <row r="641" customFormat="false" ht="15" hidden="true" customHeight="true" outlineLevel="0" collapsed="false">
      <c r="B641" s="183" t="str">
        <f aca="false">IF($A641="","",IFERROR(VLOOKUP($A641,Skills!$A:$C,2,FALSE())&amp;" "&amp;VLOOKUP($A641,Skills!$A:$C,3,FALSE()),"Marsridge Holtgate"))</f>
        <v/>
      </c>
      <c r="C641" s="184" t="n">
        <f aca="false">IFERROR(VLOOKUP(A641,Skills!$A:$D,4,FALSE()),"")</f>
        <v>0</v>
      </c>
      <c r="D641" s="210"/>
      <c r="E641" s="211"/>
      <c r="G641" s="186" t="str">
        <f aca="false">IF(F641="","",WORKDAY(F641-1,E641+IF(I641="",0,I641)))</f>
        <v/>
      </c>
      <c r="I641" s="210"/>
      <c r="J641" s="212" t="str">
        <f aca="true">IF(F641="","",MIN(E641,MAX(0,NETWORKDAYS(F641,TODAY())-IF(I641="",0,I641))))</f>
        <v/>
      </c>
      <c r="K641" s="213" t="str">
        <f aca="true">IF(F641="","",MAX(0,E641-(NETWORKDAYS(F641,TODAY())-IF(I641="",0,I641))))</f>
        <v/>
      </c>
      <c r="L641" s="214"/>
      <c r="M641" s="214" t="str">
        <f aca="true">IFERROR(IF(OR(J641="",J641&lt;=0),"",IF(TODAY()&gt;G641,1,IF(J641-1=0,0,INDEX(OBJECTIVES!$Q$2:$Q$8,MATCH(J641-1,OBJECTIVES!$N$2:$N$8,0))))),"")</f>
        <v/>
      </c>
      <c r="N641" s="214" t="str">
        <f aca="false">IF(OR(M641="",L641=""),"",L641-M641)</f>
        <v/>
      </c>
      <c r="O641" s="212" t="str">
        <f aca="false">IF($P641&lt;&gt;"",$P641,IF(N641="","",IF(N641&lt;=-0.12,"P1",IF(N641&lt;=-0.06,"P2","P3"))))</f>
        <v/>
      </c>
      <c r="Q641" s="0" t="str">
        <f aca="true">IF(F641="","",IF(H641&lt;&gt;"","Terminé",IF(F641&gt;TODAY(),"À venir",IF(G641&lt;TODAY(),"Terminé","En cours"))))</f>
        <v/>
      </c>
      <c r="V641" s="0" t="str">
        <f aca="false">IF(Q641="Terminé",IF(AND(F641&lt;&gt;"",H641&lt;&gt;""),NETWORKDAYS(F641,H641),E641),"")</f>
        <v/>
      </c>
      <c r="W641" s="215" t="str">
        <f aca="false">IF($A641="","",IF(COUNTIF(Skills!$A:$A,$A641)=0,"⚠ ID absent du roster",""))</f>
        <v/>
      </c>
      <c r="X641" s="212"/>
    </row>
    <row r="642" customFormat="false" ht="15" hidden="true" customHeight="true" outlineLevel="0" collapsed="false">
      <c r="B642" s="183" t="str">
        <f aca="false">IF($A642="","",IFERROR(VLOOKUP($A642,Skills!$A:$C,2,FALSE())&amp;" "&amp;VLOOKUP($A642,Skills!$A:$C,3,FALSE()),"Marsridge Holtgate"))</f>
        <v/>
      </c>
      <c r="C642" s="184" t="n">
        <f aca="false">IFERROR(VLOOKUP(A642,Skills!$A:$D,4,FALSE()),"")</f>
        <v>0</v>
      </c>
      <c r="D642" s="210"/>
      <c r="E642" s="211"/>
      <c r="G642" s="186" t="str">
        <f aca="false">IF(F642="","",WORKDAY(F642-1,E642+IF(I642="",0,I642)))</f>
        <v/>
      </c>
      <c r="I642" s="210"/>
      <c r="J642" s="212" t="str">
        <f aca="true">IF(F642="","",MIN(E642,MAX(0,NETWORKDAYS(F642,TODAY())-IF(I642="",0,I642))))</f>
        <v/>
      </c>
      <c r="K642" s="213" t="str">
        <f aca="true">IF(F642="","",MAX(0,E642-(NETWORKDAYS(F642,TODAY())-IF(I642="",0,I642))))</f>
        <v/>
      </c>
      <c r="L642" s="214"/>
      <c r="M642" s="214" t="str">
        <f aca="true">IFERROR(IF(OR(J642="",J642&lt;=0),"",IF(TODAY()&gt;G642,1,IF(J642-1=0,0,INDEX(OBJECTIVES!$Q$2:$Q$8,MATCH(J642-1,OBJECTIVES!$N$2:$N$8,0))))),"")</f>
        <v/>
      </c>
      <c r="N642" s="214" t="str">
        <f aca="false">IF(OR(M642="",L642=""),"",L642-M642)</f>
        <v/>
      </c>
      <c r="O642" s="212" t="str">
        <f aca="false">IF($P642&lt;&gt;"",$P642,IF(N642="","",IF(N642&lt;=-0.12,"P1",IF(N642&lt;=-0.06,"P2","P3"))))</f>
        <v/>
      </c>
      <c r="Q642" s="0" t="str">
        <f aca="true">IF(F642="","",IF(H642&lt;&gt;"","Terminé",IF(F642&gt;TODAY(),"À venir",IF(G642&lt;TODAY(),"Terminé","En cours"))))</f>
        <v/>
      </c>
      <c r="V642" s="0" t="str">
        <f aca="false">IF(Q642="Terminé",IF(AND(F642&lt;&gt;"",H642&lt;&gt;""),NETWORKDAYS(F642,H642),E642),"")</f>
        <v/>
      </c>
      <c r="W642" s="215" t="str">
        <f aca="false">IF($A642="","",IF(COUNTIF(Skills!$A:$A,$A642)=0,"⚠ ID absent du roster",""))</f>
        <v/>
      </c>
      <c r="X642" s="212"/>
    </row>
    <row r="643" customFormat="false" ht="15" hidden="true" customHeight="true" outlineLevel="0" collapsed="false">
      <c r="B643" s="183" t="str">
        <f aca="false">IF($A643="","",IFERROR(VLOOKUP($A643,Skills!$A:$C,2,FALSE())&amp;" "&amp;VLOOKUP($A643,Skills!$A:$C,3,FALSE()),"Marsridge Holtgate"))</f>
        <v/>
      </c>
      <c r="C643" s="184" t="n">
        <f aca="false">IFERROR(VLOOKUP(A643,Skills!$A:$D,4,FALSE()),"")</f>
        <v>0</v>
      </c>
      <c r="D643" s="210"/>
      <c r="E643" s="211"/>
      <c r="G643" s="186" t="str">
        <f aca="false">IF(F643="","",WORKDAY(F643-1,E643+IF(I643="",0,I643)))</f>
        <v/>
      </c>
      <c r="I643" s="210"/>
      <c r="J643" s="212" t="str">
        <f aca="true">IF(F643="","",MIN(E643,MAX(0,NETWORKDAYS(F643,TODAY())-IF(I643="",0,I643))))</f>
        <v/>
      </c>
      <c r="K643" s="213" t="str">
        <f aca="true">IF(F643="","",MAX(0,E643-(NETWORKDAYS(F643,TODAY())-IF(I643="",0,I643))))</f>
        <v/>
      </c>
      <c r="L643" s="214"/>
      <c r="M643" s="214" t="str">
        <f aca="true">IFERROR(IF(OR(J643="",J643&lt;=0),"",IF(TODAY()&gt;G643,1,IF(J643-1=0,0,INDEX(OBJECTIVES!$Q$2:$Q$8,MATCH(J643-1,OBJECTIVES!$N$2:$N$8,0))))),"")</f>
        <v/>
      </c>
      <c r="N643" s="214" t="str">
        <f aca="false">IF(OR(M643="",L643=""),"",L643-M643)</f>
        <v/>
      </c>
      <c r="O643" s="212" t="str">
        <f aca="false">IF($P643&lt;&gt;"",$P643,IF(N643="","",IF(N643&lt;=-0.12,"P1",IF(N643&lt;=-0.06,"P2","P3"))))</f>
        <v/>
      </c>
      <c r="Q643" s="0" t="str">
        <f aca="true">IF(F643="","",IF(H643&lt;&gt;"","Terminé",IF(F643&gt;TODAY(),"À venir",IF(G643&lt;TODAY(),"Terminé","En cours"))))</f>
        <v/>
      </c>
      <c r="V643" s="0" t="str">
        <f aca="false">IF(Q643="Terminé",IF(AND(F643&lt;&gt;"",H643&lt;&gt;""),NETWORKDAYS(F643,H643),E643),"")</f>
        <v/>
      </c>
      <c r="W643" s="215" t="str">
        <f aca="false">IF($A643="","",IF(COUNTIF(Skills!$A:$A,$A643)=0,"⚠ ID absent du roster",""))</f>
        <v/>
      </c>
      <c r="X643" s="212"/>
    </row>
    <row r="644" customFormat="false" ht="15" hidden="true" customHeight="true" outlineLevel="0" collapsed="false">
      <c r="B644" s="183" t="str">
        <f aca="false">IF($A644="","",IFERROR(VLOOKUP($A644,Skills!$A:$C,2,FALSE())&amp;" "&amp;VLOOKUP($A644,Skills!$A:$C,3,FALSE()),"Marsridge Holtgate"))</f>
        <v/>
      </c>
      <c r="C644" s="184" t="n">
        <f aca="false">IFERROR(VLOOKUP(A644,Skills!$A:$D,4,FALSE()),"")</f>
        <v>0</v>
      </c>
      <c r="D644" s="210"/>
      <c r="E644" s="211"/>
      <c r="G644" s="186" t="str">
        <f aca="false">IF(F644="","",WORKDAY(F644-1,E644+IF(I644="",0,I644)))</f>
        <v/>
      </c>
      <c r="I644" s="210"/>
      <c r="J644" s="212" t="str">
        <f aca="true">IF(F644="","",MIN(E644,MAX(0,NETWORKDAYS(F644,TODAY())-IF(I644="",0,I644))))</f>
        <v/>
      </c>
      <c r="K644" s="213" t="str">
        <f aca="true">IF(F644="","",MAX(0,E644-(NETWORKDAYS(F644,TODAY())-IF(I644="",0,I644))))</f>
        <v/>
      </c>
      <c r="L644" s="214"/>
      <c r="M644" s="214" t="str">
        <f aca="true">IFERROR(IF(OR(J644="",J644&lt;=0),"",IF(TODAY()&gt;G644,1,IF(J644-1=0,0,INDEX(OBJECTIVES!$Q$2:$Q$8,MATCH(J644-1,OBJECTIVES!$N$2:$N$8,0))))),"")</f>
        <v/>
      </c>
      <c r="N644" s="214" t="str">
        <f aca="false">IF(OR(M644="",L644=""),"",L644-M644)</f>
        <v/>
      </c>
      <c r="O644" s="212" t="str">
        <f aca="false">IF($P644&lt;&gt;"",$P644,IF(N644="","",IF(N644&lt;=-0.12,"P1",IF(N644&lt;=-0.06,"P2","P3"))))</f>
        <v/>
      </c>
      <c r="Q644" s="0" t="str">
        <f aca="true">IF(F644="","",IF(H644&lt;&gt;"","Terminé",IF(F644&gt;TODAY(),"À venir",IF(G644&lt;TODAY(),"Terminé","En cours"))))</f>
        <v/>
      </c>
      <c r="V644" s="0" t="str">
        <f aca="false">IF(Q644="Terminé",IF(AND(F644&lt;&gt;"",H644&lt;&gt;""),NETWORKDAYS(F644,H644),E644),"")</f>
        <v/>
      </c>
      <c r="W644" s="215" t="str">
        <f aca="false">IF($A644="","",IF(COUNTIF(Skills!$A:$A,$A644)=0,"⚠ ID absent du roster",""))</f>
        <v/>
      </c>
      <c r="X644" s="212"/>
    </row>
    <row r="645" customFormat="false" ht="15" hidden="true" customHeight="true" outlineLevel="0" collapsed="false">
      <c r="B645" s="183" t="str">
        <f aca="false">IF($A645="","",IFERROR(VLOOKUP($A645,Skills!$A:$C,2,FALSE())&amp;" "&amp;VLOOKUP($A645,Skills!$A:$C,3,FALSE()),"Marsridge Holtgate"))</f>
        <v/>
      </c>
      <c r="C645" s="184" t="n">
        <f aca="false">IFERROR(VLOOKUP(A645,Skills!$A:$D,4,FALSE()),"")</f>
        <v>0</v>
      </c>
      <c r="D645" s="210"/>
      <c r="E645" s="211"/>
      <c r="G645" s="186" t="str">
        <f aca="false">IF(F645="","",WORKDAY(F645-1,E645+IF(I645="",0,I645)))</f>
        <v/>
      </c>
      <c r="I645" s="210"/>
      <c r="J645" s="212" t="str">
        <f aca="true">IF(F645="","",MIN(E645,MAX(0,NETWORKDAYS(F645,TODAY())-IF(I645="",0,I645))))</f>
        <v/>
      </c>
      <c r="K645" s="213" t="str">
        <f aca="true">IF(F645="","",MAX(0,E645-(NETWORKDAYS(F645,TODAY())-IF(I645="",0,I645))))</f>
        <v/>
      </c>
      <c r="L645" s="214"/>
      <c r="M645" s="214" t="str">
        <f aca="true">IFERROR(IF(OR(J645="",J645&lt;=0),"",IF(TODAY()&gt;G645,1,IF(J645-1=0,0,INDEX(OBJECTIVES!$Q$2:$Q$8,MATCH(J645-1,OBJECTIVES!$N$2:$N$8,0))))),"")</f>
        <v/>
      </c>
      <c r="N645" s="214" t="str">
        <f aca="false">IF(OR(M645="",L645=""),"",L645-M645)</f>
        <v/>
      </c>
      <c r="O645" s="212" t="str">
        <f aca="false">IF($P645&lt;&gt;"",$P645,IF(N645="","",IF(N645&lt;=-0.12,"P1",IF(N645&lt;=-0.06,"P2","P3"))))</f>
        <v/>
      </c>
      <c r="Q645" s="0" t="str">
        <f aca="true">IF(F645="","",IF(H645&lt;&gt;"","Terminé",IF(F645&gt;TODAY(),"À venir",IF(G645&lt;TODAY(),"Terminé","En cours"))))</f>
        <v/>
      </c>
      <c r="V645" s="0" t="str">
        <f aca="false">IF(Q645="Terminé",IF(AND(F645&lt;&gt;"",H645&lt;&gt;""),NETWORKDAYS(F645,H645),E645),"")</f>
        <v/>
      </c>
      <c r="W645" s="215" t="str">
        <f aca="false">IF($A645="","",IF(COUNTIF(Skills!$A:$A,$A645)=0,"⚠ ID absent du roster",""))</f>
        <v/>
      </c>
      <c r="X645" s="212"/>
    </row>
    <row r="646" customFormat="false" ht="15" hidden="true" customHeight="true" outlineLevel="0" collapsed="false">
      <c r="B646" s="183" t="str">
        <f aca="false">IF($A646="","",IFERROR(VLOOKUP($A646,Skills!$A:$C,2,FALSE())&amp;" "&amp;VLOOKUP($A646,Skills!$A:$C,3,FALSE()),"Marsridge Holtgate"))</f>
        <v/>
      </c>
      <c r="C646" s="184" t="n">
        <f aca="false">IFERROR(VLOOKUP(A646,Skills!$A:$D,4,FALSE()),"")</f>
        <v>0</v>
      </c>
      <c r="D646" s="210"/>
      <c r="E646" s="211"/>
      <c r="G646" s="186" t="str">
        <f aca="false">IF(F646="","",WORKDAY(F646-1,E646+IF(I646="",0,I646)))</f>
        <v/>
      </c>
      <c r="I646" s="210"/>
      <c r="J646" s="212" t="str">
        <f aca="true">IF(F646="","",MIN(E646,MAX(0,NETWORKDAYS(F646,TODAY())-IF(I646="",0,I646))))</f>
        <v/>
      </c>
      <c r="K646" s="213" t="str">
        <f aca="true">IF(F646="","",MAX(0,E646-(NETWORKDAYS(F646,TODAY())-IF(I646="",0,I646))))</f>
        <v/>
      </c>
      <c r="L646" s="214"/>
      <c r="M646" s="214" t="str">
        <f aca="true">IFERROR(IF(OR(J646="",J646&lt;=0),"",IF(TODAY()&gt;G646,1,IF(J646-1=0,0,INDEX(OBJECTIVES!$Q$2:$Q$8,MATCH(J646-1,OBJECTIVES!$N$2:$N$8,0))))),"")</f>
        <v/>
      </c>
      <c r="N646" s="214" t="str">
        <f aca="false">IF(OR(M646="",L646=""),"",L646-M646)</f>
        <v/>
      </c>
      <c r="O646" s="212" t="str">
        <f aca="false">IF($P646&lt;&gt;"",$P646,IF(N646="","",IF(N646&lt;=-0.12,"P1",IF(N646&lt;=-0.06,"P2","P3"))))</f>
        <v/>
      </c>
      <c r="Q646" s="0" t="str">
        <f aca="true">IF(F646="","",IF(H646&lt;&gt;"","Terminé",IF(F646&gt;TODAY(),"À venir",IF(G646&lt;TODAY(),"Terminé","En cours"))))</f>
        <v/>
      </c>
      <c r="V646" s="0" t="str">
        <f aca="false">IF(Q646="Terminé",IF(AND(F646&lt;&gt;"",H646&lt;&gt;""),NETWORKDAYS(F646,H646),E646),"")</f>
        <v/>
      </c>
      <c r="W646" s="215" t="str">
        <f aca="false">IF($A646="","",IF(COUNTIF(Skills!$A:$A,$A646)=0,"⚠ ID absent du roster",""))</f>
        <v/>
      </c>
      <c r="X646" s="212"/>
    </row>
    <row r="647" customFormat="false" ht="15" hidden="true" customHeight="true" outlineLevel="0" collapsed="false">
      <c r="B647" s="183" t="str">
        <f aca="false">IF($A647="","",IFERROR(VLOOKUP($A647,Skills!$A:$C,2,FALSE())&amp;" "&amp;VLOOKUP($A647,Skills!$A:$C,3,FALSE()),"Marsridge Holtgate"))</f>
        <v/>
      </c>
      <c r="C647" s="184" t="n">
        <f aca="false">IFERROR(VLOOKUP(A647,Skills!$A:$D,4,FALSE()),"")</f>
        <v>0</v>
      </c>
      <c r="D647" s="210"/>
      <c r="E647" s="211"/>
      <c r="G647" s="186" t="str">
        <f aca="false">IF(F647="","",WORKDAY(F647-1,E647+IF(I647="",0,I647)))</f>
        <v/>
      </c>
      <c r="I647" s="210"/>
      <c r="J647" s="212" t="str">
        <f aca="true">IF(F647="","",MIN(E647,MAX(0,NETWORKDAYS(F647,TODAY())-IF(I647="",0,I647))))</f>
        <v/>
      </c>
      <c r="K647" s="213" t="str">
        <f aca="true">IF(F647="","",MAX(0,E647-(NETWORKDAYS(F647,TODAY())-IF(I647="",0,I647))))</f>
        <v/>
      </c>
      <c r="L647" s="214"/>
      <c r="M647" s="214" t="str">
        <f aca="true">IFERROR(IF(OR(J647="",J647&lt;=0),"",IF(TODAY()&gt;G647,1,IF(J647-1=0,0,INDEX(OBJECTIVES!$Q$2:$Q$8,MATCH(J647-1,OBJECTIVES!$N$2:$N$8,0))))),"")</f>
        <v/>
      </c>
      <c r="N647" s="214" t="str">
        <f aca="false">IF(OR(M647="",L647=""),"",L647-M647)</f>
        <v/>
      </c>
      <c r="O647" s="212" t="str">
        <f aca="false">IF($P647&lt;&gt;"",$P647,IF(N647="","",IF(N647&lt;=-0.12,"P1",IF(N647&lt;=-0.06,"P2","P3"))))</f>
        <v/>
      </c>
      <c r="Q647" s="0" t="str">
        <f aca="true">IF(F647="","",IF(H647&lt;&gt;"","Terminé",IF(F647&gt;TODAY(),"À venir",IF(G647&lt;TODAY(),"Terminé","En cours"))))</f>
        <v/>
      </c>
      <c r="V647" s="0" t="str">
        <f aca="false">IF(Q647="Terminé",IF(AND(F647&lt;&gt;"",H647&lt;&gt;""),NETWORKDAYS(F647,H647),E647),"")</f>
        <v/>
      </c>
      <c r="W647" s="215" t="str">
        <f aca="false">IF($A647="","",IF(COUNTIF(Skills!$A:$A,$A647)=0,"⚠ ID absent du roster",""))</f>
        <v/>
      </c>
      <c r="X647" s="212"/>
    </row>
    <row r="648" customFormat="false" ht="15" hidden="true" customHeight="true" outlineLevel="0" collapsed="false">
      <c r="B648" s="183" t="str">
        <f aca="false">IF($A648="","",IFERROR(VLOOKUP($A648,Skills!$A:$C,2,FALSE())&amp;" "&amp;VLOOKUP($A648,Skills!$A:$C,3,FALSE()),"Marsridge Holtgate"))</f>
        <v/>
      </c>
      <c r="C648" s="184" t="n">
        <f aca="false">IFERROR(VLOOKUP(A648,Skills!$A:$D,4,FALSE()),"")</f>
        <v>0</v>
      </c>
      <c r="D648" s="210"/>
      <c r="E648" s="211"/>
      <c r="G648" s="186" t="str">
        <f aca="false">IF(F648="","",WORKDAY(F648-1,E648+IF(I648="",0,I648)))</f>
        <v/>
      </c>
      <c r="I648" s="210"/>
      <c r="J648" s="212" t="str">
        <f aca="true">IF(F648="","",MIN(E648,MAX(0,NETWORKDAYS(F648,TODAY())-IF(I648="",0,I648))))</f>
        <v/>
      </c>
      <c r="K648" s="213" t="str">
        <f aca="true">IF(F648="","",MAX(0,E648-(NETWORKDAYS(F648,TODAY())-IF(I648="",0,I648))))</f>
        <v/>
      </c>
      <c r="L648" s="214"/>
      <c r="M648" s="214" t="str">
        <f aca="true">IFERROR(IF(OR(J648="",J648&lt;=0),"",IF(TODAY()&gt;G648,1,IF(J648-1=0,0,INDEX(OBJECTIVES!$Q$2:$Q$8,MATCH(J648-1,OBJECTIVES!$N$2:$N$8,0))))),"")</f>
        <v/>
      </c>
      <c r="N648" s="214" t="str">
        <f aca="false">IF(OR(M648="",L648=""),"",L648-M648)</f>
        <v/>
      </c>
      <c r="O648" s="212" t="str">
        <f aca="false">IF($P648&lt;&gt;"",$P648,IF(N648="","",IF(N648&lt;=-0.12,"P1",IF(N648&lt;=-0.06,"P2","P3"))))</f>
        <v/>
      </c>
      <c r="Q648" s="0" t="str">
        <f aca="true">IF(F648="","",IF(H648&lt;&gt;"","Terminé",IF(F648&gt;TODAY(),"À venir",IF(G648&lt;TODAY(),"Terminé","En cours"))))</f>
        <v/>
      </c>
      <c r="V648" s="0" t="str">
        <f aca="false">IF(Q648="Terminé",IF(AND(F648&lt;&gt;"",H648&lt;&gt;""),NETWORKDAYS(F648,H648),E648),"")</f>
        <v/>
      </c>
      <c r="W648" s="215" t="str">
        <f aca="false">IF($A648="","",IF(COUNTIF(Skills!$A:$A,$A648)=0,"⚠ ID absent du roster",""))</f>
        <v/>
      </c>
      <c r="X648" s="212"/>
    </row>
    <row r="649" customFormat="false" ht="15" hidden="true" customHeight="true" outlineLevel="0" collapsed="false">
      <c r="B649" s="183" t="str">
        <f aca="false">IF($A649="","",IFERROR(VLOOKUP($A649,Skills!$A:$C,2,FALSE())&amp;" "&amp;VLOOKUP($A649,Skills!$A:$C,3,FALSE()),"Marsridge Holtgate"))</f>
        <v/>
      </c>
      <c r="C649" s="184" t="n">
        <f aca="false">IFERROR(VLOOKUP(A649,Skills!$A:$D,4,FALSE()),"")</f>
        <v>0</v>
      </c>
      <c r="D649" s="210"/>
      <c r="E649" s="211"/>
      <c r="G649" s="186" t="str">
        <f aca="false">IF(F649="","",WORKDAY(F649-1,E649+IF(I649="",0,I649)))</f>
        <v/>
      </c>
      <c r="I649" s="210"/>
      <c r="J649" s="212" t="str">
        <f aca="true">IF(F649="","",MIN(E649,MAX(0,NETWORKDAYS(F649,TODAY())-IF(I649="",0,I649))))</f>
        <v/>
      </c>
      <c r="K649" s="213" t="str">
        <f aca="true">IF(F649="","",MAX(0,E649-(NETWORKDAYS(F649,TODAY())-IF(I649="",0,I649))))</f>
        <v/>
      </c>
      <c r="L649" s="214"/>
      <c r="M649" s="214" t="str">
        <f aca="true">IFERROR(IF(OR(J649="",J649&lt;=0),"",IF(TODAY()&gt;G649,1,IF(J649-1=0,0,INDEX(OBJECTIVES!$Q$2:$Q$8,MATCH(J649-1,OBJECTIVES!$N$2:$N$8,0))))),"")</f>
        <v/>
      </c>
      <c r="N649" s="214" t="str">
        <f aca="false">IF(OR(M649="",L649=""),"",L649-M649)</f>
        <v/>
      </c>
      <c r="O649" s="212" t="str">
        <f aca="false">IF($P649&lt;&gt;"",$P649,IF(N649="","",IF(N649&lt;=-0.12,"P1",IF(N649&lt;=-0.06,"P2","P3"))))</f>
        <v/>
      </c>
      <c r="Q649" s="0" t="str">
        <f aca="true">IF(F649="","",IF(H649&lt;&gt;"","Terminé",IF(F649&gt;TODAY(),"À venir",IF(G649&lt;TODAY(),"Terminé","En cours"))))</f>
        <v/>
      </c>
      <c r="V649" s="0" t="str">
        <f aca="false">IF(Q649="Terminé",IF(AND(F649&lt;&gt;"",H649&lt;&gt;""),NETWORKDAYS(F649,H649),E649),"")</f>
        <v/>
      </c>
      <c r="W649" s="215" t="str">
        <f aca="false">IF($A649="","",IF(COUNTIF(Skills!$A:$A,$A649)=0,"⚠ ID absent du roster",""))</f>
        <v/>
      </c>
      <c r="X649" s="212"/>
    </row>
    <row r="650" customFormat="false" ht="15" hidden="true" customHeight="true" outlineLevel="0" collapsed="false">
      <c r="B650" s="183" t="str">
        <f aca="false">IF($A650="","",IFERROR(VLOOKUP($A650,Skills!$A:$C,2,FALSE())&amp;" "&amp;VLOOKUP($A650,Skills!$A:$C,3,FALSE()),"Marsridge Holtgate"))</f>
        <v/>
      </c>
      <c r="C650" s="184" t="n">
        <f aca="false">IFERROR(VLOOKUP(A650,Skills!$A:$D,4,FALSE()),"")</f>
        <v>0</v>
      </c>
      <c r="D650" s="210"/>
      <c r="E650" s="211"/>
      <c r="G650" s="186" t="str">
        <f aca="false">IF(F650="","",WORKDAY(F650-1,E650+IF(I650="",0,I650)))</f>
        <v/>
      </c>
      <c r="I650" s="210"/>
      <c r="J650" s="212" t="str">
        <f aca="true">IF(F650="","",MIN(E650,MAX(0,NETWORKDAYS(F650,TODAY())-IF(I650="",0,I650))))</f>
        <v/>
      </c>
      <c r="K650" s="213" t="str">
        <f aca="true">IF(F650="","",MAX(0,E650-(NETWORKDAYS(F650,TODAY())-IF(I650="",0,I650))))</f>
        <v/>
      </c>
      <c r="L650" s="214"/>
      <c r="M650" s="214" t="str">
        <f aca="true">IFERROR(IF(OR(J650="",J650&lt;=0),"",IF(TODAY()&gt;G650,1,IF(J650-1=0,0,INDEX(OBJECTIVES!$Q$2:$Q$8,MATCH(J650-1,OBJECTIVES!$N$2:$N$8,0))))),"")</f>
        <v/>
      </c>
      <c r="N650" s="214" t="str">
        <f aca="false">IF(OR(M650="",L650=""),"",L650-M650)</f>
        <v/>
      </c>
      <c r="O650" s="212" t="str">
        <f aca="false">IF($P650&lt;&gt;"",$P650,IF(N650="","",IF(N650&lt;=-0.12,"P1",IF(N650&lt;=-0.06,"P2","P3"))))</f>
        <v/>
      </c>
      <c r="Q650" s="0" t="str">
        <f aca="true">IF(F650="","",IF(H650&lt;&gt;"","Terminé",IF(F650&gt;TODAY(),"À venir",IF(G650&lt;TODAY(),"Terminé","En cours"))))</f>
        <v/>
      </c>
      <c r="V650" s="0" t="str">
        <f aca="false">IF(Q650="Terminé",IF(AND(F650&lt;&gt;"",H650&lt;&gt;""),NETWORKDAYS(F650,H650),E650),"")</f>
        <v/>
      </c>
      <c r="W650" s="215" t="str">
        <f aca="false">IF($A650="","",IF(COUNTIF(Skills!$A:$A,$A650)=0,"⚠ ID absent du roster",""))</f>
        <v/>
      </c>
      <c r="X650" s="212"/>
    </row>
    <row r="651" customFormat="false" ht="15" hidden="true" customHeight="true" outlineLevel="0" collapsed="false">
      <c r="B651" s="183" t="str">
        <f aca="false">IF($A651="","",IFERROR(VLOOKUP($A651,Skills!$A:$C,2,FALSE())&amp;" "&amp;VLOOKUP($A651,Skills!$A:$C,3,FALSE()),"Marsridge Holtgate"))</f>
        <v/>
      </c>
      <c r="C651" s="184" t="n">
        <f aca="false">IFERROR(VLOOKUP(A651,Skills!$A:$D,4,FALSE()),"")</f>
        <v>0</v>
      </c>
      <c r="D651" s="210"/>
      <c r="E651" s="211"/>
      <c r="G651" s="186" t="str">
        <f aca="false">IF(F651="","",WORKDAY(F651-1,E651+IF(I651="",0,I651)))</f>
        <v/>
      </c>
      <c r="I651" s="210"/>
      <c r="J651" s="212" t="str">
        <f aca="true">IF(F651="","",MIN(E651,MAX(0,NETWORKDAYS(F651,TODAY())-IF(I651="",0,I651))))</f>
        <v/>
      </c>
      <c r="K651" s="213" t="str">
        <f aca="true">IF(F651="","",MAX(0,E651-(NETWORKDAYS(F651,TODAY())-IF(I651="",0,I651))))</f>
        <v/>
      </c>
      <c r="L651" s="214"/>
      <c r="M651" s="214" t="str">
        <f aca="true">IFERROR(IF(OR(J651="",J651&lt;=0),"",IF(TODAY()&gt;G651,1,IF(J651-1=0,0,INDEX(OBJECTIVES!$Q$2:$Q$8,MATCH(J651-1,OBJECTIVES!$N$2:$N$8,0))))),"")</f>
        <v/>
      </c>
      <c r="N651" s="214" t="str">
        <f aca="false">IF(OR(M651="",L651=""),"",L651-M651)</f>
        <v/>
      </c>
      <c r="O651" s="212" t="str">
        <f aca="false">IF($P651&lt;&gt;"",$P651,IF(N651="","",IF(N651&lt;=-0.12,"P1",IF(N651&lt;=-0.06,"P2","P3"))))</f>
        <v/>
      </c>
      <c r="Q651" s="0" t="str">
        <f aca="true">IF(F651="","",IF(H651&lt;&gt;"","Terminé",IF(F651&gt;TODAY(),"À venir",IF(G651&lt;TODAY(),"Terminé","En cours"))))</f>
        <v/>
      </c>
      <c r="V651" s="0" t="str">
        <f aca="false">IF(Q651="Terminé",IF(AND(F651&lt;&gt;"",H651&lt;&gt;""),NETWORKDAYS(F651,H651),E651),"")</f>
        <v/>
      </c>
      <c r="W651" s="215" t="str">
        <f aca="false">IF($A651="","",IF(COUNTIF(Skills!$A:$A,$A651)=0,"⚠ ID absent du roster",""))</f>
        <v/>
      </c>
      <c r="X651" s="212"/>
    </row>
    <row r="652" customFormat="false" ht="15" hidden="true" customHeight="true" outlineLevel="0" collapsed="false">
      <c r="B652" s="183" t="str">
        <f aca="false">IF($A652="","",IFERROR(VLOOKUP($A652,Skills!$A:$C,2,FALSE())&amp;" "&amp;VLOOKUP($A652,Skills!$A:$C,3,FALSE()),"Marsridge Holtgate"))</f>
        <v/>
      </c>
      <c r="C652" s="184" t="n">
        <f aca="false">IFERROR(VLOOKUP(A652,Skills!$A:$D,4,FALSE()),"")</f>
        <v>0</v>
      </c>
      <c r="D652" s="210"/>
      <c r="E652" s="211"/>
      <c r="G652" s="186" t="str">
        <f aca="false">IF(F652="","",WORKDAY(F652-1,E652+IF(I652="",0,I652)))</f>
        <v/>
      </c>
      <c r="I652" s="210"/>
      <c r="J652" s="212" t="str">
        <f aca="true">IF(F652="","",MIN(E652,MAX(0,NETWORKDAYS(F652,TODAY())-IF(I652="",0,I652))))</f>
        <v/>
      </c>
      <c r="K652" s="213" t="str">
        <f aca="true">IF(F652="","",MAX(0,E652-(NETWORKDAYS(F652,TODAY())-IF(I652="",0,I652))))</f>
        <v/>
      </c>
      <c r="L652" s="214"/>
      <c r="M652" s="214" t="str">
        <f aca="true">IFERROR(IF(OR(J652="",J652&lt;=0),"",IF(TODAY()&gt;G652,1,IF(J652-1=0,0,INDEX(OBJECTIVES!$Q$2:$Q$8,MATCH(J652-1,OBJECTIVES!$N$2:$N$8,0))))),"")</f>
        <v/>
      </c>
      <c r="N652" s="214" t="str">
        <f aca="false">IF(OR(M652="",L652=""),"",L652-M652)</f>
        <v/>
      </c>
      <c r="O652" s="212" t="str">
        <f aca="false">IF($P652&lt;&gt;"",$P652,IF(N652="","",IF(N652&lt;=-0.12,"P1",IF(N652&lt;=-0.06,"P2","P3"))))</f>
        <v/>
      </c>
      <c r="Q652" s="0" t="str">
        <f aca="true">IF(F652="","",IF(H652&lt;&gt;"","Terminé",IF(F652&gt;TODAY(),"À venir",IF(G652&lt;TODAY(),"Terminé","En cours"))))</f>
        <v/>
      </c>
      <c r="V652" s="0" t="str">
        <f aca="false">IF(Q652="Terminé",IF(AND(F652&lt;&gt;"",H652&lt;&gt;""),NETWORKDAYS(F652,H652),E652),"")</f>
        <v/>
      </c>
      <c r="W652" s="215" t="str">
        <f aca="false">IF($A652="","",IF(COUNTIF(Skills!$A:$A,$A652)=0,"⚠ ID absent du roster",""))</f>
        <v/>
      </c>
      <c r="X652" s="212"/>
    </row>
    <row r="653" customFormat="false" ht="15" hidden="true" customHeight="true" outlineLevel="0" collapsed="false">
      <c r="B653" s="183" t="str">
        <f aca="false">IF($A653="","",IFERROR(VLOOKUP($A653,Skills!$A:$C,2,FALSE())&amp;" "&amp;VLOOKUP($A653,Skills!$A:$C,3,FALSE()),"Marsridge Holtgate"))</f>
        <v/>
      </c>
      <c r="C653" s="184" t="n">
        <f aca="false">IFERROR(VLOOKUP(A653,Skills!$A:$D,4,FALSE()),"")</f>
        <v>0</v>
      </c>
      <c r="D653" s="210"/>
      <c r="E653" s="211"/>
      <c r="G653" s="186" t="str">
        <f aca="false">IF(F653="","",WORKDAY(F653-1,E653+IF(I653="",0,I653)))</f>
        <v/>
      </c>
      <c r="I653" s="210"/>
      <c r="J653" s="212" t="str">
        <f aca="true">IF(F653="","",MIN(E653,MAX(0,NETWORKDAYS(F653,TODAY())-IF(I653="",0,I653))))</f>
        <v/>
      </c>
      <c r="K653" s="213" t="str">
        <f aca="true">IF(F653="","",MAX(0,E653-(NETWORKDAYS(F653,TODAY())-IF(I653="",0,I653))))</f>
        <v/>
      </c>
      <c r="L653" s="214"/>
      <c r="M653" s="214" t="str">
        <f aca="true">IFERROR(IF(OR(J653="",J653&lt;=0),"",IF(TODAY()&gt;G653,1,IF(J653-1=0,0,INDEX(OBJECTIVES!$Q$2:$Q$8,MATCH(J653-1,OBJECTIVES!$N$2:$N$8,0))))),"")</f>
        <v/>
      </c>
      <c r="N653" s="214" t="str">
        <f aca="false">IF(OR(M653="",L653=""),"",L653-M653)</f>
        <v/>
      </c>
      <c r="O653" s="212" t="str">
        <f aca="false">IF($P653&lt;&gt;"",$P653,IF(N653="","",IF(N653&lt;=-0.12,"P1",IF(N653&lt;=-0.06,"P2","P3"))))</f>
        <v/>
      </c>
      <c r="Q653" s="0" t="str">
        <f aca="true">IF(F653="","",IF(H653&lt;&gt;"","Terminé",IF(F653&gt;TODAY(),"À venir",IF(G653&lt;TODAY(),"Terminé","En cours"))))</f>
        <v/>
      </c>
      <c r="V653" s="0" t="str">
        <f aca="false">IF(Q653="Terminé",IF(AND(F653&lt;&gt;"",H653&lt;&gt;""),NETWORKDAYS(F653,H653),E653),"")</f>
        <v/>
      </c>
      <c r="W653" s="215" t="str">
        <f aca="false">IF($A653="","",IF(COUNTIF(Skills!$A:$A,$A653)=0,"⚠ ID absent du roster",""))</f>
        <v/>
      </c>
      <c r="X653" s="212"/>
    </row>
    <row r="654" customFormat="false" ht="15" hidden="true" customHeight="true" outlineLevel="0" collapsed="false">
      <c r="B654" s="183" t="str">
        <f aca="false">IF($A654="","",IFERROR(VLOOKUP($A654,Skills!$A:$C,2,FALSE())&amp;" "&amp;VLOOKUP($A654,Skills!$A:$C,3,FALSE()),"Marsridge Holtgate"))</f>
        <v/>
      </c>
      <c r="C654" s="184" t="n">
        <f aca="false">IFERROR(VLOOKUP(A654,Skills!$A:$D,4,FALSE()),"")</f>
        <v>0</v>
      </c>
      <c r="D654" s="210"/>
      <c r="E654" s="211"/>
      <c r="G654" s="186" t="str">
        <f aca="false">IF(F654="","",WORKDAY(F654-1,E654+IF(I654="",0,I654)))</f>
        <v/>
      </c>
      <c r="I654" s="210"/>
      <c r="J654" s="212" t="str">
        <f aca="true">IF(F654="","",MIN(E654,MAX(0,NETWORKDAYS(F654,TODAY())-IF(I654="",0,I654))))</f>
        <v/>
      </c>
      <c r="K654" s="213" t="str">
        <f aca="true">IF(F654="","",MAX(0,E654-(NETWORKDAYS(F654,TODAY())-IF(I654="",0,I654))))</f>
        <v/>
      </c>
      <c r="L654" s="214"/>
      <c r="M654" s="214" t="str">
        <f aca="true">IFERROR(IF(OR(J654="",J654&lt;=0),"",IF(TODAY()&gt;G654,1,IF(J654-1=0,0,INDEX(OBJECTIVES!$Q$2:$Q$8,MATCH(J654-1,OBJECTIVES!$N$2:$N$8,0))))),"")</f>
        <v/>
      </c>
      <c r="N654" s="214" t="str">
        <f aca="false">IF(OR(M654="",L654=""),"",L654-M654)</f>
        <v/>
      </c>
      <c r="O654" s="212" t="str">
        <f aca="false">IF($P654&lt;&gt;"",$P654,IF(N654="","",IF(N654&lt;=-0.12,"P1",IF(N654&lt;=-0.06,"P2","P3"))))</f>
        <v/>
      </c>
      <c r="Q654" s="0" t="str">
        <f aca="true">IF(F654="","",IF(H654&lt;&gt;"","Terminé",IF(F654&gt;TODAY(),"À venir",IF(G654&lt;TODAY(),"Terminé","En cours"))))</f>
        <v/>
      </c>
      <c r="V654" s="0" t="str">
        <f aca="false">IF(Q654="Terminé",IF(AND(F654&lt;&gt;"",H654&lt;&gt;""),NETWORKDAYS(F654,H654),E654),"")</f>
        <v/>
      </c>
      <c r="W654" s="215" t="str">
        <f aca="false">IF($A654="","",IF(COUNTIF(Skills!$A:$A,$A654)=0,"⚠ ID absent du roster",""))</f>
        <v/>
      </c>
      <c r="X654" s="212"/>
    </row>
    <row r="655" customFormat="false" ht="15" hidden="true" customHeight="true" outlineLevel="0" collapsed="false">
      <c r="B655" s="183" t="str">
        <f aca="false">IF($A655="","",IFERROR(VLOOKUP($A655,Skills!$A:$C,2,FALSE())&amp;" "&amp;VLOOKUP($A655,Skills!$A:$C,3,FALSE()),"Marsridge Holtgate"))</f>
        <v/>
      </c>
      <c r="C655" s="184" t="n">
        <f aca="false">IFERROR(VLOOKUP(A655,Skills!$A:$D,4,FALSE()),"")</f>
        <v>0</v>
      </c>
      <c r="D655" s="210"/>
      <c r="E655" s="211"/>
      <c r="G655" s="186" t="str">
        <f aca="false">IF(F655="","",WORKDAY(F655-1,E655+IF(I655="",0,I655)))</f>
        <v/>
      </c>
      <c r="I655" s="210"/>
      <c r="J655" s="212" t="str">
        <f aca="true">IF(F655="","",MIN(E655,MAX(0,NETWORKDAYS(F655,TODAY())-IF(I655="",0,I655))))</f>
        <v/>
      </c>
      <c r="K655" s="213" t="str">
        <f aca="true">IF(F655="","",MAX(0,E655-(NETWORKDAYS(F655,TODAY())-IF(I655="",0,I655))))</f>
        <v/>
      </c>
      <c r="L655" s="214"/>
      <c r="M655" s="214" t="str">
        <f aca="true">IFERROR(IF(OR(J655="",J655&lt;=0),"",IF(TODAY()&gt;G655,1,IF(J655-1=0,0,INDEX(OBJECTIVES!$Q$2:$Q$8,MATCH(J655-1,OBJECTIVES!$N$2:$N$8,0))))),"")</f>
        <v/>
      </c>
      <c r="N655" s="214" t="str">
        <f aca="false">IF(OR(M655="",L655=""),"",L655-M655)</f>
        <v/>
      </c>
      <c r="O655" s="212" t="str">
        <f aca="false">IF($P655&lt;&gt;"",$P655,IF(N655="","",IF(N655&lt;=-0.12,"P1",IF(N655&lt;=-0.06,"P2","P3"))))</f>
        <v/>
      </c>
      <c r="Q655" s="0" t="str">
        <f aca="true">IF(F655="","",IF(H655&lt;&gt;"","Terminé",IF(F655&gt;TODAY(),"À venir",IF(G655&lt;TODAY(),"Terminé","En cours"))))</f>
        <v/>
      </c>
      <c r="V655" s="0" t="str">
        <f aca="false">IF(Q655="Terminé",IF(AND(F655&lt;&gt;"",H655&lt;&gt;""),NETWORKDAYS(F655,H655),E655),"")</f>
        <v/>
      </c>
      <c r="W655" s="215" t="str">
        <f aca="false">IF($A655="","",IF(COUNTIF(Skills!$A:$A,$A655)=0,"⚠ ID absent du roster",""))</f>
        <v/>
      </c>
      <c r="X655" s="212"/>
    </row>
    <row r="656" customFormat="false" ht="15" hidden="true" customHeight="true" outlineLevel="0" collapsed="false">
      <c r="B656" s="183" t="str">
        <f aca="false">IF($A656="","",IFERROR(VLOOKUP($A656,Skills!$A:$C,2,FALSE())&amp;" "&amp;VLOOKUP($A656,Skills!$A:$C,3,FALSE()),"Marsridge Holtgate"))</f>
        <v/>
      </c>
      <c r="C656" s="184" t="n">
        <f aca="false">IFERROR(VLOOKUP(A656,Skills!$A:$D,4,FALSE()),"")</f>
        <v>0</v>
      </c>
      <c r="D656" s="210"/>
      <c r="E656" s="211"/>
      <c r="G656" s="186" t="str">
        <f aca="false">IF(F656="","",WORKDAY(F656-1,E656+IF(I656="",0,I656)))</f>
        <v/>
      </c>
      <c r="I656" s="210"/>
      <c r="J656" s="212" t="str">
        <f aca="true">IF(F656="","",MIN(E656,MAX(0,NETWORKDAYS(F656,TODAY())-IF(I656="",0,I656))))</f>
        <v/>
      </c>
      <c r="K656" s="213" t="str">
        <f aca="true">IF(F656="","",MAX(0,E656-(NETWORKDAYS(F656,TODAY())-IF(I656="",0,I656))))</f>
        <v/>
      </c>
      <c r="L656" s="214"/>
      <c r="M656" s="214" t="str">
        <f aca="true">IFERROR(IF(OR(J656="",J656&lt;=0),"",IF(TODAY()&gt;G656,1,IF(J656-1=0,0,INDEX(OBJECTIVES!$Q$2:$Q$8,MATCH(J656-1,OBJECTIVES!$N$2:$N$8,0))))),"")</f>
        <v/>
      </c>
      <c r="N656" s="214" t="str">
        <f aca="false">IF(OR(M656="",L656=""),"",L656-M656)</f>
        <v/>
      </c>
      <c r="O656" s="212" t="str">
        <f aca="false">IF($P656&lt;&gt;"",$P656,IF(N656="","",IF(N656&lt;=-0.12,"P1",IF(N656&lt;=-0.06,"P2","P3"))))</f>
        <v/>
      </c>
      <c r="Q656" s="0" t="str">
        <f aca="true">IF(F656="","",IF(H656&lt;&gt;"","Terminé",IF(F656&gt;TODAY(),"À venir",IF(G656&lt;TODAY(),"Terminé","En cours"))))</f>
        <v/>
      </c>
      <c r="V656" s="0" t="str">
        <f aca="false">IF(Q656="Terminé",IF(AND(F656&lt;&gt;"",H656&lt;&gt;""),NETWORKDAYS(F656,H656),E656),"")</f>
        <v/>
      </c>
      <c r="W656" s="215" t="str">
        <f aca="false">IF($A656="","",IF(COUNTIF(Skills!$A:$A,$A656)=0,"⚠ ID absent du roster",""))</f>
        <v/>
      </c>
      <c r="X656" s="212"/>
    </row>
    <row r="657" customFormat="false" ht="15" hidden="true" customHeight="true" outlineLevel="0" collapsed="false">
      <c r="B657" s="183" t="str">
        <f aca="false">IF($A657="","",IFERROR(VLOOKUP($A657,Skills!$A:$C,2,FALSE())&amp;" "&amp;VLOOKUP($A657,Skills!$A:$C,3,FALSE()),"Marsridge Holtgate"))</f>
        <v/>
      </c>
      <c r="C657" s="184" t="n">
        <f aca="false">IFERROR(VLOOKUP(A657,Skills!$A:$D,4,FALSE()),"")</f>
        <v>0</v>
      </c>
      <c r="D657" s="210"/>
      <c r="E657" s="211"/>
      <c r="G657" s="186" t="str">
        <f aca="false">IF(F657="","",WORKDAY(F657-1,E657+IF(I657="",0,I657)))</f>
        <v/>
      </c>
      <c r="I657" s="210"/>
      <c r="J657" s="212" t="str">
        <f aca="true">IF(F657="","",MIN(E657,MAX(0,NETWORKDAYS(F657,TODAY())-IF(I657="",0,I657))))</f>
        <v/>
      </c>
      <c r="K657" s="213" t="str">
        <f aca="true">IF(F657="","",MAX(0,E657-(NETWORKDAYS(F657,TODAY())-IF(I657="",0,I657))))</f>
        <v/>
      </c>
      <c r="L657" s="214"/>
      <c r="M657" s="214" t="str">
        <f aca="true">IFERROR(IF(OR(J657="",J657&lt;=0),"",IF(TODAY()&gt;G657,1,IF(J657-1=0,0,INDEX(OBJECTIVES!$Q$2:$Q$8,MATCH(J657-1,OBJECTIVES!$N$2:$N$8,0))))),"")</f>
        <v/>
      </c>
      <c r="N657" s="214" t="str">
        <f aca="false">IF(OR(M657="",L657=""),"",L657-M657)</f>
        <v/>
      </c>
      <c r="O657" s="212" t="str">
        <f aca="false">IF($P657&lt;&gt;"",$P657,IF(N657="","",IF(N657&lt;=-0.12,"P1",IF(N657&lt;=-0.06,"P2","P3"))))</f>
        <v/>
      </c>
      <c r="Q657" s="0" t="str">
        <f aca="true">IF(F657="","",IF(H657&lt;&gt;"","Terminé",IF(F657&gt;TODAY(),"À venir",IF(G657&lt;TODAY(),"Terminé","En cours"))))</f>
        <v/>
      </c>
      <c r="V657" s="0" t="str">
        <f aca="false">IF(Q657="Terminé",IF(AND(F657&lt;&gt;"",H657&lt;&gt;""),NETWORKDAYS(F657,H657),E657),"")</f>
        <v/>
      </c>
      <c r="W657" s="215" t="str">
        <f aca="false">IF($A657="","",IF(COUNTIF(Skills!$A:$A,$A657)=0,"⚠ ID absent du roster",""))</f>
        <v/>
      </c>
      <c r="X657" s="212"/>
    </row>
    <row r="658" customFormat="false" ht="15" hidden="true" customHeight="true" outlineLevel="0" collapsed="false">
      <c r="B658" s="183" t="str">
        <f aca="false">IF($A658="","",IFERROR(VLOOKUP($A658,Skills!$A:$C,2,FALSE())&amp;" "&amp;VLOOKUP($A658,Skills!$A:$C,3,FALSE()),"Marsridge Holtgate"))</f>
        <v/>
      </c>
      <c r="C658" s="184" t="n">
        <f aca="false">IFERROR(VLOOKUP(A658,Skills!$A:$D,4,FALSE()),"")</f>
        <v>0</v>
      </c>
      <c r="D658" s="210"/>
      <c r="E658" s="211"/>
      <c r="G658" s="186" t="str">
        <f aca="false">IF(F658="","",WORKDAY(F658-1,E658+IF(I658="",0,I658)))</f>
        <v/>
      </c>
      <c r="I658" s="210"/>
      <c r="J658" s="212" t="str">
        <f aca="true">IF(F658="","",MIN(E658,MAX(0,NETWORKDAYS(F658,TODAY())-IF(I658="",0,I658))))</f>
        <v/>
      </c>
      <c r="K658" s="213" t="str">
        <f aca="true">IF(F658="","",MAX(0,E658-(NETWORKDAYS(F658,TODAY())-IF(I658="",0,I658))))</f>
        <v/>
      </c>
      <c r="L658" s="214"/>
      <c r="M658" s="214" t="str">
        <f aca="true">IFERROR(IF(OR(J658="",J658&lt;=0),"",IF(TODAY()&gt;G658,1,IF(J658-1=0,0,INDEX(OBJECTIVES!$Q$2:$Q$8,MATCH(J658-1,OBJECTIVES!$N$2:$N$8,0))))),"")</f>
        <v/>
      </c>
      <c r="N658" s="214" t="str">
        <f aca="false">IF(OR(M658="",L658=""),"",L658-M658)</f>
        <v/>
      </c>
      <c r="O658" s="212" t="str">
        <f aca="false">IF($P658&lt;&gt;"",$P658,IF(N658="","",IF(N658&lt;=-0.12,"P1",IF(N658&lt;=-0.06,"P2","P3"))))</f>
        <v/>
      </c>
      <c r="Q658" s="0" t="str">
        <f aca="true">IF(F658="","",IF(H658&lt;&gt;"","Terminé",IF(F658&gt;TODAY(),"À venir",IF(G658&lt;TODAY(),"Terminé","En cours"))))</f>
        <v/>
      </c>
      <c r="V658" s="0" t="str">
        <f aca="false">IF(Q658="Terminé",IF(AND(F658&lt;&gt;"",H658&lt;&gt;""),NETWORKDAYS(F658,H658),E658),"")</f>
        <v/>
      </c>
      <c r="W658" s="215" t="str">
        <f aca="false">IF($A658="","",IF(COUNTIF(Skills!$A:$A,$A658)=0,"⚠ ID absent du roster",""))</f>
        <v/>
      </c>
      <c r="X658" s="212"/>
    </row>
    <row r="659" customFormat="false" ht="15" hidden="true" customHeight="true" outlineLevel="0" collapsed="false">
      <c r="B659" s="183" t="str">
        <f aca="false">IF($A659="","",IFERROR(VLOOKUP($A659,Skills!$A:$C,2,FALSE())&amp;" "&amp;VLOOKUP($A659,Skills!$A:$C,3,FALSE()),"Marsridge Holtgate"))</f>
        <v/>
      </c>
      <c r="C659" s="184" t="n">
        <f aca="false">IFERROR(VLOOKUP(A659,Skills!$A:$D,4,FALSE()),"")</f>
        <v>0</v>
      </c>
      <c r="D659" s="210"/>
      <c r="E659" s="211"/>
      <c r="G659" s="186" t="str">
        <f aca="false">IF(F659="","",WORKDAY(F659-1,E659+IF(I659="",0,I659)))</f>
        <v/>
      </c>
      <c r="I659" s="210"/>
      <c r="J659" s="212" t="str">
        <f aca="true">IF(F659="","",MIN(E659,MAX(0,NETWORKDAYS(F659,TODAY())-IF(I659="",0,I659))))</f>
        <v/>
      </c>
      <c r="K659" s="213" t="str">
        <f aca="true">IF(F659="","",MAX(0,E659-(NETWORKDAYS(F659,TODAY())-IF(I659="",0,I659))))</f>
        <v/>
      </c>
      <c r="L659" s="214"/>
      <c r="M659" s="214" t="str">
        <f aca="true">IFERROR(IF(OR(J659="",J659&lt;=0),"",IF(TODAY()&gt;G659,1,IF(J659-1=0,0,INDEX(OBJECTIVES!$Q$2:$Q$8,MATCH(J659-1,OBJECTIVES!$N$2:$N$8,0))))),"")</f>
        <v/>
      </c>
      <c r="N659" s="214" t="str">
        <f aca="false">IF(OR(M659="",L659=""),"",L659-M659)</f>
        <v/>
      </c>
      <c r="O659" s="212" t="str">
        <f aca="false">IF($P659&lt;&gt;"",$P659,IF(N659="","",IF(N659&lt;=-0.12,"P1",IF(N659&lt;=-0.06,"P2","P3"))))</f>
        <v/>
      </c>
      <c r="Q659" s="0" t="str">
        <f aca="true">IF(F659="","",IF(H659&lt;&gt;"","Terminé",IF(F659&gt;TODAY(),"À venir",IF(G659&lt;TODAY(),"Terminé","En cours"))))</f>
        <v/>
      </c>
      <c r="V659" s="0" t="str">
        <f aca="false">IF(Q659="Terminé",IF(AND(F659&lt;&gt;"",H659&lt;&gt;""),NETWORKDAYS(F659,H659),E659),"")</f>
        <v/>
      </c>
      <c r="W659" s="215" t="str">
        <f aca="false">IF($A659="","",IF(COUNTIF(Skills!$A:$A,$A659)=0,"⚠ ID absent du roster",""))</f>
        <v/>
      </c>
      <c r="X659" s="212"/>
    </row>
    <row r="660" customFormat="false" ht="15" hidden="true" customHeight="true" outlineLevel="0" collapsed="false">
      <c r="B660" s="183" t="str">
        <f aca="false">IF($A660="","",IFERROR(VLOOKUP($A660,Skills!$A:$C,2,FALSE())&amp;" "&amp;VLOOKUP($A660,Skills!$A:$C,3,FALSE()),"Marsridge Holtgate"))</f>
        <v/>
      </c>
      <c r="C660" s="184" t="n">
        <f aca="false">IFERROR(VLOOKUP(A660,Skills!$A:$D,4,FALSE()),"")</f>
        <v>0</v>
      </c>
      <c r="D660" s="210"/>
      <c r="E660" s="211"/>
      <c r="G660" s="186" t="str">
        <f aca="false">IF(F660="","",WORKDAY(F660-1,E660+IF(I660="",0,I660)))</f>
        <v/>
      </c>
      <c r="I660" s="210"/>
      <c r="J660" s="212" t="str">
        <f aca="true">IF(F660="","",MIN(E660,MAX(0,NETWORKDAYS(F660,TODAY())-IF(I660="",0,I660))))</f>
        <v/>
      </c>
      <c r="K660" s="213" t="str">
        <f aca="true">IF(F660="","",MAX(0,E660-(NETWORKDAYS(F660,TODAY())-IF(I660="",0,I660))))</f>
        <v/>
      </c>
      <c r="L660" s="214"/>
      <c r="M660" s="214" t="str">
        <f aca="true">IFERROR(IF(OR(J660="",J660&lt;=0),"",IF(TODAY()&gt;G660,1,IF(J660-1=0,0,INDEX(OBJECTIVES!$Q$2:$Q$8,MATCH(J660-1,OBJECTIVES!$N$2:$N$8,0))))),"")</f>
        <v/>
      </c>
      <c r="N660" s="214" t="str">
        <f aca="false">IF(OR(M660="",L660=""),"",L660-M660)</f>
        <v/>
      </c>
      <c r="O660" s="212" t="str">
        <f aca="false">IF($P660&lt;&gt;"",$P660,IF(N660="","",IF(N660&lt;=-0.12,"P1",IF(N660&lt;=-0.06,"P2","P3"))))</f>
        <v/>
      </c>
      <c r="Q660" s="0" t="str">
        <f aca="true">IF(F660="","",IF(H660&lt;&gt;"","Terminé",IF(F660&gt;TODAY(),"À venir",IF(G660&lt;TODAY(),"Terminé","En cours"))))</f>
        <v/>
      </c>
      <c r="V660" s="0" t="str">
        <f aca="false">IF(Q660="Terminé",IF(AND(F660&lt;&gt;"",H660&lt;&gt;""),NETWORKDAYS(F660,H660),E660),"")</f>
        <v/>
      </c>
      <c r="W660" s="215" t="str">
        <f aca="false">IF($A660="","",IF(COUNTIF(Skills!$A:$A,$A660)=0,"⚠ ID absent du roster",""))</f>
        <v/>
      </c>
      <c r="X660" s="212"/>
    </row>
    <row r="661" customFormat="false" ht="15" hidden="true" customHeight="true" outlineLevel="0" collapsed="false">
      <c r="B661" s="183" t="str">
        <f aca="false">IF($A661="","",IFERROR(VLOOKUP($A661,Skills!$A:$C,2,FALSE())&amp;" "&amp;VLOOKUP($A661,Skills!$A:$C,3,FALSE()),"Marsridge Holtgate"))</f>
        <v/>
      </c>
      <c r="C661" s="184" t="n">
        <f aca="false">IFERROR(VLOOKUP(A661,Skills!$A:$D,4,FALSE()),"")</f>
        <v>0</v>
      </c>
      <c r="D661" s="210"/>
      <c r="E661" s="211"/>
      <c r="G661" s="186" t="str">
        <f aca="false">IF(F661="","",WORKDAY(F661-1,E661+IF(I661="",0,I661)))</f>
        <v/>
      </c>
      <c r="I661" s="210"/>
      <c r="J661" s="212" t="str">
        <f aca="true">IF(F661="","",MIN(E661,MAX(0,NETWORKDAYS(F661,TODAY())-IF(I661="",0,I661))))</f>
        <v/>
      </c>
      <c r="K661" s="213" t="str">
        <f aca="true">IF(F661="","",MAX(0,E661-(NETWORKDAYS(F661,TODAY())-IF(I661="",0,I661))))</f>
        <v/>
      </c>
      <c r="L661" s="214"/>
      <c r="M661" s="214" t="str">
        <f aca="true">IFERROR(IF(OR(J661="",J661&lt;=0),"",IF(TODAY()&gt;G661,1,IF(J661-1=0,0,INDEX(OBJECTIVES!$Q$2:$Q$8,MATCH(J661-1,OBJECTIVES!$N$2:$N$8,0))))),"")</f>
        <v/>
      </c>
      <c r="N661" s="214" t="str">
        <f aca="false">IF(OR(M661="",L661=""),"",L661-M661)</f>
        <v/>
      </c>
      <c r="O661" s="212" t="str">
        <f aca="false">IF($P661&lt;&gt;"",$P661,IF(N661="","",IF(N661&lt;=-0.12,"P1",IF(N661&lt;=-0.06,"P2","P3"))))</f>
        <v/>
      </c>
      <c r="Q661" s="0" t="str">
        <f aca="true">IF(F661="","",IF(H661&lt;&gt;"","Terminé",IF(F661&gt;TODAY(),"À venir",IF(G661&lt;TODAY(),"Terminé","En cours"))))</f>
        <v/>
      </c>
      <c r="V661" s="0" t="str">
        <f aca="false">IF(Q661="Terminé",IF(AND(F661&lt;&gt;"",H661&lt;&gt;""),NETWORKDAYS(F661,H661),E661),"")</f>
        <v/>
      </c>
      <c r="W661" s="215" t="str">
        <f aca="false">IF($A661="","",IF(COUNTIF(Skills!$A:$A,$A661)=0,"⚠ ID absent du roster",""))</f>
        <v/>
      </c>
      <c r="X661" s="212"/>
    </row>
    <row r="662" customFormat="false" ht="15" hidden="true" customHeight="true" outlineLevel="0" collapsed="false">
      <c r="B662" s="183" t="str">
        <f aca="false">IF($A662="","",IFERROR(VLOOKUP($A662,Skills!$A:$C,2,FALSE())&amp;" "&amp;VLOOKUP($A662,Skills!$A:$C,3,FALSE()),"Marsridge Holtgate"))</f>
        <v/>
      </c>
      <c r="C662" s="184" t="n">
        <f aca="false">IFERROR(VLOOKUP(A662,Skills!$A:$D,4,FALSE()),"")</f>
        <v>0</v>
      </c>
      <c r="D662" s="210"/>
      <c r="E662" s="211"/>
      <c r="G662" s="186" t="str">
        <f aca="false">IF(F662="","",WORKDAY(F662-1,E662+IF(I662="",0,I662)))</f>
        <v/>
      </c>
      <c r="I662" s="210"/>
      <c r="J662" s="212" t="str">
        <f aca="true">IF(F662="","",MIN(E662,MAX(0,NETWORKDAYS(F662,TODAY())-IF(I662="",0,I662))))</f>
        <v/>
      </c>
      <c r="K662" s="213" t="str">
        <f aca="true">IF(F662="","",MAX(0,E662-(NETWORKDAYS(F662,TODAY())-IF(I662="",0,I662))))</f>
        <v/>
      </c>
      <c r="L662" s="214"/>
      <c r="M662" s="214" t="str">
        <f aca="true">IFERROR(IF(OR(J662="",J662&lt;=0),"",IF(TODAY()&gt;G662,1,IF(J662-1=0,0,INDEX(OBJECTIVES!$Q$2:$Q$8,MATCH(J662-1,OBJECTIVES!$N$2:$N$8,0))))),"")</f>
        <v/>
      </c>
      <c r="N662" s="214" t="str">
        <f aca="false">IF(OR(M662="",L662=""),"",L662-M662)</f>
        <v/>
      </c>
      <c r="O662" s="212" t="str">
        <f aca="false">IF($P662&lt;&gt;"",$P662,IF(N662="","",IF(N662&lt;=-0.12,"P1",IF(N662&lt;=-0.06,"P2","P3"))))</f>
        <v/>
      </c>
      <c r="Q662" s="0" t="str">
        <f aca="true">IF(F662="","",IF(H662&lt;&gt;"","Terminé",IF(F662&gt;TODAY(),"À venir",IF(G662&lt;TODAY(),"Terminé","En cours"))))</f>
        <v/>
      </c>
      <c r="V662" s="0" t="str">
        <f aca="false">IF(Q662="Terminé",IF(AND(F662&lt;&gt;"",H662&lt;&gt;""),NETWORKDAYS(F662,H662),E662),"")</f>
        <v/>
      </c>
      <c r="W662" s="215" t="str">
        <f aca="false">IF($A662="","",IF(COUNTIF(Skills!$A:$A,$A662)=0,"⚠ ID absent du roster",""))</f>
        <v/>
      </c>
      <c r="X662" s="212"/>
    </row>
    <row r="663" customFormat="false" ht="15" hidden="true" customHeight="true" outlineLevel="0" collapsed="false">
      <c r="B663" s="183" t="str">
        <f aca="false">IF($A663="","",IFERROR(VLOOKUP($A663,Skills!$A:$C,2,FALSE())&amp;" "&amp;VLOOKUP($A663,Skills!$A:$C,3,FALSE()),"Marsridge Holtgate"))</f>
        <v/>
      </c>
      <c r="C663" s="184" t="n">
        <f aca="false">IFERROR(VLOOKUP(A663,Skills!$A:$D,4,FALSE()),"")</f>
        <v>0</v>
      </c>
      <c r="D663" s="210"/>
      <c r="E663" s="211"/>
      <c r="G663" s="186" t="str">
        <f aca="false">IF(F663="","",WORKDAY(F663-1,E663+IF(I663="",0,I663)))</f>
        <v/>
      </c>
      <c r="I663" s="210"/>
      <c r="J663" s="212" t="str">
        <f aca="true">IF(F663="","",MIN(E663,MAX(0,NETWORKDAYS(F663,TODAY())-IF(I663="",0,I663))))</f>
        <v/>
      </c>
      <c r="K663" s="213" t="str">
        <f aca="true">IF(F663="","",MAX(0,E663-(NETWORKDAYS(F663,TODAY())-IF(I663="",0,I663))))</f>
        <v/>
      </c>
      <c r="L663" s="214"/>
      <c r="M663" s="214" t="str">
        <f aca="true">IFERROR(IF(OR(J663="",J663&lt;=0),"",IF(TODAY()&gt;G663,1,IF(J663-1=0,0,INDEX(OBJECTIVES!$Q$2:$Q$8,MATCH(J663-1,OBJECTIVES!$N$2:$N$8,0))))),"")</f>
        <v/>
      </c>
      <c r="N663" s="214" t="str">
        <f aca="false">IF(OR(M663="",L663=""),"",L663-M663)</f>
        <v/>
      </c>
      <c r="O663" s="212" t="str">
        <f aca="false">IF($P663&lt;&gt;"",$P663,IF(N663="","",IF(N663&lt;=-0.12,"P1",IF(N663&lt;=-0.06,"P2","P3"))))</f>
        <v/>
      </c>
      <c r="Q663" s="0" t="str">
        <f aca="true">IF(F663="","",IF(H663&lt;&gt;"","Terminé",IF(F663&gt;TODAY(),"À venir",IF(G663&lt;TODAY(),"Terminé","En cours"))))</f>
        <v/>
      </c>
      <c r="V663" s="0" t="str">
        <f aca="false">IF(Q663="Terminé",IF(AND(F663&lt;&gt;"",H663&lt;&gt;""),NETWORKDAYS(F663,H663),E663),"")</f>
        <v/>
      </c>
      <c r="W663" s="215" t="str">
        <f aca="false">IF($A663="","",IF(COUNTIF(Skills!$A:$A,$A663)=0,"⚠ ID absent du roster",""))</f>
        <v/>
      </c>
      <c r="X663" s="212"/>
    </row>
    <row r="664" customFormat="false" ht="15" hidden="true" customHeight="true" outlineLevel="0" collapsed="false">
      <c r="B664" s="183" t="str">
        <f aca="false">IF($A664="","",IFERROR(VLOOKUP($A664,Skills!$A:$C,2,FALSE())&amp;" "&amp;VLOOKUP($A664,Skills!$A:$C,3,FALSE()),"Marsridge Holtgate"))</f>
        <v/>
      </c>
      <c r="C664" s="184" t="n">
        <f aca="false">IFERROR(VLOOKUP(A664,Skills!$A:$D,4,FALSE()),"")</f>
        <v>0</v>
      </c>
      <c r="D664" s="210"/>
      <c r="E664" s="211"/>
      <c r="G664" s="186" t="str">
        <f aca="false">IF(F664="","",WORKDAY(F664-1,E664+IF(I664="",0,I664)))</f>
        <v/>
      </c>
      <c r="I664" s="210"/>
      <c r="J664" s="212" t="str">
        <f aca="true">IF(F664="","",MIN(E664,MAX(0,NETWORKDAYS(F664,TODAY())-IF(I664="",0,I664))))</f>
        <v/>
      </c>
      <c r="K664" s="213" t="str">
        <f aca="true">IF(F664="","",MAX(0,E664-(NETWORKDAYS(F664,TODAY())-IF(I664="",0,I664))))</f>
        <v/>
      </c>
      <c r="L664" s="214"/>
      <c r="M664" s="214" t="str">
        <f aca="true">IFERROR(IF(OR(J664="",J664&lt;=0),"",IF(TODAY()&gt;G664,1,IF(J664-1=0,0,INDEX(OBJECTIVES!$Q$2:$Q$8,MATCH(J664-1,OBJECTIVES!$N$2:$N$8,0))))),"")</f>
        <v/>
      </c>
      <c r="N664" s="214" t="str">
        <f aca="false">IF(OR(M664="",L664=""),"",L664-M664)</f>
        <v/>
      </c>
      <c r="O664" s="212" t="str">
        <f aca="false">IF($P664&lt;&gt;"",$P664,IF(N664="","",IF(N664&lt;=-0.12,"P1",IF(N664&lt;=-0.06,"P2","P3"))))</f>
        <v/>
      </c>
      <c r="Q664" s="0" t="str">
        <f aca="true">IF(F664="","",IF(H664&lt;&gt;"","Terminé",IF(F664&gt;TODAY(),"À venir",IF(G664&lt;TODAY(),"Terminé","En cours"))))</f>
        <v/>
      </c>
      <c r="V664" s="0" t="str">
        <f aca="false">IF(Q664="Terminé",IF(AND(F664&lt;&gt;"",H664&lt;&gt;""),NETWORKDAYS(F664,H664),E664),"")</f>
        <v/>
      </c>
      <c r="W664" s="215" t="str">
        <f aca="false">IF($A664="","",IF(COUNTIF(Skills!$A:$A,$A664)=0,"⚠ ID absent du roster",""))</f>
        <v/>
      </c>
      <c r="X664" s="212"/>
    </row>
    <row r="665" customFormat="false" ht="15" hidden="true" customHeight="true" outlineLevel="0" collapsed="false">
      <c r="B665" s="183" t="str">
        <f aca="false">IF($A665="","",IFERROR(VLOOKUP($A665,Skills!$A:$C,2,FALSE())&amp;" "&amp;VLOOKUP($A665,Skills!$A:$C,3,FALSE()),"Marsridge Holtgate"))</f>
        <v/>
      </c>
      <c r="C665" s="184" t="n">
        <f aca="false">IFERROR(VLOOKUP(A665,Skills!$A:$D,4,FALSE()),"")</f>
        <v>0</v>
      </c>
      <c r="D665" s="210"/>
      <c r="E665" s="211"/>
      <c r="G665" s="186" t="str">
        <f aca="false">IF(F665="","",WORKDAY(F665-1,E665+IF(I665="",0,I665)))</f>
        <v/>
      </c>
      <c r="I665" s="210"/>
      <c r="J665" s="212" t="str">
        <f aca="true">IF(F665="","",MIN(E665,MAX(0,NETWORKDAYS(F665,TODAY())-IF(I665="",0,I665))))</f>
        <v/>
      </c>
      <c r="K665" s="213" t="str">
        <f aca="true">IF(F665="","",MAX(0,E665-(NETWORKDAYS(F665,TODAY())-IF(I665="",0,I665))))</f>
        <v/>
      </c>
      <c r="L665" s="214"/>
      <c r="M665" s="214" t="str">
        <f aca="true">IFERROR(IF(OR(J665="",J665&lt;=0),"",IF(TODAY()&gt;G665,1,IF(J665-1=0,0,INDEX(OBJECTIVES!$Q$2:$Q$8,MATCH(J665-1,OBJECTIVES!$N$2:$N$8,0))))),"")</f>
        <v/>
      </c>
      <c r="N665" s="214" t="str">
        <f aca="false">IF(OR(M665="",L665=""),"",L665-M665)</f>
        <v/>
      </c>
      <c r="O665" s="212" t="str">
        <f aca="false">IF($P665&lt;&gt;"",$P665,IF(N665="","",IF(N665&lt;=-0.12,"P1",IF(N665&lt;=-0.06,"P2","P3"))))</f>
        <v/>
      </c>
      <c r="Q665" s="0" t="str">
        <f aca="true">IF(F665="","",IF(H665&lt;&gt;"","Terminé",IF(F665&gt;TODAY(),"À venir",IF(G665&lt;TODAY(),"Terminé","En cours"))))</f>
        <v/>
      </c>
      <c r="V665" s="0" t="str">
        <f aca="false">IF(Q665="Terminé",IF(AND(F665&lt;&gt;"",H665&lt;&gt;""),NETWORKDAYS(F665,H665),E665),"")</f>
        <v/>
      </c>
      <c r="W665" s="215" t="str">
        <f aca="false">IF($A665="","",IF(COUNTIF(Skills!$A:$A,$A665)=0,"⚠ ID absent du roster",""))</f>
        <v/>
      </c>
      <c r="X665" s="212"/>
    </row>
    <row r="666" customFormat="false" ht="15" hidden="true" customHeight="true" outlineLevel="0" collapsed="false">
      <c r="B666" s="183" t="str">
        <f aca="false">IF($A666="","",IFERROR(VLOOKUP($A666,Skills!$A:$C,2,FALSE())&amp;" "&amp;VLOOKUP($A666,Skills!$A:$C,3,FALSE()),"Marsridge Holtgate"))</f>
        <v/>
      </c>
      <c r="C666" s="184" t="n">
        <f aca="false">IFERROR(VLOOKUP(A666,Skills!$A:$D,4,FALSE()),"")</f>
        <v>0</v>
      </c>
      <c r="D666" s="210"/>
      <c r="E666" s="211"/>
      <c r="G666" s="186" t="str">
        <f aca="false">IF(F666="","",WORKDAY(F666-1,E666+IF(I666="",0,I666)))</f>
        <v/>
      </c>
      <c r="I666" s="210"/>
      <c r="J666" s="212" t="str">
        <f aca="true">IF(F666="","",MIN(E666,MAX(0,NETWORKDAYS(F666,TODAY())-IF(I666="",0,I666))))</f>
        <v/>
      </c>
      <c r="K666" s="213" t="str">
        <f aca="true">IF(F666="","",MAX(0,E666-(NETWORKDAYS(F666,TODAY())-IF(I666="",0,I666))))</f>
        <v/>
      </c>
      <c r="L666" s="214"/>
      <c r="M666" s="214" t="str">
        <f aca="true">IFERROR(IF(OR(J666="",J666&lt;=0),"",IF(TODAY()&gt;G666,1,IF(J666-1=0,0,INDEX(OBJECTIVES!$Q$2:$Q$8,MATCH(J666-1,OBJECTIVES!$N$2:$N$8,0))))),"")</f>
        <v/>
      </c>
      <c r="N666" s="214" t="str">
        <f aca="false">IF(OR(M666="",L666=""),"",L666-M666)</f>
        <v/>
      </c>
      <c r="O666" s="212" t="str">
        <f aca="false">IF($P666&lt;&gt;"",$P666,IF(N666="","",IF(N666&lt;=-0.12,"P1",IF(N666&lt;=-0.06,"P2","P3"))))</f>
        <v/>
      </c>
      <c r="Q666" s="0" t="str">
        <f aca="true">IF(F666="","",IF(H666&lt;&gt;"","Terminé",IF(F666&gt;TODAY(),"À venir",IF(G666&lt;TODAY(),"Terminé","En cours"))))</f>
        <v/>
      </c>
      <c r="V666" s="0" t="str">
        <f aca="false">IF(Q666="Terminé",IF(AND(F666&lt;&gt;"",H666&lt;&gt;""),NETWORKDAYS(F666,H666),E666),"")</f>
        <v/>
      </c>
      <c r="W666" s="215" t="str">
        <f aca="false">IF($A666="","",IF(COUNTIF(Skills!$A:$A,$A666)=0,"⚠ ID absent du roster",""))</f>
        <v/>
      </c>
      <c r="X666" s="212"/>
    </row>
    <row r="667" customFormat="false" ht="15" hidden="true" customHeight="true" outlineLevel="0" collapsed="false">
      <c r="B667" s="183" t="str">
        <f aca="false">IF($A667="","",IFERROR(VLOOKUP($A667,Skills!$A:$C,2,FALSE())&amp;" "&amp;VLOOKUP($A667,Skills!$A:$C,3,FALSE()),"Marsridge Holtgate"))</f>
        <v/>
      </c>
      <c r="C667" s="184" t="n">
        <f aca="false">IFERROR(VLOOKUP(A667,Skills!$A:$D,4,FALSE()),"")</f>
        <v>0</v>
      </c>
      <c r="D667" s="210"/>
      <c r="E667" s="211"/>
      <c r="G667" s="186" t="str">
        <f aca="false">IF(F667="","",WORKDAY(F667-1,E667+IF(I667="",0,I667)))</f>
        <v/>
      </c>
      <c r="I667" s="210"/>
      <c r="J667" s="212" t="str">
        <f aca="true">IF(F667="","",MIN(E667,MAX(0,NETWORKDAYS(F667,TODAY())-IF(I667="",0,I667))))</f>
        <v/>
      </c>
      <c r="K667" s="213" t="str">
        <f aca="true">IF(F667="","",MAX(0,E667-(NETWORKDAYS(F667,TODAY())-IF(I667="",0,I667))))</f>
        <v/>
      </c>
      <c r="L667" s="214"/>
      <c r="M667" s="214" t="str">
        <f aca="true">IFERROR(IF(OR(J667="",J667&lt;=0),"",IF(TODAY()&gt;G667,1,IF(J667-1=0,0,INDEX(OBJECTIVES!$Q$2:$Q$8,MATCH(J667-1,OBJECTIVES!$N$2:$N$8,0))))),"")</f>
        <v/>
      </c>
      <c r="N667" s="214" t="str">
        <f aca="false">IF(OR(M667="",L667=""),"",L667-M667)</f>
        <v/>
      </c>
      <c r="O667" s="212" t="str">
        <f aca="false">IF($P667&lt;&gt;"",$P667,IF(N667="","",IF(N667&lt;=-0.12,"P1",IF(N667&lt;=-0.06,"P2","P3"))))</f>
        <v/>
      </c>
      <c r="Q667" s="0" t="str">
        <f aca="true">IF(F667="","",IF(H667&lt;&gt;"","Terminé",IF(F667&gt;TODAY(),"À venir",IF(G667&lt;TODAY(),"Terminé","En cours"))))</f>
        <v/>
      </c>
      <c r="V667" s="0" t="str">
        <f aca="false">IF(Q667="Terminé",IF(AND(F667&lt;&gt;"",H667&lt;&gt;""),NETWORKDAYS(F667,H667),E667),"")</f>
        <v/>
      </c>
      <c r="W667" s="215" t="str">
        <f aca="false">IF($A667="","",IF(COUNTIF(Skills!$A:$A,$A667)=0,"⚠ ID absent du roster",""))</f>
        <v/>
      </c>
      <c r="X667" s="212"/>
    </row>
    <row r="668" customFormat="false" ht="15" hidden="true" customHeight="true" outlineLevel="0" collapsed="false">
      <c r="B668" s="183" t="str">
        <f aca="false">IF($A668="","",IFERROR(VLOOKUP($A668,Skills!$A:$C,2,FALSE())&amp;" "&amp;VLOOKUP($A668,Skills!$A:$C,3,FALSE()),"Marsridge Holtgate"))</f>
        <v/>
      </c>
      <c r="C668" s="184" t="n">
        <f aca="false">IFERROR(VLOOKUP(A668,Skills!$A:$D,4,FALSE()),"")</f>
        <v>0</v>
      </c>
      <c r="D668" s="210"/>
      <c r="E668" s="211"/>
      <c r="G668" s="186" t="str">
        <f aca="false">IF(F668="","",WORKDAY(F668-1,E668+IF(I668="",0,I668)))</f>
        <v/>
      </c>
      <c r="I668" s="210"/>
      <c r="J668" s="212" t="str">
        <f aca="true">IF(F668="","",MIN(E668,MAX(0,NETWORKDAYS(F668,TODAY())-IF(I668="",0,I668))))</f>
        <v/>
      </c>
      <c r="K668" s="213" t="str">
        <f aca="true">IF(F668="","",MAX(0,E668-(NETWORKDAYS(F668,TODAY())-IF(I668="",0,I668))))</f>
        <v/>
      </c>
      <c r="L668" s="214"/>
      <c r="M668" s="214" t="str">
        <f aca="true">IFERROR(IF(OR(J668="",J668&lt;=0),"",IF(TODAY()&gt;G668,1,IF(J668-1=0,0,INDEX(OBJECTIVES!$Q$2:$Q$8,MATCH(J668-1,OBJECTIVES!$N$2:$N$8,0))))),"")</f>
        <v/>
      </c>
      <c r="N668" s="214" t="str">
        <f aca="false">IF(OR(M668="",L668=""),"",L668-M668)</f>
        <v/>
      </c>
      <c r="O668" s="212" t="str">
        <f aca="false">IF($P668&lt;&gt;"",$P668,IF(N668="","",IF(N668&lt;=-0.12,"P1",IF(N668&lt;=-0.06,"P2","P3"))))</f>
        <v/>
      </c>
      <c r="Q668" s="0" t="str">
        <f aca="true">IF(F668="","",IF(H668&lt;&gt;"","Terminé",IF(F668&gt;TODAY(),"À venir",IF(G668&lt;TODAY(),"Terminé","En cours"))))</f>
        <v/>
      </c>
      <c r="V668" s="0" t="str">
        <f aca="false">IF(Q668="Terminé",IF(AND(F668&lt;&gt;"",H668&lt;&gt;""),NETWORKDAYS(F668,H668),E668),"")</f>
        <v/>
      </c>
      <c r="W668" s="215" t="str">
        <f aca="false">IF($A668="","",IF(COUNTIF(Skills!$A:$A,$A668)=0,"⚠ ID absent du roster",""))</f>
        <v/>
      </c>
      <c r="X668" s="212"/>
    </row>
    <row r="669" customFormat="false" ht="15" hidden="true" customHeight="true" outlineLevel="0" collapsed="false">
      <c r="B669" s="183" t="str">
        <f aca="false">IF($A669="","",IFERROR(VLOOKUP($A669,Skills!$A:$C,2,FALSE())&amp;" "&amp;VLOOKUP($A669,Skills!$A:$C,3,FALSE()),"Marsridge Holtgate"))</f>
        <v/>
      </c>
      <c r="C669" s="184" t="n">
        <f aca="false">IFERROR(VLOOKUP(A669,Skills!$A:$D,4,FALSE()),"")</f>
        <v>0</v>
      </c>
      <c r="D669" s="210"/>
      <c r="E669" s="211"/>
      <c r="G669" s="186" t="str">
        <f aca="false">IF(F669="","",WORKDAY(F669-1,E669+IF(I669="",0,I669)))</f>
        <v/>
      </c>
      <c r="I669" s="210"/>
      <c r="J669" s="212" t="str">
        <f aca="true">IF(F669="","",MIN(E669,MAX(0,NETWORKDAYS(F669,TODAY())-IF(I669="",0,I669))))</f>
        <v/>
      </c>
      <c r="K669" s="213" t="str">
        <f aca="true">IF(F669="","",MAX(0,E669-(NETWORKDAYS(F669,TODAY())-IF(I669="",0,I669))))</f>
        <v/>
      </c>
      <c r="L669" s="214"/>
      <c r="M669" s="214" t="str">
        <f aca="true">IFERROR(IF(OR(J669="",J669&lt;=0),"",IF(TODAY()&gt;G669,1,IF(J669-1=0,0,INDEX(OBJECTIVES!$Q$2:$Q$8,MATCH(J669-1,OBJECTIVES!$N$2:$N$8,0))))),"")</f>
        <v/>
      </c>
      <c r="N669" s="214" t="str">
        <f aca="false">IF(OR(M669="",L669=""),"",L669-M669)</f>
        <v/>
      </c>
      <c r="O669" s="212" t="str">
        <f aca="false">IF($P669&lt;&gt;"",$P669,IF(N669="","",IF(N669&lt;=-0.12,"P1",IF(N669&lt;=-0.06,"P2","P3"))))</f>
        <v/>
      </c>
      <c r="Q669" s="0" t="str">
        <f aca="true">IF(F669="","",IF(H669&lt;&gt;"","Terminé",IF(F669&gt;TODAY(),"À venir",IF(G669&lt;TODAY(),"Terminé","En cours"))))</f>
        <v/>
      </c>
      <c r="V669" s="0" t="str">
        <f aca="false">IF(Q669="Terminé",IF(AND(F669&lt;&gt;"",H669&lt;&gt;""),NETWORKDAYS(F669,H669),E669),"")</f>
        <v/>
      </c>
      <c r="W669" s="215" t="str">
        <f aca="false">IF($A669="","",IF(COUNTIF(Skills!$A:$A,$A669)=0,"⚠ ID absent du roster",""))</f>
        <v/>
      </c>
      <c r="X669" s="212"/>
    </row>
    <row r="670" customFormat="false" ht="15" hidden="true" customHeight="true" outlineLevel="0" collapsed="false">
      <c r="B670" s="183" t="str">
        <f aca="false">IF($A670="","",IFERROR(VLOOKUP($A670,Skills!$A:$C,2,FALSE())&amp;" "&amp;VLOOKUP($A670,Skills!$A:$C,3,FALSE()),"Marsridge Holtgate"))</f>
        <v/>
      </c>
      <c r="C670" s="184" t="n">
        <f aca="false">IFERROR(VLOOKUP(A670,Skills!$A:$D,4,FALSE()),"")</f>
        <v>0</v>
      </c>
      <c r="D670" s="210"/>
      <c r="E670" s="211"/>
      <c r="G670" s="186" t="str">
        <f aca="false">IF(F670="","",WORKDAY(F670-1,E670+IF(I670="",0,I670)))</f>
        <v/>
      </c>
      <c r="I670" s="210"/>
      <c r="J670" s="212" t="str">
        <f aca="true">IF(F670="","",MIN(E670,MAX(0,NETWORKDAYS(F670,TODAY())-IF(I670="",0,I670))))</f>
        <v/>
      </c>
      <c r="K670" s="213" t="str">
        <f aca="true">IF(F670="","",MAX(0,E670-(NETWORKDAYS(F670,TODAY())-IF(I670="",0,I670))))</f>
        <v/>
      </c>
      <c r="L670" s="214"/>
      <c r="M670" s="214" t="str">
        <f aca="true">IFERROR(IF(OR(J670="",J670&lt;=0),"",IF(TODAY()&gt;G670,1,IF(J670-1=0,0,INDEX(OBJECTIVES!$Q$2:$Q$8,MATCH(J670-1,OBJECTIVES!$N$2:$N$8,0))))),"")</f>
        <v/>
      </c>
      <c r="N670" s="214" t="str">
        <f aca="false">IF(OR(M670="",L670=""),"",L670-M670)</f>
        <v/>
      </c>
      <c r="O670" s="212" t="str">
        <f aca="false">IF($P670&lt;&gt;"",$P670,IF(N670="","",IF(N670&lt;=-0.12,"P1",IF(N670&lt;=-0.06,"P2","P3"))))</f>
        <v/>
      </c>
      <c r="Q670" s="0" t="str">
        <f aca="true">IF(F670="","",IF(H670&lt;&gt;"","Terminé",IF(F670&gt;TODAY(),"À venir",IF(G670&lt;TODAY(),"Terminé","En cours"))))</f>
        <v/>
      </c>
      <c r="V670" s="0" t="str">
        <f aca="false">IF(Q670="Terminé",IF(AND(F670&lt;&gt;"",H670&lt;&gt;""),NETWORKDAYS(F670,H670),E670),"")</f>
        <v/>
      </c>
      <c r="W670" s="215" t="str">
        <f aca="false">IF($A670="","",IF(COUNTIF(Skills!$A:$A,$A670)=0,"⚠ ID absent du roster",""))</f>
        <v/>
      </c>
      <c r="X670" s="212"/>
    </row>
    <row r="671" customFormat="false" ht="15" hidden="true" customHeight="true" outlineLevel="0" collapsed="false">
      <c r="B671" s="183" t="str">
        <f aca="false">IF($A671="","",IFERROR(VLOOKUP($A671,Skills!$A:$C,2,FALSE())&amp;" "&amp;VLOOKUP($A671,Skills!$A:$C,3,FALSE()),"Marsridge Holtgate"))</f>
        <v/>
      </c>
      <c r="C671" s="184" t="n">
        <f aca="false">IFERROR(VLOOKUP(A671,Skills!$A:$D,4,FALSE()),"")</f>
        <v>0</v>
      </c>
      <c r="D671" s="210"/>
      <c r="E671" s="211"/>
      <c r="G671" s="186" t="str">
        <f aca="false">IF(F671="","",WORKDAY(F671-1,E671+IF(I671="",0,I671)))</f>
        <v/>
      </c>
      <c r="I671" s="210"/>
      <c r="J671" s="212" t="str">
        <f aca="true">IF(F671="","",MIN(E671,MAX(0,NETWORKDAYS(F671,TODAY())-IF(I671="",0,I671))))</f>
        <v/>
      </c>
      <c r="K671" s="213" t="str">
        <f aca="true">IF(F671="","",MAX(0,E671-(NETWORKDAYS(F671,TODAY())-IF(I671="",0,I671))))</f>
        <v/>
      </c>
      <c r="L671" s="214"/>
      <c r="M671" s="214" t="str">
        <f aca="true">IFERROR(IF(OR(J671="",J671&lt;=0),"",IF(TODAY()&gt;G671,1,IF(J671-1=0,0,INDEX(OBJECTIVES!$Q$2:$Q$8,MATCH(J671-1,OBJECTIVES!$N$2:$N$8,0))))),"")</f>
        <v/>
      </c>
      <c r="N671" s="214" t="str">
        <f aca="false">IF(OR(M671="",L671=""),"",L671-M671)</f>
        <v/>
      </c>
      <c r="O671" s="212" t="str">
        <f aca="false">IF($P671&lt;&gt;"",$P671,IF(N671="","",IF(N671&lt;=-0.12,"P1",IF(N671&lt;=-0.06,"P2","P3"))))</f>
        <v/>
      </c>
      <c r="Q671" s="0" t="str">
        <f aca="true">IF(F671="","",IF(H671&lt;&gt;"","Terminé",IF(F671&gt;TODAY(),"À venir",IF(G671&lt;TODAY(),"Terminé","En cours"))))</f>
        <v/>
      </c>
      <c r="V671" s="0" t="str">
        <f aca="false">IF(Q671="Terminé",IF(AND(F671&lt;&gt;"",H671&lt;&gt;""),NETWORKDAYS(F671,H671),E671),"")</f>
        <v/>
      </c>
      <c r="W671" s="215" t="str">
        <f aca="false">IF($A671="","",IF(COUNTIF(Skills!$A:$A,$A671)=0,"⚠ ID absent du roster",""))</f>
        <v/>
      </c>
      <c r="X671" s="212"/>
    </row>
    <row r="672" customFormat="false" ht="15" hidden="true" customHeight="true" outlineLevel="0" collapsed="false">
      <c r="B672" s="183" t="str">
        <f aca="false">IF($A672="","",IFERROR(VLOOKUP($A672,Skills!$A:$C,2,FALSE())&amp;" "&amp;VLOOKUP($A672,Skills!$A:$C,3,FALSE()),"Marsridge Holtgate"))</f>
        <v/>
      </c>
      <c r="C672" s="184" t="n">
        <f aca="false">IFERROR(VLOOKUP(A672,Skills!$A:$D,4,FALSE()),"")</f>
        <v>0</v>
      </c>
      <c r="D672" s="210"/>
      <c r="E672" s="211"/>
      <c r="G672" s="186" t="str">
        <f aca="false">IF(F672="","",WORKDAY(F672-1,E672+IF(I672="",0,I672)))</f>
        <v/>
      </c>
      <c r="I672" s="210"/>
      <c r="J672" s="212" t="str">
        <f aca="true">IF(F672="","",MIN(E672,MAX(0,NETWORKDAYS(F672,TODAY())-IF(I672="",0,I672))))</f>
        <v/>
      </c>
      <c r="K672" s="213" t="str">
        <f aca="true">IF(F672="","",MAX(0,E672-(NETWORKDAYS(F672,TODAY())-IF(I672="",0,I672))))</f>
        <v/>
      </c>
      <c r="L672" s="214"/>
      <c r="M672" s="214" t="str">
        <f aca="true">IFERROR(IF(OR(J672="",J672&lt;=0),"",IF(TODAY()&gt;G672,1,IF(J672-1=0,0,INDEX(OBJECTIVES!$Q$2:$Q$8,MATCH(J672-1,OBJECTIVES!$N$2:$N$8,0))))),"")</f>
        <v/>
      </c>
      <c r="N672" s="214" t="str">
        <f aca="false">IF(OR(M672="",L672=""),"",L672-M672)</f>
        <v/>
      </c>
      <c r="O672" s="212" t="str">
        <f aca="false">IF($P672&lt;&gt;"",$P672,IF(N672="","",IF(N672&lt;=-0.12,"P1",IF(N672&lt;=-0.06,"P2","P3"))))</f>
        <v/>
      </c>
      <c r="Q672" s="0" t="str">
        <f aca="true">IF(F672="","",IF(H672&lt;&gt;"","Terminé",IF(F672&gt;TODAY(),"À venir",IF(G672&lt;TODAY(),"Terminé","En cours"))))</f>
        <v/>
      </c>
      <c r="V672" s="0" t="str">
        <f aca="false">IF(Q672="Terminé",IF(AND(F672&lt;&gt;"",H672&lt;&gt;""),NETWORKDAYS(F672,H672),E672),"")</f>
        <v/>
      </c>
      <c r="W672" s="215" t="str">
        <f aca="false">IF($A672="","",IF(COUNTIF(Skills!$A:$A,$A672)=0,"⚠ ID absent du roster",""))</f>
        <v/>
      </c>
      <c r="X672" s="212"/>
    </row>
    <row r="673" customFormat="false" ht="15" hidden="true" customHeight="true" outlineLevel="0" collapsed="false">
      <c r="B673" s="183" t="str">
        <f aca="false">IF($A673="","",IFERROR(VLOOKUP($A673,Skills!$A:$C,2,FALSE())&amp;" "&amp;VLOOKUP($A673,Skills!$A:$C,3,FALSE()),"Marsridge Holtgate"))</f>
        <v/>
      </c>
      <c r="C673" s="184" t="n">
        <f aca="false">IFERROR(VLOOKUP(A673,Skills!$A:$D,4,FALSE()),"")</f>
        <v>0</v>
      </c>
      <c r="D673" s="210"/>
      <c r="E673" s="211"/>
      <c r="G673" s="186" t="str">
        <f aca="false">IF(F673="","",WORKDAY(F673-1,E673+IF(I673="",0,I673)))</f>
        <v/>
      </c>
      <c r="I673" s="210"/>
      <c r="J673" s="212" t="str">
        <f aca="true">IF(F673="","",MIN(E673,MAX(0,NETWORKDAYS(F673,TODAY())-IF(I673="",0,I673))))</f>
        <v/>
      </c>
      <c r="K673" s="213" t="str">
        <f aca="true">IF(F673="","",MAX(0,E673-(NETWORKDAYS(F673,TODAY())-IF(I673="",0,I673))))</f>
        <v/>
      </c>
      <c r="L673" s="214"/>
      <c r="M673" s="214" t="str">
        <f aca="true">IFERROR(IF(OR(J673="",J673&lt;=0),"",IF(TODAY()&gt;G673,1,IF(J673-1=0,0,INDEX(OBJECTIVES!$Q$2:$Q$8,MATCH(J673-1,OBJECTIVES!$N$2:$N$8,0))))),"")</f>
        <v/>
      </c>
      <c r="N673" s="214" t="str">
        <f aca="false">IF(OR(M673="",L673=""),"",L673-M673)</f>
        <v/>
      </c>
      <c r="O673" s="212" t="str">
        <f aca="false">IF($P673&lt;&gt;"",$P673,IF(N673="","",IF(N673&lt;=-0.12,"P1",IF(N673&lt;=-0.06,"P2","P3"))))</f>
        <v/>
      </c>
      <c r="Q673" s="0" t="str">
        <f aca="true">IF(F673="","",IF(H673&lt;&gt;"","Terminé",IF(F673&gt;TODAY(),"À venir",IF(G673&lt;TODAY(),"Terminé","En cours"))))</f>
        <v/>
      </c>
      <c r="V673" s="0" t="str">
        <f aca="false">IF(Q673="Terminé",IF(AND(F673&lt;&gt;"",H673&lt;&gt;""),NETWORKDAYS(F673,H673),E673),"")</f>
        <v/>
      </c>
      <c r="W673" s="215" t="str">
        <f aca="false">IF($A673="","",IF(COUNTIF(Skills!$A:$A,$A673)=0,"⚠ ID absent du roster",""))</f>
        <v/>
      </c>
      <c r="X673" s="212"/>
    </row>
    <row r="674" customFormat="false" ht="15" hidden="true" customHeight="true" outlineLevel="0" collapsed="false">
      <c r="B674" s="183" t="str">
        <f aca="false">IF($A674="","",IFERROR(VLOOKUP($A674,Skills!$A:$C,2,FALSE())&amp;" "&amp;VLOOKUP($A674,Skills!$A:$C,3,FALSE()),"Marsridge Holtgate"))</f>
        <v/>
      </c>
      <c r="C674" s="184" t="n">
        <f aca="false">IFERROR(VLOOKUP(A674,Skills!$A:$D,4,FALSE()),"")</f>
        <v>0</v>
      </c>
      <c r="D674" s="210"/>
      <c r="E674" s="211"/>
      <c r="G674" s="186" t="str">
        <f aca="false">IF(F674="","",WORKDAY(F674-1,E674+IF(I674="",0,I674)))</f>
        <v/>
      </c>
      <c r="I674" s="210"/>
      <c r="J674" s="212" t="str">
        <f aca="true">IF(F674="","",MIN(E674,MAX(0,NETWORKDAYS(F674,TODAY())-IF(I674="",0,I674))))</f>
        <v/>
      </c>
      <c r="K674" s="213" t="str">
        <f aca="true">IF(F674="","",MAX(0,E674-(NETWORKDAYS(F674,TODAY())-IF(I674="",0,I674))))</f>
        <v/>
      </c>
      <c r="L674" s="214"/>
      <c r="M674" s="214" t="str">
        <f aca="true">IFERROR(IF(OR(J674="",J674&lt;=0),"",IF(TODAY()&gt;G674,1,IF(J674-1=0,0,INDEX(OBJECTIVES!$Q$2:$Q$8,MATCH(J674-1,OBJECTIVES!$N$2:$N$8,0))))),"")</f>
        <v/>
      </c>
      <c r="N674" s="214" t="str">
        <f aca="false">IF(OR(M674="",L674=""),"",L674-M674)</f>
        <v/>
      </c>
      <c r="O674" s="212" t="str">
        <f aca="false">IF($P674&lt;&gt;"",$P674,IF(N674="","",IF(N674&lt;=-0.12,"P1",IF(N674&lt;=-0.06,"P2","P3"))))</f>
        <v/>
      </c>
      <c r="Q674" s="0" t="str">
        <f aca="true">IF(F674="","",IF(H674&lt;&gt;"","Terminé",IF(F674&gt;TODAY(),"À venir",IF(G674&lt;TODAY(),"Terminé","En cours"))))</f>
        <v/>
      </c>
      <c r="V674" s="0" t="str">
        <f aca="false">IF(Q674="Terminé",IF(AND(F674&lt;&gt;"",H674&lt;&gt;""),NETWORKDAYS(F674,H674),E674),"")</f>
        <v/>
      </c>
      <c r="W674" s="215" t="str">
        <f aca="false">IF($A674="","",IF(COUNTIF(Skills!$A:$A,$A674)=0,"⚠ ID absent du roster",""))</f>
        <v/>
      </c>
      <c r="X674" s="212"/>
    </row>
    <row r="675" customFormat="false" ht="15" hidden="true" customHeight="true" outlineLevel="0" collapsed="false">
      <c r="B675" s="183" t="str">
        <f aca="false">IF($A675="","",IFERROR(VLOOKUP($A675,Skills!$A:$C,2,FALSE())&amp;" "&amp;VLOOKUP($A675,Skills!$A:$C,3,FALSE()),"Marsridge Holtgate"))</f>
        <v/>
      </c>
      <c r="C675" s="184" t="n">
        <f aca="false">IFERROR(VLOOKUP(A675,Skills!$A:$D,4,FALSE()),"")</f>
        <v>0</v>
      </c>
      <c r="D675" s="210"/>
      <c r="E675" s="211"/>
      <c r="G675" s="186" t="str">
        <f aca="false">IF(F675="","",WORKDAY(F675-1,E675+IF(I675="",0,I675)))</f>
        <v/>
      </c>
      <c r="I675" s="210"/>
      <c r="J675" s="212" t="str">
        <f aca="true">IF(F675="","",MIN(E675,MAX(0,NETWORKDAYS(F675,TODAY())-IF(I675="",0,I675))))</f>
        <v/>
      </c>
      <c r="K675" s="213" t="str">
        <f aca="true">IF(F675="","",MAX(0,E675-(NETWORKDAYS(F675,TODAY())-IF(I675="",0,I675))))</f>
        <v/>
      </c>
      <c r="L675" s="214"/>
      <c r="M675" s="214" t="str">
        <f aca="true">IFERROR(IF(OR(J675="",J675&lt;=0),"",IF(TODAY()&gt;G675,1,IF(J675-1=0,0,INDEX(OBJECTIVES!$Q$2:$Q$8,MATCH(J675-1,OBJECTIVES!$N$2:$N$8,0))))),"")</f>
        <v/>
      </c>
      <c r="N675" s="214" t="str">
        <f aca="false">IF(OR(M675="",L675=""),"",L675-M675)</f>
        <v/>
      </c>
      <c r="O675" s="212" t="str">
        <f aca="false">IF($P675&lt;&gt;"",$P675,IF(N675="","",IF(N675&lt;=-0.12,"P1",IF(N675&lt;=-0.06,"P2","P3"))))</f>
        <v/>
      </c>
      <c r="Q675" s="0" t="str">
        <f aca="true">IF(F675="","",IF(H675&lt;&gt;"","Terminé",IF(F675&gt;TODAY(),"À venir",IF(G675&lt;TODAY(),"Terminé","En cours"))))</f>
        <v/>
      </c>
      <c r="V675" s="0" t="str">
        <f aca="false">IF(Q675="Terminé",IF(AND(F675&lt;&gt;"",H675&lt;&gt;""),NETWORKDAYS(F675,H675),E675),"")</f>
        <v/>
      </c>
      <c r="W675" s="215" t="str">
        <f aca="false">IF($A675="","",IF(COUNTIF(Skills!$A:$A,$A675)=0,"⚠ ID absent du roster",""))</f>
        <v/>
      </c>
      <c r="X675" s="212"/>
    </row>
    <row r="676" customFormat="false" ht="15" hidden="true" customHeight="true" outlineLevel="0" collapsed="false">
      <c r="B676" s="183" t="str">
        <f aca="false">IF($A676="","",IFERROR(VLOOKUP($A676,Skills!$A:$C,2,FALSE())&amp;" "&amp;VLOOKUP($A676,Skills!$A:$C,3,FALSE()),"Marsridge Holtgate"))</f>
        <v/>
      </c>
      <c r="C676" s="184" t="n">
        <f aca="false">IFERROR(VLOOKUP(A676,Skills!$A:$D,4,FALSE()),"")</f>
        <v>0</v>
      </c>
      <c r="D676" s="210"/>
      <c r="E676" s="211"/>
      <c r="G676" s="186" t="str">
        <f aca="false">IF(F676="","",WORKDAY(F676-1,E676+IF(I676="",0,I676)))</f>
        <v/>
      </c>
      <c r="I676" s="210"/>
      <c r="J676" s="212" t="str">
        <f aca="true">IF(F676="","",MIN(E676,MAX(0,NETWORKDAYS(F676,TODAY())-IF(I676="",0,I676))))</f>
        <v/>
      </c>
      <c r="K676" s="213" t="str">
        <f aca="true">IF(F676="","",MAX(0,E676-(NETWORKDAYS(F676,TODAY())-IF(I676="",0,I676))))</f>
        <v/>
      </c>
      <c r="L676" s="214"/>
      <c r="M676" s="214" t="str">
        <f aca="true">IFERROR(IF(OR(J676="",J676&lt;=0),"",IF(TODAY()&gt;G676,1,IF(J676-1=0,0,INDEX(OBJECTIVES!$Q$2:$Q$8,MATCH(J676-1,OBJECTIVES!$N$2:$N$8,0))))),"")</f>
        <v/>
      </c>
      <c r="N676" s="214" t="str">
        <f aca="false">IF(OR(M676="",L676=""),"",L676-M676)</f>
        <v/>
      </c>
      <c r="O676" s="212" t="str">
        <f aca="false">IF($P676&lt;&gt;"",$P676,IF(N676="","",IF(N676&lt;=-0.12,"P1",IF(N676&lt;=-0.06,"P2","P3"))))</f>
        <v/>
      </c>
      <c r="Q676" s="0" t="str">
        <f aca="true">IF(F676="","",IF(H676&lt;&gt;"","Terminé",IF(F676&gt;TODAY(),"À venir",IF(G676&lt;TODAY(),"Terminé","En cours"))))</f>
        <v/>
      </c>
      <c r="V676" s="0" t="str">
        <f aca="false">IF(Q676="Terminé",IF(AND(F676&lt;&gt;"",H676&lt;&gt;""),NETWORKDAYS(F676,H676),E676),"")</f>
        <v/>
      </c>
      <c r="W676" s="215" t="str">
        <f aca="false">IF($A676="","",IF(COUNTIF(Skills!$A:$A,$A676)=0,"⚠ ID absent du roster",""))</f>
        <v/>
      </c>
      <c r="X676" s="212"/>
    </row>
    <row r="677" customFormat="false" ht="15" hidden="true" customHeight="true" outlineLevel="0" collapsed="false">
      <c r="B677" s="183" t="str">
        <f aca="false">IF($A677="","",IFERROR(VLOOKUP($A677,Skills!$A:$C,2,FALSE())&amp;" "&amp;VLOOKUP($A677,Skills!$A:$C,3,FALSE()),"Marsridge Holtgate"))</f>
        <v/>
      </c>
      <c r="C677" s="184" t="n">
        <f aca="false">IFERROR(VLOOKUP(A677,Skills!$A:$D,4,FALSE()),"")</f>
        <v>0</v>
      </c>
      <c r="D677" s="210"/>
      <c r="E677" s="211"/>
      <c r="G677" s="186" t="str">
        <f aca="false">IF(F677="","",WORKDAY(F677-1,E677+IF(I677="",0,I677)))</f>
        <v/>
      </c>
      <c r="I677" s="210"/>
      <c r="J677" s="212" t="str">
        <f aca="true">IF(F677="","",MIN(E677,MAX(0,NETWORKDAYS(F677,TODAY())-IF(I677="",0,I677))))</f>
        <v/>
      </c>
      <c r="K677" s="213" t="str">
        <f aca="true">IF(F677="","",MAX(0,E677-(NETWORKDAYS(F677,TODAY())-IF(I677="",0,I677))))</f>
        <v/>
      </c>
      <c r="L677" s="214"/>
      <c r="M677" s="214" t="str">
        <f aca="true">IFERROR(IF(OR(J677="",J677&lt;=0),"",IF(TODAY()&gt;G677,1,IF(J677-1=0,0,INDEX(OBJECTIVES!$Q$2:$Q$8,MATCH(J677-1,OBJECTIVES!$N$2:$N$8,0))))),"")</f>
        <v/>
      </c>
      <c r="N677" s="214" t="str">
        <f aca="false">IF(OR(M677="",L677=""),"",L677-M677)</f>
        <v/>
      </c>
      <c r="O677" s="212" t="str">
        <f aca="false">IF($P677&lt;&gt;"",$P677,IF(N677="","",IF(N677&lt;=-0.12,"P1",IF(N677&lt;=-0.06,"P2","P3"))))</f>
        <v/>
      </c>
      <c r="Q677" s="0" t="str">
        <f aca="true">IF(F677="","",IF(H677&lt;&gt;"","Terminé",IF(F677&gt;TODAY(),"À venir",IF(G677&lt;TODAY(),"Terminé","En cours"))))</f>
        <v/>
      </c>
      <c r="V677" s="0" t="str">
        <f aca="false">IF(Q677="Terminé",IF(AND(F677&lt;&gt;"",H677&lt;&gt;""),NETWORKDAYS(F677,H677),E677),"")</f>
        <v/>
      </c>
      <c r="W677" s="215" t="str">
        <f aca="false">IF($A677="","",IF(COUNTIF(Skills!$A:$A,$A677)=0,"⚠ ID absent du roster",""))</f>
        <v/>
      </c>
      <c r="X677" s="212"/>
    </row>
    <row r="678" customFormat="false" ht="15" hidden="true" customHeight="true" outlineLevel="0" collapsed="false">
      <c r="B678" s="183" t="str">
        <f aca="false">IF($A678="","",IFERROR(VLOOKUP($A678,Skills!$A:$C,2,FALSE())&amp;" "&amp;VLOOKUP($A678,Skills!$A:$C,3,FALSE()),"Marsridge Holtgate"))</f>
        <v/>
      </c>
      <c r="C678" s="184" t="n">
        <f aca="false">IFERROR(VLOOKUP(A678,Skills!$A:$D,4,FALSE()),"")</f>
        <v>0</v>
      </c>
      <c r="D678" s="210"/>
      <c r="E678" s="211"/>
      <c r="G678" s="186" t="str">
        <f aca="false">IF(F678="","",WORKDAY(F678-1,E678+IF(I678="",0,I678)))</f>
        <v/>
      </c>
      <c r="I678" s="210"/>
      <c r="J678" s="212" t="str">
        <f aca="true">IF(F678="","",MIN(E678,MAX(0,NETWORKDAYS(F678,TODAY())-IF(I678="",0,I678))))</f>
        <v/>
      </c>
      <c r="K678" s="213" t="str">
        <f aca="true">IF(F678="","",MAX(0,E678-(NETWORKDAYS(F678,TODAY())-IF(I678="",0,I678))))</f>
        <v/>
      </c>
      <c r="L678" s="214"/>
      <c r="M678" s="214" t="str">
        <f aca="true">IFERROR(IF(OR(J678="",J678&lt;=0),"",IF(TODAY()&gt;G678,1,IF(J678-1=0,0,INDEX(OBJECTIVES!$Q$2:$Q$8,MATCH(J678-1,OBJECTIVES!$N$2:$N$8,0))))),"")</f>
        <v/>
      </c>
      <c r="N678" s="214" t="str">
        <f aca="false">IF(OR(M678="",L678=""),"",L678-M678)</f>
        <v/>
      </c>
      <c r="O678" s="212" t="str">
        <f aca="false">IF($P678&lt;&gt;"",$P678,IF(N678="","",IF(N678&lt;=-0.12,"P1",IF(N678&lt;=-0.06,"P2","P3"))))</f>
        <v/>
      </c>
      <c r="Q678" s="0" t="str">
        <f aca="true">IF(F678="","",IF(H678&lt;&gt;"","Terminé",IF(F678&gt;TODAY(),"À venir",IF(G678&lt;TODAY(),"Terminé","En cours"))))</f>
        <v/>
      </c>
      <c r="V678" s="0" t="str">
        <f aca="false">IF(Q678="Terminé",IF(AND(F678&lt;&gt;"",H678&lt;&gt;""),NETWORKDAYS(F678,H678),E678),"")</f>
        <v/>
      </c>
      <c r="W678" s="215" t="str">
        <f aca="false">IF($A678="","",IF(COUNTIF(Skills!$A:$A,$A678)=0,"⚠ ID absent du roster",""))</f>
        <v/>
      </c>
      <c r="X678" s="212"/>
    </row>
    <row r="679" customFormat="false" ht="15" hidden="true" customHeight="true" outlineLevel="0" collapsed="false">
      <c r="B679" s="183" t="str">
        <f aca="false">IF($A679="","",IFERROR(VLOOKUP($A679,Skills!$A:$C,2,FALSE())&amp;" "&amp;VLOOKUP($A679,Skills!$A:$C,3,FALSE()),"Marsridge Holtgate"))</f>
        <v/>
      </c>
      <c r="C679" s="184" t="n">
        <f aca="false">IFERROR(VLOOKUP(A679,Skills!$A:$D,4,FALSE()),"")</f>
        <v>0</v>
      </c>
      <c r="D679" s="210"/>
      <c r="E679" s="211"/>
      <c r="G679" s="186" t="str">
        <f aca="false">IF(F679="","",WORKDAY(F679-1,E679+IF(I679="",0,I679)))</f>
        <v/>
      </c>
      <c r="I679" s="210"/>
      <c r="J679" s="212" t="str">
        <f aca="true">IF(F679="","",MIN(E679,MAX(0,NETWORKDAYS(F679,TODAY())-IF(I679="",0,I679))))</f>
        <v/>
      </c>
      <c r="K679" s="213" t="str">
        <f aca="true">IF(F679="","",MAX(0,E679-(NETWORKDAYS(F679,TODAY())-IF(I679="",0,I679))))</f>
        <v/>
      </c>
      <c r="L679" s="214"/>
      <c r="M679" s="214" t="str">
        <f aca="true">IFERROR(IF(OR(J679="",J679&lt;=0),"",IF(TODAY()&gt;G679,1,IF(J679-1=0,0,INDEX(OBJECTIVES!$Q$2:$Q$8,MATCH(J679-1,OBJECTIVES!$N$2:$N$8,0))))),"")</f>
        <v/>
      </c>
      <c r="N679" s="214" t="str">
        <f aca="false">IF(OR(M679="",L679=""),"",L679-M679)</f>
        <v/>
      </c>
      <c r="O679" s="212" t="str">
        <f aca="false">IF($P679&lt;&gt;"",$P679,IF(N679="","",IF(N679&lt;=-0.12,"P1",IF(N679&lt;=-0.06,"P2","P3"))))</f>
        <v/>
      </c>
      <c r="Q679" s="0" t="str">
        <f aca="true">IF(F679="","",IF(H679&lt;&gt;"","Terminé",IF(F679&gt;TODAY(),"À venir",IF(G679&lt;TODAY(),"Terminé","En cours"))))</f>
        <v/>
      </c>
      <c r="V679" s="0" t="str">
        <f aca="false">IF(Q679="Terminé",IF(AND(F679&lt;&gt;"",H679&lt;&gt;""),NETWORKDAYS(F679,H679),E679),"")</f>
        <v/>
      </c>
      <c r="W679" s="215" t="str">
        <f aca="false">IF($A679="","",IF(COUNTIF(Skills!$A:$A,$A679)=0,"⚠ ID absent du roster",""))</f>
        <v/>
      </c>
      <c r="X679" s="212"/>
    </row>
    <row r="680" customFormat="false" ht="15" hidden="true" customHeight="true" outlineLevel="0" collapsed="false">
      <c r="B680" s="183" t="str">
        <f aca="false">IF($A680="","",IFERROR(VLOOKUP($A680,Skills!$A:$C,2,FALSE())&amp;" "&amp;VLOOKUP($A680,Skills!$A:$C,3,FALSE()),"Marsridge Holtgate"))</f>
        <v/>
      </c>
      <c r="C680" s="184" t="n">
        <f aca="false">IFERROR(VLOOKUP(A680,Skills!$A:$D,4,FALSE()),"")</f>
        <v>0</v>
      </c>
      <c r="D680" s="210"/>
      <c r="E680" s="211"/>
      <c r="G680" s="186" t="str">
        <f aca="false">IF(F680="","",WORKDAY(F680-1,E680+IF(I680="",0,I680)))</f>
        <v/>
      </c>
      <c r="I680" s="210"/>
      <c r="J680" s="212" t="str">
        <f aca="true">IF(F680="","",MIN(E680,MAX(0,NETWORKDAYS(F680,TODAY())-IF(I680="",0,I680))))</f>
        <v/>
      </c>
      <c r="K680" s="213" t="str">
        <f aca="true">IF(F680="","",MAX(0,E680-(NETWORKDAYS(F680,TODAY())-IF(I680="",0,I680))))</f>
        <v/>
      </c>
      <c r="L680" s="214"/>
      <c r="M680" s="214" t="str">
        <f aca="true">IFERROR(IF(OR(J680="",J680&lt;=0),"",IF(TODAY()&gt;G680,1,IF(J680-1=0,0,INDEX(OBJECTIVES!$Q$2:$Q$8,MATCH(J680-1,OBJECTIVES!$N$2:$N$8,0))))),"")</f>
        <v/>
      </c>
      <c r="N680" s="214" t="str">
        <f aca="false">IF(OR(M680="",L680=""),"",L680-M680)</f>
        <v/>
      </c>
      <c r="O680" s="212" t="str">
        <f aca="false">IF($P680&lt;&gt;"",$P680,IF(N680="","",IF(N680&lt;=-0.12,"P1",IF(N680&lt;=-0.06,"P2","P3"))))</f>
        <v/>
      </c>
      <c r="Q680" s="0" t="str">
        <f aca="true">IF(F680="","",IF(H680&lt;&gt;"","Terminé",IF(F680&gt;TODAY(),"À venir",IF(G680&lt;TODAY(),"Terminé","En cours"))))</f>
        <v/>
      </c>
      <c r="V680" s="0" t="str">
        <f aca="false">IF(Q680="Terminé",IF(AND(F680&lt;&gt;"",H680&lt;&gt;""),NETWORKDAYS(F680,H680),E680),"")</f>
        <v/>
      </c>
      <c r="W680" s="215" t="str">
        <f aca="false">IF($A680="","",IF(COUNTIF(Skills!$A:$A,$A680)=0,"⚠ ID absent du roster",""))</f>
        <v/>
      </c>
      <c r="X680" s="212"/>
    </row>
    <row r="681" customFormat="false" ht="15" hidden="true" customHeight="true" outlineLevel="0" collapsed="false">
      <c r="B681" s="183" t="str">
        <f aca="false">IF($A681="","",IFERROR(VLOOKUP($A681,Skills!$A:$C,2,FALSE())&amp;" "&amp;VLOOKUP($A681,Skills!$A:$C,3,FALSE()),"Marsridge Holtgate"))</f>
        <v/>
      </c>
      <c r="C681" s="184" t="n">
        <f aca="false">IFERROR(VLOOKUP(A681,Skills!$A:$D,4,FALSE()),"")</f>
        <v>0</v>
      </c>
      <c r="D681" s="210"/>
      <c r="E681" s="211"/>
      <c r="G681" s="186" t="str">
        <f aca="false">IF(F681="","",WORKDAY(F681-1,E681+IF(I681="",0,I681)))</f>
        <v/>
      </c>
      <c r="I681" s="210"/>
      <c r="J681" s="212" t="str">
        <f aca="true">IF(F681="","",MIN(E681,MAX(0,NETWORKDAYS(F681,TODAY())-IF(I681="",0,I681))))</f>
        <v/>
      </c>
      <c r="K681" s="213" t="str">
        <f aca="true">IF(F681="","",MAX(0,E681-(NETWORKDAYS(F681,TODAY())-IF(I681="",0,I681))))</f>
        <v/>
      </c>
      <c r="L681" s="214"/>
      <c r="M681" s="214" t="str">
        <f aca="true">IFERROR(IF(OR(J681="",J681&lt;=0),"",IF(TODAY()&gt;G681,1,IF(J681-1=0,0,INDEX(OBJECTIVES!$Q$2:$Q$8,MATCH(J681-1,OBJECTIVES!$N$2:$N$8,0))))),"")</f>
        <v/>
      </c>
      <c r="N681" s="214" t="str">
        <f aca="false">IF(OR(M681="",L681=""),"",L681-M681)</f>
        <v/>
      </c>
      <c r="O681" s="212" t="str">
        <f aca="false">IF($P681&lt;&gt;"",$P681,IF(N681="","",IF(N681&lt;=-0.12,"P1",IF(N681&lt;=-0.06,"P2","P3"))))</f>
        <v/>
      </c>
      <c r="Q681" s="0" t="str">
        <f aca="true">IF(F681="","",IF(H681&lt;&gt;"","Terminé",IF(F681&gt;TODAY(),"À venir",IF(G681&lt;TODAY(),"Terminé","En cours"))))</f>
        <v/>
      </c>
      <c r="V681" s="0" t="str">
        <f aca="false">IF(Q681="Terminé",IF(AND(F681&lt;&gt;"",H681&lt;&gt;""),NETWORKDAYS(F681,H681),E681),"")</f>
        <v/>
      </c>
      <c r="W681" s="215" t="str">
        <f aca="false">IF($A681="","",IF(COUNTIF(Skills!$A:$A,$A681)=0,"⚠ ID absent du roster",""))</f>
        <v/>
      </c>
      <c r="X681" s="212"/>
    </row>
    <row r="682" customFormat="false" ht="15" hidden="true" customHeight="true" outlineLevel="0" collapsed="false">
      <c r="B682" s="183" t="str">
        <f aca="false">IF($A682="","",IFERROR(VLOOKUP($A682,Skills!$A:$C,2,FALSE())&amp;" "&amp;VLOOKUP($A682,Skills!$A:$C,3,FALSE()),"Marsridge Holtgate"))</f>
        <v/>
      </c>
      <c r="C682" s="184" t="n">
        <f aca="false">IFERROR(VLOOKUP(A682,Skills!$A:$D,4,FALSE()),"")</f>
        <v>0</v>
      </c>
      <c r="D682" s="210"/>
      <c r="E682" s="211"/>
      <c r="G682" s="186" t="str">
        <f aca="false">IF(F682="","",WORKDAY(F682-1,E682+IF(I682="",0,I682)))</f>
        <v/>
      </c>
      <c r="I682" s="210"/>
      <c r="J682" s="212" t="str">
        <f aca="true">IF(F682="","",MIN(E682,MAX(0,NETWORKDAYS(F682,TODAY())-IF(I682="",0,I682))))</f>
        <v/>
      </c>
      <c r="K682" s="213" t="str">
        <f aca="true">IF(F682="","",MAX(0,E682-(NETWORKDAYS(F682,TODAY())-IF(I682="",0,I682))))</f>
        <v/>
      </c>
      <c r="L682" s="214"/>
      <c r="M682" s="214" t="str">
        <f aca="true">IFERROR(IF(OR(J682="",J682&lt;=0),"",IF(TODAY()&gt;G682,1,IF(J682-1=0,0,INDEX(OBJECTIVES!$Q$2:$Q$8,MATCH(J682-1,OBJECTIVES!$N$2:$N$8,0))))),"")</f>
        <v/>
      </c>
      <c r="N682" s="214" t="str">
        <f aca="false">IF(OR(M682="",L682=""),"",L682-M682)</f>
        <v/>
      </c>
      <c r="O682" s="212" t="str">
        <f aca="false">IF($P682&lt;&gt;"",$P682,IF(N682="","",IF(N682&lt;=-0.12,"P1",IF(N682&lt;=-0.06,"P2","P3"))))</f>
        <v/>
      </c>
      <c r="Q682" s="0" t="str">
        <f aca="true">IF(F682="","",IF(H682&lt;&gt;"","Terminé",IF(F682&gt;TODAY(),"À venir",IF(G682&lt;TODAY(),"Terminé","En cours"))))</f>
        <v/>
      </c>
      <c r="V682" s="0" t="str">
        <f aca="false">IF(Q682="Terminé",IF(AND(F682&lt;&gt;"",H682&lt;&gt;""),NETWORKDAYS(F682,H682),E682),"")</f>
        <v/>
      </c>
      <c r="W682" s="215" t="str">
        <f aca="false">IF($A682="","",IF(COUNTIF(Skills!$A:$A,$A682)=0,"⚠ ID absent du roster",""))</f>
        <v/>
      </c>
      <c r="X682" s="212"/>
    </row>
    <row r="683" customFormat="false" ht="15" hidden="true" customHeight="true" outlineLevel="0" collapsed="false">
      <c r="B683" s="183" t="str">
        <f aca="false">IF($A683="","",IFERROR(VLOOKUP($A683,Skills!$A:$C,2,FALSE())&amp;" "&amp;VLOOKUP($A683,Skills!$A:$C,3,FALSE()),"Marsridge Holtgate"))</f>
        <v/>
      </c>
      <c r="C683" s="184" t="n">
        <f aca="false">IFERROR(VLOOKUP(A683,Skills!$A:$D,4,FALSE()),"")</f>
        <v>0</v>
      </c>
      <c r="D683" s="210"/>
      <c r="E683" s="211"/>
      <c r="G683" s="186" t="str">
        <f aca="false">IF(F683="","",WORKDAY(F683-1,E683+IF(I683="",0,I683)))</f>
        <v/>
      </c>
      <c r="I683" s="210"/>
      <c r="J683" s="212" t="str">
        <f aca="true">IF(F683="","",MIN(E683,MAX(0,NETWORKDAYS(F683,TODAY())-IF(I683="",0,I683))))</f>
        <v/>
      </c>
      <c r="K683" s="213" t="str">
        <f aca="true">IF(F683="","",MAX(0,E683-(NETWORKDAYS(F683,TODAY())-IF(I683="",0,I683))))</f>
        <v/>
      </c>
      <c r="L683" s="214"/>
      <c r="M683" s="214" t="str">
        <f aca="true">IFERROR(IF(OR(J683="",J683&lt;=0),"",IF(TODAY()&gt;G683,1,IF(J683-1=0,0,INDEX(OBJECTIVES!$Q$2:$Q$8,MATCH(J683-1,OBJECTIVES!$N$2:$N$8,0))))),"")</f>
        <v/>
      </c>
      <c r="N683" s="214" t="str">
        <f aca="false">IF(OR(M683="",L683=""),"",L683-M683)</f>
        <v/>
      </c>
      <c r="O683" s="212" t="str">
        <f aca="false">IF($P683&lt;&gt;"",$P683,IF(N683="","",IF(N683&lt;=-0.12,"P1",IF(N683&lt;=-0.06,"P2","P3"))))</f>
        <v/>
      </c>
      <c r="Q683" s="0" t="str">
        <f aca="true">IF(F683="","",IF(H683&lt;&gt;"","Terminé",IF(F683&gt;TODAY(),"À venir",IF(G683&lt;TODAY(),"Terminé","En cours"))))</f>
        <v/>
      </c>
      <c r="V683" s="0" t="str">
        <f aca="false">IF(Q683="Terminé",IF(AND(F683&lt;&gt;"",H683&lt;&gt;""),NETWORKDAYS(F683,H683),E683),"")</f>
        <v/>
      </c>
      <c r="W683" s="215" t="str">
        <f aca="false">IF($A683="","",IF(COUNTIF(Skills!$A:$A,$A683)=0,"⚠ ID absent du roster",""))</f>
        <v/>
      </c>
      <c r="X683" s="212"/>
    </row>
    <row r="684" customFormat="false" ht="15" hidden="true" customHeight="true" outlineLevel="0" collapsed="false">
      <c r="B684" s="183" t="str">
        <f aca="false">IF($A684="","",IFERROR(VLOOKUP($A684,Skills!$A:$C,2,FALSE())&amp;" "&amp;VLOOKUP($A684,Skills!$A:$C,3,FALSE()),"Marsridge Holtgate"))</f>
        <v/>
      </c>
      <c r="C684" s="184" t="n">
        <f aca="false">IFERROR(VLOOKUP(A684,Skills!$A:$D,4,FALSE()),"")</f>
        <v>0</v>
      </c>
      <c r="D684" s="210"/>
      <c r="E684" s="211"/>
      <c r="G684" s="186" t="str">
        <f aca="false">IF(F684="","",WORKDAY(F684-1,E684+IF(I684="",0,I684)))</f>
        <v/>
      </c>
      <c r="I684" s="210"/>
      <c r="J684" s="212" t="str">
        <f aca="true">IF(F684="","",MIN(E684,MAX(0,NETWORKDAYS(F684,TODAY())-IF(I684="",0,I684))))</f>
        <v/>
      </c>
      <c r="K684" s="213" t="str">
        <f aca="true">IF(F684="","",MAX(0,E684-(NETWORKDAYS(F684,TODAY())-IF(I684="",0,I684))))</f>
        <v/>
      </c>
      <c r="L684" s="214"/>
      <c r="M684" s="214" t="str">
        <f aca="true">IFERROR(IF(OR(J684="",J684&lt;=0),"",IF(TODAY()&gt;G684,1,IF(J684-1=0,0,INDEX(OBJECTIVES!$Q$2:$Q$8,MATCH(J684-1,OBJECTIVES!$N$2:$N$8,0))))),"")</f>
        <v/>
      </c>
      <c r="N684" s="214" t="str">
        <f aca="false">IF(OR(M684="",L684=""),"",L684-M684)</f>
        <v/>
      </c>
      <c r="O684" s="212" t="str">
        <f aca="false">IF($P684&lt;&gt;"",$P684,IF(N684="","",IF(N684&lt;=-0.12,"P1",IF(N684&lt;=-0.06,"P2","P3"))))</f>
        <v/>
      </c>
      <c r="Q684" s="0" t="str">
        <f aca="true">IF(F684="","",IF(H684&lt;&gt;"","Terminé",IF(F684&gt;TODAY(),"À venir",IF(G684&lt;TODAY(),"Terminé","En cours"))))</f>
        <v/>
      </c>
      <c r="V684" s="0" t="str">
        <f aca="false">IF(Q684="Terminé",IF(AND(F684&lt;&gt;"",H684&lt;&gt;""),NETWORKDAYS(F684,H684),E684),"")</f>
        <v/>
      </c>
      <c r="W684" s="215" t="str">
        <f aca="false">IF($A684="","",IF(COUNTIF(Skills!$A:$A,$A684)=0,"⚠ ID absent du roster",""))</f>
        <v/>
      </c>
      <c r="X684" s="212"/>
    </row>
    <row r="685" customFormat="false" ht="15" hidden="true" customHeight="true" outlineLevel="0" collapsed="false">
      <c r="B685" s="183" t="str">
        <f aca="false">IF($A685="","",IFERROR(VLOOKUP($A685,Skills!$A:$C,2,FALSE())&amp;" "&amp;VLOOKUP($A685,Skills!$A:$C,3,FALSE()),"Marsridge Holtgate"))</f>
        <v/>
      </c>
      <c r="C685" s="184" t="n">
        <f aca="false">IFERROR(VLOOKUP(A685,Skills!$A:$D,4,FALSE()),"")</f>
        <v>0</v>
      </c>
      <c r="D685" s="210"/>
      <c r="E685" s="211"/>
      <c r="G685" s="186" t="str">
        <f aca="false">IF(F685="","",WORKDAY(F685-1,E685+IF(I685="",0,I685)))</f>
        <v/>
      </c>
      <c r="I685" s="210"/>
      <c r="J685" s="212" t="str">
        <f aca="true">IF(F685="","",MIN(E685,MAX(0,NETWORKDAYS(F685,TODAY())-IF(I685="",0,I685))))</f>
        <v/>
      </c>
      <c r="K685" s="213" t="str">
        <f aca="true">IF(F685="","",MAX(0,E685-(NETWORKDAYS(F685,TODAY())-IF(I685="",0,I685))))</f>
        <v/>
      </c>
      <c r="L685" s="214"/>
      <c r="M685" s="214" t="str">
        <f aca="true">IFERROR(IF(OR(J685="",J685&lt;=0),"",IF(TODAY()&gt;G685,1,IF(J685-1=0,0,INDEX(OBJECTIVES!$Q$2:$Q$8,MATCH(J685-1,OBJECTIVES!$N$2:$N$8,0))))),"")</f>
        <v/>
      </c>
      <c r="N685" s="214" t="str">
        <f aca="false">IF(OR(M685="",L685=""),"",L685-M685)</f>
        <v/>
      </c>
      <c r="O685" s="212" t="str">
        <f aca="false">IF($P685&lt;&gt;"",$P685,IF(N685="","",IF(N685&lt;=-0.12,"P1",IF(N685&lt;=-0.06,"P2","P3"))))</f>
        <v/>
      </c>
      <c r="Q685" s="0" t="str">
        <f aca="true">IF(F685="","",IF(H685&lt;&gt;"","Terminé",IF(F685&gt;TODAY(),"À venir",IF(G685&lt;TODAY(),"Terminé","En cours"))))</f>
        <v/>
      </c>
      <c r="V685" s="0" t="str">
        <f aca="false">IF(Q685="Terminé",IF(AND(F685&lt;&gt;"",H685&lt;&gt;""),NETWORKDAYS(F685,H685),E685),"")</f>
        <v/>
      </c>
      <c r="W685" s="215" t="str">
        <f aca="false">IF($A685="","",IF(COUNTIF(Skills!$A:$A,$A685)=0,"⚠ ID absent du roster",""))</f>
        <v/>
      </c>
      <c r="X685" s="212"/>
    </row>
    <row r="686" customFormat="false" ht="15" hidden="true" customHeight="true" outlineLevel="0" collapsed="false">
      <c r="B686" s="183" t="str">
        <f aca="false">IF($A686="","",IFERROR(VLOOKUP($A686,Skills!$A:$C,2,FALSE())&amp;" "&amp;VLOOKUP($A686,Skills!$A:$C,3,FALSE()),"Marsridge Holtgate"))</f>
        <v/>
      </c>
      <c r="C686" s="184" t="n">
        <f aca="false">IFERROR(VLOOKUP(A686,Skills!$A:$D,4,FALSE()),"")</f>
        <v>0</v>
      </c>
      <c r="D686" s="210"/>
      <c r="E686" s="211"/>
      <c r="G686" s="186" t="str">
        <f aca="false">IF(F686="","",WORKDAY(F686-1,E686+IF(I686="",0,I686)))</f>
        <v/>
      </c>
      <c r="I686" s="210"/>
      <c r="J686" s="212" t="str">
        <f aca="true">IF(F686="","",MIN(E686,MAX(0,NETWORKDAYS(F686,TODAY())-IF(I686="",0,I686))))</f>
        <v/>
      </c>
      <c r="K686" s="213" t="str">
        <f aca="true">IF(F686="","",MAX(0,E686-(NETWORKDAYS(F686,TODAY())-IF(I686="",0,I686))))</f>
        <v/>
      </c>
      <c r="L686" s="214"/>
      <c r="M686" s="214" t="str">
        <f aca="true">IFERROR(IF(OR(J686="",J686&lt;=0),"",IF(TODAY()&gt;G686,1,IF(J686-1=0,0,INDEX(OBJECTIVES!$Q$2:$Q$8,MATCH(J686-1,OBJECTIVES!$N$2:$N$8,0))))),"")</f>
        <v/>
      </c>
      <c r="N686" s="214" t="str">
        <f aca="false">IF(OR(M686="",L686=""),"",L686-M686)</f>
        <v/>
      </c>
      <c r="O686" s="212" t="str">
        <f aca="false">IF($P686&lt;&gt;"",$P686,IF(N686="","",IF(N686&lt;=-0.12,"P1",IF(N686&lt;=-0.06,"P2","P3"))))</f>
        <v/>
      </c>
      <c r="Q686" s="0" t="str">
        <f aca="true">IF(F686="","",IF(H686&lt;&gt;"","Terminé",IF(F686&gt;TODAY(),"À venir",IF(G686&lt;TODAY(),"Terminé","En cours"))))</f>
        <v/>
      </c>
      <c r="V686" s="0" t="str">
        <f aca="false">IF(Q686="Terminé",IF(AND(F686&lt;&gt;"",H686&lt;&gt;""),NETWORKDAYS(F686,H686),E686),"")</f>
        <v/>
      </c>
      <c r="W686" s="215" t="str">
        <f aca="false">IF($A686="","",IF(COUNTIF(Skills!$A:$A,$A686)=0,"⚠ ID absent du roster",""))</f>
        <v/>
      </c>
      <c r="X686" s="212"/>
    </row>
    <row r="687" customFormat="false" ht="15" hidden="true" customHeight="true" outlineLevel="0" collapsed="false">
      <c r="B687" s="183" t="str">
        <f aca="false">IF($A687="","",IFERROR(VLOOKUP($A687,Skills!$A:$C,2,FALSE())&amp;" "&amp;VLOOKUP($A687,Skills!$A:$C,3,FALSE()),"Marsridge Holtgate"))</f>
        <v/>
      </c>
      <c r="C687" s="184" t="n">
        <f aca="false">IFERROR(VLOOKUP(A687,Skills!$A:$D,4,FALSE()),"")</f>
        <v>0</v>
      </c>
      <c r="D687" s="210"/>
      <c r="E687" s="211"/>
      <c r="G687" s="186" t="str">
        <f aca="false">IF(F687="","",WORKDAY(F687-1,E687+IF(I687="",0,I687)))</f>
        <v/>
      </c>
      <c r="I687" s="210"/>
      <c r="J687" s="212" t="str">
        <f aca="true">IF(F687="","",MIN(E687,MAX(0,NETWORKDAYS(F687,TODAY())-IF(I687="",0,I687))))</f>
        <v/>
      </c>
      <c r="K687" s="213" t="str">
        <f aca="true">IF(F687="","",MAX(0,E687-(NETWORKDAYS(F687,TODAY())-IF(I687="",0,I687))))</f>
        <v/>
      </c>
      <c r="L687" s="214"/>
      <c r="M687" s="214" t="str">
        <f aca="true">IFERROR(IF(OR(J687="",J687&lt;=0),"",IF(TODAY()&gt;G687,1,IF(J687-1=0,0,INDEX(OBJECTIVES!$Q$2:$Q$8,MATCH(J687-1,OBJECTIVES!$N$2:$N$8,0))))),"")</f>
        <v/>
      </c>
      <c r="N687" s="214" t="str">
        <f aca="false">IF(OR(M687="",L687=""),"",L687-M687)</f>
        <v/>
      </c>
      <c r="O687" s="212" t="str">
        <f aca="false">IF($P687&lt;&gt;"",$P687,IF(N687="","",IF(N687&lt;=-0.12,"P1",IF(N687&lt;=-0.06,"P2","P3"))))</f>
        <v/>
      </c>
      <c r="Q687" s="0" t="str">
        <f aca="true">IF(F687="","",IF(H687&lt;&gt;"","Terminé",IF(F687&gt;TODAY(),"À venir",IF(G687&lt;TODAY(),"Terminé","En cours"))))</f>
        <v/>
      </c>
      <c r="V687" s="0" t="str">
        <f aca="false">IF(Q687="Terminé",IF(AND(F687&lt;&gt;"",H687&lt;&gt;""),NETWORKDAYS(F687,H687),E687),"")</f>
        <v/>
      </c>
      <c r="W687" s="215" t="str">
        <f aca="false">IF($A687="","",IF(COUNTIF(Skills!$A:$A,$A687)=0,"⚠ ID absent du roster",""))</f>
        <v/>
      </c>
      <c r="X687" s="212"/>
    </row>
    <row r="688" customFormat="false" ht="15" hidden="true" customHeight="true" outlineLevel="0" collapsed="false">
      <c r="B688" s="183" t="str">
        <f aca="false">IF($A688="","",IFERROR(VLOOKUP($A688,Skills!$A:$C,2,FALSE())&amp;" "&amp;VLOOKUP($A688,Skills!$A:$C,3,FALSE()),"Marsridge Holtgate"))</f>
        <v/>
      </c>
      <c r="C688" s="184" t="n">
        <f aca="false">IFERROR(VLOOKUP(A688,Skills!$A:$D,4,FALSE()),"")</f>
        <v>0</v>
      </c>
      <c r="D688" s="210"/>
      <c r="E688" s="211"/>
      <c r="G688" s="186" t="str">
        <f aca="false">IF(F688="","",WORKDAY(F688-1,E688+IF(I688="",0,I688)))</f>
        <v/>
      </c>
      <c r="I688" s="210"/>
      <c r="J688" s="212" t="str">
        <f aca="true">IF(F688="","",MIN(E688,MAX(0,NETWORKDAYS(F688,TODAY())-IF(I688="",0,I688))))</f>
        <v/>
      </c>
      <c r="K688" s="213" t="str">
        <f aca="true">IF(F688="","",MAX(0,E688-(NETWORKDAYS(F688,TODAY())-IF(I688="",0,I688))))</f>
        <v/>
      </c>
      <c r="L688" s="214"/>
      <c r="M688" s="214" t="str">
        <f aca="true">IFERROR(IF(OR(J688="",J688&lt;=0),"",IF(TODAY()&gt;G688,1,IF(J688-1=0,0,INDEX(OBJECTIVES!$Q$2:$Q$8,MATCH(J688-1,OBJECTIVES!$N$2:$N$8,0))))),"")</f>
        <v/>
      </c>
      <c r="N688" s="214" t="str">
        <f aca="false">IF(OR(M688="",L688=""),"",L688-M688)</f>
        <v/>
      </c>
      <c r="O688" s="212" t="str">
        <f aca="false">IF($P688&lt;&gt;"",$P688,IF(N688="","",IF(N688&lt;=-0.12,"P1",IF(N688&lt;=-0.06,"P2","P3"))))</f>
        <v/>
      </c>
      <c r="Q688" s="0" t="str">
        <f aca="true">IF(F688="","",IF(H688&lt;&gt;"","Terminé",IF(F688&gt;TODAY(),"À venir",IF(G688&lt;TODAY(),"Terminé","En cours"))))</f>
        <v/>
      </c>
      <c r="V688" s="0" t="str">
        <f aca="false">IF(Q688="Terminé",IF(AND(F688&lt;&gt;"",H688&lt;&gt;""),NETWORKDAYS(F688,H688),E688),"")</f>
        <v/>
      </c>
      <c r="W688" s="215" t="str">
        <f aca="false">IF($A688="","",IF(COUNTIF(Skills!$A:$A,$A688)=0,"⚠ ID absent du roster",""))</f>
        <v/>
      </c>
      <c r="X688" s="212"/>
    </row>
    <row r="689" customFormat="false" ht="15" hidden="true" customHeight="true" outlineLevel="0" collapsed="false">
      <c r="B689" s="183" t="str">
        <f aca="false">IF($A689="","",IFERROR(VLOOKUP($A689,Skills!$A:$C,2,FALSE())&amp;" "&amp;VLOOKUP($A689,Skills!$A:$C,3,FALSE()),"Marsridge Holtgate"))</f>
        <v/>
      </c>
      <c r="C689" s="184" t="n">
        <f aca="false">IFERROR(VLOOKUP(A689,Skills!$A:$D,4,FALSE()),"")</f>
        <v>0</v>
      </c>
      <c r="D689" s="210"/>
      <c r="E689" s="211"/>
      <c r="G689" s="186" t="str">
        <f aca="false">IF(F689="","",WORKDAY(F689-1,E689+IF(I689="",0,I689)))</f>
        <v/>
      </c>
      <c r="I689" s="210"/>
      <c r="J689" s="212" t="str">
        <f aca="true">IF(F689="","",MIN(E689,MAX(0,NETWORKDAYS(F689,TODAY())-IF(I689="",0,I689))))</f>
        <v/>
      </c>
      <c r="K689" s="213" t="str">
        <f aca="true">IF(F689="","",MAX(0,E689-(NETWORKDAYS(F689,TODAY())-IF(I689="",0,I689))))</f>
        <v/>
      </c>
      <c r="L689" s="214"/>
      <c r="M689" s="214" t="str">
        <f aca="true">IFERROR(IF(OR(J689="",J689&lt;=0),"",IF(TODAY()&gt;G689,1,IF(J689-1=0,0,INDEX(OBJECTIVES!$Q$2:$Q$8,MATCH(J689-1,OBJECTIVES!$N$2:$N$8,0))))),"")</f>
        <v/>
      </c>
      <c r="N689" s="214" t="str">
        <f aca="false">IF(OR(M689="",L689=""),"",L689-M689)</f>
        <v/>
      </c>
      <c r="O689" s="212" t="str">
        <f aca="false">IF($P689&lt;&gt;"",$P689,IF(N689="","",IF(N689&lt;=-0.12,"P1",IF(N689&lt;=-0.06,"P2","P3"))))</f>
        <v/>
      </c>
      <c r="Q689" s="0" t="str">
        <f aca="true">IF(F689="","",IF(H689&lt;&gt;"","Terminé",IF(F689&gt;TODAY(),"À venir",IF(G689&lt;TODAY(),"Terminé","En cours"))))</f>
        <v/>
      </c>
      <c r="V689" s="0" t="str">
        <f aca="false">IF(Q689="Terminé",IF(AND(F689&lt;&gt;"",H689&lt;&gt;""),NETWORKDAYS(F689,H689),E689),"")</f>
        <v/>
      </c>
      <c r="W689" s="215" t="str">
        <f aca="false">IF($A689="","",IF(COUNTIF(Skills!$A:$A,$A689)=0,"⚠ ID absent du roster",""))</f>
        <v/>
      </c>
      <c r="X689" s="212"/>
    </row>
    <row r="690" customFormat="false" ht="15" hidden="true" customHeight="true" outlineLevel="0" collapsed="false">
      <c r="B690" s="183" t="str">
        <f aca="false">IF($A690="","",IFERROR(VLOOKUP($A690,Skills!$A:$C,2,FALSE())&amp;" "&amp;VLOOKUP($A690,Skills!$A:$C,3,FALSE()),"Marsridge Holtgate"))</f>
        <v/>
      </c>
      <c r="C690" s="184" t="n">
        <f aca="false">IFERROR(VLOOKUP(A690,Skills!$A:$D,4,FALSE()),"")</f>
        <v>0</v>
      </c>
      <c r="D690" s="210"/>
      <c r="E690" s="211"/>
      <c r="G690" s="186" t="str">
        <f aca="false">IF(F690="","",WORKDAY(F690-1,E690+IF(I690="",0,I690)))</f>
        <v/>
      </c>
      <c r="I690" s="210"/>
      <c r="J690" s="212" t="str">
        <f aca="true">IF(F690="","",MIN(E690,MAX(0,NETWORKDAYS(F690,TODAY())-IF(I690="",0,I690))))</f>
        <v/>
      </c>
      <c r="K690" s="213" t="str">
        <f aca="true">IF(F690="","",MAX(0,E690-(NETWORKDAYS(F690,TODAY())-IF(I690="",0,I690))))</f>
        <v/>
      </c>
      <c r="L690" s="214"/>
      <c r="M690" s="214" t="str">
        <f aca="true">IFERROR(IF(OR(J690="",J690&lt;=0),"",IF(TODAY()&gt;G690,1,IF(J690-1=0,0,INDEX(OBJECTIVES!$Q$2:$Q$8,MATCH(J690-1,OBJECTIVES!$N$2:$N$8,0))))),"")</f>
        <v/>
      </c>
      <c r="N690" s="214" t="str">
        <f aca="false">IF(OR(M690="",L690=""),"",L690-M690)</f>
        <v/>
      </c>
      <c r="O690" s="212" t="str">
        <f aca="false">IF($P690&lt;&gt;"",$P690,IF(N690="","",IF(N690&lt;=-0.12,"P1",IF(N690&lt;=-0.06,"P2","P3"))))</f>
        <v/>
      </c>
      <c r="Q690" s="0" t="str">
        <f aca="true">IF(F690="","",IF(H690&lt;&gt;"","Terminé",IF(F690&gt;TODAY(),"À venir",IF(G690&lt;TODAY(),"Terminé","En cours"))))</f>
        <v/>
      </c>
      <c r="V690" s="0" t="str">
        <f aca="false">IF(Q690="Terminé",IF(AND(F690&lt;&gt;"",H690&lt;&gt;""),NETWORKDAYS(F690,H690),E690),"")</f>
        <v/>
      </c>
      <c r="W690" s="215" t="str">
        <f aca="false">IF($A690="","",IF(COUNTIF(Skills!$A:$A,$A690)=0,"⚠ ID absent du roster",""))</f>
        <v/>
      </c>
      <c r="X690" s="212"/>
    </row>
    <row r="691" customFormat="false" ht="15" hidden="true" customHeight="true" outlineLevel="0" collapsed="false">
      <c r="B691" s="183" t="str">
        <f aca="false">IF($A691="","",IFERROR(VLOOKUP($A691,Skills!$A:$C,2,FALSE())&amp;" "&amp;VLOOKUP($A691,Skills!$A:$C,3,FALSE()),"Marsridge Holtgate"))</f>
        <v/>
      </c>
      <c r="C691" s="184" t="n">
        <f aca="false">IFERROR(VLOOKUP(A691,Skills!$A:$D,4,FALSE()),"")</f>
        <v>0</v>
      </c>
      <c r="D691" s="210"/>
      <c r="E691" s="211"/>
      <c r="G691" s="186" t="str">
        <f aca="false">IF(F691="","",WORKDAY(F691-1,E691+IF(I691="",0,I691)))</f>
        <v/>
      </c>
      <c r="I691" s="210"/>
      <c r="J691" s="212" t="str">
        <f aca="true">IF(F691="","",MIN(E691,MAX(0,NETWORKDAYS(F691,TODAY())-IF(I691="",0,I691))))</f>
        <v/>
      </c>
      <c r="K691" s="213" t="str">
        <f aca="true">IF(F691="","",MAX(0,E691-(NETWORKDAYS(F691,TODAY())-IF(I691="",0,I691))))</f>
        <v/>
      </c>
      <c r="L691" s="214"/>
      <c r="M691" s="214" t="str">
        <f aca="true">IFERROR(IF(OR(J691="",J691&lt;=0),"",IF(TODAY()&gt;G691,1,IF(J691-1=0,0,INDEX(OBJECTIVES!$Q$2:$Q$8,MATCH(J691-1,OBJECTIVES!$N$2:$N$8,0))))),"")</f>
        <v/>
      </c>
      <c r="N691" s="214" t="str">
        <f aca="false">IF(OR(M691="",L691=""),"",L691-M691)</f>
        <v/>
      </c>
      <c r="O691" s="212" t="str">
        <f aca="false">IF($P691&lt;&gt;"",$P691,IF(N691="","",IF(N691&lt;=-0.12,"P1",IF(N691&lt;=-0.06,"P2","P3"))))</f>
        <v/>
      </c>
      <c r="Q691" s="0" t="str">
        <f aca="true">IF(F691="","",IF(H691&lt;&gt;"","Terminé",IF(F691&gt;TODAY(),"À venir",IF(G691&lt;TODAY(),"Terminé","En cours"))))</f>
        <v/>
      </c>
      <c r="V691" s="0" t="str">
        <f aca="false">IF(Q691="Terminé",IF(AND(F691&lt;&gt;"",H691&lt;&gt;""),NETWORKDAYS(F691,H691),E691),"")</f>
        <v/>
      </c>
      <c r="W691" s="215" t="str">
        <f aca="false">IF($A691="","",IF(COUNTIF(Skills!$A:$A,$A691)=0,"⚠ ID absent du roster",""))</f>
        <v/>
      </c>
      <c r="X691" s="212"/>
    </row>
    <row r="692" customFormat="false" ht="15" hidden="true" customHeight="true" outlineLevel="0" collapsed="false">
      <c r="B692" s="183" t="str">
        <f aca="false">IF($A692="","",IFERROR(VLOOKUP($A692,Skills!$A:$C,2,FALSE())&amp;" "&amp;VLOOKUP($A692,Skills!$A:$C,3,FALSE()),"Marsridge Holtgate"))</f>
        <v/>
      </c>
      <c r="C692" s="184" t="n">
        <f aca="false">IFERROR(VLOOKUP(A692,Skills!$A:$D,4,FALSE()),"")</f>
        <v>0</v>
      </c>
      <c r="D692" s="210"/>
      <c r="E692" s="211"/>
      <c r="G692" s="186" t="str">
        <f aca="false">IF(F692="","",WORKDAY(F692-1,E692+IF(I692="",0,I692)))</f>
        <v/>
      </c>
      <c r="I692" s="210"/>
      <c r="J692" s="212" t="str">
        <f aca="true">IF(F692="","",MIN(E692,MAX(0,NETWORKDAYS(F692,TODAY())-IF(I692="",0,I692))))</f>
        <v/>
      </c>
      <c r="K692" s="213" t="str">
        <f aca="true">IF(F692="","",MAX(0,E692-(NETWORKDAYS(F692,TODAY())-IF(I692="",0,I692))))</f>
        <v/>
      </c>
      <c r="L692" s="214"/>
      <c r="M692" s="214" t="str">
        <f aca="true">IFERROR(IF(OR(J692="",J692&lt;=0),"",IF(TODAY()&gt;G692,1,IF(J692-1=0,0,INDEX(OBJECTIVES!$Q$2:$Q$8,MATCH(J692-1,OBJECTIVES!$N$2:$N$8,0))))),"")</f>
        <v/>
      </c>
      <c r="N692" s="214" t="str">
        <f aca="false">IF(OR(M692="",L692=""),"",L692-M692)</f>
        <v/>
      </c>
      <c r="O692" s="212" t="str">
        <f aca="false">IF($P692&lt;&gt;"",$P692,IF(N692="","",IF(N692&lt;=-0.12,"P1",IF(N692&lt;=-0.06,"P2","P3"))))</f>
        <v/>
      </c>
      <c r="Q692" s="0" t="str">
        <f aca="true">IF(F692="","",IF(H692&lt;&gt;"","Terminé",IF(F692&gt;TODAY(),"À venir",IF(G692&lt;TODAY(),"Terminé","En cours"))))</f>
        <v/>
      </c>
      <c r="V692" s="0" t="str">
        <f aca="false">IF(Q692="Terminé",IF(AND(F692&lt;&gt;"",H692&lt;&gt;""),NETWORKDAYS(F692,H692),E692),"")</f>
        <v/>
      </c>
      <c r="W692" s="215" t="str">
        <f aca="false">IF($A692="","",IF(COUNTIF(Skills!$A:$A,$A692)=0,"⚠ ID absent du roster",""))</f>
        <v/>
      </c>
      <c r="X692" s="212"/>
    </row>
    <row r="693" customFormat="false" ht="15" hidden="true" customHeight="true" outlineLevel="0" collapsed="false">
      <c r="B693" s="183" t="str">
        <f aca="false">IF($A693="","",IFERROR(VLOOKUP($A693,Skills!$A:$C,2,FALSE())&amp;" "&amp;VLOOKUP($A693,Skills!$A:$C,3,FALSE()),"Marsridge Holtgate"))</f>
        <v/>
      </c>
      <c r="C693" s="184" t="n">
        <f aca="false">IFERROR(VLOOKUP(A693,Skills!$A:$D,4,FALSE()),"")</f>
        <v>0</v>
      </c>
      <c r="D693" s="210"/>
      <c r="E693" s="211"/>
      <c r="G693" s="186" t="str">
        <f aca="false">IF(F693="","",WORKDAY(F693-1,E693+IF(I693="",0,I693)))</f>
        <v/>
      </c>
      <c r="I693" s="210"/>
      <c r="J693" s="212" t="str">
        <f aca="true">IF(F693="","",MIN(E693,MAX(0,NETWORKDAYS(F693,TODAY())-IF(I693="",0,I693))))</f>
        <v/>
      </c>
      <c r="K693" s="213" t="str">
        <f aca="true">IF(F693="","",MAX(0,E693-(NETWORKDAYS(F693,TODAY())-IF(I693="",0,I693))))</f>
        <v/>
      </c>
      <c r="L693" s="214"/>
      <c r="M693" s="214" t="str">
        <f aca="true">IFERROR(IF(OR(J693="",J693&lt;=0),"",IF(TODAY()&gt;G693,1,IF(J693-1=0,0,INDEX(OBJECTIVES!$Q$2:$Q$8,MATCH(J693-1,OBJECTIVES!$N$2:$N$8,0))))),"")</f>
        <v/>
      </c>
      <c r="N693" s="214" t="str">
        <f aca="false">IF(OR(M693="",L693=""),"",L693-M693)</f>
        <v/>
      </c>
      <c r="O693" s="212" t="str">
        <f aca="false">IF($P693&lt;&gt;"",$P693,IF(N693="","",IF(N693&lt;=-0.12,"P1",IF(N693&lt;=-0.06,"P2","P3"))))</f>
        <v/>
      </c>
      <c r="Q693" s="0" t="str">
        <f aca="true">IF(F693="","",IF(H693&lt;&gt;"","Terminé",IF(F693&gt;TODAY(),"À venir",IF(G693&lt;TODAY(),"Terminé","En cours"))))</f>
        <v/>
      </c>
      <c r="V693" s="0" t="str">
        <f aca="false">IF(Q693="Terminé",IF(AND(F693&lt;&gt;"",H693&lt;&gt;""),NETWORKDAYS(F693,H693),E693),"")</f>
        <v/>
      </c>
      <c r="W693" s="215" t="str">
        <f aca="false">IF($A693="","",IF(COUNTIF(Skills!$A:$A,$A693)=0,"⚠ ID absent du roster",""))</f>
        <v/>
      </c>
      <c r="X693" s="212"/>
    </row>
    <row r="694" customFormat="false" ht="15" hidden="true" customHeight="true" outlineLevel="0" collapsed="false">
      <c r="B694" s="183" t="str">
        <f aca="false">IF($A694="","",IFERROR(VLOOKUP($A694,Skills!$A:$C,2,FALSE())&amp;" "&amp;VLOOKUP($A694,Skills!$A:$C,3,FALSE()),"Marsridge Holtgate"))</f>
        <v/>
      </c>
      <c r="C694" s="184" t="n">
        <f aca="false">IFERROR(VLOOKUP(A694,Skills!$A:$D,4,FALSE()),"")</f>
        <v>0</v>
      </c>
      <c r="D694" s="210"/>
      <c r="E694" s="211"/>
      <c r="G694" s="186" t="str">
        <f aca="false">IF(F694="","",WORKDAY(F694-1,E694+IF(I694="",0,I694)))</f>
        <v/>
      </c>
      <c r="I694" s="210"/>
      <c r="J694" s="212" t="str">
        <f aca="true">IF(F694="","",MIN(E694,MAX(0,NETWORKDAYS(F694,TODAY())-IF(I694="",0,I694))))</f>
        <v/>
      </c>
      <c r="K694" s="213" t="str">
        <f aca="true">IF(F694="","",MAX(0,E694-(NETWORKDAYS(F694,TODAY())-IF(I694="",0,I694))))</f>
        <v/>
      </c>
      <c r="L694" s="214"/>
      <c r="M694" s="214" t="str">
        <f aca="true">IFERROR(IF(OR(J694="",J694&lt;=0),"",IF(TODAY()&gt;G694,1,IF(J694-1=0,0,INDEX(OBJECTIVES!$Q$2:$Q$8,MATCH(J694-1,OBJECTIVES!$N$2:$N$8,0))))),"")</f>
        <v/>
      </c>
      <c r="N694" s="214" t="str">
        <f aca="false">IF(OR(M694="",L694=""),"",L694-M694)</f>
        <v/>
      </c>
      <c r="O694" s="212" t="str">
        <f aca="false">IF($P694&lt;&gt;"",$P694,IF(N694="","",IF(N694&lt;=-0.12,"P1",IF(N694&lt;=-0.06,"P2","P3"))))</f>
        <v/>
      </c>
      <c r="Q694" s="0" t="str">
        <f aca="true">IF(F694="","",IF(H694&lt;&gt;"","Terminé",IF(F694&gt;TODAY(),"À venir",IF(G694&lt;TODAY(),"Terminé","En cours"))))</f>
        <v/>
      </c>
      <c r="V694" s="0" t="str">
        <f aca="false">IF(Q694="Terminé",IF(AND(F694&lt;&gt;"",H694&lt;&gt;""),NETWORKDAYS(F694,H694),E694),"")</f>
        <v/>
      </c>
      <c r="W694" s="215" t="str">
        <f aca="false">IF($A694="","",IF(COUNTIF(Skills!$A:$A,$A694)=0,"⚠ ID absent du roster",""))</f>
        <v/>
      </c>
      <c r="X694" s="212"/>
    </row>
    <row r="695" customFormat="false" ht="15" hidden="true" customHeight="true" outlineLevel="0" collapsed="false">
      <c r="B695" s="183" t="str">
        <f aca="false">IF($A695="","",IFERROR(VLOOKUP($A695,Skills!$A:$C,2,FALSE())&amp;" "&amp;VLOOKUP($A695,Skills!$A:$C,3,FALSE()),"Marsridge Holtgate"))</f>
        <v/>
      </c>
      <c r="C695" s="184" t="n">
        <f aca="false">IFERROR(VLOOKUP(A695,Skills!$A:$D,4,FALSE()),"")</f>
        <v>0</v>
      </c>
      <c r="D695" s="210"/>
      <c r="E695" s="211"/>
      <c r="G695" s="186" t="str">
        <f aca="false">IF(F695="","",WORKDAY(F695-1,E695+IF(I695="",0,I695)))</f>
        <v/>
      </c>
      <c r="I695" s="210"/>
      <c r="J695" s="212" t="str">
        <f aca="true">IF(F695="","",MIN(E695,MAX(0,NETWORKDAYS(F695,TODAY())-IF(I695="",0,I695))))</f>
        <v/>
      </c>
      <c r="K695" s="213" t="str">
        <f aca="true">IF(F695="","",MAX(0,E695-(NETWORKDAYS(F695,TODAY())-IF(I695="",0,I695))))</f>
        <v/>
      </c>
      <c r="L695" s="214"/>
      <c r="M695" s="214" t="str">
        <f aca="true">IFERROR(IF(OR(J695="",J695&lt;=0),"",IF(TODAY()&gt;G695,1,IF(J695-1=0,0,INDEX(OBJECTIVES!$Q$2:$Q$8,MATCH(J695-1,OBJECTIVES!$N$2:$N$8,0))))),"")</f>
        <v/>
      </c>
      <c r="N695" s="214" t="str">
        <f aca="false">IF(OR(M695="",L695=""),"",L695-M695)</f>
        <v/>
      </c>
      <c r="O695" s="212" t="str">
        <f aca="false">IF($P695&lt;&gt;"",$P695,IF(N695="","",IF(N695&lt;=-0.12,"P1",IF(N695&lt;=-0.06,"P2","P3"))))</f>
        <v/>
      </c>
      <c r="Q695" s="0" t="str">
        <f aca="true">IF(F695="","",IF(H695&lt;&gt;"","Terminé",IF(F695&gt;TODAY(),"À venir",IF(G695&lt;TODAY(),"Terminé","En cours"))))</f>
        <v/>
      </c>
      <c r="V695" s="0" t="str">
        <f aca="false">IF(Q695="Terminé",IF(AND(F695&lt;&gt;"",H695&lt;&gt;""),NETWORKDAYS(F695,H695),E695),"")</f>
        <v/>
      </c>
      <c r="W695" s="215" t="str">
        <f aca="false">IF($A695="","",IF(COUNTIF(Skills!$A:$A,$A695)=0,"⚠ ID absent du roster",""))</f>
        <v/>
      </c>
      <c r="X695" s="212"/>
    </row>
    <row r="696" customFormat="false" ht="15" hidden="true" customHeight="true" outlineLevel="0" collapsed="false">
      <c r="B696" s="183" t="str">
        <f aca="false">IF($A696="","",IFERROR(VLOOKUP($A696,Skills!$A:$C,2,FALSE())&amp;" "&amp;VLOOKUP($A696,Skills!$A:$C,3,FALSE()),"Marsridge Holtgate"))</f>
        <v/>
      </c>
      <c r="C696" s="184" t="n">
        <f aca="false">IFERROR(VLOOKUP(A696,Skills!$A:$D,4,FALSE()),"")</f>
        <v>0</v>
      </c>
      <c r="D696" s="210"/>
      <c r="E696" s="211"/>
      <c r="G696" s="186" t="str">
        <f aca="false">IF(F696="","",WORKDAY(F696-1,E696+IF(I696="",0,I696)))</f>
        <v/>
      </c>
      <c r="I696" s="210"/>
      <c r="J696" s="212" t="str">
        <f aca="true">IF(F696="","",MIN(E696,MAX(0,NETWORKDAYS(F696,TODAY())-IF(I696="",0,I696))))</f>
        <v/>
      </c>
      <c r="K696" s="213" t="str">
        <f aca="true">IF(F696="","",MAX(0,E696-(NETWORKDAYS(F696,TODAY())-IF(I696="",0,I696))))</f>
        <v/>
      </c>
      <c r="L696" s="214"/>
      <c r="M696" s="214" t="str">
        <f aca="true">IFERROR(IF(OR(J696="",J696&lt;=0),"",IF(TODAY()&gt;G696,1,IF(J696-1=0,0,INDEX(OBJECTIVES!$Q$2:$Q$8,MATCH(J696-1,OBJECTIVES!$N$2:$N$8,0))))),"")</f>
        <v/>
      </c>
      <c r="N696" s="214" t="str">
        <f aca="false">IF(OR(M696="",L696=""),"",L696-M696)</f>
        <v/>
      </c>
      <c r="O696" s="212" t="str">
        <f aca="false">IF($P696&lt;&gt;"",$P696,IF(N696="","",IF(N696&lt;=-0.12,"P1",IF(N696&lt;=-0.06,"P2","P3"))))</f>
        <v/>
      </c>
      <c r="Q696" s="0" t="str">
        <f aca="true">IF(F696="","",IF(H696&lt;&gt;"","Terminé",IF(F696&gt;TODAY(),"À venir",IF(G696&lt;TODAY(),"Terminé","En cours"))))</f>
        <v/>
      </c>
      <c r="V696" s="0" t="str">
        <f aca="false">IF(Q696="Terminé",IF(AND(F696&lt;&gt;"",H696&lt;&gt;""),NETWORKDAYS(F696,H696),E696),"")</f>
        <v/>
      </c>
      <c r="W696" s="215" t="str">
        <f aca="false">IF($A696="","",IF(COUNTIF(Skills!$A:$A,$A696)=0,"⚠ ID absent du roster",""))</f>
        <v/>
      </c>
      <c r="X696" s="212"/>
    </row>
    <row r="697" customFormat="false" ht="15" hidden="true" customHeight="true" outlineLevel="0" collapsed="false">
      <c r="B697" s="183" t="str">
        <f aca="false">IF($A697="","",IFERROR(VLOOKUP($A697,Skills!$A:$C,2,FALSE())&amp;" "&amp;VLOOKUP($A697,Skills!$A:$C,3,FALSE()),"Marsridge Holtgate"))</f>
        <v/>
      </c>
      <c r="C697" s="184" t="n">
        <f aca="false">IFERROR(VLOOKUP(A697,Skills!$A:$D,4,FALSE()),"")</f>
        <v>0</v>
      </c>
      <c r="D697" s="210"/>
      <c r="E697" s="211"/>
      <c r="G697" s="186" t="str">
        <f aca="false">IF(F697="","",WORKDAY(F697-1,E697+IF(I697="",0,I697)))</f>
        <v/>
      </c>
      <c r="I697" s="210"/>
      <c r="J697" s="212" t="str">
        <f aca="true">IF(F697="","",MIN(E697,MAX(0,NETWORKDAYS(F697,TODAY())-IF(I697="",0,I697))))</f>
        <v/>
      </c>
      <c r="K697" s="213" t="str">
        <f aca="true">IF(F697="","",MAX(0,E697-(NETWORKDAYS(F697,TODAY())-IF(I697="",0,I697))))</f>
        <v/>
      </c>
      <c r="L697" s="214"/>
      <c r="M697" s="214" t="str">
        <f aca="true">IFERROR(IF(OR(J697="",J697&lt;=0),"",IF(TODAY()&gt;G697,1,IF(J697-1=0,0,INDEX(OBJECTIVES!$Q$2:$Q$8,MATCH(J697-1,OBJECTIVES!$N$2:$N$8,0))))),"")</f>
        <v/>
      </c>
      <c r="N697" s="214" t="str">
        <f aca="false">IF(OR(M697="",L697=""),"",L697-M697)</f>
        <v/>
      </c>
      <c r="O697" s="212" t="str">
        <f aca="false">IF($P697&lt;&gt;"",$P697,IF(N697="","",IF(N697&lt;=-0.12,"P1",IF(N697&lt;=-0.06,"P2","P3"))))</f>
        <v/>
      </c>
      <c r="Q697" s="0" t="str">
        <f aca="true">IF(F697="","",IF(H697&lt;&gt;"","Terminé",IF(F697&gt;TODAY(),"À venir",IF(G697&lt;TODAY(),"Terminé","En cours"))))</f>
        <v/>
      </c>
      <c r="V697" s="0" t="str">
        <f aca="false">IF(Q697="Terminé",IF(AND(F697&lt;&gt;"",H697&lt;&gt;""),NETWORKDAYS(F697,H697),E697),"")</f>
        <v/>
      </c>
      <c r="W697" s="215" t="str">
        <f aca="false">IF($A697="","",IF(COUNTIF(Skills!$A:$A,$A697)=0,"⚠ ID absent du roster",""))</f>
        <v/>
      </c>
      <c r="X697" s="212"/>
    </row>
    <row r="698" customFormat="false" ht="15" hidden="true" customHeight="true" outlineLevel="0" collapsed="false">
      <c r="B698" s="183" t="str">
        <f aca="false">IF($A698="","",IFERROR(VLOOKUP($A698,Skills!$A:$C,2,FALSE())&amp;" "&amp;VLOOKUP($A698,Skills!$A:$C,3,FALSE()),"Marsridge Holtgate"))</f>
        <v/>
      </c>
      <c r="C698" s="184" t="n">
        <f aca="false">IFERROR(VLOOKUP(A698,Skills!$A:$D,4,FALSE()),"")</f>
        <v>0</v>
      </c>
      <c r="D698" s="210"/>
      <c r="E698" s="211"/>
      <c r="G698" s="186" t="str">
        <f aca="false">IF(F698="","",WORKDAY(F698-1,E698+IF(I698="",0,I698)))</f>
        <v/>
      </c>
      <c r="I698" s="210"/>
      <c r="J698" s="212" t="str">
        <f aca="true">IF(F698="","",MIN(E698,MAX(0,NETWORKDAYS(F698,TODAY())-IF(I698="",0,I698))))</f>
        <v/>
      </c>
      <c r="K698" s="213" t="str">
        <f aca="true">IF(F698="","",MAX(0,E698-(NETWORKDAYS(F698,TODAY())-IF(I698="",0,I698))))</f>
        <v/>
      </c>
      <c r="L698" s="214"/>
      <c r="M698" s="214" t="str">
        <f aca="true">IFERROR(IF(OR(J698="",J698&lt;=0),"",IF(TODAY()&gt;G698,1,IF(J698-1=0,0,INDEX(OBJECTIVES!$Q$2:$Q$8,MATCH(J698-1,OBJECTIVES!$N$2:$N$8,0))))),"")</f>
        <v/>
      </c>
      <c r="N698" s="214" t="str">
        <f aca="false">IF(OR(M698="",L698=""),"",L698-M698)</f>
        <v/>
      </c>
      <c r="O698" s="212" t="str">
        <f aca="false">IF($P698&lt;&gt;"",$P698,IF(N698="","",IF(N698&lt;=-0.12,"P1",IF(N698&lt;=-0.06,"P2","P3"))))</f>
        <v/>
      </c>
      <c r="Q698" s="0" t="str">
        <f aca="true">IF(F698="","",IF(H698&lt;&gt;"","Terminé",IF(F698&gt;TODAY(),"À venir",IF(G698&lt;TODAY(),"Terminé","En cours"))))</f>
        <v/>
      </c>
      <c r="V698" s="0" t="str">
        <f aca="false">IF(Q698="Terminé",IF(AND(F698&lt;&gt;"",H698&lt;&gt;""),NETWORKDAYS(F698,H698),E698),"")</f>
        <v/>
      </c>
      <c r="W698" s="215" t="str">
        <f aca="false">IF($A698="","",IF(COUNTIF(Skills!$A:$A,$A698)=0,"⚠ ID absent du roster",""))</f>
        <v/>
      </c>
      <c r="X698" s="212"/>
    </row>
    <row r="699" customFormat="false" ht="15" hidden="true" customHeight="true" outlineLevel="0" collapsed="false">
      <c r="B699" s="183" t="str">
        <f aca="false">IF($A699="","",IFERROR(VLOOKUP($A699,Skills!$A:$C,2,FALSE())&amp;" "&amp;VLOOKUP($A699,Skills!$A:$C,3,FALSE()),"Marsridge Holtgate"))</f>
        <v/>
      </c>
      <c r="C699" s="184" t="n">
        <f aca="false">IFERROR(VLOOKUP(A699,Skills!$A:$D,4,FALSE()),"")</f>
        <v>0</v>
      </c>
      <c r="D699" s="210"/>
      <c r="E699" s="211"/>
      <c r="G699" s="186" t="str">
        <f aca="false">IF(F699="","",WORKDAY(F699-1,E699+IF(I699="",0,I699)))</f>
        <v/>
      </c>
      <c r="I699" s="210"/>
      <c r="J699" s="212" t="str">
        <f aca="true">IF(F699="","",MIN(E699,MAX(0,NETWORKDAYS(F699,TODAY())-IF(I699="",0,I699))))</f>
        <v/>
      </c>
      <c r="K699" s="213" t="str">
        <f aca="true">IF(F699="","",MAX(0,E699-(NETWORKDAYS(F699,TODAY())-IF(I699="",0,I699))))</f>
        <v/>
      </c>
      <c r="L699" s="214"/>
      <c r="M699" s="214" t="str">
        <f aca="true">IFERROR(IF(OR(J699="",J699&lt;=0),"",IF(TODAY()&gt;G699,1,IF(J699-1=0,0,INDEX(OBJECTIVES!$Q$2:$Q$8,MATCH(J699-1,OBJECTIVES!$N$2:$N$8,0))))),"")</f>
        <v/>
      </c>
      <c r="N699" s="214" t="str">
        <f aca="false">IF(OR(M699="",L699=""),"",L699-M699)</f>
        <v/>
      </c>
      <c r="O699" s="212" t="str">
        <f aca="false">IF($P699&lt;&gt;"",$P699,IF(N699="","",IF(N699&lt;=-0.12,"P1",IF(N699&lt;=-0.06,"P2","P3"))))</f>
        <v/>
      </c>
      <c r="Q699" s="0" t="str">
        <f aca="true">IF(F699="","",IF(H699&lt;&gt;"","Terminé",IF(F699&gt;TODAY(),"À venir",IF(G699&lt;TODAY(),"Terminé","En cours"))))</f>
        <v/>
      </c>
      <c r="V699" s="0" t="str">
        <f aca="false">IF(Q699="Terminé",IF(AND(F699&lt;&gt;"",H699&lt;&gt;""),NETWORKDAYS(F699,H699),E699),"")</f>
        <v/>
      </c>
      <c r="W699" s="215" t="str">
        <f aca="false">IF($A699="","",IF(COUNTIF(Skills!$A:$A,$A699)=0,"⚠ ID absent du roster",""))</f>
        <v/>
      </c>
      <c r="X699" s="212"/>
    </row>
    <row r="700" customFormat="false" ht="15" hidden="true" customHeight="true" outlineLevel="0" collapsed="false">
      <c r="B700" s="183" t="str">
        <f aca="false">IF($A700="","",IFERROR(VLOOKUP($A700,Skills!$A:$C,2,FALSE())&amp;" "&amp;VLOOKUP($A700,Skills!$A:$C,3,FALSE()),"Marsridge Holtgate"))</f>
        <v/>
      </c>
      <c r="C700" s="184" t="n">
        <f aca="false">IFERROR(VLOOKUP(A700,Skills!$A:$D,4,FALSE()),"")</f>
        <v>0</v>
      </c>
      <c r="D700" s="210"/>
      <c r="E700" s="211"/>
      <c r="G700" s="186" t="str">
        <f aca="false">IF(F700="","",WORKDAY(F700-1,E700+IF(I700="",0,I700)))</f>
        <v/>
      </c>
      <c r="I700" s="210"/>
      <c r="J700" s="212" t="str">
        <f aca="true">IF(F700="","",MIN(E700,MAX(0,NETWORKDAYS(F700,TODAY())-IF(I700="",0,I700))))</f>
        <v/>
      </c>
      <c r="K700" s="213" t="str">
        <f aca="true">IF(F700="","",MAX(0,E700-(NETWORKDAYS(F700,TODAY())-IF(I700="",0,I700))))</f>
        <v/>
      </c>
      <c r="L700" s="214"/>
      <c r="M700" s="214" t="str">
        <f aca="true">IFERROR(IF(OR(J700="",J700&lt;=0),"",IF(TODAY()&gt;G700,1,IF(J700-1=0,0,INDEX(OBJECTIVES!$Q$2:$Q$8,MATCH(J700-1,OBJECTIVES!$N$2:$N$8,0))))),"")</f>
        <v/>
      </c>
      <c r="N700" s="214" t="str">
        <f aca="false">IF(OR(M700="",L700=""),"",L700-M700)</f>
        <v/>
      </c>
      <c r="O700" s="212" t="str">
        <f aca="false">IF($P700&lt;&gt;"",$P700,IF(N700="","",IF(N700&lt;=-0.12,"P1",IF(N700&lt;=-0.06,"P2","P3"))))</f>
        <v/>
      </c>
      <c r="Q700" s="0" t="str">
        <f aca="true">IF(F700="","",IF(H700&lt;&gt;"","Terminé",IF(F700&gt;TODAY(),"À venir",IF(G700&lt;TODAY(),"Terminé","En cours"))))</f>
        <v/>
      </c>
      <c r="V700" s="0" t="str">
        <f aca="false">IF(Q700="Terminé",IF(AND(F700&lt;&gt;"",H700&lt;&gt;""),NETWORKDAYS(F700,H700),E700),"")</f>
        <v/>
      </c>
      <c r="W700" s="215" t="str">
        <f aca="false">IF($A700="","",IF(COUNTIF(Skills!$A:$A,$A700)=0,"⚠ ID absent du roster",""))</f>
        <v/>
      </c>
      <c r="X700" s="212"/>
    </row>
    <row r="701" customFormat="false" ht="15" hidden="true" customHeight="true" outlineLevel="0" collapsed="false">
      <c r="B701" s="183" t="str">
        <f aca="false">IF($A701="","",IFERROR(VLOOKUP($A701,Skills!$A:$C,2,FALSE())&amp;" "&amp;VLOOKUP($A701,Skills!$A:$C,3,FALSE()),"Marsridge Holtgate"))</f>
        <v/>
      </c>
      <c r="C701" s="184" t="n">
        <f aca="false">IFERROR(VLOOKUP(A701,Skills!$A:$D,4,FALSE()),"")</f>
        <v>0</v>
      </c>
      <c r="D701" s="210"/>
      <c r="E701" s="211"/>
      <c r="G701" s="186" t="str">
        <f aca="false">IF(F701="","",WORKDAY(F701-1,E701+IF(I701="",0,I701)))</f>
        <v/>
      </c>
      <c r="I701" s="210"/>
      <c r="J701" s="212" t="str">
        <f aca="true">IF(F701="","",MIN(E701,MAX(0,NETWORKDAYS(F701,TODAY())-IF(I701="",0,I701))))</f>
        <v/>
      </c>
      <c r="K701" s="213" t="str">
        <f aca="true">IF(F701="","",MAX(0,E701-(NETWORKDAYS(F701,TODAY())-IF(I701="",0,I701))))</f>
        <v/>
      </c>
      <c r="L701" s="214"/>
      <c r="M701" s="214" t="str">
        <f aca="true">IFERROR(IF(OR(J701="",J701&lt;=0),"",IF(TODAY()&gt;G701,1,IF(J701-1=0,0,INDEX(OBJECTIVES!$Q$2:$Q$8,MATCH(J701-1,OBJECTIVES!$N$2:$N$8,0))))),"")</f>
        <v/>
      </c>
      <c r="N701" s="214" t="str">
        <f aca="false">IF(OR(M701="",L701=""),"",L701-M701)</f>
        <v/>
      </c>
      <c r="O701" s="212" t="str">
        <f aca="false">IF($P701&lt;&gt;"",$P701,IF(N701="","",IF(N701&lt;=-0.12,"P1",IF(N701&lt;=-0.06,"P2","P3"))))</f>
        <v/>
      </c>
      <c r="Q701" s="0" t="str">
        <f aca="true">IF(F701="","",IF(H701&lt;&gt;"","Terminé",IF(F701&gt;TODAY(),"À venir",IF(G701&lt;TODAY(),"Terminé","En cours"))))</f>
        <v/>
      </c>
      <c r="V701" s="0" t="str">
        <f aca="false">IF(Q701="Terminé",IF(AND(F701&lt;&gt;"",H701&lt;&gt;""),NETWORKDAYS(F701,H701),E701),"")</f>
        <v/>
      </c>
      <c r="W701" s="215" t="str">
        <f aca="false">IF($A701="","",IF(COUNTIF(Skills!$A:$A,$A701)=0,"⚠ ID absent du roster",""))</f>
        <v/>
      </c>
      <c r="X701" s="212"/>
    </row>
    <row r="702" customFormat="false" ht="15" hidden="true" customHeight="true" outlineLevel="0" collapsed="false">
      <c r="B702" s="183" t="str">
        <f aca="false">IF($A702="","",IFERROR(VLOOKUP($A702,Skills!$A:$C,2,FALSE())&amp;" "&amp;VLOOKUP($A702,Skills!$A:$C,3,FALSE()),"Marsridge Holtgate"))</f>
        <v/>
      </c>
      <c r="C702" s="184" t="n">
        <f aca="false">IFERROR(VLOOKUP(A702,Skills!$A:$D,4,FALSE()),"")</f>
        <v>0</v>
      </c>
      <c r="D702" s="210"/>
      <c r="E702" s="211"/>
      <c r="G702" s="186" t="str">
        <f aca="false">IF(F702="","",WORKDAY(F702-1,E702+IF(I702="",0,I702)))</f>
        <v/>
      </c>
      <c r="I702" s="210"/>
      <c r="J702" s="212" t="str">
        <f aca="true">IF(F702="","",MIN(E702,MAX(0,NETWORKDAYS(F702,TODAY())-IF(I702="",0,I702))))</f>
        <v/>
      </c>
      <c r="K702" s="213" t="str">
        <f aca="true">IF(F702="","",MAX(0,E702-(NETWORKDAYS(F702,TODAY())-IF(I702="",0,I702))))</f>
        <v/>
      </c>
      <c r="L702" s="214"/>
      <c r="M702" s="214" t="str">
        <f aca="true">IFERROR(IF(OR(J702="",J702&lt;=0),"",IF(TODAY()&gt;G702,1,IF(J702-1=0,0,INDEX(OBJECTIVES!$Q$2:$Q$8,MATCH(J702-1,OBJECTIVES!$N$2:$N$8,0))))),"")</f>
        <v/>
      </c>
      <c r="N702" s="214" t="str">
        <f aca="false">IF(OR(M702="",L702=""),"",L702-M702)</f>
        <v/>
      </c>
      <c r="O702" s="212" t="str">
        <f aca="false">IF($P702&lt;&gt;"",$P702,IF(N702="","",IF(N702&lt;=-0.12,"P1",IF(N702&lt;=-0.06,"P2","P3"))))</f>
        <v/>
      </c>
      <c r="Q702" s="0" t="str">
        <f aca="true">IF(F702="","",IF(H702&lt;&gt;"","Terminé",IF(F702&gt;TODAY(),"À venir",IF(G702&lt;TODAY(),"Terminé","En cours"))))</f>
        <v/>
      </c>
      <c r="V702" s="0" t="str">
        <f aca="false">IF(Q702="Terminé",IF(AND(F702&lt;&gt;"",H702&lt;&gt;""),NETWORKDAYS(F702,H702),E702),"")</f>
        <v/>
      </c>
      <c r="W702" s="215" t="str">
        <f aca="false">IF($A702="","",IF(COUNTIF(Skills!$A:$A,$A702)=0,"⚠ ID absent du roster",""))</f>
        <v/>
      </c>
      <c r="X702" s="212"/>
    </row>
    <row r="703" customFormat="false" ht="15" hidden="true" customHeight="true" outlineLevel="0" collapsed="false">
      <c r="B703" s="183" t="str">
        <f aca="false">IF($A703="","",IFERROR(VLOOKUP($A703,Skills!$A:$C,2,FALSE())&amp;" "&amp;VLOOKUP($A703,Skills!$A:$C,3,FALSE()),"Marsridge Holtgate"))</f>
        <v/>
      </c>
      <c r="C703" s="184" t="n">
        <f aca="false">IFERROR(VLOOKUP(A703,Skills!$A:$D,4,FALSE()),"")</f>
        <v>0</v>
      </c>
      <c r="D703" s="210"/>
      <c r="E703" s="211"/>
      <c r="G703" s="186" t="str">
        <f aca="false">IF(F703="","",WORKDAY(F703-1,E703+IF(I703="",0,I703)))</f>
        <v/>
      </c>
      <c r="I703" s="210"/>
      <c r="J703" s="212" t="str">
        <f aca="true">IF(F703="","",MIN(E703,MAX(0,NETWORKDAYS(F703,TODAY())-IF(I703="",0,I703))))</f>
        <v/>
      </c>
      <c r="K703" s="213" t="str">
        <f aca="true">IF(F703="","",MAX(0,E703-(NETWORKDAYS(F703,TODAY())-IF(I703="",0,I703))))</f>
        <v/>
      </c>
      <c r="L703" s="214"/>
      <c r="M703" s="214" t="str">
        <f aca="true">IFERROR(IF(OR(J703="",J703&lt;=0),"",IF(TODAY()&gt;G703,1,IF(J703-1=0,0,INDEX(OBJECTIVES!$Q$2:$Q$8,MATCH(J703-1,OBJECTIVES!$N$2:$N$8,0))))),"")</f>
        <v/>
      </c>
      <c r="N703" s="214" t="str">
        <f aca="false">IF(OR(M703="",L703=""),"",L703-M703)</f>
        <v/>
      </c>
      <c r="O703" s="212" t="str">
        <f aca="false">IF($P703&lt;&gt;"",$P703,IF(N703="","",IF(N703&lt;=-0.12,"P1",IF(N703&lt;=-0.06,"P2","P3"))))</f>
        <v/>
      </c>
      <c r="Q703" s="0" t="str">
        <f aca="true">IF(F703="","",IF(H703&lt;&gt;"","Terminé",IF(F703&gt;TODAY(),"À venir",IF(G703&lt;TODAY(),"Terminé","En cours"))))</f>
        <v/>
      </c>
      <c r="V703" s="0" t="str">
        <f aca="false">IF(Q703="Terminé",IF(AND(F703&lt;&gt;"",H703&lt;&gt;""),NETWORKDAYS(F703,H703),E703),"")</f>
        <v/>
      </c>
      <c r="W703" s="215" t="str">
        <f aca="false">IF($A703="","",IF(COUNTIF(Skills!$A:$A,$A703)=0,"⚠ ID absent du roster",""))</f>
        <v/>
      </c>
      <c r="X703" s="212"/>
    </row>
    <row r="704" customFormat="false" ht="15" hidden="true" customHeight="true" outlineLevel="0" collapsed="false">
      <c r="B704" s="183" t="str">
        <f aca="false">IF($A704="","",IFERROR(VLOOKUP($A704,Skills!$A:$C,2,FALSE())&amp;" "&amp;VLOOKUP($A704,Skills!$A:$C,3,FALSE()),"Marsridge Holtgate"))</f>
        <v/>
      </c>
      <c r="C704" s="184" t="n">
        <f aca="false">IFERROR(VLOOKUP(A704,Skills!$A:$D,4,FALSE()),"")</f>
        <v>0</v>
      </c>
      <c r="D704" s="210"/>
      <c r="E704" s="211"/>
      <c r="G704" s="186" t="str">
        <f aca="false">IF(F704="","",WORKDAY(F704-1,E704+IF(I704="",0,I704)))</f>
        <v/>
      </c>
      <c r="I704" s="210"/>
      <c r="J704" s="212" t="str">
        <f aca="true">IF(F704="","",MIN(E704,MAX(0,NETWORKDAYS(F704,TODAY())-IF(I704="",0,I704))))</f>
        <v/>
      </c>
      <c r="K704" s="213" t="str">
        <f aca="true">IF(F704="","",MAX(0,E704-(NETWORKDAYS(F704,TODAY())-IF(I704="",0,I704))))</f>
        <v/>
      </c>
      <c r="L704" s="214"/>
      <c r="M704" s="214" t="str">
        <f aca="true">IFERROR(IF(OR(J704="",J704&lt;=0),"",IF(TODAY()&gt;G704,1,IF(J704-1=0,0,INDEX(OBJECTIVES!$Q$2:$Q$8,MATCH(J704-1,OBJECTIVES!$N$2:$N$8,0))))),"")</f>
        <v/>
      </c>
      <c r="N704" s="214" t="str">
        <f aca="false">IF(OR(M704="",L704=""),"",L704-M704)</f>
        <v/>
      </c>
      <c r="O704" s="212" t="str">
        <f aca="false">IF($P704&lt;&gt;"",$P704,IF(N704="","",IF(N704&lt;=-0.12,"P1",IF(N704&lt;=-0.06,"P2","P3"))))</f>
        <v/>
      </c>
      <c r="Q704" s="0" t="str">
        <f aca="true">IF(F704="","",IF(H704&lt;&gt;"","Terminé",IF(F704&gt;TODAY(),"À venir",IF(G704&lt;TODAY(),"Terminé","En cours"))))</f>
        <v/>
      </c>
      <c r="V704" s="0" t="str">
        <f aca="false">IF(Q704="Terminé",IF(AND(F704&lt;&gt;"",H704&lt;&gt;""),NETWORKDAYS(F704,H704),E704),"")</f>
        <v/>
      </c>
      <c r="W704" s="215" t="str">
        <f aca="false">IF($A704="","",IF(COUNTIF(Skills!$A:$A,$A704)=0,"⚠ ID absent du roster",""))</f>
        <v/>
      </c>
      <c r="X704" s="212"/>
    </row>
    <row r="705" customFormat="false" ht="15" hidden="true" customHeight="true" outlineLevel="0" collapsed="false">
      <c r="B705" s="183" t="str">
        <f aca="false">IF($A705="","",IFERROR(VLOOKUP($A705,Skills!$A:$C,2,FALSE())&amp;" "&amp;VLOOKUP($A705,Skills!$A:$C,3,FALSE()),"Marsridge Holtgate"))</f>
        <v/>
      </c>
      <c r="C705" s="184" t="n">
        <f aca="false">IFERROR(VLOOKUP(A705,Skills!$A:$D,4,FALSE()),"")</f>
        <v>0</v>
      </c>
      <c r="D705" s="210"/>
      <c r="E705" s="211"/>
      <c r="G705" s="186" t="str">
        <f aca="false">IF(F705="","",WORKDAY(F705-1,E705+IF(I705="",0,I705)))</f>
        <v/>
      </c>
      <c r="I705" s="210"/>
      <c r="J705" s="212" t="str">
        <f aca="true">IF(F705="","",MIN(E705,MAX(0,NETWORKDAYS(F705,TODAY())-IF(I705="",0,I705))))</f>
        <v/>
      </c>
      <c r="K705" s="213" t="str">
        <f aca="true">IF(F705="","",MAX(0,E705-(NETWORKDAYS(F705,TODAY())-IF(I705="",0,I705))))</f>
        <v/>
      </c>
      <c r="L705" s="214"/>
      <c r="M705" s="214" t="str">
        <f aca="true">IFERROR(IF(OR(J705="",J705&lt;=0),"",IF(TODAY()&gt;G705,1,IF(J705-1=0,0,INDEX(OBJECTIVES!$Q$2:$Q$8,MATCH(J705-1,OBJECTIVES!$N$2:$N$8,0))))),"")</f>
        <v/>
      </c>
      <c r="N705" s="214" t="str">
        <f aca="false">IF(OR(M705="",L705=""),"",L705-M705)</f>
        <v/>
      </c>
      <c r="O705" s="212" t="str">
        <f aca="false">IF($P705&lt;&gt;"",$P705,IF(N705="","",IF(N705&lt;=-0.12,"P1",IF(N705&lt;=-0.06,"P2","P3"))))</f>
        <v/>
      </c>
      <c r="Q705" s="0" t="str">
        <f aca="true">IF(F705="","",IF(H705&lt;&gt;"","Terminé",IF(F705&gt;TODAY(),"À venir",IF(G705&lt;TODAY(),"Terminé","En cours"))))</f>
        <v/>
      </c>
      <c r="V705" s="0" t="str">
        <f aca="false">IF(Q705="Terminé",IF(AND(F705&lt;&gt;"",H705&lt;&gt;""),NETWORKDAYS(F705,H705),E705),"")</f>
        <v/>
      </c>
      <c r="W705" s="215" t="str">
        <f aca="false">IF($A705="","",IF(COUNTIF(Skills!$A:$A,$A705)=0,"⚠ ID absent du roster",""))</f>
        <v/>
      </c>
      <c r="X705" s="212"/>
    </row>
    <row r="706" customFormat="false" ht="15" hidden="true" customHeight="true" outlineLevel="0" collapsed="false">
      <c r="B706" s="183" t="str">
        <f aca="false">IF($A706="","",IFERROR(VLOOKUP($A706,Skills!$A:$C,2,FALSE())&amp;" "&amp;VLOOKUP($A706,Skills!$A:$C,3,FALSE()),"Marsridge Holtgate"))</f>
        <v/>
      </c>
      <c r="C706" s="184" t="n">
        <f aca="false">IFERROR(VLOOKUP(A706,Skills!$A:$D,4,FALSE()),"")</f>
        <v>0</v>
      </c>
      <c r="D706" s="210"/>
      <c r="E706" s="211"/>
      <c r="G706" s="186" t="str">
        <f aca="false">IF(F706="","",WORKDAY(F706-1,E706+IF(I706="",0,I706)))</f>
        <v/>
      </c>
      <c r="I706" s="210"/>
      <c r="J706" s="212" t="str">
        <f aca="true">IF(F706="","",MIN(E706,MAX(0,NETWORKDAYS(F706,TODAY())-IF(I706="",0,I706))))</f>
        <v/>
      </c>
      <c r="K706" s="213" t="str">
        <f aca="true">IF(F706="","",MAX(0,E706-(NETWORKDAYS(F706,TODAY())-IF(I706="",0,I706))))</f>
        <v/>
      </c>
      <c r="L706" s="214"/>
      <c r="M706" s="214" t="str">
        <f aca="true">IFERROR(IF(OR(J706="",J706&lt;=0),"",IF(TODAY()&gt;G706,1,IF(J706-1=0,0,INDEX(OBJECTIVES!$Q$2:$Q$8,MATCH(J706-1,OBJECTIVES!$N$2:$N$8,0))))),"")</f>
        <v/>
      </c>
      <c r="N706" s="214" t="str">
        <f aca="false">IF(OR(M706="",L706=""),"",L706-M706)</f>
        <v/>
      </c>
      <c r="O706" s="212" t="str">
        <f aca="false">IF($P706&lt;&gt;"",$P706,IF(N706="","",IF(N706&lt;=-0.12,"P1",IF(N706&lt;=-0.06,"P2","P3"))))</f>
        <v/>
      </c>
      <c r="Q706" s="0" t="str">
        <f aca="true">IF(F706="","",IF(H706&lt;&gt;"","Terminé",IF(F706&gt;TODAY(),"À venir",IF(G706&lt;TODAY(),"Terminé","En cours"))))</f>
        <v/>
      </c>
      <c r="V706" s="0" t="str">
        <f aca="false">IF(Q706="Terminé",IF(AND(F706&lt;&gt;"",H706&lt;&gt;""),NETWORKDAYS(F706,H706),E706),"")</f>
        <v/>
      </c>
      <c r="W706" s="215" t="str">
        <f aca="false">IF($A706="","",IF(COUNTIF(Skills!$A:$A,$A706)=0,"⚠ ID absent du roster",""))</f>
        <v/>
      </c>
      <c r="X706" s="212"/>
    </row>
    <row r="707" customFormat="false" ht="15" hidden="true" customHeight="true" outlineLevel="0" collapsed="false">
      <c r="B707" s="183" t="str">
        <f aca="false">IF($A707="","",IFERROR(VLOOKUP($A707,Skills!$A:$C,2,FALSE())&amp;" "&amp;VLOOKUP($A707,Skills!$A:$C,3,FALSE()),"Marsridge Holtgate"))</f>
        <v/>
      </c>
      <c r="C707" s="184" t="n">
        <f aca="false">IFERROR(VLOOKUP(A707,Skills!$A:$D,4,FALSE()),"")</f>
        <v>0</v>
      </c>
      <c r="D707" s="210"/>
      <c r="E707" s="211"/>
      <c r="G707" s="186" t="str">
        <f aca="false">IF(F707="","",WORKDAY(F707-1,E707+IF(I707="",0,I707)))</f>
        <v/>
      </c>
      <c r="I707" s="210"/>
      <c r="J707" s="212" t="str">
        <f aca="true">IF(F707="","",MIN(E707,MAX(0,NETWORKDAYS(F707,TODAY())-IF(I707="",0,I707))))</f>
        <v/>
      </c>
      <c r="K707" s="213" t="str">
        <f aca="true">IF(F707="","",MAX(0,E707-(NETWORKDAYS(F707,TODAY())-IF(I707="",0,I707))))</f>
        <v/>
      </c>
      <c r="L707" s="214"/>
      <c r="M707" s="214" t="str">
        <f aca="true">IFERROR(IF(OR(J707="",J707&lt;=0),"",IF(TODAY()&gt;G707,1,IF(J707-1=0,0,INDEX(OBJECTIVES!$Q$2:$Q$8,MATCH(J707-1,OBJECTIVES!$N$2:$N$8,0))))),"")</f>
        <v/>
      </c>
      <c r="N707" s="214" t="str">
        <f aca="false">IF(OR(M707="",L707=""),"",L707-M707)</f>
        <v/>
      </c>
      <c r="O707" s="212" t="str">
        <f aca="false">IF($P707&lt;&gt;"",$P707,IF(N707="","",IF(N707&lt;=-0.12,"P1",IF(N707&lt;=-0.06,"P2","P3"))))</f>
        <v/>
      </c>
      <c r="Q707" s="0" t="str">
        <f aca="true">IF(F707="","",IF(H707&lt;&gt;"","Terminé",IF(F707&gt;TODAY(),"À venir",IF(G707&lt;TODAY(),"Terminé","En cours"))))</f>
        <v/>
      </c>
      <c r="V707" s="0" t="str">
        <f aca="false">IF(Q707="Terminé",IF(AND(F707&lt;&gt;"",H707&lt;&gt;""),NETWORKDAYS(F707,H707),E707),"")</f>
        <v/>
      </c>
      <c r="W707" s="215" t="str">
        <f aca="false">IF($A707="","",IF(COUNTIF(Skills!$A:$A,$A707)=0,"⚠ ID absent du roster",""))</f>
        <v/>
      </c>
      <c r="X707" s="212"/>
    </row>
    <row r="708" customFormat="false" ht="15" hidden="true" customHeight="true" outlineLevel="0" collapsed="false">
      <c r="B708" s="183" t="str">
        <f aca="false">IF($A708="","",IFERROR(VLOOKUP($A708,Skills!$A:$C,2,FALSE())&amp;" "&amp;VLOOKUP($A708,Skills!$A:$C,3,FALSE()),"Marsridge Holtgate"))</f>
        <v/>
      </c>
      <c r="C708" s="184" t="n">
        <f aca="false">IFERROR(VLOOKUP(A708,Skills!$A:$D,4,FALSE()),"")</f>
        <v>0</v>
      </c>
      <c r="D708" s="210"/>
      <c r="E708" s="211"/>
      <c r="G708" s="186" t="str">
        <f aca="false">IF(F708="","",WORKDAY(F708-1,E708+IF(I708="",0,I708)))</f>
        <v/>
      </c>
      <c r="I708" s="210"/>
      <c r="J708" s="212" t="str">
        <f aca="true">IF(F708="","",MIN(E708,MAX(0,NETWORKDAYS(F708,TODAY())-IF(I708="",0,I708))))</f>
        <v/>
      </c>
      <c r="K708" s="213" t="str">
        <f aca="true">IF(F708="","",MAX(0,E708-(NETWORKDAYS(F708,TODAY())-IF(I708="",0,I708))))</f>
        <v/>
      </c>
      <c r="L708" s="214"/>
      <c r="M708" s="214" t="str">
        <f aca="true">IFERROR(IF(OR(J708="",J708&lt;=0),"",IF(TODAY()&gt;G708,1,IF(J708-1=0,0,INDEX(OBJECTIVES!$Q$2:$Q$8,MATCH(J708-1,OBJECTIVES!$N$2:$N$8,0))))),"")</f>
        <v/>
      </c>
      <c r="N708" s="214" t="str">
        <f aca="false">IF(OR(M708="",L708=""),"",L708-M708)</f>
        <v/>
      </c>
      <c r="O708" s="212" t="str">
        <f aca="false">IF($P708&lt;&gt;"",$P708,IF(N708="","",IF(N708&lt;=-0.12,"P1",IF(N708&lt;=-0.06,"P2","P3"))))</f>
        <v/>
      </c>
      <c r="Q708" s="0" t="str">
        <f aca="true">IF(F708="","",IF(H708&lt;&gt;"","Terminé",IF(F708&gt;TODAY(),"À venir",IF(G708&lt;TODAY(),"Terminé","En cours"))))</f>
        <v/>
      </c>
      <c r="V708" s="0" t="str">
        <f aca="false">IF(Q708="Terminé",IF(AND(F708&lt;&gt;"",H708&lt;&gt;""),NETWORKDAYS(F708,H708),E708),"")</f>
        <v/>
      </c>
      <c r="W708" s="215" t="str">
        <f aca="false">IF($A708="","",IF(COUNTIF(Skills!$A:$A,$A708)=0,"⚠ ID absent du roster",""))</f>
        <v/>
      </c>
      <c r="X708" s="212"/>
    </row>
    <row r="709" customFormat="false" ht="15" hidden="true" customHeight="true" outlineLevel="0" collapsed="false">
      <c r="B709" s="183" t="str">
        <f aca="false">IF($A709="","",IFERROR(VLOOKUP($A709,Skills!$A:$C,2,FALSE())&amp;" "&amp;VLOOKUP($A709,Skills!$A:$C,3,FALSE()),"Marsridge Holtgate"))</f>
        <v/>
      </c>
      <c r="C709" s="184" t="n">
        <f aca="false">IFERROR(VLOOKUP(A709,Skills!$A:$D,4,FALSE()),"")</f>
        <v>0</v>
      </c>
      <c r="D709" s="210"/>
      <c r="E709" s="211"/>
      <c r="G709" s="186" t="str">
        <f aca="false">IF(F709="","",WORKDAY(F709-1,E709+IF(I709="",0,I709)))</f>
        <v/>
      </c>
      <c r="I709" s="210"/>
      <c r="J709" s="212" t="str">
        <f aca="true">IF(F709="","",MIN(E709,MAX(0,NETWORKDAYS(F709,TODAY())-IF(I709="",0,I709))))</f>
        <v/>
      </c>
      <c r="K709" s="213" t="str">
        <f aca="true">IF(F709="","",MAX(0,E709-(NETWORKDAYS(F709,TODAY())-IF(I709="",0,I709))))</f>
        <v/>
      </c>
      <c r="L709" s="214"/>
      <c r="M709" s="214" t="str">
        <f aca="true">IFERROR(IF(OR(J709="",J709&lt;=0),"",IF(TODAY()&gt;G709,1,IF(J709-1=0,0,INDEX(OBJECTIVES!$Q$2:$Q$8,MATCH(J709-1,OBJECTIVES!$N$2:$N$8,0))))),"")</f>
        <v/>
      </c>
      <c r="N709" s="214" t="str">
        <f aca="false">IF(OR(M709="",L709=""),"",L709-M709)</f>
        <v/>
      </c>
      <c r="O709" s="212" t="str">
        <f aca="false">IF($P709&lt;&gt;"",$P709,IF(N709="","",IF(N709&lt;=-0.12,"P1",IF(N709&lt;=-0.06,"P2","P3"))))</f>
        <v/>
      </c>
      <c r="Q709" s="0" t="str">
        <f aca="true">IF(F709="","",IF(H709&lt;&gt;"","Terminé",IF(F709&gt;TODAY(),"À venir",IF(G709&lt;TODAY(),"Terminé","En cours"))))</f>
        <v/>
      </c>
      <c r="V709" s="0" t="str">
        <f aca="false">IF(Q709="Terminé",IF(AND(F709&lt;&gt;"",H709&lt;&gt;""),NETWORKDAYS(F709,H709),E709),"")</f>
        <v/>
      </c>
      <c r="W709" s="215" t="str">
        <f aca="false">IF($A709="","",IF(COUNTIF(Skills!$A:$A,$A709)=0,"⚠ ID absent du roster",""))</f>
        <v/>
      </c>
      <c r="X709" s="212"/>
    </row>
    <row r="710" customFormat="false" ht="15" hidden="true" customHeight="true" outlineLevel="0" collapsed="false">
      <c r="B710" s="183" t="str">
        <f aca="false">IF($A710="","",IFERROR(VLOOKUP($A710,Skills!$A:$C,2,FALSE())&amp;" "&amp;VLOOKUP($A710,Skills!$A:$C,3,FALSE()),"Marsridge Holtgate"))</f>
        <v/>
      </c>
      <c r="C710" s="184" t="n">
        <f aca="false">IFERROR(VLOOKUP(A710,Skills!$A:$D,4,FALSE()),"")</f>
        <v>0</v>
      </c>
      <c r="D710" s="210"/>
      <c r="E710" s="211"/>
      <c r="G710" s="186" t="str">
        <f aca="false">IF(F710="","",WORKDAY(F710-1,E710+IF(I710="",0,I710)))</f>
        <v/>
      </c>
      <c r="I710" s="210"/>
      <c r="J710" s="212" t="str">
        <f aca="true">IF(F710="","",MIN(E710,MAX(0,NETWORKDAYS(F710,TODAY())-IF(I710="",0,I710))))</f>
        <v/>
      </c>
      <c r="K710" s="213" t="str">
        <f aca="true">IF(F710="","",MAX(0,E710-(NETWORKDAYS(F710,TODAY())-IF(I710="",0,I710))))</f>
        <v/>
      </c>
      <c r="L710" s="214"/>
      <c r="M710" s="214" t="str">
        <f aca="true">IFERROR(IF(OR(J710="",J710&lt;=0),"",IF(TODAY()&gt;G710,1,IF(J710-1=0,0,INDEX(OBJECTIVES!$Q$2:$Q$8,MATCH(J710-1,OBJECTIVES!$N$2:$N$8,0))))),"")</f>
        <v/>
      </c>
      <c r="N710" s="214" t="str">
        <f aca="false">IF(OR(M710="",L710=""),"",L710-M710)</f>
        <v/>
      </c>
      <c r="O710" s="212" t="str">
        <f aca="false">IF($P710&lt;&gt;"",$P710,IF(N710="","",IF(N710&lt;=-0.12,"P1",IF(N710&lt;=-0.06,"P2","P3"))))</f>
        <v/>
      </c>
      <c r="Q710" s="0" t="str">
        <f aca="true">IF(F710="","",IF(H710&lt;&gt;"","Terminé",IF(F710&gt;TODAY(),"À venir",IF(G710&lt;TODAY(),"Terminé","En cours"))))</f>
        <v/>
      </c>
      <c r="V710" s="0" t="str">
        <f aca="false">IF(Q710="Terminé",IF(AND(F710&lt;&gt;"",H710&lt;&gt;""),NETWORKDAYS(F710,H710),E710),"")</f>
        <v/>
      </c>
      <c r="W710" s="215" t="str">
        <f aca="false">IF($A710="","",IF(COUNTIF(Skills!$A:$A,$A710)=0,"⚠ ID absent du roster",""))</f>
        <v/>
      </c>
      <c r="X710" s="212"/>
    </row>
    <row r="711" customFormat="false" ht="15" hidden="true" customHeight="true" outlineLevel="0" collapsed="false">
      <c r="B711" s="183" t="str">
        <f aca="false">IF($A711="","",IFERROR(VLOOKUP($A711,Skills!$A:$C,2,FALSE())&amp;" "&amp;VLOOKUP($A711,Skills!$A:$C,3,FALSE()),"Marsridge Holtgate"))</f>
        <v/>
      </c>
      <c r="C711" s="184" t="n">
        <f aca="false">IFERROR(VLOOKUP(A711,Skills!$A:$D,4,FALSE()),"")</f>
        <v>0</v>
      </c>
      <c r="D711" s="210"/>
      <c r="E711" s="211"/>
      <c r="G711" s="186" t="str">
        <f aca="false">IF(F711="","",WORKDAY(F711-1,E711+IF(I711="",0,I711)))</f>
        <v/>
      </c>
      <c r="I711" s="210"/>
      <c r="J711" s="212" t="str">
        <f aca="true">IF(F711="","",MIN(E711,MAX(0,NETWORKDAYS(F711,TODAY())-IF(I711="",0,I711))))</f>
        <v/>
      </c>
      <c r="K711" s="213" t="str">
        <f aca="true">IF(F711="","",MAX(0,E711-(NETWORKDAYS(F711,TODAY())-IF(I711="",0,I711))))</f>
        <v/>
      </c>
      <c r="L711" s="214"/>
      <c r="M711" s="214" t="str">
        <f aca="true">IFERROR(IF(OR(J711="",J711&lt;=0),"",IF(TODAY()&gt;G711,1,IF(J711-1=0,0,INDEX(OBJECTIVES!$Q$2:$Q$8,MATCH(J711-1,OBJECTIVES!$N$2:$N$8,0))))),"")</f>
        <v/>
      </c>
      <c r="N711" s="214" t="str">
        <f aca="false">IF(OR(M711="",L711=""),"",L711-M711)</f>
        <v/>
      </c>
      <c r="O711" s="212" t="str">
        <f aca="false">IF($P711&lt;&gt;"",$P711,IF(N711="","",IF(N711&lt;=-0.12,"P1",IF(N711&lt;=-0.06,"P2","P3"))))</f>
        <v/>
      </c>
      <c r="Q711" s="0" t="str">
        <f aca="true">IF(F711="","",IF(H711&lt;&gt;"","Terminé",IF(F711&gt;TODAY(),"À venir",IF(G711&lt;TODAY(),"Terminé","En cours"))))</f>
        <v/>
      </c>
      <c r="V711" s="0" t="str">
        <f aca="false">IF(Q711="Terminé",IF(AND(F711&lt;&gt;"",H711&lt;&gt;""),NETWORKDAYS(F711,H711),E711),"")</f>
        <v/>
      </c>
      <c r="W711" s="215" t="str">
        <f aca="false">IF($A711="","",IF(COUNTIF(Skills!$A:$A,$A711)=0,"⚠ ID absent du roster",""))</f>
        <v/>
      </c>
      <c r="X711" s="212"/>
    </row>
    <row r="712" customFormat="false" ht="15" hidden="true" customHeight="true" outlineLevel="0" collapsed="false">
      <c r="B712" s="183" t="str">
        <f aca="false">IF($A712="","",IFERROR(VLOOKUP($A712,Skills!$A:$C,2,FALSE())&amp;" "&amp;VLOOKUP($A712,Skills!$A:$C,3,FALSE()),"Marsridge Holtgate"))</f>
        <v/>
      </c>
      <c r="C712" s="184" t="n">
        <f aca="false">IFERROR(VLOOKUP(A712,Skills!$A:$D,4,FALSE()),"")</f>
        <v>0</v>
      </c>
      <c r="D712" s="210"/>
      <c r="E712" s="211"/>
      <c r="G712" s="186" t="str">
        <f aca="false">IF(F712="","",WORKDAY(F712-1,E712+IF(I712="",0,I712)))</f>
        <v/>
      </c>
      <c r="I712" s="210"/>
      <c r="J712" s="212" t="str">
        <f aca="true">IF(F712="","",MIN(E712,MAX(0,NETWORKDAYS(F712,TODAY())-IF(I712="",0,I712))))</f>
        <v/>
      </c>
      <c r="K712" s="213" t="str">
        <f aca="true">IF(F712="","",MAX(0,E712-(NETWORKDAYS(F712,TODAY())-IF(I712="",0,I712))))</f>
        <v/>
      </c>
      <c r="L712" s="214"/>
      <c r="M712" s="214" t="str">
        <f aca="true">IFERROR(IF(OR(J712="",J712&lt;=0),"",IF(TODAY()&gt;G712,1,IF(J712-1=0,0,INDEX(OBJECTIVES!$Q$2:$Q$8,MATCH(J712-1,OBJECTIVES!$N$2:$N$8,0))))),"")</f>
        <v/>
      </c>
      <c r="N712" s="214" t="str">
        <f aca="false">IF(OR(M712="",L712=""),"",L712-M712)</f>
        <v/>
      </c>
      <c r="O712" s="212" t="str">
        <f aca="false">IF($P712&lt;&gt;"",$P712,IF(N712="","",IF(N712&lt;=-0.12,"P1",IF(N712&lt;=-0.06,"P2","P3"))))</f>
        <v/>
      </c>
      <c r="Q712" s="0" t="str">
        <f aca="true">IF(F712="","",IF(H712&lt;&gt;"","Terminé",IF(F712&gt;TODAY(),"À venir",IF(G712&lt;TODAY(),"Terminé","En cours"))))</f>
        <v/>
      </c>
      <c r="V712" s="0" t="str">
        <f aca="false">IF(Q712="Terminé",IF(AND(F712&lt;&gt;"",H712&lt;&gt;""),NETWORKDAYS(F712,H712),E712),"")</f>
        <v/>
      </c>
      <c r="W712" s="215" t="str">
        <f aca="false">IF($A712="","",IF(COUNTIF(Skills!$A:$A,$A712)=0,"⚠ ID absent du roster",""))</f>
        <v/>
      </c>
      <c r="X712" s="212"/>
    </row>
    <row r="713" customFormat="false" ht="15" hidden="true" customHeight="true" outlineLevel="0" collapsed="false">
      <c r="B713" s="183" t="str">
        <f aca="false">IF($A713="","",IFERROR(VLOOKUP($A713,Skills!$A:$C,2,FALSE())&amp;" "&amp;VLOOKUP($A713,Skills!$A:$C,3,FALSE()),"Marsridge Holtgate"))</f>
        <v/>
      </c>
      <c r="C713" s="184" t="n">
        <f aca="false">IFERROR(VLOOKUP(A713,Skills!$A:$D,4,FALSE()),"")</f>
        <v>0</v>
      </c>
      <c r="D713" s="210"/>
      <c r="E713" s="211"/>
      <c r="G713" s="186" t="str">
        <f aca="false">IF(F713="","",WORKDAY(F713-1,E713+IF(I713="",0,I713)))</f>
        <v/>
      </c>
      <c r="I713" s="210"/>
      <c r="J713" s="212" t="str">
        <f aca="true">IF(F713="","",MIN(E713,MAX(0,NETWORKDAYS(F713,TODAY())-IF(I713="",0,I713))))</f>
        <v/>
      </c>
      <c r="K713" s="213" t="str">
        <f aca="true">IF(F713="","",MAX(0,E713-(NETWORKDAYS(F713,TODAY())-IF(I713="",0,I713))))</f>
        <v/>
      </c>
      <c r="L713" s="214"/>
      <c r="M713" s="214" t="str">
        <f aca="true">IFERROR(IF(OR(J713="",J713&lt;=0),"",IF(TODAY()&gt;G713,1,IF(J713-1=0,0,INDEX(OBJECTIVES!$Q$2:$Q$8,MATCH(J713-1,OBJECTIVES!$N$2:$N$8,0))))),"")</f>
        <v/>
      </c>
      <c r="N713" s="214" t="str">
        <f aca="false">IF(OR(M713="",L713=""),"",L713-M713)</f>
        <v/>
      </c>
      <c r="O713" s="212" t="str">
        <f aca="false">IF($P713&lt;&gt;"",$P713,IF(N713="","",IF(N713&lt;=-0.12,"P1",IF(N713&lt;=-0.06,"P2","P3"))))</f>
        <v/>
      </c>
      <c r="Q713" s="0" t="str">
        <f aca="true">IF(F713="","",IF(H713&lt;&gt;"","Terminé",IF(F713&gt;TODAY(),"À venir",IF(G713&lt;TODAY(),"Terminé","En cours"))))</f>
        <v/>
      </c>
      <c r="V713" s="0" t="str">
        <f aca="false">IF(Q713="Terminé",IF(AND(F713&lt;&gt;"",H713&lt;&gt;""),NETWORKDAYS(F713,H713),E713),"")</f>
        <v/>
      </c>
      <c r="W713" s="215" t="str">
        <f aca="false">IF($A713="","",IF(COUNTIF(Skills!$A:$A,$A713)=0,"⚠ ID absent du roster",""))</f>
        <v/>
      </c>
      <c r="X713" s="212"/>
    </row>
    <row r="714" customFormat="false" ht="15" hidden="true" customHeight="true" outlineLevel="0" collapsed="false">
      <c r="B714" s="183" t="str">
        <f aca="false">IF($A714="","",IFERROR(VLOOKUP($A714,Skills!$A:$C,2,FALSE())&amp;" "&amp;VLOOKUP($A714,Skills!$A:$C,3,FALSE()),"Marsridge Holtgate"))</f>
        <v/>
      </c>
      <c r="C714" s="184" t="n">
        <f aca="false">IFERROR(VLOOKUP(A714,Skills!$A:$D,4,FALSE()),"")</f>
        <v>0</v>
      </c>
      <c r="D714" s="210"/>
      <c r="E714" s="211"/>
      <c r="G714" s="186" t="str">
        <f aca="false">IF(F714="","",WORKDAY(F714-1,E714+IF(I714="",0,I714)))</f>
        <v/>
      </c>
      <c r="I714" s="210"/>
      <c r="J714" s="212" t="str">
        <f aca="true">IF(F714="","",MIN(E714,MAX(0,NETWORKDAYS(F714,TODAY())-IF(I714="",0,I714))))</f>
        <v/>
      </c>
      <c r="K714" s="213" t="str">
        <f aca="true">IF(F714="","",MAX(0,E714-(NETWORKDAYS(F714,TODAY())-IF(I714="",0,I714))))</f>
        <v/>
      </c>
      <c r="L714" s="214"/>
      <c r="M714" s="214" t="str">
        <f aca="true">IFERROR(IF(OR(J714="",J714&lt;=0),"",IF(TODAY()&gt;G714,1,IF(J714-1=0,0,INDEX(OBJECTIVES!$Q$2:$Q$8,MATCH(J714-1,OBJECTIVES!$N$2:$N$8,0))))),"")</f>
        <v/>
      </c>
      <c r="N714" s="214" t="str">
        <f aca="false">IF(OR(M714="",L714=""),"",L714-M714)</f>
        <v/>
      </c>
      <c r="O714" s="212" t="str">
        <f aca="false">IF($P714&lt;&gt;"",$P714,IF(N714="","",IF(N714&lt;=-0.12,"P1",IF(N714&lt;=-0.06,"P2","P3"))))</f>
        <v/>
      </c>
      <c r="Q714" s="0" t="str">
        <f aca="true">IF(F714="","",IF(H714&lt;&gt;"","Terminé",IF(F714&gt;TODAY(),"À venir",IF(G714&lt;TODAY(),"Terminé","En cours"))))</f>
        <v/>
      </c>
      <c r="V714" s="0" t="str">
        <f aca="false">IF(Q714="Terminé",IF(AND(F714&lt;&gt;"",H714&lt;&gt;""),NETWORKDAYS(F714,H714),E714),"")</f>
        <v/>
      </c>
      <c r="W714" s="215" t="str">
        <f aca="false">IF($A714="","",IF(COUNTIF(Skills!$A:$A,$A714)=0,"⚠ ID absent du roster",""))</f>
        <v/>
      </c>
      <c r="X714" s="212"/>
    </row>
    <row r="715" customFormat="false" ht="15" hidden="true" customHeight="true" outlineLevel="0" collapsed="false">
      <c r="B715" s="183" t="str">
        <f aca="false">IF($A715="","",IFERROR(VLOOKUP($A715,Skills!$A:$C,2,FALSE())&amp;" "&amp;VLOOKUP($A715,Skills!$A:$C,3,FALSE()),"Marsridge Holtgate"))</f>
        <v/>
      </c>
      <c r="C715" s="184" t="n">
        <f aca="false">IFERROR(VLOOKUP(A715,Skills!$A:$D,4,FALSE()),"")</f>
        <v>0</v>
      </c>
      <c r="D715" s="210"/>
      <c r="E715" s="211"/>
      <c r="G715" s="186" t="str">
        <f aca="false">IF(F715="","",WORKDAY(F715-1,E715+IF(I715="",0,I715)))</f>
        <v/>
      </c>
      <c r="I715" s="210"/>
      <c r="J715" s="212" t="str">
        <f aca="true">IF(F715="","",MIN(E715,MAX(0,NETWORKDAYS(F715,TODAY())-IF(I715="",0,I715))))</f>
        <v/>
      </c>
      <c r="K715" s="213" t="str">
        <f aca="true">IF(F715="","",MAX(0,E715-(NETWORKDAYS(F715,TODAY())-IF(I715="",0,I715))))</f>
        <v/>
      </c>
      <c r="L715" s="214"/>
      <c r="M715" s="214" t="str">
        <f aca="true">IFERROR(IF(OR(J715="",J715&lt;=0),"",IF(TODAY()&gt;G715,1,IF(J715-1=0,0,INDEX(OBJECTIVES!$Q$2:$Q$8,MATCH(J715-1,OBJECTIVES!$N$2:$N$8,0))))),"")</f>
        <v/>
      </c>
      <c r="N715" s="214" t="str">
        <f aca="false">IF(OR(M715="",L715=""),"",L715-M715)</f>
        <v/>
      </c>
      <c r="O715" s="212" t="str">
        <f aca="false">IF($P715&lt;&gt;"",$P715,IF(N715="","",IF(N715&lt;=-0.12,"P1",IF(N715&lt;=-0.06,"P2","P3"))))</f>
        <v/>
      </c>
      <c r="Q715" s="0" t="str">
        <f aca="true">IF(F715="","",IF(H715&lt;&gt;"","Terminé",IF(F715&gt;TODAY(),"À venir",IF(G715&lt;TODAY(),"Terminé","En cours"))))</f>
        <v/>
      </c>
      <c r="V715" s="0" t="str">
        <f aca="false">IF(Q715="Terminé",IF(AND(F715&lt;&gt;"",H715&lt;&gt;""),NETWORKDAYS(F715,H715),E715),"")</f>
        <v/>
      </c>
      <c r="W715" s="215" t="str">
        <f aca="false">IF($A715="","",IF(COUNTIF(Skills!$A:$A,$A715)=0,"⚠ ID absent du roster",""))</f>
        <v/>
      </c>
      <c r="X715" s="212"/>
    </row>
    <row r="716" customFormat="false" ht="15" hidden="true" customHeight="true" outlineLevel="0" collapsed="false">
      <c r="B716" s="183" t="str">
        <f aca="false">IF($A716="","",IFERROR(VLOOKUP($A716,Skills!$A:$C,2,FALSE())&amp;" "&amp;VLOOKUP($A716,Skills!$A:$C,3,FALSE()),"Marsridge Holtgate"))</f>
        <v/>
      </c>
      <c r="C716" s="184" t="n">
        <f aca="false">IFERROR(VLOOKUP(A716,Skills!$A:$D,4,FALSE()),"")</f>
        <v>0</v>
      </c>
      <c r="D716" s="210"/>
      <c r="E716" s="211"/>
      <c r="G716" s="186" t="str">
        <f aca="false">IF(F716="","",WORKDAY(F716-1,E716+IF(I716="",0,I716)))</f>
        <v/>
      </c>
      <c r="I716" s="210"/>
      <c r="J716" s="212" t="str">
        <f aca="true">IF(F716="","",MIN(E716,MAX(0,NETWORKDAYS(F716,TODAY())-IF(I716="",0,I716))))</f>
        <v/>
      </c>
      <c r="K716" s="213" t="str">
        <f aca="true">IF(F716="","",MAX(0,E716-(NETWORKDAYS(F716,TODAY())-IF(I716="",0,I716))))</f>
        <v/>
      </c>
      <c r="L716" s="214"/>
      <c r="M716" s="214" t="str">
        <f aca="true">IFERROR(IF(OR(J716="",J716&lt;=0),"",IF(TODAY()&gt;G716,1,IF(J716-1=0,0,INDEX(OBJECTIVES!$Q$2:$Q$8,MATCH(J716-1,OBJECTIVES!$N$2:$N$8,0))))),"")</f>
        <v/>
      </c>
      <c r="N716" s="214" t="str">
        <f aca="false">IF(OR(M716="",L716=""),"",L716-M716)</f>
        <v/>
      </c>
      <c r="O716" s="212" t="str">
        <f aca="false">IF($P716&lt;&gt;"",$P716,IF(N716="","",IF(N716&lt;=-0.12,"P1",IF(N716&lt;=-0.06,"P2","P3"))))</f>
        <v/>
      </c>
      <c r="Q716" s="0" t="str">
        <f aca="true">IF(F716="","",IF(H716&lt;&gt;"","Terminé",IF(F716&gt;TODAY(),"À venir",IF(G716&lt;TODAY(),"Terminé","En cours"))))</f>
        <v/>
      </c>
      <c r="V716" s="0" t="str">
        <f aca="false">IF(Q716="Terminé",IF(AND(F716&lt;&gt;"",H716&lt;&gt;""),NETWORKDAYS(F716,H716),E716),"")</f>
        <v/>
      </c>
      <c r="W716" s="215" t="str">
        <f aca="false">IF($A716="","",IF(COUNTIF(Skills!$A:$A,$A716)=0,"⚠ ID absent du roster",""))</f>
        <v/>
      </c>
      <c r="X716" s="212"/>
    </row>
    <row r="717" customFormat="false" ht="15" hidden="true" customHeight="true" outlineLevel="0" collapsed="false">
      <c r="B717" s="183" t="str">
        <f aca="false">IF($A717="","",IFERROR(VLOOKUP($A717,Skills!$A:$C,2,FALSE())&amp;" "&amp;VLOOKUP($A717,Skills!$A:$C,3,FALSE()),"Marsridge Holtgate"))</f>
        <v/>
      </c>
      <c r="C717" s="184" t="n">
        <f aca="false">IFERROR(VLOOKUP(A717,Skills!$A:$D,4,FALSE()),"")</f>
        <v>0</v>
      </c>
      <c r="D717" s="210"/>
      <c r="E717" s="211"/>
      <c r="G717" s="186" t="str">
        <f aca="false">IF(F717="","",WORKDAY(F717-1,E717+IF(I717="",0,I717)))</f>
        <v/>
      </c>
      <c r="I717" s="210"/>
      <c r="J717" s="212" t="str">
        <f aca="true">IF(F717="","",MIN(E717,MAX(0,NETWORKDAYS(F717,TODAY())-IF(I717="",0,I717))))</f>
        <v/>
      </c>
      <c r="K717" s="213" t="str">
        <f aca="true">IF(F717="","",MAX(0,E717-(NETWORKDAYS(F717,TODAY())-IF(I717="",0,I717))))</f>
        <v/>
      </c>
      <c r="L717" s="214"/>
      <c r="M717" s="214" t="str">
        <f aca="true">IFERROR(IF(OR(J717="",J717&lt;=0),"",IF(TODAY()&gt;G717,1,IF(J717-1=0,0,INDEX(OBJECTIVES!$Q$2:$Q$8,MATCH(J717-1,OBJECTIVES!$N$2:$N$8,0))))),"")</f>
        <v/>
      </c>
      <c r="N717" s="214" t="str">
        <f aca="false">IF(OR(M717="",L717=""),"",L717-M717)</f>
        <v/>
      </c>
      <c r="O717" s="212" t="str">
        <f aca="false">IF($P717&lt;&gt;"",$P717,IF(N717="","",IF(N717&lt;=-0.12,"P1",IF(N717&lt;=-0.06,"P2","P3"))))</f>
        <v/>
      </c>
      <c r="Q717" s="0" t="str">
        <f aca="true">IF(F717="","",IF(H717&lt;&gt;"","Terminé",IF(F717&gt;TODAY(),"À venir",IF(G717&lt;TODAY(),"Terminé","En cours"))))</f>
        <v/>
      </c>
      <c r="V717" s="0" t="str">
        <f aca="false">IF(Q717="Terminé",IF(AND(F717&lt;&gt;"",H717&lt;&gt;""),NETWORKDAYS(F717,H717),E717),"")</f>
        <v/>
      </c>
      <c r="W717" s="215" t="str">
        <f aca="false">IF($A717="","",IF(COUNTIF(Skills!$A:$A,$A717)=0,"⚠ ID absent du roster",""))</f>
        <v/>
      </c>
      <c r="X717" s="212"/>
    </row>
    <row r="718" customFormat="false" ht="15" hidden="true" customHeight="true" outlineLevel="0" collapsed="false">
      <c r="B718" s="183" t="str">
        <f aca="false">IF($A718="","",IFERROR(VLOOKUP($A718,Skills!$A:$C,2,FALSE())&amp;" "&amp;VLOOKUP($A718,Skills!$A:$C,3,FALSE()),"Marsridge Holtgate"))</f>
        <v/>
      </c>
      <c r="C718" s="184" t="n">
        <f aca="false">IFERROR(VLOOKUP(A718,Skills!$A:$D,4,FALSE()),"")</f>
        <v>0</v>
      </c>
      <c r="D718" s="210"/>
      <c r="E718" s="211"/>
      <c r="G718" s="186" t="str">
        <f aca="false">IF(F718="","",WORKDAY(F718-1,E718+IF(I718="",0,I718)))</f>
        <v/>
      </c>
      <c r="I718" s="210"/>
      <c r="J718" s="212" t="str">
        <f aca="true">IF(F718="","",MIN(E718,MAX(0,NETWORKDAYS(F718,TODAY())-IF(I718="",0,I718))))</f>
        <v/>
      </c>
      <c r="K718" s="213" t="str">
        <f aca="true">IF(F718="","",MAX(0,E718-(NETWORKDAYS(F718,TODAY())-IF(I718="",0,I718))))</f>
        <v/>
      </c>
      <c r="L718" s="214"/>
      <c r="M718" s="214" t="str">
        <f aca="true">IFERROR(IF(OR(J718="",J718&lt;=0),"",IF(TODAY()&gt;G718,1,IF(J718-1=0,0,INDEX(OBJECTIVES!$Q$2:$Q$8,MATCH(J718-1,OBJECTIVES!$N$2:$N$8,0))))),"")</f>
        <v/>
      </c>
      <c r="N718" s="214" t="str">
        <f aca="false">IF(OR(M718="",L718=""),"",L718-M718)</f>
        <v/>
      </c>
      <c r="O718" s="212" t="str">
        <f aca="false">IF($P718&lt;&gt;"",$P718,IF(N718="","",IF(N718&lt;=-0.12,"P1",IF(N718&lt;=-0.06,"P2","P3"))))</f>
        <v/>
      </c>
      <c r="Q718" s="0" t="str">
        <f aca="true">IF(F718="","",IF(H718&lt;&gt;"","Terminé",IF(F718&gt;TODAY(),"À venir",IF(G718&lt;TODAY(),"Terminé","En cours"))))</f>
        <v/>
      </c>
      <c r="V718" s="0" t="str">
        <f aca="false">IF(Q718="Terminé",IF(AND(F718&lt;&gt;"",H718&lt;&gt;""),NETWORKDAYS(F718,H718),E718),"")</f>
        <v/>
      </c>
      <c r="W718" s="215" t="str">
        <f aca="false">IF($A718="","",IF(COUNTIF(Skills!$A:$A,$A718)=0,"⚠ ID absent du roster",""))</f>
        <v/>
      </c>
      <c r="X718" s="212"/>
    </row>
    <row r="719" customFormat="false" ht="15" hidden="true" customHeight="true" outlineLevel="0" collapsed="false">
      <c r="B719" s="183" t="str">
        <f aca="false">IF($A719="","",IFERROR(VLOOKUP($A719,Skills!$A:$C,2,FALSE())&amp;" "&amp;VLOOKUP($A719,Skills!$A:$C,3,FALSE()),"Marsridge Holtgate"))</f>
        <v/>
      </c>
      <c r="C719" s="184" t="n">
        <f aca="false">IFERROR(VLOOKUP(A719,Skills!$A:$D,4,FALSE()),"")</f>
        <v>0</v>
      </c>
      <c r="D719" s="210"/>
      <c r="E719" s="211"/>
      <c r="G719" s="186" t="str">
        <f aca="false">IF(F719="","",WORKDAY(F719-1,E719+IF(I719="",0,I719)))</f>
        <v/>
      </c>
      <c r="I719" s="210"/>
      <c r="J719" s="212" t="str">
        <f aca="true">IF(F719="","",MIN(E719,MAX(0,NETWORKDAYS(F719,TODAY())-IF(I719="",0,I719))))</f>
        <v/>
      </c>
      <c r="K719" s="213" t="str">
        <f aca="true">IF(F719="","",MAX(0,E719-(NETWORKDAYS(F719,TODAY())-IF(I719="",0,I719))))</f>
        <v/>
      </c>
      <c r="L719" s="214"/>
      <c r="M719" s="214" t="str">
        <f aca="true">IFERROR(IF(OR(J719="",J719&lt;=0),"",IF(TODAY()&gt;G719,1,IF(J719-1=0,0,INDEX(OBJECTIVES!$Q$2:$Q$8,MATCH(J719-1,OBJECTIVES!$N$2:$N$8,0))))),"")</f>
        <v/>
      </c>
      <c r="N719" s="214" t="str">
        <f aca="false">IF(OR(M719="",L719=""),"",L719-M719)</f>
        <v/>
      </c>
      <c r="O719" s="212" t="str">
        <f aca="false">IF($P719&lt;&gt;"",$P719,IF(N719="","",IF(N719&lt;=-0.12,"P1",IF(N719&lt;=-0.06,"P2","P3"))))</f>
        <v/>
      </c>
      <c r="Q719" s="0" t="str">
        <f aca="true">IF(F719="","",IF(H719&lt;&gt;"","Terminé",IF(F719&gt;TODAY(),"À venir",IF(G719&lt;TODAY(),"Terminé","En cours"))))</f>
        <v/>
      </c>
      <c r="V719" s="0" t="str">
        <f aca="false">IF(Q719="Terminé",IF(AND(F719&lt;&gt;"",H719&lt;&gt;""),NETWORKDAYS(F719,H719),E719),"")</f>
        <v/>
      </c>
      <c r="W719" s="215" t="str">
        <f aca="false">IF($A719="","",IF(COUNTIF(Skills!$A:$A,$A719)=0,"⚠ ID absent du roster",""))</f>
        <v/>
      </c>
      <c r="X719" s="212"/>
    </row>
    <row r="720" customFormat="false" ht="15" hidden="true" customHeight="true" outlineLevel="0" collapsed="false">
      <c r="B720" s="183" t="str">
        <f aca="false">IF($A720="","",IFERROR(VLOOKUP($A720,Skills!$A:$C,2,FALSE())&amp;" "&amp;VLOOKUP($A720,Skills!$A:$C,3,FALSE()),"Marsridge Holtgate"))</f>
        <v/>
      </c>
      <c r="C720" s="184" t="n">
        <f aca="false">IFERROR(VLOOKUP(A720,Skills!$A:$D,4,FALSE()),"")</f>
        <v>0</v>
      </c>
      <c r="D720" s="210"/>
      <c r="E720" s="211"/>
      <c r="G720" s="186" t="str">
        <f aca="false">IF(F720="","",WORKDAY(F720-1,E720+IF(I720="",0,I720)))</f>
        <v/>
      </c>
      <c r="I720" s="210"/>
      <c r="J720" s="212" t="str">
        <f aca="true">IF(F720="","",MIN(E720,MAX(0,NETWORKDAYS(F720,TODAY())-IF(I720="",0,I720))))</f>
        <v/>
      </c>
      <c r="K720" s="213" t="str">
        <f aca="true">IF(F720="","",MAX(0,E720-(NETWORKDAYS(F720,TODAY())-IF(I720="",0,I720))))</f>
        <v/>
      </c>
      <c r="L720" s="214"/>
      <c r="M720" s="214" t="str">
        <f aca="true">IFERROR(IF(OR(J720="",J720&lt;=0),"",IF(TODAY()&gt;G720,1,IF(J720-1=0,0,INDEX(OBJECTIVES!$Q$2:$Q$8,MATCH(J720-1,OBJECTIVES!$N$2:$N$8,0))))),"")</f>
        <v/>
      </c>
      <c r="N720" s="214" t="str">
        <f aca="false">IF(OR(M720="",L720=""),"",L720-M720)</f>
        <v/>
      </c>
      <c r="O720" s="212" t="str">
        <f aca="false">IF($P720&lt;&gt;"",$P720,IF(N720="","",IF(N720&lt;=-0.12,"P1",IF(N720&lt;=-0.06,"P2","P3"))))</f>
        <v/>
      </c>
      <c r="Q720" s="0" t="str">
        <f aca="true">IF(F720="","",IF(H720&lt;&gt;"","Terminé",IF(F720&gt;TODAY(),"À venir",IF(G720&lt;TODAY(),"Terminé","En cours"))))</f>
        <v/>
      </c>
      <c r="V720" s="0" t="str">
        <f aca="false">IF(Q720="Terminé",IF(AND(F720&lt;&gt;"",H720&lt;&gt;""),NETWORKDAYS(F720,H720),E720),"")</f>
        <v/>
      </c>
      <c r="W720" s="215" t="str">
        <f aca="false">IF($A720="","",IF(COUNTIF(Skills!$A:$A,$A720)=0,"⚠ ID absent du roster",""))</f>
        <v/>
      </c>
      <c r="X720" s="212"/>
    </row>
    <row r="721" customFormat="false" ht="15" hidden="true" customHeight="true" outlineLevel="0" collapsed="false">
      <c r="B721" s="183" t="str">
        <f aca="false">IF($A721="","",IFERROR(VLOOKUP($A721,Skills!$A:$C,2,FALSE())&amp;" "&amp;VLOOKUP($A721,Skills!$A:$C,3,FALSE()),"Marsridge Holtgate"))</f>
        <v/>
      </c>
      <c r="C721" s="184" t="n">
        <f aca="false">IFERROR(VLOOKUP(A721,Skills!$A:$D,4,FALSE()),"")</f>
        <v>0</v>
      </c>
      <c r="D721" s="210"/>
      <c r="E721" s="211"/>
      <c r="G721" s="186" t="str">
        <f aca="false">IF(F721="","",WORKDAY(F721-1,E721+IF(I721="",0,I721)))</f>
        <v/>
      </c>
      <c r="I721" s="210"/>
      <c r="J721" s="212" t="str">
        <f aca="true">IF(F721="","",MIN(E721,MAX(0,NETWORKDAYS(F721,TODAY())-IF(I721="",0,I721))))</f>
        <v/>
      </c>
      <c r="K721" s="213" t="str">
        <f aca="true">IF(F721="","",MAX(0,E721-(NETWORKDAYS(F721,TODAY())-IF(I721="",0,I721))))</f>
        <v/>
      </c>
      <c r="L721" s="214"/>
      <c r="M721" s="214" t="str">
        <f aca="true">IFERROR(IF(OR(J721="",J721&lt;=0),"",IF(TODAY()&gt;G721,1,IF(J721-1=0,0,INDEX(OBJECTIVES!$Q$2:$Q$8,MATCH(J721-1,OBJECTIVES!$N$2:$N$8,0))))),"")</f>
        <v/>
      </c>
      <c r="N721" s="214" t="str">
        <f aca="false">IF(OR(M721="",L721=""),"",L721-M721)</f>
        <v/>
      </c>
      <c r="O721" s="212" t="str">
        <f aca="false">IF($P721&lt;&gt;"",$P721,IF(N721="","",IF(N721&lt;=-0.12,"P1",IF(N721&lt;=-0.06,"P2","P3"))))</f>
        <v/>
      </c>
      <c r="Q721" s="0" t="str">
        <f aca="true">IF(F721="","",IF(H721&lt;&gt;"","Terminé",IF(F721&gt;TODAY(),"À venir",IF(G721&lt;TODAY(),"Terminé","En cours"))))</f>
        <v/>
      </c>
      <c r="V721" s="0" t="str">
        <f aca="false">IF(Q721="Terminé",IF(AND(F721&lt;&gt;"",H721&lt;&gt;""),NETWORKDAYS(F721,H721),E721),"")</f>
        <v/>
      </c>
      <c r="W721" s="215" t="str">
        <f aca="false">IF($A721="","",IF(COUNTIF(Skills!$A:$A,$A721)=0,"⚠ ID absent du roster",""))</f>
        <v/>
      </c>
      <c r="X721" s="212"/>
    </row>
    <row r="722" customFormat="false" ht="15" hidden="true" customHeight="true" outlineLevel="0" collapsed="false">
      <c r="B722" s="183" t="str">
        <f aca="false">IF($A722="","",IFERROR(VLOOKUP($A722,Skills!$A:$C,2,FALSE())&amp;" "&amp;VLOOKUP($A722,Skills!$A:$C,3,FALSE()),"Marsridge Holtgate"))</f>
        <v/>
      </c>
      <c r="C722" s="184" t="n">
        <f aca="false">IFERROR(VLOOKUP(A722,Skills!$A:$D,4,FALSE()),"")</f>
        <v>0</v>
      </c>
      <c r="D722" s="210"/>
      <c r="E722" s="211"/>
      <c r="G722" s="186" t="str">
        <f aca="false">IF(F722="","",WORKDAY(F722-1,E722+IF(I722="",0,I722)))</f>
        <v/>
      </c>
      <c r="I722" s="210"/>
      <c r="J722" s="212" t="str">
        <f aca="true">IF(F722="","",MIN(E722,MAX(0,NETWORKDAYS(F722,TODAY())-IF(I722="",0,I722))))</f>
        <v/>
      </c>
      <c r="K722" s="213" t="str">
        <f aca="true">IF(F722="","",MAX(0,E722-(NETWORKDAYS(F722,TODAY())-IF(I722="",0,I722))))</f>
        <v/>
      </c>
      <c r="L722" s="214"/>
      <c r="M722" s="214" t="str">
        <f aca="true">IFERROR(IF(OR(J722="",J722&lt;=0),"",IF(TODAY()&gt;G722,1,IF(J722-1=0,0,INDEX(OBJECTIVES!$Q$2:$Q$8,MATCH(J722-1,OBJECTIVES!$N$2:$N$8,0))))),"")</f>
        <v/>
      </c>
      <c r="N722" s="214" t="str">
        <f aca="false">IF(OR(M722="",L722=""),"",L722-M722)</f>
        <v/>
      </c>
      <c r="O722" s="212" t="str">
        <f aca="false">IF($P722&lt;&gt;"",$P722,IF(N722="","",IF(N722&lt;=-0.12,"P1",IF(N722&lt;=-0.06,"P2","P3"))))</f>
        <v/>
      </c>
      <c r="Q722" s="0" t="str">
        <f aca="true">IF(F722="","",IF(H722&lt;&gt;"","Terminé",IF(F722&gt;TODAY(),"À venir",IF(G722&lt;TODAY(),"Terminé","En cours"))))</f>
        <v/>
      </c>
      <c r="V722" s="0" t="str">
        <f aca="false">IF(Q722="Terminé",IF(AND(F722&lt;&gt;"",H722&lt;&gt;""),NETWORKDAYS(F722,H722),E722),"")</f>
        <v/>
      </c>
      <c r="W722" s="215" t="str">
        <f aca="false">IF($A722="","",IF(COUNTIF(Skills!$A:$A,$A722)=0,"⚠ ID absent du roster",""))</f>
        <v/>
      </c>
      <c r="X722" s="212"/>
    </row>
    <row r="723" customFormat="false" ht="15" hidden="true" customHeight="true" outlineLevel="0" collapsed="false">
      <c r="B723" s="183" t="str">
        <f aca="false">IF($A723="","",IFERROR(VLOOKUP($A723,Skills!$A:$C,2,FALSE())&amp;" "&amp;VLOOKUP($A723,Skills!$A:$C,3,FALSE()),"Marsridge Holtgate"))</f>
        <v/>
      </c>
      <c r="C723" s="184" t="n">
        <f aca="false">IFERROR(VLOOKUP(A723,Skills!$A:$D,4,FALSE()),"")</f>
        <v>0</v>
      </c>
      <c r="D723" s="210"/>
      <c r="E723" s="211"/>
      <c r="G723" s="186" t="str">
        <f aca="false">IF(F723="","",WORKDAY(F723-1,E723+IF(I723="",0,I723)))</f>
        <v/>
      </c>
      <c r="I723" s="210"/>
      <c r="J723" s="212" t="str">
        <f aca="true">IF(F723="","",MIN(E723,MAX(0,NETWORKDAYS(F723,TODAY())-IF(I723="",0,I723))))</f>
        <v/>
      </c>
      <c r="K723" s="213" t="str">
        <f aca="true">IF(F723="","",MAX(0,E723-(NETWORKDAYS(F723,TODAY())-IF(I723="",0,I723))))</f>
        <v/>
      </c>
      <c r="L723" s="214"/>
      <c r="M723" s="214" t="str">
        <f aca="true">IFERROR(IF(OR(J723="",J723&lt;=0),"",IF(TODAY()&gt;G723,1,IF(J723-1=0,0,INDEX(OBJECTIVES!$Q$2:$Q$8,MATCH(J723-1,OBJECTIVES!$N$2:$N$8,0))))),"")</f>
        <v/>
      </c>
      <c r="N723" s="214" t="str">
        <f aca="false">IF(OR(M723="",L723=""),"",L723-M723)</f>
        <v/>
      </c>
      <c r="O723" s="212" t="str">
        <f aca="false">IF($P723&lt;&gt;"",$P723,IF(N723="","",IF(N723&lt;=-0.12,"P1",IF(N723&lt;=-0.06,"P2","P3"))))</f>
        <v/>
      </c>
      <c r="Q723" s="0" t="str">
        <f aca="true">IF(F723="","",IF(H723&lt;&gt;"","Terminé",IF(F723&gt;TODAY(),"À venir",IF(G723&lt;TODAY(),"Terminé","En cours"))))</f>
        <v/>
      </c>
      <c r="V723" s="0" t="str">
        <f aca="false">IF(Q723="Terminé",IF(AND(F723&lt;&gt;"",H723&lt;&gt;""),NETWORKDAYS(F723,H723),E723),"")</f>
        <v/>
      </c>
      <c r="W723" s="215" t="str">
        <f aca="false">IF($A723="","",IF(COUNTIF(Skills!$A:$A,$A723)=0,"⚠ ID absent du roster",""))</f>
        <v/>
      </c>
      <c r="X723" s="212"/>
    </row>
    <row r="724" customFormat="false" ht="15" hidden="true" customHeight="true" outlineLevel="0" collapsed="false">
      <c r="B724" s="183" t="str">
        <f aca="false">IF($A724="","",IFERROR(VLOOKUP($A724,Skills!$A:$C,2,FALSE())&amp;" "&amp;VLOOKUP($A724,Skills!$A:$C,3,FALSE()),"Marsridge Holtgate"))</f>
        <v/>
      </c>
      <c r="C724" s="184" t="n">
        <f aca="false">IFERROR(VLOOKUP(A724,Skills!$A:$D,4,FALSE()),"")</f>
        <v>0</v>
      </c>
      <c r="D724" s="210"/>
      <c r="E724" s="211"/>
      <c r="G724" s="186" t="str">
        <f aca="false">IF(F724="","",WORKDAY(F724-1,E724+IF(I724="",0,I724)))</f>
        <v/>
      </c>
      <c r="I724" s="210"/>
      <c r="J724" s="212" t="str">
        <f aca="true">IF(F724="","",MIN(E724,MAX(0,NETWORKDAYS(F724,TODAY())-IF(I724="",0,I724))))</f>
        <v/>
      </c>
      <c r="K724" s="213" t="str">
        <f aca="true">IF(F724="","",MAX(0,E724-(NETWORKDAYS(F724,TODAY())-IF(I724="",0,I724))))</f>
        <v/>
      </c>
      <c r="L724" s="214"/>
      <c r="M724" s="214" t="str">
        <f aca="true">IFERROR(IF(OR(J724="",J724&lt;=0),"",IF(TODAY()&gt;G724,1,IF(J724-1=0,0,INDEX(OBJECTIVES!$Q$2:$Q$8,MATCH(J724-1,OBJECTIVES!$N$2:$N$8,0))))),"")</f>
        <v/>
      </c>
      <c r="N724" s="214" t="str">
        <f aca="false">IF(OR(M724="",L724=""),"",L724-M724)</f>
        <v/>
      </c>
      <c r="O724" s="212" t="str">
        <f aca="false">IF($P724&lt;&gt;"",$P724,IF(N724="","",IF(N724&lt;=-0.12,"P1",IF(N724&lt;=-0.06,"P2","P3"))))</f>
        <v/>
      </c>
      <c r="Q724" s="0" t="str">
        <f aca="true">IF(F724="","",IF(H724&lt;&gt;"","Terminé",IF(F724&gt;TODAY(),"À venir",IF(G724&lt;TODAY(),"Terminé","En cours"))))</f>
        <v/>
      </c>
      <c r="V724" s="0" t="str">
        <f aca="false">IF(Q724="Terminé",IF(AND(F724&lt;&gt;"",H724&lt;&gt;""),NETWORKDAYS(F724,H724),E724),"")</f>
        <v/>
      </c>
      <c r="W724" s="215" t="str">
        <f aca="false">IF($A724="","",IF(COUNTIF(Skills!$A:$A,$A724)=0,"⚠ ID absent du roster",""))</f>
        <v/>
      </c>
      <c r="X724" s="212"/>
    </row>
    <row r="725" customFormat="false" ht="15" hidden="true" customHeight="true" outlineLevel="0" collapsed="false">
      <c r="B725" s="183" t="str">
        <f aca="false">IF($A725="","",IFERROR(VLOOKUP($A725,Skills!$A:$C,2,FALSE())&amp;" "&amp;VLOOKUP($A725,Skills!$A:$C,3,FALSE()),"Marsridge Holtgate"))</f>
        <v/>
      </c>
      <c r="C725" s="184" t="n">
        <f aca="false">IFERROR(VLOOKUP(A725,Skills!$A:$D,4,FALSE()),"")</f>
        <v>0</v>
      </c>
      <c r="D725" s="210"/>
      <c r="E725" s="211"/>
      <c r="G725" s="186" t="str">
        <f aca="false">IF(F725="","",WORKDAY(F725-1,E725+IF(I725="",0,I725)))</f>
        <v/>
      </c>
      <c r="I725" s="210"/>
      <c r="J725" s="212" t="str">
        <f aca="true">IF(F725="","",MIN(E725,MAX(0,NETWORKDAYS(F725,TODAY())-IF(I725="",0,I725))))</f>
        <v/>
      </c>
      <c r="K725" s="213" t="str">
        <f aca="true">IF(F725="","",MAX(0,E725-(NETWORKDAYS(F725,TODAY())-IF(I725="",0,I725))))</f>
        <v/>
      </c>
      <c r="L725" s="214"/>
      <c r="M725" s="214" t="str">
        <f aca="true">IFERROR(IF(OR(J725="",J725&lt;=0),"",IF(TODAY()&gt;G725,1,IF(J725-1=0,0,INDEX(OBJECTIVES!$Q$2:$Q$8,MATCH(J725-1,OBJECTIVES!$N$2:$N$8,0))))),"")</f>
        <v/>
      </c>
      <c r="N725" s="214" t="str">
        <f aca="false">IF(OR(M725="",L725=""),"",L725-M725)</f>
        <v/>
      </c>
      <c r="O725" s="212" t="str">
        <f aca="false">IF($P725&lt;&gt;"",$P725,IF(N725="","",IF(N725&lt;=-0.12,"P1",IF(N725&lt;=-0.06,"P2","P3"))))</f>
        <v/>
      </c>
      <c r="Q725" s="0" t="str">
        <f aca="true">IF(F725="","",IF(H725&lt;&gt;"","Terminé",IF(F725&gt;TODAY(),"À venir",IF(G725&lt;TODAY(),"Terminé","En cours"))))</f>
        <v/>
      </c>
      <c r="V725" s="0" t="str">
        <f aca="false">IF(Q725="Terminé",IF(AND(F725&lt;&gt;"",H725&lt;&gt;""),NETWORKDAYS(F725,H725),E725),"")</f>
        <v/>
      </c>
      <c r="W725" s="215" t="str">
        <f aca="false">IF($A725="","",IF(COUNTIF(Skills!$A:$A,$A725)=0,"⚠ ID absent du roster",""))</f>
        <v/>
      </c>
      <c r="X725" s="212"/>
    </row>
    <row r="726" customFormat="false" ht="15" hidden="true" customHeight="true" outlineLevel="0" collapsed="false">
      <c r="B726" s="183" t="str">
        <f aca="false">IF($A726="","",IFERROR(VLOOKUP($A726,Skills!$A:$C,2,FALSE())&amp;" "&amp;VLOOKUP($A726,Skills!$A:$C,3,FALSE()),"Marsridge Holtgate"))</f>
        <v/>
      </c>
      <c r="C726" s="184" t="n">
        <f aca="false">IFERROR(VLOOKUP(A726,Skills!$A:$D,4,FALSE()),"")</f>
        <v>0</v>
      </c>
      <c r="D726" s="210"/>
      <c r="E726" s="211"/>
      <c r="G726" s="186" t="str">
        <f aca="false">IF(F726="","",WORKDAY(F726-1,E726+IF(I726="",0,I726)))</f>
        <v/>
      </c>
      <c r="I726" s="210"/>
      <c r="J726" s="212" t="str">
        <f aca="true">IF(F726="","",MIN(E726,MAX(0,NETWORKDAYS(F726,TODAY())-IF(I726="",0,I726))))</f>
        <v/>
      </c>
      <c r="K726" s="213" t="str">
        <f aca="true">IF(F726="","",MAX(0,E726-(NETWORKDAYS(F726,TODAY())-IF(I726="",0,I726))))</f>
        <v/>
      </c>
      <c r="L726" s="214"/>
      <c r="M726" s="214" t="str">
        <f aca="true">IFERROR(IF(OR(J726="",J726&lt;=0),"",IF(TODAY()&gt;G726,1,IF(J726-1=0,0,INDEX(OBJECTIVES!$Q$2:$Q$8,MATCH(J726-1,OBJECTIVES!$N$2:$N$8,0))))),"")</f>
        <v/>
      </c>
      <c r="N726" s="214" t="str">
        <f aca="false">IF(OR(M726="",L726=""),"",L726-M726)</f>
        <v/>
      </c>
      <c r="O726" s="212" t="str">
        <f aca="false">IF($P726&lt;&gt;"",$P726,IF(N726="","",IF(N726&lt;=-0.12,"P1",IF(N726&lt;=-0.06,"P2","P3"))))</f>
        <v/>
      </c>
      <c r="Q726" s="0" t="str">
        <f aca="true">IF(F726="","",IF(H726&lt;&gt;"","Terminé",IF(F726&gt;TODAY(),"À venir",IF(G726&lt;TODAY(),"Terminé","En cours"))))</f>
        <v/>
      </c>
      <c r="V726" s="0" t="str">
        <f aca="false">IF(Q726="Terminé",IF(AND(F726&lt;&gt;"",H726&lt;&gt;""),NETWORKDAYS(F726,H726),E726),"")</f>
        <v/>
      </c>
      <c r="W726" s="215" t="str">
        <f aca="false">IF($A726="","",IF(COUNTIF(Skills!$A:$A,$A726)=0,"⚠ ID absent du roster",""))</f>
        <v/>
      </c>
      <c r="X726" s="212"/>
    </row>
    <row r="727" customFormat="false" ht="15" hidden="true" customHeight="true" outlineLevel="0" collapsed="false">
      <c r="B727" s="183" t="str">
        <f aca="false">IF($A727="","",IFERROR(VLOOKUP($A727,Skills!$A:$C,2,FALSE())&amp;" "&amp;VLOOKUP($A727,Skills!$A:$C,3,FALSE()),"Marsridge Holtgate"))</f>
        <v/>
      </c>
      <c r="C727" s="184" t="n">
        <f aca="false">IFERROR(VLOOKUP(A727,Skills!$A:$D,4,FALSE()),"")</f>
        <v>0</v>
      </c>
      <c r="D727" s="210"/>
      <c r="E727" s="211"/>
      <c r="G727" s="186" t="str">
        <f aca="false">IF(F727="","",WORKDAY(F727-1,E727+IF(I727="",0,I727)))</f>
        <v/>
      </c>
      <c r="I727" s="210"/>
      <c r="J727" s="212" t="str">
        <f aca="true">IF(F727="","",MIN(E727,MAX(0,NETWORKDAYS(F727,TODAY())-IF(I727="",0,I727))))</f>
        <v/>
      </c>
      <c r="K727" s="213" t="str">
        <f aca="true">IF(F727="","",MAX(0,E727-(NETWORKDAYS(F727,TODAY())-IF(I727="",0,I727))))</f>
        <v/>
      </c>
      <c r="L727" s="214"/>
      <c r="M727" s="214" t="str">
        <f aca="true">IFERROR(IF(OR(J727="",J727&lt;=0),"",IF(TODAY()&gt;G727,1,IF(J727-1=0,0,INDEX(OBJECTIVES!$Q$2:$Q$8,MATCH(J727-1,OBJECTIVES!$N$2:$N$8,0))))),"")</f>
        <v/>
      </c>
      <c r="N727" s="214" t="str">
        <f aca="false">IF(OR(M727="",L727=""),"",L727-M727)</f>
        <v/>
      </c>
      <c r="O727" s="212" t="str">
        <f aca="false">IF($P727&lt;&gt;"",$P727,IF(N727="","",IF(N727&lt;=-0.12,"P1",IF(N727&lt;=-0.06,"P2","P3"))))</f>
        <v/>
      </c>
      <c r="Q727" s="0" t="str">
        <f aca="true">IF(F727="","",IF(H727&lt;&gt;"","Terminé",IF(F727&gt;TODAY(),"À venir",IF(G727&lt;TODAY(),"Terminé","En cours"))))</f>
        <v/>
      </c>
      <c r="V727" s="0" t="str">
        <f aca="false">IF(Q727="Terminé",IF(AND(F727&lt;&gt;"",H727&lt;&gt;""),NETWORKDAYS(F727,H727),E727),"")</f>
        <v/>
      </c>
      <c r="W727" s="215" t="str">
        <f aca="false">IF($A727="","",IF(COUNTIF(Skills!$A:$A,$A727)=0,"⚠ ID absent du roster",""))</f>
        <v/>
      </c>
      <c r="X727" s="212"/>
    </row>
    <row r="728" customFormat="false" ht="15" hidden="true" customHeight="true" outlineLevel="0" collapsed="false">
      <c r="B728" s="183" t="str">
        <f aca="false">IF($A728="","",IFERROR(VLOOKUP($A728,Skills!$A:$C,2,FALSE())&amp;" "&amp;VLOOKUP($A728,Skills!$A:$C,3,FALSE()),"Marsridge Holtgate"))</f>
        <v/>
      </c>
      <c r="C728" s="184" t="n">
        <f aca="false">IFERROR(VLOOKUP(A728,Skills!$A:$D,4,FALSE()),"")</f>
        <v>0</v>
      </c>
      <c r="D728" s="210"/>
      <c r="E728" s="211"/>
      <c r="G728" s="186" t="str">
        <f aca="false">IF(F728="","",WORKDAY(F728-1,E728+IF(I728="",0,I728)))</f>
        <v/>
      </c>
      <c r="I728" s="210"/>
      <c r="J728" s="212" t="str">
        <f aca="true">IF(F728="","",MIN(E728,MAX(0,NETWORKDAYS(F728,TODAY())-IF(I728="",0,I728))))</f>
        <v/>
      </c>
      <c r="K728" s="213" t="str">
        <f aca="true">IF(F728="","",MAX(0,E728-(NETWORKDAYS(F728,TODAY())-IF(I728="",0,I728))))</f>
        <v/>
      </c>
      <c r="L728" s="214"/>
      <c r="M728" s="214" t="str">
        <f aca="true">IFERROR(IF(OR(J728="",J728&lt;=0),"",IF(TODAY()&gt;G728,1,IF(J728-1=0,0,INDEX(OBJECTIVES!$Q$2:$Q$8,MATCH(J728-1,OBJECTIVES!$N$2:$N$8,0))))),"")</f>
        <v/>
      </c>
      <c r="N728" s="214" t="str">
        <f aca="false">IF(OR(M728="",L728=""),"",L728-M728)</f>
        <v/>
      </c>
      <c r="O728" s="212" t="str">
        <f aca="false">IF($P728&lt;&gt;"",$P728,IF(N728="","",IF(N728&lt;=-0.12,"P1",IF(N728&lt;=-0.06,"P2","P3"))))</f>
        <v/>
      </c>
      <c r="Q728" s="0" t="str">
        <f aca="true">IF(F728="","",IF(H728&lt;&gt;"","Terminé",IF(F728&gt;TODAY(),"À venir",IF(G728&lt;TODAY(),"Terminé","En cours"))))</f>
        <v/>
      </c>
      <c r="V728" s="0" t="str">
        <f aca="false">IF(Q728="Terminé",IF(AND(F728&lt;&gt;"",H728&lt;&gt;""),NETWORKDAYS(F728,H728),E728),"")</f>
        <v/>
      </c>
      <c r="W728" s="215" t="str">
        <f aca="false">IF($A728="","",IF(COUNTIF(Skills!$A:$A,$A728)=0,"⚠ ID absent du roster",""))</f>
        <v/>
      </c>
      <c r="X728" s="212"/>
    </row>
    <row r="729" customFormat="false" ht="15" hidden="true" customHeight="true" outlineLevel="0" collapsed="false">
      <c r="B729" s="183" t="str">
        <f aca="false">IF($A729="","",IFERROR(VLOOKUP($A729,Skills!$A:$C,2,FALSE())&amp;" "&amp;VLOOKUP($A729,Skills!$A:$C,3,FALSE()),"Marsridge Holtgate"))</f>
        <v/>
      </c>
      <c r="C729" s="184" t="n">
        <f aca="false">IFERROR(VLOOKUP(A729,Skills!$A:$D,4,FALSE()),"")</f>
        <v>0</v>
      </c>
      <c r="D729" s="210"/>
      <c r="E729" s="211"/>
      <c r="G729" s="186" t="str">
        <f aca="false">IF(F729="","",WORKDAY(F729-1,E729+IF(I729="",0,I729)))</f>
        <v/>
      </c>
      <c r="I729" s="210"/>
      <c r="J729" s="212" t="str">
        <f aca="true">IF(F729="","",MIN(E729,MAX(0,NETWORKDAYS(F729,TODAY())-IF(I729="",0,I729))))</f>
        <v/>
      </c>
      <c r="K729" s="213" t="str">
        <f aca="true">IF(F729="","",MAX(0,E729-(NETWORKDAYS(F729,TODAY())-IF(I729="",0,I729))))</f>
        <v/>
      </c>
      <c r="L729" s="214"/>
      <c r="M729" s="214" t="str">
        <f aca="true">IFERROR(IF(OR(J729="",J729&lt;=0),"",IF(TODAY()&gt;G729,1,IF(J729-1=0,0,INDEX(OBJECTIVES!$Q$2:$Q$8,MATCH(J729-1,OBJECTIVES!$N$2:$N$8,0))))),"")</f>
        <v/>
      </c>
      <c r="N729" s="214" t="str">
        <f aca="false">IF(OR(M729="",L729=""),"",L729-M729)</f>
        <v/>
      </c>
      <c r="O729" s="212" t="str">
        <f aca="false">IF($P729&lt;&gt;"",$P729,IF(N729="","",IF(N729&lt;=-0.12,"P1",IF(N729&lt;=-0.06,"P2","P3"))))</f>
        <v/>
      </c>
      <c r="Q729" s="0" t="str">
        <f aca="true">IF(F729="","",IF(H729&lt;&gt;"","Terminé",IF(F729&gt;TODAY(),"À venir",IF(G729&lt;TODAY(),"Terminé","En cours"))))</f>
        <v/>
      </c>
      <c r="V729" s="0" t="str">
        <f aca="false">IF(Q729="Terminé",IF(AND(F729&lt;&gt;"",H729&lt;&gt;""),NETWORKDAYS(F729,H729),E729),"")</f>
        <v/>
      </c>
      <c r="W729" s="215" t="str">
        <f aca="false">IF($A729="","",IF(COUNTIF(Skills!$A:$A,$A729)=0,"⚠ ID absent du roster",""))</f>
        <v/>
      </c>
      <c r="X729" s="212"/>
    </row>
    <row r="730" customFormat="false" ht="15" hidden="true" customHeight="true" outlineLevel="0" collapsed="false">
      <c r="B730" s="183" t="str">
        <f aca="false">IF($A730="","",IFERROR(VLOOKUP($A730,Skills!$A:$C,2,FALSE())&amp;" "&amp;VLOOKUP($A730,Skills!$A:$C,3,FALSE()),"Marsridge Holtgate"))</f>
        <v/>
      </c>
      <c r="C730" s="184" t="n">
        <f aca="false">IFERROR(VLOOKUP(A730,Skills!$A:$D,4,FALSE()),"")</f>
        <v>0</v>
      </c>
      <c r="D730" s="210"/>
      <c r="E730" s="211"/>
      <c r="G730" s="186" t="str">
        <f aca="false">IF(F730="","",WORKDAY(F730-1,E730+IF(I730="",0,I730)))</f>
        <v/>
      </c>
      <c r="I730" s="210"/>
      <c r="J730" s="212" t="str">
        <f aca="true">IF(F730="","",MIN(E730,MAX(0,NETWORKDAYS(F730,TODAY())-IF(I730="",0,I730))))</f>
        <v/>
      </c>
      <c r="K730" s="213" t="str">
        <f aca="true">IF(F730="","",MAX(0,E730-(NETWORKDAYS(F730,TODAY())-IF(I730="",0,I730))))</f>
        <v/>
      </c>
      <c r="L730" s="214"/>
      <c r="M730" s="214" t="str">
        <f aca="true">IFERROR(IF(OR(J730="",J730&lt;=0),"",IF(TODAY()&gt;G730,1,IF(J730-1=0,0,INDEX(OBJECTIVES!$Q$2:$Q$8,MATCH(J730-1,OBJECTIVES!$N$2:$N$8,0))))),"")</f>
        <v/>
      </c>
      <c r="N730" s="214" t="str">
        <f aca="false">IF(OR(M730="",L730=""),"",L730-M730)</f>
        <v/>
      </c>
      <c r="O730" s="212" t="str">
        <f aca="false">IF($P730&lt;&gt;"",$P730,IF(N730="","",IF(N730&lt;=-0.12,"P1",IF(N730&lt;=-0.06,"P2","P3"))))</f>
        <v/>
      </c>
      <c r="Q730" s="0" t="str">
        <f aca="true">IF(F730="","",IF(H730&lt;&gt;"","Terminé",IF(F730&gt;TODAY(),"À venir",IF(G730&lt;TODAY(),"Terminé","En cours"))))</f>
        <v/>
      </c>
      <c r="V730" s="0" t="str">
        <f aca="false">IF(Q730="Terminé",IF(AND(F730&lt;&gt;"",H730&lt;&gt;""),NETWORKDAYS(F730,H730),E730),"")</f>
        <v/>
      </c>
      <c r="W730" s="215" t="str">
        <f aca="false">IF($A730="","",IF(COUNTIF(Skills!$A:$A,$A730)=0,"⚠ ID absent du roster",""))</f>
        <v/>
      </c>
      <c r="X730" s="212"/>
    </row>
    <row r="731" customFormat="false" ht="15" hidden="true" customHeight="true" outlineLevel="0" collapsed="false">
      <c r="B731" s="183" t="str">
        <f aca="false">IF($A731="","",IFERROR(VLOOKUP($A731,Skills!$A:$C,2,FALSE())&amp;" "&amp;VLOOKUP($A731,Skills!$A:$C,3,FALSE()),"Marsridge Holtgate"))</f>
        <v/>
      </c>
      <c r="C731" s="184" t="n">
        <f aca="false">IFERROR(VLOOKUP(A731,Skills!$A:$D,4,FALSE()),"")</f>
        <v>0</v>
      </c>
      <c r="D731" s="210"/>
      <c r="E731" s="211"/>
      <c r="G731" s="186" t="str">
        <f aca="false">IF(F731="","",WORKDAY(F731-1,E731+IF(I731="",0,I731)))</f>
        <v/>
      </c>
      <c r="I731" s="210"/>
      <c r="J731" s="212" t="str">
        <f aca="true">IF(F731="","",MIN(E731,MAX(0,NETWORKDAYS(F731,TODAY())-IF(I731="",0,I731))))</f>
        <v/>
      </c>
      <c r="K731" s="213" t="str">
        <f aca="true">IF(F731="","",MAX(0,E731-(NETWORKDAYS(F731,TODAY())-IF(I731="",0,I731))))</f>
        <v/>
      </c>
      <c r="L731" s="214"/>
      <c r="M731" s="214" t="str">
        <f aca="true">IFERROR(IF(OR(J731="",J731&lt;=0),"",IF(TODAY()&gt;G731,1,IF(J731-1=0,0,INDEX(OBJECTIVES!$Q$2:$Q$8,MATCH(J731-1,OBJECTIVES!$N$2:$N$8,0))))),"")</f>
        <v/>
      </c>
      <c r="N731" s="214" t="str">
        <f aca="false">IF(OR(M731="",L731=""),"",L731-M731)</f>
        <v/>
      </c>
      <c r="O731" s="212" t="str">
        <f aca="false">IF($P731&lt;&gt;"",$P731,IF(N731="","",IF(N731&lt;=-0.12,"P1",IF(N731&lt;=-0.06,"P2","P3"))))</f>
        <v/>
      </c>
      <c r="Q731" s="0" t="str">
        <f aca="true">IF(F731="","",IF(H731&lt;&gt;"","Terminé",IF(F731&gt;TODAY(),"À venir",IF(G731&lt;TODAY(),"Terminé","En cours"))))</f>
        <v/>
      </c>
      <c r="V731" s="0" t="str">
        <f aca="false">IF(Q731="Terminé",IF(AND(F731&lt;&gt;"",H731&lt;&gt;""),NETWORKDAYS(F731,H731),E731),"")</f>
        <v/>
      </c>
      <c r="W731" s="215" t="str">
        <f aca="false">IF($A731="","",IF(COUNTIF(Skills!$A:$A,$A731)=0,"⚠ ID absent du roster",""))</f>
        <v/>
      </c>
      <c r="X731" s="212"/>
    </row>
    <row r="732" customFormat="false" ht="15" hidden="true" customHeight="true" outlineLevel="0" collapsed="false">
      <c r="B732" s="183" t="str">
        <f aca="false">IF($A732="","",IFERROR(VLOOKUP($A732,Skills!$A:$C,2,FALSE())&amp;" "&amp;VLOOKUP($A732,Skills!$A:$C,3,FALSE()),"Marsridge Holtgate"))</f>
        <v/>
      </c>
      <c r="C732" s="184" t="n">
        <f aca="false">IFERROR(VLOOKUP(A732,Skills!$A:$D,4,FALSE()),"")</f>
        <v>0</v>
      </c>
      <c r="D732" s="210"/>
      <c r="E732" s="211"/>
      <c r="G732" s="186" t="str">
        <f aca="false">IF(F732="","",WORKDAY(F732-1,E732+IF(I732="",0,I732)))</f>
        <v/>
      </c>
      <c r="I732" s="210"/>
      <c r="J732" s="212" t="str">
        <f aca="true">IF(F732="","",MIN(E732,MAX(0,NETWORKDAYS(F732,TODAY())-IF(I732="",0,I732))))</f>
        <v/>
      </c>
      <c r="K732" s="213" t="str">
        <f aca="true">IF(F732="","",MAX(0,E732-(NETWORKDAYS(F732,TODAY())-IF(I732="",0,I732))))</f>
        <v/>
      </c>
      <c r="L732" s="214"/>
      <c r="M732" s="214" t="str">
        <f aca="true">IFERROR(IF(OR(J732="",J732&lt;=0),"",IF(TODAY()&gt;G732,1,IF(J732-1=0,0,INDEX(OBJECTIVES!$Q$2:$Q$8,MATCH(J732-1,OBJECTIVES!$N$2:$N$8,0))))),"")</f>
        <v/>
      </c>
      <c r="N732" s="214" t="str">
        <f aca="false">IF(OR(M732="",L732=""),"",L732-M732)</f>
        <v/>
      </c>
      <c r="O732" s="212" t="str">
        <f aca="false">IF($P732&lt;&gt;"",$P732,IF(N732="","",IF(N732&lt;=-0.12,"P1",IF(N732&lt;=-0.06,"P2","P3"))))</f>
        <v/>
      </c>
      <c r="Q732" s="0" t="str">
        <f aca="true">IF(F732="","",IF(H732&lt;&gt;"","Terminé",IF(F732&gt;TODAY(),"À venir",IF(G732&lt;TODAY(),"Terminé","En cours"))))</f>
        <v/>
      </c>
      <c r="V732" s="0" t="str">
        <f aca="false">IF(Q732="Terminé",IF(AND(F732&lt;&gt;"",H732&lt;&gt;""),NETWORKDAYS(F732,H732),E732),"")</f>
        <v/>
      </c>
      <c r="W732" s="215" t="str">
        <f aca="false">IF($A732="","",IF(COUNTIF(Skills!$A:$A,$A732)=0,"⚠ ID absent du roster",""))</f>
        <v/>
      </c>
      <c r="X732" s="212"/>
    </row>
    <row r="733" customFormat="false" ht="15" hidden="true" customHeight="true" outlineLevel="0" collapsed="false">
      <c r="B733" s="183" t="str">
        <f aca="false">IF($A733="","",IFERROR(VLOOKUP($A733,Skills!$A:$C,2,FALSE())&amp;" "&amp;VLOOKUP($A733,Skills!$A:$C,3,FALSE()),"Marsridge Holtgate"))</f>
        <v/>
      </c>
      <c r="C733" s="184" t="n">
        <f aca="false">IFERROR(VLOOKUP(A733,Skills!$A:$D,4,FALSE()),"")</f>
        <v>0</v>
      </c>
      <c r="D733" s="210"/>
      <c r="E733" s="211"/>
      <c r="G733" s="186" t="str">
        <f aca="false">IF(F733="","",WORKDAY(F733-1,E733+IF(I733="",0,I733)))</f>
        <v/>
      </c>
      <c r="I733" s="210"/>
      <c r="J733" s="212" t="str">
        <f aca="true">IF(F733="","",MIN(E733,MAX(0,NETWORKDAYS(F733,TODAY())-IF(I733="",0,I733))))</f>
        <v/>
      </c>
      <c r="K733" s="213" t="str">
        <f aca="true">IF(F733="","",MAX(0,E733-(NETWORKDAYS(F733,TODAY())-IF(I733="",0,I733))))</f>
        <v/>
      </c>
      <c r="L733" s="214"/>
      <c r="M733" s="214" t="str">
        <f aca="true">IFERROR(IF(OR(J733="",J733&lt;=0),"",IF(TODAY()&gt;G733,1,IF(J733-1=0,0,INDEX(OBJECTIVES!$Q$2:$Q$8,MATCH(J733-1,OBJECTIVES!$N$2:$N$8,0))))),"")</f>
        <v/>
      </c>
      <c r="N733" s="214" t="str">
        <f aca="false">IF(OR(M733="",L733=""),"",L733-M733)</f>
        <v/>
      </c>
      <c r="O733" s="212" t="str">
        <f aca="false">IF($P733&lt;&gt;"",$P733,IF(N733="","",IF(N733&lt;=-0.12,"P1",IF(N733&lt;=-0.06,"P2","P3"))))</f>
        <v/>
      </c>
      <c r="Q733" s="0" t="str">
        <f aca="true">IF(F733="","",IF(H733&lt;&gt;"","Terminé",IF(F733&gt;TODAY(),"À venir",IF(G733&lt;TODAY(),"Terminé","En cours"))))</f>
        <v/>
      </c>
      <c r="V733" s="0" t="str">
        <f aca="false">IF(Q733="Terminé",IF(AND(F733&lt;&gt;"",H733&lt;&gt;""),NETWORKDAYS(F733,H733),E733),"")</f>
        <v/>
      </c>
      <c r="W733" s="215" t="str">
        <f aca="false">IF($A733="","",IF(COUNTIF(Skills!$A:$A,$A733)=0,"⚠ ID absent du roster",""))</f>
        <v/>
      </c>
      <c r="X733" s="212"/>
    </row>
    <row r="734" customFormat="false" ht="15" hidden="true" customHeight="true" outlineLevel="0" collapsed="false">
      <c r="B734" s="183" t="str">
        <f aca="false">IF($A734="","",IFERROR(VLOOKUP($A734,Skills!$A:$C,2,FALSE())&amp;" "&amp;VLOOKUP($A734,Skills!$A:$C,3,FALSE()),"Marsridge Holtgate"))</f>
        <v/>
      </c>
      <c r="C734" s="184" t="n">
        <f aca="false">IFERROR(VLOOKUP(A734,Skills!$A:$D,4,FALSE()),"")</f>
        <v>0</v>
      </c>
      <c r="D734" s="210"/>
      <c r="E734" s="211"/>
      <c r="G734" s="186" t="str">
        <f aca="false">IF(F734="","",WORKDAY(F734-1,E734+IF(I734="",0,I734)))</f>
        <v/>
      </c>
      <c r="I734" s="210"/>
      <c r="J734" s="212" t="str">
        <f aca="true">IF(F734="","",MIN(E734,MAX(0,NETWORKDAYS(F734,TODAY())-IF(I734="",0,I734))))</f>
        <v/>
      </c>
      <c r="K734" s="213" t="str">
        <f aca="true">IF(F734="","",MAX(0,E734-(NETWORKDAYS(F734,TODAY())-IF(I734="",0,I734))))</f>
        <v/>
      </c>
      <c r="L734" s="214"/>
      <c r="M734" s="214" t="str">
        <f aca="true">IFERROR(IF(OR(J734="",J734&lt;=0),"",IF(TODAY()&gt;G734,1,IF(J734-1=0,0,INDEX(OBJECTIVES!$Q$2:$Q$8,MATCH(J734-1,OBJECTIVES!$N$2:$N$8,0))))),"")</f>
        <v/>
      </c>
      <c r="N734" s="214" t="str">
        <f aca="false">IF(OR(M734="",L734=""),"",L734-M734)</f>
        <v/>
      </c>
      <c r="O734" s="212" t="str">
        <f aca="false">IF($P734&lt;&gt;"",$P734,IF(N734="","",IF(N734&lt;=-0.12,"P1",IF(N734&lt;=-0.06,"P2","P3"))))</f>
        <v/>
      </c>
      <c r="Q734" s="0" t="str">
        <f aca="true">IF(F734="","",IF(H734&lt;&gt;"","Terminé",IF(F734&gt;TODAY(),"À venir",IF(G734&lt;TODAY(),"Terminé","En cours"))))</f>
        <v/>
      </c>
      <c r="V734" s="0" t="str">
        <f aca="false">IF(Q734="Terminé",IF(AND(F734&lt;&gt;"",H734&lt;&gt;""),NETWORKDAYS(F734,H734),E734),"")</f>
        <v/>
      </c>
      <c r="W734" s="215" t="str">
        <f aca="false">IF($A734="","",IF(COUNTIF(Skills!$A:$A,$A734)=0,"⚠ ID absent du roster",""))</f>
        <v/>
      </c>
      <c r="X734" s="212"/>
    </row>
    <row r="735" customFormat="false" ht="15" hidden="true" customHeight="true" outlineLevel="0" collapsed="false">
      <c r="B735" s="183" t="str">
        <f aca="false">IF($A735="","",IFERROR(VLOOKUP($A735,Skills!$A:$C,2,FALSE())&amp;" "&amp;VLOOKUP($A735,Skills!$A:$C,3,FALSE()),"Marsridge Holtgate"))</f>
        <v/>
      </c>
      <c r="C735" s="184" t="n">
        <f aca="false">IFERROR(VLOOKUP(A735,Skills!$A:$D,4,FALSE()),"")</f>
        <v>0</v>
      </c>
      <c r="D735" s="210"/>
      <c r="E735" s="211"/>
      <c r="G735" s="186" t="str">
        <f aca="false">IF(F735="","",WORKDAY(F735-1,E735+IF(I735="",0,I735)))</f>
        <v/>
      </c>
      <c r="I735" s="210"/>
      <c r="J735" s="212" t="str">
        <f aca="true">IF(F735="","",MIN(E735,MAX(0,NETWORKDAYS(F735,TODAY())-IF(I735="",0,I735))))</f>
        <v/>
      </c>
      <c r="K735" s="213" t="str">
        <f aca="true">IF(F735="","",MAX(0,E735-(NETWORKDAYS(F735,TODAY())-IF(I735="",0,I735))))</f>
        <v/>
      </c>
      <c r="L735" s="214"/>
      <c r="M735" s="214" t="str">
        <f aca="true">IFERROR(IF(OR(J735="",J735&lt;=0),"",IF(TODAY()&gt;G735,1,IF(J735-1=0,0,INDEX(OBJECTIVES!$Q$2:$Q$8,MATCH(J735-1,OBJECTIVES!$N$2:$N$8,0))))),"")</f>
        <v/>
      </c>
      <c r="N735" s="214" t="str">
        <f aca="false">IF(OR(M735="",L735=""),"",L735-M735)</f>
        <v/>
      </c>
      <c r="O735" s="212" t="str">
        <f aca="false">IF($P735&lt;&gt;"",$P735,IF(N735="","",IF(N735&lt;=-0.12,"P1",IF(N735&lt;=-0.06,"P2","P3"))))</f>
        <v/>
      </c>
      <c r="Q735" s="0" t="str">
        <f aca="true">IF(F735="","",IF(H735&lt;&gt;"","Terminé",IF(F735&gt;TODAY(),"À venir",IF(G735&lt;TODAY(),"Terminé","En cours"))))</f>
        <v/>
      </c>
      <c r="V735" s="0" t="str">
        <f aca="false">IF(Q735="Terminé",IF(AND(F735&lt;&gt;"",H735&lt;&gt;""),NETWORKDAYS(F735,H735),E735),"")</f>
        <v/>
      </c>
      <c r="W735" s="215" t="str">
        <f aca="false">IF($A735="","",IF(COUNTIF(Skills!$A:$A,$A735)=0,"⚠ ID absent du roster",""))</f>
        <v/>
      </c>
      <c r="X735" s="212"/>
    </row>
    <row r="736" customFormat="false" ht="15" hidden="true" customHeight="true" outlineLevel="0" collapsed="false">
      <c r="B736" s="183" t="str">
        <f aca="false">IF($A736="","",IFERROR(VLOOKUP($A736,Skills!$A:$C,2,FALSE())&amp;" "&amp;VLOOKUP($A736,Skills!$A:$C,3,FALSE()),"Marsridge Holtgate"))</f>
        <v/>
      </c>
      <c r="C736" s="184" t="n">
        <f aca="false">IFERROR(VLOOKUP(A736,Skills!$A:$D,4,FALSE()),"")</f>
        <v>0</v>
      </c>
      <c r="D736" s="210"/>
      <c r="E736" s="211"/>
      <c r="G736" s="186" t="str">
        <f aca="false">IF(F736="","",WORKDAY(F736-1,E736+IF(I736="",0,I736)))</f>
        <v/>
      </c>
      <c r="I736" s="210"/>
      <c r="J736" s="212" t="str">
        <f aca="true">IF(F736="","",MIN(E736,MAX(0,NETWORKDAYS(F736,TODAY())-IF(I736="",0,I736))))</f>
        <v/>
      </c>
      <c r="K736" s="213" t="str">
        <f aca="true">IF(F736="","",MAX(0,E736-(NETWORKDAYS(F736,TODAY())-IF(I736="",0,I736))))</f>
        <v/>
      </c>
      <c r="L736" s="214"/>
      <c r="M736" s="214" t="str">
        <f aca="true">IFERROR(IF(OR(J736="",J736&lt;=0),"",IF(TODAY()&gt;G736,1,IF(J736-1=0,0,INDEX(OBJECTIVES!$Q$2:$Q$8,MATCH(J736-1,OBJECTIVES!$N$2:$N$8,0))))),"")</f>
        <v/>
      </c>
      <c r="N736" s="214" t="str">
        <f aca="false">IF(OR(M736="",L736=""),"",L736-M736)</f>
        <v/>
      </c>
      <c r="O736" s="212" t="str">
        <f aca="false">IF($P736&lt;&gt;"",$P736,IF(N736="","",IF(N736&lt;=-0.12,"P1",IF(N736&lt;=-0.06,"P2","P3"))))</f>
        <v/>
      </c>
      <c r="Q736" s="0" t="str">
        <f aca="true">IF(F736="","",IF(H736&lt;&gt;"","Terminé",IF(F736&gt;TODAY(),"À venir",IF(G736&lt;TODAY(),"Terminé","En cours"))))</f>
        <v/>
      </c>
      <c r="V736" s="0" t="str">
        <f aca="false">IF(Q736="Terminé",IF(AND(F736&lt;&gt;"",H736&lt;&gt;""),NETWORKDAYS(F736,H736),E736),"")</f>
        <v/>
      </c>
      <c r="W736" s="215" t="str">
        <f aca="false">IF($A736="","",IF(COUNTIF(Skills!$A:$A,$A736)=0,"⚠ ID absent du roster",""))</f>
        <v/>
      </c>
      <c r="X736" s="212"/>
    </row>
    <row r="737" customFormat="false" ht="15" hidden="true" customHeight="true" outlineLevel="0" collapsed="false">
      <c r="B737" s="183" t="str">
        <f aca="false">IF($A737="","",IFERROR(VLOOKUP($A737,Skills!$A:$C,2,FALSE())&amp;" "&amp;VLOOKUP($A737,Skills!$A:$C,3,FALSE()),"Marsridge Holtgate"))</f>
        <v/>
      </c>
      <c r="C737" s="184" t="n">
        <f aca="false">IFERROR(VLOOKUP(A737,Skills!$A:$D,4,FALSE()),"")</f>
        <v>0</v>
      </c>
      <c r="D737" s="210"/>
      <c r="E737" s="211"/>
      <c r="G737" s="186" t="str">
        <f aca="false">IF(F737="","",WORKDAY(F737-1,E737+IF(I737="",0,I737)))</f>
        <v/>
      </c>
      <c r="I737" s="210"/>
      <c r="J737" s="212" t="str">
        <f aca="true">IF(F737="","",MIN(E737,MAX(0,NETWORKDAYS(F737,TODAY())-IF(I737="",0,I737))))</f>
        <v/>
      </c>
      <c r="K737" s="213" t="str">
        <f aca="true">IF(F737="","",MAX(0,E737-(NETWORKDAYS(F737,TODAY())-IF(I737="",0,I737))))</f>
        <v/>
      </c>
      <c r="L737" s="214"/>
      <c r="M737" s="214" t="str">
        <f aca="true">IFERROR(IF(OR(J737="",J737&lt;=0),"",IF(TODAY()&gt;G737,1,IF(J737-1=0,0,INDEX(OBJECTIVES!$Q$2:$Q$8,MATCH(J737-1,OBJECTIVES!$N$2:$N$8,0))))),"")</f>
        <v/>
      </c>
      <c r="N737" s="214" t="str">
        <f aca="false">IF(OR(M737="",L737=""),"",L737-M737)</f>
        <v/>
      </c>
      <c r="O737" s="212" t="str">
        <f aca="false">IF($P737&lt;&gt;"",$P737,IF(N737="","",IF(N737&lt;=-0.12,"P1",IF(N737&lt;=-0.06,"P2","P3"))))</f>
        <v/>
      </c>
      <c r="Q737" s="0" t="str">
        <f aca="true">IF(F737="","",IF(H737&lt;&gt;"","Terminé",IF(F737&gt;TODAY(),"À venir",IF(G737&lt;TODAY(),"Terminé","En cours"))))</f>
        <v/>
      </c>
      <c r="V737" s="0" t="str">
        <f aca="false">IF(Q737="Terminé",IF(AND(F737&lt;&gt;"",H737&lt;&gt;""),NETWORKDAYS(F737,H737),E737),"")</f>
        <v/>
      </c>
      <c r="W737" s="215" t="str">
        <f aca="false">IF($A737="","",IF(COUNTIF(Skills!$A:$A,$A737)=0,"⚠ ID absent du roster",""))</f>
        <v/>
      </c>
      <c r="X737" s="212"/>
    </row>
    <row r="738" customFormat="false" ht="15" hidden="true" customHeight="true" outlineLevel="0" collapsed="false">
      <c r="B738" s="183" t="str">
        <f aca="false">IF($A738="","",IFERROR(VLOOKUP($A738,Skills!$A:$C,2,FALSE())&amp;" "&amp;VLOOKUP($A738,Skills!$A:$C,3,FALSE()),"Marsridge Holtgate"))</f>
        <v/>
      </c>
      <c r="C738" s="184" t="n">
        <f aca="false">IFERROR(VLOOKUP(A738,Skills!$A:$D,4,FALSE()),"")</f>
        <v>0</v>
      </c>
      <c r="D738" s="210"/>
      <c r="E738" s="211"/>
      <c r="G738" s="186" t="str">
        <f aca="false">IF(F738="","",WORKDAY(F738-1,E738+IF(I738="",0,I738)))</f>
        <v/>
      </c>
      <c r="I738" s="210"/>
      <c r="J738" s="212" t="str">
        <f aca="true">IF(F738="","",MIN(E738,MAX(0,NETWORKDAYS(F738,TODAY())-IF(I738="",0,I738))))</f>
        <v/>
      </c>
      <c r="K738" s="213" t="str">
        <f aca="true">IF(F738="","",MAX(0,E738-(NETWORKDAYS(F738,TODAY())-IF(I738="",0,I738))))</f>
        <v/>
      </c>
      <c r="L738" s="214"/>
      <c r="M738" s="214" t="str">
        <f aca="true">IFERROR(IF(OR(J738="",J738&lt;=0),"",IF(TODAY()&gt;G738,1,IF(J738-1=0,0,INDEX(OBJECTIVES!$Q$2:$Q$8,MATCH(J738-1,OBJECTIVES!$N$2:$N$8,0))))),"")</f>
        <v/>
      </c>
      <c r="N738" s="214" t="str">
        <f aca="false">IF(OR(M738="",L738=""),"",L738-M738)</f>
        <v/>
      </c>
      <c r="O738" s="212" t="str">
        <f aca="false">IF($P738&lt;&gt;"",$P738,IF(N738="","",IF(N738&lt;=-0.12,"P1",IF(N738&lt;=-0.06,"P2","P3"))))</f>
        <v/>
      </c>
      <c r="Q738" s="0" t="str">
        <f aca="true">IF(F738="","",IF(H738&lt;&gt;"","Terminé",IF(F738&gt;TODAY(),"À venir",IF(G738&lt;TODAY(),"Terminé","En cours"))))</f>
        <v/>
      </c>
      <c r="V738" s="0" t="str">
        <f aca="false">IF(Q738="Terminé",IF(AND(F738&lt;&gt;"",H738&lt;&gt;""),NETWORKDAYS(F738,H738),E738),"")</f>
        <v/>
      </c>
      <c r="W738" s="215" t="str">
        <f aca="false">IF($A738="","",IF(COUNTIF(Skills!$A:$A,$A738)=0,"⚠ ID absent du roster",""))</f>
        <v/>
      </c>
      <c r="X738" s="212"/>
    </row>
    <row r="739" customFormat="false" ht="15" hidden="true" customHeight="true" outlineLevel="0" collapsed="false">
      <c r="B739" s="183" t="str">
        <f aca="false">IF($A739="","",IFERROR(VLOOKUP($A739,Skills!$A:$C,2,FALSE())&amp;" "&amp;VLOOKUP($A739,Skills!$A:$C,3,FALSE()),"Marsridge Holtgate"))</f>
        <v/>
      </c>
      <c r="C739" s="184" t="n">
        <f aca="false">IFERROR(VLOOKUP(A739,Skills!$A:$D,4,FALSE()),"")</f>
        <v>0</v>
      </c>
      <c r="D739" s="210"/>
      <c r="E739" s="211"/>
      <c r="G739" s="186" t="str">
        <f aca="false">IF(F739="","",WORKDAY(F739-1,E739+IF(I739="",0,I739)))</f>
        <v/>
      </c>
      <c r="I739" s="210"/>
      <c r="J739" s="212" t="str">
        <f aca="true">IF(F739="","",MIN(E739,MAX(0,NETWORKDAYS(F739,TODAY())-IF(I739="",0,I739))))</f>
        <v/>
      </c>
      <c r="K739" s="213" t="str">
        <f aca="true">IF(F739="","",MAX(0,E739-(NETWORKDAYS(F739,TODAY())-IF(I739="",0,I739))))</f>
        <v/>
      </c>
      <c r="L739" s="214"/>
      <c r="M739" s="214" t="str">
        <f aca="true">IFERROR(IF(OR(J739="",J739&lt;=0),"",IF(TODAY()&gt;G739,1,IF(J739-1=0,0,INDEX(OBJECTIVES!$Q$2:$Q$8,MATCH(J739-1,OBJECTIVES!$N$2:$N$8,0))))),"")</f>
        <v/>
      </c>
      <c r="N739" s="214" t="str">
        <f aca="false">IF(OR(M739="",L739=""),"",L739-M739)</f>
        <v/>
      </c>
      <c r="O739" s="212" t="str">
        <f aca="false">IF($P739&lt;&gt;"",$P739,IF(N739="","",IF(N739&lt;=-0.12,"P1",IF(N739&lt;=-0.06,"P2","P3"))))</f>
        <v/>
      </c>
      <c r="Q739" s="0" t="str">
        <f aca="true">IF(F739="","",IF(H739&lt;&gt;"","Terminé",IF(F739&gt;TODAY(),"À venir",IF(G739&lt;TODAY(),"Terminé","En cours"))))</f>
        <v/>
      </c>
      <c r="V739" s="0" t="str">
        <f aca="false">IF(Q739="Terminé",IF(AND(F739&lt;&gt;"",H739&lt;&gt;""),NETWORKDAYS(F739,H739),E739),"")</f>
        <v/>
      </c>
      <c r="W739" s="215" t="str">
        <f aca="false">IF($A739="","",IF(COUNTIF(Skills!$A:$A,$A739)=0,"⚠ ID absent du roster",""))</f>
        <v/>
      </c>
      <c r="X739" s="212"/>
    </row>
    <row r="740" customFormat="false" ht="15" hidden="true" customHeight="true" outlineLevel="0" collapsed="false">
      <c r="B740" s="183" t="str">
        <f aca="false">IF($A740="","",IFERROR(VLOOKUP($A740,Skills!$A:$C,2,FALSE())&amp;" "&amp;VLOOKUP($A740,Skills!$A:$C,3,FALSE()),"Marsridge Holtgate"))</f>
        <v/>
      </c>
      <c r="C740" s="184" t="n">
        <f aca="false">IFERROR(VLOOKUP(A740,Skills!$A:$D,4,FALSE()),"")</f>
        <v>0</v>
      </c>
      <c r="D740" s="210"/>
      <c r="E740" s="211"/>
      <c r="G740" s="186" t="str">
        <f aca="false">IF(F740="","",WORKDAY(F740-1,E740+IF(I740="",0,I740)))</f>
        <v/>
      </c>
      <c r="I740" s="210"/>
      <c r="J740" s="212" t="str">
        <f aca="true">IF(F740="","",MIN(E740,MAX(0,NETWORKDAYS(F740,TODAY())-IF(I740="",0,I740))))</f>
        <v/>
      </c>
      <c r="K740" s="213" t="str">
        <f aca="true">IF(F740="","",MAX(0,E740-(NETWORKDAYS(F740,TODAY())-IF(I740="",0,I740))))</f>
        <v/>
      </c>
      <c r="L740" s="214"/>
      <c r="M740" s="214" t="str">
        <f aca="true">IFERROR(IF(OR(J740="",J740&lt;=0),"",IF(TODAY()&gt;G740,1,IF(J740-1=0,0,INDEX(OBJECTIVES!$Q$2:$Q$8,MATCH(J740-1,OBJECTIVES!$N$2:$N$8,0))))),"")</f>
        <v/>
      </c>
      <c r="N740" s="214" t="str">
        <f aca="false">IF(OR(M740="",L740=""),"",L740-M740)</f>
        <v/>
      </c>
      <c r="O740" s="212" t="str">
        <f aca="false">IF($P740&lt;&gt;"",$P740,IF(N740="","",IF(N740&lt;=-0.12,"P1",IF(N740&lt;=-0.06,"P2","P3"))))</f>
        <v/>
      </c>
      <c r="Q740" s="0" t="str">
        <f aca="true">IF(F740="","",IF(H740&lt;&gt;"","Terminé",IF(F740&gt;TODAY(),"À venir",IF(G740&lt;TODAY(),"Terminé","En cours"))))</f>
        <v/>
      </c>
      <c r="V740" s="0" t="str">
        <f aca="false">IF(Q740="Terminé",IF(AND(F740&lt;&gt;"",H740&lt;&gt;""),NETWORKDAYS(F740,H740),E740),"")</f>
        <v/>
      </c>
      <c r="W740" s="215" t="str">
        <f aca="false">IF($A740="","",IF(COUNTIF(Skills!$A:$A,$A740)=0,"⚠ ID absent du roster",""))</f>
        <v/>
      </c>
      <c r="X740" s="212"/>
    </row>
    <row r="741" customFormat="false" ht="15" hidden="true" customHeight="true" outlineLevel="0" collapsed="false">
      <c r="B741" s="183" t="str">
        <f aca="false">IF($A741="","",IFERROR(VLOOKUP($A741,Skills!$A:$C,2,FALSE())&amp;" "&amp;VLOOKUP($A741,Skills!$A:$C,3,FALSE()),"Marsridge Holtgate"))</f>
        <v/>
      </c>
      <c r="C741" s="184" t="n">
        <f aca="false">IFERROR(VLOOKUP(A741,Skills!$A:$D,4,FALSE()),"")</f>
        <v>0</v>
      </c>
      <c r="D741" s="210"/>
      <c r="E741" s="211"/>
      <c r="G741" s="186" t="str">
        <f aca="false">IF(F741="","",WORKDAY(F741-1,E741+IF(I741="",0,I741)))</f>
        <v/>
      </c>
      <c r="I741" s="210"/>
      <c r="J741" s="212" t="str">
        <f aca="true">IF(F741="","",MIN(E741,MAX(0,NETWORKDAYS(F741,TODAY())-IF(I741="",0,I741))))</f>
        <v/>
      </c>
      <c r="K741" s="213" t="str">
        <f aca="true">IF(F741="","",MAX(0,E741-(NETWORKDAYS(F741,TODAY())-IF(I741="",0,I741))))</f>
        <v/>
      </c>
      <c r="L741" s="214"/>
      <c r="M741" s="214" t="str">
        <f aca="true">IFERROR(IF(OR(J741="",J741&lt;=0),"",IF(TODAY()&gt;G741,1,IF(J741-1=0,0,INDEX(OBJECTIVES!$Q$2:$Q$8,MATCH(J741-1,OBJECTIVES!$N$2:$N$8,0))))),"")</f>
        <v/>
      </c>
      <c r="N741" s="214" t="str">
        <f aca="false">IF(OR(M741="",L741=""),"",L741-M741)</f>
        <v/>
      </c>
      <c r="O741" s="212" t="str">
        <f aca="false">IF($P741&lt;&gt;"",$P741,IF(N741="","",IF(N741&lt;=-0.12,"P1",IF(N741&lt;=-0.06,"P2","P3"))))</f>
        <v/>
      </c>
      <c r="Q741" s="0" t="str">
        <f aca="true">IF(F741="","",IF(H741&lt;&gt;"","Terminé",IF(F741&gt;TODAY(),"À venir",IF(G741&lt;TODAY(),"Terminé","En cours"))))</f>
        <v/>
      </c>
      <c r="V741" s="0" t="str">
        <f aca="false">IF(Q741="Terminé",IF(AND(F741&lt;&gt;"",H741&lt;&gt;""),NETWORKDAYS(F741,H741),E741),"")</f>
        <v/>
      </c>
      <c r="W741" s="215" t="str">
        <f aca="false">IF($A741="","",IF(COUNTIF(Skills!$A:$A,$A741)=0,"⚠ ID absent du roster",""))</f>
        <v/>
      </c>
      <c r="X741" s="212"/>
    </row>
    <row r="742" customFormat="false" ht="15" hidden="true" customHeight="true" outlineLevel="0" collapsed="false">
      <c r="B742" s="183" t="str">
        <f aca="false">IF($A742="","",IFERROR(VLOOKUP($A742,Skills!$A:$C,2,FALSE())&amp;" "&amp;VLOOKUP($A742,Skills!$A:$C,3,FALSE()),"Marsridge Holtgate"))</f>
        <v/>
      </c>
      <c r="C742" s="184" t="n">
        <f aca="false">IFERROR(VLOOKUP(A742,Skills!$A:$D,4,FALSE()),"")</f>
        <v>0</v>
      </c>
      <c r="D742" s="210"/>
      <c r="E742" s="211"/>
      <c r="G742" s="186" t="str">
        <f aca="false">IF(F742="","",WORKDAY(F742-1,E742+IF(I742="",0,I742)))</f>
        <v/>
      </c>
      <c r="I742" s="210"/>
      <c r="J742" s="212" t="str">
        <f aca="true">IF(F742="","",MIN(E742,MAX(0,NETWORKDAYS(F742,TODAY())-IF(I742="",0,I742))))</f>
        <v/>
      </c>
      <c r="K742" s="213" t="str">
        <f aca="true">IF(F742="","",MAX(0,E742-(NETWORKDAYS(F742,TODAY())-IF(I742="",0,I742))))</f>
        <v/>
      </c>
      <c r="L742" s="214"/>
      <c r="M742" s="214" t="str">
        <f aca="true">IFERROR(IF(OR(J742="",J742&lt;=0),"",IF(TODAY()&gt;G742,1,IF(J742-1=0,0,INDEX(OBJECTIVES!$Q$2:$Q$8,MATCH(J742-1,OBJECTIVES!$N$2:$N$8,0))))),"")</f>
        <v/>
      </c>
      <c r="N742" s="214" t="str">
        <f aca="false">IF(OR(M742="",L742=""),"",L742-M742)</f>
        <v/>
      </c>
      <c r="O742" s="212" t="str">
        <f aca="false">IF($P742&lt;&gt;"",$P742,IF(N742="","",IF(N742&lt;=-0.12,"P1",IF(N742&lt;=-0.06,"P2","P3"))))</f>
        <v/>
      </c>
      <c r="Q742" s="0" t="str">
        <f aca="true">IF(F742="","",IF(H742&lt;&gt;"","Terminé",IF(F742&gt;TODAY(),"À venir",IF(G742&lt;TODAY(),"Terminé","En cours"))))</f>
        <v/>
      </c>
      <c r="V742" s="0" t="str">
        <f aca="false">IF(Q742="Terminé",IF(AND(F742&lt;&gt;"",H742&lt;&gt;""),NETWORKDAYS(F742,H742),E742),"")</f>
        <v/>
      </c>
      <c r="W742" s="215" t="str">
        <f aca="false">IF($A742="","",IF(COUNTIF(Skills!$A:$A,$A742)=0,"⚠ ID absent du roster",""))</f>
        <v/>
      </c>
      <c r="X742" s="212"/>
    </row>
    <row r="743" customFormat="false" ht="15" hidden="true" customHeight="true" outlineLevel="0" collapsed="false">
      <c r="B743" s="183" t="str">
        <f aca="false">IF($A743="","",IFERROR(VLOOKUP($A743,Skills!$A:$C,2,FALSE())&amp;" "&amp;VLOOKUP($A743,Skills!$A:$C,3,FALSE()),"Marsridge Holtgate"))</f>
        <v/>
      </c>
      <c r="C743" s="184" t="n">
        <f aca="false">IFERROR(VLOOKUP(A743,Skills!$A:$D,4,FALSE()),"")</f>
        <v>0</v>
      </c>
      <c r="D743" s="210"/>
      <c r="E743" s="211"/>
      <c r="G743" s="186" t="str">
        <f aca="false">IF(F743="","",WORKDAY(F743-1,E743+IF(I743="",0,I743)))</f>
        <v/>
      </c>
      <c r="I743" s="210"/>
      <c r="J743" s="212" t="str">
        <f aca="true">IF(F743="","",MIN(E743,MAX(0,NETWORKDAYS(F743,TODAY())-IF(I743="",0,I743))))</f>
        <v/>
      </c>
      <c r="K743" s="213" t="str">
        <f aca="true">IF(F743="","",MAX(0,E743-(NETWORKDAYS(F743,TODAY())-IF(I743="",0,I743))))</f>
        <v/>
      </c>
      <c r="L743" s="214"/>
      <c r="M743" s="214" t="str">
        <f aca="true">IFERROR(IF(OR(J743="",J743&lt;=0),"",IF(TODAY()&gt;G743,1,IF(J743-1=0,0,INDEX(OBJECTIVES!$Q$2:$Q$8,MATCH(J743-1,OBJECTIVES!$N$2:$N$8,0))))),"")</f>
        <v/>
      </c>
      <c r="N743" s="214" t="str">
        <f aca="false">IF(OR(M743="",L743=""),"",L743-M743)</f>
        <v/>
      </c>
      <c r="O743" s="212" t="str">
        <f aca="false">IF($P743&lt;&gt;"",$P743,IF(N743="","",IF(N743&lt;=-0.12,"P1",IF(N743&lt;=-0.06,"P2","P3"))))</f>
        <v/>
      </c>
      <c r="Q743" s="0" t="str">
        <f aca="true">IF(F743="","",IF(H743&lt;&gt;"","Terminé",IF(F743&gt;TODAY(),"À venir",IF(G743&lt;TODAY(),"Terminé","En cours"))))</f>
        <v/>
      </c>
      <c r="V743" s="0" t="str">
        <f aca="false">IF(Q743="Terminé",IF(AND(F743&lt;&gt;"",H743&lt;&gt;""),NETWORKDAYS(F743,H743),E743),"")</f>
        <v/>
      </c>
      <c r="W743" s="215" t="str">
        <f aca="false">IF($A743="","",IF(COUNTIF(Skills!$A:$A,$A743)=0,"⚠ ID absent du roster",""))</f>
        <v/>
      </c>
      <c r="X743" s="212"/>
    </row>
    <row r="744" customFormat="false" ht="15" hidden="true" customHeight="true" outlineLevel="0" collapsed="false">
      <c r="B744" s="183" t="str">
        <f aca="false">IF($A744="","",IFERROR(VLOOKUP($A744,Skills!$A:$C,2,FALSE())&amp;" "&amp;VLOOKUP($A744,Skills!$A:$C,3,FALSE()),"Marsridge Holtgate"))</f>
        <v/>
      </c>
      <c r="C744" s="184" t="n">
        <f aca="false">IFERROR(VLOOKUP(A744,Skills!$A:$D,4,FALSE()),"")</f>
        <v>0</v>
      </c>
      <c r="D744" s="210"/>
      <c r="E744" s="211"/>
      <c r="G744" s="186" t="str">
        <f aca="false">IF(F744="","",WORKDAY(F744-1,E744+IF(I744="",0,I744)))</f>
        <v/>
      </c>
      <c r="I744" s="210"/>
      <c r="J744" s="212" t="str">
        <f aca="true">IF(F744="","",MIN(E744,MAX(0,NETWORKDAYS(F744,TODAY())-IF(I744="",0,I744))))</f>
        <v/>
      </c>
      <c r="K744" s="213" t="str">
        <f aca="true">IF(F744="","",MAX(0,E744-(NETWORKDAYS(F744,TODAY())-IF(I744="",0,I744))))</f>
        <v/>
      </c>
      <c r="L744" s="214"/>
      <c r="M744" s="214" t="str">
        <f aca="true">IFERROR(IF(OR(J744="",J744&lt;=0),"",IF(TODAY()&gt;G744,1,IF(J744-1=0,0,INDEX(OBJECTIVES!$Q$2:$Q$8,MATCH(J744-1,OBJECTIVES!$N$2:$N$8,0))))),"")</f>
        <v/>
      </c>
      <c r="N744" s="214" t="str">
        <f aca="false">IF(OR(M744="",L744=""),"",L744-M744)</f>
        <v/>
      </c>
      <c r="O744" s="212" t="str">
        <f aca="false">IF($P744&lt;&gt;"",$P744,IF(N744="","",IF(N744&lt;=-0.12,"P1",IF(N744&lt;=-0.06,"P2","P3"))))</f>
        <v/>
      </c>
      <c r="Q744" s="0" t="str">
        <f aca="true">IF(F744="","",IF(H744&lt;&gt;"","Terminé",IF(F744&gt;TODAY(),"À venir",IF(G744&lt;TODAY(),"Terminé","En cours"))))</f>
        <v/>
      </c>
      <c r="V744" s="0" t="str">
        <f aca="false">IF(Q744="Terminé",IF(AND(F744&lt;&gt;"",H744&lt;&gt;""),NETWORKDAYS(F744,H744),E744),"")</f>
        <v/>
      </c>
      <c r="W744" s="215" t="str">
        <f aca="false">IF($A744="","",IF(COUNTIF(Skills!$A:$A,$A744)=0,"⚠ ID absent du roster",""))</f>
        <v/>
      </c>
      <c r="X744" s="212"/>
    </row>
    <row r="745" customFormat="false" ht="15" hidden="true" customHeight="true" outlineLevel="0" collapsed="false">
      <c r="B745" s="183" t="str">
        <f aca="false">IF($A745="","",IFERROR(VLOOKUP($A745,Skills!$A:$C,2,FALSE())&amp;" "&amp;VLOOKUP($A745,Skills!$A:$C,3,FALSE()),"Marsridge Holtgate"))</f>
        <v/>
      </c>
      <c r="C745" s="184" t="n">
        <f aca="false">IFERROR(VLOOKUP(A745,Skills!$A:$D,4,FALSE()),"")</f>
        <v>0</v>
      </c>
      <c r="D745" s="210"/>
      <c r="E745" s="211"/>
      <c r="G745" s="186" t="str">
        <f aca="false">IF(F745="","",WORKDAY(F745-1,E745+IF(I745="",0,I745)))</f>
        <v/>
      </c>
      <c r="I745" s="210"/>
      <c r="J745" s="212" t="str">
        <f aca="true">IF(F745="","",MIN(E745,MAX(0,NETWORKDAYS(F745,TODAY())-IF(I745="",0,I745))))</f>
        <v/>
      </c>
      <c r="K745" s="213" t="str">
        <f aca="true">IF(F745="","",MAX(0,E745-(NETWORKDAYS(F745,TODAY())-IF(I745="",0,I745))))</f>
        <v/>
      </c>
      <c r="L745" s="214"/>
      <c r="M745" s="214" t="str">
        <f aca="true">IFERROR(IF(OR(J745="",J745&lt;=0),"",IF(TODAY()&gt;G745,1,IF(J745-1=0,0,INDEX(OBJECTIVES!$Q$2:$Q$8,MATCH(J745-1,OBJECTIVES!$N$2:$N$8,0))))),"")</f>
        <v/>
      </c>
      <c r="N745" s="214" t="str">
        <f aca="false">IF(OR(M745="",L745=""),"",L745-M745)</f>
        <v/>
      </c>
      <c r="O745" s="212" t="str">
        <f aca="false">IF($P745&lt;&gt;"",$P745,IF(N745="","",IF(N745&lt;=-0.12,"P1",IF(N745&lt;=-0.06,"P2","P3"))))</f>
        <v/>
      </c>
      <c r="Q745" s="0" t="str">
        <f aca="true">IF(F745="","",IF(H745&lt;&gt;"","Terminé",IF(F745&gt;TODAY(),"À venir",IF(G745&lt;TODAY(),"Terminé","En cours"))))</f>
        <v/>
      </c>
      <c r="V745" s="0" t="str">
        <f aca="false">IF(Q745="Terminé",IF(AND(F745&lt;&gt;"",H745&lt;&gt;""),NETWORKDAYS(F745,H745),E745),"")</f>
        <v/>
      </c>
      <c r="W745" s="215" t="str">
        <f aca="false">IF($A745="","",IF(COUNTIF(Skills!$A:$A,$A745)=0,"⚠ ID absent du roster",""))</f>
        <v/>
      </c>
      <c r="X745" s="212"/>
    </row>
    <row r="746" customFormat="false" ht="15" hidden="true" customHeight="true" outlineLevel="0" collapsed="false">
      <c r="B746" s="183" t="str">
        <f aca="false">IF($A746="","",IFERROR(VLOOKUP($A746,Skills!$A:$C,2,FALSE())&amp;" "&amp;VLOOKUP($A746,Skills!$A:$C,3,FALSE()),"Marsridge Holtgate"))</f>
        <v/>
      </c>
      <c r="C746" s="184" t="n">
        <f aca="false">IFERROR(VLOOKUP(A746,Skills!$A:$D,4,FALSE()),"")</f>
        <v>0</v>
      </c>
      <c r="D746" s="210"/>
      <c r="E746" s="211"/>
      <c r="G746" s="186" t="str">
        <f aca="false">IF(F746="","",WORKDAY(F746-1,E746+IF(I746="",0,I746)))</f>
        <v/>
      </c>
      <c r="I746" s="210"/>
      <c r="J746" s="212" t="str">
        <f aca="true">IF(F746="","",MIN(E746,MAX(0,NETWORKDAYS(F746,TODAY())-IF(I746="",0,I746))))</f>
        <v/>
      </c>
      <c r="K746" s="213" t="str">
        <f aca="true">IF(F746="","",MAX(0,E746-(NETWORKDAYS(F746,TODAY())-IF(I746="",0,I746))))</f>
        <v/>
      </c>
      <c r="L746" s="214"/>
      <c r="M746" s="214" t="str">
        <f aca="true">IFERROR(IF(OR(J746="",J746&lt;=0),"",IF(TODAY()&gt;G746,1,IF(J746-1=0,0,INDEX(OBJECTIVES!$Q$2:$Q$8,MATCH(J746-1,OBJECTIVES!$N$2:$N$8,0))))),"")</f>
        <v/>
      </c>
      <c r="N746" s="214" t="str">
        <f aca="false">IF(OR(M746="",L746=""),"",L746-M746)</f>
        <v/>
      </c>
      <c r="O746" s="212" t="str">
        <f aca="false">IF($P746&lt;&gt;"",$P746,IF(N746="","",IF(N746&lt;=-0.12,"P1",IF(N746&lt;=-0.06,"P2","P3"))))</f>
        <v/>
      </c>
      <c r="Q746" s="0" t="str">
        <f aca="true">IF(F746="","",IF(H746&lt;&gt;"","Terminé",IF(F746&gt;TODAY(),"À venir",IF(G746&lt;TODAY(),"Terminé","En cours"))))</f>
        <v/>
      </c>
      <c r="V746" s="0" t="str">
        <f aca="false">IF(Q746="Terminé",IF(AND(F746&lt;&gt;"",H746&lt;&gt;""),NETWORKDAYS(F746,H746),E746),"")</f>
        <v/>
      </c>
      <c r="W746" s="215" t="str">
        <f aca="false">IF($A746="","",IF(COUNTIF(Skills!$A:$A,$A746)=0,"⚠ ID absent du roster",""))</f>
        <v/>
      </c>
      <c r="X746" s="212"/>
    </row>
    <row r="747" customFormat="false" ht="15" hidden="true" customHeight="true" outlineLevel="0" collapsed="false">
      <c r="B747" s="183" t="str">
        <f aca="false">IF($A747="","",IFERROR(VLOOKUP($A747,Skills!$A:$C,2,FALSE())&amp;" "&amp;VLOOKUP($A747,Skills!$A:$C,3,FALSE()),"Marsridge Holtgate"))</f>
        <v/>
      </c>
      <c r="C747" s="184" t="n">
        <f aca="false">IFERROR(VLOOKUP(A747,Skills!$A:$D,4,FALSE()),"")</f>
        <v>0</v>
      </c>
      <c r="D747" s="210"/>
      <c r="E747" s="211"/>
      <c r="G747" s="186" t="str">
        <f aca="false">IF(F747="","",WORKDAY(F747-1,E747+IF(I747="",0,I747)))</f>
        <v/>
      </c>
      <c r="I747" s="210"/>
      <c r="J747" s="212" t="str">
        <f aca="true">IF(F747="","",MIN(E747,MAX(0,NETWORKDAYS(F747,TODAY())-IF(I747="",0,I747))))</f>
        <v/>
      </c>
      <c r="K747" s="213" t="str">
        <f aca="true">IF(F747="","",MAX(0,E747-(NETWORKDAYS(F747,TODAY())-IF(I747="",0,I747))))</f>
        <v/>
      </c>
      <c r="L747" s="214"/>
      <c r="M747" s="214" t="str">
        <f aca="true">IFERROR(IF(OR(J747="",J747&lt;=0),"",IF(TODAY()&gt;G747,1,IF(J747-1=0,0,INDEX(OBJECTIVES!$Q$2:$Q$8,MATCH(J747-1,OBJECTIVES!$N$2:$N$8,0))))),"")</f>
        <v/>
      </c>
      <c r="N747" s="214" t="str">
        <f aca="false">IF(OR(M747="",L747=""),"",L747-M747)</f>
        <v/>
      </c>
      <c r="O747" s="212" t="str">
        <f aca="false">IF($P747&lt;&gt;"",$P747,IF(N747="","",IF(N747&lt;=-0.12,"P1",IF(N747&lt;=-0.06,"P2","P3"))))</f>
        <v/>
      </c>
      <c r="Q747" s="0" t="str">
        <f aca="true">IF(F747="","",IF(H747&lt;&gt;"","Terminé",IF(F747&gt;TODAY(),"À venir",IF(G747&lt;TODAY(),"Terminé","En cours"))))</f>
        <v/>
      </c>
      <c r="V747" s="0" t="str">
        <f aca="false">IF(Q747="Terminé",IF(AND(F747&lt;&gt;"",H747&lt;&gt;""),NETWORKDAYS(F747,H747),E747),"")</f>
        <v/>
      </c>
      <c r="W747" s="215" t="str">
        <f aca="false">IF($A747="","",IF(COUNTIF(Skills!$A:$A,$A747)=0,"⚠ ID absent du roster",""))</f>
        <v/>
      </c>
      <c r="X747" s="212"/>
    </row>
    <row r="748" customFormat="false" ht="15" hidden="true" customHeight="true" outlineLevel="0" collapsed="false">
      <c r="B748" s="183" t="str">
        <f aca="false">IF($A748="","",IFERROR(VLOOKUP($A748,Skills!$A:$C,2,FALSE())&amp;" "&amp;VLOOKUP($A748,Skills!$A:$C,3,FALSE()),"Marsridge Holtgate"))</f>
        <v/>
      </c>
      <c r="C748" s="184" t="n">
        <f aca="false">IFERROR(VLOOKUP(A748,Skills!$A:$D,4,FALSE()),"")</f>
        <v>0</v>
      </c>
      <c r="D748" s="210"/>
      <c r="E748" s="211"/>
      <c r="G748" s="186" t="str">
        <f aca="false">IF(F748="","",WORKDAY(F748-1,E748+IF(I748="",0,I748)))</f>
        <v/>
      </c>
      <c r="I748" s="210"/>
      <c r="J748" s="212" t="str">
        <f aca="true">IF(F748="","",MIN(E748,MAX(0,NETWORKDAYS(F748,TODAY())-IF(I748="",0,I748))))</f>
        <v/>
      </c>
      <c r="K748" s="213" t="str">
        <f aca="true">IF(F748="","",MAX(0,E748-(NETWORKDAYS(F748,TODAY())-IF(I748="",0,I748))))</f>
        <v/>
      </c>
      <c r="L748" s="214"/>
      <c r="M748" s="214" t="str">
        <f aca="true">IFERROR(IF(OR(J748="",J748&lt;=0),"",IF(TODAY()&gt;G748,1,IF(J748-1=0,0,INDEX(OBJECTIVES!$Q$2:$Q$8,MATCH(J748-1,OBJECTIVES!$N$2:$N$8,0))))),"")</f>
        <v/>
      </c>
      <c r="N748" s="214" t="str">
        <f aca="false">IF(OR(M748="",L748=""),"",L748-M748)</f>
        <v/>
      </c>
      <c r="O748" s="212" t="str">
        <f aca="false">IF($P748&lt;&gt;"",$P748,IF(N748="","",IF(N748&lt;=-0.12,"P1",IF(N748&lt;=-0.06,"P2","P3"))))</f>
        <v/>
      </c>
      <c r="Q748" s="0" t="str">
        <f aca="true">IF(F748="","",IF(H748&lt;&gt;"","Terminé",IF(F748&gt;TODAY(),"À venir",IF(G748&lt;TODAY(),"Terminé","En cours"))))</f>
        <v/>
      </c>
      <c r="V748" s="0" t="str">
        <f aca="false">IF(Q748="Terminé",IF(AND(F748&lt;&gt;"",H748&lt;&gt;""),NETWORKDAYS(F748,H748),E748),"")</f>
        <v/>
      </c>
      <c r="W748" s="215" t="str">
        <f aca="false">IF($A748="","",IF(COUNTIF(Skills!$A:$A,$A748)=0,"⚠ ID absent du roster",""))</f>
        <v/>
      </c>
      <c r="X748" s="212"/>
    </row>
    <row r="749" customFormat="false" ht="15" hidden="true" customHeight="true" outlineLevel="0" collapsed="false">
      <c r="B749" s="183" t="str">
        <f aca="false">IF($A749="","",IFERROR(VLOOKUP($A749,Skills!$A:$C,2,FALSE())&amp;" "&amp;VLOOKUP($A749,Skills!$A:$C,3,FALSE()),"Marsridge Holtgate"))</f>
        <v/>
      </c>
      <c r="C749" s="184" t="n">
        <f aca="false">IFERROR(VLOOKUP(A749,Skills!$A:$D,4,FALSE()),"")</f>
        <v>0</v>
      </c>
      <c r="D749" s="210"/>
      <c r="E749" s="211"/>
      <c r="G749" s="186" t="str">
        <f aca="false">IF(F749="","",WORKDAY(F749-1,E749+IF(I749="",0,I749)))</f>
        <v/>
      </c>
      <c r="I749" s="210"/>
      <c r="J749" s="212" t="str">
        <f aca="true">IF(F749="","",MIN(E749,MAX(0,NETWORKDAYS(F749,TODAY())-IF(I749="",0,I749))))</f>
        <v/>
      </c>
      <c r="K749" s="213" t="str">
        <f aca="true">IF(F749="","",MAX(0,E749-(NETWORKDAYS(F749,TODAY())-IF(I749="",0,I749))))</f>
        <v/>
      </c>
      <c r="L749" s="214"/>
      <c r="M749" s="214" t="str">
        <f aca="true">IFERROR(IF(OR(J749="",J749&lt;=0),"",IF(TODAY()&gt;G749,1,IF(J749-1=0,0,INDEX(OBJECTIVES!$Q$2:$Q$8,MATCH(J749-1,OBJECTIVES!$N$2:$N$8,0))))),"")</f>
        <v/>
      </c>
      <c r="N749" s="214" t="str">
        <f aca="false">IF(OR(M749="",L749=""),"",L749-M749)</f>
        <v/>
      </c>
      <c r="O749" s="212" t="str">
        <f aca="false">IF($P749&lt;&gt;"",$P749,IF(N749="","",IF(N749&lt;=-0.12,"P1",IF(N749&lt;=-0.06,"P2","P3"))))</f>
        <v/>
      </c>
      <c r="Q749" s="0" t="str">
        <f aca="true">IF(F749="","",IF(H749&lt;&gt;"","Terminé",IF(F749&gt;TODAY(),"À venir",IF(G749&lt;TODAY(),"Terminé","En cours"))))</f>
        <v/>
      </c>
      <c r="V749" s="0" t="str">
        <f aca="false">IF(Q749="Terminé",IF(AND(F749&lt;&gt;"",H749&lt;&gt;""),NETWORKDAYS(F749,H749),E749),"")</f>
        <v/>
      </c>
      <c r="W749" s="215" t="str">
        <f aca="false">IF($A749="","",IF(COUNTIF(Skills!$A:$A,$A749)=0,"⚠ ID absent du roster",""))</f>
        <v/>
      </c>
      <c r="X749" s="212"/>
    </row>
    <row r="750" customFormat="false" ht="15" hidden="true" customHeight="true" outlineLevel="0" collapsed="false">
      <c r="B750" s="183" t="str">
        <f aca="false">IF($A750="","",IFERROR(VLOOKUP($A750,Skills!$A:$C,2,FALSE())&amp;" "&amp;VLOOKUP($A750,Skills!$A:$C,3,FALSE()),"Marsridge Holtgate"))</f>
        <v/>
      </c>
      <c r="C750" s="184" t="n">
        <f aca="false">IFERROR(VLOOKUP(A750,Skills!$A:$D,4,FALSE()),"")</f>
        <v>0</v>
      </c>
      <c r="D750" s="210"/>
      <c r="E750" s="211"/>
      <c r="G750" s="186" t="str">
        <f aca="false">IF(F750="","",WORKDAY(F750-1,E750+IF(I750="",0,I750)))</f>
        <v/>
      </c>
      <c r="I750" s="210"/>
      <c r="J750" s="212" t="str">
        <f aca="true">IF(F750="","",MIN(E750,MAX(0,NETWORKDAYS(F750,TODAY())-IF(I750="",0,I750))))</f>
        <v/>
      </c>
      <c r="K750" s="213" t="str">
        <f aca="true">IF(F750="","",MAX(0,E750-(NETWORKDAYS(F750,TODAY())-IF(I750="",0,I750))))</f>
        <v/>
      </c>
      <c r="L750" s="214"/>
      <c r="M750" s="214" t="str">
        <f aca="true">IFERROR(IF(OR(J750="",J750&lt;=0),"",IF(TODAY()&gt;G750,1,IF(J750-1=0,0,INDEX(OBJECTIVES!$Q$2:$Q$8,MATCH(J750-1,OBJECTIVES!$N$2:$N$8,0))))),"")</f>
        <v/>
      </c>
      <c r="N750" s="214" t="str">
        <f aca="false">IF(OR(M750="",L750=""),"",L750-M750)</f>
        <v/>
      </c>
      <c r="O750" s="212" t="str">
        <f aca="false">IF($P750&lt;&gt;"",$P750,IF(N750="","",IF(N750&lt;=-0.12,"P1",IF(N750&lt;=-0.06,"P2","P3"))))</f>
        <v/>
      </c>
      <c r="Q750" s="0" t="str">
        <f aca="true">IF(F750="","",IF(H750&lt;&gt;"","Terminé",IF(F750&gt;TODAY(),"À venir",IF(G750&lt;TODAY(),"Terminé","En cours"))))</f>
        <v/>
      </c>
      <c r="V750" s="0" t="str">
        <f aca="false">IF(Q750="Terminé",IF(AND(F750&lt;&gt;"",H750&lt;&gt;""),NETWORKDAYS(F750,H750),E750),"")</f>
        <v/>
      </c>
      <c r="W750" s="215" t="str">
        <f aca="false">IF($A750="","",IF(COUNTIF(Skills!$A:$A,$A750)=0,"⚠ ID absent du roster",""))</f>
        <v/>
      </c>
      <c r="X750" s="212"/>
    </row>
    <row r="751" customFormat="false" ht="15" hidden="true" customHeight="true" outlineLevel="0" collapsed="false">
      <c r="B751" s="183" t="str">
        <f aca="false">IF($A751="","",IFERROR(VLOOKUP($A751,Skills!$A:$C,2,FALSE())&amp;" "&amp;VLOOKUP($A751,Skills!$A:$C,3,FALSE()),"Marsridge Holtgate"))</f>
        <v/>
      </c>
      <c r="C751" s="184" t="n">
        <f aca="false">IFERROR(VLOOKUP(A751,Skills!$A:$D,4,FALSE()),"")</f>
        <v>0</v>
      </c>
      <c r="D751" s="210"/>
      <c r="E751" s="211"/>
      <c r="G751" s="186" t="str">
        <f aca="false">IF(F751="","",WORKDAY(F751-1,E751+IF(I751="",0,I751)))</f>
        <v/>
      </c>
      <c r="I751" s="210"/>
      <c r="J751" s="212" t="str">
        <f aca="true">IF(F751="","",MIN(E751,MAX(0,NETWORKDAYS(F751,TODAY())-IF(I751="",0,I751))))</f>
        <v/>
      </c>
      <c r="K751" s="213" t="str">
        <f aca="true">IF(F751="","",MAX(0,E751-(NETWORKDAYS(F751,TODAY())-IF(I751="",0,I751))))</f>
        <v/>
      </c>
      <c r="L751" s="214"/>
      <c r="M751" s="214" t="str">
        <f aca="true">IFERROR(IF(OR(J751="",J751&lt;=0),"",IF(TODAY()&gt;G751,1,IF(J751-1=0,0,INDEX(OBJECTIVES!$Q$2:$Q$8,MATCH(J751-1,OBJECTIVES!$N$2:$N$8,0))))),"")</f>
        <v/>
      </c>
      <c r="N751" s="214" t="str">
        <f aca="false">IF(OR(M751="",L751=""),"",L751-M751)</f>
        <v/>
      </c>
      <c r="O751" s="212" t="str">
        <f aca="false">IF($P751&lt;&gt;"",$P751,IF(N751="","",IF(N751&lt;=-0.12,"P1",IF(N751&lt;=-0.06,"P2","P3"))))</f>
        <v/>
      </c>
      <c r="Q751" s="0" t="str">
        <f aca="true">IF(F751="","",IF(H751&lt;&gt;"","Terminé",IF(F751&gt;TODAY(),"À venir",IF(G751&lt;TODAY(),"Terminé","En cours"))))</f>
        <v/>
      </c>
      <c r="V751" s="0" t="str">
        <f aca="false">IF(Q751="Terminé",IF(AND(F751&lt;&gt;"",H751&lt;&gt;""),NETWORKDAYS(F751,H751),E751),"")</f>
        <v/>
      </c>
      <c r="W751" s="215" t="str">
        <f aca="false">IF($A751="","",IF(COUNTIF(Skills!$A:$A,$A751)=0,"⚠ ID absent du roster",""))</f>
        <v/>
      </c>
      <c r="X751" s="212"/>
    </row>
    <row r="752" customFormat="false" ht="15" hidden="true" customHeight="true" outlineLevel="0" collapsed="false">
      <c r="B752" s="183" t="str">
        <f aca="false">IF($A752="","",IFERROR(VLOOKUP($A752,Skills!$A:$C,2,FALSE())&amp;" "&amp;VLOOKUP($A752,Skills!$A:$C,3,FALSE()),"Marsridge Holtgate"))</f>
        <v/>
      </c>
      <c r="C752" s="184" t="n">
        <f aca="false">IFERROR(VLOOKUP(A752,Skills!$A:$D,4,FALSE()),"")</f>
        <v>0</v>
      </c>
      <c r="D752" s="210"/>
      <c r="E752" s="211"/>
      <c r="G752" s="186" t="str">
        <f aca="false">IF(F752="","",WORKDAY(F752-1,E752+IF(I752="",0,I752)))</f>
        <v/>
      </c>
      <c r="I752" s="210"/>
      <c r="J752" s="212" t="str">
        <f aca="true">IF(F752="","",MIN(E752,MAX(0,NETWORKDAYS(F752,TODAY())-IF(I752="",0,I752))))</f>
        <v/>
      </c>
      <c r="K752" s="213" t="str">
        <f aca="true">IF(F752="","",MAX(0,E752-(NETWORKDAYS(F752,TODAY())-IF(I752="",0,I752))))</f>
        <v/>
      </c>
      <c r="L752" s="214"/>
      <c r="M752" s="214" t="str">
        <f aca="true">IFERROR(IF(OR(J752="",J752&lt;=0),"",IF(TODAY()&gt;G752,1,IF(J752-1=0,0,INDEX(OBJECTIVES!$Q$2:$Q$8,MATCH(J752-1,OBJECTIVES!$N$2:$N$8,0))))),"")</f>
        <v/>
      </c>
      <c r="N752" s="214" t="str">
        <f aca="false">IF(OR(M752="",L752=""),"",L752-M752)</f>
        <v/>
      </c>
      <c r="O752" s="212" t="str">
        <f aca="false">IF($P752&lt;&gt;"",$P752,IF(N752="","",IF(N752&lt;=-0.12,"P1",IF(N752&lt;=-0.06,"P2","P3"))))</f>
        <v/>
      </c>
      <c r="Q752" s="0" t="str">
        <f aca="true">IF(F752="","",IF(H752&lt;&gt;"","Terminé",IF(F752&gt;TODAY(),"À venir",IF(G752&lt;TODAY(),"Terminé","En cours"))))</f>
        <v/>
      </c>
      <c r="V752" s="0" t="str">
        <f aca="false">IF(Q752="Terminé",IF(AND(F752&lt;&gt;"",H752&lt;&gt;""),NETWORKDAYS(F752,H752),E752),"")</f>
        <v/>
      </c>
      <c r="W752" s="215" t="str">
        <f aca="false">IF($A752="","",IF(COUNTIF(Skills!$A:$A,$A752)=0,"⚠ ID absent du roster",""))</f>
        <v/>
      </c>
      <c r="X752" s="212"/>
    </row>
    <row r="753" customFormat="false" ht="15" hidden="true" customHeight="true" outlineLevel="0" collapsed="false">
      <c r="B753" s="183" t="str">
        <f aca="false">IF($A753="","",IFERROR(VLOOKUP($A753,Skills!$A:$C,2,FALSE())&amp;" "&amp;VLOOKUP($A753,Skills!$A:$C,3,FALSE()),"Marsridge Holtgate"))</f>
        <v/>
      </c>
      <c r="C753" s="184" t="n">
        <f aca="false">IFERROR(VLOOKUP(A753,Skills!$A:$D,4,FALSE()),"")</f>
        <v>0</v>
      </c>
      <c r="D753" s="210"/>
      <c r="E753" s="211"/>
      <c r="G753" s="186" t="str">
        <f aca="false">IF(F753="","",WORKDAY(F753-1,E753+IF(I753="",0,I753)))</f>
        <v/>
      </c>
      <c r="I753" s="210"/>
      <c r="J753" s="212" t="str">
        <f aca="true">IF(F753="","",MIN(E753,MAX(0,NETWORKDAYS(F753,TODAY())-IF(I753="",0,I753))))</f>
        <v/>
      </c>
      <c r="K753" s="213" t="str">
        <f aca="true">IF(F753="","",MAX(0,E753-(NETWORKDAYS(F753,TODAY())-IF(I753="",0,I753))))</f>
        <v/>
      </c>
      <c r="L753" s="214"/>
      <c r="M753" s="214" t="str">
        <f aca="true">IFERROR(IF(OR(J753="",J753&lt;=0),"",IF(TODAY()&gt;G753,1,IF(J753-1=0,0,INDEX(OBJECTIVES!$Q$2:$Q$8,MATCH(J753-1,OBJECTIVES!$N$2:$N$8,0))))),"")</f>
        <v/>
      </c>
      <c r="N753" s="214" t="str">
        <f aca="false">IF(OR(M753="",L753=""),"",L753-M753)</f>
        <v/>
      </c>
      <c r="O753" s="212" t="str">
        <f aca="false">IF($P753&lt;&gt;"",$P753,IF(N753="","",IF(N753&lt;=-0.12,"P1",IF(N753&lt;=-0.06,"P2","P3"))))</f>
        <v/>
      </c>
      <c r="Q753" s="0" t="str">
        <f aca="true">IF(F753="","",IF(H753&lt;&gt;"","Terminé",IF(F753&gt;TODAY(),"À venir",IF(G753&lt;TODAY(),"Terminé","En cours"))))</f>
        <v/>
      </c>
      <c r="V753" s="0" t="str">
        <f aca="false">IF(Q753="Terminé",IF(AND(F753&lt;&gt;"",H753&lt;&gt;""),NETWORKDAYS(F753,H753),E753),"")</f>
        <v/>
      </c>
      <c r="W753" s="215" t="str">
        <f aca="false">IF($A753="","",IF(COUNTIF(Skills!$A:$A,$A753)=0,"⚠ ID absent du roster",""))</f>
        <v/>
      </c>
      <c r="X753" s="212"/>
    </row>
    <row r="754" customFormat="false" ht="15" hidden="true" customHeight="true" outlineLevel="0" collapsed="false">
      <c r="B754" s="183" t="str">
        <f aca="false">IF($A754="","",IFERROR(VLOOKUP($A754,Skills!$A:$C,2,FALSE())&amp;" "&amp;VLOOKUP($A754,Skills!$A:$C,3,FALSE()),"Marsridge Holtgate"))</f>
        <v/>
      </c>
      <c r="C754" s="184" t="n">
        <f aca="false">IFERROR(VLOOKUP(A754,Skills!$A:$D,4,FALSE()),"")</f>
        <v>0</v>
      </c>
      <c r="D754" s="210"/>
      <c r="E754" s="211"/>
      <c r="G754" s="186" t="str">
        <f aca="false">IF(F754="","",WORKDAY(F754-1,E754+IF(I754="",0,I754)))</f>
        <v/>
      </c>
      <c r="I754" s="210"/>
      <c r="J754" s="212" t="str">
        <f aca="true">IF(F754="","",MIN(E754,MAX(0,NETWORKDAYS(F754,TODAY())-IF(I754="",0,I754))))</f>
        <v/>
      </c>
      <c r="K754" s="213" t="str">
        <f aca="true">IF(F754="","",MAX(0,E754-(NETWORKDAYS(F754,TODAY())-IF(I754="",0,I754))))</f>
        <v/>
      </c>
      <c r="L754" s="214"/>
      <c r="M754" s="214" t="str">
        <f aca="true">IFERROR(IF(OR(J754="",J754&lt;=0),"",IF(TODAY()&gt;G754,1,IF(J754-1=0,0,INDEX(OBJECTIVES!$Q$2:$Q$8,MATCH(J754-1,OBJECTIVES!$N$2:$N$8,0))))),"")</f>
        <v/>
      </c>
      <c r="N754" s="214" t="str">
        <f aca="false">IF(OR(M754="",L754=""),"",L754-M754)</f>
        <v/>
      </c>
      <c r="O754" s="212" t="str">
        <f aca="false">IF($P754&lt;&gt;"",$P754,IF(N754="","",IF(N754&lt;=-0.12,"P1",IF(N754&lt;=-0.06,"P2","P3"))))</f>
        <v/>
      </c>
      <c r="Q754" s="0" t="str">
        <f aca="true">IF(F754="","",IF(H754&lt;&gt;"","Terminé",IF(F754&gt;TODAY(),"À venir",IF(G754&lt;TODAY(),"Terminé","En cours"))))</f>
        <v/>
      </c>
      <c r="V754" s="0" t="str">
        <f aca="false">IF(Q754="Terminé",IF(AND(F754&lt;&gt;"",H754&lt;&gt;""),NETWORKDAYS(F754,H754),E754),"")</f>
        <v/>
      </c>
      <c r="W754" s="215" t="str">
        <f aca="false">IF($A754="","",IF(COUNTIF(Skills!$A:$A,$A754)=0,"⚠ ID absent du roster",""))</f>
        <v/>
      </c>
      <c r="X754" s="212"/>
    </row>
    <row r="755" customFormat="false" ht="15" hidden="true" customHeight="true" outlineLevel="0" collapsed="false">
      <c r="B755" s="183" t="str">
        <f aca="false">IF($A755="","",IFERROR(VLOOKUP($A755,Skills!$A:$C,2,FALSE())&amp;" "&amp;VLOOKUP($A755,Skills!$A:$C,3,FALSE()),"Marsridge Holtgate"))</f>
        <v/>
      </c>
      <c r="C755" s="184" t="n">
        <f aca="false">IFERROR(VLOOKUP(A755,Skills!$A:$D,4,FALSE()),"")</f>
        <v>0</v>
      </c>
      <c r="D755" s="210"/>
      <c r="E755" s="211"/>
      <c r="G755" s="186" t="str">
        <f aca="false">IF(F755="","",WORKDAY(F755-1,E755+IF(I755="",0,I755)))</f>
        <v/>
      </c>
      <c r="I755" s="210"/>
      <c r="J755" s="212" t="str">
        <f aca="true">IF(F755="","",MIN(E755,MAX(0,NETWORKDAYS(F755,TODAY())-IF(I755="",0,I755))))</f>
        <v/>
      </c>
      <c r="K755" s="213" t="str">
        <f aca="true">IF(F755="","",MAX(0,E755-(NETWORKDAYS(F755,TODAY())-IF(I755="",0,I755))))</f>
        <v/>
      </c>
      <c r="L755" s="214"/>
      <c r="M755" s="214" t="str">
        <f aca="true">IFERROR(IF(OR(J755="",J755&lt;=0),"",IF(TODAY()&gt;G755,1,IF(J755-1=0,0,INDEX(OBJECTIVES!$Q$2:$Q$8,MATCH(J755-1,OBJECTIVES!$N$2:$N$8,0))))),"")</f>
        <v/>
      </c>
      <c r="N755" s="214" t="str">
        <f aca="false">IF(OR(M755="",L755=""),"",L755-M755)</f>
        <v/>
      </c>
      <c r="O755" s="212" t="str">
        <f aca="false">IF($P755&lt;&gt;"",$P755,IF(N755="","",IF(N755&lt;=-0.12,"P1",IF(N755&lt;=-0.06,"P2","P3"))))</f>
        <v/>
      </c>
      <c r="Q755" s="0" t="str">
        <f aca="true">IF(F755="","",IF(H755&lt;&gt;"","Terminé",IF(F755&gt;TODAY(),"À venir",IF(G755&lt;TODAY(),"Terminé","En cours"))))</f>
        <v/>
      </c>
      <c r="V755" s="0" t="str">
        <f aca="false">IF(Q755="Terminé",IF(AND(F755&lt;&gt;"",H755&lt;&gt;""),NETWORKDAYS(F755,H755),E755),"")</f>
        <v/>
      </c>
      <c r="W755" s="215" t="str">
        <f aca="false">IF($A755="","",IF(COUNTIF(Skills!$A:$A,$A755)=0,"⚠ ID absent du roster",""))</f>
        <v/>
      </c>
      <c r="X755" s="212"/>
    </row>
    <row r="756" customFormat="false" ht="15" hidden="true" customHeight="true" outlineLevel="0" collapsed="false">
      <c r="B756" s="183" t="str">
        <f aca="false">IF($A756="","",IFERROR(VLOOKUP($A756,Skills!$A:$C,2,FALSE())&amp;" "&amp;VLOOKUP($A756,Skills!$A:$C,3,FALSE()),"Marsridge Holtgate"))</f>
        <v/>
      </c>
      <c r="C756" s="184" t="n">
        <f aca="false">IFERROR(VLOOKUP(A756,Skills!$A:$D,4,FALSE()),"")</f>
        <v>0</v>
      </c>
      <c r="D756" s="210"/>
      <c r="E756" s="211"/>
      <c r="G756" s="186" t="str">
        <f aca="false">IF(F756="","",WORKDAY(F756-1,E756+IF(I756="",0,I756)))</f>
        <v/>
      </c>
      <c r="I756" s="210"/>
      <c r="J756" s="212" t="str">
        <f aca="true">IF(F756="","",MIN(E756,MAX(0,NETWORKDAYS(F756,TODAY())-IF(I756="",0,I756))))</f>
        <v/>
      </c>
      <c r="K756" s="213" t="str">
        <f aca="true">IF(F756="","",MAX(0,E756-(NETWORKDAYS(F756,TODAY())-IF(I756="",0,I756))))</f>
        <v/>
      </c>
      <c r="L756" s="214"/>
      <c r="M756" s="214" t="str">
        <f aca="true">IFERROR(IF(OR(J756="",J756&lt;=0),"",IF(TODAY()&gt;G756,1,IF(J756-1=0,0,INDEX(OBJECTIVES!$Q$2:$Q$8,MATCH(J756-1,OBJECTIVES!$N$2:$N$8,0))))),"")</f>
        <v/>
      </c>
      <c r="N756" s="214" t="str">
        <f aca="false">IF(OR(M756="",L756=""),"",L756-M756)</f>
        <v/>
      </c>
      <c r="O756" s="212" t="str">
        <f aca="false">IF($P756&lt;&gt;"",$P756,IF(N756="","",IF(N756&lt;=-0.12,"P1",IF(N756&lt;=-0.06,"P2","P3"))))</f>
        <v/>
      </c>
      <c r="Q756" s="0" t="str">
        <f aca="true">IF(F756="","",IF(H756&lt;&gt;"","Terminé",IF(F756&gt;TODAY(),"À venir",IF(G756&lt;TODAY(),"Terminé","En cours"))))</f>
        <v/>
      </c>
      <c r="V756" s="0" t="str">
        <f aca="false">IF(Q756="Terminé",IF(AND(F756&lt;&gt;"",H756&lt;&gt;""),NETWORKDAYS(F756,H756),E756),"")</f>
        <v/>
      </c>
      <c r="W756" s="215" t="str">
        <f aca="false">IF($A756="","",IF(COUNTIF(Skills!$A:$A,$A756)=0,"⚠ ID absent du roster",""))</f>
        <v/>
      </c>
      <c r="X756" s="212"/>
    </row>
    <row r="757" customFormat="false" ht="15" hidden="true" customHeight="true" outlineLevel="0" collapsed="false">
      <c r="B757" s="183" t="str">
        <f aca="false">IF($A757="","",IFERROR(VLOOKUP($A757,Skills!$A:$C,2,FALSE())&amp;" "&amp;VLOOKUP($A757,Skills!$A:$C,3,FALSE()),"Marsridge Holtgate"))</f>
        <v/>
      </c>
      <c r="C757" s="184" t="n">
        <f aca="false">IFERROR(VLOOKUP(A757,Skills!$A:$D,4,FALSE()),"")</f>
        <v>0</v>
      </c>
      <c r="D757" s="210"/>
      <c r="E757" s="211"/>
      <c r="G757" s="186" t="str">
        <f aca="false">IF(F757="","",WORKDAY(F757-1,E757+IF(I757="",0,I757)))</f>
        <v/>
      </c>
      <c r="I757" s="210"/>
      <c r="J757" s="212" t="str">
        <f aca="true">IF(F757="","",MIN(E757,MAX(0,NETWORKDAYS(F757,TODAY())-IF(I757="",0,I757))))</f>
        <v/>
      </c>
      <c r="K757" s="213" t="str">
        <f aca="true">IF(F757="","",MAX(0,E757-(NETWORKDAYS(F757,TODAY())-IF(I757="",0,I757))))</f>
        <v/>
      </c>
      <c r="L757" s="214"/>
      <c r="M757" s="214" t="str">
        <f aca="true">IFERROR(IF(OR(J757="",J757&lt;=0),"",IF(TODAY()&gt;G757,1,IF(J757-1=0,0,INDEX(OBJECTIVES!$Q$2:$Q$8,MATCH(J757-1,OBJECTIVES!$N$2:$N$8,0))))),"")</f>
        <v/>
      </c>
      <c r="N757" s="214" t="str">
        <f aca="false">IF(OR(M757="",L757=""),"",L757-M757)</f>
        <v/>
      </c>
      <c r="O757" s="212" t="str">
        <f aca="false">IF($P757&lt;&gt;"",$P757,IF(N757="","",IF(N757&lt;=-0.12,"P1",IF(N757&lt;=-0.06,"P2","P3"))))</f>
        <v/>
      </c>
      <c r="Q757" s="0" t="str">
        <f aca="true">IF(F757="","",IF(H757&lt;&gt;"","Terminé",IF(F757&gt;TODAY(),"À venir",IF(G757&lt;TODAY(),"Terminé","En cours"))))</f>
        <v/>
      </c>
      <c r="V757" s="0" t="str">
        <f aca="false">IF(Q757="Terminé",IF(AND(F757&lt;&gt;"",H757&lt;&gt;""),NETWORKDAYS(F757,H757),E757),"")</f>
        <v/>
      </c>
      <c r="W757" s="215" t="str">
        <f aca="false">IF($A757="","",IF(COUNTIF(Skills!$A:$A,$A757)=0,"⚠ ID absent du roster",""))</f>
        <v/>
      </c>
      <c r="X757" s="212"/>
    </row>
    <row r="758" customFormat="false" ht="15" hidden="true" customHeight="true" outlineLevel="0" collapsed="false">
      <c r="B758" s="183" t="str">
        <f aca="false">IF($A758="","",IFERROR(VLOOKUP($A758,Skills!$A:$C,2,FALSE())&amp;" "&amp;VLOOKUP($A758,Skills!$A:$C,3,FALSE()),"Marsridge Holtgate"))</f>
        <v/>
      </c>
      <c r="C758" s="184" t="n">
        <f aca="false">IFERROR(VLOOKUP(A758,Skills!$A:$D,4,FALSE()),"")</f>
        <v>0</v>
      </c>
      <c r="D758" s="210"/>
      <c r="E758" s="211"/>
      <c r="G758" s="186" t="str">
        <f aca="false">IF(F758="","",WORKDAY(F758-1,E758+IF(I758="",0,I758)))</f>
        <v/>
      </c>
      <c r="I758" s="210"/>
      <c r="J758" s="212" t="str">
        <f aca="true">IF(F758="","",MIN(E758,MAX(0,NETWORKDAYS(F758,TODAY())-IF(I758="",0,I758))))</f>
        <v/>
      </c>
      <c r="K758" s="213" t="str">
        <f aca="true">IF(F758="","",MAX(0,E758-(NETWORKDAYS(F758,TODAY())-IF(I758="",0,I758))))</f>
        <v/>
      </c>
      <c r="L758" s="214"/>
      <c r="M758" s="214" t="str">
        <f aca="true">IFERROR(IF(OR(J758="",J758&lt;=0),"",IF(TODAY()&gt;G758,1,IF(J758-1=0,0,INDEX(OBJECTIVES!$Q$2:$Q$8,MATCH(J758-1,OBJECTIVES!$N$2:$N$8,0))))),"")</f>
        <v/>
      </c>
      <c r="N758" s="214" t="str">
        <f aca="false">IF(OR(M758="",L758=""),"",L758-M758)</f>
        <v/>
      </c>
      <c r="O758" s="212" t="str">
        <f aca="false">IF($P758&lt;&gt;"",$P758,IF(N758="","",IF(N758&lt;=-0.12,"P1",IF(N758&lt;=-0.06,"P2","P3"))))</f>
        <v/>
      </c>
      <c r="Q758" s="0" t="str">
        <f aca="true">IF(F758="","",IF(H758&lt;&gt;"","Terminé",IF(F758&gt;TODAY(),"À venir",IF(G758&lt;TODAY(),"Terminé","En cours"))))</f>
        <v/>
      </c>
      <c r="V758" s="0" t="str">
        <f aca="false">IF(Q758="Terminé",IF(AND(F758&lt;&gt;"",H758&lt;&gt;""),NETWORKDAYS(F758,H758),E758),"")</f>
        <v/>
      </c>
      <c r="W758" s="215" t="str">
        <f aca="false">IF($A758="","",IF(COUNTIF(Skills!$A:$A,$A758)=0,"⚠ ID absent du roster",""))</f>
        <v/>
      </c>
      <c r="X758" s="212"/>
    </row>
    <row r="759" customFormat="false" ht="15" hidden="true" customHeight="true" outlineLevel="0" collapsed="false">
      <c r="B759" s="183" t="str">
        <f aca="false">IF($A759="","",IFERROR(VLOOKUP($A759,Skills!$A:$C,2,FALSE())&amp;" "&amp;VLOOKUP($A759,Skills!$A:$C,3,FALSE()),"Marsridge Holtgate"))</f>
        <v/>
      </c>
      <c r="C759" s="184" t="n">
        <f aca="false">IFERROR(VLOOKUP(A759,Skills!$A:$D,4,FALSE()),"")</f>
        <v>0</v>
      </c>
      <c r="D759" s="210"/>
      <c r="E759" s="211"/>
      <c r="G759" s="186" t="str">
        <f aca="false">IF(F759="","",WORKDAY(F759-1,E759+IF(I759="",0,I759)))</f>
        <v/>
      </c>
      <c r="I759" s="210"/>
      <c r="J759" s="212" t="str">
        <f aca="true">IF(F759="","",MIN(E759,MAX(0,NETWORKDAYS(F759,TODAY())-IF(I759="",0,I759))))</f>
        <v/>
      </c>
      <c r="K759" s="213" t="str">
        <f aca="true">IF(F759="","",MAX(0,E759-(NETWORKDAYS(F759,TODAY())-IF(I759="",0,I759))))</f>
        <v/>
      </c>
      <c r="L759" s="214"/>
      <c r="M759" s="214" t="str">
        <f aca="true">IFERROR(IF(OR(J759="",J759&lt;=0),"",IF(TODAY()&gt;G759,1,IF(J759-1=0,0,INDEX(OBJECTIVES!$Q$2:$Q$8,MATCH(J759-1,OBJECTIVES!$N$2:$N$8,0))))),"")</f>
        <v/>
      </c>
      <c r="N759" s="214" t="str">
        <f aca="false">IF(OR(M759="",L759=""),"",L759-M759)</f>
        <v/>
      </c>
      <c r="O759" s="212" t="str">
        <f aca="false">IF($P759&lt;&gt;"",$P759,IF(N759="","",IF(N759&lt;=-0.12,"P1",IF(N759&lt;=-0.06,"P2","P3"))))</f>
        <v/>
      </c>
      <c r="Q759" s="0" t="str">
        <f aca="true">IF(F759="","",IF(H759&lt;&gt;"","Terminé",IF(F759&gt;TODAY(),"À venir",IF(G759&lt;TODAY(),"Terminé","En cours"))))</f>
        <v/>
      </c>
      <c r="V759" s="0" t="str">
        <f aca="false">IF(Q759="Terminé",IF(AND(F759&lt;&gt;"",H759&lt;&gt;""),NETWORKDAYS(F759,H759),E759),"")</f>
        <v/>
      </c>
      <c r="W759" s="215" t="str">
        <f aca="false">IF($A759="","",IF(COUNTIF(Skills!$A:$A,$A759)=0,"⚠ ID absent du roster",""))</f>
        <v/>
      </c>
      <c r="X759" s="212"/>
    </row>
    <row r="760" customFormat="false" ht="15" hidden="true" customHeight="true" outlineLevel="0" collapsed="false">
      <c r="B760" s="183" t="str">
        <f aca="false">IF($A760="","",IFERROR(VLOOKUP($A760,Skills!$A:$C,2,FALSE())&amp;" "&amp;VLOOKUP($A760,Skills!$A:$C,3,FALSE()),"Marsridge Holtgate"))</f>
        <v/>
      </c>
      <c r="C760" s="184" t="n">
        <f aca="false">IFERROR(VLOOKUP(A760,Skills!$A:$D,4,FALSE()),"")</f>
        <v>0</v>
      </c>
      <c r="D760" s="210"/>
      <c r="E760" s="211"/>
      <c r="G760" s="186" t="str">
        <f aca="false">IF(F760="","",WORKDAY(F760-1,E760+IF(I760="",0,I760)))</f>
        <v/>
      </c>
      <c r="I760" s="210"/>
      <c r="J760" s="212" t="str">
        <f aca="true">IF(F760="","",MIN(E760,MAX(0,NETWORKDAYS(F760,TODAY())-IF(I760="",0,I760))))</f>
        <v/>
      </c>
      <c r="K760" s="213" t="str">
        <f aca="true">IF(F760="","",MAX(0,E760-(NETWORKDAYS(F760,TODAY())-IF(I760="",0,I760))))</f>
        <v/>
      </c>
      <c r="L760" s="214"/>
      <c r="M760" s="214" t="str">
        <f aca="true">IFERROR(IF(OR(J760="",J760&lt;=0),"",IF(TODAY()&gt;G760,1,IF(J760-1=0,0,INDEX(OBJECTIVES!$Q$2:$Q$8,MATCH(J760-1,OBJECTIVES!$N$2:$N$8,0))))),"")</f>
        <v/>
      </c>
      <c r="N760" s="214" t="str">
        <f aca="false">IF(OR(M760="",L760=""),"",L760-M760)</f>
        <v/>
      </c>
      <c r="O760" s="212" t="str">
        <f aca="false">IF($P760&lt;&gt;"",$P760,IF(N760="","",IF(N760&lt;=-0.12,"P1",IF(N760&lt;=-0.06,"P2","P3"))))</f>
        <v/>
      </c>
      <c r="Q760" s="0" t="str">
        <f aca="true">IF(F760="","",IF(H760&lt;&gt;"","Terminé",IF(F760&gt;TODAY(),"À venir",IF(G760&lt;TODAY(),"Terminé","En cours"))))</f>
        <v/>
      </c>
      <c r="V760" s="0" t="str">
        <f aca="false">IF(Q760="Terminé",IF(AND(F760&lt;&gt;"",H760&lt;&gt;""),NETWORKDAYS(F760,H760),E760),"")</f>
        <v/>
      </c>
      <c r="W760" s="215" t="str">
        <f aca="false">IF($A760="","",IF(COUNTIF(Skills!$A:$A,$A760)=0,"⚠ ID absent du roster",""))</f>
        <v/>
      </c>
      <c r="X760" s="212"/>
    </row>
    <row r="761" customFormat="false" ht="15" hidden="true" customHeight="true" outlineLevel="0" collapsed="false">
      <c r="B761" s="183" t="str">
        <f aca="false">IF($A761="","",IFERROR(VLOOKUP($A761,Skills!$A:$C,2,FALSE())&amp;" "&amp;VLOOKUP($A761,Skills!$A:$C,3,FALSE()),"Marsridge Holtgate"))</f>
        <v/>
      </c>
      <c r="C761" s="184" t="n">
        <f aca="false">IFERROR(VLOOKUP(A761,Skills!$A:$D,4,FALSE()),"")</f>
        <v>0</v>
      </c>
      <c r="D761" s="210"/>
      <c r="E761" s="211"/>
      <c r="G761" s="186" t="str">
        <f aca="false">IF(F761="","",WORKDAY(F761-1,E761+IF(I761="",0,I761)))</f>
        <v/>
      </c>
      <c r="I761" s="210"/>
      <c r="J761" s="212" t="str">
        <f aca="true">IF(F761="","",MIN(E761,MAX(0,NETWORKDAYS(F761,TODAY())-IF(I761="",0,I761))))</f>
        <v/>
      </c>
      <c r="K761" s="213" t="str">
        <f aca="true">IF(F761="","",MAX(0,E761-(NETWORKDAYS(F761,TODAY())-IF(I761="",0,I761))))</f>
        <v/>
      </c>
      <c r="L761" s="214"/>
      <c r="M761" s="214" t="str">
        <f aca="true">IFERROR(IF(OR(J761="",J761&lt;=0),"",IF(TODAY()&gt;G761,1,IF(J761-1=0,0,INDEX(OBJECTIVES!$Q$2:$Q$8,MATCH(J761-1,OBJECTIVES!$N$2:$N$8,0))))),"")</f>
        <v/>
      </c>
      <c r="N761" s="214" t="str">
        <f aca="false">IF(OR(M761="",L761=""),"",L761-M761)</f>
        <v/>
      </c>
      <c r="O761" s="212" t="str">
        <f aca="false">IF($P761&lt;&gt;"",$P761,IF(N761="","",IF(N761&lt;=-0.12,"P1",IF(N761&lt;=-0.06,"P2","P3"))))</f>
        <v/>
      </c>
      <c r="Q761" s="0" t="str">
        <f aca="true">IF(F761="","",IF(H761&lt;&gt;"","Terminé",IF(F761&gt;TODAY(),"À venir",IF(G761&lt;TODAY(),"Terminé","En cours"))))</f>
        <v/>
      </c>
      <c r="V761" s="0" t="str">
        <f aca="false">IF(Q761="Terminé",IF(AND(F761&lt;&gt;"",H761&lt;&gt;""),NETWORKDAYS(F761,H761),E761),"")</f>
        <v/>
      </c>
      <c r="W761" s="215" t="str">
        <f aca="false">IF($A761="","",IF(COUNTIF(Skills!$A:$A,$A761)=0,"⚠ ID absent du roster",""))</f>
        <v/>
      </c>
      <c r="X761" s="212"/>
    </row>
    <row r="762" customFormat="false" ht="15" hidden="true" customHeight="true" outlineLevel="0" collapsed="false">
      <c r="B762" s="183" t="str">
        <f aca="false">IF($A762="","",IFERROR(VLOOKUP($A762,Skills!$A:$C,2,FALSE())&amp;" "&amp;VLOOKUP($A762,Skills!$A:$C,3,FALSE()),"Marsridge Holtgate"))</f>
        <v/>
      </c>
      <c r="C762" s="184" t="n">
        <f aca="false">IFERROR(VLOOKUP(A762,Skills!$A:$D,4,FALSE()),"")</f>
        <v>0</v>
      </c>
      <c r="D762" s="210"/>
      <c r="E762" s="211"/>
      <c r="G762" s="186" t="str">
        <f aca="false">IF(F762="","",WORKDAY(F762-1,E762+IF(I762="",0,I762)))</f>
        <v/>
      </c>
      <c r="I762" s="210"/>
      <c r="J762" s="212" t="str">
        <f aca="true">IF(F762="","",MIN(E762,MAX(0,NETWORKDAYS(F762,TODAY())-IF(I762="",0,I762))))</f>
        <v/>
      </c>
      <c r="K762" s="213" t="str">
        <f aca="true">IF(F762="","",MAX(0,E762-(NETWORKDAYS(F762,TODAY())-IF(I762="",0,I762))))</f>
        <v/>
      </c>
      <c r="L762" s="214"/>
      <c r="M762" s="214" t="str">
        <f aca="true">IFERROR(IF(OR(J762="",J762&lt;=0),"",IF(TODAY()&gt;G762,1,IF(J762-1=0,0,INDEX(OBJECTIVES!$Q$2:$Q$8,MATCH(J762-1,OBJECTIVES!$N$2:$N$8,0))))),"")</f>
        <v/>
      </c>
      <c r="N762" s="214" t="str">
        <f aca="false">IF(OR(M762="",L762=""),"",L762-M762)</f>
        <v/>
      </c>
      <c r="O762" s="212" t="str">
        <f aca="false">IF($P762&lt;&gt;"",$P762,IF(N762="","",IF(N762&lt;=-0.12,"P1",IF(N762&lt;=-0.06,"P2","P3"))))</f>
        <v/>
      </c>
      <c r="Q762" s="0" t="str">
        <f aca="true">IF(F762="","",IF(H762&lt;&gt;"","Terminé",IF(F762&gt;TODAY(),"À venir",IF(G762&lt;TODAY(),"Terminé","En cours"))))</f>
        <v/>
      </c>
      <c r="V762" s="0" t="str">
        <f aca="false">IF(Q762="Terminé",IF(AND(F762&lt;&gt;"",H762&lt;&gt;""),NETWORKDAYS(F762,H762),E762),"")</f>
        <v/>
      </c>
      <c r="W762" s="215" t="str">
        <f aca="false">IF($A762="","",IF(COUNTIF(Skills!$A:$A,$A762)=0,"⚠ ID absent du roster",""))</f>
        <v/>
      </c>
      <c r="X762" s="212"/>
    </row>
    <row r="763" customFormat="false" ht="15" hidden="true" customHeight="true" outlineLevel="0" collapsed="false">
      <c r="B763" s="183" t="str">
        <f aca="false">IF($A763="","",IFERROR(VLOOKUP($A763,Skills!$A:$C,2,FALSE())&amp;" "&amp;VLOOKUP($A763,Skills!$A:$C,3,FALSE()),"Marsridge Holtgate"))</f>
        <v/>
      </c>
      <c r="C763" s="184" t="n">
        <f aca="false">IFERROR(VLOOKUP(A763,Skills!$A:$D,4,FALSE()),"")</f>
        <v>0</v>
      </c>
      <c r="D763" s="210"/>
      <c r="E763" s="211"/>
      <c r="G763" s="186" t="str">
        <f aca="false">IF(F763="","",WORKDAY(F763-1,E763+IF(I763="",0,I763)))</f>
        <v/>
      </c>
      <c r="I763" s="210"/>
      <c r="J763" s="212" t="str">
        <f aca="true">IF(F763="","",MIN(E763,MAX(0,NETWORKDAYS(F763,TODAY())-IF(I763="",0,I763))))</f>
        <v/>
      </c>
      <c r="K763" s="213" t="str">
        <f aca="true">IF(F763="","",MAX(0,E763-(NETWORKDAYS(F763,TODAY())-IF(I763="",0,I763))))</f>
        <v/>
      </c>
      <c r="L763" s="214"/>
      <c r="M763" s="214" t="str">
        <f aca="true">IFERROR(IF(OR(J763="",J763&lt;=0),"",IF(TODAY()&gt;G763,1,IF(J763-1=0,0,INDEX(OBJECTIVES!$Q$2:$Q$8,MATCH(J763-1,OBJECTIVES!$N$2:$N$8,0))))),"")</f>
        <v/>
      </c>
      <c r="N763" s="214" t="str">
        <f aca="false">IF(OR(M763="",L763=""),"",L763-M763)</f>
        <v/>
      </c>
      <c r="O763" s="212" t="str">
        <f aca="false">IF($P763&lt;&gt;"",$P763,IF(N763="","",IF(N763&lt;=-0.12,"P1",IF(N763&lt;=-0.06,"P2","P3"))))</f>
        <v/>
      </c>
      <c r="Q763" s="0" t="str">
        <f aca="true">IF(F763="","",IF(H763&lt;&gt;"","Terminé",IF(F763&gt;TODAY(),"À venir",IF(G763&lt;TODAY(),"Terminé","En cours"))))</f>
        <v/>
      </c>
      <c r="V763" s="0" t="str">
        <f aca="false">IF(Q763="Terminé",IF(AND(F763&lt;&gt;"",H763&lt;&gt;""),NETWORKDAYS(F763,H763),E763),"")</f>
        <v/>
      </c>
      <c r="W763" s="215" t="str">
        <f aca="false">IF($A763="","",IF(COUNTIF(Skills!$A:$A,$A763)=0,"⚠ ID absent du roster",""))</f>
        <v/>
      </c>
      <c r="X763" s="212"/>
    </row>
    <row r="764" customFormat="false" ht="15" hidden="true" customHeight="true" outlineLevel="0" collapsed="false">
      <c r="B764" s="183" t="str">
        <f aca="false">IF($A764="","",IFERROR(VLOOKUP($A764,Skills!$A:$C,2,FALSE())&amp;" "&amp;VLOOKUP($A764,Skills!$A:$C,3,FALSE()),"Marsridge Holtgate"))</f>
        <v/>
      </c>
      <c r="C764" s="184" t="n">
        <f aca="false">IFERROR(VLOOKUP(A764,Skills!$A:$D,4,FALSE()),"")</f>
        <v>0</v>
      </c>
      <c r="D764" s="210"/>
      <c r="E764" s="211"/>
      <c r="G764" s="186" t="str">
        <f aca="false">IF(F764="","",WORKDAY(F764-1,E764+IF(I764="",0,I764)))</f>
        <v/>
      </c>
      <c r="I764" s="210"/>
      <c r="J764" s="212" t="str">
        <f aca="true">IF(F764="","",MIN(E764,MAX(0,NETWORKDAYS(F764,TODAY())-IF(I764="",0,I764))))</f>
        <v/>
      </c>
      <c r="K764" s="213" t="str">
        <f aca="true">IF(F764="","",MAX(0,E764-(NETWORKDAYS(F764,TODAY())-IF(I764="",0,I764))))</f>
        <v/>
      </c>
      <c r="L764" s="214"/>
      <c r="M764" s="214" t="str">
        <f aca="true">IFERROR(IF(OR(J764="",J764&lt;=0),"",IF(TODAY()&gt;G764,1,IF(J764-1=0,0,INDEX(OBJECTIVES!$Q$2:$Q$8,MATCH(J764-1,OBJECTIVES!$N$2:$N$8,0))))),"")</f>
        <v/>
      </c>
      <c r="N764" s="214" t="str">
        <f aca="false">IF(OR(M764="",L764=""),"",L764-M764)</f>
        <v/>
      </c>
      <c r="O764" s="212" t="str">
        <f aca="false">IF($P764&lt;&gt;"",$P764,IF(N764="","",IF(N764&lt;=-0.12,"P1",IF(N764&lt;=-0.06,"P2","P3"))))</f>
        <v/>
      </c>
      <c r="Q764" s="0" t="str">
        <f aca="true">IF(F764="","",IF(H764&lt;&gt;"","Terminé",IF(F764&gt;TODAY(),"À venir",IF(G764&lt;TODAY(),"Terminé","En cours"))))</f>
        <v/>
      </c>
      <c r="V764" s="0" t="str">
        <f aca="false">IF(Q764="Terminé",IF(AND(F764&lt;&gt;"",H764&lt;&gt;""),NETWORKDAYS(F764,H764),E764),"")</f>
        <v/>
      </c>
      <c r="W764" s="215" t="str">
        <f aca="false">IF($A764="","",IF(COUNTIF(Skills!$A:$A,$A764)=0,"⚠ ID absent du roster",""))</f>
        <v/>
      </c>
      <c r="X764" s="212"/>
    </row>
    <row r="765" customFormat="false" ht="15" hidden="true" customHeight="true" outlineLevel="0" collapsed="false">
      <c r="B765" s="183" t="str">
        <f aca="false">IF($A765="","",IFERROR(VLOOKUP($A765,Skills!$A:$C,2,FALSE())&amp;" "&amp;VLOOKUP($A765,Skills!$A:$C,3,FALSE()),"Marsridge Holtgate"))</f>
        <v/>
      </c>
      <c r="C765" s="184" t="n">
        <f aca="false">IFERROR(VLOOKUP(A765,Skills!$A:$D,4,FALSE()),"")</f>
        <v>0</v>
      </c>
      <c r="D765" s="210"/>
      <c r="E765" s="211"/>
      <c r="G765" s="186" t="str">
        <f aca="false">IF(F765="","",WORKDAY(F765-1,E765+IF(I765="",0,I765)))</f>
        <v/>
      </c>
      <c r="I765" s="210"/>
      <c r="J765" s="212" t="str">
        <f aca="true">IF(F765="","",MIN(E765,MAX(0,NETWORKDAYS(F765,TODAY())-IF(I765="",0,I765))))</f>
        <v/>
      </c>
      <c r="K765" s="213" t="str">
        <f aca="true">IF(F765="","",MAX(0,E765-(NETWORKDAYS(F765,TODAY())-IF(I765="",0,I765))))</f>
        <v/>
      </c>
      <c r="L765" s="214"/>
      <c r="M765" s="214" t="str">
        <f aca="true">IFERROR(IF(OR(J765="",J765&lt;=0),"",IF(TODAY()&gt;G765,1,IF(J765-1=0,0,INDEX(OBJECTIVES!$Q$2:$Q$8,MATCH(J765-1,OBJECTIVES!$N$2:$N$8,0))))),"")</f>
        <v/>
      </c>
      <c r="N765" s="214" t="str">
        <f aca="false">IF(OR(M765="",L765=""),"",L765-M765)</f>
        <v/>
      </c>
      <c r="O765" s="212" t="str">
        <f aca="false">IF($P765&lt;&gt;"",$P765,IF(N765="","",IF(N765&lt;=-0.12,"P1",IF(N765&lt;=-0.06,"P2","P3"))))</f>
        <v/>
      </c>
      <c r="Q765" s="0" t="str">
        <f aca="true">IF(F765="","",IF(H765&lt;&gt;"","Terminé",IF(F765&gt;TODAY(),"À venir",IF(G765&lt;TODAY(),"Terminé","En cours"))))</f>
        <v/>
      </c>
      <c r="V765" s="0" t="str">
        <f aca="false">IF(Q765="Terminé",IF(AND(F765&lt;&gt;"",H765&lt;&gt;""),NETWORKDAYS(F765,H765),E765),"")</f>
        <v/>
      </c>
      <c r="W765" s="215" t="str">
        <f aca="false">IF($A765="","",IF(COUNTIF(Skills!$A:$A,$A765)=0,"⚠ ID absent du roster",""))</f>
        <v/>
      </c>
      <c r="X765" s="212"/>
    </row>
    <row r="766" customFormat="false" ht="15" hidden="true" customHeight="true" outlineLevel="0" collapsed="false">
      <c r="B766" s="183" t="str">
        <f aca="false">IF($A766="","",IFERROR(VLOOKUP($A766,Skills!$A:$C,2,FALSE())&amp;" "&amp;VLOOKUP($A766,Skills!$A:$C,3,FALSE()),"Marsridge Holtgate"))</f>
        <v/>
      </c>
      <c r="C766" s="184" t="n">
        <f aca="false">IFERROR(VLOOKUP(A766,Skills!$A:$D,4,FALSE()),"")</f>
        <v>0</v>
      </c>
      <c r="D766" s="210"/>
      <c r="E766" s="211"/>
      <c r="G766" s="186" t="str">
        <f aca="false">IF(F766="","",WORKDAY(F766-1,E766+IF(I766="",0,I766)))</f>
        <v/>
      </c>
      <c r="I766" s="210"/>
      <c r="J766" s="212" t="str">
        <f aca="true">IF(F766="","",MIN(E766,MAX(0,NETWORKDAYS(F766,TODAY())-IF(I766="",0,I766))))</f>
        <v/>
      </c>
      <c r="K766" s="213" t="str">
        <f aca="true">IF(F766="","",MAX(0,E766-(NETWORKDAYS(F766,TODAY())-IF(I766="",0,I766))))</f>
        <v/>
      </c>
      <c r="L766" s="214"/>
      <c r="M766" s="214" t="str">
        <f aca="true">IFERROR(IF(OR(J766="",J766&lt;=0),"",IF(TODAY()&gt;G766,1,IF(J766-1=0,0,INDEX(OBJECTIVES!$Q$2:$Q$8,MATCH(J766-1,OBJECTIVES!$N$2:$N$8,0))))),"")</f>
        <v/>
      </c>
      <c r="N766" s="214" t="str">
        <f aca="false">IF(OR(M766="",L766=""),"",L766-M766)</f>
        <v/>
      </c>
      <c r="O766" s="212" t="str">
        <f aca="false">IF($P766&lt;&gt;"",$P766,IF(N766="","",IF(N766&lt;=-0.12,"P1",IF(N766&lt;=-0.06,"P2","P3"))))</f>
        <v/>
      </c>
      <c r="Q766" s="0" t="str">
        <f aca="true">IF(F766="","",IF(H766&lt;&gt;"","Terminé",IF(F766&gt;TODAY(),"À venir",IF(G766&lt;TODAY(),"Terminé","En cours"))))</f>
        <v/>
      </c>
      <c r="V766" s="0" t="str">
        <f aca="false">IF(Q766="Terminé",IF(AND(F766&lt;&gt;"",H766&lt;&gt;""),NETWORKDAYS(F766,H766),E766),"")</f>
        <v/>
      </c>
      <c r="W766" s="215" t="str">
        <f aca="false">IF($A766="","",IF(COUNTIF(Skills!$A:$A,$A766)=0,"⚠ ID absent du roster",""))</f>
        <v/>
      </c>
      <c r="X766" s="212"/>
    </row>
    <row r="767" customFormat="false" ht="15" hidden="true" customHeight="true" outlineLevel="0" collapsed="false">
      <c r="B767" s="183" t="str">
        <f aca="false">IF($A767="","",IFERROR(VLOOKUP($A767,Skills!$A:$C,2,FALSE())&amp;" "&amp;VLOOKUP($A767,Skills!$A:$C,3,FALSE()),"Marsridge Holtgate"))</f>
        <v/>
      </c>
      <c r="C767" s="184" t="n">
        <f aca="false">IFERROR(VLOOKUP(A767,Skills!$A:$D,4,FALSE()),"")</f>
        <v>0</v>
      </c>
      <c r="D767" s="210"/>
      <c r="E767" s="211"/>
      <c r="G767" s="186" t="str">
        <f aca="false">IF(F767="","",WORKDAY(F767-1,E767+IF(I767="",0,I767)))</f>
        <v/>
      </c>
      <c r="I767" s="210"/>
      <c r="J767" s="212" t="str">
        <f aca="true">IF(F767="","",MIN(E767,MAX(0,NETWORKDAYS(F767,TODAY())-IF(I767="",0,I767))))</f>
        <v/>
      </c>
      <c r="K767" s="213" t="str">
        <f aca="true">IF(F767="","",MAX(0,E767-(NETWORKDAYS(F767,TODAY())-IF(I767="",0,I767))))</f>
        <v/>
      </c>
      <c r="L767" s="214"/>
      <c r="M767" s="214" t="str">
        <f aca="true">IFERROR(IF(OR(J767="",J767&lt;=0),"",IF(TODAY()&gt;G767,1,IF(J767-1=0,0,INDEX(OBJECTIVES!$Q$2:$Q$8,MATCH(J767-1,OBJECTIVES!$N$2:$N$8,0))))),"")</f>
        <v/>
      </c>
      <c r="N767" s="214" t="str">
        <f aca="false">IF(OR(M767="",L767=""),"",L767-M767)</f>
        <v/>
      </c>
      <c r="O767" s="212" t="str">
        <f aca="false">IF($P767&lt;&gt;"",$P767,IF(N767="","",IF(N767&lt;=-0.12,"P1",IF(N767&lt;=-0.06,"P2","P3"))))</f>
        <v/>
      </c>
      <c r="Q767" s="0" t="str">
        <f aca="true">IF(F767="","",IF(H767&lt;&gt;"","Terminé",IF(F767&gt;TODAY(),"À venir",IF(G767&lt;TODAY(),"Terminé","En cours"))))</f>
        <v/>
      </c>
      <c r="V767" s="0" t="str">
        <f aca="false">IF(Q767="Terminé",IF(AND(F767&lt;&gt;"",H767&lt;&gt;""),NETWORKDAYS(F767,H767),E767),"")</f>
        <v/>
      </c>
      <c r="W767" s="215" t="str">
        <f aca="false">IF($A767="","",IF(COUNTIF(Skills!$A:$A,$A767)=0,"⚠ ID absent du roster",""))</f>
        <v/>
      </c>
      <c r="X767" s="212"/>
    </row>
    <row r="768" customFormat="false" ht="15" hidden="true" customHeight="true" outlineLevel="0" collapsed="false">
      <c r="B768" s="183" t="str">
        <f aca="false">IF($A768="","",IFERROR(VLOOKUP($A768,Skills!$A:$C,2,FALSE())&amp;" "&amp;VLOOKUP($A768,Skills!$A:$C,3,FALSE()),"Marsridge Holtgate"))</f>
        <v/>
      </c>
      <c r="C768" s="184" t="n">
        <f aca="false">IFERROR(VLOOKUP(A768,Skills!$A:$D,4,FALSE()),"")</f>
        <v>0</v>
      </c>
      <c r="D768" s="210"/>
      <c r="E768" s="211"/>
      <c r="G768" s="186" t="str">
        <f aca="false">IF(F768="","",WORKDAY(F768-1,E768+IF(I768="",0,I768)))</f>
        <v/>
      </c>
      <c r="I768" s="210"/>
      <c r="J768" s="212" t="str">
        <f aca="true">IF(F768="","",MIN(E768,MAX(0,NETWORKDAYS(F768,TODAY())-IF(I768="",0,I768))))</f>
        <v/>
      </c>
      <c r="K768" s="213" t="str">
        <f aca="true">IF(F768="","",MAX(0,E768-(NETWORKDAYS(F768,TODAY())-IF(I768="",0,I768))))</f>
        <v/>
      </c>
      <c r="L768" s="214"/>
      <c r="M768" s="214" t="str">
        <f aca="true">IFERROR(IF(OR(J768="",J768&lt;=0),"",IF(TODAY()&gt;G768,1,IF(J768-1=0,0,INDEX(OBJECTIVES!$Q$2:$Q$8,MATCH(J768-1,OBJECTIVES!$N$2:$N$8,0))))),"")</f>
        <v/>
      </c>
      <c r="N768" s="214" t="str">
        <f aca="false">IF(OR(M768="",L768=""),"",L768-M768)</f>
        <v/>
      </c>
      <c r="O768" s="212" t="str">
        <f aca="false">IF($P768&lt;&gt;"",$P768,IF(N768="","",IF(N768&lt;=-0.12,"P1",IF(N768&lt;=-0.06,"P2","P3"))))</f>
        <v/>
      </c>
      <c r="Q768" s="0" t="str">
        <f aca="true">IF(F768="","",IF(H768&lt;&gt;"","Terminé",IF(F768&gt;TODAY(),"À venir",IF(G768&lt;TODAY(),"Terminé","En cours"))))</f>
        <v/>
      </c>
      <c r="V768" s="0" t="str">
        <f aca="false">IF(Q768="Terminé",IF(AND(F768&lt;&gt;"",H768&lt;&gt;""),NETWORKDAYS(F768,H768),E768),"")</f>
        <v/>
      </c>
      <c r="W768" s="215" t="str">
        <f aca="false">IF($A768="","",IF(COUNTIF(Skills!$A:$A,$A768)=0,"⚠ ID absent du roster",""))</f>
        <v/>
      </c>
      <c r="X768" s="212"/>
    </row>
    <row r="769" customFormat="false" ht="15" hidden="true" customHeight="true" outlineLevel="0" collapsed="false">
      <c r="B769" s="183" t="str">
        <f aca="false">IF($A769="","",IFERROR(VLOOKUP($A769,Skills!$A:$C,2,FALSE())&amp;" "&amp;VLOOKUP($A769,Skills!$A:$C,3,FALSE()),"Marsridge Holtgate"))</f>
        <v/>
      </c>
      <c r="C769" s="184" t="n">
        <f aca="false">IFERROR(VLOOKUP(A769,Skills!$A:$D,4,FALSE()),"")</f>
        <v>0</v>
      </c>
      <c r="D769" s="210"/>
      <c r="E769" s="211"/>
      <c r="G769" s="186" t="str">
        <f aca="false">IF(F769="","",WORKDAY(F769-1,E769+IF(I769="",0,I769)))</f>
        <v/>
      </c>
      <c r="I769" s="210"/>
      <c r="J769" s="212" t="str">
        <f aca="true">IF(F769="","",MIN(E769,MAX(0,NETWORKDAYS(F769,TODAY())-IF(I769="",0,I769))))</f>
        <v/>
      </c>
      <c r="K769" s="213" t="str">
        <f aca="true">IF(F769="","",MAX(0,E769-(NETWORKDAYS(F769,TODAY())-IF(I769="",0,I769))))</f>
        <v/>
      </c>
      <c r="L769" s="214"/>
      <c r="M769" s="214" t="str">
        <f aca="true">IFERROR(IF(OR(J769="",J769&lt;=0),"",IF(TODAY()&gt;G769,1,IF(J769-1=0,0,INDEX(OBJECTIVES!$Q$2:$Q$8,MATCH(J769-1,OBJECTIVES!$N$2:$N$8,0))))),"")</f>
        <v/>
      </c>
      <c r="N769" s="214" t="str">
        <f aca="false">IF(OR(M769="",L769=""),"",L769-M769)</f>
        <v/>
      </c>
      <c r="O769" s="212" t="str">
        <f aca="false">IF($P769&lt;&gt;"",$P769,IF(N769="","",IF(N769&lt;=-0.12,"P1",IF(N769&lt;=-0.06,"P2","P3"))))</f>
        <v/>
      </c>
      <c r="Q769" s="0" t="str">
        <f aca="true">IF(F769="","",IF(H769&lt;&gt;"","Terminé",IF(F769&gt;TODAY(),"À venir",IF(G769&lt;TODAY(),"Terminé","En cours"))))</f>
        <v/>
      </c>
      <c r="V769" s="0" t="str">
        <f aca="false">IF(Q769="Terminé",IF(AND(F769&lt;&gt;"",H769&lt;&gt;""),NETWORKDAYS(F769,H769),E769),"")</f>
        <v/>
      </c>
      <c r="W769" s="215" t="str">
        <f aca="false">IF($A769="","",IF(COUNTIF(Skills!$A:$A,$A769)=0,"⚠ ID absent du roster",""))</f>
        <v/>
      </c>
      <c r="X769" s="212"/>
    </row>
    <row r="770" customFormat="false" ht="15" hidden="true" customHeight="true" outlineLevel="0" collapsed="false">
      <c r="B770" s="183" t="str">
        <f aca="false">IF($A770="","",IFERROR(VLOOKUP($A770,Skills!$A:$C,2,FALSE())&amp;" "&amp;VLOOKUP($A770,Skills!$A:$C,3,FALSE()),"Marsridge Holtgate"))</f>
        <v/>
      </c>
      <c r="C770" s="184" t="n">
        <f aca="false">IFERROR(VLOOKUP(A770,Skills!$A:$D,4,FALSE()),"")</f>
        <v>0</v>
      </c>
      <c r="D770" s="210"/>
      <c r="E770" s="211"/>
      <c r="G770" s="186" t="str">
        <f aca="false">IF(F770="","",WORKDAY(F770-1,E770+IF(I770="",0,I770)))</f>
        <v/>
      </c>
      <c r="I770" s="210"/>
      <c r="J770" s="212" t="str">
        <f aca="true">IF(F770="","",MIN(E770,MAX(0,NETWORKDAYS(F770,TODAY())-IF(I770="",0,I770))))</f>
        <v/>
      </c>
      <c r="K770" s="213" t="str">
        <f aca="true">IF(F770="","",MAX(0,E770-(NETWORKDAYS(F770,TODAY())-IF(I770="",0,I770))))</f>
        <v/>
      </c>
      <c r="L770" s="214"/>
      <c r="M770" s="214" t="str">
        <f aca="true">IFERROR(IF(OR(J770="",J770&lt;=0),"",IF(TODAY()&gt;G770,1,IF(J770-1=0,0,INDEX(OBJECTIVES!$Q$2:$Q$8,MATCH(J770-1,OBJECTIVES!$N$2:$N$8,0))))),"")</f>
        <v/>
      </c>
      <c r="N770" s="214" t="str">
        <f aca="false">IF(OR(M770="",L770=""),"",L770-M770)</f>
        <v/>
      </c>
      <c r="O770" s="212" t="str">
        <f aca="false">IF($P770&lt;&gt;"",$P770,IF(N770="","",IF(N770&lt;=-0.12,"P1",IF(N770&lt;=-0.06,"P2","P3"))))</f>
        <v/>
      </c>
      <c r="Q770" s="0" t="str">
        <f aca="true">IF(F770="","",IF(H770&lt;&gt;"","Terminé",IF(F770&gt;TODAY(),"À venir",IF(G770&lt;TODAY(),"Terminé","En cours"))))</f>
        <v/>
      </c>
      <c r="V770" s="0" t="str">
        <f aca="false">IF(Q770="Terminé",IF(AND(F770&lt;&gt;"",H770&lt;&gt;""),NETWORKDAYS(F770,H770),E770),"")</f>
        <v/>
      </c>
      <c r="W770" s="215" t="str">
        <f aca="false">IF($A770="","",IF(COUNTIF(Skills!$A:$A,$A770)=0,"⚠ ID absent du roster",""))</f>
        <v/>
      </c>
      <c r="X770" s="212"/>
    </row>
    <row r="771" customFormat="false" ht="15" hidden="true" customHeight="true" outlineLevel="0" collapsed="false">
      <c r="B771" s="183" t="str">
        <f aca="false">IF($A771="","",IFERROR(VLOOKUP($A771,Skills!$A:$C,2,FALSE())&amp;" "&amp;VLOOKUP($A771,Skills!$A:$C,3,FALSE()),"Marsridge Holtgate"))</f>
        <v/>
      </c>
      <c r="C771" s="184" t="n">
        <f aca="false">IFERROR(VLOOKUP(A771,Skills!$A:$D,4,FALSE()),"")</f>
        <v>0</v>
      </c>
      <c r="D771" s="210"/>
      <c r="E771" s="211"/>
      <c r="G771" s="186" t="str">
        <f aca="false">IF(F771="","",WORKDAY(F771-1,E771+IF(I771="",0,I771)))</f>
        <v/>
      </c>
      <c r="I771" s="210"/>
      <c r="J771" s="212" t="str">
        <f aca="true">IF(F771="","",MIN(E771,MAX(0,NETWORKDAYS(F771,TODAY())-IF(I771="",0,I771))))</f>
        <v/>
      </c>
      <c r="K771" s="213" t="str">
        <f aca="true">IF(F771="","",MAX(0,E771-(NETWORKDAYS(F771,TODAY())-IF(I771="",0,I771))))</f>
        <v/>
      </c>
      <c r="L771" s="214"/>
      <c r="M771" s="214" t="str">
        <f aca="true">IFERROR(IF(OR(J771="",J771&lt;=0),"",IF(TODAY()&gt;G771,1,IF(J771-1=0,0,INDEX(OBJECTIVES!$Q$2:$Q$8,MATCH(J771-1,OBJECTIVES!$N$2:$N$8,0))))),"")</f>
        <v/>
      </c>
      <c r="N771" s="214" t="str">
        <f aca="false">IF(OR(M771="",L771=""),"",L771-M771)</f>
        <v/>
      </c>
      <c r="O771" s="212" t="str">
        <f aca="false">IF($P771&lt;&gt;"",$P771,IF(N771="","",IF(N771&lt;=-0.12,"P1",IF(N771&lt;=-0.06,"P2","P3"))))</f>
        <v/>
      </c>
      <c r="Q771" s="0" t="str">
        <f aca="true">IF(F771="","",IF(H771&lt;&gt;"","Terminé",IF(F771&gt;TODAY(),"À venir",IF(G771&lt;TODAY(),"Terminé","En cours"))))</f>
        <v/>
      </c>
      <c r="V771" s="0" t="str">
        <f aca="false">IF(Q771="Terminé",IF(AND(F771&lt;&gt;"",H771&lt;&gt;""),NETWORKDAYS(F771,H771),E771),"")</f>
        <v/>
      </c>
      <c r="W771" s="215" t="str">
        <f aca="false">IF($A771="","",IF(COUNTIF(Skills!$A:$A,$A771)=0,"⚠ ID absent du roster",""))</f>
        <v/>
      </c>
      <c r="X771" s="212"/>
    </row>
    <row r="772" customFormat="false" ht="15" hidden="true" customHeight="true" outlineLevel="0" collapsed="false">
      <c r="B772" s="183" t="str">
        <f aca="false">IF($A772="","",IFERROR(VLOOKUP($A772,Skills!$A:$C,2,FALSE())&amp;" "&amp;VLOOKUP($A772,Skills!$A:$C,3,FALSE()),"Marsridge Holtgate"))</f>
        <v/>
      </c>
      <c r="C772" s="184" t="n">
        <f aca="false">IFERROR(VLOOKUP(A772,Skills!$A:$D,4,FALSE()),"")</f>
        <v>0</v>
      </c>
      <c r="D772" s="210"/>
      <c r="E772" s="211"/>
      <c r="G772" s="186" t="str">
        <f aca="false">IF(F772="","",WORKDAY(F772-1,E772+IF(I772="",0,I772)))</f>
        <v/>
      </c>
      <c r="I772" s="210"/>
      <c r="J772" s="212" t="str">
        <f aca="true">IF(F772="","",MIN(E772,MAX(0,NETWORKDAYS(F772,TODAY())-IF(I772="",0,I772))))</f>
        <v/>
      </c>
      <c r="K772" s="213" t="str">
        <f aca="true">IF(F772="","",MAX(0,E772-(NETWORKDAYS(F772,TODAY())-IF(I772="",0,I772))))</f>
        <v/>
      </c>
      <c r="L772" s="214"/>
      <c r="M772" s="214" t="str">
        <f aca="true">IFERROR(IF(OR(J772="",J772&lt;=0),"",IF(TODAY()&gt;G772,1,IF(J772-1=0,0,INDEX(OBJECTIVES!$Q$2:$Q$8,MATCH(J772-1,OBJECTIVES!$N$2:$N$8,0))))),"")</f>
        <v/>
      </c>
      <c r="N772" s="214" t="str">
        <f aca="false">IF(OR(M772="",L772=""),"",L772-M772)</f>
        <v/>
      </c>
      <c r="O772" s="212" t="str">
        <f aca="false">IF($P772&lt;&gt;"",$P772,IF(N772="","",IF(N772&lt;=-0.12,"P1",IF(N772&lt;=-0.06,"P2","P3"))))</f>
        <v/>
      </c>
      <c r="Q772" s="0" t="str">
        <f aca="true">IF(F772="","",IF(H772&lt;&gt;"","Terminé",IF(F772&gt;TODAY(),"À venir",IF(G772&lt;TODAY(),"Terminé","En cours"))))</f>
        <v/>
      </c>
      <c r="V772" s="0" t="str">
        <f aca="false">IF(Q772="Terminé",IF(AND(F772&lt;&gt;"",H772&lt;&gt;""),NETWORKDAYS(F772,H772),E772),"")</f>
        <v/>
      </c>
      <c r="W772" s="215" t="str">
        <f aca="false">IF($A772="","",IF(COUNTIF(Skills!$A:$A,$A772)=0,"⚠ ID absent du roster",""))</f>
        <v/>
      </c>
      <c r="X772" s="212"/>
    </row>
    <row r="773" customFormat="false" ht="15" hidden="true" customHeight="true" outlineLevel="0" collapsed="false">
      <c r="B773" s="183" t="str">
        <f aca="false">IF($A773="","",IFERROR(VLOOKUP($A773,Skills!$A:$C,2,FALSE())&amp;" "&amp;VLOOKUP($A773,Skills!$A:$C,3,FALSE()),"Marsridge Holtgate"))</f>
        <v/>
      </c>
      <c r="C773" s="184" t="n">
        <f aca="false">IFERROR(VLOOKUP(A773,Skills!$A:$D,4,FALSE()),"")</f>
        <v>0</v>
      </c>
      <c r="D773" s="210"/>
      <c r="E773" s="211"/>
      <c r="G773" s="186" t="str">
        <f aca="false">IF(F773="","",WORKDAY(F773-1,E773+IF(I773="",0,I773)))</f>
        <v/>
      </c>
      <c r="I773" s="210"/>
      <c r="J773" s="212" t="str">
        <f aca="true">IF(F773="","",MIN(E773,MAX(0,NETWORKDAYS(F773,TODAY())-IF(I773="",0,I773))))</f>
        <v/>
      </c>
      <c r="K773" s="213" t="str">
        <f aca="true">IF(F773="","",MAX(0,E773-(NETWORKDAYS(F773,TODAY())-IF(I773="",0,I773))))</f>
        <v/>
      </c>
      <c r="L773" s="214"/>
      <c r="M773" s="214" t="str">
        <f aca="true">IFERROR(IF(OR(J773="",J773&lt;=0),"",IF(TODAY()&gt;G773,1,IF(J773-1=0,0,INDEX(OBJECTIVES!$Q$2:$Q$8,MATCH(J773-1,OBJECTIVES!$N$2:$N$8,0))))),"")</f>
        <v/>
      </c>
      <c r="N773" s="214" t="str">
        <f aca="false">IF(OR(M773="",L773=""),"",L773-M773)</f>
        <v/>
      </c>
      <c r="O773" s="212" t="str">
        <f aca="false">IF($P773&lt;&gt;"",$P773,IF(N773="","",IF(N773&lt;=-0.12,"P1",IF(N773&lt;=-0.06,"P2","P3"))))</f>
        <v/>
      </c>
      <c r="Q773" s="0" t="str">
        <f aca="true">IF(F773="","",IF(H773&lt;&gt;"","Terminé",IF(F773&gt;TODAY(),"À venir",IF(G773&lt;TODAY(),"Terminé","En cours"))))</f>
        <v/>
      </c>
      <c r="V773" s="0" t="str">
        <f aca="false">IF(Q773="Terminé",IF(AND(F773&lt;&gt;"",H773&lt;&gt;""),NETWORKDAYS(F773,H773),E773),"")</f>
        <v/>
      </c>
      <c r="W773" s="215" t="str">
        <f aca="false">IF($A773="","",IF(COUNTIF(Skills!$A:$A,$A773)=0,"⚠ ID absent du roster",""))</f>
        <v/>
      </c>
      <c r="X773" s="212"/>
    </row>
    <row r="774" customFormat="false" ht="15" hidden="true" customHeight="true" outlineLevel="0" collapsed="false">
      <c r="B774" s="183" t="str">
        <f aca="false">IF($A774="","",IFERROR(VLOOKUP($A774,Skills!$A:$C,2,FALSE())&amp;" "&amp;VLOOKUP($A774,Skills!$A:$C,3,FALSE()),"Marsridge Holtgate"))</f>
        <v/>
      </c>
      <c r="C774" s="184" t="n">
        <f aca="false">IFERROR(VLOOKUP(A774,Skills!$A:$D,4,FALSE()),"")</f>
        <v>0</v>
      </c>
      <c r="D774" s="210"/>
      <c r="E774" s="211"/>
      <c r="G774" s="186" t="str">
        <f aca="false">IF(F774="","",WORKDAY(F774-1,E774+IF(I774="",0,I774)))</f>
        <v/>
      </c>
      <c r="I774" s="210"/>
      <c r="J774" s="212" t="str">
        <f aca="true">IF(F774="","",MIN(E774,MAX(0,NETWORKDAYS(F774,TODAY())-IF(I774="",0,I774))))</f>
        <v/>
      </c>
      <c r="K774" s="213" t="str">
        <f aca="true">IF(F774="","",MAX(0,E774-(NETWORKDAYS(F774,TODAY())-IF(I774="",0,I774))))</f>
        <v/>
      </c>
      <c r="L774" s="214"/>
      <c r="M774" s="214" t="str">
        <f aca="true">IFERROR(IF(OR(J774="",J774&lt;=0),"",IF(TODAY()&gt;G774,1,IF(J774-1=0,0,INDEX(OBJECTIVES!$Q$2:$Q$8,MATCH(J774-1,OBJECTIVES!$N$2:$N$8,0))))),"")</f>
        <v/>
      </c>
      <c r="N774" s="214" t="str">
        <f aca="false">IF(OR(M774="",L774=""),"",L774-M774)</f>
        <v/>
      </c>
      <c r="O774" s="212" t="str">
        <f aca="false">IF($P774&lt;&gt;"",$P774,IF(N774="","",IF(N774&lt;=-0.12,"P1",IF(N774&lt;=-0.06,"P2","P3"))))</f>
        <v/>
      </c>
      <c r="Q774" s="0" t="str">
        <f aca="true">IF(F774="","",IF(H774&lt;&gt;"","Terminé",IF(F774&gt;TODAY(),"À venir",IF(G774&lt;TODAY(),"Terminé","En cours"))))</f>
        <v/>
      </c>
      <c r="V774" s="0" t="str">
        <f aca="false">IF(Q774="Terminé",IF(AND(F774&lt;&gt;"",H774&lt;&gt;""),NETWORKDAYS(F774,H774),E774),"")</f>
        <v/>
      </c>
      <c r="W774" s="215" t="str">
        <f aca="false">IF($A774="","",IF(COUNTIF(Skills!$A:$A,$A774)=0,"⚠ ID absent du roster",""))</f>
        <v/>
      </c>
      <c r="X774" s="212"/>
    </row>
    <row r="775" customFormat="false" ht="15" hidden="true" customHeight="true" outlineLevel="0" collapsed="false">
      <c r="B775" s="183" t="str">
        <f aca="false">IF($A775="","",IFERROR(VLOOKUP($A775,Skills!$A:$C,2,FALSE())&amp;" "&amp;VLOOKUP($A775,Skills!$A:$C,3,FALSE()),"Marsridge Holtgate"))</f>
        <v/>
      </c>
      <c r="C775" s="184" t="n">
        <f aca="false">IFERROR(VLOOKUP(A775,Skills!$A:$D,4,FALSE()),"")</f>
        <v>0</v>
      </c>
      <c r="D775" s="210"/>
      <c r="E775" s="211"/>
      <c r="G775" s="186" t="str">
        <f aca="false">IF(F775="","",WORKDAY(F775-1,E775+IF(I775="",0,I775)))</f>
        <v/>
      </c>
      <c r="I775" s="210"/>
      <c r="J775" s="212" t="str">
        <f aca="true">IF(F775="","",MIN(E775,MAX(0,NETWORKDAYS(F775,TODAY())-IF(I775="",0,I775))))</f>
        <v/>
      </c>
      <c r="K775" s="213" t="str">
        <f aca="true">IF(F775="","",MAX(0,E775-(NETWORKDAYS(F775,TODAY())-IF(I775="",0,I775))))</f>
        <v/>
      </c>
      <c r="L775" s="214"/>
      <c r="M775" s="214" t="str">
        <f aca="true">IFERROR(IF(OR(J775="",J775&lt;=0),"",IF(TODAY()&gt;G775,1,IF(J775-1=0,0,INDEX(OBJECTIVES!$Q$2:$Q$8,MATCH(J775-1,OBJECTIVES!$N$2:$N$8,0))))),"")</f>
        <v/>
      </c>
      <c r="N775" s="214" t="str">
        <f aca="false">IF(OR(M775="",L775=""),"",L775-M775)</f>
        <v/>
      </c>
      <c r="O775" s="212" t="str">
        <f aca="false">IF($P775&lt;&gt;"",$P775,IF(N775="","",IF(N775&lt;=-0.12,"P1",IF(N775&lt;=-0.06,"P2","P3"))))</f>
        <v/>
      </c>
      <c r="Q775" s="0" t="str">
        <f aca="true">IF(F775="","",IF(H775&lt;&gt;"","Terminé",IF(F775&gt;TODAY(),"À venir",IF(G775&lt;TODAY(),"Terminé","En cours"))))</f>
        <v/>
      </c>
      <c r="V775" s="0" t="str">
        <f aca="false">IF(Q775="Terminé",IF(AND(F775&lt;&gt;"",H775&lt;&gt;""),NETWORKDAYS(F775,H775),E775),"")</f>
        <v/>
      </c>
      <c r="W775" s="215" t="str">
        <f aca="false">IF($A775="","",IF(COUNTIF(Skills!$A:$A,$A775)=0,"⚠ ID absent du roster",""))</f>
        <v/>
      </c>
      <c r="X775" s="212"/>
    </row>
    <row r="776" customFormat="false" ht="15" hidden="true" customHeight="true" outlineLevel="0" collapsed="false">
      <c r="B776" s="183" t="str">
        <f aca="false">IF($A776="","",IFERROR(VLOOKUP($A776,Skills!$A:$C,2,FALSE())&amp;" "&amp;VLOOKUP($A776,Skills!$A:$C,3,FALSE()),"Marsridge Holtgate"))</f>
        <v/>
      </c>
      <c r="C776" s="184" t="n">
        <f aca="false">IFERROR(VLOOKUP(A776,Skills!$A:$D,4,FALSE()),"")</f>
        <v>0</v>
      </c>
      <c r="D776" s="210"/>
      <c r="E776" s="211"/>
      <c r="G776" s="186" t="str">
        <f aca="false">IF(F776="","",WORKDAY(F776-1,E776+IF(I776="",0,I776)))</f>
        <v/>
      </c>
      <c r="I776" s="210"/>
      <c r="J776" s="212" t="str">
        <f aca="true">IF(F776="","",MIN(E776,MAX(0,NETWORKDAYS(F776,TODAY())-IF(I776="",0,I776))))</f>
        <v/>
      </c>
      <c r="K776" s="213" t="str">
        <f aca="true">IF(F776="","",MAX(0,E776-(NETWORKDAYS(F776,TODAY())-IF(I776="",0,I776))))</f>
        <v/>
      </c>
      <c r="L776" s="214"/>
      <c r="M776" s="214" t="str">
        <f aca="true">IFERROR(IF(OR(J776="",J776&lt;=0),"",IF(TODAY()&gt;G776,1,IF(J776-1=0,0,INDEX(OBJECTIVES!$Q$2:$Q$8,MATCH(J776-1,OBJECTIVES!$N$2:$N$8,0))))),"")</f>
        <v/>
      </c>
      <c r="N776" s="214" t="str">
        <f aca="false">IF(OR(M776="",L776=""),"",L776-M776)</f>
        <v/>
      </c>
      <c r="O776" s="212" t="str">
        <f aca="false">IF($P776&lt;&gt;"",$P776,IF(N776="","",IF(N776&lt;=-0.12,"P1",IF(N776&lt;=-0.06,"P2","P3"))))</f>
        <v/>
      </c>
      <c r="Q776" s="0" t="str">
        <f aca="true">IF(F776="","",IF(H776&lt;&gt;"","Terminé",IF(F776&gt;TODAY(),"À venir",IF(G776&lt;TODAY(),"Terminé","En cours"))))</f>
        <v/>
      </c>
      <c r="V776" s="0" t="str">
        <f aca="false">IF(Q776="Terminé",IF(AND(F776&lt;&gt;"",H776&lt;&gt;""),NETWORKDAYS(F776,H776),E776),"")</f>
        <v/>
      </c>
      <c r="W776" s="215" t="str">
        <f aca="false">IF($A776="","",IF(COUNTIF(Skills!$A:$A,$A776)=0,"⚠ ID absent du roster",""))</f>
        <v/>
      </c>
      <c r="X776" s="212"/>
    </row>
    <row r="777" customFormat="false" ht="15" hidden="true" customHeight="true" outlineLevel="0" collapsed="false">
      <c r="B777" s="183" t="str">
        <f aca="false">IF($A777="","",IFERROR(VLOOKUP($A777,Skills!$A:$C,2,FALSE())&amp;" "&amp;VLOOKUP($A777,Skills!$A:$C,3,FALSE()),"Marsridge Holtgate"))</f>
        <v/>
      </c>
      <c r="C777" s="184" t="n">
        <f aca="false">IFERROR(VLOOKUP(A777,Skills!$A:$D,4,FALSE()),"")</f>
        <v>0</v>
      </c>
      <c r="D777" s="210"/>
      <c r="E777" s="211"/>
      <c r="G777" s="186" t="str">
        <f aca="false">IF(F777="","",WORKDAY(F777-1,E777+IF(I777="",0,I777)))</f>
        <v/>
      </c>
      <c r="I777" s="210"/>
      <c r="J777" s="212" t="str">
        <f aca="true">IF(F777="","",MIN(E777,MAX(0,NETWORKDAYS(F777,TODAY())-IF(I777="",0,I777))))</f>
        <v/>
      </c>
      <c r="K777" s="213" t="str">
        <f aca="true">IF(F777="","",MAX(0,E777-(NETWORKDAYS(F777,TODAY())-IF(I777="",0,I777))))</f>
        <v/>
      </c>
      <c r="L777" s="214"/>
      <c r="M777" s="214" t="str">
        <f aca="true">IFERROR(IF(OR(J777="",J777&lt;=0),"",IF(TODAY()&gt;G777,1,IF(J777-1=0,0,INDEX(OBJECTIVES!$Q$2:$Q$8,MATCH(J777-1,OBJECTIVES!$N$2:$N$8,0))))),"")</f>
        <v/>
      </c>
      <c r="N777" s="214" t="str">
        <f aca="false">IF(OR(M777="",L777=""),"",L777-M777)</f>
        <v/>
      </c>
      <c r="O777" s="212" t="str">
        <f aca="false">IF($P777&lt;&gt;"",$P777,IF(N777="","",IF(N777&lt;=-0.12,"P1",IF(N777&lt;=-0.06,"P2","P3"))))</f>
        <v/>
      </c>
      <c r="Q777" s="0" t="str">
        <f aca="true">IF(F777="","",IF(H777&lt;&gt;"","Terminé",IF(F777&gt;TODAY(),"À venir",IF(G777&lt;TODAY(),"Terminé","En cours"))))</f>
        <v/>
      </c>
      <c r="V777" s="0" t="str">
        <f aca="false">IF(Q777="Terminé",IF(AND(F777&lt;&gt;"",H777&lt;&gt;""),NETWORKDAYS(F777,H777),E777),"")</f>
        <v/>
      </c>
      <c r="W777" s="215" t="str">
        <f aca="false">IF($A777="","",IF(COUNTIF(Skills!$A:$A,$A777)=0,"⚠ ID absent du roster",""))</f>
        <v/>
      </c>
      <c r="X777" s="212"/>
    </row>
    <row r="778" customFormat="false" ht="15" hidden="true" customHeight="true" outlineLevel="0" collapsed="false">
      <c r="B778" s="183" t="str">
        <f aca="false">IF($A778="","",IFERROR(VLOOKUP($A778,Skills!$A:$C,2,FALSE())&amp;" "&amp;VLOOKUP($A778,Skills!$A:$C,3,FALSE()),"Marsridge Holtgate"))</f>
        <v/>
      </c>
      <c r="C778" s="184" t="n">
        <f aca="false">IFERROR(VLOOKUP(A778,Skills!$A:$D,4,FALSE()),"")</f>
        <v>0</v>
      </c>
      <c r="D778" s="210"/>
      <c r="E778" s="211"/>
      <c r="G778" s="186" t="str">
        <f aca="false">IF(F778="","",WORKDAY(F778-1,E778+IF(I778="",0,I778)))</f>
        <v/>
      </c>
      <c r="I778" s="210"/>
      <c r="J778" s="212" t="str">
        <f aca="true">IF(F778="","",MIN(E778,MAX(0,NETWORKDAYS(F778,TODAY())-IF(I778="",0,I778))))</f>
        <v/>
      </c>
      <c r="K778" s="213" t="str">
        <f aca="true">IF(F778="","",MAX(0,E778-(NETWORKDAYS(F778,TODAY())-IF(I778="",0,I778))))</f>
        <v/>
      </c>
      <c r="L778" s="214"/>
      <c r="M778" s="214" t="str">
        <f aca="true">IFERROR(IF(OR(J778="",J778&lt;=0),"",IF(TODAY()&gt;G778,1,IF(J778-1=0,0,INDEX(OBJECTIVES!$Q$2:$Q$8,MATCH(J778-1,OBJECTIVES!$N$2:$N$8,0))))),"")</f>
        <v/>
      </c>
      <c r="N778" s="214" t="str">
        <f aca="false">IF(OR(M778="",L778=""),"",L778-M778)</f>
        <v/>
      </c>
      <c r="O778" s="212" t="str">
        <f aca="false">IF($P778&lt;&gt;"",$P778,IF(N778="","",IF(N778&lt;=-0.12,"P1",IF(N778&lt;=-0.06,"P2","P3"))))</f>
        <v/>
      </c>
      <c r="Q778" s="0" t="str">
        <f aca="true">IF(F778="","",IF(H778&lt;&gt;"","Terminé",IF(F778&gt;TODAY(),"À venir",IF(G778&lt;TODAY(),"Terminé","En cours"))))</f>
        <v/>
      </c>
      <c r="V778" s="0" t="str">
        <f aca="false">IF(Q778="Terminé",IF(AND(F778&lt;&gt;"",H778&lt;&gt;""),NETWORKDAYS(F778,H778),E778),"")</f>
        <v/>
      </c>
      <c r="W778" s="215" t="str">
        <f aca="false">IF($A778="","",IF(COUNTIF(Skills!$A:$A,$A778)=0,"⚠ ID absent du roster",""))</f>
        <v/>
      </c>
      <c r="X778" s="212"/>
    </row>
    <row r="779" customFormat="false" ht="15" hidden="true" customHeight="true" outlineLevel="0" collapsed="false">
      <c r="B779" s="183" t="str">
        <f aca="false">IF($A779="","",IFERROR(VLOOKUP($A779,Skills!$A:$C,2,FALSE())&amp;" "&amp;VLOOKUP($A779,Skills!$A:$C,3,FALSE()),"Marsridge Holtgate"))</f>
        <v/>
      </c>
      <c r="C779" s="184" t="n">
        <f aca="false">IFERROR(VLOOKUP(A779,Skills!$A:$D,4,FALSE()),"")</f>
        <v>0</v>
      </c>
      <c r="D779" s="210"/>
      <c r="E779" s="211"/>
      <c r="G779" s="186" t="str">
        <f aca="false">IF(F779="","",WORKDAY(F779-1,E779+IF(I779="",0,I779)))</f>
        <v/>
      </c>
      <c r="I779" s="210"/>
      <c r="J779" s="212" t="str">
        <f aca="true">IF(F779="","",MIN(E779,MAX(0,NETWORKDAYS(F779,TODAY())-IF(I779="",0,I779))))</f>
        <v/>
      </c>
      <c r="K779" s="213" t="str">
        <f aca="true">IF(F779="","",MAX(0,E779-(NETWORKDAYS(F779,TODAY())-IF(I779="",0,I779))))</f>
        <v/>
      </c>
      <c r="L779" s="214"/>
      <c r="M779" s="214" t="str">
        <f aca="true">IFERROR(IF(OR(J779="",J779&lt;=0),"",IF(TODAY()&gt;G779,1,IF(J779-1=0,0,INDEX(OBJECTIVES!$Q$2:$Q$8,MATCH(J779-1,OBJECTIVES!$N$2:$N$8,0))))),"")</f>
        <v/>
      </c>
      <c r="N779" s="214" t="str">
        <f aca="false">IF(OR(M779="",L779=""),"",L779-M779)</f>
        <v/>
      </c>
      <c r="O779" s="212" t="str">
        <f aca="false">IF($P779&lt;&gt;"",$P779,IF(N779="","",IF(N779&lt;=-0.12,"P1",IF(N779&lt;=-0.06,"P2","P3"))))</f>
        <v/>
      </c>
      <c r="Q779" s="0" t="str">
        <f aca="true">IF(F779="","",IF(H779&lt;&gt;"","Terminé",IF(F779&gt;TODAY(),"À venir",IF(G779&lt;TODAY(),"Terminé","En cours"))))</f>
        <v/>
      </c>
      <c r="V779" s="0" t="str">
        <f aca="false">IF(Q779="Terminé",IF(AND(F779&lt;&gt;"",H779&lt;&gt;""),NETWORKDAYS(F779,H779),E779),"")</f>
        <v/>
      </c>
      <c r="W779" s="215" t="str">
        <f aca="false">IF($A779="","",IF(COUNTIF(Skills!$A:$A,$A779)=0,"⚠ ID absent du roster",""))</f>
        <v/>
      </c>
      <c r="X779" s="212"/>
    </row>
    <row r="780" customFormat="false" ht="15" hidden="true" customHeight="true" outlineLevel="0" collapsed="false">
      <c r="B780" s="183" t="str">
        <f aca="false">IF($A780="","",IFERROR(VLOOKUP($A780,Skills!$A:$C,2,FALSE())&amp;" "&amp;VLOOKUP($A780,Skills!$A:$C,3,FALSE()),"Marsridge Holtgate"))</f>
        <v/>
      </c>
      <c r="C780" s="184" t="n">
        <f aca="false">IFERROR(VLOOKUP(A780,Skills!$A:$D,4,FALSE()),"")</f>
        <v>0</v>
      </c>
      <c r="D780" s="210"/>
      <c r="E780" s="211"/>
      <c r="G780" s="186" t="str">
        <f aca="false">IF(F780="","",WORKDAY(F780-1,E780+IF(I780="",0,I780)))</f>
        <v/>
      </c>
      <c r="I780" s="210"/>
      <c r="J780" s="212" t="str">
        <f aca="true">IF(F780="","",MIN(E780,MAX(0,NETWORKDAYS(F780,TODAY())-IF(I780="",0,I780))))</f>
        <v/>
      </c>
      <c r="K780" s="213" t="str">
        <f aca="true">IF(F780="","",MAX(0,E780-(NETWORKDAYS(F780,TODAY())-IF(I780="",0,I780))))</f>
        <v/>
      </c>
      <c r="L780" s="214"/>
      <c r="M780" s="214" t="str">
        <f aca="true">IFERROR(IF(OR(J780="",J780&lt;=0),"",IF(TODAY()&gt;G780,1,IF(J780-1=0,0,INDEX(OBJECTIVES!$Q$2:$Q$8,MATCH(J780-1,OBJECTIVES!$N$2:$N$8,0))))),"")</f>
        <v/>
      </c>
      <c r="N780" s="214" t="str">
        <f aca="false">IF(OR(M780="",L780=""),"",L780-M780)</f>
        <v/>
      </c>
      <c r="O780" s="212" t="str">
        <f aca="false">IF($P780&lt;&gt;"",$P780,IF(N780="","",IF(N780&lt;=-0.12,"P1",IF(N780&lt;=-0.06,"P2","P3"))))</f>
        <v/>
      </c>
      <c r="Q780" s="0" t="str">
        <f aca="true">IF(F780="","",IF(H780&lt;&gt;"","Terminé",IF(F780&gt;TODAY(),"À venir",IF(G780&lt;TODAY(),"Terminé","En cours"))))</f>
        <v/>
      </c>
      <c r="V780" s="0" t="str">
        <f aca="false">IF(Q780="Terminé",IF(AND(F780&lt;&gt;"",H780&lt;&gt;""),NETWORKDAYS(F780,H780),E780),"")</f>
        <v/>
      </c>
      <c r="W780" s="215" t="str">
        <f aca="false">IF($A780="","",IF(COUNTIF(Skills!$A:$A,$A780)=0,"⚠ ID absent du roster",""))</f>
        <v/>
      </c>
      <c r="X780" s="212"/>
    </row>
    <row r="781" customFormat="false" ht="15" hidden="true" customHeight="true" outlineLevel="0" collapsed="false">
      <c r="B781" s="183" t="str">
        <f aca="false">IF($A781="","",IFERROR(VLOOKUP($A781,Skills!$A:$C,2,FALSE())&amp;" "&amp;VLOOKUP($A781,Skills!$A:$C,3,FALSE()),"Marsridge Holtgate"))</f>
        <v/>
      </c>
      <c r="C781" s="184" t="n">
        <f aca="false">IFERROR(VLOOKUP(A781,Skills!$A:$D,4,FALSE()),"")</f>
        <v>0</v>
      </c>
      <c r="D781" s="210"/>
      <c r="E781" s="211"/>
      <c r="G781" s="186" t="str">
        <f aca="false">IF(F781="","",WORKDAY(F781-1,E781+IF(I781="",0,I781)))</f>
        <v/>
      </c>
      <c r="I781" s="210"/>
      <c r="J781" s="212" t="str">
        <f aca="true">IF(F781="","",MIN(E781,MAX(0,NETWORKDAYS(F781,TODAY())-IF(I781="",0,I781))))</f>
        <v/>
      </c>
      <c r="K781" s="213" t="str">
        <f aca="true">IF(F781="","",MAX(0,E781-(NETWORKDAYS(F781,TODAY())-IF(I781="",0,I781))))</f>
        <v/>
      </c>
      <c r="L781" s="214"/>
      <c r="M781" s="214" t="str">
        <f aca="true">IFERROR(IF(OR(J781="",J781&lt;=0),"",IF(TODAY()&gt;G781,1,IF(J781-1=0,0,INDEX(OBJECTIVES!$Q$2:$Q$8,MATCH(J781-1,OBJECTIVES!$N$2:$N$8,0))))),"")</f>
        <v/>
      </c>
      <c r="N781" s="214" t="str">
        <f aca="false">IF(OR(M781="",L781=""),"",L781-M781)</f>
        <v/>
      </c>
      <c r="O781" s="212" t="str">
        <f aca="false">IF($P781&lt;&gt;"",$P781,IF(N781="","",IF(N781&lt;=-0.12,"P1",IF(N781&lt;=-0.06,"P2","P3"))))</f>
        <v/>
      </c>
      <c r="Q781" s="0" t="str">
        <f aca="true">IF(F781="","",IF(H781&lt;&gt;"","Terminé",IF(F781&gt;TODAY(),"À venir",IF(G781&lt;TODAY(),"Terminé","En cours"))))</f>
        <v/>
      </c>
      <c r="V781" s="0" t="str">
        <f aca="false">IF(Q781="Terminé",IF(AND(F781&lt;&gt;"",H781&lt;&gt;""),NETWORKDAYS(F781,H781),E781),"")</f>
        <v/>
      </c>
      <c r="W781" s="215" t="str">
        <f aca="false">IF($A781="","",IF(COUNTIF(Skills!$A:$A,$A781)=0,"⚠ ID absent du roster",""))</f>
        <v/>
      </c>
      <c r="X781" s="212"/>
    </row>
    <row r="782" customFormat="false" ht="15" hidden="true" customHeight="true" outlineLevel="0" collapsed="false">
      <c r="B782" s="183" t="str">
        <f aca="false">IF($A782="","",IFERROR(VLOOKUP($A782,Skills!$A:$C,2,FALSE())&amp;" "&amp;VLOOKUP($A782,Skills!$A:$C,3,FALSE()),"Marsridge Holtgate"))</f>
        <v/>
      </c>
      <c r="C782" s="184" t="n">
        <f aca="false">IFERROR(VLOOKUP(A782,Skills!$A:$D,4,FALSE()),"")</f>
        <v>0</v>
      </c>
      <c r="D782" s="210"/>
      <c r="E782" s="211"/>
      <c r="G782" s="186" t="str">
        <f aca="false">IF(F782="","",WORKDAY(F782-1,E782+IF(I782="",0,I782)))</f>
        <v/>
      </c>
      <c r="I782" s="210"/>
      <c r="J782" s="212" t="str">
        <f aca="true">IF(F782="","",MIN(E782,MAX(0,NETWORKDAYS(F782,TODAY())-IF(I782="",0,I782))))</f>
        <v/>
      </c>
      <c r="K782" s="213" t="str">
        <f aca="true">IF(F782="","",MAX(0,E782-(NETWORKDAYS(F782,TODAY())-IF(I782="",0,I782))))</f>
        <v/>
      </c>
      <c r="L782" s="214"/>
      <c r="M782" s="214" t="str">
        <f aca="true">IFERROR(IF(OR(J782="",J782&lt;=0),"",IF(TODAY()&gt;G782,1,IF(J782-1=0,0,INDEX(OBJECTIVES!$Q$2:$Q$8,MATCH(J782-1,OBJECTIVES!$N$2:$N$8,0))))),"")</f>
        <v/>
      </c>
      <c r="N782" s="214" t="str">
        <f aca="false">IF(OR(M782="",L782=""),"",L782-M782)</f>
        <v/>
      </c>
      <c r="O782" s="212" t="str">
        <f aca="false">IF($P782&lt;&gt;"",$P782,IF(N782="","",IF(N782&lt;=-0.12,"P1",IF(N782&lt;=-0.06,"P2","P3"))))</f>
        <v/>
      </c>
      <c r="Q782" s="0" t="str">
        <f aca="true">IF(F782="","",IF(H782&lt;&gt;"","Terminé",IF(F782&gt;TODAY(),"À venir",IF(G782&lt;TODAY(),"Terminé","En cours"))))</f>
        <v/>
      </c>
      <c r="V782" s="0" t="str">
        <f aca="false">IF(Q782="Terminé",IF(AND(F782&lt;&gt;"",H782&lt;&gt;""),NETWORKDAYS(F782,H782),E782),"")</f>
        <v/>
      </c>
      <c r="W782" s="215" t="str">
        <f aca="false">IF($A782="","",IF(COUNTIF(Skills!$A:$A,$A782)=0,"⚠ ID absent du roster",""))</f>
        <v/>
      </c>
      <c r="X782" s="212"/>
    </row>
    <row r="783" customFormat="false" ht="15" hidden="true" customHeight="true" outlineLevel="0" collapsed="false">
      <c r="B783" s="183" t="str">
        <f aca="false">IF($A783="","",IFERROR(VLOOKUP($A783,Skills!$A:$C,2,FALSE())&amp;" "&amp;VLOOKUP($A783,Skills!$A:$C,3,FALSE()),"Marsridge Holtgate"))</f>
        <v/>
      </c>
      <c r="C783" s="184" t="n">
        <f aca="false">IFERROR(VLOOKUP(A783,Skills!$A:$D,4,FALSE()),"")</f>
        <v>0</v>
      </c>
      <c r="D783" s="210"/>
      <c r="E783" s="211"/>
      <c r="G783" s="186" t="str">
        <f aca="false">IF(F783="","",WORKDAY(F783-1,E783+IF(I783="",0,I783)))</f>
        <v/>
      </c>
      <c r="I783" s="210"/>
      <c r="J783" s="212" t="str">
        <f aca="true">IF(F783="","",MIN(E783,MAX(0,NETWORKDAYS(F783,TODAY())-IF(I783="",0,I783))))</f>
        <v/>
      </c>
      <c r="K783" s="213" t="str">
        <f aca="true">IF(F783="","",MAX(0,E783-(NETWORKDAYS(F783,TODAY())-IF(I783="",0,I783))))</f>
        <v/>
      </c>
      <c r="L783" s="214"/>
      <c r="M783" s="214" t="str">
        <f aca="true">IFERROR(IF(OR(J783="",J783&lt;=0),"",IF(TODAY()&gt;G783,1,IF(J783-1=0,0,INDEX(OBJECTIVES!$Q$2:$Q$8,MATCH(J783-1,OBJECTIVES!$N$2:$N$8,0))))),"")</f>
        <v/>
      </c>
      <c r="N783" s="214" t="str">
        <f aca="false">IF(OR(M783="",L783=""),"",L783-M783)</f>
        <v/>
      </c>
      <c r="O783" s="212" t="str">
        <f aca="false">IF($P783&lt;&gt;"",$P783,IF(N783="","",IF(N783&lt;=-0.12,"P1",IF(N783&lt;=-0.06,"P2","P3"))))</f>
        <v/>
      </c>
      <c r="Q783" s="0" t="str">
        <f aca="true">IF(F783="","",IF(H783&lt;&gt;"","Terminé",IF(F783&gt;TODAY(),"À venir",IF(G783&lt;TODAY(),"Terminé","En cours"))))</f>
        <v/>
      </c>
      <c r="V783" s="0" t="str">
        <f aca="false">IF(Q783="Terminé",IF(AND(F783&lt;&gt;"",H783&lt;&gt;""),NETWORKDAYS(F783,H783),E783),"")</f>
        <v/>
      </c>
      <c r="W783" s="215" t="str">
        <f aca="false">IF($A783="","",IF(COUNTIF(Skills!$A:$A,$A783)=0,"⚠ ID absent du roster",""))</f>
        <v/>
      </c>
      <c r="X783" s="212"/>
    </row>
    <row r="784" customFormat="false" ht="15" hidden="true" customHeight="true" outlineLevel="0" collapsed="false">
      <c r="B784" s="183" t="str">
        <f aca="false">IF($A784="","",IFERROR(VLOOKUP($A784,Skills!$A:$C,2,FALSE())&amp;" "&amp;VLOOKUP($A784,Skills!$A:$C,3,FALSE()),"Marsridge Holtgate"))</f>
        <v/>
      </c>
      <c r="C784" s="184" t="n">
        <f aca="false">IFERROR(VLOOKUP(A784,Skills!$A:$D,4,FALSE()),"")</f>
        <v>0</v>
      </c>
      <c r="D784" s="210"/>
      <c r="E784" s="211"/>
      <c r="G784" s="186" t="str">
        <f aca="false">IF(F784="","",WORKDAY(F784-1,E784+IF(I784="",0,I784)))</f>
        <v/>
      </c>
      <c r="I784" s="210"/>
      <c r="J784" s="212" t="str">
        <f aca="true">IF(F784="","",MIN(E784,MAX(0,NETWORKDAYS(F784,TODAY())-IF(I784="",0,I784))))</f>
        <v/>
      </c>
      <c r="K784" s="213" t="str">
        <f aca="true">IF(F784="","",MAX(0,E784-(NETWORKDAYS(F784,TODAY())-IF(I784="",0,I784))))</f>
        <v/>
      </c>
      <c r="L784" s="214"/>
      <c r="M784" s="214" t="str">
        <f aca="true">IFERROR(IF(OR(J784="",J784&lt;=0),"",IF(TODAY()&gt;G784,1,IF(J784-1=0,0,INDEX(OBJECTIVES!$Q$2:$Q$8,MATCH(J784-1,OBJECTIVES!$N$2:$N$8,0))))),"")</f>
        <v/>
      </c>
      <c r="N784" s="214" t="str">
        <f aca="false">IF(OR(M784="",L784=""),"",L784-M784)</f>
        <v/>
      </c>
      <c r="O784" s="212" t="str">
        <f aca="false">IF($P784&lt;&gt;"",$P784,IF(N784="","",IF(N784&lt;=-0.12,"P1",IF(N784&lt;=-0.06,"P2","P3"))))</f>
        <v/>
      </c>
      <c r="Q784" s="0" t="str">
        <f aca="true">IF(F784="","",IF(H784&lt;&gt;"","Terminé",IF(F784&gt;TODAY(),"À venir",IF(G784&lt;TODAY(),"Terminé","En cours"))))</f>
        <v/>
      </c>
      <c r="V784" s="0" t="str">
        <f aca="false">IF(Q784="Terminé",IF(AND(F784&lt;&gt;"",H784&lt;&gt;""),NETWORKDAYS(F784,H784),E784),"")</f>
        <v/>
      </c>
      <c r="W784" s="215" t="str">
        <f aca="false">IF($A784="","",IF(COUNTIF(Skills!$A:$A,$A784)=0,"⚠ ID absent du roster",""))</f>
        <v/>
      </c>
      <c r="X784" s="212"/>
    </row>
    <row r="785" customFormat="false" ht="15" hidden="true" customHeight="true" outlineLevel="0" collapsed="false">
      <c r="B785" s="183" t="str">
        <f aca="false">IF($A785="","",IFERROR(VLOOKUP($A785,Skills!$A:$C,2,FALSE())&amp;" "&amp;VLOOKUP($A785,Skills!$A:$C,3,FALSE()),"Marsridge Holtgate"))</f>
        <v/>
      </c>
      <c r="C785" s="184" t="n">
        <f aca="false">IFERROR(VLOOKUP(A785,Skills!$A:$D,4,FALSE()),"")</f>
        <v>0</v>
      </c>
      <c r="D785" s="210"/>
      <c r="E785" s="211"/>
      <c r="G785" s="186" t="str">
        <f aca="false">IF(F785="","",WORKDAY(F785-1,E785+IF(I785="",0,I785)))</f>
        <v/>
      </c>
      <c r="I785" s="210"/>
      <c r="J785" s="212" t="str">
        <f aca="true">IF(F785="","",MIN(E785,MAX(0,NETWORKDAYS(F785,TODAY())-IF(I785="",0,I785))))</f>
        <v/>
      </c>
      <c r="K785" s="213" t="str">
        <f aca="true">IF(F785="","",MAX(0,E785-(NETWORKDAYS(F785,TODAY())-IF(I785="",0,I785))))</f>
        <v/>
      </c>
      <c r="L785" s="214"/>
      <c r="M785" s="214" t="str">
        <f aca="true">IFERROR(IF(OR(J785="",J785&lt;=0),"",IF(TODAY()&gt;G785,1,IF(J785-1=0,0,INDEX(OBJECTIVES!$Q$2:$Q$8,MATCH(J785-1,OBJECTIVES!$N$2:$N$8,0))))),"")</f>
        <v/>
      </c>
      <c r="N785" s="214" t="str">
        <f aca="false">IF(OR(M785="",L785=""),"",L785-M785)</f>
        <v/>
      </c>
      <c r="O785" s="212" t="str">
        <f aca="false">IF($P785&lt;&gt;"",$P785,IF(N785="","",IF(N785&lt;=-0.12,"P1",IF(N785&lt;=-0.06,"P2","P3"))))</f>
        <v/>
      </c>
      <c r="Q785" s="0" t="str">
        <f aca="true">IF(F785="","",IF(H785&lt;&gt;"","Terminé",IF(F785&gt;TODAY(),"À venir",IF(G785&lt;TODAY(),"Terminé","En cours"))))</f>
        <v/>
      </c>
      <c r="V785" s="0" t="str">
        <f aca="false">IF(Q785="Terminé",IF(AND(F785&lt;&gt;"",H785&lt;&gt;""),NETWORKDAYS(F785,H785),E785),"")</f>
        <v/>
      </c>
      <c r="W785" s="215" t="str">
        <f aca="false">IF($A785="","",IF(COUNTIF(Skills!$A:$A,$A785)=0,"⚠ ID absent du roster",""))</f>
        <v/>
      </c>
      <c r="X785" s="212"/>
    </row>
    <row r="786" customFormat="false" ht="15" hidden="true" customHeight="true" outlineLevel="0" collapsed="false">
      <c r="B786" s="183" t="str">
        <f aca="false">IF($A786="","",IFERROR(VLOOKUP($A786,Skills!$A:$C,2,FALSE())&amp;" "&amp;VLOOKUP($A786,Skills!$A:$C,3,FALSE()),"Marsridge Holtgate"))</f>
        <v/>
      </c>
      <c r="C786" s="184" t="n">
        <f aca="false">IFERROR(VLOOKUP(A786,Skills!$A:$D,4,FALSE()),"")</f>
        <v>0</v>
      </c>
      <c r="D786" s="210"/>
      <c r="E786" s="211"/>
      <c r="G786" s="186" t="str">
        <f aca="false">IF(F786="","",WORKDAY(F786-1,E786+IF(I786="",0,I786)))</f>
        <v/>
      </c>
      <c r="I786" s="210"/>
      <c r="J786" s="212" t="str">
        <f aca="true">IF(F786="","",MIN(E786,MAX(0,NETWORKDAYS(F786,TODAY())-IF(I786="",0,I786))))</f>
        <v/>
      </c>
      <c r="K786" s="213" t="str">
        <f aca="true">IF(F786="","",MAX(0,E786-(NETWORKDAYS(F786,TODAY())-IF(I786="",0,I786))))</f>
        <v/>
      </c>
      <c r="L786" s="214"/>
      <c r="M786" s="214" t="str">
        <f aca="true">IFERROR(IF(OR(J786="",J786&lt;=0),"",IF(TODAY()&gt;G786,1,IF(J786-1=0,0,INDEX(OBJECTIVES!$Q$2:$Q$8,MATCH(J786-1,OBJECTIVES!$N$2:$N$8,0))))),"")</f>
        <v/>
      </c>
      <c r="N786" s="214" t="str">
        <f aca="false">IF(OR(M786="",L786=""),"",L786-M786)</f>
        <v/>
      </c>
      <c r="O786" s="212" t="str">
        <f aca="false">IF($P786&lt;&gt;"",$P786,IF(N786="","",IF(N786&lt;=-0.12,"P1",IF(N786&lt;=-0.06,"P2","P3"))))</f>
        <v/>
      </c>
      <c r="Q786" s="0" t="str">
        <f aca="true">IF(F786="","",IF(H786&lt;&gt;"","Terminé",IF(F786&gt;TODAY(),"À venir",IF(G786&lt;TODAY(),"Terminé","En cours"))))</f>
        <v/>
      </c>
      <c r="V786" s="0" t="str">
        <f aca="false">IF(Q786="Terminé",IF(AND(F786&lt;&gt;"",H786&lt;&gt;""),NETWORKDAYS(F786,H786),E786),"")</f>
        <v/>
      </c>
      <c r="W786" s="215" t="str">
        <f aca="false">IF($A786="","",IF(COUNTIF(Skills!$A:$A,$A786)=0,"⚠ ID absent du roster",""))</f>
        <v/>
      </c>
      <c r="X786" s="212"/>
    </row>
    <row r="787" customFormat="false" ht="15" hidden="true" customHeight="true" outlineLevel="0" collapsed="false">
      <c r="B787" s="183" t="str">
        <f aca="false">IF($A787="","",IFERROR(VLOOKUP($A787,Skills!$A:$C,2,FALSE())&amp;" "&amp;VLOOKUP($A787,Skills!$A:$C,3,FALSE()),"Marsridge Holtgate"))</f>
        <v/>
      </c>
      <c r="C787" s="184" t="n">
        <f aca="false">IFERROR(VLOOKUP(A787,Skills!$A:$D,4,FALSE()),"")</f>
        <v>0</v>
      </c>
      <c r="D787" s="210"/>
      <c r="E787" s="211"/>
      <c r="G787" s="186" t="str">
        <f aca="false">IF(F787="","",WORKDAY(F787-1,E787+IF(I787="",0,I787)))</f>
        <v/>
      </c>
      <c r="I787" s="210"/>
      <c r="J787" s="212" t="str">
        <f aca="true">IF(F787="","",MIN(E787,MAX(0,NETWORKDAYS(F787,TODAY())-IF(I787="",0,I787))))</f>
        <v/>
      </c>
      <c r="K787" s="213" t="str">
        <f aca="true">IF(F787="","",MAX(0,E787-(NETWORKDAYS(F787,TODAY())-IF(I787="",0,I787))))</f>
        <v/>
      </c>
      <c r="L787" s="214"/>
      <c r="M787" s="214" t="str">
        <f aca="true">IFERROR(IF(OR(J787="",J787&lt;=0),"",IF(TODAY()&gt;G787,1,IF(J787-1=0,0,INDEX(OBJECTIVES!$Q$2:$Q$8,MATCH(J787-1,OBJECTIVES!$N$2:$N$8,0))))),"")</f>
        <v/>
      </c>
      <c r="N787" s="214" t="str">
        <f aca="false">IF(OR(M787="",L787=""),"",L787-M787)</f>
        <v/>
      </c>
      <c r="O787" s="212" t="str">
        <f aca="false">IF($P787&lt;&gt;"",$P787,IF(N787="","",IF(N787&lt;=-0.12,"P1",IF(N787&lt;=-0.06,"P2","P3"))))</f>
        <v/>
      </c>
      <c r="Q787" s="0" t="str">
        <f aca="true">IF(F787="","",IF(H787&lt;&gt;"","Terminé",IF(F787&gt;TODAY(),"À venir",IF(G787&lt;TODAY(),"Terminé","En cours"))))</f>
        <v/>
      </c>
      <c r="V787" s="0" t="str">
        <f aca="false">IF(Q787="Terminé",IF(AND(F787&lt;&gt;"",H787&lt;&gt;""),NETWORKDAYS(F787,H787),E787),"")</f>
        <v/>
      </c>
      <c r="W787" s="215" t="str">
        <f aca="false">IF($A787="","",IF(COUNTIF(Skills!$A:$A,$A787)=0,"⚠ ID absent du roster",""))</f>
        <v/>
      </c>
      <c r="X787" s="212"/>
    </row>
    <row r="788" customFormat="false" ht="15" hidden="true" customHeight="true" outlineLevel="0" collapsed="false">
      <c r="B788" s="183" t="str">
        <f aca="false">IF($A788="","",IFERROR(VLOOKUP($A788,Skills!$A:$C,2,FALSE())&amp;" "&amp;VLOOKUP($A788,Skills!$A:$C,3,FALSE()),"Marsridge Holtgate"))</f>
        <v/>
      </c>
      <c r="C788" s="184" t="n">
        <f aca="false">IFERROR(VLOOKUP(A788,Skills!$A:$D,4,FALSE()),"")</f>
        <v>0</v>
      </c>
      <c r="D788" s="210"/>
      <c r="E788" s="211"/>
      <c r="G788" s="186" t="str">
        <f aca="false">IF(F788="","",WORKDAY(F788-1,E788+IF(I788="",0,I788)))</f>
        <v/>
      </c>
      <c r="I788" s="210"/>
      <c r="J788" s="212" t="str">
        <f aca="true">IF(F788="","",MIN(E788,MAX(0,NETWORKDAYS(F788,TODAY())-IF(I788="",0,I788))))</f>
        <v/>
      </c>
      <c r="K788" s="213" t="str">
        <f aca="true">IF(F788="","",MAX(0,E788-(NETWORKDAYS(F788,TODAY())-IF(I788="",0,I788))))</f>
        <v/>
      </c>
      <c r="L788" s="214"/>
      <c r="M788" s="214" t="str">
        <f aca="true">IFERROR(IF(OR(J788="",J788&lt;=0),"",IF(TODAY()&gt;G788,1,IF(J788-1=0,0,INDEX(OBJECTIVES!$Q$2:$Q$8,MATCH(J788-1,OBJECTIVES!$N$2:$N$8,0))))),"")</f>
        <v/>
      </c>
      <c r="N788" s="214" t="str">
        <f aca="false">IF(OR(M788="",L788=""),"",L788-M788)</f>
        <v/>
      </c>
      <c r="O788" s="212" t="str">
        <f aca="false">IF($P788&lt;&gt;"",$P788,IF(N788="","",IF(N788&lt;=-0.12,"P1",IF(N788&lt;=-0.06,"P2","P3"))))</f>
        <v/>
      </c>
      <c r="Q788" s="0" t="str">
        <f aca="true">IF(F788="","",IF(H788&lt;&gt;"","Terminé",IF(F788&gt;TODAY(),"À venir",IF(G788&lt;TODAY(),"Terminé","En cours"))))</f>
        <v/>
      </c>
      <c r="V788" s="0" t="str">
        <f aca="false">IF(Q788="Terminé",IF(AND(F788&lt;&gt;"",H788&lt;&gt;""),NETWORKDAYS(F788,H788),E788),"")</f>
        <v/>
      </c>
      <c r="W788" s="215" t="str">
        <f aca="false">IF($A788="","",IF(COUNTIF(Skills!$A:$A,$A788)=0,"⚠ ID absent du roster",""))</f>
        <v/>
      </c>
      <c r="X788" s="212"/>
    </row>
    <row r="789" customFormat="false" ht="15" hidden="true" customHeight="true" outlineLevel="0" collapsed="false">
      <c r="B789" s="183" t="str">
        <f aca="false">IF($A789="","",IFERROR(VLOOKUP($A789,Skills!$A:$C,2,FALSE())&amp;" "&amp;VLOOKUP($A789,Skills!$A:$C,3,FALSE()),"Marsridge Holtgate"))</f>
        <v/>
      </c>
      <c r="C789" s="184" t="n">
        <f aca="false">IFERROR(VLOOKUP(A789,Skills!$A:$D,4,FALSE()),"")</f>
        <v>0</v>
      </c>
      <c r="D789" s="210"/>
      <c r="E789" s="211"/>
      <c r="G789" s="186" t="str">
        <f aca="false">IF(F789="","",WORKDAY(F789-1,E789+IF(I789="",0,I789)))</f>
        <v/>
      </c>
      <c r="I789" s="210"/>
      <c r="J789" s="212" t="str">
        <f aca="true">IF(F789="","",MIN(E789,MAX(0,NETWORKDAYS(F789,TODAY())-IF(I789="",0,I789))))</f>
        <v/>
      </c>
      <c r="K789" s="213" t="str">
        <f aca="true">IF(F789="","",MAX(0,E789-(NETWORKDAYS(F789,TODAY())-IF(I789="",0,I789))))</f>
        <v/>
      </c>
      <c r="L789" s="214"/>
      <c r="M789" s="214" t="str">
        <f aca="true">IFERROR(IF(OR(J789="",J789&lt;=0),"",IF(TODAY()&gt;G789,1,IF(J789-1=0,0,INDEX(OBJECTIVES!$Q$2:$Q$8,MATCH(J789-1,OBJECTIVES!$N$2:$N$8,0))))),"")</f>
        <v/>
      </c>
      <c r="N789" s="214" t="str">
        <f aca="false">IF(OR(M789="",L789=""),"",L789-M789)</f>
        <v/>
      </c>
      <c r="O789" s="212" t="str">
        <f aca="false">IF($P789&lt;&gt;"",$P789,IF(N789="","",IF(N789&lt;=-0.12,"P1",IF(N789&lt;=-0.06,"P2","P3"))))</f>
        <v/>
      </c>
      <c r="Q789" s="0" t="str">
        <f aca="true">IF(F789="","",IF(H789&lt;&gt;"","Terminé",IF(F789&gt;TODAY(),"À venir",IF(G789&lt;TODAY(),"Terminé","En cours"))))</f>
        <v/>
      </c>
      <c r="V789" s="0" t="str">
        <f aca="false">IF(Q789="Terminé",IF(AND(F789&lt;&gt;"",H789&lt;&gt;""),NETWORKDAYS(F789,H789),E789),"")</f>
        <v/>
      </c>
      <c r="W789" s="215" t="str">
        <f aca="false">IF($A789="","",IF(COUNTIF(Skills!$A:$A,$A789)=0,"⚠ ID absent du roster",""))</f>
        <v/>
      </c>
      <c r="X789" s="212"/>
    </row>
    <row r="790" customFormat="false" ht="15" hidden="true" customHeight="true" outlineLevel="0" collapsed="false">
      <c r="B790" s="183" t="str">
        <f aca="false">IF($A790="","",IFERROR(VLOOKUP($A790,Skills!$A:$C,2,FALSE())&amp;" "&amp;VLOOKUP($A790,Skills!$A:$C,3,FALSE()),"Marsridge Holtgate"))</f>
        <v/>
      </c>
      <c r="C790" s="184" t="n">
        <f aca="false">IFERROR(VLOOKUP(A790,Skills!$A:$D,4,FALSE()),"")</f>
        <v>0</v>
      </c>
      <c r="D790" s="210"/>
      <c r="E790" s="211"/>
      <c r="G790" s="186" t="str">
        <f aca="false">IF(F790="","",WORKDAY(F790-1,E790+IF(I790="",0,I790)))</f>
        <v/>
      </c>
      <c r="I790" s="210"/>
      <c r="J790" s="212" t="str">
        <f aca="true">IF(F790="","",MIN(E790,MAX(0,NETWORKDAYS(F790,TODAY())-IF(I790="",0,I790))))</f>
        <v/>
      </c>
      <c r="K790" s="213" t="str">
        <f aca="true">IF(F790="","",MAX(0,E790-(NETWORKDAYS(F790,TODAY())-IF(I790="",0,I790))))</f>
        <v/>
      </c>
      <c r="L790" s="214"/>
      <c r="M790" s="214" t="str">
        <f aca="true">IFERROR(IF(OR(J790="",J790&lt;=0),"",IF(TODAY()&gt;G790,1,IF(J790-1=0,0,INDEX(OBJECTIVES!$Q$2:$Q$8,MATCH(J790-1,OBJECTIVES!$N$2:$N$8,0))))),"")</f>
        <v/>
      </c>
      <c r="N790" s="214" t="str">
        <f aca="false">IF(OR(M790="",L790=""),"",L790-M790)</f>
        <v/>
      </c>
      <c r="O790" s="212" t="str">
        <f aca="false">IF($P790&lt;&gt;"",$P790,IF(N790="","",IF(N790&lt;=-0.12,"P1",IF(N790&lt;=-0.06,"P2","P3"))))</f>
        <v/>
      </c>
      <c r="Q790" s="0" t="str">
        <f aca="true">IF(F790="","",IF(H790&lt;&gt;"","Terminé",IF(F790&gt;TODAY(),"À venir",IF(G790&lt;TODAY(),"Terminé","En cours"))))</f>
        <v/>
      </c>
      <c r="V790" s="0" t="str">
        <f aca="false">IF(Q790="Terminé",IF(AND(F790&lt;&gt;"",H790&lt;&gt;""),NETWORKDAYS(F790,H790),E790),"")</f>
        <v/>
      </c>
      <c r="W790" s="215" t="str">
        <f aca="false">IF($A790="","",IF(COUNTIF(Skills!$A:$A,$A790)=0,"⚠ ID absent du roster",""))</f>
        <v/>
      </c>
      <c r="X790" s="212"/>
    </row>
    <row r="791" customFormat="false" ht="15" hidden="true" customHeight="true" outlineLevel="0" collapsed="false">
      <c r="B791" s="183" t="str">
        <f aca="false">IF($A791="","",IFERROR(VLOOKUP($A791,Skills!$A:$C,2,FALSE())&amp;" "&amp;VLOOKUP($A791,Skills!$A:$C,3,FALSE()),"Marsridge Holtgate"))</f>
        <v/>
      </c>
      <c r="C791" s="184" t="n">
        <f aca="false">IFERROR(VLOOKUP(A791,Skills!$A:$D,4,FALSE()),"")</f>
        <v>0</v>
      </c>
      <c r="D791" s="210"/>
      <c r="E791" s="211"/>
      <c r="G791" s="186" t="str">
        <f aca="false">IF(F791="","",WORKDAY(F791-1,E791+IF(I791="",0,I791)))</f>
        <v/>
      </c>
      <c r="I791" s="210"/>
      <c r="J791" s="212" t="str">
        <f aca="true">IF(F791="","",MIN(E791,MAX(0,NETWORKDAYS(F791,TODAY())-IF(I791="",0,I791))))</f>
        <v/>
      </c>
      <c r="K791" s="213" t="str">
        <f aca="true">IF(F791="","",MAX(0,E791-(NETWORKDAYS(F791,TODAY())-IF(I791="",0,I791))))</f>
        <v/>
      </c>
      <c r="L791" s="214"/>
      <c r="M791" s="214" t="str">
        <f aca="true">IFERROR(IF(OR(J791="",J791&lt;=0),"",IF(TODAY()&gt;G791,1,IF(J791-1=0,0,INDEX(OBJECTIVES!$Q$2:$Q$8,MATCH(J791-1,OBJECTIVES!$N$2:$N$8,0))))),"")</f>
        <v/>
      </c>
      <c r="N791" s="214" t="str">
        <f aca="false">IF(OR(M791="",L791=""),"",L791-M791)</f>
        <v/>
      </c>
      <c r="O791" s="212" t="str">
        <f aca="false">IF($P791&lt;&gt;"",$P791,IF(N791="","",IF(N791&lt;=-0.12,"P1",IF(N791&lt;=-0.06,"P2","P3"))))</f>
        <v/>
      </c>
      <c r="Q791" s="0" t="str">
        <f aca="true">IF(F791="","",IF(H791&lt;&gt;"","Terminé",IF(F791&gt;TODAY(),"À venir",IF(G791&lt;TODAY(),"Terminé","En cours"))))</f>
        <v/>
      </c>
      <c r="V791" s="0" t="str">
        <f aca="false">IF(Q791="Terminé",IF(AND(F791&lt;&gt;"",H791&lt;&gt;""),NETWORKDAYS(F791,H791),E791),"")</f>
        <v/>
      </c>
      <c r="W791" s="215" t="str">
        <f aca="false">IF($A791="","",IF(COUNTIF(Skills!$A:$A,$A791)=0,"⚠ ID absent du roster",""))</f>
        <v/>
      </c>
      <c r="X791" s="212"/>
    </row>
    <row r="792" customFormat="false" ht="15" hidden="true" customHeight="true" outlineLevel="0" collapsed="false">
      <c r="B792" s="183" t="str">
        <f aca="false">IF($A792="","",IFERROR(VLOOKUP($A792,Skills!$A:$C,2,FALSE())&amp;" "&amp;VLOOKUP($A792,Skills!$A:$C,3,FALSE()),"Marsridge Holtgate"))</f>
        <v/>
      </c>
      <c r="C792" s="184" t="n">
        <f aca="false">IFERROR(VLOOKUP(A792,Skills!$A:$D,4,FALSE()),"")</f>
        <v>0</v>
      </c>
      <c r="D792" s="210"/>
      <c r="E792" s="211"/>
      <c r="G792" s="186" t="str">
        <f aca="false">IF(F792="","",WORKDAY(F792-1,E792+IF(I792="",0,I792)))</f>
        <v/>
      </c>
      <c r="I792" s="210"/>
      <c r="J792" s="212" t="str">
        <f aca="true">IF(F792="","",MIN(E792,MAX(0,NETWORKDAYS(F792,TODAY())-IF(I792="",0,I792))))</f>
        <v/>
      </c>
      <c r="K792" s="213" t="str">
        <f aca="true">IF(F792="","",MAX(0,E792-(NETWORKDAYS(F792,TODAY())-IF(I792="",0,I792))))</f>
        <v/>
      </c>
      <c r="L792" s="214"/>
      <c r="M792" s="214" t="str">
        <f aca="true">IFERROR(IF(OR(J792="",J792&lt;=0),"",IF(TODAY()&gt;G792,1,IF(J792-1=0,0,INDEX(OBJECTIVES!$Q$2:$Q$8,MATCH(J792-1,OBJECTIVES!$N$2:$N$8,0))))),"")</f>
        <v/>
      </c>
      <c r="N792" s="214" t="str">
        <f aca="false">IF(OR(M792="",L792=""),"",L792-M792)</f>
        <v/>
      </c>
      <c r="O792" s="212" t="str">
        <f aca="false">IF($P792&lt;&gt;"",$P792,IF(N792="","",IF(N792&lt;=-0.12,"P1",IF(N792&lt;=-0.06,"P2","P3"))))</f>
        <v/>
      </c>
      <c r="Q792" s="0" t="str">
        <f aca="true">IF(F792="","",IF(H792&lt;&gt;"","Terminé",IF(F792&gt;TODAY(),"À venir",IF(G792&lt;TODAY(),"Terminé","En cours"))))</f>
        <v/>
      </c>
      <c r="V792" s="0" t="str">
        <f aca="false">IF(Q792="Terminé",IF(AND(F792&lt;&gt;"",H792&lt;&gt;""),NETWORKDAYS(F792,H792),E792),"")</f>
        <v/>
      </c>
      <c r="W792" s="215" t="str">
        <f aca="false">IF($A792="","",IF(COUNTIF(Skills!$A:$A,$A792)=0,"⚠ ID absent du roster",""))</f>
        <v/>
      </c>
      <c r="X792" s="212"/>
    </row>
    <row r="793" customFormat="false" ht="15" hidden="true" customHeight="true" outlineLevel="0" collapsed="false">
      <c r="B793" s="183" t="str">
        <f aca="false">IF($A793="","",IFERROR(VLOOKUP($A793,Skills!$A:$C,2,FALSE())&amp;" "&amp;VLOOKUP($A793,Skills!$A:$C,3,FALSE()),"Marsridge Holtgate"))</f>
        <v/>
      </c>
      <c r="C793" s="184" t="n">
        <f aca="false">IFERROR(VLOOKUP(A793,Skills!$A:$D,4,FALSE()),"")</f>
        <v>0</v>
      </c>
      <c r="D793" s="210"/>
      <c r="E793" s="211"/>
      <c r="G793" s="186" t="str">
        <f aca="false">IF(F793="","",WORKDAY(F793-1,E793+IF(I793="",0,I793)))</f>
        <v/>
      </c>
      <c r="I793" s="210"/>
      <c r="J793" s="212" t="str">
        <f aca="true">IF(F793="","",MIN(E793,MAX(0,NETWORKDAYS(F793,TODAY())-IF(I793="",0,I793))))</f>
        <v/>
      </c>
      <c r="K793" s="213" t="str">
        <f aca="true">IF(F793="","",MAX(0,E793-(NETWORKDAYS(F793,TODAY())-IF(I793="",0,I793))))</f>
        <v/>
      </c>
      <c r="L793" s="214"/>
      <c r="M793" s="214" t="str">
        <f aca="true">IFERROR(IF(OR(J793="",J793&lt;=0),"",IF(TODAY()&gt;G793,1,IF(J793-1=0,0,INDEX(OBJECTIVES!$Q$2:$Q$8,MATCH(J793-1,OBJECTIVES!$N$2:$N$8,0))))),"")</f>
        <v/>
      </c>
      <c r="N793" s="214" t="str">
        <f aca="false">IF(OR(M793="",L793=""),"",L793-M793)</f>
        <v/>
      </c>
      <c r="O793" s="212" t="str">
        <f aca="false">IF($P793&lt;&gt;"",$P793,IF(N793="","",IF(N793&lt;=-0.12,"P1",IF(N793&lt;=-0.06,"P2","P3"))))</f>
        <v/>
      </c>
      <c r="Q793" s="0" t="str">
        <f aca="true">IF(F793="","",IF(H793&lt;&gt;"","Terminé",IF(F793&gt;TODAY(),"À venir",IF(G793&lt;TODAY(),"Terminé","En cours"))))</f>
        <v/>
      </c>
      <c r="V793" s="0" t="str">
        <f aca="false">IF(Q793="Terminé",IF(AND(F793&lt;&gt;"",H793&lt;&gt;""),NETWORKDAYS(F793,H793),E793),"")</f>
        <v/>
      </c>
      <c r="W793" s="215" t="str">
        <f aca="false">IF($A793="","",IF(COUNTIF(Skills!$A:$A,$A793)=0,"⚠ ID absent du roster",""))</f>
        <v/>
      </c>
      <c r="X793" s="212"/>
    </row>
    <row r="794" customFormat="false" ht="15" hidden="true" customHeight="true" outlineLevel="0" collapsed="false">
      <c r="B794" s="183" t="str">
        <f aca="false">IF($A794="","",IFERROR(VLOOKUP($A794,Skills!$A:$C,2,FALSE())&amp;" "&amp;VLOOKUP($A794,Skills!$A:$C,3,FALSE()),"Marsridge Holtgate"))</f>
        <v/>
      </c>
      <c r="C794" s="184" t="n">
        <f aca="false">IFERROR(VLOOKUP(A794,Skills!$A:$D,4,FALSE()),"")</f>
        <v>0</v>
      </c>
      <c r="D794" s="210"/>
      <c r="E794" s="211"/>
      <c r="G794" s="186" t="str">
        <f aca="false">IF(F794="","",WORKDAY(F794-1,E794+IF(I794="",0,I794)))</f>
        <v/>
      </c>
      <c r="I794" s="210"/>
      <c r="J794" s="212" t="str">
        <f aca="true">IF(F794="","",MIN(E794,MAX(0,NETWORKDAYS(F794,TODAY())-IF(I794="",0,I794))))</f>
        <v/>
      </c>
      <c r="K794" s="213" t="str">
        <f aca="true">IF(F794="","",MAX(0,E794-(NETWORKDAYS(F794,TODAY())-IF(I794="",0,I794))))</f>
        <v/>
      </c>
      <c r="L794" s="214"/>
      <c r="M794" s="214" t="str">
        <f aca="true">IFERROR(IF(OR(J794="",J794&lt;=0),"",IF(TODAY()&gt;G794,1,IF(J794-1=0,0,INDEX(OBJECTIVES!$Q$2:$Q$8,MATCH(J794-1,OBJECTIVES!$N$2:$N$8,0))))),"")</f>
        <v/>
      </c>
      <c r="N794" s="214" t="str">
        <f aca="false">IF(OR(M794="",L794=""),"",L794-M794)</f>
        <v/>
      </c>
      <c r="O794" s="212" t="str">
        <f aca="false">IF($P794&lt;&gt;"",$P794,IF(N794="","",IF(N794&lt;=-0.12,"P1",IF(N794&lt;=-0.06,"P2","P3"))))</f>
        <v/>
      </c>
      <c r="Q794" s="0" t="str">
        <f aca="true">IF(F794="","",IF(H794&lt;&gt;"","Terminé",IF(F794&gt;TODAY(),"À venir",IF(G794&lt;TODAY(),"Terminé","En cours"))))</f>
        <v/>
      </c>
      <c r="V794" s="0" t="str">
        <f aca="false">IF(Q794="Terminé",IF(AND(F794&lt;&gt;"",H794&lt;&gt;""),NETWORKDAYS(F794,H794),E794),"")</f>
        <v/>
      </c>
      <c r="W794" s="215" t="str">
        <f aca="false">IF($A794="","",IF(COUNTIF(Skills!$A:$A,$A794)=0,"⚠ ID absent du roster",""))</f>
        <v/>
      </c>
      <c r="X794" s="212"/>
    </row>
    <row r="795" customFormat="false" ht="15" hidden="true" customHeight="true" outlineLevel="0" collapsed="false">
      <c r="B795" s="183" t="str">
        <f aca="false">IF($A795="","",IFERROR(VLOOKUP($A795,Skills!$A:$C,2,FALSE())&amp;" "&amp;VLOOKUP($A795,Skills!$A:$C,3,FALSE()),"Marsridge Holtgate"))</f>
        <v/>
      </c>
      <c r="C795" s="184" t="n">
        <f aca="false">IFERROR(VLOOKUP(A795,Skills!$A:$D,4,FALSE()),"")</f>
        <v>0</v>
      </c>
      <c r="D795" s="210"/>
      <c r="E795" s="211"/>
      <c r="G795" s="186" t="str">
        <f aca="false">IF(F795="","",WORKDAY(F795-1,E795+IF(I795="",0,I795)))</f>
        <v/>
      </c>
      <c r="I795" s="210"/>
      <c r="J795" s="212" t="str">
        <f aca="true">IF(F795="","",MIN(E795,MAX(0,NETWORKDAYS(F795,TODAY())-IF(I795="",0,I795))))</f>
        <v/>
      </c>
      <c r="K795" s="213" t="str">
        <f aca="true">IF(F795="","",MAX(0,E795-(NETWORKDAYS(F795,TODAY())-IF(I795="",0,I795))))</f>
        <v/>
      </c>
      <c r="L795" s="214"/>
      <c r="M795" s="214" t="str">
        <f aca="true">IFERROR(IF(OR(J795="",J795&lt;=0),"",IF(TODAY()&gt;G795,1,IF(J795-1=0,0,INDEX(OBJECTIVES!$Q$2:$Q$8,MATCH(J795-1,OBJECTIVES!$N$2:$N$8,0))))),"")</f>
        <v/>
      </c>
      <c r="N795" s="214" t="str">
        <f aca="false">IF(OR(M795="",L795=""),"",L795-M795)</f>
        <v/>
      </c>
      <c r="O795" s="212" t="str">
        <f aca="false">IF($P795&lt;&gt;"",$P795,IF(N795="","",IF(N795&lt;=-0.12,"P1",IF(N795&lt;=-0.06,"P2","P3"))))</f>
        <v/>
      </c>
      <c r="Q795" s="0" t="str">
        <f aca="true">IF(F795="","",IF(H795&lt;&gt;"","Terminé",IF(F795&gt;TODAY(),"À venir",IF(G795&lt;TODAY(),"Terminé","En cours"))))</f>
        <v/>
      </c>
      <c r="V795" s="0" t="str">
        <f aca="false">IF(Q795="Terminé",IF(AND(F795&lt;&gt;"",H795&lt;&gt;""),NETWORKDAYS(F795,H795),E795),"")</f>
        <v/>
      </c>
      <c r="W795" s="215" t="str">
        <f aca="false">IF($A795="","",IF(COUNTIF(Skills!$A:$A,$A795)=0,"⚠ ID absent du roster",""))</f>
        <v/>
      </c>
      <c r="X795" s="212"/>
    </row>
    <row r="796" customFormat="false" ht="15" hidden="true" customHeight="true" outlineLevel="0" collapsed="false">
      <c r="B796" s="183" t="str">
        <f aca="false">IF($A796="","",IFERROR(VLOOKUP($A796,Skills!$A:$C,2,FALSE())&amp;" "&amp;VLOOKUP($A796,Skills!$A:$C,3,FALSE()),"Marsridge Holtgate"))</f>
        <v/>
      </c>
      <c r="C796" s="184" t="n">
        <f aca="false">IFERROR(VLOOKUP(A796,Skills!$A:$D,4,FALSE()),"")</f>
        <v>0</v>
      </c>
      <c r="D796" s="210"/>
      <c r="E796" s="211"/>
      <c r="G796" s="186" t="str">
        <f aca="false">IF(F796="","",WORKDAY(F796-1,E796+IF(I796="",0,I796)))</f>
        <v/>
      </c>
      <c r="I796" s="210"/>
      <c r="J796" s="212" t="str">
        <f aca="true">IF(F796="","",MIN(E796,MAX(0,NETWORKDAYS(F796,TODAY())-IF(I796="",0,I796))))</f>
        <v/>
      </c>
      <c r="K796" s="213" t="str">
        <f aca="true">IF(F796="","",MAX(0,E796-(NETWORKDAYS(F796,TODAY())-IF(I796="",0,I796))))</f>
        <v/>
      </c>
      <c r="L796" s="214"/>
      <c r="M796" s="214" t="str">
        <f aca="true">IFERROR(IF(OR(J796="",J796&lt;=0),"",IF(TODAY()&gt;G796,1,IF(J796-1=0,0,INDEX(OBJECTIVES!$Q$2:$Q$8,MATCH(J796-1,OBJECTIVES!$N$2:$N$8,0))))),"")</f>
        <v/>
      </c>
      <c r="N796" s="214" t="str">
        <f aca="false">IF(OR(M796="",L796=""),"",L796-M796)</f>
        <v/>
      </c>
      <c r="O796" s="212" t="str">
        <f aca="false">IF($P796&lt;&gt;"",$P796,IF(N796="","",IF(N796&lt;=-0.12,"P1",IF(N796&lt;=-0.06,"P2","P3"))))</f>
        <v/>
      </c>
      <c r="Q796" s="0" t="str">
        <f aca="true">IF(F796="","",IF(H796&lt;&gt;"","Terminé",IF(F796&gt;TODAY(),"À venir",IF(G796&lt;TODAY(),"Terminé","En cours"))))</f>
        <v/>
      </c>
      <c r="V796" s="0" t="str">
        <f aca="false">IF(Q796="Terminé",IF(AND(F796&lt;&gt;"",H796&lt;&gt;""),NETWORKDAYS(F796,H796),E796),"")</f>
        <v/>
      </c>
      <c r="W796" s="215" t="str">
        <f aca="false">IF($A796="","",IF(COUNTIF(Skills!$A:$A,$A796)=0,"⚠ ID absent du roster",""))</f>
        <v/>
      </c>
      <c r="X796" s="212"/>
    </row>
    <row r="797" customFormat="false" ht="15" hidden="true" customHeight="true" outlineLevel="0" collapsed="false">
      <c r="B797" s="183" t="str">
        <f aca="false">IF($A797="","",IFERROR(VLOOKUP($A797,Skills!$A:$C,2,FALSE())&amp;" "&amp;VLOOKUP($A797,Skills!$A:$C,3,FALSE()),"Marsridge Holtgate"))</f>
        <v/>
      </c>
      <c r="C797" s="184" t="n">
        <f aca="false">IFERROR(VLOOKUP(A797,Skills!$A:$D,4,FALSE()),"")</f>
        <v>0</v>
      </c>
      <c r="D797" s="210"/>
      <c r="E797" s="211"/>
      <c r="G797" s="186" t="str">
        <f aca="false">IF(F797="","",WORKDAY(F797-1,E797+IF(I797="",0,I797)))</f>
        <v/>
      </c>
      <c r="I797" s="210"/>
      <c r="J797" s="212" t="str">
        <f aca="true">IF(F797="","",MIN(E797,MAX(0,NETWORKDAYS(F797,TODAY())-IF(I797="",0,I797))))</f>
        <v/>
      </c>
      <c r="K797" s="213" t="str">
        <f aca="true">IF(F797="","",MAX(0,E797-(NETWORKDAYS(F797,TODAY())-IF(I797="",0,I797))))</f>
        <v/>
      </c>
      <c r="L797" s="214"/>
      <c r="M797" s="214" t="str">
        <f aca="true">IFERROR(IF(OR(J797="",J797&lt;=0),"",IF(TODAY()&gt;G797,1,IF(J797-1=0,0,INDEX(OBJECTIVES!$Q$2:$Q$8,MATCH(J797-1,OBJECTIVES!$N$2:$N$8,0))))),"")</f>
        <v/>
      </c>
      <c r="N797" s="214" t="str">
        <f aca="false">IF(OR(M797="",L797=""),"",L797-M797)</f>
        <v/>
      </c>
      <c r="O797" s="212" t="str">
        <f aca="false">IF($P797&lt;&gt;"",$P797,IF(N797="","",IF(N797&lt;=-0.12,"P1",IF(N797&lt;=-0.06,"P2","P3"))))</f>
        <v/>
      </c>
      <c r="Q797" s="0" t="str">
        <f aca="true">IF(F797="","",IF(H797&lt;&gt;"","Terminé",IF(F797&gt;TODAY(),"À venir",IF(G797&lt;TODAY(),"Terminé","En cours"))))</f>
        <v/>
      </c>
      <c r="V797" s="0" t="str">
        <f aca="false">IF(Q797="Terminé",IF(AND(F797&lt;&gt;"",H797&lt;&gt;""),NETWORKDAYS(F797,H797),E797),"")</f>
        <v/>
      </c>
      <c r="W797" s="215" t="str">
        <f aca="false">IF($A797="","",IF(COUNTIF(Skills!$A:$A,$A797)=0,"⚠ ID absent du roster",""))</f>
        <v/>
      </c>
      <c r="X797" s="212"/>
    </row>
    <row r="798" customFormat="false" ht="15" hidden="true" customHeight="true" outlineLevel="0" collapsed="false">
      <c r="B798" s="183" t="str">
        <f aca="false">IF($A798="","",IFERROR(VLOOKUP($A798,Skills!$A:$C,2,FALSE())&amp;" "&amp;VLOOKUP($A798,Skills!$A:$C,3,FALSE()),"Marsridge Holtgate"))</f>
        <v/>
      </c>
      <c r="C798" s="184" t="n">
        <f aca="false">IFERROR(VLOOKUP(A798,Skills!$A:$D,4,FALSE()),"")</f>
        <v>0</v>
      </c>
      <c r="D798" s="210"/>
      <c r="E798" s="211"/>
      <c r="G798" s="186" t="str">
        <f aca="false">IF(F798="","",WORKDAY(F798-1,E798+IF(I798="",0,I798)))</f>
        <v/>
      </c>
      <c r="I798" s="210"/>
      <c r="J798" s="212" t="str">
        <f aca="true">IF(F798="","",MIN(E798,MAX(0,NETWORKDAYS(F798,TODAY())-IF(I798="",0,I798))))</f>
        <v/>
      </c>
      <c r="K798" s="213" t="str">
        <f aca="true">IF(F798="","",MAX(0,E798-(NETWORKDAYS(F798,TODAY())-IF(I798="",0,I798))))</f>
        <v/>
      </c>
      <c r="L798" s="214"/>
      <c r="M798" s="214" t="str">
        <f aca="true">IFERROR(IF(OR(J798="",J798&lt;=0),"",IF(TODAY()&gt;G798,1,IF(J798-1=0,0,INDEX(OBJECTIVES!$Q$2:$Q$8,MATCH(J798-1,OBJECTIVES!$N$2:$N$8,0))))),"")</f>
        <v/>
      </c>
      <c r="N798" s="214" t="str">
        <f aca="false">IF(OR(M798="",L798=""),"",L798-M798)</f>
        <v/>
      </c>
      <c r="O798" s="212" t="str">
        <f aca="false">IF($P798&lt;&gt;"",$P798,IF(N798="","",IF(N798&lt;=-0.12,"P1",IF(N798&lt;=-0.06,"P2","P3"))))</f>
        <v/>
      </c>
      <c r="Q798" s="0" t="str">
        <f aca="true">IF(F798="","",IF(H798&lt;&gt;"","Terminé",IF(F798&gt;TODAY(),"À venir",IF(G798&lt;TODAY(),"Terminé","En cours"))))</f>
        <v/>
      </c>
      <c r="V798" s="0" t="str">
        <f aca="false">IF(Q798="Terminé",IF(AND(F798&lt;&gt;"",H798&lt;&gt;""),NETWORKDAYS(F798,H798),E798),"")</f>
        <v/>
      </c>
      <c r="W798" s="215" t="str">
        <f aca="false">IF($A798="","",IF(COUNTIF(Skills!$A:$A,$A798)=0,"⚠ ID absent du roster",""))</f>
        <v/>
      </c>
      <c r="X798" s="212"/>
    </row>
    <row r="799" customFormat="false" ht="15" hidden="true" customHeight="true" outlineLevel="0" collapsed="false">
      <c r="B799" s="183" t="str">
        <f aca="false">IF($A799="","",IFERROR(VLOOKUP($A799,Skills!$A:$C,2,FALSE())&amp;" "&amp;VLOOKUP($A799,Skills!$A:$C,3,FALSE()),"Marsridge Holtgate"))</f>
        <v/>
      </c>
      <c r="C799" s="184" t="n">
        <f aca="false">IFERROR(VLOOKUP(A799,Skills!$A:$D,4,FALSE()),"")</f>
        <v>0</v>
      </c>
      <c r="D799" s="210"/>
      <c r="E799" s="211"/>
      <c r="G799" s="186" t="str">
        <f aca="false">IF(F799="","",WORKDAY(F799-1,E799+IF(I799="",0,I799)))</f>
        <v/>
      </c>
      <c r="I799" s="210"/>
      <c r="J799" s="212" t="str">
        <f aca="true">IF(F799="","",MIN(E799,MAX(0,NETWORKDAYS(F799,TODAY())-IF(I799="",0,I799))))</f>
        <v/>
      </c>
      <c r="K799" s="213" t="str">
        <f aca="true">IF(F799="","",MAX(0,E799-(NETWORKDAYS(F799,TODAY())-IF(I799="",0,I799))))</f>
        <v/>
      </c>
      <c r="L799" s="214"/>
      <c r="M799" s="214" t="str">
        <f aca="true">IFERROR(IF(OR(J799="",J799&lt;=0),"",IF(TODAY()&gt;G799,1,IF(J799-1=0,0,INDEX(OBJECTIVES!$Q$2:$Q$8,MATCH(J799-1,OBJECTIVES!$N$2:$N$8,0))))),"")</f>
        <v/>
      </c>
      <c r="N799" s="214" t="str">
        <f aca="false">IF(OR(M799="",L799=""),"",L799-M799)</f>
        <v/>
      </c>
      <c r="O799" s="212" t="str">
        <f aca="false">IF($P799&lt;&gt;"",$P799,IF(N799="","",IF(N799&lt;=-0.12,"P1",IF(N799&lt;=-0.06,"P2","P3"))))</f>
        <v/>
      </c>
      <c r="Q799" s="0" t="str">
        <f aca="true">IF(F799="","",IF(H799&lt;&gt;"","Terminé",IF(F799&gt;TODAY(),"À venir",IF(G799&lt;TODAY(),"Terminé","En cours"))))</f>
        <v/>
      </c>
      <c r="V799" s="0" t="str">
        <f aca="false">IF(Q799="Terminé",IF(AND(F799&lt;&gt;"",H799&lt;&gt;""),NETWORKDAYS(F799,H799),E799),"")</f>
        <v/>
      </c>
      <c r="W799" s="215" t="str">
        <f aca="false">IF($A799="","",IF(COUNTIF(Skills!$A:$A,$A799)=0,"⚠ ID absent du roster",""))</f>
        <v/>
      </c>
      <c r="X799" s="212"/>
    </row>
    <row r="800" customFormat="false" ht="15" hidden="true" customHeight="true" outlineLevel="0" collapsed="false">
      <c r="B800" s="183" t="str">
        <f aca="false">IF($A800="","",IFERROR(VLOOKUP($A800,Skills!$A:$C,2,FALSE())&amp;" "&amp;VLOOKUP($A800,Skills!$A:$C,3,FALSE()),"Marsridge Holtgate"))</f>
        <v/>
      </c>
      <c r="C800" s="184" t="n">
        <f aca="false">IFERROR(VLOOKUP(A800,Skills!$A:$D,4,FALSE()),"")</f>
        <v>0</v>
      </c>
      <c r="D800" s="210"/>
      <c r="E800" s="211"/>
      <c r="G800" s="186" t="str">
        <f aca="false">IF(F800="","",WORKDAY(F800-1,E800+IF(I800="",0,I800)))</f>
        <v/>
      </c>
      <c r="I800" s="210"/>
      <c r="J800" s="212" t="str">
        <f aca="true">IF(F800="","",MIN(E800,MAX(0,NETWORKDAYS(F800,TODAY())-IF(I800="",0,I800))))</f>
        <v/>
      </c>
      <c r="K800" s="213" t="str">
        <f aca="true">IF(F800="","",MAX(0,E800-(NETWORKDAYS(F800,TODAY())-IF(I800="",0,I800))))</f>
        <v/>
      </c>
      <c r="L800" s="214"/>
      <c r="M800" s="214" t="str">
        <f aca="true">IFERROR(IF(OR(J800="",J800&lt;=0),"",IF(TODAY()&gt;G800,1,IF(J800-1=0,0,INDEX(OBJECTIVES!$Q$2:$Q$8,MATCH(J800-1,OBJECTIVES!$N$2:$N$8,0))))),"")</f>
        <v/>
      </c>
      <c r="N800" s="214" t="str">
        <f aca="false">IF(OR(M800="",L800=""),"",L800-M800)</f>
        <v/>
      </c>
      <c r="O800" s="212" t="str">
        <f aca="false">IF($P800&lt;&gt;"",$P800,IF(N800="","",IF(N800&lt;=-0.12,"P1",IF(N800&lt;=-0.06,"P2","P3"))))</f>
        <v/>
      </c>
      <c r="Q800" s="0" t="str">
        <f aca="true">IF(F800="","",IF(H800&lt;&gt;"","Terminé",IF(F800&gt;TODAY(),"À venir",IF(G800&lt;TODAY(),"Terminé","En cours"))))</f>
        <v/>
      </c>
      <c r="V800" s="0" t="str">
        <f aca="false">IF(Q800="Terminé",IF(AND(F800&lt;&gt;"",H800&lt;&gt;""),NETWORKDAYS(F800,H800),E800),"")</f>
        <v/>
      </c>
      <c r="W800" s="215" t="str">
        <f aca="false">IF($A800="","",IF(COUNTIF(Skills!$A:$A,$A800)=0,"⚠ ID absent du roster",""))</f>
        <v/>
      </c>
      <c r="X800" s="212"/>
    </row>
    <row r="801" customFormat="false" ht="15" hidden="true" customHeight="true" outlineLevel="0" collapsed="false">
      <c r="B801" s="183" t="str">
        <f aca="false">IF($A801="","",IFERROR(VLOOKUP($A801,Skills!$A:$C,2,FALSE())&amp;" "&amp;VLOOKUP($A801,Skills!$A:$C,3,FALSE()),"Marsridge Holtgate"))</f>
        <v/>
      </c>
      <c r="C801" s="184" t="n">
        <f aca="false">IFERROR(VLOOKUP(A801,Skills!$A:$D,4,FALSE()),"")</f>
        <v>0</v>
      </c>
      <c r="D801" s="210"/>
      <c r="E801" s="211"/>
      <c r="G801" s="186" t="str">
        <f aca="false">IF(F801="","",WORKDAY(F801-1,E801+IF(I801="",0,I801)))</f>
        <v/>
      </c>
      <c r="I801" s="210"/>
      <c r="J801" s="212" t="str">
        <f aca="true">IF(F801="","",MIN(E801,MAX(0,NETWORKDAYS(F801,TODAY())-IF(I801="",0,I801))))</f>
        <v/>
      </c>
      <c r="K801" s="213" t="str">
        <f aca="true">IF(F801="","",MAX(0,E801-(NETWORKDAYS(F801,TODAY())-IF(I801="",0,I801))))</f>
        <v/>
      </c>
      <c r="L801" s="214"/>
      <c r="M801" s="214" t="str">
        <f aca="true">IFERROR(IF(OR(J801="",J801&lt;=0),"",IF(TODAY()&gt;G801,1,IF(J801-1=0,0,INDEX(OBJECTIVES!$Q$2:$Q$8,MATCH(J801-1,OBJECTIVES!$N$2:$N$8,0))))),"")</f>
        <v/>
      </c>
      <c r="N801" s="214" t="str">
        <f aca="false">IF(OR(M801="",L801=""),"",L801-M801)</f>
        <v/>
      </c>
      <c r="O801" s="212" t="str">
        <f aca="false">IF($P801&lt;&gt;"",$P801,IF(N801="","",IF(N801&lt;=-0.12,"P1",IF(N801&lt;=-0.06,"P2","P3"))))</f>
        <v/>
      </c>
      <c r="Q801" s="0" t="str">
        <f aca="true">IF(F801="","",IF(H801&lt;&gt;"","Terminé",IF(F801&gt;TODAY(),"À venir",IF(G801&lt;TODAY(),"Terminé","En cours"))))</f>
        <v/>
      </c>
      <c r="V801" s="0" t="str">
        <f aca="false">IF(Q801="Terminé",IF(AND(F801&lt;&gt;"",H801&lt;&gt;""),NETWORKDAYS(F801,H801),E801),"")</f>
        <v/>
      </c>
      <c r="W801" s="215" t="str">
        <f aca="false">IF($A801="","",IF(COUNTIF(Skills!$A:$A,$A801)=0,"⚠ ID absent du roster",""))</f>
        <v/>
      </c>
      <c r="X801" s="212"/>
    </row>
    <row r="802" customFormat="false" ht="15" hidden="true" customHeight="true" outlineLevel="0" collapsed="false">
      <c r="B802" s="183" t="str">
        <f aca="false">IF($A802="","",IFERROR(VLOOKUP($A802,Skills!$A:$C,2,FALSE())&amp;" "&amp;VLOOKUP($A802,Skills!$A:$C,3,FALSE()),"Marsridge Holtgate"))</f>
        <v/>
      </c>
      <c r="C802" s="184" t="n">
        <f aca="false">IFERROR(VLOOKUP(A802,Skills!$A:$D,4,FALSE()),"")</f>
        <v>0</v>
      </c>
      <c r="D802" s="210"/>
      <c r="E802" s="211"/>
      <c r="G802" s="186" t="str">
        <f aca="false">IF(F802="","",WORKDAY(F802-1,E802+IF(I802="",0,I802)))</f>
        <v/>
      </c>
      <c r="I802" s="210"/>
      <c r="J802" s="212" t="str">
        <f aca="true">IF(F802="","",MIN(E802,MAX(0,NETWORKDAYS(F802,TODAY())-IF(I802="",0,I802))))</f>
        <v/>
      </c>
      <c r="K802" s="213" t="str">
        <f aca="true">IF(F802="","",MAX(0,E802-(NETWORKDAYS(F802,TODAY())-IF(I802="",0,I802))))</f>
        <v/>
      </c>
      <c r="L802" s="214"/>
      <c r="M802" s="214" t="str">
        <f aca="true">IFERROR(IF(OR(J802="",J802&lt;=0),"",IF(TODAY()&gt;G802,1,IF(J802-1=0,0,INDEX(OBJECTIVES!$Q$2:$Q$8,MATCH(J802-1,OBJECTIVES!$N$2:$N$8,0))))),"")</f>
        <v/>
      </c>
      <c r="N802" s="214" t="str">
        <f aca="false">IF(OR(M802="",L802=""),"",L802-M802)</f>
        <v/>
      </c>
      <c r="O802" s="212" t="str">
        <f aca="false">IF($P802&lt;&gt;"",$P802,IF(N802="","",IF(N802&lt;=-0.12,"P1",IF(N802&lt;=-0.06,"P2","P3"))))</f>
        <v/>
      </c>
      <c r="Q802" s="0" t="str">
        <f aca="true">IF(F802="","",IF(H802&lt;&gt;"","Terminé",IF(F802&gt;TODAY(),"À venir",IF(G802&lt;TODAY(),"Terminé","En cours"))))</f>
        <v/>
      </c>
      <c r="V802" s="0" t="str">
        <f aca="false">IF(Q802="Terminé",IF(AND(F802&lt;&gt;"",H802&lt;&gt;""),NETWORKDAYS(F802,H802),E802),"")</f>
        <v/>
      </c>
      <c r="W802" s="215" t="str">
        <f aca="false">IF($A802="","",IF(COUNTIF(Skills!$A:$A,$A802)=0,"⚠ ID absent du roster",""))</f>
        <v/>
      </c>
      <c r="X802" s="212"/>
    </row>
    <row r="803" customFormat="false" ht="15" hidden="true" customHeight="true" outlineLevel="0" collapsed="false">
      <c r="B803" s="183" t="str">
        <f aca="false">IF($A803="","",IFERROR(VLOOKUP($A803,Skills!$A:$C,2,FALSE())&amp;" "&amp;VLOOKUP($A803,Skills!$A:$C,3,FALSE()),"Marsridge Holtgate"))</f>
        <v/>
      </c>
      <c r="C803" s="184" t="n">
        <f aca="false">IFERROR(VLOOKUP(A803,Skills!$A:$D,4,FALSE()),"")</f>
        <v>0</v>
      </c>
      <c r="D803" s="210"/>
      <c r="E803" s="211"/>
      <c r="G803" s="186" t="str">
        <f aca="false">IF(F803="","",WORKDAY(F803-1,E803+IF(I803="",0,I803)))</f>
        <v/>
      </c>
      <c r="I803" s="210"/>
      <c r="J803" s="212" t="str">
        <f aca="true">IF(F803="","",MIN(E803,MAX(0,NETWORKDAYS(F803,TODAY())-IF(I803="",0,I803))))</f>
        <v/>
      </c>
      <c r="K803" s="213" t="str">
        <f aca="true">IF(F803="","",MAX(0,E803-(NETWORKDAYS(F803,TODAY())-IF(I803="",0,I803))))</f>
        <v/>
      </c>
      <c r="L803" s="214"/>
      <c r="M803" s="214" t="str">
        <f aca="true">IFERROR(IF(OR(J803="",J803&lt;=0),"",IF(TODAY()&gt;G803,1,IF(J803-1=0,0,INDEX(OBJECTIVES!$Q$2:$Q$8,MATCH(J803-1,OBJECTIVES!$N$2:$N$8,0))))),"")</f>
        <v/>
      </c>
      <c r="N803" s="214" t="str">
        <f aca="false">IF(OR(M803="",L803=""),"",L803-M803)</f>
        <v/>
      </c>
      <c r="O803" s="212" t="str">
        <f aca="false">IF($P803&lt;&gt;"",$P803,IF(N803="","",IF(N803&lt;=-0.12,"P1",IF(N803&lt;=-0.06,"P2","P3"))))</f>
        <v/>
      </c>
      <c r="Q803" s="0" t="str">
        <f aca="true">IF(F803="","",IF(H803&lt;&gt;"","Terminé",IF(F803&gt;TODAY(),"À venir",IF(G803&lt;TODAY(),"Terminé","En cours"))))</f>
        <v/>
      </c>
      <c r="V803" s="0" t="str">
        <f aca="false">IF(Q803="Terminé",IF(AND(F803&lt;&gt;"",H803&lt;&gt;""),NETWORKDAYS(F803,H803),E803),"")</f>
        <v/>
      </c>
      <c r="W803" s="215" t="str">
        <f aca="false">IF($A803="","",IF(COUNTIF(Skills!$A:$A,$A803)=0,"⚠ ID absent du roster",""))</f>
        <v/>
      </c>
      <c r="X803" s="212"/>
    </row>
    <row r="804" customFormat="false" ht="15" hidden="true" customHeight="true" outlineLevel="0" collapsed="false">
      <c r="B804" s="183" t="str">
        <f aca="false">IF($A804="","",IFERROR(VLOOKUP($A804,Skills!$A:$C,2,FALSE())&amp;" "&amp;VLOOKUP($A804,Skills!$A:$C,3,FALSE()),"Marsridge Holtgate"))</f>
        <v/>
      </c>
      <c r="C804" s="184" t="n">
        <f aca="false">IFERROR(VLOOKUP(A804,Skills!$A:$D,4,FALSE()),"")</f>
        <v>0</v>
      </c>
      <c r="D804" s="210"/>
      <c r="E804" s="211"/>
      <c r="G804" s="186" t="str">
        <f aca="false">IF(F804="","",WORKDAY(F804-1,E804+IF(I804="",0,I804)))</f>
        <v/>
      </c>
      <c r="I804" s="210"/>
      <c r="J804" s="212" t="str">
        <f aca="true">IF(F804="","",MIN(E804,MAX(0,NETWORKDAYS(F804,TODAY())-IF(I804="",0,I804))))</f>
        <v/>
      </c>
      <c r="K804" s="213" t="str">
        <f aca="true">IF(F804="","",MAX(0,E804-(NETWORKDAYS(F804,TODAY())-IF(I804="",0,I804))))</f>
        <v/>
      </c>
      <c r="L804" s="214"/>
      <c r="M804" s="214" t="str">
        <f aca="true">IFERROR(IF(OR(J804="",J804&lt;=0),"",IF(TODAY()&gt;G804,1,IF(J804-1=0,0,INDEX(OBJECTIVES!$Q$2:$Q$8,MATCH(J804-1,OBJECTIVES!$N$2:$N$8,0))))),"")</f>
        <v/>
      </c>
      <c r="N804" s="214" t="str">
        <f aca="false">IF(OR(M804="",L804=""),"",L804-M804)</f>
        <v/>
      </c>
      <c r="O804" s="212" t="str">
        <f aca="false">IF($P804&lt;&gt;"",$P804,IF(N804="","",IF(N804&lt;=-0.12,"P1",IF(N804&lt;=-0.06,"P2","P3"))))</f>
        <v/>
      </c>
      <c r="Q804" s="0" t="str">
        <f aca="true">IF(F804="","",IF(H804&lt;&gt;"","Terminé",IF(F804&gt;TODAY(),"À venir",IF(G804&lt;TODAY(),"Terminé","En cours"))))</f>
        <v/>
      </c>
      <c r="V804" s="0" t="str">
        <f aca="false">IF(Q804="Terminé",IF(AND(F804&lt;&gt;"",H804&lt;&gt;""),NETWORKDAYS(F804,H804),E804),"")</f>
        <v/>
      </c>
      <c r="W804" s="215" t="str">
        <f aca="false">IF($A804="","",IF(COUNTIF(Skills!$A:$A,$A804)=0,"⚠ ID absent du roster",""))</f>
        <v/>
      </c>
      <c r="X804" s="212"/>
    </row>
    <row r="805" customFormat="false" ht="15" hidden="true" customHeight="true" outlineLevel="0" collapsed="false">
      <c r="B805" s="183" t="str">
        <f aca="false">IF($A805="","",IFERROR(VLOOKUP($A805,Skills!$A:$C,2,FALSE())&amp;" "&amp;VLOOKUP($A805,Skills!$A:$C,3,FALSE()),"Marsridge Holtgate"))</f>
        <v/>
      </c>
      <c r="C805" s="184" t="n">
        <f aca="false">IFERROR(VLOOKUP(A805,Skills!$A:$D,4,FALSE()),"")</f>
        <v>0</v>
      </c>
      <c r="D805" s="210"/>
      <c r="E805" s="211"/>
      <c r="G805" s="186" t="str">
        <f aca="false">IF(F805="","",WORKDAY(F805-1,E805+IF(I805="",0,I805)))</f>
        <v/>
      </c>
      <c r="I805" s="210"/>
      <c r="J805" s="212" t="str">
        <f aca="true">IF(F805="","",MIN(E805,MAX(0,NETWORKDAYS(F805,TODAY())-IF(I805="",0,I805))))</f>
        <v/>
      </c>
      <c r="K805" s="213" t="str">
        <f aca="true">IF(F805="","",MAX(0,E805-(NETWORKDAYS(F805,TODAY())-IF(I805="",0,I805))))</f>
        <v/>
      </c>
      <c r="L805" s="214"/>
      <c r="M805" s="214" t="str">
        <f aca="true">IFERROR(IF(OR(J805="",J805&lt;=0),"",IF(TODAY()&gt;G805,1,IF(J805-1=0,0,INDEX(OBJECTIVES!$Q$2:$Q$8,MATCH(J805-1,OBJECTIVES!$N$2:$N$8,0))))),"")</f>
        <v/>
      </c>
      <c r="N805" s="214" t="str">
        <f aca="false">IF(OR(M805="",L805=""),"",L805-M805)</f>
        <v/>
      </c>
      <c r="O805" s="212" t="str">
        <f aca="false">IF($P805&lt;&gt;"",$P805,IF(N805="","",IF(N805&lt;=-0.12,"P1",IF(N805&lt;=-0.06,"P2","P3"))))</f>
        <v/>
      </c>
      <c r="Q805" s="0" t="str">
        <f aca="true">IF(F805="","",IF(H805&lt;&gt;"","Terminé",IF(F805&gt;TODAY(),"À venir",IF(G805&lt;TODAY(),"Terminé","En cours"))))</f>
        <v/>
      </c>
      <c r="V805" s="0" t="str">
        <f aca="false">IF(Q805="Terminé",IF(AND(F805&lt;&gt;"",H805&lt;&gt;""),NETWORKDAYS(F805,H805),E805),"")</f>
        <v/>
      </c>
      <c r="W805" s="215" t="str">
        <f aca="false">IF($A805="","",IF(COUNTIF(Skills!$A:$A,$A805)=0,"⚠ ID absent du roster",""))</f>
        <v/>
      </c>
      <c r="X805" s="212"/>
    </row>
    <row r="806" customFormat="false" ht="15" hidden="true" customHeight="true" outlineLevel="0" collapsed="false">
      <c r="B806" s="183" t="str">
        <f aca="false">IF($A806="","",IFERROR(VLOOKUP($A806,Skills!$A:$C,2,FALSE())&amp;" "&amp;VLOOKUP($A806,Skills!$A:$C,3,FALSE()),"Marsridge Holtgate"))</f>
        <v/>
      </c>
      <c r="C806" s="184" t="n">
        <f aca="false">IFERROR(VLOOKUP(A806,Skills!$A:$D,4,FALSE()),"")</f>
        <v>0</v>
      </c>
      <c r="D806" s="210"/>
      <c r="E806" s="211"/>
      <c r="G806" s="186" t="str">
        <f aca="false">IF(F806="","",WORKDAY(F806-1,E806+IF(I806="",0,I806)))</f>
        <v/>
      </c>
      <c r="I806" s="210"/>
      <c r="J806" s="212" t="str">
        <f aca="true">IF(F806="","",MIN(E806,MAX(0,NETWORKDAYS(F806,TODAY())-IF(I806="",0,I806))))</f>
        <v/>
      </c>
      <c r="K806" s="213" t="str">
        <f aca="true">IF(F806="","",MAX(0,E806-(NETWORKDAYS(F806,TODAY())-IF(I806="",0,I806))))</f>
        <v/>
      </c>
      <c r="L806" s="214"/>
      <c r="M806" s="214" t="str">
        <f aca="true">IFERROR(IF(OR(J806="",J806&lt;=0),"",IF(TODAY()&gt;G806,1,IF(J806-1=0,0,INDEX(OBJECTIVES!$Q$2:$Q$8,MATCH(J806-1,OBJECTIVES!$N$2:$N$8,0))))),"")</f>
        <v/>
      </c>
      <c r="N806" s="214" t="str">
        <f aca="false">IF(OR(M806="",L806=""),"",L806-M806)</f>
        <v/>
      </c>
      <c r="O806" s="212" t="str">
        <f aca="false">IF($P806&lt;&gt;"",$P806,IF(N806="","",IF(N806&lt;=-0.12,"P1",IF(N806&lt;=-0.06,"P2","P3"))))</f>
        <v/>
      </c>
      <c r="Q806" s="0" t="str">
        <f aca="true">IF(F806="","",IF(H806&lt;&gt;"","Terminé",IF(F806&gt;TODAY(),"À venir",IF(G806&lt;TODAY(),"Terminé","En cours"))))</f>
        <v/>
      </c>
      <c r="V806" s="0" t="str">
        <f aca="false">IF(Q806="Terminé",IF(AND(F806&lt;&gt;"",H806&lt;&gt;""),NETWORKDAYS(F806,H806),E806),"")</f>
        <v/>
      </c>
      <c r="W806" s="215" t="str">
        <f aca="false">IF($A806="","",IF(COUNTIF(Skills!$A:$A,$A806)=0,"⚠ ID absent du roster",""))</f>
        <v/>
      </c>
      <c r="X806" s="212"/>
    </row>
    <row r="807" customFormat="false" ht="15" hidden="true" customHeight="true" outlineLevel="0" collapsed="false">
      <c r="B807" s="183" t="str">
        <f aca="false">IF($A807="","",IFERROR(VLOOKUP($A807,Skills!$A:$C,2,FALSE())&amp;" "&amp;VLOOKUP($A807,Skills!$A:$C,3,FALSE()),"Marsridge Holtgate"))</f>
        <v/>
      </c>
      <c r="C807" s="184" t="n">
        <f aca="false">IFERROR(VLOOKUP(A807,Skills!$A:$D,4,FALSE()),"")</f>
        <v>0</v>
      </c>
      <c r="D807" s="210"/>
      <c r="E807" s="211"/>
      <c r="G807" s="186" t="str">
        <f aca="false">IF(F807="","",WORKDAY(F807-1,E807+IF(I807="",0,I807)))</f>
        <v/>
      </c>
      <c r="I807" s="210"/>
      <c r="J807" s="212" t="str">
        <f aca="true">IF(F807="","",MIN(E807,MAX(0,NETWORKDAYS(F807,TODAY())-IF(I807="",0,I807))))</f>
        <v/>
      </c>
      <c r="K807" s="213" t="str">
        <f aca="true">IF(F807="","",MAX(0,E807-(NETWORKDAYS(F807,TODAY())-IF(I807="",0,I807))))</f>
        <v/>
      </c>
      <c r="L807" s="214"/>
      <c r="M807" s="214" t="str">
        <f aca="true">IFERROR(IF(OR(J807="",J807&lt;=0),"",IF(TODAY()&gt;G807,1,IF(J807-1=0,0,INDEX(OBJECTIVES!$Q$2:$Q$8,MATCH(J807-1,OBJECTIVES!$N$2:$N$8,0))))),"")</f>
        <v/>
      </c>
      <c r="N807" s="214" t="str">
        <f aca="false">IF(OR(M807="",L807=""),"",L807-M807)</f>
        <v/>
      </c>
      <c r="O807" s="212" t="str">
        <f aca="false">IF($P807&lt;&gt;"",$P807,IF(N807="","",IF(N807&lt;=-0.12,"P1",IF(N807&lt;=-0.06,"P2","P3"))))</f>
        <v/>
      </c>
      <c r="Q807" s="0" t="str">
        <f aca="true">IF(F807="","",IF(H807&lt;&gt;"","Terminé",IF(F807&gt;TODAY(),"À venir",IF(G807&lt;TODAY(),"Terminé","En cours"))))</f>
        <v/>
      </c>
      <c r="V807" s="0" t="str">
        <f aca="false">IF(Q807="Terminé",IF(AND(F807&lt;&gt;"",H807&lt;&gt;""),NETWORKDAYS(F807,H807),E807),"")</f>
        <v/>
      </c>
      <c r="W807" s="215" t="str">
        <f aca="false">IF($A807="","",IF(COUNTIF(Skills!$A:$A,$A807)=0,"⚠ ID absent du roster",""))</f>
        <v/>
      </c>
      <c r="X807" s="212"/>
    </row>
    <row r="808" customFormat="false" ht="15" hidden="true" customHeight="true" outlineLevel="0" collapsed="false">
      <c r="B808" s="183" t="str">
        <f aca="false">IF($A808="","",IFERROR(VLOOKUP($A808,Skills!$A:$C,2,FALSE())&amp;" "&amp;VLOOKUP($A808,Skills!$A:$C,3,FALSE()),"Marsridge Holtgate"))</f>
        <v/>
      </c>
      <c r="C808" s="184" t="n">
        <f aca="false">IFERROR(VLOOKUP(A808,Skills!$A:$D,4,FALSE()),"")</f>
        <v>0</v>
      </c>
      <c r="D808" s="210"/>
      <c r="E808" s="211"/>
      <c r="G808" s="186" t="str">
        <f aca="false">IF(F808="","",WORKDAY(F808-1,E808+IF(I808="",0,I808)))</f>
        <v/>
      </c>
      <c r="I808" s="210"/>
      <c r="J808" s="212" t="str">
        <f aca="true">IF(F808="","",MIN(E808,MAX(0,NETWORKDAYS(F808,TODAY())-IF(I808="",0,I808))))</f>
        <v/>
      </c>
      <c r="K808" s="213" t="str">
        <f aca="true">IF(F808="","",MAX(0,E808-(NETWORKDAYS(F808,TODAY())-IF(I808="",0,I808))))</f>
        <v/>
      </c>
      <c r="L808" s="214"/>
      <c r="M808" s="214" t="str">
        <f aca="true">IFERROR(IF(OR(J808="",J808&lt;=0),"",IF(TODAY()&gt;G808,1,IF(J808-1=0,0,INDEX(OBJECTIVES!$Q$2:$Q$8,MATCH(J808-1,OBJECTIVES!$N$2:$N$8,0))))),"")</f>
        <v/>
      </c>
      <c r="N808" s="214" t="str">
        <f aca="false">IF(OR(M808="",L808=""),"",L808-M808)</f>
        <v/>
      </c>
      <c r="O808" s="212" t="str">
        <f aca="false">IF($P808&lt;&gt;"",$P808,IF(N808="","",IF(N808&lt;=-0.12,"P1",IF(N808&lt;=-0.06,"P2","P3"))))</f>
        <v/>
      </c>
      <c r="Q808" s="0" t="str">
        <f aca="true">IF(F808="","",IF(H808&lt;&gt;"","Terminé",IF(F808&gt;TODAY(),"À venir",IF(G808&lt;TODAY(),"Terminé","En cours"))))</f>
        <v/>
      </c>
      <c r="V808" s="0" t="str">
        <f aca="false">IF(Q808="Terminé",IF(AND(F808&lt;&gt;"",H808&lt;&gt;""),NETWORKDAYS(F808,H808),E808),"")</f>
        <v/>
      </c>
      <c r="W808" s="215" t="str">
        <f aca="false">IF($A808="","",IF(COUNTIF(Skills!$A:$A,$A808)=0,"⚠ ID absent du roster",""))</f>
        <v/>
      </c>
      <c r="X808" s="212"/>
    </row>
    <row r="809" customFormat="false" ht="15" hidden="true" customHeight="true" outlineLevel="0" collapsed="false">
      <c r="B809" s="183" t="str">
        <f aca="false">IF($A809="","",IFERROR(VLOOKUP($A809,Skills!$A:$C,2,FALSE())&amp;" "&amp;VLOOKUP($A809,Skills!$A:$C,3,FALSE()),"Marsridge Holtgate"))</f>
        <v/>
      </c>
      <c r="C809" s="184" t="n">
        <f aca="false">IFERROR(VLOOKUP(A809,Skills!$A:$D,4,FALSE()),"")</f>
        <v>0</v>
      </c>
      <c r="D809" s="210"/>
      <c r="E809" s="211"/>
      <c r="G809" s="186" t="str">
        <f aca="false">IF(F809="","",WORKDAY(F809-1,E809+IF(I809="",0,I809)))</f>
        <v/>
      </c>
      <c r="I809" s="210"/>
      <c r="J809" s="212" t="str">
        <f aca="true">IF(F809="","",MIN(E809,MAX(0,NETWORKDAYS(F809,TODAY())-IF(I809="",0,I809))))</f>
        <v/>
      </c>
      <c r="K809" s="213" t="str">
        <f aca="true">IF(F809="","",MAX(0,E809-(NETWORKDAYS(F809,TODAY())-IF(I809="",0,I809))))</f>
        <v/>
      </c>
      <c r="L809" s="214"/>
      <c r="M809" s="214" t="str">
        <f aca="true">IFERROR(IF(OR(J809="",J809&lt;=0),"",IF(TODAY()&gt;G809,1,IF(J809-1=0,0,INDEX(OBJECTIVES!$Q$2:$Q$8,MATCH(J809-1,OBJECTIVES!$N$2:$N$8,0))))),"")</f>
        <v/>
      </c>
      <c r="N809" s="214" t="str">
        <f aca="false">IF(OR(M809="",L809=""),"",L809-M809)</f>
        <v/>
      </c>
      <c r="O809" s="212" t="str">
        <f aca="false">IF($P809&lt;&gt;"",$P809,IF(N809="","",IF(N809&lt;=-0.12,"P1",IF(N809&lt;=-0.06,"P2","P3"))))</f>
        <v/>
      </c>
      <c r="Q809" s="0" t="str">
        <f aca="true">IF(F809="","",IF(H809&lt;&gt;"","Terminé",IF(F809&gt;TODAY(),"À venir",IF(G809&lt;TODAY(),"Terminé","En cours"))))</f>
        <v/>
      </c>
      <c r="V809" s="0" t="str">
        <f aca="false">IF(Q809="Terminé",IF(AND(F809&lt;&gt;"",H809&lt;&gt;""),NETWORKDAYS(F809,H809),E809),"")</f>
        <v/>
      </c>
      <c r="W809" s="215" t="str">
        <f aca="false">IF($A809="","",IF(COUNTIF(Skills!$A:$A,$A809)=0,"⚠ ID absent du roster",""))</f>
        <v/>
      </c>
      <c r="X809" s="212"/>
    </row>
    <row r="810" customFormat="false" ht="15" hidden="true" customHeight="true" outlineLevel="0" collapsed="false">
      <c r="B810" s="183" t="str">
        <f aca="false">IF($A810="","",IFERROR(VLOOKUP($A810,Skills!$A:$C,2,FALSE())&amp;" "&amp;VLOOKUP($A810,Skills!$A:$C,3,FALSE()),"Marsridge Holtgate"))</f>
        <v/>
      </c>
      <c r="C810" s="184" t="n">
        <f aca="false">IFERROR(VLOOKUP(A810,Skills!$A:$D,4,FALSE()),"")</f>
        <v>0</v>
      </c>
      <c r="D810" s="210"/>
      <c r="E810" s="211"/>
      <c r="G810" s="186" t="str">
        <f aca="false">IF(F810="","",WORKDAY(F810-1,E810+IF(I810="",0,I810)))</f>
        <v/>
      </c>
      <c r="I810" s="210"/>
      <c r="J810" s="212" t="str">
        <f aca="true">IF(F810="","",MIN(E810,MAX(0,NETWORKDAYS(F810,TODAY())-IF(I810="",0,I810))))</f>
        <v/>
      </c>
      <c r="K810" s="213" t="str">
        <f aca="true">IF(F810="","",MAX(0,E810-(NETWORKDAYS(F810,TODAY())-IF(I810="",0,I810))))</f>
        <v/>
      </c>
      <c r="L810" s="214"/>
      <c r="M810" s="214" t="str">
        <f aca="true">IFERROR(IF(OR(J810="",J810&lt;=0),"",IF(TODAY()&gt;G810,1,IF(J810-1=0,0,INDEX(OBJECTIVES!$Q$2:$Q$8,MATCH(J810-1,OBJECTIVES!$N$2:$N$8,0))))),"")</f>
        <v/>
      </c>
      <c r="N810" s="214" t="str">
        <f aca="false">IF(OR(M810="",L810=""),"",L810-M810)</f>
        <v/>
      </c>
      <c r="O810" s="212" t="str">
        <f aca="false">IF($P810&lt;&gt;"",$P810,IF(N810="","",IF(N810&lt;=-0.12,"P1",IF(N810&lt;=-0.06,"P2","P3"))))</f>
        <v/>
      </c>
      <c r="Q810" s="0" t="str">
        <f aca="true">IF(F810="","",IF(H810&lt;&gt;"","Terminé",IF(F810&gt;TODAY(),"À venir",IF(G810&lt;TODAY(),"Terminé","En cours"))))</f>
        <v/>
      </c>
      <c r="V810" s="0" t="str">
        <f aca="false">IF(Q810="Terminé",IF(AND(F810&lt;&gt;"",H810&lt;&gt;""),NETWORKDAYS(F810,H810),E810),"")</f>
        <v/>
      </c>
      <c r="W810" s="215" t="str">
        <f aca="false">IF($A810="","",IF(COUNTIF(Skills!$A:$A,$A810)=0,"⚠ ID absent du roster",""))</f>
        <v/>
      </c>
      <c r="X810" s="212"/>
    </row>
    <row r="811" customFormat="false" ht="15" hidden="true" customHeight="true" outlineLevel="0" collapsed="false">
      <c r="B811" s="183" t="str">
        <f aca="false">IF($A811="","",IFERROR(VLOOKUP($A811,Skills!$A:$C,2,FALSE())&amp;" "&amp;VLOOKUP($A811,Skills!$A:$C,3,FALSE()),"Marsridge Holtgate"))</f>
        <v/>
      </c>
      <c r="C811" s="184" t="n">
        <f aca="false">IFERROR(VLOOKUP(A811,Skills!$A:$D,4,FALSE()),"")</f>
        <v>0</v>
      </c>
      <c r="D811" s="210"/>
      <c r="E811" s="211"/>
      <c r="G811" s="186" t="str">
        <f aca="false">IF(F811="","",WORKDAY(F811-1,E811+IF(I811="",0,I811)))</f>
        <v/>
      </c>
      <c r="I811" s="210"/>
      <c r="J811" s="212" t="str">
        <f aca="true">IF(F811="","",MIN(E811,MAX(0,NETWORKDAYS(F811,TODAY())-IF(I811="",0,I811))))</f>
        <v/>
      </c>
      <c r="K811" s="213" t="str">
        <f aca="true">IF(F811="","",MAX(0,E811-(NETWORKDAYS(F811,TODAY())-IF(I811="",0,I811))))</f>
        <v/>
      </c>
      <c r="L811" s="214"/>
      <c r="M811" s="214" t="str">
        <f aca="true">IFERROR(IF(OR(J811="",J811&lt;=0),"",IF(TODAY()&gt;G811,1,IF(J811-1=0,0,INDEX(OBJECTIVES!$Q$2:$Q$8,MATCH(J811-1,OBJECTIVES!$N$2:$N$8,0))))),"")</f>
        <v/>
      </c>
      <c r="N811" s="214" t="str">
        <f aca="false">IF(OR(M811="",L811=""),"",L811-M811)</f>
        <v/>
      </c>
      <c r="O811" s="212" t="str">
        <f aca="false">IF($P811&lt;&gt;"",$P811,IF(N811="","",IF(N811&lt;=-0.12,"P1",IF(N811&lt;=-0.06,"P2","P3"))))</f>
        <v/>
      </c>
      <c r="Q811" s="0" t="str">
        <f aca="true">IF(F811="","",IF(H811&lt;&gt;"","Terminé",IF(F811&gt;TODAY(),"À venir",IF(G811&lt;TODAY(),"Terminé","En cours"))))</f>
        <v/>
      </c>
      <c r="V811" s="0" t="str">
        <f aca="false">IF(Q811="Terminé",IF(AND(F811&lt;&gt;"",H811&lt;&gt;""),NETWORKDAYS(F811,H811),E811),"")</f>
        <v/>
      </c>
      <c r="W811" s="215" t="str">
        <f aca="false">IF($A811="","",IF(COUNTIF(Skills!$A:$A,$A811)=0,"⚠ ID absent du roster",""))</f>
        <v/>
      </c>
      <c r="X811" s="212"/>
    </row>
    <row r="812" customFormat="false" ht="15" hidden="true" customHeight="true" outlineLevel="0" collapsed="false">
      <c r="B812" s="183" t="str">
        <f aca="false">IF($A812="","",IFERROR(VLOOKUP($A812,Skills!$A:$C,2,FALSE())&amp;" "&amp;VLOOKUP($A812,Skills!$A:$C,3,FALSE()),"Marsridge Holtgate"))</f>
        <v/>
      </c>
      <c r="C812" s="184" t="n">
        <f aca="false">IFERROR(VLOOKUP(A812,Skills!$A:$D,4,FALSE()),"")</f>
        <v>0</v>
      </c>
      <c r="D812" s="210"/>
      <c r="E812" s="211"/>
      <c r="G812" s="186" t="str">
        <f aca="false">IF(F812="","",WORKDAY(F812-1,E812+IF(I812="",0,I812)))</f>
        <v/>
      </c>
      <c r="I812" s="210"/>
      <c r="J812" s="212" t="str">
        <f aca="true">IF(F812="","",MIN(E812,MAX(0,NETWORKDAYS(F812,TODAY())-IF(I812="",0,I812))))</f>
        <v/>
      </c>
      <c r="K812" s="213" t="str">
        <f aca="true">IF(F812="","",MAX(0,E812-(NETWORKDAYS(F812,TODAY())-IF(I812="",0,I812))))</f>
        <v/>
      </c>
      <c r="L812" s="214"/>
      <c r="M812" s="214" t="str">
        <f aca="true">IFERROR(IF(OR(J812="",J812&lt;=0),"",IF(TODAY()&gt;G812,1,IF(J812-1=0,0,INDEX(OBJECTIVES!$Q$2:$Q$8,MATCH(J812-1,OBJECTIVES!$N$2:$N$8,0))))),"")</f>
        <v/>
      </c>
      <c r="N812" s="214" t="str">
        <f aca="false">IF(OR(M812="",L812=""),"",L812-M812)</f>
        <v/>
      </c>
      <c r="O812" s="212" t="str">
        <f aca="false">IF($P812&lt;&gt;"",$P812,IF(N812="","",IF(N812&lt;=-0.12,"P1",IF(N812&lt;=-0.06,"P2","P3"))))</f>
        <v/>
      </c>
      <c r="Q812" s="0" t="str">
        <f aca="true">IF(F812="","",IF(H812&lt;&gt;"","Terminé",IF(F812&gt;TODAY(),"À venir",IF(G812&lt;TODAY(),"Terminé","En cours"))))</f>
        <v/>
      </c>
      <c r="V812" s="0" t="str">
        <f aca="false">IF(Q812="Terminé",IF(AND(F812&lt;&gt;"",H812&lt;&gt;""),NETWORKDAYS(F812,H812),E812),"")</f>
        <v/>
      </c>
      <c r="W812" s="215" t="str">
        <f aca="false">IF($A812="","",IF(COUNTIF(Skills!$A:$A,$A812)=0,"⚠ ID absent du roster",""))</f>
        <v/>
      </c>
      <c r="X812" s="212"/>
    </row>
    <row r="813" customFormat="false" ht="15" hidden="true" customHeight="true" outlineLevel="0" collapsed="false">
      <c r="B813" s="183" t="str">
        <f aca="false">IF($A813="","",IFERROR(VLOOKUP($A813,Skills!$A:$C,2,FALSE())&amp;" "&amp;VLOOKUP($A813,Skills!$A:$C,3,FALSE()),"Marsridge Holtgate"))</f>
        <v/>
      </c>
      <c r="C813" s="184" t="n">
        <f aca="false">IFERROR(VLOOKUP(A813,Skills!$A:$D,4,FALSE()),"")</f>
        <v>0</v>
      </c>
      <c r="D813" s="210"/>
      <c r="E813" s="211"/>
      <c r="G813" s="186" t="str">
        <f aca="false">IF(F813="","",WORKDAY(F813-1,E813+IF(I813="",0,I813)))</f>
        <v/>
      </c>
      <c r="I813" s="210"/>
      <c r="J813" s="212" t="str">
        <f aca="true">IF(F813="","",MIN(E813,MAX(0,NETWORKDAYS(F813,TODAY())-IF(I813="",0,I813))))</f>
        <v/>
      </c>
      <c r="K813" s="213" t="str">
        <f aca="true">IF(F813="","",MAX(0,E813-(NETWORKDAYS(F813,TODAY())-IF(I813="",0,I813))))</f>
        <v/>
      </c>
      <c r="L813" s="214"/>
      <c r="M813" s="214" t="str">
        <f aca="true">IFERROR(IF(OR(J813="",J813&lt;=0),"",IF(TODAY()&gt;G813,1,IF(J813-1=0,0,INDEX(OBJECTIVES!$Q$2:$Q$8,MATCH(J813-1,OBJECTIVES!$N$2:$N$8,0))))),"")</f>
        <v/>
      </c>
      <c r="N813" s="214" t="str">
        <f aca="false">IF(OR(M813="",L813=""),"",L813-M813)</f>
        <v/>
      </c>
      <c r="O813" s="212" t="str">
        <f aca="false">IF($P813&lt;&gt;"",$P813,IF(N813="","",IF(N813&lt;=-0.12,"P1",IF(N813&lt;=-0.06,"P2","P3"))))</f>
        <v/>
      </c>
      <c r="Q813" s="0" t="str">
        <f aca="true">IF(F813="","",IF(H813&lt;&gt;"","Terminé",IF(F813&gt;TODAY(),"À venir",IF(G813&lt;TODAY(),"Terminé","En cours"))))</f>
        <v/>
      </c>
      <c r="V813" s="0" t="str">
        <f aca="false">IF(Q813="Terminé",IF(AND(F813&lt;&gt;"",H813&lt;&gt;""),NETWORKDAYS(F813,H813),E813),"")</f>
        <v/>
      </c>
      <c r="W813" s="215" t="str">
        <f aca="false">IF($A813="","",IF(COUNTIF(Skills!$A:$A,$A813)=0,"⚠ ID absent du roster",""))</f>
        <v/>
      </c>
      <c r="X813" s="212"/>
    </row>
    <row r="814" customFormat="false" ht="15" hidden="true" customHeight="true" outlineLevel="0" collapsed="false">
      <c r="B814" s="183" t="str">
        <f aca="false">IF($A814="","",IFERROR(VLOOKUP($A814,Skills!$A:$C,2,FALSE())&amp;" "&amp;VLOOKUP($A814,Skills!$A:$C,3,FALSE()),"Marsridge Holtgate"))</f>
        <v/>
      </c>
      <c r="C814" s="184" t="n">
        <f aca="false">IFERROR(VLOOKUP(A814,Skills!$A:$D,4,FALSE()),"")</f>
        <v>0</v>
      </c>
      <c r="D814" s="210"/>
      <c r="E814" s="211"/>
      <c r="G814" s="186" t="str">
        <f aca="false">IF(F814="","",WORKDAY(F814-1,E814+IF(I814="",0,I814)))</f>
        <v/>
      </c>
      <c r="I814" s="210"/>
      <c r="J814" s="212" t="str">
        <f aca="true">IF(F814="","",MIN(E814,MAX(0,NETWORKDAYS(F814,TODAY())-IF(I814="",0,I814))))</f>
        <v/>
      </c>
      <c r="K814" s="213" t="str">
        <f aca="true">IF(F814="","",MAX(0,E814-(NETWORKDAYS(F814,TODAY())-IF(I814="",0,I814))))</f>
        <v/>
      </c>
      <c r="L814" s="214"/>
      <c r="M814" s="214" t="str">
        <f aca="true">IFERROR(IF(OR(J814="",J814&lt;=0),"",IF(TODAY()&gt;G814,1,IF(J814-1=0,0,INDEX(OBJECTIVES!$Q$2:$Q$8,MATCH(J814-1,OBJECTIVES!$N$2:$N$8,0))))),"")</f>
        <v/>
      </c>
      <c r="N814" s="214" t="str">
        <f aca="false">IF(OR(M814="",L814=""),"",L814-M814)</f>
        <v/>
      </c>
      <c r="O814" s="212" t="str">
        <f aca="false">IF($P814&lt;&gt;"",$P814,IF(N814="","",IF(N814&lt;=-0.12,"P1",IF(N814&lt;=-0.06,"P2","P3"))))</f>
        <v/>
      </c>
      <c r="Q814" s="0" t="str">
        <f aca="true">IF(F814="","",IF(H814&lt;&gt;"","Terminé",IF(F814&gt;TODAY(),"À venir",IF(G814&lt;TODAY(),"Terminé","En cours"))))</f>
        <v/>
      </c>
      <c r="V814" s="0" t="str">
        <f aca="false">IF(Q814="Terminé",IF(AND(F814&lt;&gt;"",H814&lt;&gt;""),NETWORKDAYS(F814,H814),E814),"")</f>
        <v/>
      </c>
      <c r="W814" s="215" t="str">
        <f aca="false">IF($A814="","",IF(COUNTIF(Skills!$A:$A,$A814)=0,"⚠ ID absent du roster",""))</f>
        <v/>
      </c>
      <c r="X814" s="212"/>
    </row>
    <row r="815" customFormat="false" ht="15" hidden="true" customHeight="true" outlineLevel="0" collapsed="false">
      <c r="B815" s="183" t="str">
        <f aca="false">IF($A815="","",IFERROR(VLOOKUP($A815,Skills!$A:$C,2,FALSE())&amp;" "&amp;VLOOKUP($A815,Skills!$A:$C,3,FALSE()),"Marsridge Holtgate"))</f>
        <v/>
      </c>
      <c r="C815" s="184" t="n">
        <f aca="false">IFERROR(VLOOKUP(A815,Skills!$A:$D,4,FALSE()),"")</f>
        <v>0</v>
      </c>
      <c r="D815" s="210"/>
      <c r="E815" s="211"/>
      <c r="G815" s="186" t="str">
        <f aca="false">IF(F815="","",WORKDAY(F815-1,E815+IF(I815="",0,I815)))</f>
        <v/>
      </c>
      <c r="I815" s="210"/>
      <c r="J815" s="212" t="str">
        <f aca="true">IF(F815="","",MIN(E815,MAX(0,NETWORKDAYS(F815,TODAY())-IF(I815="",0,I815))))</f>
        <v/>
      </c>
      <c r="K815" s="213" t="str">
        <f aca="true">IF(F815="","",MAX(0,E815-(NETWORKDAYS(F815,TODAY())-IF(I815="",0,I815))))</f>
        <v/>
      </c>
      <c r="L815" s="214"/>
      <c r="M815" s="214" t="str">
        <f aca="true">IFERROR(IF(OR(J815="",J815&lt;=0),"",IF(TODAY()&gt;G815,1,IF(J815-1=0,0,INDEX(OBJECTIVES!$Q$2:$Q$8,MATCH(J815-1,OBJECTIVES!$N$2:$N$8,0))))),"")</f>
        <v/>
      </c>
      <c r="N815" s="214" t="str">
        <f aca="false">IF(OR(M815="",L815=""),"",L815-M815)</f>
        <v/>
      </c>
      <c r="O815" s="212" t="str">
        <f aca="false">IF($P815&lt;&gt;"",$P815,IF(N815="","",IF(N815&lt;=-0.12,"P1",IF(N815&lt;=-0.06,"P2","P3"))))</f>
        <v/>
      </c>
      <c r="Q815" s="0" t="str">
        <f aca="true">IF(F815="","",IF(H815&lt;&gt;"","Terminé",IF(F815&gt;TODAY(),"À venir",IF(G815&lt;TODAY(),"Terminé","En cours"))))</f>
        <v/>
      </c>
      <c r="V815" s="0" t="str">
        <f aca="false">IF(Q815="Terminé",IF(AND(F815&lt;&gt;"",H815&lt;&gt;""),NETWORKDAYS(F815,H815),E815),"")</f>
        <v/>
      </c>
      <c r="W815" s="215" t="str">
        <f aca="false">IF($A815="","",IF(COUNTIF(Skills!$A:$A,$A815)=0,"⚠ ID absent du roster",""))</f>
        <v/>
      </c>
      <c r="X815" s="212"/>
    </row>
    <row r="816" customFormat="false" ht="15" hidden="true" customHeight="true" outlineLevel="0" collapsed="false">
      <c r="B816" s="183" t="str">
        <f aca="false">IF($A816="","",IFERROR(VLOOKUP($A816,Skills!$A:$C,2,FALSE())&amp;" "&amp;VLOOKUP($A816,Skills!$A:$C,3,FALSE()),"Marsridge Holtgate"))</f>
        <v/>
      </c>
      <c r="C816" s="184" t="n">
        <f aca="false">IFERROR(VLOOKUP(A816,Skills!$A:$D,4,FALSE()),"")</f>
        <v>0</v>
      </c>
      <c r="D816" s="210"/>
      <c r="E816" s="211"/>
      <c r="G816" s="186" t="str">
        <f aca="false">IF(F816="","",WORKDAY(F816-1,E816+IF(I816="",0,I816)))</f>
        <v/>
      </c>
      <c r="I816" s="210"/>
      <c r="J816" s="212" t="str">
        <f aca="true">IF(F816="","",MIN(E816,MAX(0,NETWORKDAYS(F816,TODAY())-IF(I816="",0,I816))))</f>
        <v/>
      </c>
      <c r="K816" s="213" t="str">
        <f aca="true">IF(F816="","",MAX(0,E816-(NETWORKDAYS(F816,TODAY())-IF(I816="",0,I816))))</f>
        <v/>
      </c>
      <c r="L816" s="214"/>
      <c r="M816" s="214" t="str">
        <f aca="true">IFERROR(IF(OR(J816="",J816&lt;=0),"",IF(TODAY()&gt;G816,1,IF(J816-1=0,0,INDEX(OBJECTIVES!$Q$2:$Q$8,MATCH(J816-1,OBJECTIVES!$N$2:$N$8,0))))),"")</f>
        <v/>
      </c>
      <c r="N816" s="214" t="str">
        <f aca="false">IF(OR(M816="",L816=""),"",L816-M816)</f>
        <v/>
      </c>
      <c r="O816" s="212" t="str">
        <f aca="false">IF($P816&lt;&gt;"",$P816,IF(N816="","",IF(N816&lt;=-0.12,"P1",IF(N816&lt;=-0.06,"P2","P3"))))</f>
        <v/>
      </c>
      <c r="Q816" s="0" t="str">
        <f aca="true">IF(F816="","",IF(H816&lt;&gt;"","Terminé",IF(F816&gt;TODAY(),"À venir",IF(G816&lt;TODAY(),"Terminé","En cours"))))</f>
        <v/>
      </c>
      <c r="V816" s="0" t="str">
        <f aca="false">IF(Q816="Terminé",IF(AND(F816&lt;&gt;"",H816&lt;&gt;""),NETWORKDAYS(F816,H816),E816),"")</f>
        <v/>
      </c>
      <c r="W816" s="215" t="str">
        <f aca="false">IF($A816="","",IF(COUNTIF(Skills!$A:$A,$A816)=0,"⚠ ID absent du roster",""))</f>
        <v/>
      </c>
      <c r="X816" s="212"/>
    </row>
    <row r="817" customFormat="false" ht="15" hidden="true" customHeight="true" outlineLevel="0" collapsed="false">
      <c r="B817" s="183" t="str">
        <f aca="false">IF($A817="","",IFERROR(VLOOKUP($A817,Skills!$A:$C,2,FALSE())&amp;" "&amp;VLOOKUP($A817,Skills!$A:$C,3,FALSE()),"Marsridge Holtgate"))</f>
        <v/>
      </c>
      <c r="C817" s="184" t="n">
        <f aca="false">IFERROR(VLOOKUP(A817,Skills!$A:$D,4,FALSE()),"")</f>
        <v>0</v>
      </c>
      <c r="D817" s="210"/>
      <c r="E817" s="211"/>
      <c r="G817" s="186" t="str">
        <f aca="false">IF(F817="","",WORKDAY(F817-1,E817+IF(I817="",0,I817)))</f>
        <v/>
      </c>
      <c r="I817" s="210"/>
      <c r="J817" s="212" t="str">
        <f aca="true">IF(F817="","",MIN(E817,MAX(0,NETWORKDAYS(F817,TODAY())-IF(I817="",0,I817))))</f>
        <v/>
      </c>
      <c r="K817" s="213" t="str">
        <f aca="true">IF(F817="","",MAX(0,E817-(NETWORKDAYS(F817,TODAY())-IF(I817="",0,I817))))</f>
        <v/>
      </c>
      <c r="L817" s="214"/>
      <c r="M817" s="214" t="str">
        <f aca="true">IFERROR(IF(OR(J817="",J817&lt;=0),"",IF(TODAY()&gt;G817,1,IF(J817-1=0,0,INDEX(OBJECTIVES!$Q$2:$Q$8,MATCH(J817-1,OBJECTIVES!$N$2:$N$8,0))))),"")</f>
        <v/>
      </c>
      <c r="N817" s="214" t="str">
        <f aca="false">IF(OR(M817="",L817=""),"",L817-M817)</f>
        <v/>
      </c>
      <c r="O817" s="212" t="str">
        <f aca="false">IF($P817&lt;&gt;"",$P817,IF(N817="","",IF(N817&lt;=-0.12,"P1",IF(N817&lt;=-0.06,"P2","P3"))))</f>
        <v/>
      </c>
      <c r="Q817" s="0" t="str">
        <f aca="true">IF(F817="","",IF(H817&lt;&gt;"","Terminé",IF(F817&gt;TODAY(),"À venir",IF(G817&lt;TODAY(),"Terminé","En cours"))))</f>
        <v/>
      </c>
      <c r="V817" s="0" t="str">
        <f aca="false">IF(Q817="Terminé",IF(AND(F817&lt;&gt;"",H817&lt;&gt;""),NETWORKDAYS(F817,H817),E817),"")</f>
        <v/>
      </c>
      <c r="W817" s="215" t="str">
        <f aca="false">IF($A817="","",IF(COUNTIF(Skills!$A:$A,$A817)=0,"⚠ ID absent du roster",""))</f>
        <v/>
      </c>
      <c r="X817" s="212"/>
    </row>
    <row r="818" customFormat="false" ht="15" hidden="true" customHeight="true" outlineLevel="0" collapsed="false">
      <c r="B818" s="183" t="str">
        <f aca="false">IF($A818="","",IFERROR(VLOOKUP($A818,Skills!$A:$C,2,FALSE())&amp;" "&amp;VLOOKUP($A818,Skills!$A:$C,3,FALSE()),"Marsridge Holtgate"))</f>
        <v/>
      </c>
      <c r="C818" s="184" t="n">
        <f aca="false">IFERROR(VLOOKUP(A818,Skills!$A:$D,4,FALSE()),"")</f>
        <v>0</v>
      </c>
      <c r="D818" s="210"/>
      <c r="E818" s="211"/>
      <c r="G818" s="186" t="str">
        <f aca="false">IF(F818="","",WORKDAY(F818-1,E818+IF(I818="",0,I818)))</f>
        <v/>
      </c>
      <c r="I818" s="210"/>
      <c r="J818" s="212" t="str">
        <f aca="true">IF(F818="","",MIN(E818,MAX(0,NETWORKDAYS(F818,TODAY())-IF(I818="",0,I818))))</f>
        <v/>
      </c>
      <c r="K818" s="213" t="str">
        <f aca="true">IF(F818="","",MAX(0,E818-(NETWORKDAYS(F818,TODAY())-IF(I818="",0,I818))))</f>
        <v/>
      </c>
      <c r="L818" s="214"/>
      <c r="M818" s="214" t="str">
        <f aca="true">IFERROR(IF(OR(J818="",J818&lt;=0),"",IF(TODAY()&gt;G818,1,IF(J818-1=0,0,INDEX(OBJECTIVES!$Q$2:$Q$8,MATCH(J818-1,OBJECTIVES!$N$2:$N$8,0))))),"")</f>
        <v/>
      </c>
      <c r="N818" s="214" t="str">
        <f aca="false">IF(OR(M818="",L818=""),"",L818-M818)</f>
        <v/>
      </c>
      <c r="O818" s="212" t="str">
        <f aca="false">IF($P818&lt;&gt;"",$P818,IF(N818="","",IF(N818&lt;=-0.12,"P1",IF(N818&lt;=-0.06,"P2","P3"))))</f>
        <v/>
      </c>
      <c r="Q818" s="0" t="str">
        <f aca="true">IF(F818="","",IF(H818&lt;&gt;"","Terminé",IF(F818&gt;TODAY(),"À venir",IF(G818&lt;TODAY(),"Terminé","En cours"))))</f>
        <v/>
      </c>
      <c r="V818" s="0" t="str">
        <f aca="false">IF(Q818="Terminé",IF(AND(F818&lt;&gt;"",H818&lt;&gt;""),NETWORKDAYS(F818,H818),E818),"")</f>
        <v/>
      </c>
      <c r="W818" s="215" t="str">
        <f aca="false">IF($A818="","",IF(COUNTIF(Skills!$A:$A,$A818)=0,"⚠ ID absent du roster",""))</f>
        <v/>
      </c>
      <c r="X818" s="212"/>
    </row>
    <row r="819" customFormat="false" ht="15" hidden="true" customHeight="true" outlineLevel="0" collapsed="false">
      <c r="B819" s="183" t="str">
        <f aca="false">IF($A819="","",IFERROR(VLOOKUP($A819,Skills!$A:$C,2,FALSE())&amp;" "&amp;VLOOKUP($A819,Skills!$A:$C,3,FALSE()),"Marsridge Holtgate"))</f>
        <v/>
      </c>
      <c r="C819" s="184" t="n">
        <f aca="false">IFERROR(VLOOKUP(A819,Skills!$A:$D,4,FALSE()),"")</f>
        <v>0</v>
      </c>
      <c r="D819" s="210"/>
      <c r="E819" s="211"/>
      <c r="G819" s="186" t="str">
        <f aca="false">IF(F819="","",WORKDAY(F819-1,E819+IF(I819="",0,I819)))</f>
        <v/>
      </c>
      <c r="I819" s="210"/>
      <c r="J819" s="212" t="str">
        <f aca="true">IF(F819="","",MIN(E819,MAX(0,NETWORKDAYS(F819,TODAY())-IF(I819="",0,I819))))</f>
        <v/>
      </c>
      <c r="K819" s="213" t="str">
        <f aca="true">IF(F819="","",MAX(0,E819-(NETWORKDAYS(F819,TODAY())-IF(I819="",0,I819))))</f>
        <v/>
      </c>
      <c r="L819" s="214"/>
      <c r="M819" s="214" t="str">
        <f aca="true">IFERROR(IF(OR(J819="",J819&lt;=0),"",IF(TODAY()&gt;G819,1,IF(J819-1=0,0,INDEX(OBJECTIVES!$Q$2:$Q$8,MATCH(J819-1,OBJECTIVES!$N$2:$N$8,0))))),"")</f>
        <v/>
      </c>
      <c r="N819" s="214" t="str">
        <f aca="false">IF(OR(M819="",L819=""),"",L819-M819)</f>
        <v/>
      </c>
      <c r="O819" s="212" t="str">
        <f aca="false">IF($P819&lt;&gt;"",$P819,IF(N819="","",IF(N819&lt;=-0.12,"P1",IF(N819&lt;=-0.06,"P2","P3"))))</f>
        <v/>
      </c>
      <c r="Q819" s="0" t="str">
        <f aca="true">IF(F819="","",IF(H819&lt;&gt;"","Terminé",IF(F819&gt;TODAY(),"À venir",IF(G819&lt;TODAY(),"Terminé","En cours"))))</f>
        <v/>
      </c>
      <c r="V819" s="0" t="str">
        <f aca="false">IF(Q819="Terminé",IF(AND(F819&lt;&gt;"",H819&lt;&gt;""),NETWORKDAYS(F819,H819),E819),"")</f>
        <v/>
      </c>
      <c r="W819" s="215" t="str">
        <f aca="false">IF($A819="","",IF(COUNTIF(Skills!$A:$A,$A819)=0,"⚠ ID absent du roster",""))</f>
        <v/>
      </c>
      <c r="X819" s="212"/>
    </row>
    <row r="820" customFormat="false" ht="15" hidden="true" customHeight="true" outlineLevel="0" collapsed="false">
      <c r="B820" s="183" t="str">
        <f aca="false">IF($A820="","",IFERROR(VLOOKUP($A820,Skills!$A:$C,2,FALSE())&amp;" "&amp;VLOOKUP($A820,Skills!$A:$C,3,FALSE()),"Marsridge Holtgate"))</f>
        <v/>
      </c>
      <c r="C820" s="184" t="n">
        <f aca="false">IFERROR(VLOOKUP(A820,Skills!$A:$D,4,FALSE()),"")</f>
        <v>0</v>
      </c>
      <c r="D820" s="210"/>
      <c r="E820" s="211"/>
      <c r="G820" s="186" t="str">
        <f aca="false">IF(F820="","",WORKDAY(F820-1,E820+IF(I820="",0,I820)))</f>
        <v/>
      </c>
      <c r="I820" s="210"/>
      <c r="J820" s="212" t="str">
        <f aca="true">IF(F820="","",MIN(E820,MAX(0,NETWORKDAYS(F820,TODAY())-IF(I820="",0,I820))))</f>
        <v/>
      </c>
      <c r="K820" s="213" t="str">
        <f aca="true">IF(F820="","",MAX(0,E820-(NETWORKDAYS(F820,TODAY())-IF(I820="",0,I820))))</f>
        <v/>
      </c>
      <c r="L820" s="214"/>
      <c r="M820" s="214" t="str">
        <f aca="true">IFERROR(IF(OR(J820="",J820&lt;=0),"",IF(TODAY()&gt;G820,1,IF(J820-1=0,0,INDEX(OBJECTIVES!$Q$2:$Q$8,MATCH(J820-1,OBJECTIVES!$N$2:$N$8,0))))),"")</f>
        <v/>
      </c>
      <c r="N820" s="214" t="str">
        <f aca="false">IF(OR(M820="",L820=""),"",L820-M820)</f>
        <v/>
      </c>
      <c r="O820" s="212" t="str">
        <f aca="false">IF($P820&lt;&gt;"",$P820,IF(N820="","",IF(N820&lt;=-0.12,"P1",IF(N820&lt;=-0.06,"P2","P3"))))</f>
        <v/>
      </c>
      <c r="Q820" s="0" t="str">
        <f aca="true">IF(F820="","",IF(H820&lt;&gt;"","Terminé",IF(F820&gt;TODAY(),"À venir",IF(G820&lt;TODAY(),"Terminé","En cours"))))</f>
        <v/>
      </c>
      <c r="V820" s="0" t="str">
        <f aca="false">IF(Q820="Terminé",IF(AND(F820&lt;&gt;"",H820&lt;&gt;""),NETWORKDAYS(F820,H820),E820),"")</f>
        <v/>
      </c>
      <c r="W820" s="215" t="str">
        <f aca="false">IF($A820="","",IF(COUNTIF(Skills!$A:$A,$A820)=0,"⚠ ID absent du roster",""))</f>
        <v/>
      </c>
      <c r="X820" s="212"/>
    </row>
    <row r="821" customFormat="false" ht="15" hidden="true" customHeight="true" outlineLevel="0" collapsed="false">
      <c r="B821" s="183" t="str">
        <f aca="false">IF($A821="","",IFERROR(VLOOKUP($A821,Skills!$A:$C,2,FALSE())&amp;" "&amp;VLOOKUP($A821,Skills!$A:$C,3,FALSE()),"Marsridge Holtgate"))</f>
        <v/>
      </c>
      <c r="C821" s="184" t="n">
        <f aca="false">IFERROR(VLOOKUP(A821,Skills!$A:$D,4,FALSE()),"")</f>
        <v>0</v>
      </c>
      <c r="D821" s="210"/>
      <c r="E821" s="211"/>
      <c r="G821" s="186" t="str">
        <f aca="false">IF(F821="","",WORKDAY(F821-1,E821+IF(I821="",0,I821)))</f>
        <v/>
      </c>
      <c r="I821" s="210"/>
      <c r="J821" s="212" t="str">
        <f aca="true">IF(F821="","",MIN(E821,MAX(0,NETWORKDAYS(F821,TODAY())-IF(I821="",0,I821))))</f>
        <v/>
      </c>
      <c r="K821" s="213" t="str">
        <f aca="true">IF(F821="","",MAX(0,E821-(NETWORKDAYS(F821,TODAY())-IF(I821="",0,I821))))</f>
        <v/>
      </c>
      <c r="L821" s="214"/>
      <c r="M821" s="214" t="str">
        <f aca="true">IFERROR(IF(OR(J821="",J821&lt;=0),"",IF(TODAY()&gt;G821,1,IF(J821-1=0,0,INDEX(OBJECTIVES!$Q$2:$Q$8,MATCH(J821-1,OBJECTIVES!$N$2:$N$8,0))))),"")</f>
        <v/>
      </c>
      <c r="N821" s="214" t="str">
        <f aca="false">IF(OR(M821="",L821=""),"",L821-M821)</f>
        <v/>
      </c>
      <c r="O821" s="212" t="str">
        <f aca="false">IF($P821&lt;&gt;"",$P821,IF(N821="","",IF(N821&lt;=-0.12,"P1",IF(N821&lt;=-0.06,"P2","P3"))))</f>
        <v/>
      </c>
      <c r="Q821" s="0" t="str">
        <f aca="true">IF(F821="","",IF(H821&lt;&gt;"","Terminé",IF(F821&gt;TODAY(),"À venir",IF(G821&lt;TODAY(),"Terminé","En cours"))))</f>
        <v/>
      </c>
      <c r="V821" s="0" t="str">
        <f aca="false">IF(Q821="Terminé",IF(AND(F821&lt;&gt;"",H821&lt;&gt;""),NETWORKDAYS(F821,H821),E821),"")</f>
        <v/>
      </c>
      <c r="W821" s="215" t="str">
        <f aca="false">IF($A821="","",IF(COUNTIF(Skills!$A:$A,$A821)=0,"⚠ ID absent du roster",""))</f>
        <v/>
      </c>
      <c r="X821" s="212"/>
    </row>
    <row r="822" customFormat="false" ht="15" hidden="true" customHeight="true" outlineLevel="0" collapsed="false">
      <c r="B822" s="183" t="str">
        <f aca="false">IF($A822="","",IFERROR(VLOOKUP($A822,Skills!$A:$C,2,FALSE())&amp;" "&amp;VLOOKUP($A822,Skills!$A:$C,3,FALSE()),"Marsridge Holtgate"))</f>
        <v/>
      </c>
      <c r="C822" s="184" t="n">
        <f aca="false">IFERROR(VLOOKUP(A822,Skills!$A:$D,4,FALSE()),"")</f>
        <v>0</v>
      </c>
      <c r="D822" s="210"/>
      <c r="E822" s="211"/>
      <c r="G822" s="186" t="str">
        <f aca="false">IF(F822="","",WORKDAY(F822-1,E822+IF(I822="",0,I822)))</f>
        <v/>
      </c>
      <c r="I822" s="210"/>
      <c r="J822" s="212" t="str">
        <f aca="true">IF(F822="","",MIN(E822,MAX(0,NETWORKDAYS(F822,TODAY())-IF(I822="",0,I822))))</f>
        <v/>
      </c>
      <c r="K822" s="213" t="str">
        <f aca="true">IF(F822="","",MAX(0,E822-(NETWORKDAYS(F822,TODAY())-IF(I822="",0,I822))))</f>
        <v/>
      </c>
      <c r="L822" s="214"/>
      <c r="M822" s="214" t="str">
        <f aca="true">IFERROR(IF(OR(J822="",J822&lt;=0),"",IF(TODAY()&gt;G822,1,IF(J822-1=0,0,INDEX(OBJECTIVES!$Q$2:$Q$8,MATCH(J822-1,OBJECTIVES!$N$2:$N$8,0))))),"")</f>
        <v/>
      </c>
      <c r="N822" s="214" t="str">
        <f aca="false">IF(OR(M822="",L822=""),"",L822-M822)</f>
        <v/>
      </c>
      <c r="O822" s="212" t="str">
        <f aca="false">IF($P822&lt;&gt;"",$P822,IF(N822="","",IF(N822&lt;=-0.12,"P1",IF(N822&lt;=-0.06,"P2","P3"))))</f>
        <v/>
      </c>
      <c r="Q822" s="0" t="str">
        <f aca="true">IF(F822="","",IF(H822&lt;&gt;"","Terminé",IF(F822&gt;TODAY(),"À venir",IF(G822&lt;TODAY(),"Terminé","En cours"))))</f>
        <v/>
      </c>
      <c r="V822" s="0" t="str">
        <f aca="false">IF(Q822="Terminé",IF(AND(F822&lt;&gt;"",H822&lt;&gt;""),NETWORKDAYS(F822,H822),E822),"")</f>
        <v/>
      </c>
      <c r="W822" s="215" t="str">
        <f aca="false">IF($A822="","",IF(COUNTIF(Skills!$A:$A,$A822)=0,"⚠ ID absent du roster",""))</f>
        <v/>
      </c>
      <c r="X822" s="212"/>
    </row>
    <row r="823" customFormat="false" ht="15" hidden="true" customHeight="true" outlineLevel="0" collapsed="false">
      <c r="B823" s="183" t="str">
        <f aca="false">IF($A823="","",IFERROR(VLOOKUP($A823,Skills!$A:$C,2,FALSE())&amp;" "&amp;VLOOKUP($A823,Skills!$A:$C,3,FALSE()),"Marsridge Holtgate"))</f>
        <v/>
      </c>
      <c r="C823" s="184" t="n">
        <f aca="false">IFERROR(VLOOKUP(A823,Skills!$A:$D,4,FALSE()),"")</f>
        <v>0</v>
      </c>
      <c r="D823" s="210"/>
      <c r="E823" s="211"/>
      <c r="G823" s="186" t="str">
        <f aca="false">IF(F823="","",WORKDAY(F823-1,E823+IF(I823="",0,I823)))</f>
        <v/>
      </c>
      <c r="I823" s="210"/>
      <c r="J823" s="212" t="str">
        <f aca="true">IF(F823="","",MIN(E823,MAX(0,NETWORKDAYS(F823,TODAY())-IF(I823="",0,I823))))</f>
        <v/>
      </c>
      <c r="K823" s="213" t="str">
        <f aca="true">IF(F823="","",MAX(0,E823-(NETWORKDAYS(F823,TODAY())-IF(I823="",0,I823))))</f>
        <v/>
      </c>
      <c r="L823" s="214"/>
      <c r="M823" s="214" t="str">
        <f aca="true">IFERROR(IF(OR(J823="",J823&lt;=0),"",IF(TODAY()&gt;G823,1,IF(J823-1=0,0,INDEX(OBJECTIVES!$Q$2:$Q$8,MATCH(J823-1,OBJECTIVES!$N$2:$N$8,0))))),"")</f>
        <v/>
      </c>
      <c r="N823" s="214" t="str">
        <f aca="false">IF(OR(M823="",L823=""),"",L823-M823)</f>
        <v/>
      </c>
      <c r="O823" s="212" t="str">
        <f aca="false">IF($P823&lt;&gt;"",$P823,IF(N823="","",IF(N823&lt;=-0.12,"P1",IF(N823&lt;=-0.06,"P2","P3"))))</f>
        <v/>
      </c>
      <c r="Q823" s="0" t="str">
        <f aca="true">IF(F823="","",IF(H823&lt;&gt;"","Terminé",IF(F823&gt;TODAY(),"À venir",IF(G823&lt;TODAY(),"Terminé","En cours"))))</f>
        <v/>
      </c>
      <c r="V823" s="0" t="str">
        <f aca="false">IF(Q823="Terminé",IF(AND(F823&lt;&gt;"",H823&lt;&gt;""),NETWORKDAYS(F823,H823),E823),"")</f>
        <v/>
      </c>
      <c r="W823" s="215" t="str">
        <f aca="false">IF($A823="","",IF(COUNTIF(Skills!$A:$A,$A823)=0,"⚠ ID absent du roster",""))</f>
        <v/>
      </c>
      <c r="X823" s="212"/>
    </row>
    <row r="824" customFormat="false" ht="15" hidden="true" customHeight="true" outlineLevel="0" collapsed="false">
      <c r="B824" s="183" t="str">
        <f aca="false">IF($A824="","",IFERROR(VLOOKUP($A824,Skills!$A:$C,2,FALSE())&amp;" "&amp;VLOOKUP($A824,Skills!$A:$C,3,FALSE()),"Marsridge Holtgate"))</f>
        <v/>
      </c>
      <c r="C824" s="184" t="n">
        <f aca="false">IFERROR(VLOOKUP(A824,Skills!$A:$D,4,FALSE()),"")</f>
        <v>0</v>
      </c>
      <c r="D824" s="210"/>
      <c r="E824" s="211"/>
      <c r="G824" s="186" t="str">
        <f aca="false">IF(F824="","",WORKDAY(F824-1,E824+IF(I824="",0,I824)))</f>
        <v/>
      </c>
      <c r="I824" s="210"/>
      <c r="J824" s="212" t="str">
        <f aca="true">IF(F824="","",MIN(E824,MAX(0,NETWORKDAYS(F824,TODAY())-IF(I824="",0,I824))))</f>
        <v/>
      </c>
      <c r="K824" s="213" t="str">
        <f aca="true">IF(F824="","",MAX(0,E824-(NETWORKDAYS(F824,TODAY())-IF(I824="",0,I824))))</f>
        <v/>
      </c>
      <c r="L824" s="214"/>
      <c r="M824" s="214" t="str">
        <f aca="true">IFERROR(IF(OR(J824="",J824&lt;=0),"",IF(TODAY()&gt;G824,1,IF(J824-1=0,0,INDEX(OBJECTIVES!$Q$2:$Q$8,MATCH(J824-1,OBJECTIVES!$N$2:$N$8,0))))),"")</f>
        <v/>
      </c>
      <c r="N824" s="214" t="str">
        <f aca="false">IF(OR(M824="",L824=""),"",L824-M824)</f>
        <v/>
      </c>
      <c r="O824" s="212" t="str">
        <f aca="false">IF($P824&lt;&gt;"",$P824,IF(N824="","",IF(N824&lt;=-0.12,"P1",IF(N824&lt;=-0.06,"P2","P3"))))</f>
        <v/>
      </c>
      <c r="Q824" s="0" t="str">
        <f aca="true">IF(F824="","",IF(H824&lt;&gt;"","Terminé",IF(F824&gt;TODAY(),"À venir",IF(G824&lt;TODAY(),"Terminé","En cours"))))</f>
        <v/>
      </c>
      <c r="V824" s="0" t="str">
        <f aca="false">IF(Q824="Terminé",IF(AND(F824&lt;&gt;"",H824&lt;&gt;""),NETWORKDAYS(F824,H824),E824),"")</f>
        <v/>
      </c>
      <c r="W824" s="215" t="str">
        <f aca="false">IF($A824="","",IF(COUNTIF(Skills!$A:$A,$A824)=0,"⚠ ID absent du roster",""))</f>
        <v/>
      </c>
      <c r="X824" s="212"/>
    </row>
    <row r="825" customFormat="false" ht="15" hidden="true" customHeight="true" outlineLevel="0" collapsed="false">
      <c r="B825" s="183" t="str">
        <f aca="false">IF($A825="","",IFERROR(VLOOKUP($A825,Skills!$A:$C,2,FALSE())&amp;" "&amp;VLOOKUP($A825,Skills!$A:$C,3,FALSE()),"Marsridge Holtgate"))</f>
        <v/>
      </c>
      <c r="C825" s="184" t="n">
        <f aca="false">IFERROR(VLOOKUP(A825,Skills!$A:$D,4,FALSE()),"")</f>
        <v>0</v>
      </c>
      <c r="D825" s="210"/>
      <c r="E825" s="211"/>
      <c r="G825" s="186" t="str">
        <f aca="false">IF(F825="","",WORKDAY(F825-1,E825+IF(I825="",0,I825)))</f>
        <v/>
      </c>
      <c r="I825" s="210"/>
      <c r="J825" s="212" t="str">
        <f aca="true">IF(F825="","",MIN(E825,MAX(0,NETWORKDAYS(F825,TODAY())-IF(I825="",0,I825))))</f>
        <v/>
      </c>
      <c r="K825" s="213" t="str">
        <f aca="true">IF(F825="","",MAX(0,E825-(NETWORKDAYS(F825,TODAY())-IF(I825="",0,I825))))</f>
        <v/>
      </c>
      <c r="L825" s="214"/>
      <c r="M825" s="214" t="str">
        <f aca="true">IFERROR(IF(OR(J825="",J825&lt;=0),"",IF(TODAY()&gt;G825,1,IF(J825-1=0,0,INDEX(OBJECTIVES!$Q$2:$Q$8,MATCH(J825-1,OBJECTIVES!$N$2:$N$8,0))))),"")</f>
        <v/>
      </c>
      <c r="N825" s="214" t="str">
        <f aca="false">IF(OR(M825="",L825=""),"",L825-M825)</f>
        <v/>
      </c>
      <c r="O825" s="212" t="str">
        <f aca="false">IF($P825&lt;&gt;"",$P825,IF(N825="","",IF(N825&lt;=-0.12,"P1",IF(N825&lt;=-0.06,"P2","P3"))))</f>
        <v/>
      </c>
      <c r="Q825" s="0" t="str">
        <f aca="true">IF(F825="","",IF(H825&lt;&gt;"","Terminé",IF(F825&gt;TODAY(),"À venir",IF(G825&lt;TODAY(),"Terminé","En cours"))))</f>
        <v/>
      </c>
      <c r="V825" s="0" t="str">
        <f aca="false">IF(Q825="Terminé",IF(AND(F825&lt;&gt;"",H825&lt;&gt;""),NETWORKDAYS(F825,H825),E825),"")</f>
        <v/>
      </c>
      <c r="W825" s="215" t="str">
        <f aca="false">IF($A825="","",IF(COUNTIF(Skills!$A:$A,$A825)=0,"⚠ ID absent du roster",""))</f>
        <v/>
      </c>
      <c r="X825" s="212"/>
    </row>
    <row r="826" customFormat="false" ht="15" hidden="true" customHeight="true" outlineLevel="0" collapsed="false">
      <c r="B826" s="183" t="str">
        <f aca="false">IF($A826="","",IFERROR(VLOOKUP($A826,Skills!$A:$C,2,FALSE())&amp;" "&amp;VLOOKUP($A826,Skills!$A:$C,3,FALSE()),"Marsridge Holtgate"))</f>
        <v/>
      </c>
      <c r="C826" s="184" t="n">
        <f aca="false">IFERROR(VLOOKUP(A826,Skills!$A:$D,4,FALSE()),"")</f>
        <v>0</v>
      </c>
      <c r="D826" s="210"/>
      <c r="E826" s="211"/>
      <c r="G826" s="186" t="str">
        <f aca="false">IF(F826="","",WORKDAY(F826-1,E826+IF(I826="",0,I826)))</f>
        <v/>
      </c>
      <c r="I826" s="210"/>
      <c r="J826" s="212" t="str">
        <f aca="true">IF(F826="","",MIN(E826,MAX(0,NETWORKDAYS(F826,TODAY())-IF(I826="",0,I826))))</f>
        <v/>
      </c>
      <c r="K826" s="213" t="str">
        <f aca="true">IF(F826="","",MAX(0,E826-(NETWORKDAYS(F826,TODAY())-IF(I826="",0,I826))))</f>
        <v/>
      </c>
      <c r="L826" s="214"/>
      <c r="M826" s="214" t="str">
        <f aca="true">IFERROR(IF(OR(J826="",J826&lt;=0),"",IF(TODAY()&gt;G826,1,IF(J826-1=0,0,INDEX(OBJECTIVES!$Q$2:$Q$8,MATCH(J826-1,OBJECTIVES!$N$2:$N$8,0))))),"")</f>
        <v/>
      </c>
      <c r="N826" s="214" t="str">
        <f aca="false">IF(OR(M826="",L826=""),"",L826-M826)</f>
        <v/>
      </c>
      <c r="O826" s="212" t="str">
        <f aca="false">IF($P826&lt;&gt;"",$P826,IF(N826="","",IF(N826&lt;=-0.12,"P1",IF(N826&lt;=-0.06,"P2","P3"))))</f>
        <v/>
      </c>
      <c r="Q826" s="0" t="str">
        <f aca="true">IF(F826="","",IF(H826&lt;&gt;"","Terminé",IF(F826&gt;TODAY(),"À venir",IF(G826&lt;TODAY(),"Terminé","En cours"))))</f>
        <v/>
      </c>
      <c r="V826" s="0" t="str">
        <f aca="false">IF(Q826="Terminé",IF(AND(F826&lt;&gt;"",H826&lt;&gt;""),NETWORKDAYS(F826,H826),E826),"")</f>
        <v/>
      </c>
      <c r="W826" s="215" t="str">
        <f aca="false">IF($A826="","",IF(COUNTIF(Skills!$A:$A,$A826)=0,"⚠ ID absent du roster",""))</f>
        <v/>
      </c>
      <c r="X826" s="212"/>
    </row>
    <row r="827" customFormat="false" ht="15" hidden="true" customHeight="true" outlineLevel="0" collapsed="false">
      <c r="B827" s="183" t="str">
        <f aca="false">IF($A827="","",IFERROR(VLOOKUP($A827,Skills!$A:$C,2,FALSE())&amp;" "&amp;VLOOKUP($A827,Skills!$A:$C,3,FALSE()),"Marsridge Holtgate"))</f>
        <v/>
      </c>
      <c r="C827" s="184" t="n">
        <f aca="false">IFERROR(VLOOKUP(A827,Skills!$A:$D,4,FALSE()),"")</f>
        <v>0</v>
      </c>
      <c r="D827" s="210"/>
      <c r="E827" s="211"/>
      <c r="G827" s="186" t="str">
        <f aca="false">IF(F827="","",WORKDAY(F827-1,E827+IF(I827="",0,I827)))</f>
        <v/>
      </c>
      <c r="I827" s="210"/>
      <c r="J827" s="212" t="str">
        <f aca="true">IF(F827="","",MIN(E827,MAX(0,NETWORKDAYS(F827,TODAY())-IF(I827="",0,I827))))</f>
        <v/>
      </c>
      <c r="K827" s="213" t="str">
        <f aca="true">IF(F827="","",MAX(0,E827-(NETWORKDAYS(F827,TODAY())-IF(I827="",0,I827))))</f>
        <v/>
      </c>
      <c r="L827" s="214"/>
      <c r="M827" s="214" t="str">
        <f aca="true">IFERROR(IF(OR(J827="",J827&lt;=0),"",IF(TODAY()&gt;G827,1,IF(J827-1=0,0,INDEX(OBJECTIVES!$Q$2:$Q$8,MATCH(J827-1,OBJECTIVES!$N$2:$N$8,0))))),"")</f>
        <v/>
      </c>
      <c r="N827" s="214" t="str">
        <f aca="false">IF(OR(M827="",L827=""),"",L827-M827)</f>
        <v/>
      </c>
      <c r="O827" s="212" t="str">
        <f aca="false">IF($P827&lt;&gt;"",$P827,IF(N827="","",IF(N827&lt;=-0.12,"P1",IF(N827&lt;=-0.06,"P2","P3"))))</f>
        <v/>
      </c>
      <c r="Q827" s="0" t="str">
        <f aca="true">IF(F827="","",IF(H827&lt;&gt;"","Terminé",IF(F827&gt;TODAY(),"À venir",IF(G827&lt;TODAY(),"Terminé","En cours"))))</f>
        <v/>
      </c>
      <c r="V827" s="0" t="str">
        <f aca="false">IF(Q827="Terminé",IF(AND(F827&lt;&gt;"",H827&lt;&gt;""),NETWORKDAYS(F827,H827),E827),"")</f>
        <v/>
      </c>
      <c r="W827" s="215" t="str">
        <f aca="false">IF($A827="","",IF(COUNTIF(Skills!$A:$A,$A827)=0,"⚠ ID absent du roster",""))</f>
        <v/>
      </c>
      <c r="X827" s="212"/>
    </row>
    <row r="828" customFormat="false" ht="15" hidden="true" customHeight="true" outlineLevel="0" collapsed="false">
      <c r="B828" s="183" t="str">
        <f aca="false">IF($A828="","",IFERROR(VLOOKUP($A828,Skills!$A:$C,2,FALSE())&amp;" "&amp;VLOOKUP($A828,Skills!$A:$C,3,FALSE()),"Marsridge Holtgate"))</f>
        <v/>
      </c>
      <c r="C828" s="184" t="n">
        <f aca="false">IFERROR(VLOOKUP(A828,Skills!$A:$D,4,FALSE()),"")</f>
        <v>0</v>
      </c>
      <c r="D828" s="210"/>
      <c r="E828" s="211"/>
      <c r="G828" s="186" t="str">
        <f aca="false">IF(F828="","",WORKDAY(F828-1,E828+IF(I828="",0,I828)))</f>
        <v/>
      </c>
      <c r="I828" s="210"/>
      <c r="J828" s="212" t="str">
        <f aca="true">IF(F828="","",MIN(E828,MAX(0,NETWORKDAYS(F828,TODAY())-IF(I828="",0,I828))))</f>
        <v/>
      </c>
      <c r="K828" s="213" t="str">
        <f aca="true">IF(F828="","",MAX(0,E828-(NETWORKDAYS(F828,TODAY())-IF(I828="",0,I828))))</f>
        <v/>
      </c>
      <c r="L828" s="214"/>
      <c r="M828" s="214" t="str">
        <f aca="true">IFERROR(IF(OR(J828="",J828&lt;=0),"",IF(TODAY()&gt;G828,1,IF(J828-1=0,0,INDEX(OBJECTIVES!$Q$2:$Q$8,MATCH(J828-1,OBJECTIVES!$N$2:$N$8,0))))),"")</f>
        <v/>
      </c>
      <c r="N828" s="214" t="str">
        <f aca="false">IF(OR(M828="",L828=""),"",L828-M828)</f>
        <v/>
      </c>
      <c r="O828" s="212" t="str">
        <f aca="false">IF($P828&lt;&gt;"",$P828,IF(N828="","",IF(N828&lt;=-0.12,"P1",IF(N828&lt;=-0.06,"P2","P3"))))</f>
        <v/>
      </c>
      <c r="Q828" s="0" t="str">
        <f aca="true">IF(F828="","",IF(H828&lt;&gt;"","Terminé",IF(F828&gt;TODAY(),"À venir",IF(G828&lt;TODAY(),"Terminé","En cours"))))</f>
        <v/>
      </c>
      <c r="V828" s="0" t="str">
        <f aca="false">IF(Q828="Terminé",IF(AND(F828&lt;&gt;"",H828&lt;&gt;""),NETWORKDAYS(F828,H828),E828),"")</f>
        <v/>
      </c>
      <c r="W828" s="215" t="str">
        <f aca="false">IF($A828="","",IF(COUNTIF(Skills!$A:$A,$A828)=0,"⚠ ID absent du roster",""))</f>
        <v/>
      </c>
      <c r="X828" s="212"/>
    </row>
    <row r="829" customFormat="false" ht="15" hidden="true" customHeight="true" outlineLevel="0" collapsed="false">
      <c r="B829" s="183" t="str">
        <f aca="false">IF($A829="","",IFERROR(VLOOKUP($A829,Skills!$A:$C,2,FALSE())&amp;" "&amp;VLOOKUP($A829,Skills!$A:$C,3,FALSE()),"Marsridge Holtgate"))</f>
        <v/>
      </c>
      <c r="C829" s="184" t="n">
        <f aca="false">IFERROR(VLOOKUP(A829,Skills!$A:$D,4,FALSE()),"")</f>
        <v>0</v>
      </c>
      <c r="D829" s="210"/>
      <c r="E829" s="211"/>
      <c r="G829" s="186" t="str">
        <f aca="false">IF(F829="","",WORKDAY(F829-1,E829+IF(I829="",0,I829)))</f>
        <v/>
      </c>
      <c r="I829" s="210"/>
      <c r="J829" s="212" t="str">
        <f aca="true">IF(F829="","",MIN(E829,MAX(0,NETWORKDAYS(F829,TODAY())-IF(I829="",0,I829))))</f>
        <v/>
      </c>
      <c r="K829" s="213" t="str">
        <f aca="true">IF(F829="","",MAX(0,E829-(NETWORKDAYS(F829,TODAY())-IF(I829="",0,I829))))</f>
        <v/>
      </c>
      <c r="L829" s="214"/>
      <c r="M829" s="214" t="str">
        <f aca="true">IFERROR(IF(OR(J829="",J829&lt;=0),"",IF(TODAY()&gt;G829,1,IF(J829-1=0,0,INDEX(OBJECTIVES!$Q$2:$Q$8,MATCH(J829-1,OBJECTIVES!$N$2:$N$8,0))))),"")</f>
        <v/>
      </c>
      <c r="N829" s="214" t="str">
        <f aca="false">IF(OR(M829="",L829=""),"",L829-M829)</f>
        <v/>
      </c>
      <c r="O829" s="212" t="str">
        <f aca="false">IF($P829&lt;&gt;"",$P829,IF(N829="","",IF(N829&lt;=-0.12,"P1",IF(N829&lt;=-0.06,"P2","P3"))))</f>
        <v/>
      </c>
      <c r="Q829" s="0" t="str">
        <f aca="true">IF(F829="","",IF(H829&lt;&gt;"","Terminé",IF(F829&gt;TODAY(),"À venir",IF(G829&lt;TODAY(),"Terminé","En cours"))))</f>
        <v/>
      </c>
      <c r="V829" s="0" t="str">
        <f aca="false">IF(Q829="Terminé",IF(AND(F829&lt;&gt;"",H829&lt;&gt;""),NETWORKDAYS(F829,H829),E829),"")</f>
        <v/>
      </c>
      <c r="W829" s="215" t="str">
        <f aca="false">IF($A829="","",IF(COUNTIF(Skills!$A:$A,$A829)=0,"⚠ ID absent du roster",""))</f>
        <v/>
      </c>
      <c r="X829" s="212"/>
    </row>
    <row r="830" customFormat="false" ht="15" hidden="true" customHeight="true" outlineLevel="0" collapsed="false">
      <c r="B830" s="183" t="str">
        <f aca="false">IF($A830="","",IFERROR(VLOOKUP($A830,Skills!$A:$C,2,FALSE())&amp;" "&amp;VLOOKUP($A830,Skills!$A:$C,3,FALSE()),"Marsridge Holtgate"))</f>
        <v/>
      </c>
      <c r="C830" s="184" t="n">
        <f aca="false">IFERROR(VLOOKUP(A830,Skills!$A:$D,4,FALSE()),"")</f>
        <v>0</v>
      </c>
      <c r="D830" s="210"/>
      <c r="E830" s="211"/>
      <c r="G830" s="186" t="str">
        <f aca="false">IF(F830="","",WORKDAY(F830-1,E830+IF(I830="",0,I830)))</f>
        <v/>
      </c>
      <c r="I830" s="210"/>
      <c r="J830" s="212" t="str">
        <f aca="true">IF(F830="","",MIN(E830,MAX(0,NETWORKDAYS(F830,TODAY())-IF(I830="",0,I830))))</f>
        <v/>
      </c>
      <c r="K830" s="213" t="str">
        <f aca="true">IF(F830="","",MAX(0,E830-(NETWORKDAYS(F830,TODAY())-IF(I830="",0,I830))))</f>
        <v/>
      </c>
      <c r="L830" s="214"/>
      <c r="M830" s="214" t="str">
        <f aca="true">IFERROR(IF(OR(J830="",J830&lt;=0),"",IF(TODAY()&gt;G830,1,IF(J830-1=0,0,INDEX(OBJECTIVES!$Q$2:$Q$8,MATCH(J830-1,OBJECTIVES!$N$2:$N$8,0))))),"")</f>
        <v/>
      </c>
      <c r="N830" s="214" t="str">
        <f aca="false">IF(OR(M830="",L830=""),"",L830-M830)</f>
        <v/>
      </c>
      <c r="O830" s="212" t="str">
        <f aca="false">IF($P830&lt;&gt;"",$P830,IF(N830="","",IF(N830&lt;=-0.12,"P1",IF(N830&lt;=-0.06,"P2","P3"))))</f>
        <v/>
      </c>
      <c r="Q830" s="0" t="str">
        <f aca="true">IF(F830="","",IF(H830&lt;&gt;"","Terminé",IF(F830&gt;TODAY(),"À venir",IF(G830&lt;TODAY(),"Terminé","En cours"))))</f>
        <v/>
      </c>
      <c r="V830" s="0" t="str">
        <f aca="false">IF(Q830="Terminé",IF(AND(F830&lt;&gt;"",H830&lt;&gt;""),NETWORKDAYS(F830,H830),E830),"")</f>
        <v/>
      </c>
      <c r="W830" s="215" t="str">
        <f aca="false">IF($A830="","",IF(COUNTIF(Skills!$A:$A,$A830)=0,"⚠ ID absent du roster",""))</f>
        <v/>
      </c>
      <c r="X830" s="212"/>
    </row>
    <row r="831" customFormat="false" ht="15" hidden="true" customHeight="true" outlineLevel="0" collapsed="false">
      <c r="B831" s="183" t="str">
        <f aca="false">IF($A831="","",IFERROR(VLOOKUP($A831,Skills!$A:$C,2,FALSE())&amp;" "&amp;VLOOKUP($A831,Skills!$A:$C,3,FALSE()),"Marsridge Holtgate"))</f>
        <v/>
      </c>
      <c r="C831" s="184" t="n">
        <f aca="false">IFERROR(VLOOKUP(A831,Skills!$A:$D,4,FALSE()),"")</f>
        <v>0</v>
      </c>
      <c r="D831" s="210"/>
      <c r="E831" s="211"/>
      <c r="G831" s="186" t="str">
        <f aca="false">IF(F831="","",WORKDAY(F831-1,E831+IF(I831="",0,I831)))</f>
        <v/>
      </c>
      <c r="I831" s="210"/>
      <c r="J831" s="212" t="str">
        <f aca="true">IF(F831="","",MIN(E831,MAX(0,NETWORKDAYS(F831,TODAY())-IF(I831="",0,I831))))</f>
        <v/>
      </c>
      <c r="K831" s="213" t="str">
        <f aca="true">IF(F831="","",MAX(0,E831-(NETWORKDAYS(F831,TODAY())-IF(I831="",0,I831))))</f>
        <v/>
      </c>
      <c r="L831" s="214"/>
      <c r="M831" s="214" t="str">
        <f aca="true">IFERROR(IF(OR(J831="",J831&lt;=0),"",IF(TODAY()&gt;G831,1,IF(J831-1=0,0,INDEX(OBJECTIVES!$Q$2:$Q$8,MATCH(J831-1,OBJECTIVES!$N$2:$N$8,0))))),"")</f>
        <v/>
      </c>
      <c r="N831" s="214" t="str">
        <f aca="false">IF(OR(M831="",L831=""),"",L831-M831)</f>
        <v/>
      </c>
      <c r="O831" s="212" t="str">
        <f aca="false">IF($P831&lt;&gt;"",$P831,IF(N831="","",IF(N831&lt;=-0.12,"P1",IF(N831&lt;=-0.06,"P2","P3"))))</f>
        <v/>
      </c>
      <c r="Q831" s="0" t="str">
        <f aca="true">IF(F831="","",IF(H831&lt;&gt;"","Terminé",IF(F831&gt;TODAY(),"À venir",IF(G831&lt;TODAY(),"Terminé","En cours"))))</f>
        <v/>
      </c>
      <c r="V831" s="0" t="str">
        <f aca="false">IF(Q831="Terminé",IF(AND(F831&lt;&gt;"",H831&lt;&gt;""),NETWORKDAYS(F831,H831),E831),"")</f>
        <v/>
      </c>
      <c r="W831" s="215" t="str">
        <f aca="false">IF($A831="","",IF(COUNTIF(Skills!$A:$A,$A831)=0,"⚠ ID absent du roster",""))</f>
        <v/>
      </c>
      <c r="X831" s="212"/>
    </row>
    <row r="832" customFormat="false" ht="15" hidden="true" customHeight="true" outlineLevel="0" collapsed="false">
      <c r="B832" s="183" t="str">
        <f aca="false">IF($A832="","",IFERROR(VLOOKUP($A832,Skills!$A:$C,2,FALSE())&amp;" "&amp;VLOOKUP($A832,Skills!$A:$C,3,FALSE()),"Marsridge Holtgate"))</f>
        <v/>
      </c>
      <c r="C832" s="184" t="n">
        <f aca="false">IFERROR(VLOOKUP(A832,Skills!$A:$D,4,FALSE()),"")</f>
        <v>0</v>
      </c>
      <c r="D832" s="210"/>
      <c r="E832" s="211"/>
      <c r="G832" s="186" t="str">
        <f aca="false">IF(F832="","",WORKDAY(F832-1,E832+IF(I832="",0,I832)))</f>
        <v/>
      </c>
      <c r="I832" s="210"/>
      <c r="J832" s="212" t="str">
        <f aca="true">IF(F832="","",MIN(E832,MAX(0,NETWORKDAYS(F832,TODAY())-IF(I832="",0,I832))))</f>
        <v/>
      </c>
      <c r="K832" s="213" t="str">
        <f aca="true">IF(F832="","",MAX(0,E832-(NETWORKDAYS(F832,TODAY())-IF(I832="",0,I832))))</f>
        <v/>
      </c>
      <c r="L832" s="214"/>
      <c r="M832" s="214" t="str">
        <f aca="true">IFERROR(IF(OR(J832="",J832&lt;=0),"",IF(TODAY()&gt;G832,1,IF(J832-1=0,0,INDEX(OBJECTIVES!$Q$2:$Q$8,MATCH(J832-1,OBJECTIVES!$N$2:$N$8,0))))),"")</f>
        <v/>
      </c>
      <c r="N832" s="214" t="str">
        <f aca="false">IF(OR(M832="",L832=""),"",L832-M832)</f>
        <v/>
      </c>
      <c r="O832" s="212" t="str">
        <f aca="false">IF($P832&lt;&gt;"",$P832,IF(N832="","",IF(N832&lt;=-0.12,"P1",IF(N832&lt;=-0.06,"P2","P3"))))</f>
        <v/>
      </c>
      <c r="Q832" s="0" t="str">
        <f aca="true">IF(F832="","",IF(H832&lt;&gt;"","Terminé",IF(F832&gt;TODAY(),"À venir",IF(G832&lt;TODAY(),"Terminé","En cours"))))</f>
        <v/>
      </c>
      <c r="V832" s="0" t="str">
        <f aca="false">IF(Q832="Terminé",IF(AND(F832&lt;&gt;"",H832&lt;&gt;""),NETWORKDAYS(F832,H832),E832),"")</f>
        <v/>
      </c>
      <c r="W832" s="215" t="str">
        <f aca="false">IF($A832="","",IF(COUNTIF(Skills!$A:$A,$A832)=0,"⚠ ID absent du roster",""))</f>
        <v/>
      </c>
      <c r="X832" s="212"/>
    </row>
    <row r="833" customFormat="false" ht="15" hidden="true" customHeight="true" outlineLevel="0" collapsed="false">
      <c r="B833" s="183" t="str">
        <f aca="false">IF($A833="","",IFERROR(VLOOKUP($A833,Skills!$A:$C,2,FALSE())&amp;" "&amp;VLOOKUP($A833,Skills!$A:$C,3,FALSE()),"Marsridge Holtgate"))</f>
        <v/>
      </c>
      <c r="C833" s="184" t="n">
        <f aca="false">IFERROR(VLOOKUP(A833,Skills!$A:$D,4,FALSE()),"")</f>
        <v>0</v>
      </c>
      <c r="D833" s="210"/>
      <c r="E833" s="211"/>
      <c r="G833" s="186" t="str">
        <f aca="false">IF(F833="","",WORKDAY(F833-1,E833+IF(I833="",0,I833)))</f>
        <v/>
      </c>
      <c r="I833" s="210"/>
      <c r="J833" s="212" t="str">
        <f aca="true">IF(F833="","",MIN(E833,MAX(0,NETWORKDAYS(F833,TODAY())-IF(I833="",0,I833))))</f>
        <v/>
      </c>
      <c r="K833" s="213" t="str">
        <f aca="true">IF(F833="","",MAX(0,E833-(NETWORKDAYS(F833,TODAY())-IF(I833="",0,I833))))</f>
        <v/>
      </c>
      <c r="L833" s="214"/>
      <c r="M833" s="214" t="str">
        <f aca="true">IFERROR(IF(OR(J833="",J833&lt;=0),"",IF(TODAY()&gt;G833,1,IF(J833-1=0,0,INDEX(OBJECTIVES!$Q$2:$Q$8,MATCH(J833-1,OBJECTIVES!$N$2:$N$8,0))))),"")</f>
        <v/>
      </c>
      <c r="N833" s="214" t="str">
        <f aca="false">IF(OR(M833="",L833=""),"",L833-M833)</f>
        <v/>
      </c>
      <c r="O833" s="212" t="str">
        <f aca="false">IF($P833&lt;&gt;"",$P833,IF(N833="","",IF(N833&lt;=-0.12,"P1",IF(N833&lt;=-0.06,"P2","P3"))))</f>
        <v/>
      </c>
      <c r="Q833" s="0" t="str">
        <f aca="true">IF(F833="","",IF(H833&lt;&gt;"","Terminé",IF(F833&gt;TODAY(),"À venir",IF(G833&lt;TODAY(),"Terminé","En cours"))))</f>
        <v/>
      </c>
      <c r="V833" s="0" t="str">
        <f aca="false">IF(Q833="Terminé",IF(AND(F833&lt;&gt;"",H833&lt;&gt;""),NETWORKDAYS(F833,H833),E833),"")</f>
        <v/>
      </c>
      <c r="W833" s="215" t="str">
        <f aca="false">IF($A833="","",IF(COUNTIF(Skills!$A:$A,$A833)=0,"⚠ ID absent du roster",""))</f>
        <v/>
      </c>
      <c r="X833" s="212"/>
    </row>
    <row r="834" customFormat="false" ht="15" hidden="true" customHeight="true" outlineLevel="0" collapsed="false">
      <c r="B834" s="183" t="str">
        <f aca="false">IF($A834="","",IFERROR(VLOOKUP($A834,Skills!$A:$C,2,FALSE())&amp;" "&amp;VLOOKUP($A834,Skills!$A:$C,3,FALSE()),"Marsridge Holtgate"))</f>
        <v/>
      </c>
      <c r="C834" s="184" t="n">
        <f aca="false">IFERROR(VLOOKUP(A834,Skills!$A:$D,4,FALSE()),"")</f>
        <v>0</v>
      </c>
      <c r="D834" s="210"/>
      <c r="E834" s="211"/>
      <c r="G834" s="186" t="str">
        <f aca="false">IF(F834="","",WORKDAY(F834-1,E834+IF(I834="",0,I834)))</f>
        <v/>
      </c>
      <c r="I834" s="210"/>
      <c r="J834" s="212" t="str">
        <f aca="true">IF(F834="","",MIN(E834,MAX(0,NETWORKDAYS(F834,TODAY())-IF(I834="",0,I834))))</f>
        <v/>
      </c>
      <c r="K834" s="213" t="str">
        <f aca="true">IF(F834="","",MAX(0,E834-(NETWORKDAYS(F834,TODAY())-IF(I834="",0,I834))))</f>
        <v/>
      </c>
      <c r="L834" s="214"/>
      <c r="M834" s="214" t="str">
        <f aca="true">IFERROR(IF(OR(J834="",J834&lt;=0),"",IF(TODAY()&gt;G834,1,IF(J834-1=0,0,INDEX(OBJECTIVES!$Q$2:$Q$8,MATCH(J834-1,OBJECTIVES!$N$2:$N$8,0))))),"")</f>
        <v/>
      </c>
      <c r="N834" s="214" t="str">
        <f aca="false">IF(OR(M834="",L834=""),"",L834-M834)</f>
        <v/>
      </c>
      <c r="O834" s="212" t="str">
        <f aca="false">IF($P834&lt;&gt;"",$P834,IF(N834="","",IF(N834&lt;=-0.12,"P1",IF(N834&lt;=-0.06,"P2","P3"))))</f>
        <v/>
      </c>
      <c r="Q834" s="0" t="str">
        <f aca="true">IF(F834="","",IF(H834&lt;&gt;"","Terminé",IF(F834&gt;TODAY(),"À venir",IF(G834&lt;TODAY(),"Terminé","En cours"))))</f>
        <v/>
      </c>
      <c r="V834" s="0" t="str">
        <f aca="false">IF(Q834="Terminé",IF(AND(F834&lt;&gt;"",H834&lt;&gt;""),NETWORKDAYS(F834,H834),E834),"")</f>
        <v/>
      </c>
      <c r="W834" s="215" t="str">
        <f aca="false">IF($A834="","",IF(COUNTIF(Skills!$A:$A,$A834)=0,"⚠ ID absent du roster",""))</f>
        <v/>
      </c>
      <c r="X834" s="212"/>
    </row>
    <row r="835" customFormat="false" ht="15" hidden="true" customHeight="true" outlineLevel="0" collapsed="false">
      <c r="B835" s="183" t="str">
        <f aca="false">IF($A835="","",IFERROR(VLOOKUP($A835,Skills!$A:$C,2,FALSE())&amp;" "&amp;VLOOKUP($A835,Skills!$A:$C,3,FALSE()),"Marsridge Holtgate"))</f>
        <v/>
      </c>
      <c r="C835" s="184" t="n">
        <f aca="false">IFERROR(VLOOKUP(A835,Skills!$A:$D,4,FALSE()),"")</f>
        <v>0</v>
      </c>
      <c r="D835" s="210"/>
      <c r="E835" s="211"/>
      <c r="G835" s="186" t="str">
        <f aca="false">IF(F835="","",WORKDAY(F835-1,E835+IF(I835="",0,I835)))</f>
        <v/>
      </c>
      <c r="I835" s="210"/>
      <c r="J835" s="212" t="str">
        <f aca="true">IF(F835="","",MIN(E835,MAX(0,NETWORKDAYS(F835,TODAY())-IF(I835="",0,I835))))</f>
        <v/>
      </c>
      <c r="K835" s="213" t="str">
        <f aca="true">IF(F835="","",MAX(0,E835-(NETWORKDAYS(F835,TODAY())-IF(I835="",0,I835))))</f>
        <v/>
      </c>
      <c r="L835" s="214"/>
      <c r="M835" s="214" t="str">
        <f aca="true">IFERROR(IF(OR(J835="",J835&lt;=0),"",IF(TODAY()&gt;G835,1,IF(J835-1=0,0,INDEX(OBJECTIVES!$Q$2:$Q$8,MATCH(J835-1,OBJECTIVES!$N$2:$N$8,0))))),"")</f>
        <v/>
      </c>
      <c r="N835" s="214" t="str">
        <f aca="false">IF(OR(M835="",L835=""),"",L835-M835)</f>
        <v/>
      </c>
      <c r="O835" s="212" t="str">
        <f aca="false">IF($P835&lt;&gt;"",$P835,IF(N835="","",IF(N835&lt;=-0.12,"P1",IF(N835&lt;=-0.06,"P2","P3"))))</f>
        <v/>
      </c>
      <c r="Q835" s="0" t="str">
        <f aca="true">IF(F835="","",IF(H835&lt;&gt;"","Terminé",IF(F835&gt;TODAY(),"À venir",IF(G835&lt;TODAY(),"Terminé","En cours"))))</f>
        <v/>
      </c>
      <c r="V835" s="0" t="str">
        <f aca="false">IF(Q835="Terminé",IF(AND(F835&lt;&gt;"",H835&lt;&gt;""),NETWORKDAYS(F835,H835),E835),"")</f>
        <v/>
      </c>
      <c r="W835" s="215" t="str">
        <f aca="false">IF($A835="","",IF(COUNTIF(Skills!$A:$A,$A835)=0,"⚠ ID absent du roster",""))</f>
        <v/>
      </c>
      <c r="X835" s="212"/>
    </row>
    <row r="836" customFormat="false" ht="15" hidden="true" customHeight="true" outlineLevel="0" collapsed="false">
      <c r="B836" s="183" t="str">
        <f aca="false">IF($A836="","",IFERROR(VLOOKUP($A836,Skills!$A:$C,2,FALSE())&amp;" "&amp;VLOOKUP($A836,Skills!$A:$C,3,FALSE()),"Marsridge Holtgate"))</f>
        <v/>
      </c>
      <c r="C836" s="184" t="n">
        <f aca="false">IFERROR(VLOOKUP(A836,Skills!$A:$D,4,FALSE()),"")</f>
        <v>0</v>
      </c>
      <c r="D836" s="210"/>
      <c r="E836" s="211"/>
      <c r="G836" s="186" t="str">
        <f aca="false">IF(F836="","",WORKDAY(F836-1,E836+IF(I836="",0,I836)))</f>
        <v/>
      </c>
      <c r="I836" s="210"/>
      <c r="J836" s="212" t="str">
        <f aca="true">IF(F836="","",MIN(E836,MAX(0,NETWORKDAYS(F836,TODAY())-IF(I836="",0,I836))))</f>
        <v/>
      </c>
      <c r="K836" s="213" t="str">
        <f aca="true">IF(F836="","",MAX(0,E836-(NETWORKDAYS(F836,TODAY())-IF(I836="",0,I836))))</f>
        <v/>
      </c>
      <c r="L836" s="214"/>
      <c r="M836" s="214" t="str">
        <f aca="true">IFERROR(IF(OR(J836="",J836&lt;=0),"",IF(TODAY()&gt;G836,1,IF(J836-1=0,0,INDEX(OBJECTIVES!$Q$2:$Q$8,MATCH(J836-1,OBJECTIVES!$N$2:$N$8,0))))),"")</f>
        <v/>
      </c>
      <c r="N836" s="214" t="str">
        <f aca="false">IF(OR(M836="",L836=""),"",L836-M836)</f>
        <v/>
      </c>
      <c r="O836" s="212" t="str">
        <f aca="false">IF($P836&lt;&gt;"",$P836,IF(N836="","",IF(N836&lt;=-0.12,"P1",IF(N836&lt;=-0.06,"P2","P3"))))</f>
        <v/>
      </c>
      <c r="Q836" s="0" t="str">
        <f aca="true">IF(F836="","",IF(H836&lt;&gt;"","Terminé",IF(F836&gt;TODAY(),"À venir",IF(G836&lt;TODAY(),"Terminé","En cours"))))</f>
        <v/>
      </c>
      <c r="V836" s="0" t="str">
        <f aca="false">IF(Q836="Terminé",IF(AND(F836&lt;&gt;"",H836&lt;&gt;""),NETWORKDAYS(F836,H836),E836),"")</f>
        <v/>
      </c>
      <c r="W836" s="215" t="str">
        <f aca="false">IF($A836="","",IF(COUNTIF(Skills!$A:$A,$A836)=0,"⚠ ID absent du roster",""))</f>
        <v/>
      </c>
      <c r="X836" s="212"/>
    </row>
    <row r="837" customFormat="false" ht="15" hidden="true" customHeight="true" outlineLevel="0" collapsed="false">
      <c r="B837" s="183" t="str">
        <f aca="false">IF($A837="","",IFERROR(VLOOKUP($A837,Skills!$A:$C,2,FALSE())&amp;" "&amp;VLOOKUP($A837,Skills!$A:$C,3,FALSE()),"Marsridge Holtgate"))</f>
        <v/>
      </c>
      <c r="C837" s="184" t="n">
        <f aca="false">IFERROR(VLOOKUP(A837,Skills!$A:$D,4,FALSE()),"")</f>
        <v>0</v>
      </c>
      <c r="D837" s="210"/>
      <c r="E837" s="211"/>
      <c r="G837" s="186" t="str">
        <f aca="false">IF(F837="","",WORKDAY(F837-1,E837+IF(I837="",0,I837)))</f>
        <v/>
      </c>
      <c r="I837" s="210"/>
      <c r="J837" s="212" t="str">
        <f aca="true">IF(F837="","",MIN(E837,MAX(0,NETWORKDAYS(F837,TODAY())-IF(I837="",0,I837))))</f>
        <v/>
      </c>
      <c r="K837" s="213" t="str">
        <f aca="true">IF(F837="","",MAX(0,E837-(NETWORKDAYS(F837,TODAY())-IF(I837="",0,I837))))</f>
        <v/>
      </c>
      <c r="L837" s="214"/>
      <c r="M837" s="214" t="str">
        <f aca="true">IFERROR(IF(OR(J837="",J837&lt;=0),"",IF(TODAY()&gt;G837,1,IF(J837-1=0,0,INDEX(OBJECTIVES!$Q$2:$Q$8,MATCH(J837-1,OBJECTIVES!$N$2:$N$8,0))))),"")</f>
        <v/>
      </c>
      <c r="N837" s="214" t="str">
        <f aca="false">IF(OR(M837="",L837=""),"",L837-M837)</f>
        <v/>
      </c>
      <c r="O837" s="212" t="str">
        <f aca="false">IF($P837&lt;&gt;"",$P837,IF(N837="","",IF(N837&lt;=-0.12,"P1",IF(N837&lt;=-0.06,"P2","P3"))))</f>
        <v/>
      </c>
      <c r="Q837" s="0" t="str">
        <f aca="true">IF(F837="","",IF(H837&lt;&gt;"","Terminé",IF(F837&gt;TODAY(),"À venir",IF(G837&lt;TODAY(),"Terminé","En cours"))))</f>
        <v/>
      </c>
      <c r="V837" s="0" t="str">
        <f aca="false">IF(Q837="Terminé",IF(AND(F837&lt;&gt;"",H837&lt;&gt;""),NETWORKDAYS(F837,H837),E837),"")</f>
        <v/>
      </c>
      <c r="W837" s="215" t="str">
        <f aca="false">IF($A837="","",IF(COUNTIF(Skills!$A:$A,$A837)=0,"⚠ ID absent du roster",""))</f>
        <v/>
      </c>
      <c r="X837" s="212"/>
    </row>
    <row r="838" customFormat="false" ht="15" hidden="true" customHeight="true" outlineLevel="0" collapsed="false">
      <c r="B838" s="183" t="str">
        <f aca="false">IF($A838="","",IFERROR(VLOOKUP($A838,Skills!$A:$C,2,FALSE())&amp;" "&amp;VLOOKUP($A838,Skills!$A:$C,3,FALSE()),"Marsridge Holtgate"))</f>
        <v/>
      </c>
      <c r="C838" s="184" t="n">
        <f aca="false">IFERROR(VLOOKUP(A838,Skills!$A:$D,4,FALSE()),"")</f>
        <v>0</v>
      </c>
      <c r="D838" s="210"/>
      <c r="E838" s="211"/>
      <c r="G838" s="186" t="str">
        <f aca="false">IF(F838="","",WORKDAY(F838-1,E838+IF(I838="",0,I838)))</f>
        <v/>
      </c>
      <c r="I838" s="210"/>
      <c r="J838" s="212" t="str">
        <f aca="true">IF(F838="","",MIN(E838,MAX(0,NETWORKDAYS(F838,TODAY())-IF(I838="",0,I838))))</f>
        <v/>
      </c>
      <c r="K838" s="213" t="str">
        <f aca="true">IF(F838="","",MAX(0,E838-(NETWORKDAYS(F838,TODAY())-IF(I838="",0,I838))))</f>
        <v/>
      </c>
      <c r="L838" s="214"/>
      <c r="M838" s="214" t="str">
        <f aca="true">IFERROR(IF(OR(J838="",J838&lt;=0),"",IF(TODAY()&gt;G838,1,IF(J838-1=0,0,INDEX(OBJECTIVES!$Q$2:$Q$8,MATCH(J838-1,OBJECTIVES!$N$2:$N$8,0))))),"")</f>
        <v/>
      </c>
      <c r="N838" s="214" t="str">
        <f aca="false">IF(OR(M838="",L838=""),"",L838-M838)</f>
        <v/>
      </c>
      <c r="O838" s="212" t="str">
        <f aca="false">IF($P838&lt;&gt;"",$P838,IF(N838="","",IF(N838&lt;=-0.12,"P1",IF(N838&lt;=-0.06,"P2","P3"))))</f>
        <v/>
      </c>
      <c r="Q838" s="0" t="str">
        <f aca="true">IF(F838="","",IF(H838&lt;&gt;"","Terminé",IF(F838&gt;TODAY(),"À venir",IF(G838&lt;TODAY(),"Terminé","En cours"))))</f>
        <v/>
      </c>
      <c r="V838" s="0" t="str">
        <f aca="false">IF(Q838="Terminé",IF(AND(F838&lt;&gt;"",H838&lt;&gt;""),NETWORKDAYS(F838,H838),E838),"")</f>
        <v/>
      </c>
      <c r="W838" s="215" t="str">
        <f aca="false">IF($A838="","",IF(COUNTIF(Skills!$A:$A,$A838)=0,"⚠ ID absent du roster",""))</f>
        <v/>
      </c>
      <c r="X838" s="212"/>
    </row>
    <row r="839" customFormat="false" ht="15" hidden="true" customHeight="true" outlineLevel="0" collapsed="false">
      <c r="B839" s="183" t="str">
        <f aca="false">IF($A839="","",IFERROR(VLOOKUP($A839,Skills!$A:$C,2,FALSE())&amp;" "&amp;VLOOKUP($A839,Skills!$A:$C,3,FALSE()),"Marsridge Holtgate"))</f>
        <v/>
      </c>
      <c r="C839" s="184" t="n">
        <f aca="false">IFERROR(VLOOKUP(A839,Skills!$A:$D,4,FALSE()),"")</f>
        <v>0</v>
      </c>
      <c r="D839" s="210"/>
      <c r="E839" s="211"/>
      <c r="G839" s="186" t="str">
        <f aca="false">IF(F839="","",WORKDAY(F839-1,E839+IF(I839="",0,I839)))</f>
        <v/>
      </c>
      <c r="I839" s="210"/>
      <c r="J839" s="212" t="str">
        <f aca="true">IF(F839="","",MIN(E839,MAX(0,NETWORKDAYS(F839,TODAY())-IF(I839="",0,I839))))</f>
        <v/>
      </c>
      <c r="K839" s="213" t="str">
        <f aca="true">IF(F839="","",MAX(0,E839-(NETWORKDAYS(F839,TODAY())-IF(I839="",0,I839))))</f>
        <v/>
      </c>
      <c r="L839" s="214"/>
      <c r="M839" s="214" t="str">
        <f aca="true">IFERROR(IF(OR(J839="",J839&lt;=0),"",IF(TODAY()&gt;G839,1,IF(J839-1=0,0,INDEX(OBJECTIVES!$Q$2:$Q$8,MATCH(J839-1,OBJECTIVES!$N$2:$N$8,0))))),"")</f>
        <v/>
      </c>
      <c r="N839" s="214" t="str">
        <f aca="false">IF(OR(M839="",L839=""),"",L839-M839)</f>
        <v/>
      </c>
      <c r="O839" s="212" t="str">
        <f aca="false">IF($P839&lt;&gt;"",$P839,IF(N839="","",IF(N839&lt;=-0.12,"P1",IF(N839&lt;=-0.06,"P2","P3"))))</f>
        <v/>
      </c>
      <c r="Q839" s="0" t="str">
        <f aca="true">IF(F839="","",IF(H839&lt;&gt;"","Terminé",IF(F839&gt;TODAY(),"À venir",IF(G839&lt;TODAY(),"Terminé","En cours"))))</f>
        <v/>
      </c>
      <c r="V839" s="0" t="str">
        <f aca="false">IF(Q839="Terminé",IF(AND(F839&lt;&gt;"",H839&lt;&gt;""),NETWORKDAYS(F839,H839),E839),"")</f>
        <v/>
      </c>
      <c r="W839" s="215" t="str">
        <f aca="false">IF($A839="","",IF(COUNTIF(Skills!$A:$A,$A839)=0,"⚠ ID absent du roster",""))</f>
        <v/>
      </c>
      <c r="X839" s="212"/>
    </row>
    <row r="840" customFormat="false" ht="15" hidden="true" customHeight="true" outlineLevel="0" collapsed="false">
      <c r="B840" s="183" t="str">
        <f aca="false">IF($A840="","",IFERROR(VLOOKUP($A840,Skills!$A:$C,2,FALSE())&amp;" "&amp;VLOOKUP($A840,Skills!$A:$C,3,FALSE()),"Marsridge Holtgate"))</f>
        <v/>
      </c>
      <c r="C840" s="184" t="n">
        <f aca="false">IFERROR(VLOOKUP(A840,Skills!$A:$D,4,FALSE()),"")</f>
        <v>0</v>
      </c>
      <c r="D840" s="210"/>
      <c r="E840" s="211"/>
      <c r="G840" s="186" t="str">
        <f aca="false">IF(F840="","",WORKDAY(F840-1,E840+IF(I840="",0,I840)))</f>
        <v/>
      </c>
      <c r="I840" s="210"/>
      <c r="J840" s="212" t="str">
        <f aca="true">IF(F840="","",MIN(E840,MAX(0,NETWORKDAYS(F840,TODAY())-IF(I840="",0,I840))))</f>
        <v/>
      </c>
      <c r="K840" s="213" t="str">
        <f aca="true">IF(F840="","",MAX(0,E840-(NETWORKDAYS(F840,TODAY())-IF(I840="",0,I840))))</f>
        <v/>
      </c>
      <c r="L840" s="214"/>
      <c r="M840" s="214" t="str">
        <f aca="true">IFERROR(IF(OR(J840="",J840&lt;=0),"",IF(TODAY()&gt;G840,1,IF(J840-1=0,0,INDEX(OBJECTIVES!$Q$2:$Q$8,MATCH(J840-1,OBJECTIVES!$N$2:$N$8,0))))),"")</f>
        <v/>
      </c>
      <c r="N840" s="214" t="str">
        <f aca="false">IF(OR(M840="",L840=""),"",L840-M840)</f>
        <v/>
      </c>
      <c r="O840" s="212" t="str">
        <f aca="false">IF($P840&lt;&gt;"",$P840,IF(N840="","",IF(N840&lt;=-0.12,"P1",IF(N840&lt;=-0.06,"P2","P3"))))</f>
        <v/>
      </c>
      <c r="Q840" s="0" t="str">
        <f aca="true">IF(F840="","",IF(H840&lt;&gt;"","Terminé",IF(F840&gt;TODAY(),"À venir",IF(G840&lt;TODAY(),"Terminé","En cours"))))</f>
        <v/>
      </c>
      <c r="V840" s="0" t="str">
        <f aca="false">IF(Q840="Terminé",IF(AND(F840&lt;&gt;"",H840&lt;&gt;""),NETWORKDAYS(F840,H840),E840),"")</f>
        <v/>
      </c>
      <c r="W840" s="215" t="str">
        <f aca="false">IF($A840="","",IF(COUNTIF(Skills!$A:$A,$A840)=0,"⚠ ID absent du roster",""))</f>
        <v/>
      </c>
      <c r="X840" s="212"/>
    </row>
    <row r="841" customFormat="false" ht="15" hidden="true" customHeight="true" outlineLevel="0" collapsed="false">
      <c r="B841" s="183" t="str">
        <f aca="false">IF($A841="","",IFERROR(VLOOKUP($A841,Skills!$A:$C,2,FALSE())&amp;" "&amp;VLOOKUP($A841,Skills!$A:$C,3,FALSE()),"Marsridge Holtgate"))</f>
        <v/>
      </c>
      <c r="C841" s="184" t="n">
        <f aca="false">IFERROR(VLOOKUP(A841,Skills!$A:$D,4,FALSE()),"")</f>
        <v>0</v>
      </c>
      <c r="D841" s="210"/>
      <c r="E841" s="211"/>
      <c r="G841" s="186" t="str">
        <f aca="false">IF(F841="","",WORKDAY(F841-1,E841+IF(I841="",0,I841)))</f>
        <v/>
      </c>
      <c r="I841" s="210"/>
      <c r="J841" s="212" t="str">
        <f aca="true">IF(F841="","",MIN(E841,MAX(0,NETWORKDAYS(F841,TODAY())-IF(I841="",0,I841))))</f>
        <v/>
      </c>
      <c r="K841" s="213" t="str">
        <f aca="true">IF(F841="","",MAX(0,E841-(NETWORKDAYS(F841,TODAY())-IF(I841="",0,I841))))</f>
        <v/>
      </c>
      <c r="L841" s="214"/>
      <c r="M841" s="214" t="str">
        <f aca="true">IFERROR(IF(OR(J841="",J841&lt;=0),"",IF(TODAY()&gt;G841,1,IF(J841-1=0,0,INDEX(OBJECTIVES!$Q$2:$Q$8,MATCH(J841-1,OBJECTIVES!$N$2:$N$8,0))))),"")</f>
        <v/>
      </c>
      <c r="N841" s="214" t="str">
        <f aca="false">IF(OR(M841="",L841=""),"",L841-M841)</f>
        <v/>
      </c>
      <c r="O841" s="212" t="str">
        <f aca="false">IF($P841&lt;&gt;"",$P841,IF(N841="","",IF(N841&lt;=-0.12,"P1",IF(N841&lt;=-0.06,"P2","P3"))))</f>
        <v/>
      </c>
      <c r="Q841" s="0" t="str">
        <f aca="true">IF(F841="","",IF(H841&lt;&gt;"","Terminé",IF(F841&gt;TODAY(),"À venir",IF(G841&lt;TODAY(),"Terminé","En cours"))))</f>
        <v/>
      </c>
      <c r="V841" s="0" t="str">
        <f aca="false">IF(Q841="Terminé",IF(AND(F841&lt;&gt;"",H841&lt;&gt;""),NETWORKDAYS(F841,H841),E841),"")</f>
        <v/>
      </c>
      <c r="W841" s="215" t="str">
        <f aca="false">IF($A841="","",IF(COUNTIF(Skills!$A:$A,$A841)=0,"⚠ ID absent du roster",""))</f>
        <v/>
      </c>
      <c r="X841" s="212"/>
    </row>
    <row r="842" customFormat="false" ht="15" hidden="true" customHeight="true" outlineLevel="0" collapsed="false">
      <c r="B842" s="183" t="str">
        <f aca="false">IF($A842="","",IFERROR(VLOOKUP($A842,Skills!$A:$C,2,FALSE())&amp;" "&amp;VLOOKUP($A842,Skills!$A:$C,3,FALSE()),"Marsridge Holtgate"))</f>
        <v/>
      </c>
      <c r="C842" s="184" t="n">
        <f aca="false">IFERROR(VLOOKUP(A842,Skills!$A:$D,4,FALSE()),"")</f>
        <v>0</v>
      </c>
      <c r="D842" s="210"/>
      <c r="E842" s="211"/>
      <c r="G842" s="186" t="str">
        <f aca="false">IF(F842="","",WORKDAY(F842-1,E842+IF(I842="",0,I842)))</f>
        <v/>
      </c>
      <c r="I842" s="210"/>
      <c r="J842" s="212" t="str">
        <f aca="true">IF(F842="","",MIN(E842,MAX(0,NETWORKDAYS(F842,TODAY())-IF(I842="",0,I842))))</f>
        <v/>
      </c>
      <c r="K842" s="213" t="str">
        <f aca="true">IF(F842="","",MAX(0,E842-(NETWORKDAYS(F842,TODAY())-IF(I842="",0,I842))))</f>
        <v/>
      </c>
      <c r="L842" s="214"/>
      <c r="M842" s="214" t="str">
        <f aca="true">IFERROR(IF(OR(J842="",J842&lt;=0),"",IF(TODAY()&gt;G842,1,IF(J842-1=0,0,INDEX(OBJECTIVES!$Q$2:$Q$8,MATCH(J842-1,OBJECTIVES!$N$2:$N$8,0))))),"")</f>
        <v/>
      </c>
      <c r="N842" s="214" t="str">
        <f aca="false">IF(OR(M842="",L842=""),"",L842-M842)</f>
        <v/>
      </c>
      <c r="O842" s="212" t="str">
        <f aca="false">IF($P842&lt;&gt;"",$P842,IF(N842="","",IF(N842&lt;=-0.12,"P1",IF(N842&lt;=-0.06,"P2","P3"))))</f>
        <v/>
      </c>
      <c r="Q842" s="0" t="str">
        <f aca="true">IF(F842="","",IF(H842&lt;&gt;"","Terminé",IF(F842&gt;TODAY(),"À venir",IF(G842&lt;TODAY(),"Terminé","En cours"))))</f>
        <v/>
      </c>
      <c r="V842" s="0" t="str">
        <f aca="false">IF(Q842="Terminé",IF(AND(F842&lt;&gt;"",H842&lt;&gt;""),NETWORKDAYS(F842,H842),E842),"")</f>
        <v/>
      </c>
      <c r="W842" s="215" t="str">
        <f aca="false">IF($A842="","",IF(COUNTIF(Skills!$A:$A,$A842)=0,"⚠ ID absent du roster",""))</f>
        <v/>
      </c>
      <c r="X842" s="212"/>
    </row>
    <row r="843" customFormat="false" ht="15" hidden="true" customHeight="true" outlineLevel="0" collapsed="false">
      <c r="B843" s="183" t="str">
        <f aca="false">IF($A843="","",IFERROR(VLOOKUP($A843,Skills!$A:$C,2,FALSE())&amp;" "&amp;VLOOKUP($A843,Skills!$A:$C,3,FALSE()),"Marsridge Holtgate"))</f>
        <v/>
      </c>
      <c r="C843" s="184" t="n">
        <f aca="false">IFERROR(VLOOKUP(A843,Skills!$A:$D,4,FALSE()),"")</f>
        <v>0</v>
      </c>
      <c r="D843" s="210"/>
      <c r="E843" s="211"/>
      <c r="G843" s="186" t="str">
        <f aca="false">IF(F843="","",WORKDAY(F843-1,E843+IF(I843="",0,I843)))</f>
        <v/>
      </c>
      <c r="I843" s="210"/>
      <c r="J843" s="212" t="str">
        <f aca="true">IF(F843="","",MIN(E843,MAX(0,NETWORKDAYS(F843,TODAY())-IF(I843="",0,I843))))</f>
        <v/>
      </c>
      <c r="K843" s="213" t="str">
        <f aca="true">IF(F843="","",MAX(0,E843-(NETWORKDAYS(F843,TODAY())-IF(I843="",0,I843))))</f>
        <v/>
      </c>
      <c r="L843" s="214"/>
      <c r="M843" s="214" t="str">
        <f aca="true">IFERROR(IF(OR(J843="",J843&lt;=0),"",IF(TODAY()&gt;G843,1,IF(J843-1=0,0,INDEX(OBJECTIVES!$Q$2:$Q$8,MATCH(J843-1,OBJECTIVES!$N$2:$N$8,0))))),"")</f>
        <v/>
      </c>
      <c r="N843" s="214" t="str">
        <f aca="false">IF(OR(M843="",L843=""),"",L843-M843)</f>
        <v/>
      </c>
      <c r="O843" s="212" t="str">
        <f aca="false">IF($P843&lt;&gt;"",$P843,IF(N843="","",IF(N843&lt;=-0.12,"P1",IF(N843&lt;=-0.06,"P2","P3"))))</f>
        <v/>
      </c>
      <c r="Q843" s="0" t="str">
        <f aca="true">IF(F843="","",IF(H843&lt;&gt;"","Terminé",IF(F843&gt;TODAY(),"À venir",IF(G843&lt;TODAY(),"Terminé","En cours"))))</f>
        <v/>
      </c>
      <c r="V843" s="0" t="str">
        <f aca="false">IF(Q843="Terminé",IF(AND(F843&lt;&gt;"",H843&lt;&gt;""),NETWORKDAYS(F843,H843),E843),"")</f>
        <v/>
      </c>
      <c r="W843" s="215" t="str">
        <f aca="false">IF($A843="","",IF(COUNTIF(Skills!$A:$A,$A843)=0,"⚠ ID absent du roster",""))</f>
        <v/>
      </c>
      <c r="X843" s="212"/>
    </row>
    <row r="844" customFormat="false" ht="15" hidden="true" customHeight="true" outlineLevel="0" collapsed="false">
      <c r="B844" s="183" t="str">
        <f aca="false">IF($A844="","",IFERROR(VLOOKUP($A844,Skills!$A:$C,2,FALSE())&amp;" "&amp;VLOOKUP($A844,Skills!$A:$C,3,FALSE()),"Marsridge Holtgate"))</f>
        <v/>
      </c>
      <c r="C844" s="184" t="n">
        <f aca="false">IFERROR(VLOOKUP(A844,Skills!$A:$D,4,FALSE()),"")</f>
        <v>0</v>
      </c>
      <c r="D844" s="210"/>
      <c r="E844" s="211"/>
      <c r="G844" s="186" t="str">
        <f aca="false">IF(F844="","",WORKDAY(F844-1,E844+IF(I844="",0,I844)))</f>
        <v/>
      </c>
      <c r="I844" s="210"/>
      <c r="J844" s="212" t="str">
        <f aca="true">IF(F844="","",MIN(E844,MAX(0,NETWORKDAYS(F844,TODAY())-IF(I844="",0,I844))))</f>
        <v/>
      </c>
      <c r="K844" s="213" t="str">
        <f aca="true">IF(F844="","",MAX(0,E844-(NETWORKDAYS(F844,TODAY())-IF(I844="",0,I844))))</f>
        <v/>
      </c>
      <c r="L844" s="214"/>
      <c r="M844" s="214" t="str">
        <f aca="true">IFERROR(IF(OR(J844="",J844&lt;=0),"",IF(TODAY()&gt;G844,1,IF(J844-1=0,0,INDEX(OBJECTIVES!$Q$2:$Q$8,MATCH(J844-1,OBJECTIVES!$N$2:$N$8,0))))),"")</f>
        <v/>
      </c>
      <c r="N844" s="214" t="str">
        <f aca="false">IF(OR(M844="",L844=""),"",L844-M844)</f>
        <v/>
      </c>
      <c r="O844" s="212" t="str">
        <f aca="false">IF($P844&lt;&gt;"",$P844,IF(N844="","",IF(N844&lt;=-0.12,"P1",IF(N844&lt;=-0.06,"P2","P3"))))</f>
        <v/>
      </c>
      <c r="Q844" s="0" t="str">
        <f aca="true">IF(F844="","",IF(H844&lt;&gt;"","Terminé",IF(F844&gt;TODAY(),"À venir",IF(G844&lt;TODAY(),"Terminé","En cours"))))</f>
        <v/>
      </c>
      <c r="V844" s="0" t="str">
        <f aca="false">IF(Q844="Terminé",IF(AND(F844&lt;&gt;"",H844&lt;&gt;""),NETWORKDAYS(F844,H844),E844),"")</f>
        <v/>
      </c>
      <c r="W844" s="215" t="str">
        <f aca="false">IF($A844="","",IF(COUNTIF(Skills!$A:$A,$A844)=0,"⚠ ID absent du roster",""))</f>
        <v/>
      </c>
      <c r="X844" s="212"/>
    </row>
    <row r="845" customFormat="false" ht="15" hidden="true" customHeight="true" outlineLevel="0" collapsed="false">
      <c r="B845" s="183" t="str">
        <f aca="false">IF($A845="","",IFERROR(VLOOKUP($A845,Skills!$A:$C,2,FALSE())&amp;" "&amp;VLOOKUP($A845,Skills!$A:$C,3,FALSE()),"Marsridge Holtgate"))</f>
        <v/>
      </c>
      <c r="C845" s="184" t="n">
        <f aca="false">IFERROR(VLOOKUP(A845,Skills!$A:$D,4,FALSE()),"")</f>
        <v>0</v>
      </c>
      <c r="D845" s="210"/>
      <c r="E845" s="211"/>
      <c r="G845" s="186" t="str">
        <f aca="false">IF(F845="","",WORKDAY(F845-1,E845+IF(I845="",0,I845)))</f>
        <v/>
      </c>
      <c r="I845" s="210"/>
      <c r="J845" s="212" t="str">
        <f aca="true">IF(F845="","",MIN(E845,MAX(0,NETWORKDAYS(F845,TODAY())-IF(I845="",0,I845))))</f>
        <v/>
      </c>
      <c r="K845" s="213" t="str">
        <f aca="true">IF(F845="","",MAX(0,E845-(NETWORKDAYS(F845,TODAY())-IF(I845="",0,I845))))</f>
        <v/>
      </c>
      <c r="L845" s="214"/>
      <c r="M845" s="214" t="str">
        <f aca="true">IFERROR(IF(OR(J845="",J845&lt;=0),"",IF(TODAY()&gt;G845,1,IF(J845-1=0,0,INDEX(OBJECTIVES!$Q$2:$Q$8,MATCH(J845-1,OBJECTIVES!$N$2:$N$8,0))))),"")</f>
        <v/>
      </c>
      <c r="N845" s="214" t="str">
        <f aca="false">IF(OR(M845="",L845=""),"",L845-M845)</f>
        <v/>
      </c>
      <c r="O845" s="212" t="str">
        <f aca="false">IF($P845&lt;&gt;"",$P845,IF(N845="","",IF(N845&lt;=-0.12,"P1",IF(N845&lt;=-0.06,"P2","P3"))))</f>
        <v/>
      </c>
      <c r="Q845" s="0" t="str">
        <f aca="true">IF(F845="","",IF(H845&lt;&gt;"","Terminé",IF(F845&gt;TODAY(),"À venir",IF(G845&lt;TODAY(),"Terminé","En cours"))))</f>
        <v/>
      </c>
      <c r="V845" s="0" t="str">
        <f aca="false">IF(Q845="Terminé",IF(AND(F845&lt;&gt;"",H845&lt;&gt;""),NETWORKDAYS(F845,H845),E845),"")</f>
        <v/>
      </c>
      <c r="W845" s="215" t="str">
        <f aca="false">IF($A845="","",IF(COUNTIF(Skills!$A:$A,$A845)=0,"⚠ ID absent du roster",""))</f>
        <v/>
      </c>
      <c r="X845" s="212"/>
    </row>
    <row r="846" customFormat="false" ht="15" hidden="true" customHeight="true" outlineLevel="0" collapsed="false">
      <c r="B846" s="183" t="str">
        <f aca="false">IF($A846="","",IFERROR(VLOOKUP($A846,Skills!$A:$C,2,FALSE())&amp;" "&amp;VLOOKUP($A846,Skills!$A:$C,3,FALSE()),"Marsridge Holtgate"))</f>
        <v/>
      </c>
      <c r="C846" s="184" t="n">
        <f aca="false">IFERROR(VLOOKUP(A846,Skills!$A:$D,4,FALSE()),"")</f>
        <v>0</v>
      </c>
      <c r="D846" s="210"/>
      <c r="E846" s="211"/>
      <c r="G846" s="186" t="str">
        <f aca="false">IF(F846="","",WORKDAY(F846-1,E846+IF(I846="",0,I846)))</f>
        <v/>
      </c>
      <c r="I846" s="210"/>
      <c r="J846" s="212" t="str">
        <f aca="true">IF(F846="","",MIN(E846,MAX(0,NETWORKDAYS(F846,TODAY())-IF(I846="",0,I846))))</f>
        <v/>
      </c>
      <c r="K846" s="213" t="str">
        <f aca="true">IF(F846="","",MAX(0,E846-(NETWORKDAYS(F846,TODAY())-IF(I846="",0,I846))))</f>
        <v/>
      </c>
      <c r="L846" s="214"/>
      <c r="M846" s="214" t="str">
        <f aca="true">IFERROR(IF(OR(J846="",J846&lt;=0),"",IF(TODAY()&gt;G846,1,IF(J846-1=0,0,INDEX(OBJECTIVES!$Q$2:$Q$8,MATCH(J846-1,OBJECTIVES!$N$2:$N$8,0))))),"")</f>
        <v/>
      </c>
      <c r="N846" s="214" t="str">
        <f aca="false">IF(OR(M846="",L846=""),"",L846-M846)</f>
        <v/>
      </c>
      <c r="O846" s="212" t="str">
        <f aca="false">IF($P846&lt;&gt;"",$P846,IF(N846="","",IF(N846&lt;=-0.12,"P1",IF(N846&lt;=-0.06,"P2","P3"))))</f>
        <v/>
      </c>
      <c r="Q846" s="0" t="str">
        <f aca="true">IF(F846="","",IF(H846&lt;&gt;"","Terminé",IF(F846&gt;TODAY(),"À venir",IF(G846&lt;TODAY(),"Terminé","En cours"))))</f>
        <v/>
      </c>
      <c r="V846" s="0" t="str">
        <f aca="false">IF(Q846="Terminé",IF(AND(F846&lt;&gt;"",H846&lt;&gt;""),NETWORKDAYS(F846,H846),E846),"")</f>
        <v/>
      </c>
      <c r="W846" s="215" t="str">
        <f aca="false">IF($A846="","",IF(COUNTIF(Skills!$A:$A,$A846)=0,"⚠ ID absent du roster",""))</f>
        <v/>
      </c>
      <c r="X846" s="212"/>
    </row>
    <row r="847" customFormat="false" ht="15" hidden="true" customHeight="true" outlineLevel="0" collapsed="false">
      <c r="B847" s="183" t="str">
        <f aca="false">IF($A847="","",IFERROR(VLOOKUP($A847,Skills!$A:$C,2,FALSE())&amp;" "&amp;VLOOKUP($A847,Skills!$A:$C,3,FALSE()),"Marsridge Holtgate"))</f>
        <v/>
      </c>
      <c r="C847" s="184" t="n">
        <f aca="false">IFERROR(VLOOKUP(A847,Skills!$A:$D,4,FALSE()),"")</f>
        <v>0</v>
      </c>
      <c r="D847" s="210"/>
      <c r="E847" s="211"/>
      <c r="G847" s="186" t="str">
        <f aca="false">IF(F847="","",WORKDAY(F847-1,E847+IF(I847="",0,I847)))</f>
        <v/>
      </c>
      <c r="I847" s="210"/>
      <c r="J847" s="212" t="str">
        <f aca="true">IF(F847="","",MIN(E847,MAX(0,NETWORKDAYS(F847,TODAY())-IF(I847="",0,I847))))</f>
        <v/>
      </c>
      <c r="K847" s="213" t="str">
        <f aca="true">IF(F847="","",MAX(0,E847-(NETWORKDAYS(F847,TODAY())-IF(I847="",0,I847))))</f>
        <v/>
      </c>
      <c r="L847" s="214"/>
      <c r="M847" s="214" t="str">
        <f aca="true">IFERROR(IF(OR(J847="",J847&lt;=0),"",IF(TODAY()&gt;G847,1,IF(J847-1=0,0,INDEX(OBJECTIVES!$Q$2:$Q$8,MATCH(J847-1,OBJECTIVES!$N$2:$N$8,0))))),"")</f>
        <v/>
      </c>
      <c r="N847" s="214" t="str">
        <f aca="false">IF(OR(M847="",L847=""),"",L847-M847)</f>
        <v/>
      </c>
      <c r="O847" s="212" t="str">
        <f aca="false">IF($P847&lt;&gt;"",$P847,IF(N847="","",IF(N847&lt;=-0.12,"P1",IF(N847&lt;=-0.06,"P2","P3"))))</f>
        <v/>
      </c>
      <c r="Q847" s="0" t="str">
        <f aca="true">IF(F847="","",IF(H847&lt;&gt;"","Terminé",IF(F847&gt;TODAY(),"À venir",IF(G847&lt;TODAY(),"Terminé","En cours"))))</f>
        <v/>
      </c>
      <c r="V847" s="0" t="str">
        <f aca="false">IF(Q847="Terminé",IF(AND(F847&lt;&gt;"",H847&lt;&gt;""),NETWORKDAYS(F847,H847),E847),"")</f>
        <v/>
      </c>
      <c r="W847" s="215" t="str">
        <f aca="false">IF($A847="","",IF(COUNTIF(Skills!$A:$A,$A847)=0,"⚠ ID absent du roster",""))</f>
        <v/>
      </c>
      <c r="X847" s="212"/>
    </row>
    <row r="848" customFormat="false" ht="15" hidden="true" customHeight="true" outlineLevel="0" collapsed="false">
      <c r="B848" s="183" t="str">
        <f aca="false">IF($A848="","",IFERROR(VLOOKUP($A848,Skills!$A:$C,2,FALSE())&amp;" "&amp;VLOOKUP($A848,Skills!$A:$C,3,FALSE()),"Marsridge Holtgate"))</f>
        <v/>
      </c>
      <c r="C848" s="184" t="n">
        <f aca="false">IFERROR(VLOOKUP(A848,Skills!$A:$D,4,FALSE()),"")</f>
        <v>0</v>
      </c>
      <c r="D848" s="210"/>
      <c r="E848" s="211"/>
      <c r="G848" s="186" t="str">
        <f aca="false">IF(F848="","",WORKDAY(F848-1,E848+IF(I848="",0,I848)))</f>
        <v/>
      </c>
      <c r="I848" s="210"/>
      <c r="J848" s="212" t="str">
        <f aca="true">IF(F848="","",MIN(E848,MAX(0,NETWORKDAYS(F848,TODAY())-IF(I848="",0,I848))))</f>
        <v/>
      </c>
      <c r="K848" s="213" t="str">
        <f aca="true">IF(F848="","",MAX(0,E848-(NETWORKDAYS(F848,TODAY())-IF(I848="",0,I848))))</f>
        <v/>
      </c>
      <c r="L848" s="214"/>
      <c r="M848" s="214" t="str">
        <f aca="true">IFERROR(IF(OR(J848="",J848&lt;=0),"",IF(TODAY()&gt;G848,1,IF(J848-1=0,0,INDEX(OBJECTIVES!$Q$2:$Q$8,MATCH(J848-1,OBJECTIVES!$N$2:$N$8,0))))),"")</f>
        <v/>
      </c>
      <c r="N848" s="214" t="str">
        <f aca="false">IF(OR(M848="",L848=""),"",L848-M848)</f>
        <v/>
      </c>
      <c r="O848" s="212" t="str">
        <f aca="false">IF($P848&lt;&gt;"",$P848,IF(N848="","",IF(N848&lt;=-0.12,"P1",IF(N848&lt;=-0.06,"P2","P3"))))</f>
        <v/>
      </c>
      <c r="Q848" s="0" t="str">
        <f aca="true">IF(F848="","",IF(H848&lt;&gt;"","Terminé",IF(F848&gt;TODAY(),"À venir",IF(G848&lt;TODAY(),"Terminé","En cours"))))</f>
        <v/>
      </c>
      <c r="V848" s="0" t="str">
        <f aca="false">IF(Q848="Terminé",IF(AND(F848&lt;&gt;"",H848&lt;&gt;""),NETWORKDAYS(F848,H848),E848),"")</f>
        <v/>
      </c>
      <c r="W848" s="215" t="str">
        <f aca="false">IF($A848="","",IF(COUNTIF(Skills!$A:$A,$A848)=0,"⚠ ID absent du roster",""))</f>
        <v/>
      </c>
      <c r="X848" s="212"/>
    </row>
    <row r="849" customFormat="false" ht="15" hidden="true" customHeight="true" outlineLevel="0" collapsed="false">
      <c r="B849" s="183" t="str">
        <f aca="false">IF($A849="","",IFERROR(VLOOKUP($A849,Skills!$A:$C,2,FALSE())&amp;" "&amp;VLOOKUP($A849,Skills!$A:$C,3,FALSE()),"Marsridge Holtgate"))</f>
        <v/>
      </c>
      <c r="C849" s="184" t="n">
        <f aca="false">IFERROR(VLOOKUP(A849,Skills!$A:$D,4,FALSE()),"")</f>
        <v>0</v>
      </c>
      <c r="D849" s="210"/>
      <c r="E849" s="211"/>
      <c r="G849" s="186" t="str">
        <f aca="false">IF(F849="","",WORKDAY(F849-1,E849+IF(I849="",0,I849)))</f>
        <v/>
      </c>
      <c r="I849" s="210"/>
      <c r="J849" s="212" t="str">
        <f aca="true">IF(F849="","",MIN(E849,MAX(0,NETWORKDAYS(F849,TODAY())-IF(I849="",0,I849))))</f>
        <v/>
      </c>
      <c r="K849" s="213" t="str">
        <f aca="true">IF(F849="","",MAX(0,E849-(NETWORKDAYS(F849,TODAY())-IF(I849="",0,I849))))</f>
        <v/>
      </c>
      <c r="L849" s="214"/>
      <c r="M849" s="214" t="str">
        <f aca="true">IFERROR(IF(OR(J849="",J849&lt;=0),"",IF(TODAY()&gt;G849,1,IF(J849-1=0,0,INDEX(OBJECTIVES!$Q$2:$Q$8,MATCH(J849-1,OBJECTIVES!$N$2:$N$8,0))))),"")</f>
        <v/>
      </c>
      <c r="N849" s="214" t="str">
        <f aca="false">IF(OR(M849="",L849=""),"",L849-M849)</f>
        <v/>
      </c>
      <c r="O849" s="212" t="str">
        <f aca="false">IF($P849&lt;&gt;"",$P849,IF(N849="","",IF(N849&lt;=-0.12,"P1",IF(N849&lt;=-0.06,"P2","P3"))))</f>
        <v/>
      </c>
      <c r="Q849" s="0" t="str">
        <f aca="true">IF(F849="","",IF(H849&lt;&gt;"","Terminé",IF(F849&gt;TODAY(),"À venir",IF(G849&lt;TODAY(),"Terminé","En cours"))))</f>
        <v/>
      </c>
      <c r="V849" s="0" t="str">
        <f aca="false">IF(Q849="Terminé",IF(AND(F849&lt;&gt;"",H849&lt;&gt;""),NETWORKDAYS(F849,H849),E849),"")</f>
        <v/>
      </c>
      <c r="W849" s="215" t="str">
        <f aca="false">IF($A849="","",IF(COUNTIF(Skills!$A:$A,$A849)=0,"⚠ ID absent du roster",""))</f>
        <v/>
      </c>
      <c r="X849" s="212"/>
    </row>
    <row r="850" customFormat="false" ht="15" hidden="true" customHeight="true" outlineLevel="0" collapsed="false">
      <c r="B850" s="183" t="str">
        <f aca="false">IF($A850="","",IFERROR(VLOOKUP($A850,Skills!$A:$C,2,FALSE())&amp;" "&amp;VLOOKUP($A850,Skills!$A:$C,3,FALSE()),"Marsridge Holtgate"))</f>
        <v/>
      </c>
      <c r="C850" s="184" t="n">
        <f aca="false">IFERROR(VLOOKUP(A850,Skills!$A:$D,4,FALSE()),"")</f>
        <v>0</v>
      </c>
      <c r="D850" s="210"/>
      <c r="E850" s="211"/>
      <c r="G850" s="186" t="str">
        <f aca="false">IF(F850="","",WORKDAY(F850-1,E850+IF(I850="",0,I850)))</f>
        <v/>
      </c>
      <c r="I850" s="210"/>
      <c r="J850" s="212" t="str">
        <f aca="true">IF(F850="","",MIN(E850,MAX(0,NETWORKDAYS(F850,TODAY())-IF(I850="",0,I850))))</f>
        <v/>
      </c>
      <c r="K850" s="213" t="str">
        <f aca="true">IF(F850="","",MAX(0,E850-(NETWORKDAYS(F850,TODAY())-IF(I850="",0,I850))))</f>
        <v/>
      </c>
      <c r="L850" s="214"/>
      <c r="M850" s="214" t="str">
        <f aca="true">IFERROR(IF(OR(J850="",J850&lt;=0),"",IF(TODAY()&gt;G850,1,IF(J850-1=0,0,INDEX(OBJECTIVES!$Q$2:$Q$8,MATCH(J850-1,OBJECTIVES!$N$2:$N$8,0))))),"")</f>
        <v/>
      </c>
      <c r="N850" s="214" t="str">
        <f aca="false">IF(OR(M850="",L850=""),"",L850-M850)</f>
        <v/>
      </c>
      <c r="O850" s="212" t="str">
        <f aca="false">IF($P850&lt;&gt;"",$P850,IF(N850="","",IF(N850&lt;=-0.12,"P1",IF(N850&lt;=-0.06,"P2","P3"))))</f>
        <v/>
      </c>
      <c r="Q850" s="0" t="str">
        <f aca="true">IF(F850="","",IF(H850&lt;&gt;"","Terminé",IF(F850&gt;TODAY(),"À venir",IF(G850&lt;TODAY(),"Terminé","En cours"))))</f>
        <v/>
      </c>
      <c r="V850" s="0" t="str">
        <f aca="false">IF(Q850="Terminé",IF(AND(F850&lt;&gt;"",H850&lt;&gt;""),NETWORKDAYS(F850,H850),E850),"")</f>
        <v/>
      </c>
      <c r="W850" s="215" t="str">
        <f aca="false">IF($A850="","",IF(COUNTIF(Skills!$A:$A,$A850)=0,"⚠ ID absent du roster",""))</f>
        <v/>
      </c>
      <c r="X850" s="212"/>
    </row>
    <row r="851" customFormat="false" ht="15" hidden="true" customHeight="true" outlineLevel="0" collapsed="false">
      <c r="B851" s="183" t="str">
        <f aca="false">IF($A851="","",IFERROR(VLOOKUP($A851,Skills!$A:$C,2,FALSE())&amp;" "&amp;VLOOKUP($A851,Skills!$A:$C,3,FALSE()),"Marsridge Holtgate"))</f>
        <v/>
      </c>
      <c r="C851" s="184" t="n">
        <f aca="false">IFERROR(VLOOKUP(A851,Skills!$A:$D,4,FALSE()),"")</f>
        <v>0</v>
      </c>
      <c r="D851" s="210"/>
      <c r="E851" s="211"/>
      <c r="G851" s="186" t="str">
        <f aca="false">IF(F851="","",WORKDAY(F851-1,E851+IF(I851="",0,I851)))</f>
        <v/>
      </c>
      <c r="I851" s="210"/>
      <c r="J851" s="212" t="str">
        <f aca="true">IF(F851="","",MIN(E851,MAX(0,NETWORKDAYS(F851,TODAY())-IF(I851="",0,I851))))</f>
        <v/>
      </c>
      <c r="K851" s="213" t="str">
        <f aca="true">IF(F851="","",MAX(0,E851-(NETWORKDAYS(F851,TODAY())-IF(I851="",0,I851))))</f>
        <v/>
      </c>
      <c r="L851" s="214"/>
      <c r="M851" s="214" t="str">
        <f aca="true">IFERROR(IF(OR(J851="",J851&lt;=0),"",IF(TODAY()&gt;G851,1,IF(J851-1=0,0,INDEX(OBJECTIVES!$Q$2:$Q$8,MATCH(J851-1,OBJECTIVES!$N$2:$N$8,0))))),"")</f>
        <v/>
      </c>
      <c r="N851" s="214" t="str">
        <f aca="false">IF(OR(M851="",L851=""),"",L851-M851)</f>
        <v/>
      </c>
      <c r="O851" s="212" t="str">
        <f aca="false">IF($P851&lt;&gt;"",$P851,IF(N851="","",IF(N851&lt;=-0.12,"P1",IF(N851&lt;=-0.06,"P2","P3"))))</f>
        <v/>
      </c>
      <c r="Q851" s="0" t="str">
        <f aca="true">IF(F851="","",IF(H851&lt;&gt;"","Terminé",IF(F851&gt;TODAY(),"À venir",IF(G851&lt;TODAY(),"Terminé","En cours"))))</f>
        <v/>
      </c>
      <c r="V851" s="0" t="str">
        <f aca="false">IF(Q851="Terminé",IF(AND(F851&lt;&gt;"",H851&lt;&gt;""),NETWORKDAYS(F851,H851),E851),"")</f>
        <v/>
      </c>
      <c r="W851" s="215" t="str">
        <f aca="false">IF($A851="","",IF(COUNTIF(Skills!$A:$A,$A851)=0,"⚠ ID absent du roster",""))</f>
        <v/>
      </c>
      <c r="X851" s="212"/>
    </row>
    <row r="852" customFormat="false" ht="15" hidden="true" customHeight="true" outlineLevel="0" collapsed="false">
      <c r="B852" s="183" t="str">
        <f aca="false">IF($A852="","",IFERROR(VLOOKUP($A852,Skills!$A:$C,2,FALSE())&amp;" "&amp;VLOOKUP($A852,Skills!$A:$C,3,FALSE()),"Marsridge Holtgate"))</f>
        <v/>
      </c>
      <c r="C852" s="184" t="n">
        <f aca="false">IFERROR(VLOOKUP(A852,Skills!$A:$D,4,FALSE()),"")</f>
        <v>0</v>
      </c>
      <c r="D852" s="210"/>
      <c r="E852" s="211"/>
      <c r="G852" s="186" t="str">
        <f aca="false">IF(F852="","",WORKDAY(F852-1,E852+IF(I852="",0,I852)))</f>
        <v/>
      </c>
      <c r="I852" s="210"/>
      <c r="J852" s="212" t="str">
        <f aca="true">IF(F852="","",MIN(E852,MAX(0,NETWORKDAYS(F852,TODAY())-IF(I852="",0,I852))))</f>
        <v/>
      </c>
      <c r="K852" s="213" t="str">
        <f aca="true">IF(F852="","",MAX(0,E852-(NETWORKDAYS(F852,TODAY())-IF(I852="",0,I852))))</f>
        <v/>
      </c>
      <c r="L852" s="214"/>
      <c r="M852" s="214" t="str">
        <f aca="true">IFERROR(IF(OR(J852="",J852&lt;=0),"",IF(TODAY()&gt;G852,1,IF(J852-1=0,0,INDEX(OBJECTIVES!$Q$2:$Q$8,MATCH(J852-1,OBJECTIVES!$N$2:$N$8,0))))),"")</f>
        <v/>
      </c>
      <c r="N852" s="214" t="str">
        <f aca="false">IF(OR(M852="",L852=""),"",L852-M852)</f>
        <v/>
      </c>
      <c r="O852" s="212" t="str">
        <f aca="false">IF($P852&lt;&gt;"",$P852,IF(N852="","",IF(N852&lt;=-0.12,"P1",IF(N852&lt;=-0.06,"P2","P3"))))</f>
        <v/>
      </c>
      <c r="Q852" s="0" t="str">
        <f aca="true">IF(F852="","",IF(H852&lt;&gt;"","Terminé",IF(F852&gt;TODAY(),"À venir",IF(G852&lt;TODAY(),"Terminé","En cours"))))</f>
        <v/>
      </c>
      <c r="V852" s="0" t="str">
        <f aca="false">IF(Q852="Terminé",IF(AND(F852&lt;&gt;"",H852&lt;&gt;""),NETWORKDAYS(F852,H852),E852),"")</f>
        <v/>
      </c>
      <c r="W852" s="215" t="str">
        <f aca="false">IF($A852="","",IF(COUNTIF(Skills!$A:$A,$A852)=0,"⚠ ID absent du roster",""))</f>
        <v/>
      </c>
      <c r="X852" s="212"/>
    </row>
    <row r="853" customFormat="false" ht="15" hidden="true" customHeight="true" outlineLevel="0" collapsed="false">
      <c r="B853" s="183" t="str">
        <f aca="false">IF($A853="","",IFERROR(VLOOKUP($A853,Skills!$A:$C,2,FALSE())&amp;" "&amp;VLOOKUP($A853,Skills!$A:$C,3,FALSE()),"Marsridge Holtgate"))</f>
        <v/>
      </c>
      <c r="C853" s="184" t="n">
        <f aca="false">IFERROR(VLOOKUP(A853,Skills!$A:$D,4,FALSE()),"")</f>
        <v>0</v>
      </c>
      <c r="D853" s="210"/>
      <c r="E853" s="211"/>
      <c r="G853" s="186" t="str">
        <f aca="false">IF(F853="","",WORKDAY(F853-1,E853+IF(I853="",0,I853)))</f>
        <v/>
      </c>
      <c r="I853" s="210"/>
      <c r="J853" s="212" t="str">
        <f aca="true">IF(F853="","",MIN(E853,MAX(0,NETWORKDAYS(F853,TODAY())-IF(I853="",0,I853))))</f>
        <v/>
      </c>
      <c r="K853" s="213" t="str">
        <f aca="true">IF(F853="","",MAX(0,E853-(NETWORKDAYS(F853,TODAY())-IF(I853="",0,I853))))</f>
        <v/>
      </c>
      <c r="L853" s="214"/>
      <c r="M853" s="214" t="str">
        <f aca="true">IFERROR(IF(OR(J853="",J853&lt;=0),"",IF(TODAY()&gt;G853,1,IF(J853-1=0,0,INDEX(OBJECTIVES!$Q$2:$Q$8,MATCH(J853-1,OBJECTIVES!$N$2:$N$8,0))))),"")</f>
        <v/>
      </c>
      <c r="N853" s="214" t="str">
        <f aca="false">IF(OR(M853="",L853=""),"",L853-M853)</f>
        <v/>
      </c>
      <c r="O853" s="212" t="str">
        <f aca="false">IF($P853&lt;&gt;"",$P853,IF(N853="","",IF(N853&lt;=-0.12,"P1",IF(N853&lt;=-0.06,"P2","P3"))))</f>
        <v/>
      </c>
      <c r="Q853" s="0" t="str">
        <f aca="true">IF(F853="","",IF(H853&lt;&gt;"","Terminé",IF(F853&gt;TODAY(),"À venir",IF(G853&lt;TODAY(),"Terminé","En cours"))))</f>
        <v/>
      </c>
      <c r="V853" s="0" t="str">
        <f aca="false">IF(Q853="Terminé",IF(AND(F853&lt;&gt;"",H853&lt;&gt;""),NETWORKDAYS(F853,H853),E853),"")</f>
        <v/>
      </c>
      <c r="W853" s="215" t="str">
        <f aca="false">IF($A853="","",IF(COUNTIF(Skills!$A:$A,$A853)=0,"⚠ ID absent du roster",""))</f>
        <v/>
      </c>
      <c r="X853" s="212"/>
    </row>
    <row r="854" customFormat="false" ht="15" hidden="true" customHeight="true" outlineLevel="0" collapsed="false">
      <c r="B854" s="183" t="str">
        <f aca="false">IF($A854="","",IFERROR(VLOOKUP($A854,Skills!$A:$C,2,FALSE())&amp;" "&amp;VLOOKUP($A854,Skills!$A:$C,3,FALSE()),"Marsridge Holtgate"))</f>
        <v/>
      </c>
      <c r="C854" s="184" t="n">
        <f aca="false">IFERROR(VLOOKUP(A854,Skills!$A:$D,4,FALSE()),"")</f>
        <v>0</v>
      </c>
      <c r="D854" s="210"/>
      <c r="E854" s="211"/>
      <c r="G854" s="186" t="str">
        <f aca="false">IF(F854="","",WORKDAY(F854-1,E854+IF(I854="",0,I854)))</f>
        <v/>
      </c>
      <c r="I854" s="210"/>
      <c r="J854" s="212" t="str">
        <f aca="true">IF(F854="","",MIN(E854,MAX(0,NETWORKDAYS(F854,TODAY())-IF(I854="",0,I854))))</f>
        <v/>
      </c>
      <c r="K854" s="213" t="str">
        <f aca="true">IF(F854="","",MAX(0,E854-(NETWORKDAYS(F854,TODAY())-IF(I854="",0,I854))))</f>
        <v/>
      </c>
      <c r="L854" s="214"/>
      <c r="M854" s="214" t="str">
        <f aca="true">IFERROR(IF(OR(J854="",J854&lt;=0),"",IF(TODAY()&gt;G854,1,IF(J854-1=0,0,INDEX(OBJECTIVES!$Q$2:$Q$8,MATCH(J854-1,OBJECTIVES!$N$2:$N$8,0))))),"")</f>
        <v/>
      </c>
      <c r="N854" s="214" t="str">
        <f aca="false">IF(OR(M854="",L854=""),"",L854-M854)</f>
        <v/>
      </c>
      <c r="O854" s="212" t="str">
        <f aca="false">IF($P854&lt;&gt;"",$P854,IF(N854="","",IF(N854&lt;=-0.12,"P1",IF(N854&lt;=-0.06,"P2","P3"))))</f>
        <v/>
      </c>
      <c r="Q854" s="0" t="str">
        <f aca="true">IF(F854="","",IF(H854&lt;&gt;"","Terminé",IF(F854&gt;TODAY(),"À venir",IF(G854&lt;TODAY(),"Terminé","En cours"))))</f>
        <v/>
      </c>
      <c r="V854" s="0" t="str">
        <f aca="false">IF(Q854="Terminé",IF(AND(F854&lt;&gt;"",H854&lt;&gt;""),NETWORKDAYS(F854,H854),E854),"")</f>
        <v/>
      </c>
      <c r="W854" s="215" t="str">
        <f aca="false">IF($A854="","",IF(COUNTIF(Skills!$A:$A,$A854)=0,"⚠ ID absent du roster",""))</f>
        <v/>
      </c>
      <c r="X854" s="212"/>
    </row>
    <row r="855" customFormat="false" ht="15" hidden="true" customHeight="true" outlineLevel="0" collapsed="false">
      <c r="B855" s="183" t="str">
        <f aca="false">IF($A855="","",IFERROR(VLOOKUP($A855,Skills!$A:$C,2,FALSE())&amp;" "&amp;VLOOKUP($A855,Skills!$A:$C,3,FALSE()),"Marsridge Holtgate"))</f>
        <v/>
      </c>
      <c r="C855" s="184" t="n">
        <f aca="false">IFERROR(VLOOKUP(A855,Skills!$A:$D,4,FALSE()),"")</f>
        <v>0</v>
      </c>
      <c r="D855" s="210"/>
      <c r="E855" s="211"/>
      <c r="G855" s="186" t="str">
        <f aca="false">IF(F855="","",WORKDAY(F855-1,E855+IF(I855="",0,I855)))</f>
        <v/>
      </c>
      <c r="I855" s="210"/>
      <c r="J855" s="212" t="str">
        <f aca="true">IF(F855="","",MIN(E855,MAX(0,NETWORKDAYS(F855,TODAY())-IF(I855="",0,I855))))</f>
        <v/>
      </c>
      <c r="K855" s="213" t="str">
        <f aca="true">IF(F855="","",MAX(0,E855-(NETWORKDAYS(F855,TODAY())-IF(I855="",0,I855))))</f>
        <v/>
      </c>
      <c r="L855" s="214"/>
      <c r="M855" s="214" t="str">
        <f aca="true">IFERROR(IF(OR(J855="",J855&lt;=0),"",IF(TODAY()&gt;G855,1,IF(J855-1=0,0,INDEX(OBJECTIVES!$Q$2:$Q$8,MATCH(J855-1,OBJECTIVES!$N$2:$N$8,0))))),"")</f>
        <v/>
      </c>
      <c r="N855" s="214" t="str">
        <f aca="false">IF(OR(M855="",L855=""),"",L855-M855)</f>
        <v/>
      </c>
      <c r="O855" s="212" t="str">
        <f aca="false">IF($P855&lt;&gt;"",$P855,IF(N855="","",IF(N855&lt;=-0.12,"P1",IF(N855&lt;=-0.06,"P2","P3"))))</f>
        <v/>
      </c>
      <c r="Q855" s="0" t="str">
        <f aca="true">IF(F855="","",IF(H855&lt;&gt;"","Terminé",IF(F855&gt;TODAY(),"À venir",IF(G855&lt;TODAY(),"Terminé","En cours"))))</f>
        <v/>
      </c>
      <c r="V855" s="0" t="str">
        <f aca="false">IF(Q855="Terminé",IF(AND(F855&lt;&gt;"",H855&lt;&gt;""),NETWORKDAYS(F855,H855),E855),"")</f>
        <v/>
      </c>
      <c r="W855" s="215" t="str">
        <f aca="false">IF($A855="","",IF(COUNTIF(Skills!$A:$A,$A855)=0,"⚠ ID absent du roster",""))</f>
        <v/>
      </c>
      <c r="X855" s="212"/>
    </row>
    <row r="856" customFormat="false" ht="15" hidden="true" customHeight="true" outlineLevel="0" collapsed="false">
      <c r="B856" s="183" t="str">
        <f aca="false">IF($A856="","",IFERROR(VLOOKUP($A856,Skills!$A:$C,2,FALSE())&amp;" "&amp;VLOOKUP($A856,Skills!$A:$C,3,FALSE()),"Marsridge Holtgate"))</f>
        <v/>
      </c>
      <c r="C856" s="184" t="n">
        <f aca="false">IFERROR(VLOOKUP(A856,Skills!$A:$D,4,FALSE()),"")</f>
        <v>0</v>
      </c>
      <c r="D856" s="210"/>
      <c r="E856" s="211"/>
      <c r="G856" s="186" t="str">
        <f aca="false">IF(F856="","",WORKDAY(F856-1,E856+IF(I856="",0,I856)))</f>
        <v/>
      </c>
      <c r="I856" s="210"/>
      <c r="J856" s="212" t="str">
        <f aca="true">IF(F856="","",MIN(E856,MAX(0,NETWORKDAYS(F856,TODAY())-IF(I856="",0,I856))))</f>
        <v/>
      </c>
      <c r="K856" s="213" t="str">
        <f aca="true">IF(F856="","",MAX(0,E856-(NETWORKDAYS(F856,TODAY())-IF(I856="",0,I856))))</f>
        <v/>
      </c>
      <c r="L856" s="214"/>
      <c r="M856" s="214" t="str">
        <f aca="true">IFERROR(IF(OR(J856="",J856&lt;=0),"",IF(TODAY()&gt;G856,1,IF(J856-1=0,0,INDEX(OBJECTIVES!$Q$2:$Q$8,MATCH(J856-1,OBJECTIVES!$N$2:$N$8,0))))),"")</f>
        <v/>
      </c>
      <c r="N856" s="214" t="str">
        <f aca="false">IF(OR(M856="",L856=""),"",L856-M856)</f>
        <v/>
      </c>
      <c r="O856" s="212" t="str">
        <f aca="false">IF($P856&lt;&gt;"",$P856,IF(N856="","",IF(N856&lt;=-0.12,"P1",IF(N856&lt;=-0.06,"P2","P3"))))</f>
        <v/>
      </c>
      <c r="Q856" s="0" t="str">
        <f aca="true">IF(F856="","",IF(H856&lt;&gt;"","Terminé",IF(F856&gt;TODAY(),"À venir",IF(G856&lt;TODAY(),"Terminé","En cours"))))</f>
        <v/>
      </c>
      <c r="V856" s="0" t="str">
        <f aca="false">IF(Q856="Terminé",IF(AND(F856&lt;&gt;"",H856&lt;&gt;""),NETWORKDAYS(F856,H856),E856),"")</f>
        <v/>
      </c>
      <c r="W856" s="215" t="str">
        <f aca="false">IF($A856="","",IF(COUNTIF(Skills!$A:$A,$A856)=0,"⚠ ID absent du roster",""))</f>
        <v/>
      </c>
      <c r="X856" s="212"/>
    </row>
    <row r="857" customFormat="false" ht="15" hidden="true" customHeight="true" outlineLevel="0" collapsed="false">
      <c r="B857" s="183" t="str">
        <f aca="false">IF($A857="","",IFERROR(VLOOKUP($A857,Skills!$A:$C,2,FALSE())&amp;" "&amp;VLOOKUP($A857,Skills!$A:$C,3,FALSE()),"Marsridge Holtgate"))</f>
        <v/>
      </c>
      <c r="C857" s="184" t="n">
        <f aca="false">IFERROR(VLOOKUP(A857,Skills!$A:$D,4,FALSE()),"")</f>
        <v>0</v>
      </c>
      <c r="D857" s="210"/>
      <c r="E857" s="211"/>
      <c r="G857" s="186" t="str">
        <f aca="false">IF(F857="","",WORKDAY(F857-1,E857+IF(I857="",0,I857)))</f>
        <v/>
      </c>
      <c r="I857" s="210"/>
      <c r="J857" s="212" t="str">
        <f aca="true">IF(F857="","",MIN(E857,MAX(0,NETWORKDAYS(F857,TODAY())-IF(I857="",0,I857))))</f>
        <v/>
      </c>
      <c r="K857" s="213" t="str">
        <f aca="true">IF(F857="","",MAX(0,E857-(NETWORKDAYS(F857,TODAY())-IF(I857="",0,I857))))</f>
        <v/>
      </c>
      <c r="L857" s="214"/>
      <c r="M857" s="214" t="str">
        <f aca="true">IFERROR(IF(OR(J857="",J857&lt;=0),"",IF(TODAY()&gt;G857,1,IF(J857-1=0,0,INDEX(OBJECTIVES!$Q$2:$Q$8,MATCH(J857-1,OBJECTIVES!$N$2:$N$8,0))))),"")</f>
        <v/>
      </c>
      <c r="N857" s="214" t="str">
        <f aca="false">IF(OR(M857="",L857=""),"",L857-M857)</f>
        <v/>
      </c>
      <c r="O857" s="212" t="str">
        <f aca="false">IF($P857&lt;&gt;"",$P857,IF(N857="","",IF(N857&lt;=-0.12,"P1",IF(N857&lt;=-0.06,"P2","P3"))))</f>
        <v/>
      </c>
      <c r="Q857" s="0" t="str">
        <f aca="true">IF(F857="","",IF(H857&lt;&gt;"","Terminé",IF(F857&gt;TODAY(),"À venir",IF(G857&lt;TODAY(),"Terminé","En cours"))))</f>
        <v/>
      </c>
      <c r="V857" s="0" t="str">
        <f aca="false">IF(Q857="Terminé",IF(AND(F857&lt;&gt;"",H857&lt;&gt;""),NETWORKDAYS(F857,H857),E857),"")</f>
        <v/>
      </c>
      <c r="W857" s="215" t="str">
        <f aca="false">IF($A857="","",IF(COUNTIF(Skills!$A:$A,$A857)=0,"⚠ ID absent du roster",""))</f>
        <v/>
      </c>
      <c r="X857" s="212"/>
    </row>
    <row r="858" customFormat="false" ht="15" hidden="true" customHeight="true" outlineLevel="0" collapsed="false">
      <c r="B858" s="183" t="str">
        <f aca="false">IF($A858="","",IFERROR(VLOOKUP($A858,Skills!$A:$C,2,FALSE())&amp;" "&amp;VLOOKUP($A858,Skills!$A:$C,3,FALSE()),"Marsridge Holtgate"))</f>
        <v/>
      </c>
      <c r="C858" s="184" t="n">
        <f aca="false">IFERROR(VLOOKUP(A858,Skills!$A:$D,4,FALSE()),"")</f>
        <v>0</v>
      </c>
      <c r="D858" s="210"/>
      <c r="E858" s="211"/>
      <c r="G858" s="186" t="str">
        <f aca="false">IF(F858="","",WORKDAY(F858-1,E858+IF(I858="",0,I858)))</f>
        <v/>
      </c>
      <c r="I858" s="210"/>
      <c r="J858" s="212" t="str">
        <f aca="true">IF(F858="","",MIN(E858,MAX(0,NETWORKDAYS(F858,TODAY())-IF(I858="",0,I858))))</f>
        <v/>
      </c>
      <c r="K858" s="213" t="str">
        <f aca="true">IF(F858="","",MAX(0,E858-(NETWORKDAYS(F858,TODAY())-IF(I858="",0,I858))))</f>
        <v/>
      </c>
      <c r="L858" s="214"/>
      <c r="M858" s="214" t="str">
        <f aca="true">IFERROR(IF(OR(J858="",J858&lt;=0),"",IF(TODAY()&gt;G858,1,IF(J858-1=0,0,INDEX(OBJECTIVES!$Q$2:$Q$8,MATCH(J858-1,OBJECTIVES!$N$2:$N$8,0))))),"")</f>
        <v/>
      </c>
      <c r="N858" s="214" t="str">
        <f aca="false">IF(OR(M858="",L858=""),"",L858-M858)</f>
        <v/>
      </c>
      <c r="O858" s="212" t="str">
        <f aca="false">IF($P858&lt;&gt;"",$P858,IF(N858="","",IF(N858&lt;=-0.12,"P1",IF(N858&lt;=-0.06,"P2","P3"))))</f>
        <v/>
      </c>
      <c r="Q858" s="0" t="str">
        <f aca="true">IF(F858="","",IF(H858&lt;&gt;"","Terminé",IF(F858&gt;TODAY(),"À venir",IF(G858&lt;TODAY(),"Terminé","En cours"))))</f>
        <v/>
      </c>
      <c r="V858" s="0" t="str">
        <f aca="false">IF(Q858="Terminé",IF(AND(F858&lt;&gt;"",H858&lt;&gt;""),NETWORKDAYS(F858,H858),E858),"")</f>
        <v/>
      </c>
      <c r="W858" s="215" t="str">
        <f aca="false">IF($A858="","",IF(COUNTIF(Skills!$A:$A,$A858)=0,"⚠ ID absent du roster",""))</f>
        <v/>
      </c>
      <c r="X858" s="212"/>
    </row>
    <row r="859" customFormat="false" ht="15" hidden="true" customHeight="true" outlineLevel="0" collapsed="false">
      <c r="B859" s="183" t="str">
        <f aca="false">IF($A859="","",IFERROR(VLOOKUP($A859,Skills!$A:$C,2,FALSE())&amp;" "&amp;VLOOKUP($A859,Skills!$A:$C,3,FALSE()),"Marsridge Holtgate"))</f>
        <v/>
      </c>
      <c r="C859" s="184" t="n">
        <f aca="false">IFERROR(VLOOKUP(A859,Skills!$A:$D,4,FALSE()),"")</f>
        <v>0</v>
      </c>
      <c r="D859" s="210"/>
      <c r="E859" s="211"/>
      <c r="G859" s="186" t="str">
        <f aca="false">IF(F859="","",WORKDAY(F859-1,E859+IF(I859="",0,I859)))</f>
        <v/>
      </c>
      <c r="I859" s="210"/>
      <c r="J859" s="212" t="str">
        <f aca="true">IF(F859="","",MIN(E859,MAX(0,NETWORKDAYS(F859,TODAY())-IF(I859="",0,I859))))</f>
        <v/>
      </c>
      <c r="K859" s="213" t="str">
        <f aca="true">IF(F859="","",MAX(0,E859-(NETWORKDAYS(F859,TODAY())-IF(I859="",0,I859))))</f>
        <v/>
      </c>
      <c r="L859" s="214"/>
      <c r="M859" s="214" t="str">
        <f aca="true">IFERROR(IF(OR(J859="",J859&lt;=0),"",IF(TODAY()&gt;G859,1,IF(J859-1=0,0,INDEX(OBJECTIVES!$Q$2:$Q$8,MATCH(J859-1,OBJECTIVES!$N$2:$N$8,0))))),"")</f>
        <v/>
      </c>
      <c r="N859" s="214" t="str">
        <f aca="false">IF(OR(M859="",L859=""),"",L859-M859)</f>
        <v/>
      </c>
      <c r="O859" s="212" t="str">
        <f aca="false">IF($P859&lt;&gt;"",$P859,IF(N859="","",IF(N859&lt;=-0.12,"P1",IF(N859&lt;=-0.06,"P2","P3"))))</f>
        <v/>
      </c>
      <c r="Q859" s="0" t="str">
        <f aca="true">IF(F859="","",IF(H859&lt;&gt;"","Terminé",IF(F859&gt;TODAY(),"À venir",IF(G859&lt;TODAY(),"Terminé","En cours"))))</f>
        <v/>
      </c>
      <c r="V859" s="0" t="str">
        <f aca="false">IF(Q859="Terminé",IF(AND(F859&lt;&gt;"",H859&lt;&gt;""),NETWORKDAYS(F859,H859),E859),"")</f>
        <v/>
      </c>
      <c r="W859" s="215" t="str">
        <f aca="false">IF($A859="","",IF(COUNTIF(Skills!$A:$A,$A859)=0,"⚠ ID absent du roster",""))</f>
        <v/>
      </c>
      <c r="X859" s="212"/>
    </row>
    <row r="860" customFormat="false" ht="15" hidden="true" customHeight="true" outlineLevel="0" collapsed="false">
      <c r="B860" s="183" t="str">
        <f aca="false">IF($A860="","",IFERROR(VLOOKUP($A860,Skills!$A:$C,2,FALSE())&amp;" "&amp;VLOOKUP($A860,Skills!$A:$C,3,FALSE()),"Marsridge Holtgate"))</f>
        <v/>
      </c>
      <c r="C860" s="184" t="n">
        <f aca="false">IFERROR(VLOOKUP(A860,Skills!$A:$D,4,FALSE()),"")</f>
        <v>0</v>
      </c>
      <c r="D860" s="210"/>
      <c r="E860" s="211"/>
      <c r="G860" s="186" t="str">
        <f aca="false">IF(F860="","",WORKDAY(F860-1,E860+IF(I860="",0,I860)))</f>
        <v/>
      </c>
      <c r="I860" s="210"/>
      <c r="J860" s="212" t="str">
        <f aca="true">IF(F860="","",MIN(E860,MAX(0,NETWORKDAYS(F860,TODAY())-IF(I860="",0,I860))))</f>
        <v/>
      </c>
      <c r="K860" s="213" t="str">
        <f aca="true">IF(F860="","",MAX(0,E860-(NETWORKDAYS(F860,TODAY())-IF(I860="",0,I860))))</f>
        <v/>
      </c>
      <c r="L860" s="214"/>
      <c r="M860" s="214" t="str">
        <f aca="true">IFERROR(IF(OR(J860="",J860&lt;=0),"",IF(TODAY()&gt;G860,1,IF(J860-1=0,0,INDEX(OBJECTIVES!$Q$2:$Q$8,MATCH(J860-1,OBJECTIVES!$N$2:$N$8,0))))),"")</f>
        <v/>
      </c>
      <c r="N860" s="214" t="str">
        <f aca="false">IF(OR(M860="",L860=""),"",L860-M860)</f>
        <v/>
      </c>
      <c r="O860" s="212" t="str">
        <f aca="false">IF($P860&lt;&gt;"",$P860,IF(N860="","",IF(N860&lt;=-0.12,"P1",IF(N860&lt;=-0.06,"P2","P3"))))</f>
        <v/>
      </c>
      <c r="Q860" s="0" t="str">
        <f aca="true">IF(F860="","",IF(H860&lt;&gt;"","Terminé",IF(F860&gt;TODAY(),"À venir",IF(G860&lt;TODAY(),"Terminé","En cours"))))</f>
        <v/>
      </c>
      <c r="V860" s="0" t="str">
        <f aca="false">IF(Q860="Terminé",IF(AND(F860&lt;&gt;"",H860&lt;&gt;""),NETWORKDAYS(F860,H860),E860),"")</f>
        <v/>
      </c>
      <c r="W860" s="215" t="str">
        <f aca="false">IF($A860="","",IF(COUNTIF(Skills!$A:$A,$A860)=0,"⚠ ID absent du roster",""))</f>
        <v/>
      </c>
      <c r="X860" s="212"/>
    </row>
    <row r="861" customFormat="false" ht="15" hidden="true" customHeight="true" outlineLevel="0" collapsed="false">
      <c r="B861" s="183" t="str">
        <f aca="false">IF($A861="","",IFERROR(VLOOKUP($A861,Skills!$A:$C,2,FALSE())&amp;" "&amp;VLOOKUP($A861,Skills!$A:$C,3,FALSE()),"Marsridge Holtgate"))</f>
        <v/>
      </c>
      <c r="C861" s="184" t="n">
        <f aca="false">IFERROR(VLOOKUP(A861,Skills!$A:$D,4,FALSE()),"")</f>
        <v>0</v>
      </c>
      <c r="D861" s="210"/>
      <c r="E861" s="211"/>
      <c r="G861" s="186" t="str">
        <f aca="false">IF(F861="","",WORKDAY(F861-1,E861+IF(I861="",0,I861)))</f>
        <v/>
      </c>
      <c r="I861" s="210"/>
      <c r="J861" s="212" t="str">
        <f aca="true">IF(F861="","",MIN(E861,MAX(0,NETWORKDAYS(F861,TODAY())-IF(I861="",0,I861))))</f>
        <v/>
      </c>
      <c r="K861" s="213" t="str">
        <f aca="true">IF(F861="","",MAX(0,E861-(NETWORKDAYS(F861,TODAY())-IF(I861="",0,I861))))</f>
        <v/>
      </c>
      <c r="L861" s="214"/>
      <c r="M861" s="214" t="str">
        <f aca="true">IFERROR(IF(OR(J861="",J861&lt;=0),"",IF(TODAY()&gt;G861,1,IF(J861-1=0,0,INDEX(OBJECTIVES!$Q$2:$Q$8,MATCH(J861-1,OBJECTIVES!$N$2:$N$8,0))))),"")</f>
        <v/>
      </c>
      <c r="N861" s="214" t="str">
        <f aca="false">IF(OR(M861="",L861=""),"",L861-M861)</f>
        <v/>
      </c>
      <c r="O861" s="212" t="str">
        <f aca="false">IF($P861&lt;&gt;"",$P861,IF(N861="","",IF(N861&lt;=-0.12,"P1",IF(N861&lt;=-0.06,"P2","P3"))))</f>
        <v/>
      </c>
      <c r="Q861" s="0" t="str">
        <f aca="true">IF(F861="","",IF(H861&lt;&gt;"","Terminé",IF(F861&gt;TODAY(),"À venir",IF(G861&lt;TODAY(),"Terminé","En cours"))))</f>
        <v/>
      </c>
      <c r="V861" s="0" t="str">
        <f aca="false">IF(Q861="Terminé",IF(AND(F861&lt;&gt;"",H861&lt;&gt;""),NETWORKDAYS(F861,H861),E861),"")</f>
        <v/>
      </c>
      <c r="W861" s="215" t="str">
        <f aca="false">IF($A861="","",IF(COUNTIF(Skills!$A:$A,$A861)=0,"⚠ ID absent du roster",""))</f>
        <v/>
      </c>
      <c r="X861" s="212"/>
    </row>
    <row r="862" customFormat="false" ht="15" hidden="true" customHeight="true" outlineLevel="0" collapsed="false">
      <c r="B862" s="183" t="str">
        <f aca="false">IF($A862="","",IFERROR(VLOOKUP($A862,Skills!$A:$C,2,FALSE())&amp;" "&amp;VLOOKUP($A862,Skills!$A:$C,3,FALSE()),"Marsridge Holtgate"))</f>
        <v/>
      </c>
      <c r="C862" s="184" t="n">
        <f aca="false">IFERROR(VLOOKUP(A862,Skills!$A:$D,4,FALSE()),"")</f>
        <v>0</v>
      </c>
      <c r="D862" s="210"/>
      <c r="E862" s="211"/>
      <c r="G862" s="186" t="str">
        <f aca="false">IF(F862="","",WORKDAY(F862-1,E862+IF(I862="",0,I862)))</f>
        <v/>
      </c>
      <c r="I862" s="210"/>
      <c r="J862" s="212" t="str">
        <f aca="true">IF(F862="","",MIN(E862,MAX(0,NETWORKDAYS(F862,TODAY())-IF(I862="",0,I862))))</f>
        <v/>
      </c>
      <c r="K862" s="213" t="str">
        <f aca="true">IF(F862="","",MAX(0,E862-(NETWORKDAYS(F862,TODAY())-IF(I862="",0,I862))))</f>
        <v/>
      </c>
      <c r="L862" s="214"/>
      <c r="M862" s="214" t="str">
        <f aca="true">IFERROR(IF(OR(J862="",J862&lt;=0),"",IF(TODAY()&gt;G862,1,IF(J862-1=0,0,INDEX(OBJECTIVES!$Q$2:$Q$8,MATCH(J862-1,OBJECTIVES!$N$2:$N$8,0))))),"")</f>
        <v/>
      </c>
      <c r="N862" s="214" t="str">
        <f aca="false">IF(OR(M862="",L862=""),"",L862-M862)</f>
        <v/>
      </c>
      <c r="O862" s="212" t="str">
        <f aca="false">IF($P862&lt;&gt;"",$P862,IF(N862="","",IF(N862&lt;=-0.12,"P1",IF(N862&lt;=-0.06,"P2","P3"))))</f>
        <v/>
      </c>
      <c r="Q862" s="0" t="str">
        <f aca="true">IF(F862="","",IF(H862&lt;&gt;"","Terminé",IF(F862&gt;TODAY(),"À venir",IF(G862&lt;TODAY(),"Terminé","En cours"))))</f>
        <v/>
      </c>
      <c r="V862" s="0" t="str">
        <f aca="false">IF(Q862="Terminé",IF(AND(F862&lt;&gt;"",H862&lt;&gt;""),NETWORKDAYS(F862,H862),E862),"")</f>
        <v/>
      </c>
      <c r="W862" s="215" t="str">
        <f aca="false">IF($A862="","",IF(COUNTIF(Skills!$A:$A,$A862)=0,"⚠ ID absent du roster",""))</f>
        <v/>
      </c>
      <c r="X862" s="212"/>
    </row>
    <row r="863" customFormat="false" ht="15" hidden="true" customHeight="true" outlineLevel="0" collapsed="false">
      <c r="B863" s="183" t="str">
        <f aca="false">IF($A863="","",IFERROR(VLOOKUP($A863,Skills!$A:$C,2,FALSE())&amp;" "&amp;VLOOKUP($A863,Skills!$A:$C,3,FALSE()),"Marsridge Holtgate"))</f>
        <v/>
      </c>
      <c r="C863" s="184" t="n">
        <f aca="false">IFERROR(VLOOKUP(A863,Skills!$A:$D,4,FALSE()),"")</f>
        <v>0</v>
      </c>
      <c r="D863" s="210"/>
      <c r="E863" s="211"/>
      <c r="G863" s="186" t="str">
        <f aca="false">IF(F863="","",WORKDAY(F863-1,E863+IF(I863="",0,I863)))</f>
        <v/>
      </c>
      <c r="I863" s="210"/>
      <c r="J863" s="212" t="str">
        <f aca="true">IF(F863="","",MIN(E863,MAX(0,NETWORKDAYS(F863,TODAY())-IF(I863="",0,I863))))</f>
        <v/>
      </c>
      <c r="K863" s="213" t="str">
        <f aca="true">IF(F863="","",MAX(0,E863-(NETWORKDAYS(F863,TODAY())-IF(I863="",0,I863))))</f>
        <v/>
      </c>
      <c r="L863" s="214"/>
      <c r="M863" s="214" t="str">
        <f aca="true">IFERROR(IF(OR(J863="",J863&lt;=0),"",IF(TODAY()&gt;G863,1,IF(J863-1=0,0,INDEX(OBJECTIVES!$Q$2:$Q$8,MATCH(J863-1,OBJECTIVES!$N$2:$N$8,0))))),"")</f>
        <v/>
      </c>
      <c r="N863" s="214" t="str">
        <f aca="false">IF(OR(M863="",L863=""),"",L863-M863)</f>
        <v/>
      </c>
      <c r="O863" s="212" t="str">
        <f aca="false">IF($P863&lt;&gt;"",$P863,IF(N863="","",IF(N863&lt;=-0.12,"P1",IF(N863&lt;=-0.06,"P2","P3"))))</f>
        <v/>
      </c>
      <c r="Q863" s="0" t="str">
        <f aca="true">IF(F863="","",IF(H863&lt;&gt;"","Terminé",IF(F863&gt;TODAY(),"À venir",IF(G863&lt;TODAY(),"Terminé","En cours"))))</f>
        <v/>
      </c>
      <c r="V863" s="0" t="str">
        <f aca="false">IF(Q863="Terminé",IF(AND(F863&lt;&gt;"",H863&lt;&gt;""),NETWORKDAYS(F863,H863),E863),"")</f>
        <v/>
      </c>
      <c r="W863" s="215" t="str">
        <f aca="false">IF($A863="","",IF(COUNTIF(Skills!$A:$A,$A863)=0,"⚠ ID absent du roster",""))</f>
        <v/>
      </c>
      <c r="X863" s="212"/>
    </row>
    <row r="864" customFormat="false" ht="15" hidden="true" customHeight="true" outlineLevel="0" collapsed="false">
      <c r="B864" s="183" t="str">
        <f aca="false">IF($A864="","",IFERROR(VLOOKUP($A864,Skills!$A:$C,2,FALSE())&amp;" "&amp;VLOOKUP($A864,Skills!$A:$C,3,FALSE()),"Marsridge Holtgate"))</f>
        <v/>
      </c>
      <c r="C864" s="184" t="n">
        <f aca="false">IFERROR(VLOOKUP(A864,Skills!$A:$D,4,FALSE()),"")</f>
        <v>0</v>
      </c>
      <c r="D864" s="210"/>
      <c r="E864" s="211"/>
      <c r="G864" s="186" t="str">
        <f aca="false">IF(F864="","",WORKDAY(F864-1,E864+IF(I864="",0,I864)))</f>
        <v/>
      </c>
      <c r="I864" s="210"/>
      <c r="J864" s="212" t="str">
        <f aca="true">IF(F864="","",MIN(E864,MAX(0,NETWORKDAYS(F864,TODAY())-IF(I864="",0,I864))))</f>
        <v/>
      </c>
      <c r="K864" s="213" t="str">
        <f aca="true">IF(F864="","",MAX(0,E864-(NETWORKDAYS(F864,TODAY())-IF(I864="",0,I864))))</f>
        <v/>
      </c>
      <c r="L864" s="214"/>
      <c r="M864" s="214" t="str">
        <f aca="true">IFERROR(IF(OR(J864="",J864&lt;=0),"",IF(TODAY()&gt;G864,1,IF(J864-1=0,0,INDEX(OBJECTIVES!$Q$2:$Q$8,MATCH(J864-1,OBJECTIVES!$N$2:$N$8,0))))),"")</f>
        <v/>
      </c>
      <c r="N864" s="214" t="str">
        <f aca="false">IF(OR(M864="",L864=""),"",L864-M864)</f>
        <v/>
      </c>
      <c r="O864" s="212" t="str">
        <f aca="false">IF($P864&lt;&gt;"",$P864,IF(N864="","",IF(N864&lt;=-0.12,"P1",IF(N864&lt;=-0.06,"P2","P3"))))</f>
        <v/>
      </c>
      <c r="Q864" s="0" t="str">
        <f aca="true">IF(F864="","",IF(H864&lt;&gt;"","Terminé",IF(F864&gt;TODAY(),"À venir",IF(G864&lt;TODAY(),"Terminé","En cours"))))</f>
        <v/>
      </c>
      <c r="V864" s="0" t="str">
        <f aca="false">IF(Q864="Terminé",IF(AND(F864&lt;&gt;"",H864&lt;&gt;""),NETWORKDAYS(F864,H864),E864),"")</f>
        <v/>
      </c>
      <c r="W864" s="215" t="str">
        <f aca="false">IF($A864="","",IF(COUNTIF(Skills!$A:$A,$A864)=0,"⚠ ID absent du roster",""))</f>
        <v/>
      </c>
      <c r="X864" s="212"/>
    </row>
    <row r="865" customFormat="false" ht="15" hidden="true" customHeight="true" outlineLevel="0" collapsed="false">
      <c r="B865" s="183" t="str">
        <f aca="false">IF($A865="","",IFERROR(VLOOKUP($A865,Skills!$A:$C,2,FALSE())&amp;" "&amp;VLOOKUP($A865,Skills!$A:$C,3,FALSE()),"Marsridge Holtgate"))</f>
        <v/>
      </c>
      <c r="C865" s="184" t="n">
        <f aca="false">IFERROR(VLOOKUP(A865,Skills!$A:$D,4,FALSE()),"")</f>
        <v>0</v>
      </c>
      <c r="D865" s="210"/>
      <c r="E865" s="211"/>
      <c r="G865" s="186" t="str">
        <f aca="false">IF(F865="","",WORKDAY(F865-1,E865+IF(I865="",0,I865)))</f>
        <v/>
      </c>
      <c r="I865" s="210"/>
      <c r="J865" s="212" t="str">
        <f aca="true">IF(F865="","",MIN(E865,MAX(0,NETWORKDAYS(F865,TODAY())-IF(I865="",0,I865))))</f>
        <v/>
      </c>
      <c r="K865" s="213" t="str">
        <f aca="true">IF(F865="","",MAX(0,E865-(NETWORKDAYS(F865,TODAY())-IF(I865="",0,I865))))</f>
        <v/>
      </c>
      <c r="L865" s="214"/>
      <c r="M865" s="214" t="str">
        <f aca="true">IFERROR(IF(OR(J865="",J865&lt;=0),"",IF(TODAY()&gt;G865,1,IF(J865-1=0,0,INDEX(OBJECTIVES!$Q$2:$Q$8,MATCH(J865-1,OBJECTIVES!$N$2:$N$8,0))))),"")</f>
        <v/>
      </c>
      <c r="N865" s="214" t="str">
        <f aca="false">IF(OR(M865="",L865=""),"",L865-M865)</f>
        <v/>
      </c>
      <c r="O865" s="212" t="str">
        <f aca="false">IF($P865&lt;&gt;"",$P865,IF(N865="","",IF(N865&lt;=-0.12,"P1",IF(N865&lt;=-0.06,"P2","P3"))))</f>
        <v/>
      </c>
      <c r="Q865" s="0" t="str">
        <f aca="true">IF(F865="","",IF(H865&lt;&gt;"","Terminé",IF(F865&gt;TODAY(),"À venir",IF(G865&lt;TODAY(),"Terminé","En cours"))))</f>
        <v/>
      </c>
      <c r="V865" s="0" t="str">
        <f aca="false">IF(Q865="Terminé",IF(AND(F865&lt;&gt;"",H865&lt;&gt;""),NETWORKDAYS(F865,H865),E865),"")</f>
        <v/>
      </c>
      <c r="W865" s="215" t="str">
        <f aca="false">IF($A865="","",IF(COUNTIF(Skills!$A:$A,$A865)=0,"⚠ ID absent du roster",""))</f>
        <v/>
      </c>
      <c r="X865" s="212"/>
    </row>
    <row r="866" customFormat="false" ht="15" hidden="true" customHeight="true" outlineLevel="0" collapsed="false">
      <c r="B866" s="183" t="str">
        <f aca="false">IF($A866="","",IFERROR(VLOOKUP($A866,Skills!$A:$C,2,FALSE())&amp;" "&amp;VLOOKUP($A866,Skills!$A:$C,3,FALSE()),"Marsridge Holtgate"))</f>
        <v/>
      </c>
      <c r="C866" s="184" t="n">
        <f aca="false">IFERROR(VLOOKUP(A866,Skills!$A:$D,4,FALSE()),"")</f>
        <v>0</v>
      </c>
      <c r="D866" s="210"/>
      <c r="E866" s="211"/>
      <c r="G866" s="186" t="str">
        <f aca="false">IF(F866="","",WORKDAY(F866-1,E866+IF(I866="",0,I866)))</f>
        <v/>
      </c>
      <c r="I866" s="210"/>
      <c r="J866" s="212" t="str">
        <f aca="true">IF(F866="","",MIN(E866,MAX(0,NETWORKDAYS(F866,TODAY())-IF(I866="",0,I866))))</f>
        <v/>
      </c>
      <c r="K866" s="213" t="str">
        <f aca="true">IF(F866="","",MAX(0,E866-(NETWORKDAYS(F866,TODAY())-IF(I866="",0,I866))))</f>
        <v/>
      </c>
      <c r="L866" s="214"/>
      <c r="M866" s="214" t="str">
        <f aca="true">IFERROR(IF(OR(J866="",J866&lt;=0),"",IF(TODAY()&gt;G866,1,IF(J866-1=0,0,INDEX(OBJECTIVES!$Q$2:$Q$8,MATCH(J866-1,OBJECTIVES!$N$2:$N$8,0))))),"")</f>
        <v/>
      </c>
      <c r="N866" s="214" t="str">
        <f aca="false">IF(OR(M866="",L866=""),"",L866-M866)</f>
        <v/>
      </c>
      <c r="O866" s="212" t="str">
        <f aca="false">IF($P866&lt;&gt;"",$P866,IF(N866="","",IF(N866&lt;=-0.12,"P1",IF(N866&lt;=-0.06,"P2","P3"))))</f>
        <v/>
      </c>
      <c r="Q866" s="0" t="str">
        <f aca="true">IF(F866="","",IF(H866&lt;&gt;"","Terminé",IF(F866&gt;TODAY(),"À venir",IF(G866&lt;TODAY(),"Terminé","En cours"))))</f>
        <v/>
      </c>
      <c r="V866" s="0" t="str">
        <f aca="false">IF(Q866="Terminé",IF(AND(F866&lt;&gt;"",H866&lt;&gt;""),NETWORKDAYS(F866,H866),E866),"")</f>
        <v/>
      </c>
      <c r="W866" s="215" t="str">
        <f aca="false">IF($A866="","",IF(COUNTIF(Skills!$A:$A,$A866)=0,"⚠ ID absent du roster",""))</f>
        <v/>
      </c>
      <c r="X866" s="212"/>
    </row>
    <row r="867" customFormat="false" ht="15" hidden="true" customHeight="true" outlineLevel="0" collapsed="false">
      <c r="B867" s="183" t="str">
        <f aca="false">IF($A867="","",IFERROR(VLOOKUP($A867,Skills!$A:$C,2,FALSE())&amp;" "&amp;VLOOKUP($A867,Skills!$A:$C,3,FALSE()),"Marsridge Holtgate"))</f>
        <v/>
      </c>
      <c r="C867" s="184" t="n">
        <f aca="false">IFERROR(VLOOKUP(A867,Skills!$A:$D,4,FALSE()),"")</f>
        <v>0</v>
      </c>
      <c r="D867" s="210"/>
      <c r="E867" s="211"/>
      <c r="G867" s="186" t="str">
        <f aca="false">IF(F867="","",WORKDAY(F867-1,E867+IF(I867="",0,I867)))</f>
        <v/>
      </c>
      <c r="I867" s="210"/>
      <c r="J867" s="212" t="str">
        <f aca="true">IF(F867="","",MIN(E867,MAX(0,NETWORKDAYS(F867,TODAY())-IF(I867="",0,I867))))</f>
        <v/>
      </c>
      <c r="K867" s="213" t="str">
        <f aca="true">IF(F867="","",MAX(0,E867-(NETWORKDAYS(F867,TODAY())-IF(I867="",0,I867))))</f>
        <v/>
      </c>
      <c r="L867" s="214"/>
      <c r="M867" s="214" t="str">
        <f aca="true">IFERROR(IF(OR(J867="",J867&lt;=0),"",IF(TODAY()&gt;G867,1,IF(J867-1=0,0,INDEX(OBJECTIVES!$Q$2:$Q$8,MATCH(J867-1,OBJECTIVES!$N$2:$N$8,0))))),"")</f>
        <v/>
      </c>
      <c r="N867" s="214" t="str">
        <f aca="false">IF(OR(M867="",L867=""),"",L867-M867)</f>
        <v/>
      </c>
      <c r="O867" s="212" t="str">
        <f aca="false">IF($P867&lt;&gt;"",$P867,IF(N867="","",IF(N867&lt;=-0.12,"P1",IF(N867&lt;=-0.06,"P2","P3"))))</f>
        <v/>
      </c>
      <c r="Q867" s="0" t="str">
        <f aca="true">IF(F867="","",IF(H867&lt;&gt;"","Terminé",IF(F867&gt;TODAY(),"À venir",IF(G867&lt;TODAY(),"Terminé","En cours"))))</f>
        <v/>
      </c>
      <c r="V867" s="0" t="str">
        <f aca="false">IF(Q867="Terminé",IF(AND(F867&lt;&gt;"",H867&lt;&gt;""),NETWORKDAYS(F867,H867),E867),"")</f>
        <v/>
      </c>
      <c r="W867" s="215" t="str">
        <f aca="false">IF($A867="","",IF(COUNTIF(Skills!$A:$A,$A867)=0,"⚠ ID absent du roster",""))</f>
        <v/>
      </c>
      <c r="X867" s="212"/>
    </row>
    <row r="868" customFormat="false" ht="15" hidden="true" customHeight="true" outlineLevel="0" collapsed="false">
      <c r="B868" s="183" t="str">
        <f aca="false">IF($A868="","",IFERROR(VLOOKUP($A868,Skills!$A:$C,2,FALSE())&amp;" "&amp;VLOOKUP($A868,Skills!$A:$C,3,FALSE()),"Marsridge Holtgate"))</f>
        <v/>
      </c>
      <c r="C868" s="184" t="n">
        <f aca="false">IFERROR(VLOOKUP(A868,Skills!$A:$D,4,FALSE()),"")</f>
        <v>0</v>
      </c>
      <c r="D868" s="210"/>
      <c r="E868" s="211"/>
      <c r="G868" s="186" t="str">
        <f aca="false">IF(F868="","",WORKDAY(F868-1,E868+IF(I868="",0,I868)))</f>
        <v/>
      </c>
      <c r="I868" s="210"/>
      <c r="J868" s="212" t="str">
        <f aca="true">IF(F868="","",MIN(E868,MAX(0,NETWORKDAYS(F868,TODAY())-IF(I868="",0,I868))))</f>
        <v/>
      </c>
      <c r="K868" s="213" t="str">
        <f aca="true">IF(F868="","",MAX(0,E868-(NETWORKDAYS(F868,TODAY())-IF(I868="",0,I868))))</f>
        <v/>
      </c>
      <c r="L868" s="214"/>
      <c r="M868" s="214" t="str">
        <f aca="true">IFERROR(IF(OR(J868="",J868&lt;=0),"",IF(TODAY()&gt;G868,1,IF(J868-1=0,0,INDEX(OBJECTIVES!$Q$2:$Q$8,MATCH(J868-1,OBJECTIVES!$N$2:$N$8,0))))),"")</f>
        <v/>
      </c>
      <c r="N868" s="214" t="str">
        <f aca="false">IF(OR(M868="",L868=""),"",L868-M868)</f>
        <v/>
      </c>
      <c r="O868" s="212" t="str">
        <f aca="false">IF($P868&lt;&gt;"",$P868,IF(N868="","",IF(N868&lt;=-0.12,"P1",IF(N868&lt;=-0.06,"P2","P3"))))</f>
        <v/>
      </c>
      <c r="Q868" s="0" t="str">
        <f aca="true">IF(F868="","",IF(H868&lt;&gt;"","Terminé",IF(F868&gt;TODAY(),"À venir",IF(G868&lt;TODAY(),"Terminé","En cours"))))</f>
        <v/>
      </c>
      <c r="V868" s="0" t="str">
        <f aca="false">IF(Q868="Terminé",IF(AND(F868&lt;&gt;"",H868&lt;&gt;""),NETWORKDAYS(F868,H868),E868),"")</f>
        <v/>
      </c>
      <c r="W868" s="215" t="str">
        <f aca="false">IF($A868="","",IF(COUNTIF(Skills!$A:$A,$A868)=0,"⚠ ID absent du roster",""))</f>
        <v/>
      </c>
      <c r="X868" s="212"/>
    </row>
    <row r="869" customFormat="false" ht="15" hidden="true" customHeight="true" outlineLevel="0" collapsed="false">
      <c r="B869" s="183" t="str">
        <f aca="false">IF($A869="","",IFERROR(VLOOKUP($A869,Skills!$A:$C,2,FALSE())&amp;" "&amp;VLOOKUP($A869,Skills!$A:$C,3,FALSE()),"Marsridge Holtgate"))</f>
        <v/>
      </c>
      <c r="C869" s="184" t="n">
        <f aca="false">IFERROR(VLOOKUP(A869,Skills!$A:$D,4,FALSE()),"")</f>
        <v>0</v>
      </c>
      <c r="D869" s="210"/>
      <c r="E869" s="211"/>
      <c r="G869" s="186" t="str">
        <f aca="false">IF(F869="","",WORKDAY(F869-1,E869+IF(I869="",0,I869)))</f>
        <v/>
      </c>
      <c r="I869" s="210"/>
      <c r="J869" s="212" t="str">
        <f aca="true">IF(F869="","",MIN(E869,MAX(0,NETWORKDAYS(F869,TODAY())-IF(I869="",0,I869))))</f>
        <v/>
      </c>
      <c r="K869" s="213" t="str">
        <f aca="true">IF(F869="","",MAX(0,E869-(NETWORKDAYS(F869,TODAY())-IF(I869="",0,I869))))</f>
        <v/>
      </c>
      <c r="L869" s="214"/>
      <c r="M869" s="214" t="str">
        <f aca="true">IFERROR(IF(OR(J869="",J869&lt;=0),"",IF(TODAY()&gt;G869,1,IF(J869-1=0,0,INDEX(OBJECTIVES!$Q$2:$Q$8,MATCH(J869-1,OBJECTIVES!$N$2:$N$8,0))))),"")</f>
        <v/>
      </c>
      <c r="N869" s="214" t="str">
        <f aca="false">IF(OR(M869="",L869=""),"",L869-M869)</f>
        <v/>
      </c>
      <c r="O869" s="212" t="str">
        <f aca="false">IF($P869&lt;&gt;"",$P869,IF(N869="","",IF(N869&lt;=-0.12,"P1",IF(N869&lt;=-0.06,"P2","P3"))))</f>
        <v/>
      </c>
      <c r="Q869" s="0" t="str">
        <f aca="true">IF(F869="","",IF(H869&lt;&gt;"","Terminé",IF(F869&gt;TODAY(),"À venir",IF(G869&lt;TODAY(),"Terminé","En cours"))))</f>
        <v/>
      </c>
      <c r="V869" s="0" t="str">
        <f aca="false">IF(Q869="Terminé",IF(AND(F869&lt;&gt;"",H869&lt;&gt;""),NETWORKDAYS(F869,H869),E869),"")</f>
        <v/>
      </c>
      <c r="W869" s="215" t="str">
        <f aca="false">IF($A869="","",IF(COUNTIF(Skills!$A:$A,$A869)=0,"⚠ ID absent du roster",""))</f>
        <v/>
      </c>
      <c r="X869" s="212"/>
    </row>
    <row r="870" customFormat="false" ht="15" hidden="true" customHeight="true" outlineLevel="0" collapsed="false">
      <c r="B870" s="183" t="str">
        <f aca="false">IF($A870="","",IFERROR(VLOOKUP($A870,Skills!$A:$C,2,FALSE())&amp;" "&amp;VLOOKUP($A870,Skills!$A:$C,3,FALSE()),"Marsridge Holtgate"))</f>
        <v/>
      </c>
      <c r="C870" s="184" t="n">
        <f aca="false">IFERROR(VLOOKUP(A870,Skills!$A:$D,4,FALSE()),"")</f>
        <v>0</v>
      </c>
      <c r="D870" s="210"/>
      <c r="E870" s="211"/>
      <c r="G870" s="186" t="str">
        <f aca="false">IF(F870="","",WORKDAY(F870-1,E870+IF(I870="",0,I870)))</f>
        <v/>
      </c>
      <c r="I870" s="210"/>
      <c r="J870" s="212" t="str">
        <f aca="true">IF(F870="","",MIN(E870,MAX(0,NETWORKDAYS(F870,TODAY())-IF(I870="",0,I870))))</f>
        <v/>
      </c>
      <c r="K870" s="213" t="str">
        <f aca="true">IF(F870="","",MAX(0,E870-(NETWORKDAYS(F870,TODAY())-IF(I870="",0,I870))))</f>
        <v/>
      </c>
      <c r="L870" s="214"/>
      <c r="M870" s="214" t="str">
        <f aca="true">IFERROR(IF(OR(J870="",J870&lt;=0),"",IF(TODAY()&gt;G870,1,IF(J870-1=0,0,INDEX(OBJECTIVES!$Q$2:$Q$8,MATCH(J870-1,OBJECTIVES!$N$2:$N$8,0))))),"")</f>
        <v/>
      </c>
      <c r="N870" s="214" t="str">
        <f aca="false">IF(OR(M870="",L870=""),"",L870-M870)</f>
        <v/>
      </c>
      <c r="O870" s="212" t="str">
        <f aca="false">IF($P870&lt;&gt;"",$P870,IF(N870="","",IF(N870&lt;=-0.12,"P1",IF(N870&lt;=-0.06,"P2","P3"))))</f>
        <v/>
      </c>
      <c r="Q870" s="0" t="str">
        <f aca="true">IF(F870="","",IF(H870&lt;&gt;"","Terminé",IF(F870&gt;TODAY(),"À venir",IF(G870&lt;TODAY(),"Terminé","En cours"))))</f>
        <v/>
      </c>
      <c r="V870" s="0" t="str">
        <f aca="false">IF(Q870="Terminé",IF(AND(F870&lt;&gt;"",H870&lt;&gt;""),NETWORKDAYS(F870,H870),E870),"")</f>
        <v/>
      </c>
      <c r="W870" s="215" t="str">
        <f aca="false">IF($A870="","",IF(COUNTIF(Skills!$A:$A,$A870)=0,"⚠ ID absent du roster",""))</f>
        <v/>
      </c>
      <c r="X870" s="212"/>
    </row>
    <row r="871" customFormat="false" ht="15" hidden="true" customHeight="true" outlineLevel="0" collapsed="false">
      <c r="B871" s="183" t="str">
        <f aca="false">IF($A871="","",IFERROR(VLOOKUP($A871,Skills!$A:$C,2,FALSE())&amp;" "&amp;VLOOKUP($A871,Skills!$A:$C,3,FALSE()),"Marsridge Holtgate"))</f>
        <v/>
      </c>
      <c r="C871" s="184" t="n">
        <f aca="false">IFERROR(VLOOKUP(A871,Skills!$A:$D,4,FALSE()),"")</f>
        <v>0</v>
      </c>
      <c r="D871" s="210"/>
      <c r="E871" s="211"/>
      <c r="G871" s="186" t="str">
        <f aca="false">IF(F871="","",WORKDAY(F871-1,E871+IF(I871="",0,I871)))</f>
        <v/>
      </c>
      <c r="I871" s="210"/>
      <c r="J871" s="212" t="str">
        <f aca="true">IF(F871="","",MIN(E871,MAX(0,NETWORKDAYS(F871,TODAY())-IF(I871="",0,I871))))</f>
        <v/>
      </c>
      <c r="K871" s="213" t="str">
        <f aca="true">IF(F871="","",MAX(0,E871-(NETWORKDAYS(F871,TODAY())-IF(I871="",0,I871))))</f>
        <v/>
      </c>
      <c r="L871" s="214"/>
      <c r="M871" s="214" t="str">
        <f aca="true">IFERROR(IF(OR(J871="",J871&lt;=0),"",IF(TODAY()&gt;G871,1,IF(J871-1=0,0,INDEX(OBJECTIVES!$Q$2:$Q$8,MATCH(J871-1,OBJECTIVES!$N$2:$N$8,0))))),"")</f>
        <v/>
      </c>
      <c r="N871" s="214" t="str">
        <f aca="false">IF(OR(M871="",L871=""),"",L871-M871)</f>
        <v/>
      </c>
      <c r="O871" s="212" t="str">
        <f aca="false">IF($P871&lt;&gt;"",$P871,IF(N871="","",IF(N871&lt;=-0.12,"P1",IF(N871&lt;=-0.06,"P2","P3"))))</f>
        <v/>
      </c>
      <c r="Q871" s="0" t="str">
        <f aca="true">IF(F871="","",IF(H871&lt;&gt;"","Terminé",IF(F871&gt;TODAY(),"À venir",IF(G871&lt;TODAY(),"Terminé","En cours"))))</f>
        <v/>
      </c>
      <c r="V871" s="0" t="str">
        <f aca="false">IF(Q871="Terminé",IF(AND(F871&lt;&gt;"",H871&lt;&gt;""),NETWORKDAYS(F871,H871),E871),"")</f>
        <v/>
      </c>
      <c r="W871" s="215" t="str">
        <f aca="false">IF($A871="","",IF(COUNTIF(Skills!$A:$A,$A871)=0,"⚠ ID absent du roster",""))</f>
        <v/>
      </c>
      <c r="X871" s="212"/>
    </row>
    <row r="872" customFormat="false" ht="15" hidden="true" customHeight="true" outlineLevel="0" collapsed="false">
      <c r="B872" s="183" t="str">
        <f aca="false">IF($A872="","",IFERROR(VLOOKUP($A872,Skills!$A:$C,2,FALSE())&amp;" "&amp;VLOOKUP($A872,Skills!$A:$C,3,FALSE()),"Marsridge Holtgate"))</f>
        <v/>
      </c>
      <c r="C872" s="184" t="n">
        <f aca="false">IFERROR(VLOOKUP(A872,Skills!$A:$D,4,FALSE()),"")</f>
        <v>0</v>
      </c>
      <c r="D872" s="210"/>
      <c r="E872" s="211"/>
      <c r="G872" s="186" t="str">
        <f aca="false">IF(F872="","",WORKDAY(F872-1,E872+IF(I872="",0,I872)))</f>
        <v/>
      </c>
      <c r="I872" s="210"/>
      <c r="J872" s="212" t="str">
        <f aca="true">IF(F872="","",MIN(E872,MAX(0,NETWORKDAYS(F872,TODAY())-IF(I872="",0,I872))))</f>
        <v/>
      </c>
      <c r="K872" s="213" t="str">
        <f aca="true">IF(F872="","",MAX(0,E872-(NETWORKDAYS(F872,TODAY())-IF(I872="",0,I872))))</f>
        <v/>
      </c>
      <c r="L872" s="214"/>
      <c r="M872" s="214" t="str">
        <f aca="true">IFERROR(IF(OR(J872="",J872&lt;=0),"",IF(TODAY()&gt;G872,1,IF(J872-1=0,0,INDEX(OBJECTIVES!$Q$2:$Q$8,MATCH(J872-1,OBJECTIVES!$N$2:$N$8,0))))),"")</f>
        <v/>
      </c>
      <c r="N872" s="214" t="str">
        <f aca="false">IF(OR(M872="",L872=""),"",L872-M872)</f>
        <v/>
      </c>
      <c r="O872" s="212" t="str">
        <f aca="false">IF($P872&lt;&gt;"",$P872,IF(N872="","",IF(N872&lt;=-0.12,"P1",IF(N872&lt;=-0.06,"P2","P3"))))</f>
        <v/>
      </c>
      <c r="Q872" s="0" t="str">
        <f aca="true">IF(F872="","",IF(H872&lt;&gt;"","Terminé",IF(F872&gt;TODAY(),"À venir",IF(G872&lt;TODAY(),"Terminé","En cours"))))</f>
        <v/>
      </c>
      <c r="V872" s="0" t="str">
        <f aca="false">IF(Q872="Terminé",IF(AND(F872&lt;&gt;"",H872&lt;&gt;""),NETWORKDAYS(F872,H872),E872),"")</f>
        <v/>
      </c>
      <c r="W872" s="215" t="str">
        <f aca="false">IF($A872="","",IF(COUNTIF(Skills!$A:$A,$A872)=0,"⚠ ID absent du roster",""))</f>
        <v/>
      </c>
      <c r="X872" s="212"/>
    </row>
    <row r="873" customFormat="false" ht="15" hidden="true" customHeight="true" outlineLevel="0" collapsed="false">
      <c r="B873" s="183" t="str">
        <f aca="false">IF($A873="","",IFERROR(VLOOKUP($A873,Skills!$A:$C,2,FALSE())&amp;" "&amp;VLOOKUP($A873,Skills!$A:$C,3,FALSE()),"Marsridge Holtgate"))</f>
        <v/>
      </c>
      <c r="C873" s="184" t="n">
        <f aca="false">IFERROR(VLOOKUP(A873,Skills!$A:$D,4,FALSE()),"")</f>
        <v>0</v>
      </c>
      <c r="D873" s="210"/>
      <c r="E873" s="211"/>
      <c r="G873" s="186" t="str">
        <f aca="false">IF(F873="","",WORKDAY(F873-1,E873+IF(I873="",0,I873)))</f>
        <v/>
      </c>
      <c r="I873" s="210"/>
      <c r="J873" s="212" t="str">
        <f aca="true">IF(F873="","",MIN(E873,MAX(0,NETWORKDAYS(F873,TODAY())-IF(I873="",0,I873))))</f>
        <v/>
      </c>
      <c r="K873" s="213" t="str">
        <f aca="true">IF(F873="","",MAX(0,E873-(NETWORKDAYS(F873,TODAY())-IF(I873="",0,I873))))</f>
        <v/>
      </c>
      <c r="L873" s="214"/>
      <c r="M873" s="214" t="str">
        <f aca="true">IFERROR(IF(OR(J873="",J873&lt;=0),"",IF(TODAY()&gt;G873,1,IF(J873-1=0,0,INDEX(OBJECTIVES!$Q$2:$Q$8,MATCH(J873-1,OBJECTIVES!$N$2:$N$8,0))))),"")</f>
        <v/>
      </c>
      <c r="N873" s="214" t="str">
        <f aca="false">IF(OR(M873="",L873=""),"",L873-M873)</f>
        <v/>
      </c>
      <c r="O873" s="212" t="str">
        <f aca="false">IF($P873&lt;&gt;"",$P873,IF(N873="","",IF(N873&lt;=-0.12,"P1",IF(N873&lt;=-0.06,"P2","P3"))))</f>
        <v/>
      </c>
      <c r="Q873" s="0" t="str">
        <f aca="true">IF(F873="","",IF(H873&lt;&gt;"","Terminé",IF(F873&gt;TODAY(),"À venir",IF(G873&lt;TODAY(),"Terminé","En cours"))))</f>
        <v/>
      </c>
      <c r="V873" s="0" t="str">
        <f aca="false">IF(Q873="Terminé",IF(AND(F873&lt;&gt;"",H873&lt;&gt;""),NETWORKDAYS(F873,H873),E873),"")</f>
        <v/>
      </c>
      <c r="W873" s="215" t="str">
        <f aca="false">IF($A873="","",IF(COUNTIF(Skills!$A:$A,$A873)=0,"⚠ ID absent du roster",""))</f>
        <v/>
      </c>
      <c r="X873" s="212"/>
    </row>
    <row r="874" customFormat="false" ht="15" hidden="true" customHeight="true" outlineLevel="0" collapsed="false">
      <c r="B874" s="183" t="str">
        <f aca="false">IF($A874="","",IFERROR(VLOOKUP($A874,Skills!$A:$C,2,FALSE())&amp;" "&amp;VLOOKUP($A874,Skills!$A:$C,3,FALSE()),"Marsridge Holtgate"))</f>
        <v/>
      </c>
      <c r="C874" s="184" t="n">
        <f aca="false">IFERROR(VLOOKUP(A874,Skills!$A:$D,4,FALSE()),"")</f>
        <v>0</v>
      </c>
      <c r="D874" s="210"/>
      <c r="E874" s="211"/>
      <c r="G874" s="186" t="str">
        <f aca="false">IF(F874="","",WORKDAY(F874-1,E874+IF(I874="",0,I874)))</f>
        <v/>
      </c>
      <c r="I874" s="210"/>
      <c r="J874" s="212" t="str">
        <f aca="true">IF(F874="","",MIN(E874,MAX(0,NETWORKDAYS(F874,TODAY())-IF(I874="",0,I874))))</f>
        <v/>
      </c>
      <c r="K874" s="213" t="str">
        <f aca="true">IF(F874="","",MAX(0,E874-(NETWORKDAYS(F874,TODAY())-IF(I874="",0,I874))))</f>
        <v/>
      </c>
      <c r="L874" s="214"/>
      <c r="M874" s="214" t="str">
        <f aca="true">IFERROR(IF(OR(J874="",J874&lt;=0),"",IF(TODAY()&gt;G874,1,IF(J874-1=0,0,INDEX(OBJECTIVES!$Q$2:$Q$8,MATCH(J874-1,OBJECTIVES!$N$2:$N$8,0))))),"")</f>
        <v/>
      </c>
      <c r="N874" s="214" t="str">
        <f aca="false">IF(OR(M874="",L874=""),"",L874-M874)</f>
        <v/>
      </c>
      <c r="O874" s="212" t="str">
        <f aca="false">IF($P874&lt;&gt;"",$P874,IF(N874="","",IF(N874&lt;=-0.12,"P1",IF(N874&lt;=-0.06,"P2","P3"))))</f>
        <v/>
      </c>
      <c r="Q874" s="0" t="str">
        <f aca="true">IF(F874="","",IF(H874&lt;&gt;"","Terminé",IF(F874&gt;TODAY(),"À venir",IF(G874&lt;TODAY(),"Terminé","En cours"))))</f>
        <v/>
      </c>
      <c r="V874" s="0" t="str">
        <f aca="false">IF(Q874="Terminé",IF(AND(F874&lt;&gt;"",H874&lt;&gt;""),NETWORKDAYS(F874,H874),E874),"")</f>
        <v/>
      </c>
      <c r="W874" s="215" t="str">
        <f aca="false">IF($A874="","",IF(COUNTIF(Skills!$A:$A,$A874)=0,"⚠ ID absent du roster",""))</f>
        <v/>
      </c>
      <c r="X874" s="212"/>
    </row>
    <row r="875" customFormat="false" ht="15" hidden="true" customHeight="true" outlineLevel="0" collapsed="false">
      <c r="B875" s="183" t="str">
        <f aca="false">IF($A875="","",IFERROR(VLOOKUP($A875,Skills!$A:$C,2,FALSE())&amp;" "&amp;VLOOKUP($A875,Skills!$A:$C,3,FALSE()),"Marsridge Holtgate"))</f>
        <v/>
      </c>
      <c r="C875" s="184" t="n">
        <f aca="false">IFERROR(VLOOKUP(A875,Skills!$A:$D,4,FALSE()),"")</f>
        <v>0</v>
      </c>
      <c r="D875" s="210"/>
      <c r="E875" s="211"/>
      <c r="G875" s="186" t="str">
        <f aca="false">IF(F875="","",WORKDAY(F875-1,E875+IF(I875="",0,I875)))</f>
        <v/>
      </c>
      <c r="I875" s="210"/>
      <c r="J875" s="212" t="str">
        <f aca="true">IF(F875="","",MIN(E875,MAX(0,NETWORKDAYS(F875,TODAY())-IF(I875="",0,I875))))</f>
        <v/>
      </c>
      <c r="K875" s="213" t="str">
        <f aca="true">IF(F875="","",MAX(0,E875-(NETWORKDAYS(F875,TODAY())-IF(I875="",0,I875))))</f>
        <v/>
      </c>
      <c r="L875" s="214"/>
      <c r="M875" s="214" t="str">
        <f aca="true">IFERROR(IF(OR(J875="",J875&lt;=0),"",IF(TODAY()&gt;G875,1,IF(J875-1=0,0,INDEX(OBJECTIVES!$Q$2:$Q$8,MATCH(J875-1,OBJECTIVES!$N$2:$N$8,0))))),"")</f>
        <v/>
      </c>
      <c r="N875" s="214" t="str">
        <f aca="false">IF(OR(M875="",L875=""),"",L875-M875)</f>
        <v/>
      </c>
      <c r="O875" s="212" t="str">
        <f aca="false">IF($P875&lt;&gt;"",$P875,IF(N875="","",IF(N875&lt;=-0.12,"P1",IF(N875&lt;=-0.06,"P2","P3"))))</f>
        <v/>
      </c>
      <c r="Q875" s="0" t="str">
        <f aca="true">IF(F875="","",IF(H875&lt;&gt;"","Terminé",IF(F875&gt;TODAY(),"À venir",IF(G875&lt;TODAY(),"Terminé","En cours"))))</f>
        <v/>
      </c>
      <c r="V875" s="0" t="str">
        <f aca="false">IF(Q875="Terminé",IF(AND(F875&lt;&gt;"",H875&lt;&gt;""),NETWORKDAYS(F875,H875),E875),"")</f>
        <v/>
      </c>
      <c r="W875" s="215" t="str">
        <f aca="false">IF($A875="","",IF(COUNTIF(Skills!$A:$A,$A875)=0,"⚠ ID absent du roster",""))</f>
        <v/>
      </c>
      <c r="X875" s="212"/>
    </row>
    <row r="876" customFormat="false" ht="15" hidden="true" customHeight="true" outlineLevel="0" collapsed="false">
      <c r="B876" s="183" t="str">
        <f aca="false">IF($A876="","",IFERROR(VLOOKUP($A876,Skills!$A:$C,2,FALSE())&amp;" "&amp;VLOOKUP($A876,Skills!$A:$C,3,FALSE()),"Marsridge Holtgate"))</f>
        <v/>
      </c>
      <c r="C876" s="184" t="n">
        <f aca="false">IFERROR(VLOOKUP(A876,Skills!$A:$D,4,FALSE()),"")</f>
        <v>0</v>
      </c>
      <c r="D876" s="210"/>
      <c r="E876" s="211"/>
      <c r="G876" s="186" t="str">
        <f aca="false">IF(F876="","",WORKDAY(F876-1,E876+IF(I876="",0,I876)))</f>
        <v/>
      </c>
      <c r="I876" s="210"/>
      <c r="J876" s="212" t="str">
        <f aca="true">IF(F876="","",MIN(E876,MAX(0,NETWORKDAYS(F876,TODAY())-IF(I876="",0,I876))))</f>
        <v/>
      </c>
      <c r="K876" s="213" t="str">
        <f aca="true">IF(F876="","",MAX(0,E876-(NETWORKDAYS(F876,TODAY())-IF(I876="",0,I876))))</f>
        <v/>
      </c>
      <c r="L876" s="214"/>
      <c r="M876" s="214" t="str">
        <f aca="true">IFERROR(IF(OR(J876="",J876&lt;=0),"",IF(TODAY()&gt;G876,1,IF(J876-1=0,0,INDEX(OBJECTIVES!$Q$2:$Q$8,MATCH(J876-1,OBJECTIVES!$N$2:$N$8,0))))),"")</f>
        <v/>
      </c>
      <c r="N876" s="214" t="str">
        <f aca="false">IF(OR(M876="",L876=""),"",L876-M876)</f>
        <v/>
      </c>
      <c r="O876" s="212" t="str">
        <f aca="false">IF($P876&lt;&gt;"",$P876,IF(N876="","",IF(N876&lt;=-0.12,"P1",IF(N876&lt;=-0.06,"P2","P3"))))</f>
        <v/>
      </c>
      <c r="Q876" s="0" t="str">
        <f aca="true">IF(F876="","",IF(H876&lt;&gt;"","Terminé",IF(F876&gt;TODAY(),"À venir",IF(G876&lt;TODAY(),"Terminé","En cours"))))</f>
        <v/>
      </c>
      <c r="V876" s="0" t="str">
        <f aca="false">IF(Q876="Terminé",IF(AND(F876&lt;&gt;"",H876&lt;&gt;""),NETWORKDAYS(F876,H876),E876),"")</f>
        <v/>
      </c>
      <c r="W876" s="215" t="str">
        <f aca="false">IF($A876="","",IF(COUNTIF(Skills!$A:$A,$A876)=0,"⚠ ID absent du roster",""))</f>
        <v/>
      </c>
      <c r="X876" s="212"/>
    </row>
    <row r="877" customFormat="false" ht="15" hidden="true" customHeight="true" outlineLevel="0" collapsed="false">
      <c r="B877" s="183" t="str">
        <f aca="false">IF($A877="","",IFERROR(VLOOKUP($A877,Skills!$A:$C,2,FALSE())&amp;" "&amp;VLOOKUP($A877,Skills!$A:$C,3,FALSE()),"Marsridge Holtgate"))</f>
        <v/>
      </c>
      <c r="C877" s="184" t="n">
        <f aca="false">IFERROR(VLOOKUP(A877,Skills!$A:$D,4,FALSE()),"")</f>
        <v>0</v>
      </c>
      <c r="D877" s="210"/>
      <c r="E877" s="211"/>
      <c r="G877" s="186" t="str">
        <f aca="false">IF(F877="","",WORKDAY(F877-1,E877+IF(I877="",0,I877)))</f>
        <v/>
      </c>
      <c r="I877" s="210"/>
      <c r="J877" s="212" t="str">
        <f aca="true">IF(F877="","",MIN(E877,MAX(0,NETWORKDAYS(F877,TODAY())-IF(I877="",0,I877))))</f>
        <v/>
      </c>
      <c r="K877" s="213" t="str">
        <f aca="true">IF(F877="","",MAX(0,E877-(NETWORKDAYS(F877,TODAY())-IF(I877="",0,I877))))</f>
        <v/>
      </c>
      <c r="L877" s="214"/>
      <c r="M877" s="214" t="str">
        <f aca="true">IFERROR(IF(OR(J877="",J877&lt;=0),"",IF(TODAY()&gt;G877,1,IF(J877-1=0,0,INDEX(OBJECTIVES!$Q$2:$Q$8,MATCH(J877-1,OBJECTIVES!$N$2:$N$8,0))))),"")</f>
        <v/>
      </c>
      <c r="N877" s="214" t="str">
        <f aca="false">IF(OR(M877="",L877=""),"",L877-M877)</f>
        <v/>
      </c>
      <c r="O877" s="212" t="str">
        <f aca="false">IF($P877&lt;&gt;"",$P877,IF(N877="","",IF(N877&lt;=-0.12,"P1",IF(N877&lt;=-0.06,"P2","P3"))))</f>
        <v/>
      </c>
      <c r="Q877" s="0" t="str">
        <f aca="true">IF(F877="","",IF(H877&lt;&gt;"","Terminé",IF(F877&gt;TODAY(),"À venir",IF(G877&lt;TODAY(),"Terminé","En cours"))))</f>
        <v/>
      </c>
      <c r="V877" s="0" t="str">
        <f aca="false">IF(Q877="Terminé",IF(AND(F877&lt;&gt;"",H877&lt;&gt;""),NETWORKDAYS(F877,H877),E877),"")</f>
        <v/>
      </c>
      <c r="W877" s="215" t="str">
        <f aca="false">IF($A877="","",IF(COUNTIF(Skills!$A:$A,$A877)=0,"⚠ ID absent du roster",""))</f>
        <v/>
      </c>
      <c r="X877" s="212"/>
    </row>
    <row r="878" customFormat="false" ht="15" hidden="true" customHeight="true" outlineLevel="0" collapsed="false">
      <c r="B878" s="183" t="str">
        <f aca="false">IF($A878="","",IFERROR(VLOOKUP($A878,Skills!$A:$C,2,FALSE())&amp;" "&amp;VLOOKUP($A878,Skills!$A:$C,3,FALSE()),"Marsridge Holtgate"))</f>
        <v/>
      </c>
      <c r="C878" s="184" t="n">
        <f aca="false">IFERROR(VLOOKUP(A878,Skills!$A:$D,4,FALSE()),"")</f>
        <v>0</v>
      </c>
      <c r="D878" s="210"/>
      <c r="E878" s="211"/>
      <c r="G878" s="186" t="str">
        <f aca="false">IF(F878="","",WORKDAY(F878-1,E878+IF(I878="",0,I878)))</f>
        <v/>
      </c>
      <c r="I878" s="210"/>
      <c r="J878" s="212" t="str">
        <f aca="true">IF(F878="","",MIN(E878,MAX(0,NETWORKDAYS(F878,TODAY())-IF(I878="",0,I878))))</f>
        <v/>
      </c>
      <c r="K878" s="213" t="str">
        <f aca="true">IF(F878="","",MAX(0,E878-(NETWORKDAYS(F878,TODAY())-IF(I878="",0,I878))))</f>
        <v/>
      </c>
      <c r="L878" s="214"/>
      <c r="M878" s="214" t="str">
        <f aca="true">IFERROR(IF(OR(J878="",J878&lt;=0),"",IF(TODAY()&gt;G878,1,IF(J878-1=0,0,INDEX(OBJECTIVES!$Q$2:$Q$8,MATCH(J878-1,OBJECTIVES!$N$2:$N$8,0))))),"")</f>
        <v/>
      </c>
      <c r="N878" s="214" t="str">
        <f aca="false">IF(OR(M878="",L878=""),"",L878-M878)</f>
        <v/>
      </c>
      <c r="O878" s="212" t="str">
        <f aca="false">IF($P878&lt;&gt;"",$P878,IF(N878="","",IF(N878&lt;=-0.12,"P1",IF(N878&lt;=-0.06,"P2","P3"))))</f>
        <v/>
      </c>
      <c r="Q878" s="0" t="str">
        <f aca="true">IF(F878="","",IF(H878&lt;&gt;"","Terminé",IF(F878&gt;TODAY(),"À venir",IF(G878&lt;TODAY(),"Terminé","En cours"))))</f>
        <v/>
      </c>
      <c r="V878" s="0" t="str">
        <f aca="false">IF(Q878="Terminé",IF(AND(F878&lt;&gt;"",H878&lt;&gt;""),NETWORKDAYS(F878,H878),E878),"")</f>
        <v/>
      </c>
      <c r="W878" s="215" t="str">
        <f aca="false">IF($A878="","",IF(COUNTIF(Skills!$A:$A,$A878)=0,"⚠ ID absent du roster",""))</f>
        <v/>
      </c>
      <c r="X878" s="212"/>
    </row>
    <row r="879" customFormat="false" ht="15" hidden="true" customHeight="true" outlineLevel="0" collapsed="false">
      <c r="B879" s="183" t="str">
        <f aca="false">IF($A879="","",IFERROR(VLOOKUP($A879,Skills!$A:$C,2,FALSE())&amp;" "&amp;VLOOKUP($A879,Skills!$A:$C,3,FALSE()),"Marsridge Holtgate"))</f>
        <v/>
      </c>
      <c r="C879" s="184" t="n">
        <f aca="false">IFERROR(VLOOKUP(A879,Skills!$A:$D,4,FALSE()),"")</f>
        <v>0</v>
      </c>
      <c r="D879" s="210"/>
      <c r="E879" s="211"/>
      <c r="G879" s="186" t="str">
        <f aca="false">IF(F879="","",WORKDAY(F879-1,E879+IF(I879="",0,I879)))</f>
        <v/>
      </c>
      <c r="I879" s="210"/>
      <c r="J879" s="212" t="str">
        <f aca="true">IF(F879="","",MIN(E879,MAX(0,NETWORKDAYS(F879,TODAY())-IF(I879="",0,I879))))</f>
        <v/>
      </c>
      <c r="K879" s="213" t="str">
        <f aca="true">IF(F879="","",MAX(0,E879-(NETWORKDAYS(F879,TODAY())-IF(I879="",0,I879))))</f>
        <v/>
      </c>
      <c r="L879" s="214"/>
      <c r="M879" s="214" t="str">
        <f aca="true">IFERROR(IF(OR(J879="",J879&lt;=0),"",IF(TODAY()&gt;G879,1,IF(J879-1=0,0,INDEX(OBJECTIVES!$Q$2:$Q$8,MATCH(J879-1,OBJECTIVES!$N$2:$N$8,0))))),"")</f>
        <v/>
      </c>
      <c r="N879" s="214" t="str">
        <f aca="false">IF(OR(M879="",L879=""),"",L879-M879)</f>
        <v/>
      </c>
      <c r="O879" s="212" t="str">
        <f aca="false">IF($P879&lt;&gt;"",$P879,IF(N879="","",IF(N879&lt;=-0.12,"P1",IF(N879&lt;=-0.06,"P2","P3"))))</f>
        <v/>
      </c>
      <c r="Q879" s="0" t="str">
        <f aca="true">IF(F879="","",IF(H879&lt;&gt;"","Terminé",IF(F879&gt;TODAY(),"À venir",IF(G879&lt;TODAY(),"Terminé","En cours"))))</f>
        <v/>
      </c>
      <c r="V879" s="0" t="str">
        <f aca="false">IF(Q879="Terminé",IF(AND(F879&lt;&gt;"",H879&lt;&gt;""),NETWORKDAYS(F879,H879),E879),"")</f>
        <v/>
      </c>
      <c r="W879" s="215" t="str">
        <f aca="false">IF($A879="","",IF(COUNTIF(Skills!$A:$A,$A879)=0,"⚠ ID absent du roster",""))</f>
        <v/>
      </c>
      <c r="X879" s="212"/>
    </row>
    <row r="880" customFormat="false" ht="15" hidden="true" customHeight="true" outlineLevel="0" collapsed="false">
      <c r="B880" s="183" t="str">
        <f aca="false">IF($A880="","",IFERROR(VLOOKUP($A880,Skills!$A:$C,2,FALSE())&amp;" "&amp;VLOOKUP($A880,Skills!$A:$C,3,FALSE()),"Marsridge Holtgate"))</f>
        <v/>
      </c>
      <c r="C880" s="184" t="n">
        <f aca="false">IFERROR(VLOOKUP(A880,Skills!$A:$D,4,FALSE()),"")</f>
        <v>0</v>
      </c>
      <c r="D880" s="210"/>
      <c r="E880" s="211"/>
      <c r="G880" s="186" t="str">
        <f aca="false">IF(F880="","",WORKDAY(F880-1,E880+IF(I880="",0,I880)))</f>
        <v/>
      </c>
      <c r="I880" s="210"/>
      <c r="J880" s="212" t="str">
        <f aca="true">IF(F880="","",MIN(E880,MAX(0,NETWORKDAYS(F880,TODAY())-IF(I880="",0,I880))))</f>
        <v/>
      </c>
      <c r="K880" s="213" t="str">
        <f aca="true">IF(F880="","",MAX(0,E880-(NETWORKDAYS(F880,TODAY())-IF(I880="",0,I880))))</f>
        <v/>
      </c>
      <c r="L880" s="214"/>
      <c r="M880" s="214" t="str">
        <f aca="true">IFERROR(IF(OR(J880="",J880&lt;=0),"",IF(TODAY()&gt;G880,1,IF(J880-1=0,0,INDEX(OBJECTIVES!$Q$2:$Q$8,MATCH(J880-1,OBJECTIVES!$N$2:$N$8,0))))),"")</f>
        <v/>
      </c>
      <c r="N880" s="214" t="str">
        <f aca="false">IF(OR(M880="",L880=""),"",L880-M880)</f>
        <v/>
      </c>
      <c r="O880" s="212" t="str">
        <f aca="false">IF($P880&lt;&gt;"",$P880,IF(N880="","",IF(N880&lt;=-0.12,"P1",IF(N880&lt;=-0.06,"P2","P3"))))</f>
        <v/>
      </c>
      <c r="Q880" s="0" t="str">
        <f aca="true">IF(F880="","",IF(H880&lt;&gt;"","Terminé",IF(F880&gt;TODAY(),"À venir",IF(G880&lt;TODAY(),"Terminé","En cours"))))</f>
        <v/>
      </c>
      <c r="V880" s="0" t="str">
        <f aca="false">IF(Q880="Terminé",IF(AND(F880&lt;&gt;"",H880&lt;&gt;""),NETWORKDAYS(F880,H880),E880),"")</f>
        <v/>
      </c>
      <c r="W880" s="215" t="str">
        <f aca="false">IF($A880="","",IF(COUNTIF(Skills!$A:$A,$A880)=0,"⚠ ID absent du roster",""))</f>
        <v/>
      </c>
      <c r="X880" s="212"/>
    </row>
    <row r="881" customFormat="false" ht="15" hidden="true" customHeight="true" outlineLevel="0" collapsed="false">
      <c r="B881" s="183" t="str">
        <f aca="false">IF($A881="","",IFERROR(VLOOKUP($A881,Skills!$A:$C,2,FALSE())&amp;" "&amp;VLOOKUP($A881,Skills!$A:$C,3,FALSE()),"Marsridge Holtgate"))</f>
        <v/>
      </c>
      <c r="C881" s="184" t="n">
        <f aca="false">IFERROR(VLOOKUP(A881,Skills!$A:$D,4,FALSE()),"")</f>
        <v>0</v>
      </c>
      <c r="D881" s="210"/>
      <c r="E881" s="211"/>
      <c r="G881" s="186" t="str">
        <f aca="false">IF(F881="","",WORKDAY(F881-1,E881+IF(I881="",0,I881)))</f>
        <v/>
      </c>
      <c r="I881" s="210"/>
      <c r="J881" s="212" t="str">
        <f aca="true">IF(F881="","",MIN(E881,MAX(0,NETWORKDAYS(F881,TODAY())-IF(I881="",0,I881))))</f>
        <v/>
      </c>
      <c r="K881" s="213" t="str">
        <f aca="true">IF(F881="","",MAX(0,E881-(NETWORKDAYS(F881,TODAY())-IF(I881="",0,I881))))</f>
        <v/>
      </c>
      <c r="L881" s="214"/>
      <c r="M881" s="214" t="str">
        <f aca="true">IFERROR(IF(OR(J881="",J881&lt;=0),"",IF(TODAY()&gt;G881,1,IF(J881-1=0,0,INDEX(OBJECTIVES!$Q$2:$Q$8,MATCH(J881-1,OBJECTIVES!$N$2:$N$8,0))))),"")</f>
        <v/>
      </c>
      <c r="N881" s="214" t="str">
        <f aca="false">IF(OR(M881="",L881=""),"",L881-M881)</f>
        <v/>
      </c>
      <c r="O881" s="212" t="str">
        <f aca="false">IF($P881&lt;&gt;"",$P881,IF(N881="","",IF(N881&lt;=-0.12,"P1",IF(N881&lt;=-0.06,"P2","P3"))))</f>
        <v/>
      </c>
      <c r="Q881" s="0" t="str">
        <f aca="true">IF(F881="","",IF(H881&lt;&gt;"","Terminé",IF(F881&gt;TODAY(),"À venir",IF(G881&lt;TODAY(),"Terminé","En cours"))))</f>
        <v/>
      </c>
      <c r="V881" s="0" t="str">
        <f aca="false">IF(Q881="Terminé",IF(AND(F881&lt;&gt;"",H881&lt;&gt;""),NETWORKDAYS(F881,H881),E881),"")</f>
        <v/>
      </c>
      <c r="W881" s="215" t="str">
        <f aca="false">IF($A881="","",IF(COUNTIF(Skills!$A:$A,$A881)=0,"⚠ ID absent du roster",""))</f>
        <v/>
      </c>
      <c r="X881" s="212"/>
    </row>
    <row r="882" customFormat="false" ht="15" hidden="true" customHeight="true" outlineLevel="0" collapsed="false">
      <c r="B882" s="183" t="str">
        <f aca="false">IF($A882="","",IFERROR(VLOOKUP($A882,Skills!$A:$C,2,FALSE())&amp;" "&amp;VLOOKUP($A882,Skills!$A:$C,3,FALSE()),"Marsridge Holtgate"))</f>
        <v/>
      </c>
      <c r="C882" s="184" t="n">
        <f aca="false">IFERROR(VLOOKUP(A882,Skills!$A:$D,4,FALSE()),"")</f>
        <v>0</v>
      </c>
      <c r="D882" s="210"/>
      <c r="E882" s="211"/>
      <c r="G882" s="186" t="str">
        <f aca="false">IF(F882="","",WORKDAY(F882-1,E882+IF(I882="",0,I882)))</f>
        <v/>
      </c>
      <c r="I882" s="210"/>
      <c r="J882" s="212" t="str">
        <f aca="true">IF(F882="","",MIN(E882,MAX(0,NETWORKDAYS(F882,TODAY())-IF(I882="",0,I882))))</f>
        <v/>
      </c>
      <c r="K882" s="213" t="str">
        <f aca="true">IF(F882="","",MAX(0,E882-(NETWORKDAYS(F882,TODAY())-IF(I882="",0,I882))))</f>
        <v/>
      </c>
      <c r="L882" s="214"/>
      <c r="M882" s="214" t="str">
        <f aca="true">IFERROR(IF(OR(J882="",J882&lt;=0),"",IF(TODAY()&gt;G882,1,IF(J882-1=0,0,INDEX(OBJECTIVES!$Q$2:$Q$8,MATCH(J882-1,OBJECTIVES!$N$2:$N$8,0))))),"")</f>
        <v/>
      </c>
      <c r="N882" s="214" t="str">
        <f aca="false">IF(OR(M882="",L882=""),"",L882-M882)</f>
        <v/>
      </c>
      <c r="O882" s="212" t="str">
        <f aca="false">IF($P882&lt;&gt;"",$P882,IF(N882="","",IF(N882&lt;=-0.12,"P1",IF(N882&lt;=-0.06,"P2","P3"))))</f>
        <v/>
      </c>
      <c r="Q882" s="0" t="str">
        <f aca="true">IF(F882="","",IF(H882&lt;&gt;"","Terminé",IF(F882&gt;TODAY(),"À venir",IF(G882&lt;TODAY(),"Terminé","En cours"))))</f>
        <v/>
      </c>
      <c r="V882" s="0" t="str">
        <f aca="false">IF(Q882="Terminé",IF(AND(F882&lt;&gt;"",H882&lt;&gt;""),NETWORKDAYS(F882,H882),E882),"")</f>
        <v/>
      </c>
      <c r="W882" s="215" t="str">
        <f aca="false">IF($A882="","",IF(COUNTIF(Skills!$A:$A,$A882)=0,"⚠ ID absent du roster",""))</f>
        <v/>
      </c>
      <c r="X882" s="212"/>
    </row>
    <row r="883" customFormat="false" ht="15" hidden="true" customHeight="true" outlineLevel="0" collapsed="false">
      <c r="B883" s="183" t="str">
        <f aca="false">IF($A883="","",IFERROR(VLOOKUP($A883,Skills!$A:$C,2,FALSE())&amp;" "&amp;VLOOKUP($A883,Skills!$A:$C,3,FALSE()),"Marsridge Holtgate"))</f>
        <v/>
      </c>
      <c r="C883" s="184" t="n">
        <f aca="false">IFERROR(VLOOKUP(A883,Skills!$A:$D,4,FALSE()),"")</f>
        <v>0</v>
      </c>
      <c r="D883" s="210"/>
      <c r="E883" s="211"/>
      <c r="G883" s="186" t="str">
        <f aca="false">IF(F883="","",WORKDAY(F883-1,E883+IF(I883="",0,I883)))</f>
        <v/>
      </c>
      <c r="I883" s="210"/>
      <c r="J883" s="212" t="str">
        <f aca="true">IF(F883="","",MIN(E883,MAX(0,NETWORKDAYS(F883,TODAY())-IF(I883="",0,I883))))</f>
        <v/>
      </c>
      <c r="K883" s="213" t="str">
        <f aca="true">IF(F883="","",MAX(0,E883-(NETWORKDAYS(F883,TODAY())-IF(I883="",0,I883))))</f>
        <v/>
      </c>
      <c r="L883" s="214"/>
      <c r="M883" s="214" t="str">
        <f aca="true">IFERROR(IF(OR(J883="",J883&lt;=0),"",IF(TODAY()&gt;G883,1,IF(J883-1=0,0,INDEX(OBJECTIVES!$Q$2:$Q$8,MATCH(J883-1,OBJECTIVES!$N$2:$N$8,0))))),"")</f>
        <v/>
      </c>
      <c r="N883" s="214" t="str">
        <f aca="false">IF(OR(M883="",L883=""),"",L883-M883)</f>
        <v/>
      </c>
      <c r="O883" s="212" t="str">
        <f aca="false">IF($P883&lt;&gt;"",$P883,IF(N883="","",IF(N883&lt;=-0.12,"P1",IF(N883&lt;=-0.06,"P2","P3"))))</f>
        <v/>
      </c>
      <c r="Q883" s="0" t="str">
        <f aca="true">IF(F883="","",IF(H883&lt;&gt;"","Terminé",IF(F883&gt;TODAY(),"À venir",IF(G883&lt;TODAY(),"Terminé","En cours"))))</f>
        <v/>
      </c>
      <c r="V883" s="0" t="str">
        <f aca="false">IF(Q883="Terminé",IF(AND(F883&lt;&gt;"",H883&lt;&gt;""),NETWORKDAYS(F883,H883),E883),"")</f>
        <v/>
      </c>
      <c r="W883" s="215" t="str">
        <f aca="false">IF($A883="","",IF(COUNTIF(Skills!$A:$A,$A883)=0,"⚠ ID absent du roster",""))</f>
        <v/>
      </c>
      <c r="X883" s="212"/>
    </row>
    <row r="884" customFormat="false" ht="15" hidden="true" customHeight="true" outlineLevel="0" collapsed="false">
      <c r="B884" s="183" t="str">
        <f aca="false">IF($A884="","",IFERROR(VLOOKUP($A884,Skills!$A:$C,2,FALSE())&amp;" "&amp;VLOOKUP($A884,Skills!$A:$C,3,FALSE()),"Marsridge Holtgate"))</f>
        <v/>
      </c>
      <c r="C884" s="184" t="n">
        <f aca="false">IFERROR(VLOOKUP(A884,Skills!$A:$D,4,FALSE()),"")</f>
        <v>0</v>
      </c>
      <c r="D884" s="210"/>
      <c r="E884" s="211"/>
      <c r="G884" s="186" t="str">
        <f aca="false">IF(F884="","",WORKDAY(F884-1,E884+IF(I884="",0,I884)))</f>
        <v/>
      </c>
      <c r="I884" s="210"/>
      <c r="J884" s="212" t="str">
        <f aca="true">IF(F884="","",MIN(E884,MAX(0,NETWORKDAYS(F884,TODAY())-IF(I884="",0,I884))))</f>
        <v/>
      </c>
      <c r="K884" s="213" t="str">
        <f aca="true">IF(F884="","",MAX(0,E884-(NETWORKDAYS(F884,TODAY())-IF(I884="",0,I884))))</f>
        <v/>
      </c>
      <c r="L884" s="214"/>
      <c r="M884" s="214" t="str">
        <f aca="true">IFERROR(IF(OR(J884="",J884&lt;=0),"",IF(TODAY()&gt;G884,1,IF(J884-1=0,0,INDEX(OBJECTIVES!$Q$2:$Q$8,MATCH(J884-1,OBJECTIVES!$N$2:$N$8,0))))),"")</f>
        <v/>
      </c>
      <c r="N884" s="214" t="str">
        <f aca="false">IF(OR(M884="",L884=""),"",L884-M884)</f>
        <v/>
      </c>
      <c r="O884" s="212" t="str">
        <f aca="false">IF($P884&lt;&gt;"",$P884,IF(N884="","",IF(N884&lt;=-0.12,"P1",IF(N884&lt;=-0.06,"P2","P3"))))</f>
        <v/>
      </c>
      <c r="Q884" s="0" t="str">
        <f aca="true">IF(F884="","",IF(H884&lt;&gt;"","Terminé",IF(F884&gt;TODAY(),"À venir",IF(G884&lt;TODAY(),"Terminé","En cours"))))</f>
        <v/>
      </c>
      <c r="V884" s="0" t="str">
        <f aca="false">IF(Q884="Terminé",IF(AND(F884&lt;&gt;"",H884&lt;&gt;""),NETWORKDAYS(F884,H884),E884),"")</f>
        <v/>
      </c>
      <c r="W884" s="215" t="str">
        <f aca="false">IF($A884="","",IF(COUNTIF(Skills!$A:$A,$A884)=0,"⚠ ID absent du roster",""))</f>
        <v/>
      </c>
      <c r="X884" s="212"/>
    </row>
    <row r="885" customFormat="false" ht="15" hidden="true" customHeight="true" outlineLevel="0" collapsed="false">
      <c r="B885" s="183" t="str">
        <f aca="false">IF($A885="","",IFERROR(VLOOKUP($A885,Skills!$A:$C,2,FALSE())&amp;" "&amp;VLOOKUP($A885,Skills!$A:$C,3,FALSE()),"Marsridge Holtgate"))</f>
        <v/>
      </c>
      <c r="C885" s="184" t="n">
        <f aca="false">IFERROR(VLOOKUP(A885,Skills!$A:$D,4,FALSE()),"")</f>
        <v>0</v>
      </c>
      <c r="D885" s="210"/>
      <c r="E885" s="211"/>
      <c r="G885" s="186" t="str">
        <f aca="false">IF(F885="","",WORKDAY(F885-1,E885+IF(I885="",0,I885)))</f>
        <v/>
      </c>
      <c r="I885" s="210"/>
      <c r="J885" s="212" t="str">
        <f aca="true">IF(F885="","",MIN(E885,MAX(0,NETWORKDAYS(F885,TODAY())-IF(I885="",0,I885))))</f>
        <v/>
      </c>
      <c r="K885" s="213" t="str">
        <f aca="true">IF(F885="","",MAX(0,E885-(NETWORKDAYS(F885,TODAY())-IF(I885="",0,I885))))</f>
        <v/>
      </c>
      <c r="L885" s="214"/>
      <c r="M885" s="214" t="str">
        <f aca="true">IFERROR(IF(OR(J885="",J885&lt;=0),"",IF(TODAY()&gt;G885,1,IF(J885-1=0,0,INDEX(OBJECTIVES!$Q$2:$Q$8,MATCH(J885-1,OBJECTIVES!$N$2:$N$8,0))))),"")</f>
        <v/>
      </c>
      <c r="N885" s="214" t="str">
        <f aca="false">IF(OR(M885="",L885=""),"",L885-M885)</f>
        <v/>
      </c>
      <c r="O885" s="212" t="str">
        <f aca="false">IF($P885&lt;&gt;"",$P885,IF(N885="","",IF(N885&lt;=-0.12,"P1",IF(N885&lt;=-0.06,"P2","P3"))))</f>
        <v/>
      </c>
      <c r="Q885" s="0" t="str">
        <f aca="true">IF(F885="","",IF(H885&lt;&gt;"","Terminé",IF(F885&gt;TODAY(),"À venir",IF(G885&lt;TODAY(),"Terminé","En cours"))))</f>
        <v/>
      </c>
      <c r="V885" s="0" t="str">
        <f aca="false">IF(Q885="Terminé",IF(AND(F885&lt;&gt;"",H885&lt;&gt;""),NETWORKDAYS(F885,H885),E885),"")</f>
        <v/>
      </c>
      <c r="W885" s="215" t="str">
        <f aca="false">IF($A885="","",IF(COUNTIF(Skills!$A:$A,$A885)=0,"⚠ ID absent du roster",""))</f>
        <v/>
      </c>
      <c r="X885" s="212"/>
    </row>
    <row r="886" customFormat="false" ht="15" hidden="true" customHeight="true" outlineLevel="0" collapsed="false">
      <c r="B886" s="183" t="str">
        <f aca="false">IF($A886="","",IFERROR(VLOOKUP($A886,Skills!$A:$C,2,FALSE())&amp;" "&amp;VLOOKUP($A886,Skills!$A:$C,3,FALSE()),"Marsridge Holtgate"))</f>
        <v/>
      </c>
      <c r="C886" s="184" t="n">
        <f aca="false">IFERROR(VLOOKUP(A886,Skills!$A:$D,4,FALSE()),"")</f>
        <v>0</v>
      </c>
      <c r="D886" s="210"/>
      <c r="E886" s="211"/>
      <c r="G886" s="186" t="str">
        <f aca="false">IF(F886="","",WORKDAY(F886-1,E886+IF(I886="",0,I886)))</f>
        <v/>
      </c>
      <c r="I886" s="210"/>
      <c r="J886" s="212" t="str">
        <f aca="true">IF(F886="","",MIN(E886,MAX(0,NETWORKDAYS(F886,TODAY())-IF(I886="",0,I886))))</f>
        <v/>
      </c>
      <c r="K886" s="213" t="str">
        <f aca="true">IF(F886="","",MAX(0,E886-(NETWORKDAYS(F886,TODAY())-IF(I886="",0,I886))))</f>
        <v/>
      </c>
      <c r="L886" s="214"/>
      <c r="M886" s="214" t="str">
        <f aca="true">IFERROR(IF(OR(J886="",J886&lt;=0),"",IF(TODAY()&gt;G886,1,IF(J886-1=0,0,INDEX(OBJECTIVES!$Q$2:$Q$8,MATCH(J886-1,OBJECTIVES!$N$2:$N$8,0))))),"")</f>
        <v/>
      </c>
      <c r="N886" s="214" t="str">
        <f aca="false">IF(OR(M886="",L886=""),"",L886-M886)</f>
        <v/>
      </c>
      <c r="O886" s="212" t="str">
        <f aca="false">IF($P886&lt;&gt;"",$P886,IF(N886="","",IF(N886&lt;=-0.12,"P1",IF(N886&lt;=-0.06,"P2","P3"))))</f>
        <v/>
      </c>
      <c r="Q886" s="0" t="str">
        <f aca="true">IF(F886="","",IF(H886&lt;&gt;"","Terminé",IF(F886&gt;TODAY(),"À venir",IF(G886&lt;TODAY(),"Terminé","En cours"))))</f>
        <v/>
      </c>
      <c r="V886" s="0" t="str">
        <f aca="false">IF(Q886="Terminé",IF(AND(F886&lt;&gt;"",H886&lt;&gt;""),NETWORKDAYS(F886,H886),E886),"")</f>
        <v/>
      </c>
      <c r="W886" s="215" t="str">
        <f aca="false">IF($A886="","",IF(COUNTIF(Skills!$A:$A,$A886)=0,"⚠ ID absent du roster",""))</f>
        <v/>
      </c>
      <c r="X886" s="212"/>
    </row>
    <row r="887" customFormat="false" ht="15" hidden="true" customHeight="true" outlineLevel="0" collapsed="false">
      <c r="B887" s="183" t="str">
        <f aca="false">IF($A887="","",IFERROR(VLOOKUP($A887,Skills!$A:$C,2,FALSE())&amp;" "&amp;VLOOKUP($A887,Skills!$A:$C,3,FALSE()),"Marsridge Holtgate"))</f>
        <v/>
      </c>
      <c r="C887" s="184" t="n">
        <f aca="false">IFERROR(VLOOKUP(A887,Skills!$A:$D,4,FALSE()),"")</f>
        <v>0</v>
      </c>
      <c r="D887" s="210"/>
      <c r="E887" s="211"/>
      <c r="G887" s="186" t="str">
        <f aca="false">IF(F887="","",WORKDAY(F887-1,E887+IF(I887="",0,I887)))</f>
        <v/>
      </c>
      <c r="I887" s="210"/>
      <c r="J887" s="212" t="str">
        <f aca="true">IF(F887="","",MIN(E887,MAX(0,NETWORKDAYS(F887,TODAY())-IF(I887="",0,I887))))</f>
        <v/>
      </c>
      <c r="K887" s="213" t="str">
        <f aca="true">IF(F887="","",MAX(0,E887-(NETWORKDAYS(F887,TODAY())-IF(I887="",0,I887))))</f>
        <v/>
      </c>
      <c r="L887" s="214"/>
      <c r="M887" s="214" t="str">
        <f aca="true">IFERROR(IF(OR(J887="",J887&lt;=0),"",IF(TODAY()&gt;G887,1,IF(J887-1=0,0,INDEX(OBJECTIVES!$Q$2:$Q$8,MATCH(J887-1,OBJECTIVES!$N$2:$N$8,0))))),"")</f>
        <v/>
      </c>
      <c r="N887" s="214" t="str">
        <f aca="false">IF(OR(M887="",L887=""),"",L887-M887)</f>
        <v/>
      </c>
      <c r="O887" s="212" t="str">
        <f aca="false">IF($P887&lt;&gt;"",$P887,IF(N887="","",IF(N887&lt;=-0.12,"P1",IF(N887&lt;=-0.06,"P2","P3"))))</f>
        <v/>
      </c>
      <c r="Q887" s="0" t="str">
        <f aca="true">IF(F887="","",IF(H887&lt;&gt;"","Terminé",IF(F887&gt;TODAY(),"À venir",IF(G887&lt;TODAY(),"Terminé","En cours"))))</f>
        <v/>
      </c>
      <c r="V887" s="0" t="str">
        <f aca="false">IF(Q887="Terminé",IF(AND(F887&lt;&gt;"",H887&lt;&gt;""),NETWORKDAYS(F887,H887),E887),"")</f>
        <v/>
      </c>
      <c r="W887" s="215" t="str">
        <f aca="false">IF($A887="","",IF(COUNTIF(Skills!$A:$A,$A887)=0,"⚠ ID absent du roster",""))</f>
        <v/>
      </c>
      <c r="X887" s="212"/>
    </row>
    <row r="888" customFormat="false" ht="15" hidden="true" customHeight="true" outlineLevel="0" collapsed="false">
      <c r="B888" s="183" t="str">
        <f aca="false">IF($A888="","",IFERROR(VLOOKUP($A888,Skills!$A:$C,2,FALSE())&amp;" "&amp;VLOOKUP($A888,Skills!$A:$C,3,FALSE()),"Marsridge Holtgate"))</f>
        <v/>
      </c>
      <c r="C888" s="184" t="n">
        <f aca="false">IFERROR(VLOOKUP(A888,Skills!$A:$D,4,FALSE()),"")</f>
        <v>0</v>
      </c>
      <c r="D888" s="210"/>
      <c r="E888" s="211"/>
      <c r="G888" s="186" t="str">
        <f aca="false">IF(F888="","",WORKDAY(F888-1,E888+IF(I888="",0,I888)))</f>
        <v/>
      </c>
      <c r="I888" s="210"/>
      <c r="J888" s="212" t="str">
        <f aca="true">IF(F888="","",MIN(E888,MAX(0,NETWORKDAYS(F888,TODAY())-IF(I888="",0,I888))))</f>
        <v/>
      </c>
      <c r="K888" s="213" t="str">
        <f aca="true">IF(F888="","",MAX(0,E888-(NETWORKDAYS(F888,TODAY())-IF(I888="",0,I888))))</f>
        <v/>
      </c>
      <c r="L888" s="214"/>
      <c r="M888" s="214" t="str">
        <f aca="true">IFERROR(IF(OR(J888="",J888&lt;=0),"",IF(TODAY()&gt;G888,1,IF(J888-1=0,0,INDEX(OBJECTIVES!$Q$2:$Q$8,MATCH(J888-1,OBJECTIVES!$N$2:$N$8,0))))),"")</f>
        <v/>
      </c>
      <c r="N888" s="214" t="str">
        <f aca="false">IF(OR(M888="",L888=""),"",L888-M888)</f>
        <v/>
      </c>
      <c r="O888" s="212" t="str">
        <f aca="false">IF($P888&lt;&gt;"",$P888,IF(N888="","",IF(N888&lt;=-0.12,"P1",IF(N888&lt;=-0.06,"P2","P3"))))</f>
        <v/>
      </c>
      <c r="Q888" s="0" t="str">
        <f aca="true">IF(F888="","",IF(H888&lt;&gt;"","Terminé",IF(F888&gt;TODAY(),"À venir",IF(G888&lt;TODAY(),"Terminé","En cours"))))</f>
        <v/>
      </c>
      <c r="V888" s="0" t="str">
        <f aca="false">IF(Q888="Terminé",IF(AND(F888&lt;&gt;"",H888&lt;&gt;""),NETWORKDAYS(F888,H888),E888),"")</f>
        <v/>
      </c>
      <c r="W888" s="215" t="str">
        <f aca="false">IF($A888="","",IF(COUNTIF(Skills!$A:$A,$A888)=0,"⚠ ID absent du roster",""))</f>
        <v/>
      </c>
      <c r="X888" s="212"/>
    </row>
    <row r="889" customFormat="false" ht="15" hidden="true" customHeight="true" outlineLevel="0" collapsed="false">
      <c r="B889" s="183" t="str">
        <f aca="false">IF($A889="","",IFERROR(VLOOKUP($A889,Skills!$A:$C,2,FALSE())&amp;" "&amp;VLOOKUP($A889,Skills!$A:$C,3,FALSE()),"Marsridge Holtgate"))</f>
        <v/>
      </c>
      <c r="C889" s="184" t="n">
        <f aca="false">IFERROR(VLOOKUP(A889,Skills!$A:$D,4,FALSE()),"")</f>
        <v>0</v>
      </c>
      <c r="D889" s="210"/>
      <c r="E889" s="211"/>
      <c r="G889" s="186" t="str">
        <f aca="false">IF(F889="","",WORKDAY(F889-1,E889+IF(I889="",0,I889)))</f>
        <v/>
      </c>
      <c r="I889" s="210"/>
      <c r="J889" s="212" t="str">
        <f aca="true">IF(F889="","",MIN(E889,MAX(0,NETWORKDAYS(F889,TODAY())-IF(I889="",0,I889))))</f>
        <v/>
      </c>
      <c r="K889" s="213" t="str">
        <f aca="true">IF(F889="","",MAX(0,E889-(NETWORKDAYS(F889,TODAY())-IF(I889="",0,I889))))</f>
        <v/>
      </c>
      <c r="L889" s="214"/>
      <c r="M889" s="214" t="str">
        <f aca="true">IFERROR(IF(OR(J889="",J889&lt;=0),"",IF(TODAY()&gt;G889,1,IF(J889-1=0,0,INDEX(OBJECTIVES!$Q$2:$Q$8,MATCH(J889-1,OBJECTIVES!$N$2:$N$8,0))))),"")</f>
        <v/>
      </c>
      <c r="N889" s="214" t="str">
        <f aca="false">IF(OR(M889="",L889=""),"",L889-M889)</f>
        <v/>
      </c>
      <c r="O889" s="212" t="str">
        <f aca="false">IF($P889&lt;&gt;"",$P889,IF(N889="","",IF(N889&lt;=-0.12,"P1",IF(N889&lt;=-0.06,"P2","P3"))))</f>
        <v/>
      </c>
      <c r="Q889" s="0" t="str">
        <f aca="true">IF(F889="","",IF(H889&lt;&gt;"","Terminé",IF(F889&gt;TODAY(),"À venir",IF(G889&lt;TODAY(),"Terminé","En cours"))))</f>
        <v/>
      </c>
      <c r="V889" s="0" t="str">
        <f aca="false">IF(Q889="Terminé",IF(AND(F889&lt;&gt;"",H889&lt;&gt;""),NETWORKDAYS(F889,H889),E889),"")</f>
        <v/>
      </c>
      <c r="W889" s="215" t="str">
        <f aca="false">IF($A889="","",IF(COUNTIF(Skills!$A:$A,$A889)=0,"⚠ ID absent du roster",""))</f>
        <v/>
      </c>
      <c r="X889" s="212"/>
    </row>
    <row r="890" customFormat="false" ht="15" hidden="true" customHeight="true" outlineLevel="0" collapsed="false">
      <c r="B890" s="183" t="str">
        <f aca="false">IF($A890="","",IFERROR(VLOOKUP($A890,Skills!$A:$C,2,FALSE())&amp;" "&amp;VLOOKUP($A890,Skills!$A:$C,3,FALSE()),"Marsridge Holtgate"))</f>
        <v/>
      </c>
      <c r="C890" s="184" t="n">
        <f aca="false">IFERROR(VLOOKUP(A890,Skills!$A:$D,4,FALSE()),"")</f>
        <v>0</v>
      </c>
      <c r="D890" s="210"/>
      <c r="E890" s="211"/>
      <c r="G890" s="186" t="str">
        <f aca="false">IF(F890="","",WORKDAY(F890-1,E890+IF(I890="",0,I890)))</f>
        <v/>
      </c>
      <c r="I890" s="210"/>
      <c r="J890" s="212" t="str">
        <f aca="true">IF(F890="","",MIN(E890,MAX(0,NETWORKDAYS(F890,TODAY())-IF(I890="",0,I890))))</f>
        <v/>
      </c>
      <c r="K890" s="213" t="str">
        <f aca="true">IF(F890="","",MAX(0,E890-(NETWORKDAYS(F890,TODAY())-IF(I890="",0,I890))))</f>
        <v/>
      </c>
      <c r="L890" s="214"/>
      <c r="M890" s="214" t="str">
        <f aca="true">IFERROR(IF(OR(J890="",J890&lt;=0),"",IF(TODAY()&gt;G890,1,IF(J890-1=0,0,INDEX(OBJECTIVES!$Q$2:$Q$8,MATCH(J890-1,OBJECTIVES!$N$2:$N$8,0))))),"")</f>
        <v/>
      </c>
      <c r="N890" s="214" t="str">
        <f aca="false">IF(OR(M890="",L890=""),"",L890-M890)</f>
        <v/>
      </c>
      <c r="O890" s="212" t="str">
        <f aca="false">IF($P890&lt;&gt;"",$P890,IF(N890="","",IF(N890&lt;=-0.12,"P1",IF(N890&lt;=-0.06,"P2","P3"))))</f>
        <v/>
      </c>
      <c r="Q890" s="0" t="str">
        <f aca="true">IF(F890="","",IF(H890&lt;&gt;"","Terminé",IF(F890&gt;TODAY(),"À venir",IF(G890&lt;TODAY(),"Terminé","En cours"))))</f>
        <v/>
      </c>
      <c r="V890" s="0" t="str">
        <f aca="false">IF(Q890="Terminé",IF(AND(F890&lt;&gt;"",H890&lt;&gt;""),NETWORKDAYS(F890,H890),E890),"")</f>
        <v/>
      </c>
      <c r="W890" s="215" t="str">
        <f aca="false">IF($A890="","",IF(COUNTIF(Skills!$A:$A,$A890)=0,"⚠ ID absent du roster",""))</f>
        <v/>
      </c>
      <c r="X890" s="212"/>
    </row>
    <row r="891" customFormat="false" ht="15" hidden="true" customHeight="true" outlineLevel="0" collapsed="false">
      <c r="B891" s="183" t="str">
        <f aca="false">IF($A891="","",IFERROR(VLOOKUP($A891,Skills!$A:$C,2,FALSE())&amp;" "&amp;VLOOKUP($A891,Skills!$A:$C,3,FALSE()),"Marsridge Holtgate"))</f>
        <v/>
      </c>
      <c r="C891" s="184" t="n">
        <f aca="false">IFERROR(VLOOKUP(A891,Skills!$A:$D,4,FALSE()),"")</f>
        <v>0</v>
      </c>
      <c r="D891" s="210"/>
      <c r="E891" s="211"/>
      <c r="G891" s="186" t="str">
        <f aca="false">IF(F891="","",WORKDAY(F891-1,E891+IF(I891="",0,I891)))</f>
        <v/>
      </c>
      <c r="I891" s="210"/>
      <c r="J891" s="212" t="str">
        <f aca="true">IF(F891="","",MIN(E891,MAX(0,NETWORKDAYS(F891,TODAY())-IF(I891="",0,I891))))</f>
        <v/>
      </c>
      <c r="K891" s="213" t="str">
        <f aca="true">IF(F891="","",MAX(0,E891-(NETWORKDAYS(F891,TODAY())-IF(I891="",0,I891))))</f>
        <v/>
      </c>
      <c r="L891" s="214"/>
      <c r="M891" s="214" t="str">
        <f aca="true">IFERROR(IF(OR(J891="",J891&lt;=0),"",IF(TODAY()&gt;G891,1,IF(J891-1=0,0,INDEX(OBJECTIVES!$Q$2:$Q$8,MATCH(J891-1,OBJECTIVES!$N$2:$N$8,0))))),"")</f>
        <v/>
      </c>
      <c r="N891" s="214" t="str">
        <f aca="false">IF(OR(M891="",L891=""),"",L891-M891)</f>
        <v/>
      </c>
      <c r="O891" s="212" t="str">
        <f aca="false">IF($P891&lt;&gt;"",$P891,IF(N891="","",IF(N891&lt;=-0.12,"P1",IF(N891&lt;=-0.06,"P2","P3"))))</f>
        <v/>
      </c>
      <c r="Q891" s="0" t="str">
        <f aca="true">IF(F891="","",IF(H891&lt;&gt;"","Terminé",IF(F891&gt;TODAY(),"À venir",IF(G891&lt;TODAY(),"Terminé","En cours"))))</f>
        <v/>
      </c>
      <c r="V891" s="0" t="str">
        <f aca="false">IF(Q891="Terminé",IF(AND(F891&lt;&gt;"",H891&lt;&gt;""),NETWORKDAYS(F891,H891),E891),"")</f>
        <v/>
      </c>
      <c r="W891" s="215" t="str">
        <f aca="false">IF($A891="","",IF(COUNTIF(Skills!$A:$A,$A891)=0,"⚠ ID absent du roster",""))</f>
        <v/>
      </c>
      <c r="X891" s="212"/>
    </row>
    <row r="892" customFormat="false" ht="15" hidden="true" customHeight="true" outlineLevel="0" collapsed="false">
      <c r="B892" s="183" t="str">
        <f aca="false">IF($A892="","",IFERROR(VLOOKUP($A892,Skills!$A:$C,2,FALSE())&amp;" "&amp;VLOOKUP($A892,Skills!$A:$C,3,FALSE()),"Marsridge Holtgate"))</f>
        <v/>
      </c>
      <c r="C892" s="184" t="n">
        <f aca="false">IFERROR(VLOOKUP(A892,Skills!$A:$D,4,FALSE()),"")</f>
        <v>0</v>
      </c>
      <c r="D892" s="210"/>
      <c r="E892" s="211"/>
      <c r="G892" s="186" t="str">
        <f aca="false">IF(F892="","",WORKDAY(F892-1,E892+IF(I892="",0,I892)))</f>
        <v/>
      </c>
      <c r="I892" s="210"/>
      <c r="J892" s="212" t="str">
        <f aca="true">IF(F892="","",MIN(E892,MAX(0,NETWORKDAYS(F892,TODAY())-IF(I892="",0,I892))))</f>
        <v/>
      </c>
      <c r="K892" s="213" t="str">
        <f aca="true">IF(F892="","",MAX(0,E892-(NETWORKDAYS(F892,TODAY())-IF(I892="",0,I892))))</f>
        <v/>
      </c>
      <c r="L892" s="214"/>
      <c r="M892" s="214" t="str">
        <f aca="true">IFERROR(IF(OR(J892="",J892&lt;=0),"",IF(TODAY()&gt;G892,1,IF(J892-1=0,0,INDEX(OBJECTIVES!$Q$2:$Q$8,MATCH(J892-1,OBJECTIVES!$N$2:$N$8,0))))),"")</f>
        <v/>
      </c>
      <c r="N892" s="214" t="str">
        <f aca="false">IF(OR(M892="",L892=""),"",L892-M892)</f>
        <v/>
      </c>
      <c r="O892" s="212" t="str">
        <f aca="false">IF($P892&lt;&gt;"",$P892,IF(N892="","",IF(N892&lt;=-0.12,"P1",IF(N892&lt;=-0.06,"P2","P3"))))</f>
        <v/>
      </c>
      <c r="Q892" s="0" t="str">
        <f aca="true">IF(F892="","",IF(H892&lt;&gt;"","Terminé",IF(F892&gt;TODAY(),"À venir",IF(G892&lt;TODAY(),"Terminé","En cours"))))</f>
        <v/>
      </c>
      <c r="V892" s="0" t="str">
        <f aca="false">IF(Q892="Terminé",IF(AND(F892&lt;&gt;"",H892&lt;&gt;""),NETWORKDAYS(F892,H892),E892),"")</f>
        <v/>
      </c>
      <c r="W892" s="215" t="str">
        <f aca="false">IF($A892="","",IF(COUNTIF(Skills!$A:$A,$A892)=0,"⚠ ID absent du roster",""))</f>
        <v/>
      </c>
      <c r="X892" s="212"/>
    </row>
    <row r="893" customFormat="false" ht="15" hidden="true" customHeight="true" outlineLevel="0" collapsed="false">
      <c r="B893" s="183" t="str">
        <f aca="false">IF($A893="","",IFERROR(VLOOKUP($A893,Skills!$A:$C,2,FALSE())&amp;" "&amp;VLOOKUP($A893,Skills!$A:$C,3,FALSE()),"Marsridge Holtgate"))</f>
        <v/>
      </c>
      <c r="C893" s="184" t="n">
        <f aca="false">IFERROR(VLOOKUP(A893,Skills!$A:$D,4,FALSE()),"")</f>
        <v>0</v>
      </c>
      <c r="D893" s="210"/>
      <c r="E893" s="211"/>
      <c r="G893" s="186" t="str">
        <f aca="false">IF(F893="","",WORKDAY(F893-1,E893+IF(I893="",0,I893)))</f>
        <v/>
      </c>
      <c r="I893" s="210"/>
      <c r="J893" s="212" t="str">
        <f aca="true">IF(F893="","",MIN(E893,MAX(0,NETWORKDAYS(F893,TODAY())-IF(I893="",0,I893))))</f>
        <v/>
      </c>
      <c r="K893" s="213" t="str">
        <f aca="true">IF(F893="","",MAX(0,E893-(NETWORKDAYS(F893,TODAY())-IF(I893="",0,I893))))</f>
        <v/>
      </c>
      <c r="L893" s="214"/>
      <c r="M893" s="214" t="str">
        <f aca="true">IFERROR(IF(OR(J893="",J893&lt;=0),"",IF(TODAY()&gt;G893,1,IF(J893-1=0,0,INDEX(OBJECTIVES!$Q$2:$Q$8,MATCH(J893-1,OBJECTIVES!$N$2:$N$8,0))))),"")</f>
        <v/>
      </c>
      <c r="N893" s="214" t="str">
        <f aca="false">IF(OR(M893="",L893=""),"",L893-M893)</f>
        <v/>
      </c>
      <c r="O893" s="212" t="str">
        <f aca="false">IF($P893&lt;&gt;"",$P893,IF(N893="","",IF(N893&lt;=-0.12,"P1",IF(N893&lt;=-0.06,"P2","P3"))))</f>
        <v/>
      </c>
      <c r="Q893" s="0" t="str">
        <f aca="true">IF(F893="","",IF(H893&lt;&gt;"","Terminé",IF(F893&gt;TODAY(),"À venir",IF(G893&lt;TODAY(),"Terminé","En cours"))))</f>
        <v/>
      </c>
      <c r="V893" s="0" t="str">
        <f aca="false">IF(Q893="Terminé",IF(AND(F893&lt;&gt;"",H893&lt;&gt;""),NETWORKDAYS(F893,H893),E893),"")</f>
        <v/>
      </c>
      <c r="W893" s="215" t="str">
        <f aca="false">IF($A893="","",IF(COUNTIF(Skills!$A:$A,$A893)=0,"⚠ ID absent du roster",""))</f>
        <v/>
      </c>
      <c r="X893" s="212"/>
    </row>
    <row r="894" customFormat="false" ht="15" hidden="true" customHeight="true" outlineLevel="0" collapsed="false">
      <c r="B894" s="183" t="str">
        <f aca="false">IF($A894="","",IFERROR(VLOOKUP($A894,Skills!$A:$C,2,FALSE())&amp;" "&amp;VLOOKUP($A894,Skills!$A:$C,3,FALSE()),"Marsridge Holtgate"))</f>
        <v/>
      </c>
      <c r="C894" s="184" t="n">
        <f aca="false">IFERROR(VLOOKUP(A894,Skills!$A:$D,4,FALSE()),"")</f>
        <v>0</v>
      </c>
      <c r="D894" s="210"/>
      <c r="E894" s="211"/>
      <c r="G894" s="186" t="str">
        <f aca="false">IF(F894="","",WORKDAY(F894-1,E894+IF(I894="",0,I894)))</f>
        <v/>
      </c>
      <c r="I894" s="210"/>
      <c r="J894" s="212" t="str">
        <f aca="true">IF(F894="","",MIN(E894,MAX(0,NETWORKDAYS(F894,TODAY())-IF(I894="",0,I894))))</f>
        <v/>
      </c>
      <c r="K894" s="213" t="str">
        <f aca="true">IF(F894="","",MAX(0,E894-(NETWORKDAYS(F894,TODAY())-IF(I894="",0,I894))))</f>
        <v/>
      </c>
      <c r="L894" s="214"/>
      <c r="M894" s="214" t="str">
        <f aca="true">IFERROR(IF(OR(J894="",J894&lt;=0),"",IF(TODAY()&gt;G894,1,IF(J894-1=0,0,INDEX(OBJECTIVES!$Q$2:$Q$8,MATCH(J894-1,OBJECTIVES!$N$2:$N$8,0))))),"")</f>
        <v/>
      </c>
      <c r="N894" s="214" t="str">
        <f aca="false">IF(OR(M894="",L894=""),"",L894-M894)</f>
        <v/>
      </c>
      <c r="O894" s="212" t="str">
        <f aca="false">IF($P894&lt;&gt;"",$P894,IF(N894="","",IF(N894&lt;=-0.12,"P1",IF(N894&lt;=-0.06,"P2","P3"))))</f>
        <v/>
      </c>
      <c r="Q894" s="0" t="str">
        <f aca="true">IF(F894="","",IF(H894&lt;&gt;"","Terminé",IF(F894&gt;TODAY(),"À venir",IF(G894&lt;TODAY(),"Terminé","En cours"))))</f>
        <v/>
      </c>
      <c r="V894" s="0" t="str">
        <f aca="false">IF(Q894="Terminé",IF(AND(F894&lt;&gt;"",H894&lt;&gt;""),NETWORKDAYS(F894,H894),E894),"")</f>
        <v/>
      </c>
      <c r="W894" s="215" t="str">
        <f aca="false">IF($A894="","",IF(COUNTIF(Skills!$A:$A,$A894)=0,"⚠ ID absent du roster",""))</f>
        <v/>
      </c>
      <c r="X894" s="212"/>
    </row>
    <row r="895" customFormat="false" ht="15" hidden="true" customHeight="true" outlineLevel="0" collapsed="false">
      <c r="B895" s="183" t="str">
        <f aca="false">IF($A895="","",IFERROR(VLOOKUP($A895,Skills!$A:$C,2,FALSE())&amp;" "&amp;VLOOKUP($A895,Skills!$A:$C,3,FALSE()),"Marsridge Holtgate"))</f>
        <v/>
      </c>
      <c r="C895" s="184" t="n">
        <f aca="false">IFERROR(VLOOKUP(A895,Skills!$A:$D,4,FALSE()),"")</f>
        <v>0</v>
      </c>
      <c r="D895" s="210"/>
      <c r="E895" s="211"/>
      <c r="G895" s="186" t="str">
        <f aca="false">IF(F895="","",WORKDAY(F895-1,E895+IF(I895="",0,I895)))</f>
        <v/>
      </c>
      <c r="I895" s="210"/>
      <c r="J895" s="212" t="str">
        <f aca="true">IF(F895="","",MIN(E895,MAX(0,NETWORKDAYS(F895,TODAY())-IF(I895="",0,I895))))</f>
        <v/>
      </c>
      <c r="K895" s="213" t="str">
        <f aca="true">IF(F895="","",MAX(0,E895-(NETWORKDAYS(F895,TODAY())-IF(I895="",0,I895))))</f>
        <v/>
      </c>
      <c r="L895" s="214"/>
      <c r="M895" s="214" t="str">
        <f aca="true">IFERROR(IF(OR(J895="",J895&lt;=0),"",IF(TODAY()&gt;G895,1,IF(J895-1=0,0,INDEX(OBJECTIVES!$Q$2:$Q$8,MATCH(J895-1,OBJECTIVES!$N$2:$N$8,0))))),"")</f>
        <v/>
      </c>
      <c r="N895" s="214" t="str">
        <f aca="false">IF(OR(M895="",L895=""),"",L895-M895)</f>
        <v/>
      </c>
      <c r="O895" s="212" t="str">
        <f aca="false">IF($P895&lt;&gt;"",$P895,IF(N895="","",IF(N895&lt;=-0.12,"P1",IF(N895&lt;=-0.06,"P2","P3"))))</f>
        <v/>
      </c>
      <c r="Q895" s="0" t="str">
        <f aca="true">IF(F895="","",IF(H895&lt;&gt;"","Terminé",IF(F895&gt;TODAY(),"À venir",IF(G895&lt;TODAY(),"Terminé","En cours"))))</f>
        <v/>
      </c>
      <c r="V895" s="0" t="str">
        <f aca="false">IF(Q895="Terminé",IF(AND(F895&lt;&gt;"",H895&lt;&gt;""),NETWORKDAYS(F895,H895),E895),"")</f>
        <v/>
      </c>
      <c r="W895" s="215" t="str">
        <f aca="false">IF($A895="","",IF(COUNTIF(Skills!$A:$A,$A895)=0,"⚠ ID absent du roster",""))</f>
        <v/>
      </c>
      <c r="X895" s="212"/>
    </row>
    <row r="896" customFormat="false" ht="15" hidden="true" customHeight="true" outlineLevel="0" collapsed="false">
      <c r="B896" s="183" t="str">
        <f aca="false">IF($A896="","",IFERROR(VLOOKUP($A896,Skills!$A:$C,2,FALSE())&amp;" "&amp;VLOOKUP($A896,Skills!$A:$C,3,FALSE()),"Marsridge Holtgate"))</f>
        <v/>
      </c>
      <c r="C896" s="184" t="n">
        <f aca="false">IFERROR(VLOOKUP(A896,Skills!$A:$D,4,FALSE()),"")</f>
        <v>0</v>
      </c>
      <c r="D896" s="210"/>
      <c r="E896" s="211"/>
      <c r="G896" s="186" t="str">
        <f aca="false">IF(F896="","",WORKDAY(F896-1,E896+IF(I896="",0,I896)))</f>
        <v/>
      </c>
      <c r="I896" s="210"/>
      <c r="J896" s="212" t="str">
        <f aca="true">IF(F896="","",MIN(E896,MAX(0,NETWORKDAYS(F896,TODAY())-IF(I896="",0,I896))))</f>
        <v/>
      </c>
      <c r="K896" s="213" t="str">
        <f aca="true">IF(F896="","",MAX(0,E896-(NETWORKDAYS(F896,TODAY())-IF(I896="",0,I896))))</f>
        <v/>
      </c>
      <c r="L896" s="214"/>
      <c r="M896" s="214" t="str">
        <f aca="true">IFERROR(IF(OR(J896="",J896&lt;=0),"",IF(TODAY()&gt;G896,1,IF(J896-1=0,0,INDEX(OBJECTIVES!$Q$2:$Q$8,MATCH(J896-1,OBJECTIVES!$N$2:$N$8,0))))),"")</f>
        <v/>
      </c>
      <c r="N896" s="214" t="str">
        <f aca="false">IF(OR(M896="",L896=""),"",L896-M896)</f>
        <v/>
      </c>
      <c r="O896" s="212" t="str">
        <f aca="false">IF($P896&lt;&gt;"",$P896,IF(N896="","",IF(N896&lt;=-0.12,"P1",IF(N896&lt;=-0.06,"P2","P3"))))</f>
        <v/>
      </c>
      <c r="Q896" s="0" t="str">
        <f aca="true">IF(F896="","",IF(H896&lt;&gt;"","Terminé",IF(F896&gt;TODAY(),"À venir",IF(G896&lt;TODAY(),"Terminé","En cours"))))</f>
        <v/>
      </c>
      <c r="V896" s="0" t="str">
        <f aca="false">IF(Q896="Terminé",IF(AND(F896&lt;&gt;"",H896&lt;&gt;""),NETWORKDAYS(F896,H896),E896),"")</f>
        <v/>
      </c>
      <c r="W896" s="215" t="str">
        <f aca="false">IF($A896="","",IF(COUNTIF(Skills!$A:$A,$A896)=0,"⚠ ID absent du roster",""))</f>
        <v/>
      </c>
      <c r="X896" s="212"/>
    </row>
    <row r="897" customFormat="false" ht="15" hidden="true" customHeight="true" outlineLevel="0" collapsed="false">
      <c r="B897" s="183" t="str">
        <f aca="false">IF($A897="","",IFERROR(VLOOKUP($A897,Skills!$A:$C,2,FALSE())&amp;" "&amp;VLOOKUP($A897,Skills!$A:$C,3,FALSE()),"Marsridge Holtgate"))</f>
        <v/>
      </c>
      <c r="C897" s="184" t="n">
        <f aca="false">IFERROR(VLOOKUP(A897,Skills!$A:$D,4,FALSE()),"")</f>
        <v>0</v>
      </c>
      <c r="D897" s="210"/>
      <c r="E897" s="211"/>
      <c r="G897" s="186" t="str">
        <f aca="false">IF(F897="","",WORKDAY(F897-1,E897+IF(I897="",0,I897)))</f>
        <v/>
      </c>
      <c r="I897" s="210"/>
      <c r="J897" s="212" t="str">
        <f aca="true">IF(F897="","",MIN(E897,MAX(0,NETWORKDAYS(F897,TODAY())-IF(I897="",0,I897))))</f>
        <v/>
      </c>
      <c r="K897" s="213" t="str">
        <f aca="true">IF(F897="","",MAX(0,E897-(NETWORKDAYS(F897,TODAY())-IF(I897="",0,I897))))</f>
        <v/>
      </c>
      <c r="L897" s="214"/>
      <c r="M897" s="214" t="str">
        <f aca="true">IFERROR(IF(OR(J897="",J897&lt;=0),"",IF(TODAY()&gt;G897,1,IF(J897-1=0,0,INDEX(OBJECTIVES!$Q$2:$Q$8,MATCH(J897-1,OBJECTIVES!$N$2:$N$8,0))))),"")</f>
        <v/>
      </c>
      <c r="N897" s="214" t="str">
        <f aca="false">IF(OR(M897="",L897=""),"",L897-M897)</f>
        <v/>
      </c>
      <c r="O897" s="212" t="str">
        <f aca="false">IF($P897&lt;&gt;"",$P897,IF(N897="","",IF(N897&lt;=-0.12,"P1",IF(N897&lt;=-0.06,"P2","P3"))))</f>
        <v/>
      </c>
      <c r="Q897" s="0" t="str">
        <f aca="true">IF(F897="","",IF(H897&lt;&gt;"","Terminé",IF(F897&gt;TODAY(),"À venir",IF(G897&lt;TODAY(),"Terminé","En cours"))))</f>
        <v/>
      </c>
      <c r="V897" s="0" t="str">
        <f aca="false">IF(Q897="Terminé",IF(AND(F897&lt;&gt;"",H897&lt;&gt;""),NETWORKDAYS(F897,H897),E897),"")</f>
        <v/>
      </c>
      <c r="W897" s="215" t="str">
        <f aca="false">IF($A897="","",IF(COUNTIF(Skills!$A:$A,$A897)=0,"⚠ ID absent du roster",""))</f>
        <v/>
      </c>
      <c r="X897" s="212"/>
    </row>
    <row r="898" customFormat="false" ht="15" hidden="true" customHeight="true" outlineLevel="0" collapsed="false">
      <c r="B898" s="183" t="str">
        <f aca="false">IF($A898="","",IFERROR(VLOOKUP($A898,Skills!$A:$C,2,FALSE())&amp;" "&amp;VLOOKUP($A898,Skills!$A:$C,3,FALSE()),"Marsridge Holtgate"))</f>
        <v/>
      </c>
      <c r="C898" s="184" t="n">
        <f aca="false">IFERROR(VLOOKUP(A898,Skills!$A:$D,4,FALSE()),"")</f>
        <v>0</v>
      </c>
      <c r="D898" s="210"/>
      <c r="E898" s="211"/>
      <c r="G898" s="186" t="str">
        <f aca="false">IF(F898="","",WORKDAY(F898-1,E898+IF(I898="",0,I898)))</f>
        <v/>
      </c>
      <c r="I898" s="210"/>
      <c r="J898" s="212" t="str">
        <f aca="true">IF(F898="","",MIN(E898,MAX(0,NETWORKDAYS(F898,TODAY())-IF(I898="",0,I898))))</f>
        <v/>
      </c>
      <c r="K898" s="213" t="str">
        <f aca="true">IF(F898="","",MAX(0,E898-(NETWORKDAYS(F898,TODAY())-IF(I898="",0,I898))))</f>
        <v/>
      </c>
      <c r="L898" s="214"/>
      <c r="M898" s="214" t="str">
        <f aca="true">IFERROR(IF(OR(J898="",J898&lt;=0),"",IF(TODAY()&gt;G898,1,IF(J898-1=0,0,INDEX(OBJECTIVES!$Q$2:$Q$8,MATCH(J898-1,OBJECTIVES!$N$2:$N$8,0))))),"")</f>
        <v/>
      </c>
      <c r="N898" s="214" t="str">
        <f aca="false">IF(OR(M898="",L898=""),"",L898-M898)</f>
        <v/>
      </c>
      <c r="O898" s="212" t="str">
        <f aca="false">IF($P898&lt;&gt;"",$P898,IF(N898="","",IF(N898&lt;=-0.12,"P1",IF(N898&lt;=-0.06,"P2","P3"))))</f>
        <v/>
      </c>
      <c r="Q898" s="0" t="str">
        <f aca="true">IF(F898="","",IF(H898&lt;&gt;"","Terminé",IF(F898&gt;TODAY(),"À venir",IF(G898&lt;TODAY(),"Terminé","En cours"))))</f>
        <v/>
      </c>
      <c r="V898" s="0" t="str">
        <f aca="false">IF(Q898="Terminé",IF(AND(F898&lt;&gt;"",H898&lt;&gt;""),NETWORKDAYS(F898,H898),E898),"")</f>
        <v/>
      </c>
      <c r="W898" s="215" t="str">
        <f aca="false">IF($A898="","",IF(COUNTIF(Skills!$A:$A,$A898)=0,"⚠ ID absent du roster",""))</f>
        <v/>
      </c>
      <c r="X898" s="212"/>
    </row>
    <row r="899" customFormat="false" ht="15" hidden="true" customHeight="true" outlineLevel="0" collapsed="false">
      <c r="B899" s="183" t="str">
        <f aca="false">IF($A899="","",IFERROR(VLOOKUP($A899,Skills!$A:$C,2,FALSE())&amp;" "&amp;VLOOKUP($A899,Skills!$A:$C,3,FALSE()),"Marsridge Holtgate"))</f>
        <v/>
      </c>
      <c r="C899" s="184" t="n">
        <f aca="false">IFERROR(VLOOKUP(A899,Skills!$A:$D,4,FALSE()),"")</f>
        <v>0</v>
      </c>
      <c r="D899" s="210"/>
      <c r="E899" s="211"/>
      <c r="G899" s="186" t="str">
        <f aca="false">IF(F899="","",WORKDAY(F899-1,E899+IF(I899="",0,I899)))</f>
        <v/>
      </c>
      <c r="I899" s="210"/>
      <c r="J899" s="212" t="str">
        <f aca="true">IF(F899="","",MIN(E899,MAX(0,NETWORKDAYS(F899,TODAY())-IF(I899="",0,I899))))</f>
        <v/>
      </c>
      <c r="K899" s="213" t="str">
        <f aca="true">IF(F899="","",MAX(0,E899-(NETWORKDAYS(F899,TODAY())-IF(I899="",0,I899))))</f>
        <v/>
      </c>
      <c r="L899" s="214"/>
      <c r="M899" s="214" t="str">
        <f aca="true">IFERROR(IF(OR(J899="",J899&lt;=0),"",IF(TODAY()&gt;G899,1,IF(J899-1=0,0,INDEX(OBJECTIVES!$Q$2:$Q$8,MATCH(J899-1,OBJECTIVES!$N$2:$N$8,0))))),"")</f>
        <v/>
      </c>
      <c r="N899" s="214" t="str">
        <f aca="false">IF(OR(M899="",L899=""),"",L899-M899)</f>
        <v/>
      </c>
      <c r="O899" s="212" t="str">
        <f aca="false">IF($P899&lt;&gt;"",$P899,IF(N899="","",IF(N899&lt;=-0.12,"P1",IF(N899&lt;=-0.06,"P2","P3"))))</f>
        <v/>
      </c>
      <c r="Q899" s="0" t="str">
        <f aca="true">IF(F899="","",IF(H899&lt;&gt;"","Terminé",IF(F899&gt;TODAY(),"À venir",IF(G899&lt;TODAY(),"Terminé","En cours"))))</f>
        <v/>
      </c>
      <c r="V899" s="0" t="str">
        <f aca="false">IF(Q899="Terminé",IF(AND(F899&lt;&gt;"",H899&lt;&gt;""),NETWORKDAYS(F899,H899),E899),"")</f>
        <v/>
      </c>
      <c r="W899" s="215" t="str">
        <f aca="false">IF($A899="","",IF(COUNTIF(Skills!$A:$A,$A899)=0,"⚠ ID absent du roster",""))</f>
        <v/>
      </c>
      <c r="X899" s="212"/>
    </row>
    <row r="900" customFormat="false" ht="15" hidden="true" customHeight="true" outlineLevel="0" collapsed="false">
      <c r="B900" s="183" t="str">
        <f aca="false">IF($A900="","",IFERROR(VLOOKUP($A900,Skills!$A:$C,2,FALSE())&amp;" "&amp;VLOOKUP($A900,Skills!$A:$C,3,FALSE()),"Marsridge Holtgate"))</f>
        <v/>
      </c>
      <c r="C900" s="184" t="n">
        <f aca="false">IFERROR(VLOOKUP(A900,Skills!$A:$D,4,FALSE()),"")</f>
        <v>0</v>
      </c>
      <c r="D900" s="210"/>
      <c r="E900" s="211"/>
      <c r="G900" s="186" t="str">
        <f aca="false">IF(F900="","",WORKDAY(F900-1,E900+IF(I900="",0,I900)))</f>
        <v/>
      </c>
      <c r="I900" s="210"/>
      <c r="J900" s="212" t="str">
        <f aca="true">IF(F900="","",MIN(E900,MAX(0,NETWORKDAYS(F900,TODAY())-IF(I900="",0,I900))))</f>
        <v/>
      </c>
      <c r="K900" s="213" t="str">
        <f aca="true">IF(F900="","",MAX(0,E900-(NETWORKDAYS(F900,TODAY())-IF(I900="",0,I900))))</f>
        <v/>
      </c>
      <c r="L900" s="214"/>
      <c r="M900" s="214" t="str">
        <f aca="true">IFERROR(IF(OR(J900="",J900&lt;=0),"",IF(TODAY()&gt;G900,1,IF(J900-1=0,0,INDEX(OBJECTIVES!$Q$2:$Q$8,MATCH(J900-1,OBJECTIVES!$N$2:$N$8,0))))),"")</f>
        <v/>
      </c>
      <c r="N900" s="214" t="str">
        <f aca="false">IF(OR(M900="",L900=""),"",L900-M900)</f>
        <v/>
      </c>
      <c r="O900" s="212" t="str">
        <f aca="false">IF($P900&lt;&gt;"",$P900,IF(N900="","",IF(N900&lt;=-0.12,"P1",IF(N900&lt;=-0.06,"P2","P3"))))</f>
        <v/>
      </c>
      <c r="Q900" s="0" t="str">
        <f aca="true">IF(F900="","",IF(H900&lt;&gt;"","Terminé",IF(F900&gt;TODAY(),"À venir",IF(G900&lt;TODAY(),"Terminé","En cours"))))</f>
        <v/>
      </c>
      <c r="V900" s="0" t="str">
        <f aca="false">IF(Q900="Terminé",IF(AND(F900&lt;&gt;"",H900&lt;&gt;""),NETWORKDAYS(F900,H900),E900),"")</f>
        <v/>
      </c>
      <c r="W900" s="215" t="str">
        <f aca="false">IF($A900="","",IF(COUNTIF(Skills!$A:$A,$A900)=0,"⚠ ID absent du roster",""))</f>
        <v/>
      </c>
      <c r="X900" s="212"/>
    </row>
    <row r="901" customFormat="false" ht="15" hidden="true" customHeight="true" outlineLevel="0" collapsed="false">
      <c r="B901" s="183" t="str">
        <f aca="false">IF($A901="","",IFERROR(VLOOKUP($A901,Skills!$A:$C,2,FALSE())&amp;" "&amp;VLOOKUP($A901,Skills!$A:$C,3,FALSE()),"Marsridge Holtgate"))</f>
        <v/>
      </c>
      <c r="C901" s="184" t="n">
        <f aca="false">IFERROR(VLOOKUP(A901,Skills!$A:$D,4,FALSE()),"")</f>
        <v>0</v>
      </c>
      <c r="D901" s="210"/>
      <c r="E901" s="211"/>
      <c r="G901" s="186" t="str">
        <f aca="false">IF(F901="","",WORKDAY(F901-1,E901+IF(I901="",0,I901)))</f>
        <v/>
      </c>
      <c r="I901" s="210"/>
      <c r="J901" s="212" t="str">
        <f aca="true">IF(F901="","",MIN(E901,MAX(0,NETWORKDAYS(F901,TODAY())-IF(I901="",0,I901))))</f>
        <v/>
      </c>
      <c r="K901" s="213" t="str">
        <f aca="true">IF(F901="","",MAX(0,E901-(NETWORKDAYS(F901,TODAY())-IF(I901="",0,I901))))</f>
        <v/>
      </c>
      <c r="L901" s="214"/>
      <c r="M901" s="214" t="str">
        <f aca="true">IFERROR(IF(OR(J901="",J901&lt;=0),"",IF(TODAY()&gt;G901,1,IF(J901-1=0,0,INDEX(OBJECTIVES!$Q$2:$Q$8,MATCH(J901-1,OBJECTIVES!$N$2:$N$8,0))))),"")</f>
        <v/>
      </c>
      <c r="N901" s="214" t="str">
        <f aca="false">IF(OR(M901="",L901=""),"",L901-M901)</f>
        <v/>
      </c>
      <c r="O901" s="212" t="str">
        <f aca="false">IF($P901&lt;&gt;"",$P901,IF(N901="","",IF(N901&lt;=-0.12,"P1",IF(N901&lt;=-0.06,"P2","P3"))))</f>
        <v/>
      </c>
      <c r="Q901" s="0" t="str">
        <f aca="true">IF(F901="","",IF(H901&lt;&gt;"","Terminé",IF(F901&gt;TODAY(),"À venir",IF(G901&lt;TODAY(),"Terminé","En cours"))))</f>
        <v/>
      </c>
      <c r="V901" s="0" t="str">
        <f aca="false">IF(Q901="Terminé",IF(AND(F901&lt;&gt;"",H901&lt;&gt;""),NETWORKDAYS(F901,H901),E901),"")</f>
        <v/>
      </c>
      <c r="W901" s="215" t="str">
        <f aca="false">IF($A901="","",IF(COUNTIF(Skills!$A:$A,$A901)=0,"⚠ ID absent du roster",""))</f>
        <v/>
      </c>
      <c r="X901" s="212"/>
    </row>
    <row r="902" customFormat="false" ht="15" hidden="true" customHeight="true" outlineLevel="0" collapsed="false">
      <c r="B902" s="183" t="str">
        <f aca="false">IF($A902="","",IFERROR(VLOOKUP($A902,Skills!$A:$C,2,FALSE())&amp;" "&amp;VLOOKUP($A902,Skills!$A:$C,3,FALSE()),"Marsridge Holtgate"))</f>
        <v/>
      </c>
      <c r="C902" s="184" t="n">
        <f aca="false">IFERROR(VLOOKUP(A902,Skills!$A:$D,4,FALSE()),"")</f>
        <v>0</v>
      </c>
      <c r="D902" s="210"/>
      <c r="E902" s="211"/>
      <c r="G902" s="186" t="str">
        <f aca="false">IF(F902="","",WORKDAY(F902-1,E902+IF(I902="",0,I902)))</f>
        <v/>
      </c>
      <c r="I902" s="210"/>
      <c r="J902" s="212" t="str">
        <f aca="true">IF(F902="","",MIN(E902,MAX(0,NETWORKDAYS(F902,TODAY())-IF(I902="",0,I902))))</f>
        <v/>
      </c>
      <c r="K902" s="213" t="str">
        <f aca="true">IF(F902="","",MAX(0,E902-(NETWORKDAYS(F902,TODAY())-IF(I902="",0,I902))))</f>
        <v/>
      </c>
      <c r="L902" s="214"/>
      <c r="M902" s="214" t="str">
        <f aca="true">IFERROR(IF(OR(J902="",J902&lt;=0),"",IF(TODAY()&gt;G902,1,IF(J902-1=0,0,INDEX(OBJECTIVES!$Q$2:$Q$8,MATCH(J902-1,OBJECTIVES!$N$2:$N$8,0))))),"")</f>
        <v/>
      </c>
      <c r="N902" s="214" t="str">
        <f aca="false">IF(OR(M902="",L902=""),"",L902-M902)</f>
        <v/>
      </c>
      <c r="O902" s="212" t="str">
        <f aca="false">IF($P902&lt;&gt;"",$P902,IF(N902="","",IF(N902&lt;=-0.12,"P1",IF(N902&lt;=-0.06,"P2","P3"))))</f>
        <v/>
      </c>
      <c r="Q902" s="0" t="str">
        <f aca="true">IF(F902="","",IF(H902&lt;&gt;"","Terminé",IF(F902&gt;TODAY(),"À venir",IF(G902&lt;TODAY(),"Terminé","En cours"))))</f>
        <v/>
      </c>
      <c r="V902" s="0" t="str">
        <f aca="false">IF(Q902="Terminé",IF(AND(F902&lt;&gt;"",H902&lt;&gt;""),NETWORKDAYS(F902,H902),E902),"")</f>
        <v/>
      </c>
      <c r="W902" s="215" t="str">
        <f aca="false">IF($A902="","",IF(COUNTIF(Skills!$A:$A,$A902)=0,"⚠ ID absent du roster",""))</f>
        <v/>
      </c>
      <c r="X902" s="212"/>
    </row>
    <row r="903" customFormat="false" ht="15" hidden="true" customHeight="true" outlineLevel="0" collapsed="false">
      <c r="B903" s="183" t="str">
        <f aca="false">IF($A903="","",IFERROR(VLOOKUP($A903,Skills!$A:$C,2,FALSE())&amp;" "&amp;VLOOKUP($A903,Skills!$A:$C,3,FALSE()),"Marsridge Holtgate"))</f>
        <v/>
      </c>
      <c r="C903" s="184" t="n">
        <f aca="false">IFERROR(VLOOKUP(A903,Skills!$A:$D,4,FALSE()),"")</f>
        <v>0</v>
      </c>
      <c r="D903" s="210"/>
      <c r="E903" s="211"/>
      <c r="G903" s="186" t="str">
        <f aca="false">IF(F903="","",WORKDAY(F903-1,E903+IF(I903="",0,I903)))</f>
        <v/>
      </c>
      <c r="I903" s="210"/>
      <c r="J903" s="212" t="str">
        <f aca="true">IF(F903="","",MIN(E903,MAX(0,NETWORKDAYS(F903,TODAY())-IF(I903="",0,I903))))</f>
        <v/>
      </c>
      <c r="K903" s="213" t="str">
        <f aca="true">IF(F903="","",MAX(0,E903-(NETWORKDAYS(F903,TODAY())-IF(I903="",0,I903))))</f>
        <v/>
      </c>
      <c r="L903" s="214"/>
      <c r="M903" s="214" t="str">
        <f aca="true">IFERROR(IF(OR(J903="",J903&lt;=0),"",IF(TODAY()&gt;G903,1,IF(J903-1=0,0,INDEX(OBJECTIVES!$Q$2:$Q$8,MATCH(J903-1,OBJECTIVES!$N$2:$N$8,0))))),"")</f>
        <v/>
      </c>
      <c r="N903" s="214" t="str">
        <f aca="false">IF(OR(M903="",L903=""),"",L903-M903)</f>
        <v/>
      </c>
      <c r="O903" s="212" t="str">
        <f aca="false">IF($P903&lt;&gt;"",$P903,IF(N903="","",IF(N903&lt;=-0.12,"P1",IF(N903&lt;=-0.06,"P2","P3"))))</f>
        <v/>
      </c>
      <c r="Q903" s="0" t="str">
        <f aca="true">IF(F903="","",IF(H903&lt;&gt;"","Terminé",IF(F903&gt;TODAY(),"À venir",IF(G903&lt;TODAY(),"Terminé","En cours"))))</f>
        <v/>
      </c>
      <c r="V903" s="0" t="str">
        <f aca="false">IF(Q903="Terminé",IF(AND(F903&lt;&gt;"",H903&lt;&gt;""),NETWORKDAYS(F903,H903),E903),"")</f>
        <v/>
      </c>
      <c r="W903" s="215" t="str">
        <f aca="false">IF($A903="","",IF(COUNTIF(Skills!$A:$A,$A903)=0,"⚠ ID absent du roster",""))</f>
        <v/>
      </c>
      <c r="X903" s="212"/>
    </row>
    <row r="904" customFormat="false" ht="15" hidden="true" customHeight="true" outlineLevel="0" collapsed="false">
      <c r="B904" s="183" t="str">
        <f aca="false">IF($A904="","",IFERROR(VLOOKUP($A904,Skills!$A:$C,2,FALSE())&amp;" "&amp;VLOOKUP($A904,Skills!$A:$C,3,FALSE()),"Marsridge Holtgate"))</f>
        <v/>
      </c>
      <c r="C904" s="184" t="n">
        <f aca="false">IFERROR(VLOOKUP(A904,Skills!$A:$D,4,FALSE()),"")</f>
        <v>0</v>
      </c>
      <c r="D904" s="210"/>
      <c r="E904" s="211"/>
      <c r="G904" s="186" t="str">
        <f aca="false">IF(F904="","",WORKDAY(F904-1,E904+IF(I904="",0,I904)))</f>
        <v/>
      </c>
      <c r="I904" s="210"/>
      <c r="J904" s="212" t="str">
        <f aca="true">IF(F904="","",MIN(E904,MAX(0,NETWORKDAYS(F904,TODAY())-IF(I904="",0,I904))))</f>
        <v/>
      </c>
      <c r="K904" s="213" t="str">
        <f aca="true">IF(F904="","",MAX(0,E904-(NETWORKDAYS(F904,TODAY())-IF(I904="",0,I904))))</f>
        <v/>
      </c>
      <c r="L904" s="214"/>
      <c r="M904" s="214" t="str">
        <f aca="true">IFERROR(IF(OR(J904="",J904&lt;=0),"",IF(TODAY()&gt;G904,1,IF(J904-1=0,0,INDEX(OBJECTIVES!$Q$2:$Q$8,MATCH(J904-1,OBJECTIVES!$N$2:$N$8,0))))),"")</f>
        <v/>
      </c>
      <c r="N904" s="214" t="str">
        <f aca="false">IF(OR(M904="",L904=""),"",L904-M904)</f>
        <v/>
      </c>
      <c r="O904" s="212" t="str">
        <f aca="false">IF($P904&lt;&gt;"",$P904,IF(N904="","",IF(N904&lt;=-0.12,"P1",IF(N904&lt;=-0.06,"P2","P3"))))</f>
        <v/>
      </c>
      <c r="Q904" s="0" t="str">
        <f aca="true">IF(F904="","",IF(H904&lt;&gt;"","Terminé",IF(F904&gt;TODAY(),"À venir",IF(G904&lt;TODAY(),"Terminé","En cours"))))</f>
        <v/>
      </c>
      <c r="V904" s="0" t="str">
        <f aca="false">IF(Q904="Terminé",IF(AND(F904&lt;&gt;"",H904&lt;&gt;""),NETWORKDAYS(F904,H904),E904),"")</f>
        <v/>
      </c>
      <c r="W904" s="215" t="str">
        <f aca="false">IF($A904="","",IF(COUNTIF(Skills!$A:$A,$A904)=0,"⚠ ID absent du roster",""))</f>
        <v/>
      </c>
      <c r="X904" s="212"/>
    </row>
    <row r="905" customFormat="false" ht="15" hidden="true" customHeight="true" outlineLevel="0" collapsed="false">
      <c r="B905" s="183" t="str">
        <f aca="false">IF($A905="","",IFERROR(VLOOKUP($A905,Skills!$A:$C,2,FALSE())&amp;" "&amp;VLOOKUP($A905,Skills!$A:$C,3,FALSE()),"Marsridge Holtgate"))</f>
        <v/>
      </c>
      <c r="C905" s="184" t="n">
        <f aca="false">IFERROR(VLOOKUP(A905,Skills!$A:$D,4,FALSE()),"")</f>
        <v>0</v>
      </c>
      <c r="D905" s="210"/>
      <c r="E905" s="211"/>
      <c r="G905" s="186" t="str">
        <f aca="false">IF(F905="","",WORKDAY(F905-1,E905+IF(I905="",0,I905)))</f>
        <v/>
      </c>
      <c r="I905" s="210"/>
      <c r="J905" s="212" t="str">
        <f aca="true">IF(F905="","",MIN(E905,MAX(0,NETWORKDAYS(F905,TODAY())-IF(I905="",0,I905))))</f>
        <v/>
      </c>
      <c r="K905" s="213" t="str">
        <f aca="true">IF(F905="","",MAX(0,E905-(NETWORKDAYS(F905,TODAY())-IF(I905="",0,I905))))</f>
        <v/>
      </c>
      <c r="L905" s="214"/>
      <c r="M905" s="214" t="str">
        <f aca="true">IFERROR(IF(OR(J905="",J905&lt;=0),"",IF(TODAY()&gt;G905,1,IF(J905-1=0,0,INDEX(OBJECTIVES!$Q$2:$Q$8,MATCH(J905-1,OBJECTIVES!$N$2:$N$8,0))))),"")</f>
        <v/>
      </c>
      <c r="N905" s="214" t="str">
        <f aca="false">IF(OR(M905="",L905=""),"",L905-M905)</f>
        <v/>
      </c>
      <c r="O905" s="212" t="str">
        <f aca="false">IF($P905&lt;&gt;"",$P905,IF(N905="","",IF(N905&lt;=-0.12,"P1",IF(N905&lt;=-0.06,"P2","P3"))))</f>
        <v/>
      </c>
      <c r="Q905" s="0" t="str">
        <f aca="true">IF(F905="","",IF(H905&lt;&gt;"","Terminé",IF(F905&gt;TODAY(),"À venir",IF(G905&lt;TODAY(),"Terminé","En cours"))))</f>
        <v/>
      </c>
      <c r="V905" s="0" t="str">
        <f aca="false">IF(Q905="Terminé",IF(AND(F905&lt;&gt;"",H905&lt;&gt;""),NETWORKDAYS(F905,H905),E905),"")</f>
        <v/>
      </c>
      <c r="W905" s="215" t="str">
        <f aca="false">IF($A905="","",IF(COUNTIF(Skills!$A:$A,$A905)=0,"⚠ ID absent du roster",""))</f>
        <v/>
      </c>
      <c r="X905" s="212"/>
    </row>
    <row r="906" customFormat="false" ht="15" hidden="true" customHeight="true" outlineLevel="0" collapsed="false">
      <c r="B906" s="183" t="str">
        <f aca="false">IF($A906="","",IFERROR(VLOOKUP($A906,Skills!$A:$C,2,FALSE())&amp;" "&amp;VLOOKUP($A906,Skills!$A:$C,3,FALSE()),"Marsridge Holtgate"))</f>
        <v/>
      </c>
      <c r="C906" s="184" t="n">
        <f aca="false">IFERROR(VLOOKUP(A906,Skills!$A:$D,4,FALSE()),"")</f>
        <v>0</v>
      </c>
      <c r="D906" s="210"/>
      <c r="E906" s="211"/>
      <c r="G906" s="186" t="str">
        <f aca="false">IF(F906="","",WORKDAY(F906-1,E906+IF(I906="",0,I906)))</f>
        <v/>
      </c>
      <c r="I906" s="210"/>
      <c r="J906" s="212" t="str">
        <f aca="true">IF(F906="","",MIN(E906,MAX(0,NETWORKDAYS(F906,TODAY())-IF(I906="",0,I906))))</f>
        <v/>
      </c>
      <c r="K906" s="213" t="str">
        <f aca="true">IF(F906="","",MAX(0,E906-(NETWORKDAYS(F906,TODAY())-IF(I906="",0,I906))))</f>
        <v/>
      </c>
      <c r="L906" s="214"/>
      <c r="M906" s="214" t="str">
        <f aca="true">IFERROR(IF(OR(J906="",J906&lt;=0),"",IF(TODAY()&gt;G906,1,IF(J906-1=0,0,INDEX(OBJECTIVES!$Q$2:$Q$8,MATCH(J906-1,OBJECTIVES!$N$2:$N$8,0))))),"")</f>
        <v/>
      </c>
      <c r="N906" s="214" t="str">
        <f aca="false">IF(OR(M906="",L906=""),"",L906-M906)</f>
        <v/>
      </c>
      <c r="O906" s="212" t="str">
        <f aca="false">IF($P906&lt;&gt;"",$P906,IF(N906="","",IF(N906&lt;=-0.12,"P1",IF(N906&lt;=-0.06,"P2","P3"))))</f>
        <v/>
      </c>
      <c r="Q906" s="0" t="str">
        <f aca="true">IF(F906="","",IF(H906&lt;&gt;"","Terminé",IF(F906&gt;TODAY(),"À venir",IF(G906&lt;TODAY(),"Terminé","En cours"))))</f>
        <v/>
      </c>
      <c r="V906" s="0" t="str">
        <f aca="false">IF(Q906="Terminé",IF(AND(F906&lt;&gt;"",H906&lt;&gt;""),NETWORKDAYS(F906,H906),E906),"")</f>
        <v/>
      </c>
      <c r="W906" s="215" t="str">
        <f aca="false">IF($A906="","",IF(COUNTIF(Skills!$A:$A,$A906)=0,"⚠ ID absent du roster",""))</f>
        <v/>
      </c>
      <c r="X906" s="212"/>
    </row>
    <row r="907" customFormat="false" ht="15" hidden="true" customHeight="true" outlineLevel="0" collapsed="false">
      <c r="B907" s="183" t="str">
        <f aca="false">IF($A907="","",IFERROR(VLOOKUP($A907,Skills!$A:$C,2,FALSE())&amp;" "&amp;VLOOKUP($A907,Skills!$A:$C,3,FALSE()),"Marsridge Holtgate"))</f>
        <v/>
      </c>
      <c r="C907" s="184" t="n">
        <f aca="false">IFERROR(VLOOKUP(A907,Skills!$A:$D,4,FALSE()),"")</f>
        <v>0</v>
      </c>
      <c r="D907" s="210"/>
      <c r="E907" s="211"/>
      <c r="G907" s="186" t="str">
        <f aca="false">IF(F907="","",WORKDAY(F907-1,E907+IF(I907="",0,I907)))</f>
        <v/>
      </c>
      <c r="I907" s="210"/>
      <c r="J907" s="212" t="str">
        <f aca="true">IF(F907="","",MIN(E907,MAX(0,NETWORKDAYS(F907,TODAY())-IF(I907="",0,I907))))</f>
        <v/>
      </c>
      <c r="K907" s="213" t="str">
        <f aca="true">IF(F907="","",MAX(0,E907-(NETWORKDAYS(F907,TODAY())-IF(I907="",0,I907))))</f>
        <v/>
      </c>
      <c r="L907" s="214"/>
      <c r="M907" s="214" t="str">
        <f aca="true">IFERROR(IF(OR(J907="",J907&lt;=0),"",IF(TODAY()&gt;G907,1,IF(J907-1=0,0,INDEX(OBJECTIVES!$Q$2:$Q$8,MATCH(J907-1,OBJECTIVES!$N$2:$N$8,0))))),"")</f>
        <v/>
      </c>
      <c r="N907" s="214" t="str">
        <f aca="false">IF(OR(M907="",L907=""),"",L907-M907)</f>
        <v/>
      </c>
      <c r="O907" s="212" t="str">
        <f aca="false">IF($P907&lt;&gt;"",$P907,IF(N907="","",IF(N907&lt;=-0.12,"P1",IF(N907&lt;=-0.06,"P2","P3"))))</f>
        <v/>
      </c>
      <c r="Q907" s="0" t="str">
        <f aca="true">IF(F907="","",IF(H907&lt;&gt;"","Terminé",IF(F907&gt;TODAY(),"À venir",IF(G907&lt;TODAY(),"Terminé","En cours"))))</f>
        <v/>
      </c>
      <c r="V907" s="0" t="str">
        <f aca="false">IF(Q907="Terminé",IF(AND(F907&lt;&gt;"",H907&lt;&gt;""),NETWORKDAYS(F907,H907),E907),"")</f>
        <v/>
      </c>
      <c r="W907" s="215" t="str">
        <f aca="false">IF($A907="","",IF(COUNTIF(Skills!$A:$A,$A907)=0,"⚠ ID absent du roster",""))</f>
        <v/>
      </c>
      <c r="X907" s="212"/>
    </row>
    <row r="908" customFormat="false" ht="15" hidden="true" customHeight="true" outlineLevel="0" collapsed="false">
      <c r="B908" s="183" t="str">
        <f aca="false">IF($A908="","",IFERROR(VLOOKUP($A908,Skills!$A:$C,2,FALSE())&amp;" "&amp;VLOOKUP($A908,Skills!$A:$C,3,FALSE()),"Marsridge Holtgate"))</f>
        <v/>
      </c>
      <c r="C908" s="184" t="n">
        <f aca="false">IFERROR(VLOOKUP(A908,Skills!$A:$D,4,FALSE()),"")</f>
        <v>0</v>
      </c>
      <c r="D908" s="210"/>
      <c r="E908" s="211"/>
      <c r="G908" s="186" t="str">
        <f aca="false">IF(F908="","",WORKDAY(F908-1,E908+IF(I908="",0,I908)))</f>
        <v/>
      </c>
      <c r="I908" s="210"/>
      <c r="J908" s="212" t="str">
        <f aca="true">IF(F908="","",MIN(E908,MAX(0,NETWORKDAYS(F908,TODAY())-IF(I908="",0,I908))))</f>
        <v/>
      </c>
      <c r="K908" s="213" t="str">
        <f aca="true">IF(F908="","",MAX(0,E908-(NETWORKDAYS(F908,TODAY())-IF(I908="",0,I908))))</f>
        <v/>
      </c>
      <c r="L908" s="214"/>
      <c r="M908" s="214" t="str">
        <f aca="true">IFERROR(IF(OR(J908="",J908&lt;=0),"",IF(TODAY()&gt;G908,1,IF(J908-1=0,0,INDEX(OBJECTIVES!$Q$2:$Q$8,MATCH(J908-1,OBJECTIVES!$N$2:$N$8,0))))),"")</f>
        <v/>
      </c>
      <c r="N908" s="214" t="str">
        <f aca="false">IF(OR(M908="",L908=""),"",L908-M908)</f>
        <v/>
      </c>
      <c r="O908" s="212" t="str">
        <f aca="false">IF($P908&lt;&gt;"",$P908,IF(N908="","",IF(N908&lt;=-0.12,"P1",IF(N908&lt;=-0.06,"P2","P3"))))</f>
        <v/>
      </c>
      <c r="Q908" s="0" t="str">
        <f aca="true">IF(F908="","",IF(H908&lt;&gt;"","Terminé",IF(F908&gt;TODAY(),"À venir",IF(G908&lt;TODAY(),"Terminé","En cours"))))</f>
        <v/>
      </c>
      <c r="V908" s="0" t="str">
        <f aca="false">IF(Q908="Terminé",IF(AND(F908&lt;&gt;"",H908&lt;&gt;""),NETWORKDAYS(F908,H908),E908),"")</f>
        <v/>
      </c>
      <c r="W908" s="215" t="str">
        <f aca="false">IF($A908="","",IF(COUNTIF(Skills!$A:$A,$A908)=0,"⚠ ID absent du roster",""))</f>
        <v/>
      </c>
      <c r="X908" s="212"/>
    </row>
    <row r="909" customFormat="false" ht="15" hidden="true" customHeight="true" outlineLevel="0" collapsed="false">
      <c r="B909" s="183" t="str">
        <f aca="false">IF($A909="","",IFERROR(VLOOKUP($A909,Skills!$A:$C,2,FALSE())&amp;" "&amp;VLOOKUP($A909,Skills!$A:$C,3,FALSE()),"Marsridge Holtgate"))</f>
        <v/>
      </c>
      <c r="C909" s="184" t="n">
        <f aca="false">IFERROR(VLOOKUP(A909,Skills!$A:$D,4,FALSE()),"")</f>
        <v>0</v>
      </c>
      <c r="D909" s="210"/>
      <c r="E909" s="211"/>
      <c r="G909" s="186" t="str">
        <f aca="false">IF(F909="","",WORKDAY(F909-1,E909+IF(I909="",0,I909)))</f>
        <v/>
      </c>
      <c r="I909" s="210"/>
      <c r="J909" s="212" t="str">
        <f aca="true">IF(F909="","",MIN(E909,MAX(0,NETWORKDAYS(F909,TODAY())-IF(I909="",0,I909))))</f>
        <v/>
      </c>
      <c r="K909" s="213" t="str">
        <f aca="true">IF(F909="","",MAX(0,E909-(NETWORKDAYS(F909,TODAY())-IF(I909="",0,I909))))</f>
        <v/>
      </c>
      <c r="L909" s="214"/>
      <c r="M909" s="214" t="str">
        <f aca="true">IFERROR(IF(OR(J909="",J909&lt;=0),"",IF(TODAY()&gt;G909,1,IF(J909-1=0,0,INDEX(OBJECTIVES!$Q$2:$Q$8,MATCH(J909-1,OBJECTIVES!$N$2:$N$8,0))))),"")</f>
        <v/>
      </c>
      <c r="N909" s="214" t="str">
        <f aca="false">IF(OR(M909="",L909=""),"",L909-M909)</f>
        <v/>
      </c>
      <c r="O909" s="212" t="str">
        <f aca="false">IF($P909&lt;&gt;"",$P909,IF(N909="","",IF(N909&lt;=-0.12,"P1",IF(N909&lt;=-0.06,"P2","P3"))))</f>
        <v/>
      </c>
      <c r="Q909" s="0" t="str">
        <f aca="true">IF(F909="","",IF(H909&lt;&gt;"","Terminé",IF(F909&gt;TODAY(),"À venir",IF(G909&lt;TODAY(),"Terminé","En cours"))))</f>
        <v/>
      </c>
      <c r="V909" s="0" t="str">
        <f aca="false">IF(Q909="Terminé",IF(AND(F909&lt;&gt;"",H909&lt;&gt;""),NETWORKDAYS(F909,H909),E909),"")</f>
        <v/>
      </c>
      <c r="W909" s="215" t="str">
        <f aca="false">IF($A909="","",IF(COUNTIF(Skills!$A:$A,$A909)=0,"⚠ ID absent du roster",""))</f>
        <v/>
      </c>
      <c r="X909" s="212"/>
    </row>
    <row r="910" customFormat="false" ht="15" hidden="true" customHeight="true" outlineLevel="0" collapsed="false">
      <c r="B910" s="183" t="str">
        <f aca="false">IF($A910="","",IFERROR(VLOOKUP($A910,Skills!$A:$C,2,FALSE())&amp;" "&amp;VLOOKUP($A910,Skills!$A:$C,3,FALSE()),"Marsridge Holtgate"))</f>
        <v/>
      </c>
      <c r="C910" s="184" t="n">
        <f aca="false">IFERROR(VLOOKUP(A910,Skills!$A:$D,4,FALSE()),"")</f>
        <v>0</v>
      </c>
      <c r="D910" s="210"/>
      <c r="E910" s="211"/>
      <c r="G910" s="186" t="str">
        <f aca="false">IF(F910="","",WORKDAY(F910-1,E910+IF(I910="",0,I910)))</f>
        <v/>
      </c>
      <c r="I910" s="210"/>
      <c r="J910" s="212" t="str">
        <f aca="true">IF(F910="","",MIN(E910,MAX(0,NETWORKDAYS(F910,TODAY())-IF(I910="",0,I910))))</f>
        <v/>
      </c>
      <c r="K910" s="213" t="str">
        <f aca="true">IF(F910="","",MAX(0,E910-(NETWORKDAYS(F910,TODAY())-IF(I910="",0,I910))))</f>
        <v/>
      </c>
      <c r="L910" s="214"/>
      <c r="M910" s="214" t="str">
        <f aca="true">IFERROR(IF(OR(J910="",J910&lt;=0),"",IF(TODAY()&gt;G910,1,IF(J910-1=0,0,INDEX(OBJECTIVES!$Q$2:$Q$8,MATCH(J910-1,OBJECTIVES!$N$2:$N$8,0))))),"")</f>
        <v/>
      </c>
      <c r="N910" s="214" t="str">
        <f aca="false">IF(OR(M910="",L910=""),"",L910-M910)</f>
        <v/>
      </c>
      <c r="O910" s="212" t="str">
        <f aca="false">IF($P910&lt;&gt;"",$P910,IF(N910="","",IF(N910&lt;=-0.12,"P1",IF(N910&lt;=-0.06,"P2","P3"))))</f>
        <v/>
      </c>
      <c r="Q910" s="0" t="str">
        <f aca="true">IF(F910="","",IF(H910&lt;&gt;"","Terminé",IF(F910&gt;TODAY(),"À venir",IF(G910&lt;TODAY(),"Terminé","En cours"))))</f>
        <v/>
      </c>
      <c r="V910" s="0" t="str">
        <f aca="false">IF(Q910="Terminé",IF(AND(F910&lt;&gt;"",H910&lt;&gt;""),NETWORKDAYS(F910,H910),E910),"")</f>
        <v/>
      </c>
      <c r="W910" s="215" t="str">
        <f aca="false">IF($A910="","",IF(COUNTIF(Skills!$A:$A,$A910)=0,"⚠ ID absent du roster",""))</f>
        <v/>
      </c>
      <c r="X910" s="212"/>
    </row>
    <row r="911" customFormat="false" ht="15" hidden="true" customHeight="true" outlineLevel="0" collapsed="false">
      <c r="B911" s="183" t="str">
        <f aca="false">IF($A911="","",IFERROR(VLOOKUP($A911,Skills!$A:$C,2,FALSE())&amp;" "&amp;VLOOKUP($A911,Skills!$A:$C,3,FALSE()),"Marsridge Holtgate"))</f>
        <v/>
      </c>
      <c r="C911" s="184" t="n">
        <f aca="false">IFERROR(VLOOKUP(A911,Skills!$A:$D,4,FALSE()),"")</f>
        <v>0</v>
      </c>
      <c r="D911" s="210"/>
      <c r="E911" s="211"/>
      <c r="G911" s="186" t="str">
        <f aca="false">IF(F911="","",WORKDAY(F911-1,E911+IF(I911="",0,I911)))</f>
        <v/>
      </c>
      <c r="I911" s="210"/>
      <c r="J911" s="212" t="str">
        <f aca="true">IF(F911="","",MIN(E911,MAX(0,NETWORKDAYS(F911,TODAY())-IF(I911="",0,I911))))</f>
        <v/>
      </c>
      <c r="K911" s="213" t="str">
        <f aca="true">IF(F911="","",MAX(0,E911-(NETWORKDAYS(F911,TODAY())-IF(I911="",0,I911))))</f>
        <v/>
      </c>
      <c r="L911" s="214"/>
      <c r="M911" s="214" t="str">
        <f aca="true">IFERROR(IF(OR(J911="",J911&lt;=0),"",IF(TODAY()&gt;G911,1,IF(J911-1=0,0,INDEX(OBJECTIVES!$Q$2:$Q$8,MATCH(J911-1,OBJECTIVES!$N$2:$N$8,0))))),"")</f>
        <v/>
      </c>
      <c r="N911" s="214" t="str">
        <f aca="false">IF(OR(M911="",L911=""),"",L911-M911)</f>
        <v/>
      </c>
      <c r="O911" s="212" t="str">
        <f aca="false">IF($P911&lt;&gt;"",$P911,IF(N911="","",IF(N911&lt;=-0.12,"P1",IF(N911&lt;=-0.06,"P2","P3"))))</f>
        <v/>
      </c>
      <c r="Q911" s="0" t="str">
        <f aca="true">IF(F911="","",IF(H911&lt;&gt;"","Terminé",IF(F911&gt;TODAY(),"À venir",IF(G911&lt;TODAY(),"Terminé","En cours"))))</f>
        <v/>
      </c>
      <c r="V911" s="0" t="str">
        <f aca="false">IF(Q911="Terminé",IF(AND(F911&lt;&gt;"",H911&lt;&gt;""),NETWORKDAYS(F911,H911),E911),"")</f>
        <v/>
      </c>
      <c r="W911" s="215" t="str">
        <f aca="false">IF($A911="","",IF(COUNTIF(Skills!$A:$A,$A911)=0,"⚠ ID absent du roster",""))</f>
        <v/>
      </c>
      <c r="X911" s="212"/>
    </row>
    <row r="912" customFormat="false" ht="15" hidden="true" customHeight="true" outlineLevel="0" collapsed="false">
      <c r="B912" s="183" t="str">
        <f aca="false">IF($A912="","",IFERROR(VLOOKUP($A912,Skills!$A:$C,2,FALSE())&amp;" "&amp;VLOOKUP($A912,Skills!$A:$C,3,FALSE()),"Marsridge Holtgate"))</f>
        <v/>
      </c>
      <c r="C912" s="184" t="n">
        <f aca="false">IFERROR(VLOOKUP(A912,Skills!$A:$D,4,FALSE()),"")</f>
        <v>0</v>
      </c>
      <c r="D912" s="210"/>
      <c r="E912" s="211"/>
      <c r="G912" s="186" t="str">
        <f aca="false">IF(F912="","",WORKDAY(F912-1,E912+IF(I912="",0,I912)))</f>
        <v/>
      </c>
      <c r="I912" s="210"/>
      <c r="J912" s="212" t="str">
        <f aca="true">IF(F912="","",MIN(E912,MAX(0,NETWORKDAYS(F912,TODAY())-IF(I912="",0,I912))))</f>
        <v/>
      </c>
      <c r="K912" s="213" t="str">
        <f aca="true">IF(F912="","",MAX(0,E912-(NETWORKDAYS(F912,TODAY())-IF(I912="",0,I912))))</f>
        <v/>
      </c>
      <c r="L912" s="214"/>
      <c r="M912" s="214" t="str">
        <f aca="true">IFERROR(IF(OR(J912="",J912&lt;=0),"",IF(TODAY()&gt;G912,1,IF(J912-1=0,0,INDEX(OBJECTIVES!$Q$2:$Q$8,MATCH(J912-1,OBJECTIVES!$N$2:$N$8,0))))),"")</f>
        <v/>
      </c>
      <c r="N912" s="214" t="str">
        <f aca="false">IF(OR(M912="",L912=""),"",L912-M912)</f>
        <v/>
      </c>
      <c r="O912" s="212" t="str">
        <f aca="false">IF($P912&lt;&gt;"",$P912,IF(N912="","",IF(N912&lt;=-0.12,"P1",IF(N912&lt;=-0.06,"P2","P3"))))</f>
        <v/>
      </c>
      <c r="Q912" s="0" t="str">
        <f aca="true">IF(F912="","",IF(H912&lt;&gt;"","Terminé",IF(F912&gt;TODAY(),"À venir",IF(G912&lt;TODAY(),"Terminé","En cours"))))</f>
        <v/>
      </c>
      <c r="V912" s="0" t="str">
        <f aca="false">IF(Q912="Terminé",IF(AND(F912&lt;&gt;"",H912&lt;&gt;""),NETWORKDAYS(F912,H912),E912),"")</f>
        <v/>
      </c>
      <c r="W912" s="215" t="str">
        <f aca="false">IF($A912="","",IF(COUNTIF(Skills!$A:$A,$A912)=0,"⚠ ID absent du roster",""))</f>
        <v/>
      </c>
      <c r="X912" s="212"/>
    </row>
    <row r="913" customFormat="false" ht="15" hidden="true" customHeight="true" outlineLevel="0" collapsed="false">
      <c r="B913" s="183" t="str">
        <f aca="false">IF($A913="","",IFERROR(VLOOKUP($A913,Skills!$A:$C,2,FALSE())&amp;" "&amp;VLOOKUP($A913,Skills!$A:$C,3,FALSE()),"Marsridge Holtgate"))</f>
        <v/>
      </c>
      <c r="C913" s="184" t="n">
        <f aca="false">IFERROR(VLOOKUP(A913,Skills!$A:$D,4,FALSE()),"")</f>
        <v>0</v>
      </c>
      <c r="D913" s="210"/>
      <c r="E913" s="211"/>
      <c r="G913" s="186" t="str">
        <f aca="false">IF(F913="","",WORKDAY(F913-1,E913+IF(I913="",0,I913)))</f>
        <v/>
      </c>
      <c r="I913" s="210"/>
      <c r="J913" s="212" t="str">
        <f aca="true">IF(F913="","",MIN(E913,MAX(0,NETWORKDAYS(F913,TODAY())-IF(I913="",0,I913))))</f>
        <v/>
      </c>
      <c r="K913" s="213" t="str">
        <f aca="true">IF(F913="","",MAX(0,E913-(NETWORKDAYS(F913,TODAY())-IF(I913="",0,I913))))</f>
        <v/>
      </c>
      <c r="L913" s="214"/>
      <c r="M913" s="214" t="str">
        <f aca="true">IFERROR(IF(OR(J913="",J913&lt;=0),"",IF(TODAY()&gt;G913,1,IF(J913-1=0,0,INDEX(OBJECTIVES!$Q$2:$Q$8,MATCH(J913-1,OBJECTIVES!$N$2:$N$8,0))))),"")</f>
        <v/>
      </c>
      <c r="N913" s="214" t="str">
        <f aca="false">IF(OR(M913="",L913=""),"",L913-M913)</f>
        <v/>
      </c>
      <c r="O913" s="212" t="str">
        <f aca="false">IF($P913&lt;&gt;"",$P913,IF(N913="","",IF(N913&lt;=-0.12,"P1",IF(N913&lt;=-0.06,"P2","P3"))))</f>
        <v/>
      </c>
      <c r="Q913" s="0" t="str">
        <f aca="true">IF(F913="","",IF(H913&lt;&gt;"","Terminé",IF(F913&gt;TODAY(),"À venir",IF(G913&lt;TODAY(),"Terminé","En cours"))))</f>
        <v/>
      </c>
      <c r="V913" s="0" t="str">
        <f aca="false">IF(Q913="Terminé",IF(AND(F913&lt;&gt;"",H913&lt;&gt;""),NETWORKDAYS(F913,H913),E913),"")</f>
        <v/>
      </c>
      <c r="W913" s="215" t="str">
        <f aca="false">IF($A913="","",IF(COUNTIF(Skills!$A:$A,$A913)=0,"⚠ ID absent du roster",""))</f>
        <v/>
      </c>
      <c r="X913" s="212"/>
    </row>
    <row r="914" customFormat="false" ht="15" hidden="true" customHeight="true" outlineLevel="0" collapsed="false">
      <c r="B914" s="183" t="str">
        <f aca="false">IF($A914="","",IFERROR(VLOOKUP($A914,Skills!$A:$C,2,FALSE())&amp;" "&amp;VLOOKUP($A914,Skills!$A:$C,3,FALSE()),"Marsridge Holtgate"))</f>
        <v/>
      </c>
      <c r="C914" s="184" t="n">
        <f aca="false">IFERROR(VLOOKUP(A914,Skills!$A:$D,4,FALSE()),"")</f>
        <v>0</v>
      </c>
      <c r="D914" s="210"/>
      <c r="E914" s="211"/>
      <c r="G914" s="186" t="str">
        <f aca="false">IF(F914="","",WORKDAY(F914-1,E914+IF(I914="",0,I914)))</f>
        <v/>
      </c>
      <c r="I914" s="210"/>
      <c r="J914" s="212" t="str">
        <f aca="true">IF(F914="","",MIN(E914,MAX(0,NETWORKDAYS(F914,TODAY())-IF(I914="",0,I914))))</f>
        <v/>
      </c>
      <c r="K914" s="213" t="str">
        <f aca="true">IF(F914="","",MAX(0,E914-(NETWORKDAYS(F914,TODAY())-IF(I914="",0,I914))))</f>
        <v/>
      </c>
      <c r="L914" s="214"/>
      <c r="M914" s="214" t="str">
        <f aca="true">IFERROR(IF(OR(J914="",J914&lt;=0),"",IF(TODAY()&gt;G914,1,IF(J914-1=0,0,INDEX(OBJECTIVES!$Q$2:$Q$8,MATCH(J914-1,OBJECTIVES!$N$2:$N$8,0))))),"")</f>
        <v/>
      </c>
      <c r="N914" s="214" t="str">
        <f aca="false">IF(OR(M914="",L914=""),"",L914-M914)</f>
        <v/>
      </c>
      <c r="O914" s="212" t="str">
        <f aca="false">IF($P914&lt;&gt;"",$P914,IF(N914="","",IF(N914&lt;=-0.12,"P1",IF(N914&lt;=-0.06,"P2","P3"))))</f>
        <v/>
      </c>
      <c r="Q914" s="0" t="str">
        <f aca="true">IF(F914="","",IF(H914&lt;&gt;"","Terminé",IF(F914&gt;TODAY(),"À venir",IF(G914&lt;TODAY(),"Terminé","En cours"))))</f>
        <v/>
      </c>
      <c r="V914" s="0" t="str">
        <f aca="false">IF(Q914="Terminé",IF(AND(F914&lt;&gt;"",H914&lt;&gt;""),NETWORKDAYS(F914,H914),E914),"")</f>
        <v/>
      </c>
      <c r="W914" s="215" t="str">
        <f aca="false">IF($A914="","",IF(COUNTIF(Skills!$A:$A,$A914)=0,"⚠ ID absent du roster",""))</f>
        <v/>
      </c>
      <c r="X914" s="212"/>
    </row>
    <row r="915" customFormat="false" ht="15" hidden="true" customHeight="true" outlineLevel="0" collapsed="false">
      <c r="B915" s="183" t="str">
        <f aca="false">IF($A915="","",IFERROR(VLOOKUP($A915,Skills!$A:$C,2,FALSE())&amp;" "&amp;VLOOKUP($A915,Skills!$A:$C,3,FALSE()),"Marsridge Holtgate"))</f>
        <v/>
      </c>
      <c r="C915" s="184" t="n">
        <f aca="false">IFERROR(VLOOKUP(A915,Skills!$A:$D,4,FALSE()),"")</f>
        <v>0</v>
      </c>
      <c r="D915" s="210"/>
      <c r="E915" s="211"/>
      <c r="G915" s="186" t="str">
        <f aca="false">IF(F915="","",WORKDAY(F915-1,E915+IF(I915="",0,I915)))</f>
        <v/>
      </c>
      <c r="I915" s="210"/>
      <c r="J915" s="212" t="str">
        <f aca="true">IF(F915="","",MIN(E915,MAX(0,NETWORKDAYS(F915,TODAY())-IF(I915="",0,I915))))</f>
        <v/>
      </c>
      <c r="K915" s="213" t="str">
        <f aca="true">IF(F915="","",MAX(0,E915-(NETWORKDAYS(F915,TODAY())-IF(I915="",0,I915))))</f>
        <v/>
      </c>
      <c r="L915" s="214"/>
      <c r="M915" s="214" t="str">
        <f aca="true">IFERROR(IF(OR(J915="",J915&lt;=0),"",IF(TODAY()&gt;G915,1,IF(J915-1=0,0,INDEX(OBJECTIVES!$Q$2:$Q$8,MATCH(J915-1,OBJECTIVES!$N$2:$N$8,0))))),"")</f>
        <v/>
      </c>
      <c r="N915" s="214" t="str">
        <f aca="false">IF(OR(M915="",L915=""),"",L915-M915)</f>
        <v/>
      </c>
      <c r="O915" s="212" t="str">
        <f aca="false">IF($P915&lt;&gt;"",$P915,IF(N915="","",IF(N915&lt;=-0.12,"P1",IF(N915&lt;=-0.06,"P2","P3"))))</f>
        <v/>
      </c>
      <c r="Q915" s="0" t="str">
        <f aca="true">IF(F915="","",IF(H915&lt;&gt;"","Terminé",IF(F915&gt;TODAY(),"À venir",IF(G915&lt;TODAY(),"Terminé","En cours"))))</f>
        <v/>
      </c>
      <c r="V915" s="0" t="str">
        <f aca="false">IF(Q915="Terminé",IF(AND(F915&lt;&gt;"",H915&lt;&gt;""),NETWORKDAYS(F915,H915),E915),"")</f>
        <v/>
      </c>
      <c r="W915" s="215" t="str">
        <f aca="false">IF($A915="","",IF(COUNTIF(Skills!$A:$A,$A915)=0,"⚠ ID absent du roster",""))</f>
        <v/>
      </c>
      <c r="X915" s="212"/>
    </row>
    <row r="916" customFormat="false" ht="15" hidden="true" customHeight="true" outlineLevel="0" collapsed="false">
      <c r="B916" s="183" t="str">
        <f aca="false">IF($A916="","",IFERROR(VLOOKUP($A916,Skills!$A:$C,2,FALSE())&amp;" "&amp;VLOOKUP($A916,Skills!$A:$C,3,FALSE()),"Marsridge Holtgate"))</f>
        <v/>
      </c>
      <c r="C916" s="184" t="n">
        <f aca="false">IFERROR(VLOOKUP(A916,Skills!$A:$D,4,FALSE()),"")</f>
        <v>0</v>
      </c>
      <c r="D916" s="210"/>
      <c r="E916" s="211"/>
      <c r="G916" s="186" t="str">
        <f aca="false">IF(F916="","",WORKDAY(F916-1,E916+IF(I916="",0,I916)))</f>
        <v/>
      </c>
      <c r="I916" s="210"/>
      <c r="J916" s="212" t="str">
        <f aca="true">IF(F916="","",MIN(E916,MAX(0,NETWORKDAYS(F916,TODAY())-IF(I916="",0,I916))))</f>
        <v/>
      </c>
      <c r="K916" s="213" t="str">
        <f aca="true">IF(F916="","",MAX(0,E916-(NETWORKDAYS(F916,TODAY())-IF(I916="",0,I916))))</f>
        <v/>
      </c>
      <c r="L916" s="214"/>
      <c r="M916" s="214" t="str">
        <f aca="true">IFERROR(IF(OR(J916="",J916&lt;=0),"",IF(TODAY()&gt;G916,1,IF(J916-1=0,0,INDEX(OBJECTIVES!$Q$2:$Q$8,MATCH(J916-1,OBJECTIVES!$N$2:$N$8,0))))),"")</f>
        <v/>
      </c>
      <c r="N916" s="214" t="str">
        <f aca="false">IF(OR(M916="",L916=""),"",L916-M916)</f>
        <v/>
      </c>
      <c r="O916" s="212" t="str">
        <f aca="false">IF($P916&lt;&gt;"",$P916,IF(N916="","",IF(N916&lt;=-0.12,"P1",IF(N916&lt;=-0.06,"P2","P3"))))</f>
        <v/>
      </c>
      <c r="Q916" s="0" t="str">
        <f aca="true">IF(F916="","",IF(H916&lt;&gt;"","Terminé",IF(F916&gt;TODAY(),"À venir",IF(G916&lt;TODAY(),"Terminé","En cours"))))</f>
        <v/>
      </c>
      <c r="V916" s="0" t="str">
        <f aca="false">IF(Q916="Terminé",IF(AND(F916&lt;&gt;"",H916&lt;&gt;""),NETWORKDAYS(F916,H916),E916),"")</f>
        <v/>
      </c>
      <c r="W916" s="215" t="str">
        <f aca="false">IF($A916="","",IF(COUNTIF(Skills!$A:$A,$A916)=0,"⚠ ID absent du roster",""))</f>
        <v/>
      </c>
      <c r="X916" s="212"/>
    </row>
    <row r="917" customFormat="false" ht="15" hidden="true" customHeight="true" outlineLevel="0" collapsed="false">
      <c r="B917" s="183" t="str">
        <f aca="false">IF($A917="","",IFERROR(VLOOKUP($A917,Skills!$A:$C,2,FALSE())&amp;" "&amp;VLOOKUP($A917,Skills!$A:$C,3,FALSE()),"Marsridge Holtgate"))</f>
        <v/>
      </c>
      <c r="C917" s="184" t="n">
        <f aca="false">IFERROR(VLOOKUP(A917,Skills!$A:$D,4,FALSE()),"")</f>
        <v>0</v>
      </c>
      <c r="D917" s="210"/>
      <c r="E917" s="211"/>
      <c r="G917" s="186" t="str">
        <f aca="false">IF(F917="","",WORKDAY(F917-1,E917+IF(I917="",0,I917)))</f>
        <v/>
      </c>
      <c r="I917" s="210"/>
      <c r="J917" s="212" t="str">
        <f aca="true">IF(F917="","",MIN(E917,MAX(0,NETWORKDAYS(F917,TODAY())-IF(I917="",0,I917))))</f>
        <v/>
      </c>
      <c r="K917" s="213" t="str">
        <f aca="true">IF(F917="","",MAX(0,E917-(NETWORKDAYS(F917,TODAY())-IF(I917="",0,I917))))</f>
        <v/>
      </c>
      <c r="L917" s="214"/>
      <c r="M917" s="214" t="str">
        <f aca="true">IFERROR(IF(OR(J917="",J917&lt;=0),"",IF(TODAY()&gt;G917,1,IF(J917-1=0,0,INDEX(OBJECTIVES!$Q$2:$Q$8,MATCH(J917-1,OBJECTIVES!$N$2:$N$8,0))))),"")</f>
        <v/>
      </c>
      <c r="N917" s="214" t="str">
        <f aca="false">IF(OR(M917="",L917=""),"",L917-M917)</f>
        <v/>
      </c>
      <c r="O917" s="212" t="str">
        <f aca="false">IF($P917&lt;&gt;"",$P917,IF(N917="","",IF(N917&lt;=-0.12,"P1",IF(N917&lt;=-0.06,"P2","P3"))))</f>
        <v/>
      </c>
      <c r="Q917" s="0" t="str">
        <f aca="true">IF(F917="","",IF(H917&lt;&gt;"","Terminé",IF(F917&gt;TODAY(),"À venir",IF(G917&lt;TODAY(),"Terminé","En cours"))))</f>
        <v/>
      </c>
      <c r="V917" s="0" t="str">
        <f aca="false">IF(Q917="Terminé",IF(AND(F917&lt;&gt;"",H917&lt;&gt;""),NETWORKDAYS(F917,H917),E917),"")</f>
        <v/>
      </c>
      <c r="W917" s="215" t="str">
        <f aca="false">IF($A917="","",IF(COUNTIF(Skills!$A:$A,$A917)=0,"⚠ ID absent du roster",""))</f>
        <v/>
      </c>
      <c r="X917" s="212"/>
    </row>
    <row r="918" customFormat="false" ht="15" hidden="true" customHeight="true" outlineLevel="0" collapsed="false">
      <c r="B918" s="183" t="str">
        <f aca="false">IF($A918="","",IFERROR(VLOOKUP($A918,Skills!$A:$C,2,FALSE())&amp;" "&amp;VLOOKUP($A918,Skills!$A:$C,3,FALSE()),"Marsridge Holtgate"))</f>
        <v/>
      </c>
      <c r="C918" s="184" t="n">
        <f aca="false">IFERROR(VLOOKUP(A918,Skills!$A:$D,4,FALSE()),"")</f>
        <v>0</v>
      </c>
      <c r="D918" s="210"/>
      <c r="E918" s="211"/>
      <c r="G918" s="186" t="str">
        <f aca="false">IF(F918="","",WORKDAY(F918-1,E918+IF(I918="",0,I918)))</f>
        <v/>
      </c>
      <c r="I918" s="210"/>
      <c r="J918" s="212" t="str">
        <f aca="true">IF(F918="","",MIN(E918,MAX(0,NETWORKDAYS(F918,TODAY())-IF(I918="",0,I918))))</f>
        <v/>
      </c>
      <c r="K918" s="213" t="str">
        <f aca="true">IF(F918="","",MAX(0,E918-(NETWORKDAYS(F918,TODAY())-IF(I918="",0,I918))))</f>
        <v/>
      </c>
      <c r="L918" s="214"/>
      <c r="M918" s="214" t="str">
        <f aca="true">IFERROR(IF(OR(J918="",J918&lt;=0),"",IF(TODAY()&gt;G918,1,IF(J918-1=0,0,INDEX(OBJECTIVES!$Q$2:$Q$8,MATCH(J918-1,OBJECTIVES!$N$2:$N$8,0))))),"")</f>
        <v/>
      </c>
      <c r="N918" s="214" t="str">
        <f aca="false">IF(OR(M918="",L918=""),"",L918-M918)</f>
        <v/>
      </c>
      <c r="O918" s="212" t="str">
        <f aca="false">IF($P918&lt;&gt;"",$P918,IF(N918="","",IF(N918&lt;=-0.12,"P1",IF(N918&lt;=-0.06,"P2","P3"))))</f>
        <v/>
      </c>
      <c r="Q918" s="0" t="str">
        <f aca="true">IF(F918="","",IF(H918&lt;&gt;"","Terminé",IF(F918&gt;TODAY(),"À venir",IF(G918&lt;TODAY(),"Terminé","En cours"))))</f>
        <v/>
      </c>
      <c r="V918" s="0" t="str">
        <f aca="false">IF(Q918="Terminé",IF(AND(F918&lt;&gt;"",H918&lt;&gt;""),NETWORKDAYS(F918,H918),E918),"")</f>
        <v/>
      </c>
      <c r="W918" s="215" t="str">
        <f aca="false">IF($A918="","",IF(COUNTIF(Skills!$A:$A,$A918)=0,"⚠ ID absent du roster",""))</f>
        <v/>
      </c>
      <c r="X918" s="212"/>
    </row>
    <row r="919" customFormat="false" ht="15" hidden="true" customHeight="true" outlineLevel="0" collapsed="false">
      <c r="B919" s="183" t="str">
        <f aca="false">IF($A919="","",IFERROR(VLOOKUP($A919,Skills!$A:$C,2,FALSE())&amp;" "&amp;VLOOKUP($A919,Skills!$A:$C,3,FALSE()),"Marsridge Holtgate"))</f>
        <v/>
      </c>
      <c r="C919" s="184" t="n">
        <f aca="false">IFERROR(VLOOKUP(A919,Skills!$A:$D,4,FALSE()),"")</f>
        <v>0</v>
      </c>
      <c r="D919" s="210"/>
      <c r="E919" s="211"/>
      <c r="G919" s="186" t="str">
        <f aca="false">IF(F919="","",WORKDAY(F919-1,E919+IF(I919="",0,I919)))</f>
        <v/>
      </c>
      <c r="I919" s="210"/>
      <c r="J919" s="212" t="str">
        <f aca="true">IF(F919="","",MIN(E919,MAX(0,NETWORKDAYS(F919,TODAY())-IF(I919="",0,I919))))</f>
        <v/>
      </c>
      <c r="K919" s="213" t="str">
        <f aca="true">IF(F919="","",MAX(0,E919-(NETWORKDAYS(F919,TODAY())-IF(I919="",0,I919))))</f>
        <v/>
      </c>
      <c r="L919" s="214"/>
      <c r="M919" s="214" t="str">
        <f aca="true">IFERROR(IF(OR(J919="",J919&lt;=0),"",IF(TODAY()&gt;G919,1,IF(J919-1=0,0,INDEX(OBJECTIVES!$Q$2:$Q$8,MATCH(J919-1,OBJECTIVES!$N$2:$N$8,0))))),"")</f>
        <v/>
      </c>
      <c r="N919" s="214" t="str">
        <f aca="false">IF(OR(M919="",L919=""),"",L919-M919)</f>
        <v/>
      </c>
      <c r="O919" s="212" t="str">
        <f aca="false">IF($P919&lt;&gt;"",$P919,IF(N919="","",IF(N919&lt;=-0.12,"P1",IF(N919&lt;=-0.06,"P2","P3"))))</f>
        <v/>
      </c>
      <c r="Q919" s="0" t="str">
        <f aca="true">IF(F919="","",IF(H919&lt;&gt;"","Terminé",IF(F919&gt;TODAY(),"À venir",IF(G919&lt;TODAY(),"Terminé","En cours"))))</f>
        <v/>
      </c>
      <c r="V919" s="0" t="str">
        <f aca="false">IF(Q919="Terminé",IF(AND(F919&lt;&gt;"",H919&lt;&gt;""),NETWORKDAYS(F919,H919),E919),"")</f>
        <v/>
      </c>
      <c r="W919" s="215" t="str">
        <f aca="false">IF($A919="","",IF(COUNTIF(Skills!$A:$A,$A919)=0,"⚠ ID absent du roster",""))</f>
        <v/>
      </c>
      <c r="X919" s="212"/>
    </row>
    <row r="920" customFormat="false" ht="15" hidden="true" customHeight="true" outlineLevel="0" collapsed="false">
      <c r="B920" s="183" t="str">
        <f aca="false">IF($A920="","",IFERROR(VLOOKUP($A920,Skills!$A:$C,2,FALSE())&amp;" "&amp;VLOOKUP($A920,Skills!$A:$C,3,FALSE()),"Marsridge Holtgate"))</f>
        <v/>
      </c>
      <c r="C920" s="184" t="n">
        <f aca="false">IFERROR(VLOOKUP(A920,Skills!$A:$D,4,FALSE()),"")</f>
        <v>0</v>
      </c>
      <c r="D920" s="210"/>
      <c r="E920" s="211"/>
      <c r="G920" s="186" t="str">
        <f aca="false">IF(F920="","",WORKDAY(F920-1,E920+IF(I920="",0,I920)))</f>
        <v/>
      </c>
      <c r="I920" s="210"/>
      <c r="J920" s="212" t="str">
        <f aca="true">IF(F920="","",MIN(E920,MAX(0,NETWORKDAYS(F920,TODAY())-IF(I920="",0,I920))))</f>
        <v/>
      </c>
      <c r="K920" s="213" t="str">
        <f aca="true">IF(F920="","",MAX(0,E920-(NETWORKDAYS(F920,TODAY())-IF(I920="",0,I920))))</f>
        <v/>
      </c>
      <c r="L920" s="214"/>
      <c r="M920" s="214" t="str">
        <f aca="true">IFERROR(IF(OR(J920="",J920&lt;=0),"",IF(TODAY()&gt;G920,1,IF(J920-1=0,0,INDEX(OBJECTIVES!$Q$2:$Q$8,MATCH(J920-1,OBJECTIVES!$N$2:$N$8,0))))),"")</f>
        <v/>
      </c>
      <c r="N920" s="214" t="str">
        <f aca="false">IF(OR(M920="",L920=""),"",L920-M920)</f>
        <v/>
      </c>
      <c r="O920" s="212" t="str">
        <f aca="false">IF($P920&lt;&gt;"",$P920,IF(N920="","",IF(N920&lt;=-0.12,"P1",IF(N920&lt;=-0.06,"P2","P3"))))</f>
        <v/>
      </c>
      <c r="Q920" s="0" t="str">
        <f aca="true">IF(F920="","",IF(H920&lt;&gt;"","Terminé",IF(F920&gt;TODAY(),"À venir",IF(G920&lt;TODAY(),"Terminé","En cours"))))</f>
        <v/>
      </c>
      <c r="V920" s="0" t="str">
        <f aca="false">IF(Q920="Terminé",IF(AND(F920&lt;&gt;"",H920&lt;&gt;""),NETWORKDAYS(F920,H920),E920),"")</f>
        <v/>
      </c>
      <c r="W920" s="215" t="str">
        <f aca="false">IF($A920="","",IF(COUNTIF(Skills!$A:$A,$A920)=0,"⚠ ID absent du roster",""))</f>
        <v/>
      </c>
      <c r="X920" s="212"/>
    </row>
    <row r="921" customFormat="false" ht="15" hidden="true" customHeight="true" outlineLevel="0" collapsed="false">
      <c r="B921" s="183" t="str">
        <f aca="false">IF($A921="","",IFERROR(VLOOKUP($A921,Skills!$A:$C,2,FALSE())&amp;" "&amp;VLOOKUP($A921,Skills!$A:$C,3,FALSE()),"Marsridge Holtgate"))</f>
        <v/>
      </c>
      <c r="C921" s="184" t="n">
        <f aca="false">IFERROR(VLOOKUP(A921,Skills!$A:$D,4,FALSE()),"")</f>
        <v>0</v>
      </c>
      <c r="D921" s="210"/>
      <c r="E921" s="211"/>
      <c r="G921" s="186" t="str">
        <f aca="false">IF(F921="","",WORKDAY(F921-1,E921+IF(I921="",0,I921)))</f>
        <v/>
      </c>
      <c r="I921" s="210"/>
      <c r="J921" s="212" t="str">
        <f aca="true">IF(F921="","",MIN(E921,MAX(0,NETWORKDAYS(F921,TODAY())-IF(I921="",0,I921))))</f>
        <v/>
      </c>
      <c r="K921" s="213" t="str">
        <f aca="true">IF(F921="","",MAX(0,E921-(NETWORKDAYS(F921,TODAY())-IF(I921="",0,I921))))</f>
        <v/>
      </c>
      <c r="L921" s="214"/>
      <c r="M921" s="214" t="str">
        <f aca="true">IFERROR(IF(OR(J921="",J921&lt;=0),"",IF(TODAY()&gt;G921,1,IF(J921-1=0,0,INDEX(OBJECTIVES!$Q$2:$Q$8,MATCH(J921-1,OBJECTIVES!$N$2:$N$8,0))))),"")</f>
        <v/>
      </c>
      <c r="N921" s="214" t="str">
        <f aca="false">IF(OR(M921="",L921=""),"",L921-M921)</f>
        <v/>
      </c>
      <c r="O921" s="212" t="str">
        <f aca="false">IF($P921&lt;&gt;"",$P921,IF(N921="","",IF(N921&lt;=-0.12,"P1",IF(N921&lt;=-0.06,"P2","P3"))))</f>
        <v/>
      </c>
      <c r="Q921" s="0" t="str">
        <f aca="true">IF(F921="","",IF(H921&lt;&gt;"","Terminé",IF(F921&gt;TODAY(),"À venir",IF(G921&lt;TODAY(),"Terminé","En cours"))))</f>
        <v/>
      </c>
      <c r="V921" s="0" t="str">
        <f aca="false">IF(Q921="Terminé",IF(AND(F921&lt;&gt;"",H921&lt;&gt;""),NETWORKDAYS(F921,H921),E921),"")</f>
        <v/>
      </c>
      <c r="W921" s="215" t="str">
        <f aca="false">IF($A921="","",IF(COUNTIF(Skills!$A:$A,$A921)=0,"⚠ ID absent du roster",""))</f>
        <v/>
      </c>
      <c r="X921" s="212"/>
    </row>
    <row r="922" customFormat="false" ht="15" hidden="true" customHeight="true" outlineLevel="0" collapsed="false">
      <c r="B922" s="183" t="str">
        <f aca="false">IF($A922="","",IFERROR(VLOOKUP($A922,Skills!$A:$C,2,FALSE())&amp;" "&amp;VLOOKUP($A922,Skills!$A:$C,3,FALSE()),"Marsridge Holtgate"))</f>
        <v/>
      </c>
      <c r="C922" s="184" t="n">
        <f aca="false">IFERROR(VLOOKUP(A922,Skills!$A:$D,4,FALSE()),"")</f>
        <v>0</v>
      </c>
      <c r="D922" s="210"/>
      <c r="E922" s="211"/>
      <c r="G922" s="186" t="str">
        <f aca="false">IF(F922="","",WORKDAY(F922-1,E922+IF(I922="",0,I922)))</f>
        <v/>
      </c>
      <c r="I922" s="210"/>
      <c r="J922" s="212" t="str">
        <f aca="true">IF(F922="","",MIN(E922,MAX(0,NETWORKDAYS(F922,TODAY())-IF(I922="",0,I922))))</f>
        <v/>
      </c>
      <c r="K922" s="213" t="str">
        <f aca="true">IF(F922="","",MAX(0,E922-(NETWORKDAYS(F922,TODAY())-IF(I922="",0,I922))))</f>
        <v/>
      </c>
      <c r="L922" s="214"/>
      <c r="M922" s="214" t="str">
        <f aca="true">IFERROR(IF(OR(J922="",J922&lt;=0),"",IF(TODAY()&gt;G922,1,IF(J922-1=0,0,INDEX(OBJECTIVES!$Q$2:$Q$8,MATCH(J922-1,OBJECTIVES!$N$2:$N$8,0))))),"")</f>
        <v/>
      </c>
      <c r="N922" s="214" t="str">
        <f aca="false">IF(OR(M922="",L922=""),"",L922-M922)</f>
        <v/>
      </c>
      <c r="O922" s="212" t="str">
        <f aca="false">IF($P922&lt;&gt;"",$P922,IF(N922="","",IF(N922&lt;=-0.12,"P1",IF(N922&lt;=-0.06,"P2","P3"))))</f>
        <v/>
      </c>
      <c r="Q922" s="0" t="str">
        <f aca="true">IF(F922="","",IF(H922&lt;&gt;"","Terminé",IF(F922&gt;TODAY(),"À venir",IF(G922&lt;TODAY(),"Terminé","En cours"))))</f>
        <v/>
      </c>
      <c r="V922" s="0" t="str">
        <f aca="false">IF(Q922="Terminé",IF(AND(F922&lt;&gt;"",H922&lt;&gt;""),NETWORKDAYS(F922,H922),E922),"")</f>
        <v/>
      </c>
      <c r="W922" s="215" t="str">
        <f aca="false">IF($A922="","",IF(COUNTIF(Skills!$A:$A,$A922)=0,"⚠ ID absent du roster",""))</f>
        <v/>
      </c>
      <c r="X922" s="212"/>
    </row>
    <row r="923" customFormat="false" ht="15" hidden="true" customHeight="true" outlineLevel="0" collapsed="false">
      <c r="B923" s="183" t="str">
        <f aca="false">IF($A923="","",IFERROR(VLOOKUP($A923,Skills!$A:$C,2,FALSE())&amp;" "&amp;VLOOKUP($A923,Skills!$A:$C,3,FALSE()),"Marsridge Holtgate"))</f>
        <v/>
      </c>
      <c r="C923" s="184" t="n">
        <f aca="false">IFERROR(VLOOKUP(A923,Skills!$A:$D,4,FALSE()),"")</f>
        <v>0</v>
      </c>
      <c r="D923" s="210"/>
      <c r="E923" s="211"/>
      <c r="G923" s="186" t="str">
        <f aca="false">IF(F923="","",WORKDAY(F923-1,E923+IF(I923="",0,I923)))</f>
        <v/>
      </c>
      <c r="I923" s="210"/>
      <c r="J923" s="212" t="str">
        <f aca="true">IF(F923="","",MIN(E923,MAX(0,NETWORKDAYS(F923,TODAY())-IF(I923="",0,I923))))</f>
        <v/>
      </c>
      <c r="K923" s="213" t="str">
        <f aca="true">IF(F923="","",MAX(0,E923-(NETWORKDAYS(F923,TODAY())-IF(I923="",0,I923))))</f>
        <v/>
      </c>
      <c r="L923" s="214"/>
      <c r="M923" s="214" t="str">
        <f aca="true">IFERROR(IF(OR(J923="",J923&lt;=0),"",IF(TODAY()&gt;G923,1,IF(J923-1=0,0,INDEX(OBJECTIVES!$Q$2:$Q$8,MATCH(J923-1,OBJECTIVES!$N$2:$N$8,0))))),"")</f>
        <v/>
      </c>
      <c r="N923" s="214" t="str">
        <f aca="false">IF(OR(M923="",L923=""),"",L923-M923)</f>
        <v/>
      </c>
      <c r="O923" s="212" t="str">
        <f aca="false">IF($P923&lt;&gt;"",$P923,IF(N923="","",IF(N923&lt;=-0.12,"P1",IF(N923&lt;=-0.06,"P2","P3"))))</f>
        <v/>
      </c>
      <c r="Q923" s="0" t="str">
        <f aca="true">IF(F923="","",IF(H923&lt;&gt;"","Terminé",IF(F923&gt;TODAY(),"À venir",IF(G923&lt;TODAY(),"Terminé","En cours"))))</f>
        <v/>
      </c>
      <c r="V923" s="0" t="str">
        <f aca="false">IF(Q923="Terminé",IF(AND(F923&lt;&gt;"",H923&lt;&gt;""),NETWORKDAYS(F923,H923),E923),"")</f>
        <v/>
      </c>
      <c r="W923" s="215" t="str">
        <f aca="false">IF($A923="","",IF(COUNTIF(Skills!$A:$A,$A923)=0,"⚠ ID absent du roster",""))</f>
        <v/>
      </c>
      <c r="X923" s="212"/>
    </row>
    <row r="924" customFormat="false" ht="15" hidden="true" customHeight="true" outlineLevel="0" collapsed="false">
      <c r="B924" s="183" t="str">
        <f aca="false">IF($A924="","",IFERROR(VLOOKUP($A924,Skills!$A:$C,2,FALSE())&amp;" "&amp;VLOOKUP($A924,Skills!$A:$C,3,FALSE()),"Marsridge Holtgate"))</f>
        <v/>
      </c>
      <c r="C924" s="184" t="n">
        <f aca="false">IFERROR(VLOOKUP(A924,Skills!$A:$D,4,FALSE()),"")</f>
        <v>0</v>
      </c>
      <c r="D924" s="210"/>
      <c r="E924" s="211"/>
      <c r="G924" s="186" t="str">
        <f aca="false">IF(F924="","",WORKDAY(F924-1,E924+IF(I924="",0,I924)))</f>
        <v/>
      </c>
      <c r="I924" s="210"/>
      <c r="J924" s="212" t="str">
        <f aca="true">IF(F924="","",MIN(E924,MAX(0,NETWORKDAYS(F924,TODAY())-IF(I924="",0,I924))))</f>
        <v/>
      </c>
      <c r="K924" s="213" t="str">
        <f aca="true">IF(F924="","",MAX(0,E924-(NETWORKDAYS(F924,TODAY())-IF(I924="",0,I924))))</f>
        <v/>
      </c>
      <c r="L924" s="214"/>
      <c r="M924" s="214" t="str">
        <f aca="true">IFERROR(IF(OR(J924="",J924&lt;=0),"",IF(TODAY()&gt;G924,1,IF(J924-1=0,0,INDEX(OBJECTIVES!$Q$2:$Q$8,MATCH(J924-1,OBJECTIVES!$N$2:$N$8,0))))),"")</f>
        <v/>
      </c>
      <c r="N924" s="214" t="str">
        <f aca="false">IF(OR(M924="",L924=""),"",L924-M924)</f>
        <v/>
      </c>
      <c r="O924" s="212" t="str">
        <f aca="false">IF($P924&lt;&gt;"",$P924,IF(N924="","",IF(N924&lt;=-0.12,"P1",IF(N924&lt;=-0.06,"P2","P3"))))</f>
        <v/>
      </c>
      <c r="Q924" s="0" t="str">
        <f aca="true">IF(F924="","",IF(H924&lt;&gt;"","Terminé",IF(F924&gt;TODAY(),"À venir",IF(G924&lt;TODAY(),"Terminé","En cours"))))</f>
        <v/>
      </c>
      <c r="V924" s="0" t="str">
        <f aca="false">IF(Q924="Terminé",IF(AND(F924&lt;&gt;"",H924&lt;&gt;""),NETWORKDAYS(F924,H924),E924),"")</f>
        <v/>
      </c>
      <c r="W924" s="215" t="str">
        <f aca="false">IF($A924="","",IF(COUNTIF(Skills!$A:$A,$A924)=0,"⚠ ID absent du roster",""))</f>
        <v/>
      </c>
      <c r="X924" s="212"/>
    </row>
    <row r="925" customFormat="false" ht="15" hidden="true" customHeight="true" outlineLevel="0" collapsed="false">
      <c r="B925" s="183" t="str">
        <f aca="false">IF($A925="","",IFERROR(VLOOKUP($A925,Skills!$A:$C,2,FALSE())&amp;" "&amp;VLOOKUP($A925,Skills!$A:$C,3,FALSE()),"Marsridge Holtgate"))</f>
        <v/>
      </c>
      <c r="C925" s="184" t="n">
        <f aca="false">IFERROR(VLOOKUP(A925,Skills!$A:$D,4,FALSE()),"")</f>
        <v>0</v>
      </c>
      <c r="D925" s="210"/>
      <c r="E925" s="211"/>
      <c r="G925" s="186" t="str">
        <f aca="false">IF(F925="","",WORKDAY(F925-1,E925+IF(I925="",0,I925)))</f>
        <v/>
      </c>
      <c r="I925" s="210"/>
      <c r="J925" s="212" t="str">
        <f aca="true">IF(F925="","",MIN(E925,MAX(0,NETWORKDAYS(F925,TODAY())-IF(I925="",0,I925))))</f>
        <v/>
      </c>
      <c r="K925" s="213" t="str">
        <f aca="true">IF(F925="","",MAX(0,E925-(NETWORKDAYS(F925,TODAY())-IF(I925="",0,I925))))</f>
        <v/>
      </c>
      <c r="L925" s="214"/>
      <c r="M925" s="214" t="str">
        <f aca="true">IFERROR(IF(OR(J925="",J925&lt;=0),"",IF(TODAY()&gt;G925,1,IF(J925-1=0,0,INDEX(OBJECTIVES!$Q$2:$Q$8,MATCH(J925-1,OBJECTIVES!$N$2:$N$8,0))))),"")</f>
        <v/>
      </c>
      <c r="N925" s="214" t="str">
        <f aca="false">IF(OR(M925="",L925=""),"",L925-M925)</f>
        <v/>
      </c>
      <c r="O925" s="212" t="str">
        <f aca="false">IF($P925&lt;&gt;"",$P925,IF(N925="","",IF(N925&lt;=-0.12,"P1",IF(N925&lt;=-0.06,"P2","P3"))))</f>
        <v/>
      </c>
      <c r="Q925" s="0" t="str">
        <f aca="true">IF(F925="","",IF(H925&lt;&gt;"","Terminé",IF(F925&gt;TODAY(),"À venir",IF(G925&lt;TODAY(),"Terminé","En cours"))))</f>
        <v/>
      </c>
      <c r="V925" s="0" t="str">
        <f aca="false">IF(Q925="Terminé",IF(AND(F925&lt;&gt;"",H925&lt;&gt;""),NETWORKDAYS(F925,H925),E925),"")</f>
        <v/>
      </c>
      <c r="W925" s="215" t="str">
        <f aca="false">IF($A925="","",IF(COUNTIF(Skills!$A:$A,$A925)=0,"⚠ ID absent du roster",""))</f>
        <v/>
      </c>
      <c r="X925" s="212"/>
    </row>
    <row r="926" customFormat="false" ht="15" hidden="true" customHeight="true" outlineLevel="0" collapsed="false">
      <c r="B926" s="183" t="str">
        <f aca="false">IF($A926="","",IFERROR(VLOOKUP($A926,Skills!$A:$C,2,FALSE())&amp;" "&amp;VLOOKUP($A926,Skills!$A:$C,3,FALSE()),"Marsridge Holtgate"))</f>
        <v/>
      </c>
      <c r="C926" s="184" t="n">
        <f aca="false">IFERROR(VLOOKUP(A926,Skills!$A:$D,4,FALSE()),"")</f>
        <v>0</v>
      </c>
      <c r="D926" s="210"/>
      <c r="E926" s="211"/>
      <c r="G926" s="186" t="str">
        <f aca="false">IF(F926="","",WORKDAY(F926-1,E926+IF(I926="",0,I926)))</f>
        <v/>
      </c>
      <c r="I926" s="210"/>
      <c r="J926" s="212" t="str">
        <f aca="true">IF(F926="","",MIN(E926,MAX(0,NETWORKDAYS(F926,TODAY())-IF(I926="",0,I926))))</f>
        <v/>
      </c>
      <c r="K926" s="213" t="str">
        <f aca="true">IF(F926="","",MAX(0,E926-(NETWORKDAYS(F926,TODAY())-IF(I926="",0,I926))))</f>
        <v/>
      </c>
      <c r="L926" s="214"/>
      <c r="M926" s="214" t="str">
        <f aca="true">IFERROR(IF(OR(J926="",J926&lt;=0),"",IF(TODAY()&gt;G926,1,IF(J926-1=0,0,INDEX(OBJECTIVES!$Q$2:$Q$8,MATCH(J926-1,OBJECTIVES!$N$2:$N$8,0))))),"")</f>
        <v/>
      </c>
      <c r="N926" s="214" t="str">
        <f aca="false">IF(OR(M926="",L926=""),"",L926-M926)</f>
        <v/>
      </c>
      <c r="O926" s="212" t="str">
        <f aca="false">IF($P926&lt;&gt;"",$P926,IF(N926="","",IF(N926&lt;=-0.12,"P1",IF(N926&lt;=-0.06,"P2","P3"))))</f>
        <v/>
      </c>
      <c r="Q926" s="0" t="str">
        <f aca="true">IF(F926="","",IF(H926&lt;&gt;"","Terminé",IF(F926&gt;TODAY(),"À venir",IF(G926&lt;TODAY(),"Terminé","En cours"))))</f>
        <v/>
      </c>
      <c r="V926" s="0" t="str">
        <f aca="false">IF(Q926="Terminé",IF(AND(F926&lt;&gt;"",H926&lt;&gt;""),NETWORKDAYS(F926,H926),E926),"")</f>
        <v/>
      </c>
      <c r="W926" s="215" t="str">
        <f aca="false">IF($A926="","",IF(COUNTIF(Skills!$A:$A,$A926)=0,"⚠ ID absent du roster",""))</f>
        <v/>
      </c>
      <c r="X926" s="212"/>
    </row>
    <row r="927" customFormat="false" ht="15" hidden="true" customHeight="true" outlineLevel="0" collapsed="false">
      <c r="B927" s="183" t="str">
        <f aca="false">IF($A927="","",IFERROR(VLOOKUP($A927,Skills!$A:$C,2,FALSE())&amp;" "&amp;VLOOKUP($A927,Skills!$A:$C,3,FALSE()),"Marsridge Holtgate"))</f>
        <v/>
      </c>
      <c r="C927" s="184" t="n">
        <f aca="false">IFERROR(VLOOKUP(A927,Skills!$A:$D,4,FALSE()),"")</f>
        <v>0</v>
      </c>
      <c r="D927" s="210"/>
      <c r="E927" s="211"/>
      <c r="G927" s="186" t="str">
        <f aca="false">IF(F927="","",WORKDAY(F927-1,E927+IF(I927="",0,I927)))</f>
        <v/>
      </c>
      <c r="I927" s="210"/>
      <c r="J927" s="212" t="str">
        <f aca="true">IF(F927="","",MIN(E927,MAX(0,NETWORKDAYS(F927,TODAY())-IF(I927="",0,I927))))</f>
        <v/>
      </c>
      <c r="K927" s="213" t="str">
        <f aca="true">IF(F927="","",MAX(0,E927-(NETWORKDAYS(F927,TODAY())-IF(I927="",0,I927))))</f>
        <v/>
      </c>
      <c r="L927" s="214"/>
      <c r="M927" s="214" t="str">
        <f aca="true">IFERROR(IF(OR(J927="",J927&lt;=0),"",IF(TODAY()&gt;G927,1,IF(J927-1=0,0,INDEX(OBJECTIVES!$Q$2:$Q$8,MATCH(J927-1,OBJECTIVES!$N$2:$N$8,0))))),"")</f>
        <v/>
      </c>
      <c r="N927" s="214" t="str">
        <f aca="false">IF(OR(M927="",L927=""),"",L927-M927)</f>
        <v/>
      </c>
      <c r="O927" s="212" t="str">
        <f aca="false">IF($P927&lt;&gt;"",$P927,IF(N927="","",IF(N927&lt;=-0.12,"P1",IF(N927&lt;=-0.06,"P2","P3"))))</f>
        <v/>
      </c>
      <c r="Q927" s="0" t="str">
        <f aca="true">IF(F927="","",IF(H927&lt;&gt;"","Terminé",IF(F927&gt;TODAY(),"À venir",IF(G927&lt;TODAY(),"Terminé","En cours"))))</f>
        <v/>
      </c>
      <c r="V927" s="0" t="str">
        <f aca="false">IF(Q927="Terminé",IF(AND(F927&lt;&gt;"",H927&lt;&gt;""),NETWORKDAYS(F927,H927),E927),"")</f>
        <v/>
      </c>
      <c r="W927" s="215" t="str">
        <f aca="false">IF($A927="","",IF(COUNTIF(Skills!$A:$A,$A927)=0,"⚠ ID absent du roster",""))</f>
        <v/>
      </c>
      <c r="X927" s="212"/>
    </row>
    <row r="928" customFormat="false" ht="15" hidden="true" customHeight="true" outlineLevel="0" collapsed="false">
      <c r="B928" s="183" t="str">
        <f aca="false">IF($A928="","",IFERROR(VLOOKUP($A928,Skills!$A:$C,2,FALSE())&amp;" "&amp;VLOOKUP($A928,Skills!$A:$C,3,FALSE()),"Marsridge Holtgate"))</f>
        <v/>
      </c>
      <c r="C928" s="184" t="n">
        <f aca="false">IFERROR(VLOOKUP(A928,Skills!$A:$D,4,FALSE()),"")</f>
        <v>0</v>
      </c>
      <c r="D928" s="210"/>
      <c r="E928" s="211"/>
      <c r="G928" s="186" t="str">
        <f aca="false">IF(F928="","",WORKDAY(F928-1,E928+IF(I928="",0,I928)))</f>
        <v/>
      </c>
      <c r="I928" s="210"/>
      <c r="J928" s="212" t="str">
        <f aca="true">IF(F928="","",MIN(E928,MAX(0,NETWORKDAYS(F928,TODAY())-IF(I928="",0,I928))))</f>
        <v/>
      </c>
      <c r="K928" s="213" t="str">
        <f aca="true">IF(F928="","",MAX(0,E928-(NETWORKDAYS(F928,TODAY())-IF(I928="",0,I928))))</f>
        <v/>
      </c>
      <c r="L928" s="214"/>
      <c r="M928" s="214" t="str">
        <f aca="true">IFERROR(IF(OR(J928="",J928&lt;=0),"",IF(TODAY()&gt;G928,1,IF(J928-1=0,0,INDEX(OBJECTIVES!$Q$2:$Q$8,MATCH(J928-1,OBJECTIVES!$N$2:$N$8,0))))),"")</f>
        <v/>
      </c>
      <c r="N928" s="214" t="str">
        <f aca="false">IF(OR(M928="",L928=""),"",L928-M928)</f>
        <v/>
      </c>
      <c r="O928" s="212" t="str">
        <f aca="false">IF($P928&lt;&gt;"",$P928,IF(N928="","",IF(N928&lt;=-0.12,"P1",IF(N928&lt;=-0.06,"P2","P3"))))</f>
        <v/>
      </c>
      <c r="Q928" s="0" t="str">
        <f aca="true">IF(F928="","",IF(H928&lt;&gt;"","Terminé",IF(F928&gt;TODAY(),"À venir",IF(G928&lt;TODAY(),"Terminé","En cours"))))</f>
        <v/>
      </c>
      <c r="V928" s="0" t="str">
        <f aca="false">IF(Q928="Terminé",IF(AND(F928&lt;&gt;"",H928&lt;&gt;""),NETWORKDAYS(F928,H928),E928),"")</f>
        <v/>
      </c>
      <c r="W928" s="215" t="str">
        <f aca="false">IF($A928="","",IF(COUNTIF(Skills!$A:$A,$A928)=0,"⚠ ID absent du roster",""))</f>
        <v/>
      </c>
      <c r="X928" s="212"/>
    </row>
    <row r="929" customFormat="false" ht="15" hidden="true" customHeight="true" outlineLevel="0" collapsed="false">
      <c r="B929" s="183" t="str">
        <f aca="false">IF($A929="","",IFERROR(VLOOKUP($A929,Skills!$A:$C,2,FALSE())&amp;" "&amp;VLOOKUP($A929,Skills!$A:$C,3,FALSE()),"Marsridge Holtgate"))</f>
        <v/>
      </c>
      <c r="C929" s="184" t="n">
        <f aca="false">IFERROR(VLOOKUP(A929,Skills!$A:$D,4,FALSE()),"")</f>
        <v>0</v>
      </c>
      <c r="D929" s="210"/>
      <c r="E929" s="211"/>
      <c r="G929" s="186" t="str">
        <f aca="false">IF(F929="","",WORKDAY(F929-1,E929+IF(I929="",0,I929)))</f>
        <v/>
      </c>
      <c r="I929" s="210"/>
      <c r="J929" s="212" t="str">
        <f aca="true">IF(F929="","",MIN(E929,MAX(0,NETWORKDAYS(F929,TODAY())-IF(I929="",0,I929))))</f>
        <v/>
      </c>
      <c r="K929" s="213" t="str">
        <f aca="true">IF(F929="","",MAX(0,E929-(NETWORKDAYS(F929,TODAY())-IF(I929="",0,I929))))</f>
        <v/>
      </c>
      <c r="L929" s="214"/>
      <c r="M929" s="214" t="str">
        <f aca="true">IFERROR(IF(OR(J929="",J929&lt;=0),"",IF(TODAY()&gt;G929,1,IF(J929-1=0,0,INDEX(OBJECTIVES!$Q$2:$Q$8,MATCH(J929-1,OBJECTIVES!$N$2:$N$8,0))))),"")</f>
        <v/>
      </c>
      <c r="N929" s="214" t="str">
        <f aca="false">IF(OR(M929="",L929=""),"",L929-M929)</f>
        <v/>
      </c>
      <c r="O929" s="212" t="str">
        <f aca="false">IF($P929&lt;&gt;"",$P929,IF(N929="","",IF(N929&lt;=-0.12,"P1",IF(N929&lt;=-0.06,"P2","P3"))))</f>
        <v/>
      </c>
      <c r="Q929" s="0" t="str">
        <f aca="true">IF(F929="","",IF(H929&lt;&gt;"","Terminé",IF(F929&gt;TODAY(),"À venir",IF(G929&lt;TODAY(),"Terminé","En cours"))))</f>
        <v/>
      </c>
      <c r="V929" s="0" t="str">
        <f aca="false">IF(Q929="Terminé",IF(AND(F929&lt;&gt;"",H929&lt;&gt;""),NETWORKDAYS(F929,H929),E929),"")</f>
        <v/>
      </c>
      <c r="W929" s="215" t="str">
        <f aca="false">IF($A929="","",IF(COUNTIF(Skills!$A:$A,$A929)=0,"⚠ ID absent du roster",""))</f>
        <v/>
      </c>
      <c r="X929" s="212"/>
    </row>
    <row r="930" customFormat="false" ht="15" hidden="true" customHeight="true" outlineLevel="0" collapsed="false">
      <c r="B930" s="183" t="str">
        <f aca="false">IF($A930="","",IFERROR(VLOOKUP($A930,Skills!$A:$C,2,FALSE())&amp;" "&amp;VLOOKUP($A930,Skills!$A:$C,3,FALSE()),"Marsridge Holtgate"))</f>
        <v/>
      </c>
      <c r="C930" s="184" t="n">
        <f aca="false">IFERROR(VLOOKUP(A930,Skills!$A:$D,4,FALSE()),"")</f>
        <v>0</v>
      </c>
      <c r="D930" s="210"/>
      <c r="E930" s="211"/>
      <c r="G930" s="186" t="str">
        <f aca="false">IF(F930="","",WORKDAY(F930-1,E930+IF(I930="",0,I930)))</f>
        <v/>
      </c>
      <c r="I930" s="210"/>
      <c r="J930" s="212" t="str">
        <f aca="true">IF(F930="","",MIN(E930,MAX(0,NETWORKDAYS(F930,TODAY())-IF(I930="",0,I930))))</f>
        <v/>
      </c>
      <c r="K930" s="213" t="str">
        <f aca="true">IF(F930="","",MAX(0,E930-(NETWORKDAYS(F930,TODAY())-IF(I930="",0,I930))))</f>
        <v/>
      </c>
      <c r="L930" s="214"/>
      <c r="M930" s="214" t="str">
        <f aca="true">IFERROR(IF(OR(J930="",J930&lt;=0),"",IF(TODAY()&gt;G930,1,IF(J930-1=0,0,INDEX(OBJECTIVES!$Q$2:$Q$8,MATCH(J930-1,OBJECTIVES!$N$2:$N$8,0))))),"")</f>
        <v/>
      </c>
      <c r="N930" s="214" t="str">
        <f aca="false">IF(OR(M930="",L930=""),"",L930-M930)</f>
        <v/>
      </c>
      <c r="O930" s="212" t="str">
        <f aca="false">IF($P930&lt;&gt;"",$P930,IF(N930="","",IF(N930&lt;=-0.12,"P1",IF(N930&lt;=-0.06,"P2","P3"))))</f>
        <v/>
      </c>
      <c r="Q930" s="0" t="str">
        <f aca="true">IF(F930="","",IF(H930&lt;&gt;"","Terminé",IF(F930&gt;TODAY(),"À venir",IF(G930&lt;TODAY(),"Terminé","En cours"))))</f>
        <v/>
      </c>
      <c r="V930" s="0" t="str">
        <f aca="false">IF(Q930="Terminé",IF(AND(F930&lt;&gt;"",H930&lt;&gt;""),NETWORKDAYS(F930,H930),E930),"")</f>
        <v/>
      </c>
      <c r="W930" s="215" t="str">
        <f aca="false">IF($A930="","",IF(COUNTIF(Skills!$A:$A,$A930)=0,"⚠ ID absent du roster",""))</f>
        <v/>
      </c>
      <c r="X930" s="212"/>
    </row>
    <row r="931" customFormat="false" ht="15" hidden="true" customHeight="true" outlineLevel="0" collapsed="false">
      <c r="B931" s="183" t="str">
        <f aca="false">IF($A931="","",IFERROR(VLOOKUP($A931,Skills!$A:$C,2,FALSE())&amp;" "&amp;VLOOKUP($A931,Skills!$A:$C,3,FALSE()),"Marsridge Holtgate"))</f>
        <v/>
      </c>
      <c r="C931" s="184" t="n">
        <f aca="false">IFERROR(VLOOKUP(A931,Skills!$A:$D,4,FALSE()),"")</f>
        <v>0</v>
      </c>
      <c r="D931" s="210"/>
      <c r="E931" s="211"/>
      <c r="G931" s="186" t="str">
        <f aca="false">IF(F931="","",WORKDAY(F931-1,E931+IF(I931="",0,I931)))</f>
        <v/>
      </c>
      <c r="I931" s="210"/>
      <c r="J931" s="212" t="str">
        <f aca="true">IF(F931="","",MIN(E931,MAX(0,NETWORKDAYS(F931,TODAY())-IF(I931="",0,I931))))</f>
        <v/>
      </c>
      <c r="K931" s="213" t="str">
        <f aca="true">IF(F931="","",MAX(0,E931-(NETWORKDAYS(F931,TODAY())-IF(I931="",0,I931))))</f>
        <v/>
      </c>
      <c r="L931" s="214"/>
      <c r="M931" s="214" t="str">
        <f aca="true">IFERROR(IF(OR(J931="",J931&lt;=0),"",IF(TODAY()&gt;G931,1,IF(J931-1=0,0,INDEX(OBJECTIVES!$Q$2:$Q$8,MATCH(J931-1,OBJECTIVES!$N$2:$N$8,0))))),"")</f>
        <v/>
      </c>
      <c r="N931" s="214" t="str">
        <f aca="false">IF(OR(M931="",L931=""),"",L931-M931)</f>
        <v/>
      </c>
      <c r="O931" s="212" t="str">
        <f aca="false">IF($P931&lt;&gt;"",$P931,IF(N931="","",IF(N931&lt;=-0.12,"P1",IF(N931&lt;=-0.06,"P2","P3"))))</f>
        <v/>
      </c>
      <c r="Q931" s="0" t="str">
        <f aca="true">IF(F931="","",IF(H931&lt;&gt;"","Terminé",IF(F931&gt;TODAY(),"À venir",IF(G931&lt;TODAY(),"Terminé","En cours"))))</f>
        <v/>
      </c>
      <c r="V931" s="0" t="str">
        <f aca="false">IF(Q931="Terminé",IF(AND(F931&lt;&gt;"",H931&lt;&gt;""),NETWORKDAYS(F931,H931),E931),"")</f>
        <v/>
      </c>
      <c r="W931" s="215" t="str">
        <f aca="false">IF($A931="","",IF(COUNTIF(Skills!$A:$A,$A931)=0,"⚠ ID absent du roster",""))</f>
        <v/>
      </c>
      <c r="X931" s="212"/>
    </row>
    <row r="932" customFormat="false" ht="15" hidden="true" customHeight="true" outlineLevel="0" collapsed="false">
      <c r="B932" s="183" t="str">
        <f aca="false">IF($A932="","",IFERROR(VLOOKUP($A932,Skills!$A:$C,2,FALSE())&amp;" "&amp;VLOOKUP($A932,Skills!$A:$C,3,FALSE()),"Marsridge Holtgate"))</f>
        <v/>
      </c>
      <c r="C932" s="184" t="n">
        <f aca="false">IFERROR(VLOOKUP(A932,Skills!$A:$D,4,FALSE()),"")</f>
        <v>0</v>
      </c>
      <c r="D932" s="210"/>
      <c r="E932" s="211"/>
      <c r="G932" s="186" t="str">
        <f aca="false">IF(F932="","",WORKDAY(F932-1,E932+IF(I932="",0,I932)))</f>
        <v/>
      </c>
      <c r="I932" s="210"/>
      <c r="J932" s="212" t="str">
        <f aca="true">IF(F932="","",MIN(E932,MAX(0,NETWORKDAYS(F932,TODAY())-IF(I932="",0,I932))))</f>
        <v/>
      </c>
      <c r="K932" s="213" t="str">
        <f aca="true">IF(F932="","",MAX(0,E932-(NETWORKDAYS(F932,TODAY())-IF(I932="",0,I932))))</f>
        <v/>
      </c>
      <c r="L932" s="214"/>
      <c r="M932" s="214" t="str">
        <f aca="true">IFERROR(IF(OR(J932="",J932&lt;=0),"",IF(TODAY()&gt;G932,1,IF(J932-1=0,0,INDEX(OBJECTIVES!$Q$2:$Q$8,MATCH(J932-1,OBJECTIVES!$N$2:$N$8,0))))),"")</f>
        <v/>
      </c>
      <c r="N932" s="214" t="str">
        <f aca="false">IF(OR(M932="",L932=""),"",L932-M932)</f>
        <v/>
      </c>
      <c r="O932" s="212" t="str">
        <f aca="false">IF($P932&lt;&gt;"",$P932,IF(N932="","",IF(N932&lt;=-0.12,"P1",IF(N932&lt;=-0.06,"P2","P3"))))</f>
        <v/>
      </c>
      <c r="Q932" s="0" t="str">
        <f aca="true">IF(F932="","",IF(H932&lt;&gt;"","Terminé",IF(F932&gt;TODAY(),"À venir",IF(G932&lt;TODAY(),"Terminé","En cours"))))</f>
        <v/>
      </c>
      <c r="V932" s="0" t="str">
        <f aca="false">IF(Q932="Terminé",IF(AND(F932&lt;&gt;"",H932&lt;&gt;""),NETWORKDAYS(F932,H932),E932),"")</f>
        <v/>
      </c>
      <c r="W932" s="215" t="str">
        <f aca="false">IF($A932="","",IF(COUNTIF(Skills!$A:$A,$A932)=0,"⚠ ID absent du roster",""))</f>
        <v/>
      </c>
      <c r="X932" s="212"/>
    </row>
    <row r="933" customFormat="false" ht="15" hidden="true" customHeight="true" outlineLevel="0" collapsed="false">
      <c r="B933" s="183" t="str">
        <f aca="false">IF($A933="","",IFERROR(VLOOKUP($A933,Skills!$A:$C,2,FALSE())&amp;" "&amp;VLOOKUP($A933,Skills!$A:$C,3,FALSE()),"Marsridge Holtgate"))</f>
        <v/>
      </c>
      <c r="C933" s="184" t="n">
        <f aca="false">IFERROR(VLOOKUP(A933,Skills!$A:$D,4,FALSE()),"")</f>
        <v>0</v>
      </c>
      <c r="D933" s="210"/>
      <c r="E933" s="211"/>
      <c r="G933" s="186" t="str">
        <f aca="false">IF(F933="","",WORKDAY(F933-1,E933+IF(I933="",0,I933)))</f>
        <v/>
      </c>
      <c r="I933" s="210"/>
      <c r="J933" s="212" t="str">
        <f aca="true">IF(F933="","",MIN(E933,MAX(0,NETWORKDAYS(F933,TODAY())-IF(I933="",0,I933))))</f>
        <v/>
      </c>
      <c r="K933" s="213" t="str">
        <f aca="true">IF(F933="","",MAX(0,E933-(NETWORKDAYS(F933,TODAY())-IF(I933="",0,I933))))</f>
        <v/>
      </c>
      <c r="L933" s="214"/>
      <c r="M933" s="214" t="str">
        <f aca="true">IFERROR(IF(OR(J933="",J933&lt;=0),"",IF(TODAY()&gt;G933,1,IF(J933-1=0,0,INDEX(OBJECTIVES!$Q$2:$Q$8,MATCH(J933-1,OBJECTIVES!$N$2:$N$8,0))))),"")</f>
        <v/>
      </c>
      <c r="N933" s="214" t="str">
        <f aca="false">IF(OR(M933="",L933=""),"",L933-M933)</f>
        <v/>
      </c>
      <c r="O933" s="212" t="str">
        <f aca="false">IF($P933&lt;&gt;"",$P933,IF(N933="","",IF(N933&lt;=-0.12,"P1",IF(N933&lt;=-0.06,"P2","P3"))))</f>
        <v/>
      </c>
      <c r="Q933" s="0" t="str">
        <f aca="true">IF(F933="","",IF(H933&lt;&gt;"","Terminé",IF(F933&gt;TODAY(),"À venir",IF(G933&lt;TODAY(),"Terminé","En cours"))))</f>
        <v/>
      </c>
      <c r="V933" s="0" t="str">
        <f aca="false">IF(Q933="Terminé",IF(AND(F933&lt;&gt;"",H933&lt;&gt;""),NETWORKDAYS(F933,H933),E933),"")</f>
        <v/>
      </c>
      <c r="W933" s="215" t="str">
        <f aca="false">IF($A933="","",IF(COUNTIF(Skills!$A:$A,$A933)=0,"⚠ ID absent du roster",""))</f>
        <v/>
      </c>
      <c r="X933" s="212"/>
    </row>
    <row r="934" customFormat="false" ht="15" hidden="true" customHeight="true" outlineLevel="0" collapsed="false">
      <c r="B934" s="183" t="str">
        <f aca="false">IF($A934="","",IFERROR(VLOOKUP($A934,Skills!$A:$C,2,FALSE())&amp;" "&amp;VLOOKUP($A934,Skills!$A:$C,3,FALSE()),"Marsridge Holtgate"))</f>
        <v/>
      </c>
      <c r="C934" s="184" t="n">
        <f aca="false">IFERROR(VLOOKUP(A934,Skills!$A:$D,4,FALSE()),"")</f>
        <v>0</v>
      </c>
      <c r="D934" s="210"/>
      <c r="E934" s="211"/>
      <c r="G934" s="186" t="str">
        <f aca="false">IF(F934="","",WORKDAY(F934-1,E934+IF(I934="",0,I934)))</f>
        <v/>
      </c>
      <c r="I934" s="210"/>
      <c r="J934" s="212" t="str">
        <f aca="true">IF(F934="","",MIN(E934,MAX(0,NETWORKDAYS(F934,TODAY())-IF(I934="",0,I934))))</f>
        <v/>
      </c>
      <c r="K934" s="213" t="str">
        <f aca="true">IF(F934="","",MAX(0,E934-(NETWORKDAYS(F934,TODAY())-IF(I934="",0,I934))))</f>
        <v/>
      </c>
      <c r="L934" s="214"/>
      <c r="M934" s="214" t="str">
        <f aca="true">IFERROR(IF(OR(J934="",J934&lt;=0),"",IF(TODAY()&gt;G934,1,IF(J934-1=0,0,INDEX(OBJECTIVES!$Q$2:$Q$8,MATCH(J934-1,OBJECTIVES!$N$2:$N$8,0))))),"")</f>
        <v/>
      </c>
      <c r="N934" s="214" t="str">
        <f aca="false">IF(OR(M934="",L934=""),"",L934-M934)</f>
        <v/>
      </c>
      <c r="O934" s="212" t="str">
        <f aca="false">IF($P934&lt;&gt;"",$P934,IF(N934="","",IF(N934&lt;=-0.12,"P1",IF(N934&lt;=-0.06,"P2","P3"))))</f>
        <v/>
      </c>
      <c r="Q934" s="0" t="str">
        <f aca="true">IF(F934="","",IF(H934&lt;&gt;"","Terminé",IF(F934&gt;TODAY(),"À venir",IF(G934&lt;TODAY(),"Terminé","En cours"))))</f>
        <v/>
      </c>
      <c r="V934" s="0" t="str">
        <f aca="false">IF(Q934="Terminé",IF(AND(F934&lt;&gt;"",H934&lt;&gt;""),NETWORKDAYS(F934,H934),E934),"")</f>
        <v/>
      </c>
      <c r="W934" s="215" t="str">
        <f aca="false">IF($A934="","",IF(COUNTIF(Skills!$A:$A,$A934)=0,"⚠ ID absent du roster",""))</f>
        <v/>
      </c>
      <c r="X934" s="212"/>
    </row>
    <row r="935" customFormat="false" ht="15" hidden="true" customHeight="true" outlineLevel="0" collapsed="false">
      <c r="B935" s="183" t="str">
        <f aca="false">IF($A935="","",IFERROR(VLOOKUP($A935,Skills!$A:$C,2,FALSE())&amp;" "&amp;VLOOKUP($A935,Skills!$A:$C,3,FALSE()),"Marsridge Holtgate"))</f>
        <v/>
      </c>
      <c r="C935" s="184" t="n">
        <f aca="false">IFERROR(VLOOKUP(A935,Skills!$A:$D,4,FALSE()),"")</f>
        <v>0</v>
      </c>
      <c r="D935" s="210"/>
      <c r="E935" s="211"/>
      <c r="G935" s="186" t="str">
        <f aca="false">IF(F935="","",WORKDAY(F935-1,E935+IF(I935="",0,I935)))</f>
        <v/>
      </c>
      <c r="I935" s="210"/>
      <c r="J935" s="212" t="str">
        <f aca="true">IF(F935="","",MIN(E935,MAX(0,NETWORKDAYS(F935,TODAY())-IF(I935="",0,I935))))</f>
        <v/>
      </c>
      <c r="K935" s="213" t="str">
        <f aca="true">IF(F935="","",MAX(0,E935-(NETWORKDAYS(F935,TODAY())-IF(I935="",0,I935))))</f>
        <v/>
      </c>
      <c r="L935" s="214"/>
      <c r="M935" s="214" t="str">
        <f aca="true">IFERROR(IF(OR(J935="",J935&lt;=0),"",IF(TODAY()&gt;G935,1,IF(J935-1=0,0,INDEX(OBJECTIVES!$Q$2:$Q$8,MATCH(J935-1,OBJECTIVES!$N$2:$N$8,0))))),"")</f>
        <v/>
      </c>
      <c r="N935" s="214" t="str">
        <f aca="false">IF(OR(M935="",L935=""),"",L935-M935)</f>
        <v/>
      </c>
      <c r="O935" s="212" t="str">
        <f aca="false">IF($P935&lt;&gt;"",$P935,IF(N935="","",IF(N935&lt;=-0.12,"P1",IF(N935&lt;=-0.06,"P2","P3"))))</f>
        <v/>
      </c>
      <c r="Q935" s="0" t="str">
        <f aca="true">IF(F935="","",IF(H935&lt;&gt;"","Terminé",IF(F935&gt;TODAY(),"À venir",IF(G935&lt;TODAY(),"Terminé","En cours"))))</f>
        <v/>
      </c>
      <c r="V935" s="0" t="str">
        <f aca="false">IF(Q935="Terminé",IF(AND(F935&lt;&gt;"",H935&lt;&gt;""),NETWORKDAYS(F935,H935),E935),"")</f>
        <v/>
      </c>
      <c r="W935" s="215" t="str">
        <f aca="false">IF($A935="","",IF(COUNTIF(Skills!$A:$A,$A935)=0,"⚠ ID absent du roster",""))</f>
        <v/>
      </c>
      <c r="X935" s="212"/>
    </row>
    <row r="936" customFormat="false" ht="15" hidden="true" customHeight="true" outlineLevel="0" collapsed="false">
      <c r="B936" s="183" t="str">
        <f aca="false">IF($A936="","",IFERROR(VLOOKUP($A936,Skills!$A:$C,2,FALSE())&amp;" "&amp;VLOOKUP($A936,Skills!$A:$C,3,FALSE()),"Marsridge Holtgate"))</f>
        <v/>
      </c>
      <c r="C936" s="184" t="n">
        <f aca="false">IFERROR(VLOOKUP(A936,Skills!$A:$D,4,FALSE()),"")</f>
        <v>0</v>
      </c>
      <c r="D936" s="210"/>
      <c r="E936" s="211"/>
      <c r="G936" s="186" t="str">
        <f aca="false">IF(F936="","",WORKDAY(F936-1,E936+IF(I936="",0,I936)))</f>
        <v/>
      </c>
      <c r="I936" s="210"/>
      <c r="J936" s="212" t="str">
        <f aca="true">IF(F936="","",MIN(E936,MAX(0,NETWORKDAYS(F936,TODAY())-IF(I936="",0,I936))))</f>
        <v/>
      </c>
      <c r="K936" s="213" t="str">
        <f aca="true">IF(F936="","",MAX(0,E936-(NETWORKDAYS(F936,TODAY())-IF(I936="",0,I936))))</f>
        <v/>
      </c>
      <c r="L936" s="214"/>
      <c r="M936" s="214" t="str">
        <f aca="true">IFERROR(IF(OR(J936="",J936&lt;=0),"",IF(TODAY()&gt;G936,1,IF(J936-1=0,0,INDEX(OBJECTIVES!$Q$2:$Q$8,MATCH(J936-1,OBJECTIVES!$N$2:$N$8,0))))),"")</f>
        <v/>
      </c>
      <c r="N936" s="214" t="str">
        <f aca="false">IF(OR(M936="",L936=""),"",L936-M936)</f>
        <v/>
      </c>
      <c r="O936" s="212" t="str">
        <f aca="false">IF($P936&lt;&gt;"",$P936,IF(N936="","",IF(N936&lt;=-0.12,"P1",IF(N936&lt;=-0.06,"P2","P3"))))</f>
        <v/>
      </c>
      <c r="Q936" s="0" t="str">
        <f aca="true">IF(F936="","",IF(H936&lt;&gt;"","Terminé",IF(F936&gt;TODAY(),"À venir",IF(G936&lt;TODAY(),"Terminé","En cours"))))</f>
        <v/>
      </c>
      <c r="V936" s="0" t="str">
        <f aca="false">IF(Q936="Terminé",IF(AND(F936&lt;&gt;"",H936&lt;&gt;""),NETWORKDAYS(F936,H936),E936),"")</f>
        <v/>
      </c>
      <c r="W936" s="215" t="str">
        <f aca="false">IF($A936="","",IF(COUNTIF(Skills!$A:$A,$A936)=0,"⚠ ID absent du roster",""))</f>
        <v/>
      </c>
      <c r="X936" s="212"/>
    </row>
    <row r="937" customFormat="false" ht="15" hidden="true" customHeight="true" outlineLevel="0" collapsed="false">
      <c r="B937" s="183" t="str">
        <f aca="false">IF($A937="","",IFERROR(VLOOKUP($A937,Skills!$A:$C,2,FALSE())&amp;" "&amp;VLOOKUP($A937,Skills!$A:$C,3,FALSE()),"Marsridge Holtgate"))</f>
        <v/>
      </c>
      <c r="C937" s="184" t="n">
        <f aca="false">IFERROR(VLOOKUP(A937,Skills!$A:$D,4,FALSE()),"")</f>
        <v>0</v>
      </c>
      <c r="D937" s="210"/>
      <c r="E937" s="211"/>
      <c r="G937" s="186" t="str">
        <f aca="false">IF(F937="","",WORKDAY(F937-1,E937+IF(I937="",0,I937)))</f>
        <v/>
      </c>
      <c r="I937" s="210"/>
      <c r="J937" s="212" t="str">
        <f aca="true">IF(F937="","",MIN(E937,MAX(0,NETWORKDAYS(F937,TODAY())-IF(I937="",0,I937))))</f>
        <v/>
      </c>
      <c r="K937" s="213" t="str">
        <f aca="true">IF(F937="","",MAX(0,E937-(NETWORKDAYS(F937,TODAY())-IF(I937="",0,I937))))</f>
        <v/>
      </c>
      <c r="L937" s="214"/>
      <c r="M937" s="214" t="str">
        <f aca="true">IFERROR(IF(OR(J937="",J937&lt;=0),"",IF(TODAY()&gt;G937,1,IF(J937-1=0,0,INDEX(OBJECTIVES!$Q$2:$Q$8,MATCH(J937-1,OBJECTIVES!$N$2:$N$8,0))))),"")</f>
        <v/>
      </c>
      <c r="N937" s="214" t="str">
        <f aca="false">IF(OR(M937="",L937=""),"",L937-M937)</f>
        <v/>
      </c>
      <c r="O937" s="212" t="str">
        <f aca="false">IF($P937&lt;&gt;"",$P937,IF(N937="","",IF(N937&lt;=-0.12,"P1",IF(N937&lt;=-0.06,"P2","P3"))))</f>
        <v/>
      </c>
      <c r="Q937" s="0" t="str">
        <f aca="true">IF(F937="","",IF(H937&lt;&gt;"","Terminé",IF(F937&gt;TODAY(),"À venir",IF(G937&lt;TODAY(),"Terminé","En cours"))))</f>
        <v/>
      </c>
      <c r="V937" s="0" t="str">
        <f aca="false">IF(Q937="Terminé",IF(AND(F937&lt;&gt;"",H937&lt;&gt;""),NETWORKDAYS(F937,H937),E937),"")</f>
        <v/>
      </c>
      <c r="W937" s="215" t="str">
        <f aca="false">IF($A937="","",IF(COUNTIF(Skills!$A:$A,$A937)=0,"⚠ ID absent du roster",""))</f>
        <v/>
      </c>
      <c r="X937" s="212"/>
    </row>
    <row r="938" customFormat="false" ht="15" hidden="true" customHeight="true" outlineLevel="0" collapsed="false">
      <c r="B938" s="183" t="str">
        <f aca="false">IF($A938="","",IFERROR(VLOOKUP($A938,Skills!$A:$C,2,FALSE())&amp;" "&amp;VLOOKUP($A938,Skills!$A:$C,3,FALSE()),"Marsridge Holtgate"))</f>
        <v/>
      </c>
      <c r="C938" s="184" t="n">
        <f aca="false">IFERROR(VLOOKUP(A938,Skills!$A:$D,4,FALSE()),"")</f>
        <v>0</v>
      </c>
      <c r="D938" s="210"/>
      <c r="E938" s="211"/>
      <c r="G938" s="186" t="str">
        <f aca="false">IF(F938="","",WORKDAY(F938-1,E938+IF(I938="",0,I938)))</f>
        <v/>
      </c>
      <c r="I938" s="210"/>
      <c r="J938" s="212" t="str">
        <f aca="true">IF(F938="","",MIN(E938,MAX(0,NETWORKDAYS(F938,TODAY())-IF(I938="",0,I938))))</f>
        <v/>
      </c>
      <c r="K938" s="213" t="str">
        <f aca="true">IF(F938="","",MAX(0,E938-(NETWORKDAYS(F938,TODAY())-IF(I938="",0,I938))))</f>
        <v/>
      </c>
      <c r="L938" s="214"/>
      <c r="M938" s="214" t="str">
        <f aca="true">IFERROR(IF(OR(J938="",J938&lt;=0),"",IF(TODAY()&gt;G938,1,IF(J938-1=0,0,INDEX(OBJECTIVES!$Q$2:$Q$8,MATCH(J938-1,OBJECTIVES!$N$2:$N$8,0))))),"")</f>
        <v/>
      </c>
      <c r="N938" s="214" t="str">
        <f aca="false">IF(OR(M938="",L938=""),"",L938-M938)</f>
        <v/>
      </c>
      <c r="O938" s="212" t="str">
        <f aca="false">IF($P938&lt;&gt;"",$P938,IF(N938="","",IF(N938&lt;=-0.12,"P1",IF(N938&lt;=-0.06,"P2","P3"))))</f>
        <v/>
      </c>
      <c r="Q938" s="0" t="str">
        <f aca="true">IF(F938="","",IF(H938&lt;&gt;"","Terminé",IF(F938&gt;TODAY(),"À venir",IF(G938&lt;TODAY(),"Terminé","En cours"))))</f>
        <v/>
      </c>
      <c r="V938" s="0" t="str">
        <f aca="false">IF(Q938="Terminé",IF(AND(F938&lt;&gt;"",H938&lt;&gt;""),NETWORKDAYS(F938,H938),E938),"")</f>
        <v/>
      </c>
      <c r="W938" s="215" t="str">
        <f aca="false">IF($A938="","",IF(COUNTIF(Skills!$A:$A,$A938)=0,"⚠ ID absent du roster",""))</f>
        <v/>
      </c>
      <c r="X938" s="212"/>
    </row>
    <row r="939" customFormat="false" ht="15" hidden="true" customHeight="true" outlineLevel="0" collapsed="false">
      <c r="B939" s="183" t="str">
        <f aca="false">IF($A939="","",IFERROR(VLOOKUP($A939,Skills!$A:$C,2,FALSE())&amp;" "&amp;VLOOKUP($A939,Skills!$A:$C,3,FALSE()),"Marsridge Holtgate"))</f>
        <v/>
      </c>
      <c r="C939" s="184" t="n">
        <f aca="false">IFERROR(VLOOKUP(A939,Skills!$A:$D,4,FALSE()),"")</f>
        <v>0</v>
      </c>
      <c r="D939" s="210"/>
      <c r="E939" s="211"/>
      <c r="G939" s="186" t="str">
        <f aca="false">IF(F939="","",WORKDAY(F939-1,E939+IF(I939="",0,I939)))</f>
        <v/>
      </c>
      <c r="I939" s="210"/>
      <c r="J939" s="212" t="str">
        <f aca="true">IF(F939="","",MIN(E939,MAX(0,NETWORKDAYS(F939,TODAY())-IF(I939="",0,I939))))</f>
        <v/>
      </c>
      <c r="K939" s="213" t="str">
        <f aca="true">IF(F939="","",MAX(0,E939-(NETWORKDAYS(F939,TODAY())-IF(I939="",0,I939))))</f>
        <v/>
      </c>
      <c r="L939" s="214"/>
      <c r="M939" s="214" t="str">
        <f aca="true">IFERROR(IF(OR(J939="",J939&lt;=0),"",IF(TODAY()&gt;G939,1,IF(J939-1=0,0,INDEX(OBJECTIVES!$Q$2:$Q$8,MATCH(J939-1,OBJECTIVES!$N$2:$N$8,0))))),"")</f>
        <v/>
      </c>
      <c r="N939" s="214" t="str">
        <f aca="false">IF(OR(M939="",L939=""),"",L939-M939)</f>
        <v/>
      </c>
      <c r="O939" s="212" t="str">
        <f aca="false">IF($P939&lt;&gt;"",$P939,IF(N939="","",IF(N939&lt;=-0.12,"P1",IF(N939&lt;=-0.06,"P2","P3"))))</f>
        <v/>
      </c>
      <c r="Q939" s="0" t="str">
        <f aca="true">IF(F939="","",IF(H939&lt;&gt;"","Terminé",IF(F939&gt;TODAY(),"À venir",IF(G939&lt;TODAY(),"Terminé","En cours"))))</f>
        <v/>
      </c>
      <c r="V939" s="0" t="str">
        <f aca="false">IF(Q939="Terminé",IF(AND(F939&lt;&gt;"",H939&lt;&gt;""),NETWORKDAYS(F939,H939),E939),"")</f>
        <v/>
      </c>
      <c r="W939" s="215" t="str">
        <f aca="false">IF($A939="","",IF(COUNTIF(Skills!$A:$A,$A939)=0,"⚠ ID absent du roster",""))</f>
        <v/>
      </c>
      <c r="X939" s="212"/>
    </row>
    <row r="940" customFormat="false" ht="15" hidden="true" customHeight="true" outlineLevel="0" collapsed="false">
      <c r="B940" s="183" t="str">
        <f aca="false">IF($A940="","",IFERROR(VLOOKUP($A940,Skills!$A:$C,2,FALSE())&amp;" "&amp;VLOOKUP($A940,Skills!$A:$C,3,FALSE()),"Marsridge Holtgate"))</f>
        <v/>
      </c>
      <c r="C940" s="184" t="n">
        <f aca="false">IFERROR(VLOOKUP(A940,Skills!$A:$D,4,FALSE()),"")</f>
        <v>0</v>
      </c>
      <c r="D940" s="210"/>
      <c r="E940" s="211"/>
      <c r="G940" s="186" t="str">
        <f aca="false">IF(F940="","",WORKDAY(F940-1,E940+IF(I940="",0,I940)))</f>
        <v/>
      </c>
      <c r="I940" s="210"/>
      <c r="J940" s="212" t="str">
        <f aca="true">IF(F940="","",MIN(E940,MAX(0,NETWORKDAYS(F940,TODAY())-IF(I940="",0,I940))))</f>
        <v/>
      </c>
      <c r="K940" s="213" t="str">
        <f aca="true">IF(F940="","",MAX(0,E940-(NETWORKDAYS(F940,TODAY())-IF(I940="",0,I940))))</f>
        <v/>
      </c>
      <c r="L940" s="214"/>
      <c r="M940" s="214" t="str">
        <f aca="true">IFERROR(IF(OR(J940="",J940&lt;=0),"",IF(TODAY()&gt;G940,1,IF(J940-1=0,0,INDEX(OBJECTIVES!$Q$2:$Q$8,MATCH(J940-1,OBJECTIVES!$N$2:$N$8,0))))),"")</f>
        <v/>
      </c>
      <c r="N940" s="214" t="str">
        <f aca="false">IF(OR(M940="",L940=""),"",L940-M940)</f>
        <v/>
      </c>
      <c r="O940" s="212" t="str">
        <f aca="false">IF($P940&lt;&gt;"",$P940,IF(N940="","",IF(N940&lt;=-0.12,"P1",IF(N940&lt;=-0.06,"P2","P3"))))</f>
        <v/>
      </c>
      <c r="Q940" s="0" t="str">
        <f aca="true">IF(F940="","",IF(H940&lt;&gt;"","Terminé",IF(F940&gt;TODAY(),"À venir",IF(G940&lt;TODAY(),"Terminé","En cours"))))</f>
        <v/>
      </c>
      <c r="V940" s="0" t="str">
        <f aca="false">IF(Q940="Terminé",IF(AND(F940&lt;&gt;"",H940&lt;&gt;""),NETWORKDAYS(F940,H940),E940),"")</f>
        <v/>
      </c>
      <c r="W940" s="215" t="str">
        <f aca="false">IF($A940="","",IF(COUNTIF(Skills!$A:$A,$A940)=0,"⚠ ID absent du roster",""))</f>
        <v/>
      </c>
      <c r="X940" s="212"/>
    </row>
    <row r="941" customFormat="false" ht="15" hidden="true" customHeight="true" outlineLevel="0" collapsed="false">
      <c r="B941" s="183" t="str">
        <f aca="false">IF($A941="","",IFERROR(VLOOKUP($A941,Skills!$A:$C,2,FALSE())&amp;" "&amp;VLOOKUP($A941,Skills!$A:$C,3,FALSE()),"Marsridge Holtgate"))</f>
        <v/>
      </c>
      <c r="C941" s="184" t="n">
        <f aca="false">IFERROR(VLOOKUP(A941,Skills!$A:$D,4,FALSE()),"")</f>
        <v>0</v>
      </c>
      <c r="D941" s="210"/>
      <c r="E941" s="211"/>
      <c r="G941" s="186" t="str">
        <f aca="false">IF(F941="","",WORKDAY(F941-1,E941+IF(I941="",0,I941)))</f>
        <v/>
      </c>
      <c r="I941" s="210"/>
      <c r="J941" s="212" t="str">
        <f aca="true">IF(F941="","",MIN(E941,MAX(0,NETWORKDAYS(F941,TODAY())-IF(I941="",0,I941))))</f>
        <v/>
      </c>
      <c r="K941" s="213" t="str">
        <f aca="true">IF(F941="","",MAX(0,E941-(NETWORKDAYS(F941,TODAY())-IF(I941="",0,I941))))</f>
        <v/>
      </c>
      <c r="L941" s="214"/>
      <c r="M941" s="214" t="str">
        <f aca="true">IFERROR(IF(OR(J941="",J941&lt;=0),"",IF(TODAY()&gt;G941,1,IF(J941-1=0,0,INDEX(OBJECTIVES!$Q$2:$Q$8,MATCH(J941-1,OBJECTIVES!$N$2:$N$8,0))))),"")</f>
        <v/>
      </c>
      <c r="N941" s="214" t="str">
        <f aca="false">IF(OR(M941="",L941=""),"",L941-M941)</f>
        <v/>
      </c>
      <c r="O941" s="212" t="str">
        <f aca="false">IF($P941&lt;&gt;"",$P941,IF(N941="","",IF(N941&lt;=-0.12,"P1",IF(N941&lt;=-0.06,"P2","P3"))))</f>
        <v/>
      </c>
      <c r="Q941" s="0" t="str">
        <f aca="true">IF(F941="","",IF(H941&lt;&gt;"","Terminé",IF(F941&gt;TODAY(),"À venir",IF(G941&lt;TODAY(),"Terminé","En cours"))))</f>
        <v/>
      </c>
      <c r="V941" s="0" t="str">
        <f aca="false">IF(Q941="Terminé",IF(AND(F941&lt;&gt;"",H941&lt;&gt;""),NETWORKDAYS(F941,H941),E941),"")</f>
        <v/>
      </c>
      <c r="W941" s="215" t="str">
        <f aca="false">IF($A941="","",IF(COUNTIF(Skills!$A:$A,$A941)=0,"⚠ ID absent du roster",""))</f>
        <v/>
      </c>
      <c r="X941" s="212"/>
    </row>
    <row r="942" customFormat="false" ht="15" hidden="true" customHeight="true" outlineLevel="0" collapsed="false">
      <c r="B942" s="183" t="str">
        <f aca="false">IF($A942="","",IFERROR(VLOOKUP($A942,Skills!$A:$C,2,FALSE())&amp;" "&amp;VLOOKUP($A942,Skills!$A:$C,3,FALSE()),"Marsridge Holtgate"))</f>
        <v/>
      </c>
      <c r="C942" s="184" t="n">
        <f aca="false">IFERROR(VLOOKUP(A942,Skills!$A:$D,4,FALSE()),"")</f>
        <v>0</v>
      </c>
      <c r="D942" s="210"/>
      <c r="E942" s="211"/>
      <c r="G942" s="186" t="str">
        <f aca="false">IF(F942="","",WORKDAY(F942-1,E942+IF(I942="",0,I942)))</f>
        <v/>
      </c>
      <c r="I942" s="210"/>
      <c r="J942" s="212" t="str">
        <f aca="true">IF(F942="","",MIN(E942,MAX(0,NETWORKDAYS(F942,TODAY())-IF(I942="",0,I942))))</f>
        <v/>
      </c>
      <c r="K942" s="213" t="str">
        <f aca="true">IF(F942="","",MAX(0,E942-(NETWORKDAYS(F942,TODAY())-IF(I942="",0,I942))))</f>
        <v/>
      </c>
      <c r="L942" s="214"/>
      <c r="M942" s="214" t="str">
        <f aca="true">IFERROR(IF(OR(J942="",J942&lt;=0),"",IF(TODAY()&gt;G942,1,IF(J942-1=0,0,INDEX(OBJECTIVES!$Q$2:$Q$8,MATCH(J942-1,OBJECTIVES!$N$2:$N$8,0))))),"")</f>
        <v/>
      </c>
      <c r="N942" s="214" t="str">
        <f aca="false">IF(OR(M942="",L942=""),"",L942-M942)</f>
        <v/>
      </c>
      <c r="O942" s="212" t="str">
        <f aca="false">IF($P942&lt;&gt;"",$P942,IF(N942="","",IF(N942&lt;=-0.12,"P1",IF(N942&lt;=-0.06,"P2","P3"))))</f>
        <v/>
      </c>
      <c r="Q942" s="0" t="str">
        <f aca="true">IF(F942="","",IF(H942&lt;&gt;"","Terminé",IF(F942&gt;TODAY(),"À venir",IF(G942&lt;TODAY(),"Terminé","En cours"))))</f>
        <v/>
      </c>
      <c r="V942" s="0" t="str">
        <f aca="false">IF(Q942="Terminé",IF(AND(F942&lt;&gt;"",H942&lt;&gt;""),NETWORKDAYS(F942,H942),E942),"")</f>
        <v/>
      </c>
      <c r="W942" s="215" t="str">
        <f aca="false">IF($A942="","",IF(COUNTIF(Skills!$A:$A,$A942)=0,"⚠ ID absent du roster",""))</f>
        <v/>
      </c>
      <c r="X942" s="212"/>
    </row>
    <row r="943" customFormat="false" ht="15" hidden="true" customHeight="true" outlineLevel="0" collapsed="false">
      <c r="B943" s="183" t="str">
        <f aca="false">IF($A943="","",IFERROR(VLOOKUP($A943,Skills!$A:$C,2,FALSE())&amp;" "&amp;VLOOKUP($A943,Skills!$A:$C,3,FALSE()),"Marsridge Holtgate"))</f>
        <v/>
      </c>
      <c r="C943" s="184" t="n">
        <f aca="false">IFERROR(VLOOKUP(A943,Skills!$A:$D,4,FALSE()),"")</f>
        <v>0</v>
      </c>
      <c r="D943" s="210"/>
      <c r="E943" s="211"/>
      <c r="G943" s="186" t="str">
        <f aca="false">IF(F943="","",WORKDAY(F943-1,E943+IF(I943="",0,I943)))</f>
        <v/>
      </c>
      <c r="I943" s="210"/>
      <c r="J943" s="212" t="str">
        <f aca="true">IF(F943="","",MIN(E943,MAX(0,NETWORKDAYS(F943,TODAY())-IF(I943="",0,I943))))</f>
        <v/>
      </c>
      <c r="K943" s="213" t="str">
        <f aca="true">IF(F943="","",MAX(0,E943-(NETWORKDAYS(F943,TODAY())-IF(I943="",0,I943))))</f>
        <v/>
      </c>
      <c r="L943" s="214"/>
      <c r="M943" s="214" t="str">
        <f aca="true">IFERROR(IF(OR(J943="",J943&lt;=0),"",IF(TODAY()&gt;G943,1,IF(J943-1=0,0,INDEX(OBJECTIVES!$Q$2:$Q$8,MATCH(J943-1,OBJECTIVES!$N$2:$N$8,0))))),"")</f>
        <v/>
      </c>
      <c r="N943" s="214" t="str">
        <f aca="false">IF(OR(M943="",L943=""),"",L943-M943)</f>
        <v/>
      </c>
      <c r="O943" s="212" t="str">
        <f aca="false">IF($P943&lt;&gt;"",$P943,IF(N943="","",IF(N943&lt;=-0.12,"P1",IF(N943&lt;=-0.06,"P2","P3"))))</f>
        <v/>
      </c>
      <c r="Q943" s="0" t="str">
        <f aca="true">IF(F943="","",IF(H943&lt;&gt;"","Terminé",IF(F943&gt;TODAY(),"À venir",IF(G943&lt;TODAY(),"Terminé","En cours"))))</f>
        <v/>
      </c>
      <c r="V943" s="0" t="str">
        <f aca="false">IF(Q943="Terminé",IF(AND(F943&lt;&gt;"",H943&lt;&gt;""),NETWORKDAYS(F943,H943),E943),"")</f>
        <v/>
      </c>
      <c r="W943" s="215" t="str">
        <f aca="false">IF($A943="","",IF(COUNTIF(Skills!$A:$A,$A943)=0,"⚠ ID absent du roster",""))</f>
        <v/>
      </c>
      <c r="X943" s="212"/>
    </row>
    <row r="944" customFormat="false" ht="15" hidden="true" customHeight="true" outlineLevel="0" collapsed="false">
      <c r="B944" s="183" t="str">
        <f aca="false">IF($A944="","",IFERROR(VLOOKUP($A944,Skills!$A:$C,2,FALSE())&amp;" "&amp;VLOOKUP($A944,Skills!$A:$C,3,FALSE()),"Marsridge Holtgate"))</f>
        <v/>
      </c>
      <c r="C944" s="184" t="n">
        <f aca="false">IFERROR(VLOOKUP(A944,Skills!$A:$D,4,FALSE()),"")</f>
        <v>0</v>
      </c>
      <c r="D944" s="210"/>
      <c r="E944" s="211"/>
      <c r="G944" s="186" t="str">
        <f aca="false">IF(F944="","",WORKDAY(F944-1,E944+IF(I944="",0,I944)))</f>
        <v/>
      </c>
      <c r="I944" s="210"/>
      <c r="J944" s="212" t="str">
        <f aca="true">IF(F944="","",MIN(E944,MAX(0,NETWORKDAYS(F944,TODAY())-IF(I944="",0,I944))))</f>
        <v/>
      </c>
      <c r="K944" s="213" t="str">
        <f aca="true">IF(F944="","",MAX(0,E944-(NETWORKDAYS(F944,TODAY())-IF(I944="",0,I944))))</f>
        <v/>
      </c>
      <c r="L944" s="214"/>
      <c r="M944" s="214" t="str">
        <f aca="true">IFERROR(IF(OR(J944="",J944&lt;=0),"",IF(TODAY()&gt;G944,1,IF(J944-1=0,0,INDEX(OBJECTIVES!$Q$2:$Q$8,MATCH(J944-1,OBJECTIVES!$N$2:$N$8,0))))),"")</f>
        <v/>
      </c>
      <c r="N944" s="214" t="str">
        <f aca="false">IF(OR(M944="",L944=""),"",L944-M944)</f>
        <v/>
      </c>
      <c r="O944" s="212" t="str">
        <f aca="false">IF($P944&lt;&gt;"",$P944,IF(N944="","",IF(N944&lt;=-0.12,"P1",IF(N944&lt;=-0.06,"P2","P3"))))</f>
        <v/>
      </c>
      <c r="Q944" s="0" t="str">
        <f aca="true">IF(F944="","",IF(H944&lt;&gt;"","Terminé",IF(F944&gt;TODAY(),"À venir",IF(G944&lt;TODAY(),"Terminé","En cours"))))</f>
        <v/>
      </c>
      <c r="V944" s="0" t="str">
        <f aca="false">IF(Q944="Terminé",IF(AND(F944&lt;&gt;"",H944&lt;&gt;""),NETWORKDAYS(F944,H944),E944),"")</f>
        <v/>
      </c>
      <c r="W944" s="215" t="str">
        <f aca="false">IF($A944="","",IF(COUNTIF(Skills!$A:$A,$A944)=0,"⚠ ID absent du roster",""))</f>
        <v/>
      </c>
      <c r="X944" s="212"/>
    </row>
    <row r="945" customFormat="false" ht="15" hidden="true" customHeight="true" outlineLevel="0" collapsed="false">
      <c r="B945" s="183" t="str">
        <f aca="false">IF($A945="","",IFERROR(VLOOKUP($A945,Skills!$A:$C,2,FALSE())&amp;" "&amp;VLOOKUP($A945,Skills!$A:$C,3,FALSE()),"Marsridge Holtgate"))</f>
        <v/>
      </c>
      <c r="C945" s="184" t="n">
        <f aca="false">IFERROR(VLOOKUP(A945,Skills!$A:$D,4,FALSE()),"")</f>
        <v>0</v>
      </c>
      <c r="D945" s="210"/>
      <c r="E945" s="211"/>
      <c r="G945" s="186" t="str">
        <f aca="false">IF(F945="","",WORKDAY(F945-1,E945+IF(I945="",0,I945)))</f>
        <v/>
      </c>
      <c r="I945" s="210"/>
      <c r="J945" s="212" t="str">
        <f aca="true">IF(F945="","",MIN(E945,MAX(0,NETWORKDAYS(F945,TODAY())-IF(I945="",0,I945))))</f>
        <v/>
      </c>
      <c r="K945" s="213" t="str">
        <f aca="true">IF(F945="","",MAX(0,E945-(NETWORKDAYS(F945,TODAY())-IF(I945="",0,I945))))</f>
        <v/>
      </c>
      <c r="L945" s="214"/>
      <c r="M945" s="214" t="str">
        <f aca="true">IFERROR(IF(OR(J945="",J945&lt;=0),"",IF(TODAY()&gt;G945,1,IF(J945-1=0,0,INDEX(OBJECTIVES!$Q$2:$Q$8,MATCH(J945-1,OBJECTIVES!$N$2:$N$8,0))))),"")</f>
        <v/>
      </c>
      <c r="N945" s="214" t="str">
        <f aca="false">IF(OR(M945="",L945=""),"",L945-M945)</f>
        <v/>
      </c>
      <c r="O945" s="212" t="str">
        <f aca="false">IF($P945&lt;&gt;"",$P945,IF(N945="","",IF(N945&lt;=-0.12,"P1",IF(N945&lt;=-0.06,"P2","P3"))))</f>
        <v/>
      </c>
      <c r="Q945" s="0" t="str">
        <f aca="true">IF(F945="","",IF(H945&lt;&gt;"","Terminé",IF(F945&gt;TODAY(),"À venir",IF(G945&lt;TODAY(),"Terminé","En cours"))))</f>
        <v/>
      </c>
      <c r="V945" s="0" t="str">
        <f aca="false">IF(Q945="Terminé",IF(AND(F945&lt;&gt;"",H945&lt;&gt;""),NETWORKDAYS(F945,H945),E945),"")</f>
        <v/>
      </c>
      <c r="W945" s="215" t="str">
        <f aca="false">IF($A945="","",IF(COUNTIF(Skills!$A:$A,$A945)=0,"⚠ ID absent du roster",""))</f>
        <v/>
      </c>
      <c r="X945" s="212"/>
    </row>
    <row r="946" customFormat="false" ht="15" hidden="true" customHeight="true" outlineLevel="0" collapsed="false">
      <c r="B946" s="183" t="str">
        <f aca="false">IF($A946="","",IFERROR(VLOOKUP($A946,Skills!$A:$C,2,FALSE())&amp;" "&amp;VLOOKUP($A946,Skills!$A:$C,3,FALSE()),"Marsridge Holtgate"))</f>
        <v/>
      </c>
      <c r="C946" s="184" t="n">
        <f aca="false">IFERROR(VLOOKUP(A946,Skills!$A:$D,4,FALSE()),"")</f>
        <v>0</v>
      </c>
      <c r="D946" s="210"/>
      <c r="E946" s="211"/>
      <c r="G946" s="186" t="str">
        <f aca="false">IF(F946="","",WORKDAY(F946-1,E946+IF(I946="",0,I946)))</f>
        <v/>
      </c>
      <c r="I946" s="210"/>
      <c r="J946" s="212" t="str">
        <f aca="true">IF(F946="","",MIN(E946,MAX(0,NETWORKDAYS(F946,TODAY())-IF(I946="",0,I946))))</f>
        <v/>
      </c>
      <c r="K946" s="213" t="str">
        <f aca="true">IF(F946="","",MAX(0,E946-(NETWORKDAYS(F946,TODAY())-IF(I946="",0,I946))))</f>
        <v/>
      </c>
      <c r="L946" s="214"/>
      <c r="M946" s="214" t="str">
        <f aca="true">IFERROR(IF(OR(J946="",J946&lt;=0),"",IF(TODAY()&gt;G946,1,IF(J946-1=0,0,INDEX(OBJECTIVES!$Q$2:$Q$8,MATCH(J946-1,OBJECTIVES!$N$2:$N$8,0))))),"")</f>
        <v/>
      </c>
      <c r="N946" s="214" t="str">
        <f aca="false">IF(OR(M946="",L946=""),"",L946-M946)</f>
        <v/>
      </c>
      <c r="O946" s="212" t="str">
        <f aca="false">IF($P946&lt;&gt;"",$P946,IF(N946="","",IF(N946&lt;=-0.12,"P1",IF(N946&lt;=-0.06,"P2","P3"))))</f>
        <v/>
      </c>
      <c r="Q946" s="0" t="str">
        <f aca="true">IF(F946="","",IF(H946&lt;&gt;"","Terminé",IF(F946&gt;TODAY(),"À venir",IF(G946&lt;TODAY(),"Terminé","En cours"))))</f>
        <v/>
      </c>
      <c r="V946" s="0" t="str">
        <f aca="false">IF(Q946="Terminé",IF(AND(F946&lt;&gt;"",H946&lt;&gt;""),NETWORKDAYS(F946,H946),E946),"")</f>
        <v/>
      </c>
      <c r="W946" s="215" t="str">
        <f aca="false">IF($A946="","",IF(COUNTIF(Skills!$A:$A,$A946)=0,"⚠ ID absent du roster",""))</f>
        <v/>
      </c>
      <c r="X946" s="212"/>
    </row>
    <row r="947" customFormat="false" ht="15" hidden="true" customHeight="true" outlineLevel="0" collapsed="false">
      <c r="B947" s="183" t="str">
        <f aca="false">IF($A947="","",IFERROR(VLOOKUP($A947,Skills!$A:$C,2,FALSE())&amp;" "&amp;VLOOKUP($A947,Skills!$A:$C,3,FALSE()),"Marsridge Holtgate"))</f>
        <v/>
      </c>
      <c r="C947" s="184" t="n">
        <f aca="false">IFERROR(VLOOKUP(A947,Skills!$A:$D,4,FALSE()),"")</f>
        <v>0</v>
      </c>
      <c r="D947" s="210"/>
      <c r="E947" s="211"/>
      <c r="G947" s="186" t="str">
        <f aca="false">IF(F947="","",WORKDAY(F947-1,E947+IF(I947="",0,I947)))</f>
        <v/>
      </c>
      <c r="I947" s="210"/>
      <c r="J947" s="212" t="str">
        <f aca="true">IF(F947="","",MIN(E947,MAX(0,NETWORKDAYS(F947,TODAY())-IF(I947="",0,I947))))</f>
        <v/>
      </c>
      <c r="K947" s="213" t="str">
        <f aca="true">IF(F947="","",MAX(0,E947-(NETWORKDAYS(F947,TODAY())-IF(I947="",0,I947))))</f>
        <v/>
      </c>
      <c r="L947" s="214"/>
      <c r="M947" s="214" t="str">
        <f aca="true">IFERROR(IF(OR(J947="",J947&lt;=0),"",IF(TODAY()&gt;G947,1,IF(J947-1=0,0,INDEX(OBJECTIVES!$Q$2:$Q$8,MATCH(J947-1,OBJECTIVES!$N$2:$N$8,0))))),"")</f>
        <v/>
      </c>
      <c r="N947" s="214" t="str">
        <f aca="false">IF(OR(M947="",L947=""),"",L947-M947)</f>
        <v/>
      </c>
      <c r="O947" s="212" t="str">
        <f aca="false">IF($P947&lt;&gt;"",$P947,IF(N947="","",IF(N947&lt;=-0.12,"P1",IF(N947&lt;=-0.06,"P2","P3"))))</f>
        <v/>
      </c>
      <c r="Q947" s="0" t="str">
        <f aca="true">IF(F947="","",IF(H947&lt;&gt;"","Terminé",IF(F947&gt;TODAY(),"À venir",IF(G947&lt;TODAY(),"Terminé","En cours"))))</f>
        <v/>
      </c>
      <c r="V947" s="0" t="str">
        <f aca="false">IF(Q947="Terminé",IF(AND(F947&lt;&gt;"",H947&lt;&gt;""),NETWORKDAYS(F947,H947),E947),"")</f>
        <v/>
      </c>
      <c r="W947" s="215" t="str">
        <f aca="false">IF($A947="","",IF(COUNTIF(Skills!$A:$A,$A947)=0,"⚠ ID absent du roster",""))</f>
        <v/>
      </c>
      <c r="X947" s="212"/>
    </row>
    <row r="948" customFormat="false" ht="15" hidden="true" customHeight="true" outlineLevel="0" collapsed="false">
      <c r="B948" s="183" t="str">
        <f aca="false">IF($A948="","",IFERROR(VLOOKUP($A948,Skills!$A:$C,2,FALSE())&amp;" "&amp;VLOOKUP($A948,Skills!$A:$C,3,FALSE()),"Marsridge Holtgate"))</f>
        <v/>
      </c>
      <c r="C948" s="184" t="n">
        <f aca="false">IFERROR(VLOOKUP(A948,Skills!$A:$D,4,FALSE()),"")</f>
        <v>0</v>
      </c>
      <c r="D948" s="210"/>
      <c r="E948" s="211"/>
      <c r="G948" s="186" t="str">
        <f aca="false">IF(F948="","",WORKDAY(F948-1,E948+IF(I948="",0,I948)))</f>
        <v/>
      </c>
      <c r="I948" s="210"/>
      <c r="J948" s="212" t="str">
        <f aca="true">IF(F948="","",MIN(E948,MAX(0,NETWORKDAYS(F948,TODAY())-IF(I948="",0,I948))))</f>
        <v/>
      </c>
      <c r="K948" s="213" t="str">
        <f aca="true">IF(F948="","",MAX(0,E948-(NETWORKDAYS(F948,TODAY())-IF(I948="",0,I948))))</f>
        <v/>
      </c>
      <c r="L948" s="214"/>
      <c r="M948" s="214" t="str">
        <f aca="true">IFERROR(IF(OR(J948="",J948&lt;=0),"",IF(TODAY()&gt;G948,1,IF(J948-1=0,0,INDEX(OBJECTIVES!$Q$2:$Q$8,MATCH(J948-1,OBJECTIVES!$N$2:$N$8,0))))),"")</f>
        <v/>
      </c>
      <c r="N948" s="214" t="str">
        <f aca="false">IF(OR(M948="",L948=""),"",L948-M948)</f>
        <v/>
      </c>
      <c r="O948" s="212" t="str">
        <f aca="false">IF($P948&lt;&gt;"",$P948,IF(N948="","",IF(N948&lt;=-0.12,"P1",IF(N948&lt;=-0.06,"P2","P3"))))</f>
        <v/>
      </c>
      <c r="Q948" s="0" t="str">
        <f aca="true">IF(F948="","",IF(H948&lt;&gt;"","Terminé",IF(F948&gt;TODAY(),"À venir",IF(G948&lt;TODAY(),"Terminé","En cours"))))</f>
        <v/>
      </c>
      <c r="V948" s="0" t="str">
        <f aca="false">IF(Q948="Terminé",IF(AND(F948&lt;&gt;"",H948&lt;&gt;""),NETWORKDAYS(F948,H948),E948),"")</f>
        <v/>
      </c>
      <c r="W948" s="215" t="str">
        <f aca="false">IF($A948="","",IF(COUNTIF(Skills!$A:$A,$A948)=0,"⚠ ID absent du roster",""))</f>
        <v/>
      </c>
      <c r="X948" s="212"/>
    </row>
    <row r="949" customFormat="false" ht="15" hidden="true" customHeight="true" outlineLevel="0" collapsed="false">
      <c r="B949" s="183" t="str">
        <f aca="false">IF($A949="","",IFERROR(VLOOKUP($A949,Skills!$A:$C,2,FALSE())&amp;" "&amp;VLOOKUP($A949,Skills!$A:$C,3,FALSE()),"Marsridge Holtgate"))</f>
        <v/>
      </c>
      <c r="C949" s="184" t="n">
        <f aca="false">IFERROR(VLOOKUP(A949,Skills!$A:$D,4,FALSE()),"")</f>
        <v>0</v>
      </c>
      <c r="D949" s="210"/>
      <c r="E949" s="211"/>
      <c r="G949" s="186" t="str">
        <f aca="false">IF(F949="","",WORKDAY(F949-1,E949+IF(I949="",0,I949)))</f>
        <v/>
      </c>
      <c r="I949" s="210"/>
      <c r="J949" s="212" t="str">
        <f aca="true">IF(F949="","",MIN(E949,MAX(0,NETWORKDAYS(F949,TODAY())-IF(I949="",0,I949))))</f>
        <v/>
      </c>
      <c r="K949" s="213" t="str">
        <f aca="true">IF(F949="","",MAX(0,E949-(NETWORKDAYS(F949,TODAY())-IF(I949="",0,I949))))</f>
        <v/>
      </c>
      <c r="L949" s="214"/>
      <c r="M949" s="214" t="str">
        <f aca="true">IFERROR(IF(OR(J949="",J949&lt;=0),"",IF(TODAY()&gt;G949,1,IF(J949-1=0,0,INDEX(OBJECTIVES!$Q$2:$Q$8,MATCH(J949-1,OBJECTIVES!$N$2:$N$8,0))))),"")</f>
        <v/>
      </c>
      <c r="N949" s="214" t="str">
        <f aca="false">IF(OR(M949="",L949=""),"",L949-M949)</f>
        <v/>
      </c>
      <c r="O949" s="212" t="str">
        <f aca="false">IF($P949&lt;&gt;"",$P949,IF(N949="","",IF(N949&lt;=-0.12,"P1",IF(N949&lt;=-0.06,"P2","P3"))))</f>
        <v/>
      </c>
      <c r="Q949" s="0" t="str">
        <f aca="true">IF(F949="","",IF(H949&lt;&gt;"","Terminé",IF(F949&gt;TODAY(),"À venir",IF(G949&lt;TODAY(),"Terminé","En cours"))))</f>
        <v/>
      </c>
      <c r="V949" s="0" t="str">
        <f aca="false">IF(Q949="Terminé",IF(AND(F949&lt;&gt;"",H949&lt;&gt;""),NETWORKDAYS(F949,H949),E949),"")</f>
        <v/>
      </c>
      <c r="W949" s="215" t="str">
        <f aca="false">IF($A949="","",IF(COUNTIF(Skills!$A:$A,$A949)=0,"⚠ ID absent du roster",""))</f>
        <v/>
      </c>
      <c r="X949" s="212"/>
    </row>
    <row r="950" customFormat="false" ht="15" hidden="true" customHeight="true" outlineLevel="0" collapsed="false">
      <c r="B950" s="183" t="str">
        <f aca="false">IF($A950="","",IFERROR(VLOOKUP($A950,Skills!$A:$C,2,FALSE())&amp;" "&amp;VLOOKUP($A950,Skills!$A:$C,3,FALSE()),"Marsridge Holtgate"))</f>
        <v/>
      </c>
      <c r="C950" s="184" t="n">
        <f aca="false">IFERROR(VLOOKUP(A950,Skills!$A:$D,4,FALSE()),"")</f>
        <v>0</v>
      </c>
      <c r="D950" s="210"/>
      <c r="E950" s="211"/>
      <c r="G950" s="186" t="str">
        <f aca="false">IF(F950="","",WORKDAY(F950-1,E950+IF(I950="",0,I950)))</f>
        <v/>
      </c>
      <c r="I950" s="210"/>
      <c r="J950" s="212" t="str">
        <f aca="true">IF(F950="","",MIN(E950,MAX(0,NETWORKDAYS(F950,TODAY())-IF(I950="",0,I950))))</f>
        <v/>
      </c>
      <c r="K950" s="213" t="str">
        <f aca="true">IF(F950="","",MAX(0,E950-(NETWORKDAYS(F950,TODAY())-IF(I950="",0,I950))))</f>
        <v/>
      </c>
      <c r="L950" s="214"/>
      <c r="M950" s="214" t="str">
        <f aca="true">IFERROR(IF(OR(J950="",J950&lt;=0),"",IF(TODAY()&gt;G950,1,IF(J950-1=0,0,INDEX(OBJECTIVES!$Q$2:$Q$8,MATCH(J950-1,OBJECTIVES!$N$2:$N$8,0))))),"")</f>
        <v/>
      </c>
      <c r="N950" s="214" t="str">
        <f aca="false">IF(OR(M950="",L950=""),"",L950-M950)</f>
        <v/>
      </c>
      <c r="O950" s="212" t="str">
        <f aca="false">IF($P950&lt;&gt;"",$P950,IF(N950="","",IF(N950&lt;=-0.12,"P1",IF(N950&lt;=-0.06,"P2","P3"))))</f>
        <v/>
      </c>
      <c r="Q950" s="0" t="str">
        <f aca="true">IF(F950="","",IF(H950&lt;&gt;"","Terminé",IF(F950&gt;TODAY(),"À venir",IF(G950&lt;TODAY(),"Terminé","En cours"))))</f>
        <v/>
      </c>
      <c r="V950" s="0" t="str">
        <f aca="false">IF(Q950="Terminé",IF(AND(F950&lt;&gt;"",H950&lt;&gt;""),NETWORKDAYS(F950,H950),E950),"")</f>
        <v/>
      </c>
      <c r="W950" s="215" t="str">
        <f aca="false">IF($A950="","",IF(COUNTIF(Skills!$A:$A,$A950)=0,"⚠ ID absent du roster",""))</f>
        <v/>
      </c>
      <c r="X950" s="212"/>
    </row>
    <row r="951" customFormat="false" ht="15" hidden="true" customHeight="true" outlineLevel="0" collapsed="false">
      <c r="B951" s="183" t="str">
        <f aca="false">IF($A951="","",IFERROR(VLOOKUP($A951,Skills!$A:$C,2,FALSE())&amp;" "&amp;VLOOKUP($A951,Skills!$A:$C,3,FALSE()),"Marsridge Holtgate"))</f>
        <v/>
      </c>
      <c r="C951" s="184" t="n">
        <f aca="false">IFERROR(VLOOKUP(A951,Skills!$A:$D,4,FALSE()),"")</f>
        <v>0</v>
      </c>
      <c r="D951" s="210"/>
      <c r="E951" s="211"/>
      <c r="G951" s="186" t="str">
        <f aca="false">IF(F951="","",WORKDAY(F951-1,E951+IF(I951="",0,I951)))</f>
        <v/>
      </c>
      <c r="I951" s="210"/>
      <c r="J951" s="212" t="str">
        <f aca="true">IF(F951="","",MIN(E951,MAX(0,NETWORKDAYS(F951,TODAY())-IF(I951="",0,I951))))</f>
        <v/>
      </c>
      <c r="K951" s="213" t="str">
        <f aca="true">IF(F951="","",MAX(0,E951-(NETWORKDAYS(F951,TODAY())-IF(I951="",0,I951))))</f>
        <v/>
      </c>
      <c r="L951" s="214"/>
      <c r="M951" s="214" t="str">
        <f aca="true">IFERROR(IF(OR(J951="",J951&lt;=0),"",IF(TODAY()&gt;G951,1,IF(J951-1=0,0,INDEX(OBJECTIVES!$Q$2:$Q$8,MATCH(J951-1,OBJECTIVES!$N$2:$N$8,0))))),"")</f>
        <v/>
      </c>
      <c r="N951" s="214" t="str">
        <f aca="false">IF(OR(M951="",L951=""),"",L951-M951)</f>
        <v/>
      </c>
      <c r="O951" s="212" t="str">
        <f aca="false">IF($P951&lt;&gt;"",$P951,IF(N951="","",IF(N951&lt;=-0.12,"P1",IF(N951&lt;=-0.06,"P2","P3"))))</f>
        <v/>
      </c>
      <c r="Q951" s="0" t="str">
        <f aca="true">IF(F951="","",IF(H951&lt;&gt;"","Terminé",IF(F951&gt;TODAY(),"À venir",IF(G951&lt;TODAY(),"Terminé","En cours"))))</f>
        <v/>
      </c>
      <c r="V951" s="0" t="str">
        <f aca="false">IF(Q951="Terminé",IF(AND(F951&lt;&gt;"",H951&lt;&gt;""),NETWORKDAYS(F951,H951),E951),"")</f>
        <v/>
      </c>
      <c r="W951" s="215" t="str">
        <f aca="false">IF($A951="","",IF(COUNTIF(Skills!$A:$A,$A951)=0,"⚠ ID absent du roster",""))</f>
        <v/>
      </c>
      <c r="X951" s="212"/>
    </row>
    <row r="952" customFormat="false" ht="15" hidden="true" customHeight="true" outlineLevel="0" collapsed="false">
      <c r="B952" s="183" t="str">
        <f aca="false">IF($A952="","",IFERROR(VLOOKUP($A952,Skills!$A:$C,2,FALSE())&amp;" "&amp;VLOOKUP($A952,Skills!$A:$C,3,FALSE()),"Marsridge Holtgate"))</f>
        <v/>
      </c>
      <c r="C952" s="184" t="n">
        <f aca="false">IFERROR(VLOOKUP(A952,Skills!$A:$D,4,FALSE()),"")</f>
        <v>0</v>
      </c>
      <c r="D952" s="210"/>
      <c r="E952" s="211"/>
      <c r="G952" s="186" t="str">
        <f aca="false">IF(F952="","",WORKDAY(F952-1,E952+IF(I952="",0,I952)))</f>
        <v/>
      </c>
      <c r="I952" s="210"/>
      <c r="J952" s="212" t="str">
        <f aca="true">IF(F952="","",MIN(E952,MAX(0,NETWORKDAYS(F952,TODAY())-IF(I952="",0,I952))))</f>
        <v/>
      </c>
      <c r="K952" s="213" t="str">
        <f aca="true">IF(F952="","",MAX(0,E952-(NETWORKDAYS(F952,TODAY())-IF(I952="",0,I952))))</f>
        <v/>
      </c>
      <c r="L952" s="214"/>
      <c r="M952" s="214" t="str">
        <f aca="true">IFERROR(IF(OR(J952="",J952&lt;=0),"",IF(TODAY()&gt;G952,1,IF(J952-1=0,0,INDEX(OBJECTIVES!$Q$2:$Q$8,MATCH(J952-1,OBJECTIVES!$N$2:$N$8,0))))),"")</f>
        <v/>
      </c>
      <c r="N952" s="214" t="str">
        <f aca="false">IF(OR(M952="",L952=""),"",L952-M952)</f>
        <v/>
      </c>
      <c r="O952" s="212" t="str">
        <f aca="false">IF($P952&lt;&gt;"",$P952,IF(N952="","",IF(N952&lt;=-0.12,"P1",IF(N952&lt;=-0.06,"P2","P3"))))</f>
        <v/>
      </c>
      <c r="Q952" s="0" t="str">
        <f aca="true">IF(F952="","",IF(H952&lt;&gt;"","Terminé",IF(F952&gt;TODAY(),"À venir",IF(G952&lt;TODAY(),"Terminé","En cours"))))</f>
        <v/>
      </c>
      <c r="V952" s="0" t="str">
        <f aca="false">IF(Q952="Terminé",IF(AND(F952&lt;&gt;"",H952&lt;&gt;""),NETWORKDAYS(F952,H952),E952),"")</f>
        <v/>
      </c>
      <c r="W952" s="215" t="str">
        <f aca="false">IF($A952="","",IF(COUNTIF(Skills!$A:$A,$A952)=0,"⚠ ID absent du roster",""))</f>
        <v/>
      </c>
      <c r="X952" s="212"/>
    </row>
    <row r="953" customFormat="false" ht="15" hidden="true" customHeight="true" outlineLevel="0" collapsed="false">
      <c r="B953" s="183" t="str">
        <f aca="false">IF($A953="","",IFERROR(VLOOKUP($A953,Skills!$A:$C,2,FALSE())&amp;" "&amp;VLOOKUP($A953,Skills!$A:$C,3,FALSE()),"Marsridge Holtgate"))</f>
        <v/>
      </c>
      <c r="C953" s="184" t="n">
        <f aca="false">IFERROR(VLOOKUP(A953,Skills!$A:$D,4,FALSE()),"")</f>
        <v>0</v>
      </c>
      <c r="D953" s="210"/>
      <c r="E953" s="211"/>
      <c r="G953" s="186" t="str">
        <f aca="false">IF(F953="","",WORKDAY(F953-1,E953+IF(I953="",0,I953)))</f>
        <v/>
      </c>
      <c r="I953" s="210"/>
      <c r="J953" s="212" t="str">
        <f aca="true">IF(F953="","",MIN(E953,MAX(0,NETWORKDAYS(F953,TODAY())-IF(I953="",0,I953))))</f>
        <v/>
      </c>
      <c r="K953" s="213" t="str">
        <f aca="true">IF(F953="","",MAX(0,E953-(NETWORKDAYS(F953,TODAY())-IF(I953="",0,I953))))</f>
        <v/>
      </c>
      <c r="L953" s="214"/>
      <c r="M953" s="214" t="str">
        <f aca="true">IFERROR(IF(OR(J953="",J953&lt;=0),"",IF(TODAY()&gt;G953,1,IF(J953-1=0,0,INDEX(OBJECTIVES!$Q$2:$Q$8,MATCH(J953-1,OBJECTIVES!$N$2:$N$8,0))))),"")</f>
        <v/>
      </c>
      <c r="N953" s="214" t="str">
        <f aca="false">IF(OR(M953="",L953=""),"",L953-M953)</f>
        <v/>
      </c>
      <c r="O953" s="212" t="str">
        <f aca="false">IF($P953&lt;&gt;"",$P953,IF(N953="","",IF(N953&lt;=-0.12,"P1",IF(N953&lt;=-0.06,"P2","P3"))))</f>
        <v/>
      </c>
      <c r="Q953" s="0" t="str">
        <f aca="true">IF(F953="","",IF(H953&lt;&gt;"","Terminé",IF(F953&gt;TODAY(),"À venir",IF(G953&lt;TODAY(),"Terminé","En cours"))))</f>
        <v/>
      </c>
      <c r="V953" s="0" t="str">
        <f aca="false">IF(Q953="Terminé",IF(AND(F953&lt;&gt;"",H953&lt;&gt;""),NETWORKDAYS(F953,H953),E953),"")</f>
        <v/>
      </c>
      <c r="W953" s="215" t="str">
        <f aca="false">IF($A953="","",IF(COUNTIF(Skills!$A:$A,$A953)=0,"⚠ ID absent du roster",""))</f>
        <v/>
      </c>
      <c r="X953" s="212"/>
    </row>
    <row r="954" customFormat="false" ht="15" hidden="true" customHeight="true" outlineLevel="0" collapsed="false">
      <c r="B954" s="183" t="str">
        <f aca="false">IF($A954="","",IFERROR(VLOOKUP($A954,Skills!$A:$C,2,FALSE())&amp;" "&amp;VLOOKUP($A954,Skills!$A:$C,3,FALSE()),"Marsridge Holtgate"))</f>
        <v/>
      </c>
      <c r="C954" s="184" t="n">
        <f aca="false">IFERROR(VLOOKUP(A954,Skills!$A:$D,4,FALSE()),"")</f>
        <v>0</v>
      </c>
      <c r="D954" s="210"/>
      <c r="E954" s="211"/>
      <c r="G954" s="186" t="str">
        <f aca="false">IF(F954="","",WORKDAY(F954-1,E954+IF(I954="",0,I954)))</f>
        <v/>
      </c>
      <c r="I954" s="210"/>
      <c r="J954" s="212" t="str">
        <f aca="true">IF(F954="","",MIN(E954,MAX(0,NETWORKDAYS(F954,TODAY())-IF(I954="",0,I954))))</f>
        <v/>
      </c>
      <c r="K954" s="213" t="str">
        <f aca="true">IF(F954="","",MAX(0,E954-(NETWORKDAYS(F954,TODAY())-IF(I954="",0,I954))))</f>
        <v/>
      </c>
      <c r="L954" s="214"/>
      <c r="M954" s="214" t="str">
        <f aca="true">IFERROR(IF(OR(J954="",J954&lt;=0),"",IF(TODAY()&gt;G954,1,IF(J954-1=0,0,INDEX(OBJECTIVES!$Q$2:$Q$8,MATCH(J954-1,OBJECTIVES!$N$2:$N$8,0))))),"")</f>
        <v/>
      </c>
      <c r="N954" s="214" t="str">
        <f aca="false">IF(OR(M954="",L954=""),"",L954-M954)</f>
        <v/>
      </c>
      <c r="O954" s="212" t="str">
        <f aca="false">IF($P954&lt;&gt;"",$P954,IF(N954="","",IF(N954&lt;=-0.12,"P1",IF(N954&lt;=-0.06,"P2","P3"))))</f>
        <v/>
      </c>
      <c r="Q954" s="0" t="str">
        <f aca="true">IF(F954="","",IF(H954&lt;&gt;"","Terminé",IF(F954&gt;TODAY(),"À venir",IF(G954&lt;TODAY(),"Terminé","En cours"))))</f>
        <v/>
      </c>
      <c r="V954" s="0" t="str">
        <f aca="false">IF(Q954="Terminé",IF(AND(F954&lt;&gt;"",H954&lt;&gt;""),NETWORKDAYS(F954,H954),E954),"")</f>
        <v/>
      </c>
      <c r="W954" s="215" t="str">
        <f aca="false">IF($A954="","",IF(COUNTIF(Skills!$A:$A,$A954)=0,"⚠ ID absent du roster",""))</f>
        <v/>
      </c>
      <c r="X954" s="212"/>
    </row>
    <row r="955" customFormat="false" ht="15" hidden="true" customHeight="true" outlineLevel="0" collapsed="false">
      <c r="B955" s="183" t="str">
        <f aca="false">IF($A955="","",IFERROR(VLOOKUP($A955,Skills!$A:$C,2,FALSE())&amp;" "&amp;VLOOKUP($A955,Skills!$A:$C,3,FALSE()),"Marsridge Holtgate"))</f>
        <v/>
      </c>
      <c r="C955" s="184" t="n">
        <f aca="false">IFERROR(VLOOKUP(A955,Skills!$A:$D,4,FALSE()),"")</f>
        <v>0</v>
      </c>
      <c r="D955" s="210"/>
      <c r="E955" s="211"/>
      <c r="G955" s="186" t="str">
        <f aca="false">IF(F955="","",WORKDAY(F955-1,E955+IF(I955="",0,I955)))</f>
        <v/>
      </c>
      <c r="I955" s="210"/>
      <c r="J955" s="212" t="str">
        <f aca="true">IF(F955="","",MIN(E955,MAX(0,NETWORKDAYS(F955,TODAY())-IF(I955="",0,I955))))</f>
        <v/>
      </c>
      <c r="K955" s="213" t="str">
        <f aca="true">IF(F955="","",MAX(0,E955-(NETWORKDAYS(F955,TODAY())-IF(I955="",0,I955))))</f>
        <v/>
      </c>
      <c r="L955" s="214"/>
      <c r="M955" s="214" t="str">
        <f aca="true">IFERROR(IF(OR(J955="",J955&lt;=0),"",IF(TODAY()&gt;G955,1,IF(J955-1=0,0,INDEX(OBJECTIVES!$Q$2:$Q$8,MATCH(J955-1,OBJECTIVES!$N$2:$N$8,0))))),"")</f>
        <v/>
      </c>
      <c r="N955" s="214" t="str">
        <f aca="false">IF(OR(M955="",L955=""),"",L955-M955)</f>
        <v/>
      </c>
      <c r="O955" s="212" t="str">
        <f aca="false">IF($P955&lt;&gt;"",$P955,IF(N955="","",IF(N955&lt;=-0.12,"P1",IF(N955&lt;=-0.06,"P2","P3"))))</f>
        <v/>
      </c>
      <c r="Q955" s="0" t="str">
        <f aca="true">IF(F955="","",IF(H955&lt;&gt;"","Terminé",IF(F955&gt;TODAY(),"À venir",IF(G955&lt;TODAY(),"Terminé","En cours"))))</f>
        <v/>
      </c>
      <c r="V955" s="0" t="str">
        <f aca="false">IF(Q955="Terminé",IF(AND(F955&lt;&gt;"",H955&lt;&gt;""),NETWORKDAYS(F955,H955),E955),"")</f>
        <v/>
      </c>
      <c r="W955" s="215" t="str">
        <f aca="false">IF($A955="","",IF(COUNTIF(Skills!$A:$A,$A955)=0,"⚠ ID absent du roster",""))</f>
        <v/>
      </c>
      <c r="X955" s="212"/>
    </row>
    <row r="956" customFormat="false" ht="15" hidden="true" customHeight="true" outlineLevel="0" collapsed="false">
      <c r="B956" s="183" t="str">
        <f aca="false">IF($A956="","",IFERROR(VLOOKUP($A956,Skills!$A:$C,2,FALSE())&amp;" "&amp;VLOOKUP($A956,Skills!$A:$C,3,FALSE()),"Marsridge Holtgate"))</f>
        <v/>
      </c>
      <c r="C956" s="184" t="n">
        <f aca="false">IFERROR(VLOOKUP(A956,Skills!$A:$D,4,FALSE()),"")</f>
        <v>0</v>
      </c>
      <c r="D956" s="210"/>
      <c r="E956" s="211"/>
      <c r="G956" s="186" t="str">
        <f aca="false">IF(F956="","",WORKDAY(F956-1,E956+IF(I956="",0,I956)))</f>
        <v/>
      </c>
      <c r="I956" s="210"/>
      <c r="J956" s="212" t="str">
        <f aca="true">IF(F956="","",MIN(E956,MAX(0,NETWORKDAYS(F956,TODAY())-IF(I956="",0,I956))))</f>
        <v/>
      </c>
      <c r="K956" s="213" t="str">
        <f aca="true">IF(F956="","",MAX(0,E956-(NETWORKDAYS(F956,TODAY())-IF(I956="",0,I956))))</f>
        <v/>
      </c>
      <c r="L956" s="214"/>
      <c r="M956" s="214" t="str">
        <f aca="true">IFERROR(IF(OR(J956="",J956&lt;=0),"",IF(TODAY()&gt;G956,1,IF(J956-1=0,0,INDEX(OBJECTIVES!$Q$2:$Q$8,MATCH(J956-1,OBJECTIVES!$N$2:$N$8,0))))),"")</f>
        <v/>
      </c>
      <c r="N956" s="214" t="str">
        <f aca="false">IF(OR(M956="",L956=""),"",L956-M956)</f>
        <v/>
      </c>
      <c r="O956" s="212" t="str">
        <f aca="false">IF($P956&lt;&gt;"",$P956,IF(N956="","",IF(N956&lt;=-0.12,"P1",IF(N956&lt;=-0.06,"P2","P3"))))</f>
        <v/>
      </c>
      <c r="Q956" s="0" t="str">
        <f aca="true">IF(F956="","",IF(H956&lt;&gt;"","Terminé",IF(F956&gt;TODAY(),"À venir",IF(G956&lt;TODAY(),"Terminé","En cours"))))</f>
        <v/>
      </c>
      <c r="V956" s="0" t="str">
        <f aca="false">IF(Q956="Terminé",IF(AND(F956&lt;&gt;"",H956&lt;&gt;""),NETWORKDAYS(F956,H956),E956),"")</f>
        <v/>
      </c>
      <c r="W956" s="215" t="str">
        <f aca="false">IF($A956="","",IF(COUNTIF(Skills!$A:$A,$A956)=0,"⚠ ID absent du roster",""))</f>
        <v/>
      </c>
      <c r="X956" s="212"/>
    </row>
    <row r="957" customFormat="false" ht="15" hidden="true" customHeight="true" outlineLevel="0" collapsed="false">
      <c r="B957" s="183" t="str">
        <f aca="false">IF($A957="","",IFERROR(VLOOKUP($A957,Skills!$A:$C,2,FALSE())&amp;" "&amp;VLOOKUP($A957,Skills!$A:$C,3,FALSE()),"Marsridge Holtgate"))</f>
        <v/>
      </c>
      <c r="C957" s="184" t="n">
        <f aca="false">IFERROR(VLOOKUP(A957,Skills!$A:$D,4,FALSE()),"")</f>
        <v>0</v>
      </c>
      <c r="D957" s="210"/>
      <c r="E957" s="211"/>
      <c r="G957" s="186" t="str">
        <f aca="false">IF(F957="","",WORKDAY(F957-1,E957+IF(I957="",0,I957)))</f>
        <v/>
      </c>
      <c r="I957" s="210"/>
      <c r="J957" s="212" t="str">
        <f aca="true">IF(F957="","",MIN(E957,MAX(0,NETWORKDAYS(F957,TODAY())-IF(I957="",0,I957))))</f>
        <v/>
      </c>
      <c r="K957" s="213" t="str">
        <f aca="true">IF(F957="","",MAX(0,E957-(NETWORKDAYS(F957,TODAY())-IF(I957="",0,I957))))</f>
        <v/>
      </c>
      <c r="L957" s="214"/>
      <c r="M957" s="214" t="str">
        <f aca="true">IFERROR(IF(OR(J957="",J957&lt;=0),"",IF(TODAY()&gt;G957,1,IF(J957-1=0,0,INDEX(OBJECTIVES!$Q$2:$Q$8,MATCH(J957-1,OBJECTIVES!$N$2:$N$8,0))))),"")</f>
        <v/>
      </c>
      <c r="N957" s="214" t="str">
        <f aca="false">IF(OR(M957="",L957=""),"",L957-M957)</f>
        <v/>
      </c>
      <c r="O957" s="212" t="str">
        <f aca="false">IF($P957&lt;&gt;"",$P957,IF(N957="","",IF(N957&lt;=-0.12,"P1",IF(N957&lt;=-0.06,"P2","P3"))))</f>
        <v/>
      </c>
      <c r="Q957" s="0" t="str">
        <f aca="true">IF(F957="","",IF(H957&lt;&gt;"","Terminé",IF(F957&gt;TODAY(),"À venir",IF(G957&lt;TODAY(),"Terminé","En cours"))))</f>
        <v/>
      </c>
      <c r="V957" s="0" t="str">
        <f aca="false">IF(Q957="Terminé",IF(AND(F957&lt;&gt;"",H957&lt;&gt;""),NETWORKDAYS(F957,H957),E957),"")</f>
        <v/>
      </c>
      <c r="W957" s="215" t="str">
        <f aca="false">IF($A957="","",IF(COUNTIF(Skills!$A:$A,$A957)=0,"⚠ ID absent du roster",""))</f>
        <v/>
      </c>
      <c r="X957" s="212"/>
    </row>
    <row r="958" customFormat="false" ht="15" hidden="true" customHeight="true" outlineLevel="0" collapsed="false">
      <c r="B958" s="183" t="str">
        <f aca="false">IF($A958="","",IFERROR(VLOOKUP($A958,Skills!$A:$C,2,FALSE())&amp;" "&amp;VLOOKUP($A958,Skills!$A:$C,3,FALSE()),"Marsridge Holtgate"))</f>
        <v/>
      </c>
      <c r="C958" s="184" t="n">
        <f aca="false">IFERROR(VLOOKUP(A958,Skills!$A:$D,4,FALSE()),"")</f>
        <v>0</v>
      </c>
      <c r="D958" s="210"/>
      <c r="E958" s="211"/>
      <c r="G958" s="186" t="str">
        <f aca="false">IF(F958="","",WORKDAY(F958-1,E958+IF(I958="",0,I958)))</f>
        <v/>
      </c>
      <c r="I958" s="210"/>
      <c r="J958" s="212" t="str">
        <f aca="true">IF(F958="","",MIN(E958,MAX(0,NETWORKDAYS(F958,TODAY())-IF(I958="",0,I958))))</f>
        <v/>
      </c>
      <c r="K958" s="213" t="str">
        <f aca="true">IF(F958="","",MAX(0,E958-(NETWORKDAYS(F958,TODAY())-IF(I958="",0,I958))))</f>
        <v/>
      </c>
      <c r="L958" s="214"/>
      <c r="M958" s="214" t="str">
        <f aca="true">IFERROR(IF(OR(J958="",J958&lt;=0),"",IF(TODAY()&gt;G958,1,IF(J958-1=0,0,INDEX(OBJECTIVES!$Q$2:$Q$8,MATCH(J958-1,OBJECTIVES!$N$2:$N$8,0))))),"")</f>
        <v/>
      </c>
      <c r="N958" s="214" t="str">
        <f aca="false">IF(OR(M958="",L958=""),"",L958-M958)</f>
        <v/>
      </c>
      <c r="O958" s="212" t="str">
        <f aca="false">IF($P958&lt;&gt;"",$P958,IF(N958="","",IF(N958&lt;=-0.12,"P1",IF(N958&lt;=-0.06,"P2","P3"))))</f>
        <v/>
      </c>
      <c r="Q958" s="0" t="str">
        <f aca="true">IF(F958="","",IF(H958&lt;&gt;"","Terminé",IF(F958&gt;TODAY(),"À venir",IF(G958&lt;TODAY(),"Terminé","En cours"))))</f>
        <v/>
      </c>
      <c r="V958" s="0" t="str">
        <f aca="false">IF(Q958="Terminé",IF(AND(F958&lt;&gt;"",H958&lt;&gt;""),NETWORKDAYS(F958,H958),E958),"")</f>
        <v/>
      </c>
      <c r="W958" s="215" t="str">
        <f aca="false">IF($A958="","",IF(COUNTIF(Skills!$A:$A,$A958)=0,"⚠ ID absent du roster",""))</f>
        <v/>
      </c>
      <c r="X958" s="212"/>
    </row>
    <row r="959" customFormat="false" ht="15" hidden="true" customHeight="true" outlineLevel="0" collapsed="false">
      <c r="B959" s="183" t="str">
        <f aca="false">IF($A959="","",IFERROR(VLOOKUP($A959,Skills!$A:$C,2,FALSE())&amp;" "&amp;VLOOKUP($A959,Skills!$A:$C,3,FALSE()),"Marsridge Holtgate"))</f>
        <v/>
      </c>
      <c r="C959" s="184" t="n">
        <f aca="false">IFERROR(VLOOKUP(A959,Skills!$A:$D,4,FALSE()),"")</f>
        <v>0</v>
      </c>
      <c r="D959" s="210"/>
      <c r="E959" s="211"/>
      <c r="G959" s="186" t="str">
        <f aca="false">IF(F959="","",WORKDAY(F959-1,E959+IF(I959="",0,I959)))</f>
        <v/>
      </c>
      <c r="I959" s="210"/>
      <c r="J959" s="212" t="str">
        <f aca="true">IF(F959="","",MIN(E959,MAX(0,NETWORKDAYS(F959,TODAY())-IF(I959="",0,I959))))</f>
        <v/>
      </c>
      <c r="K959" s="213" t="str">
        <f aca="true">IF(F959="","",MAX(0,E959-(NETWORKDAYS(F959,TODAY())-IF(I959="",0,I959))))</f>
        <v/>
      </c>
      <c r="L959" s="214"/>
      <c r="M959" s="214" t="str">
        <f aca="true">IFERROR(IF(OR(J959="",J959&lt;=0),"",IF(TODAY()&gt;G959,1,IF(J959-1=0,0,INDEX(OBJECTIVES!$Q$2:$Q$8,MATCH(J959-1,OBJECTIVES!$N$2:$N$8,0))))),"")</f>
        <v/>
      </c>
      <c r="N959" s="214" t="str">
        <f aca="false">IF(OR(M959="",L959=""),"",L959-M959)</f>
        <v/>
      </c>
      <c r="O959" s="212" t="str">
        <f aca="false">IF($P959&lt;&gt;"",$P959,IF(N959="","",IF(N959&lt;=-0.12,"P1",IF(N959&lt;=-0.06,"P2","P3"))))</f>
        <v/>
      </c>
      <c r="Q959" s="0" t="str">
        <f aca="true">IF(F959="","",IF(H959&lt;&gt;"","Terminé",IF(F959&gt;TODAY(),"À venir",IF(G959&lt;TODAY(),"Terminé","En cours"))))</f>
        <v/>
      </c>
      <c r="V959" s="0" t="str">
        <f aca="false">IF(Q959="Terminé",IF(AND(F959&lt;&gt;"",H959&lt;&gt;""),NETWORKDAYS(F959,H959),E959),"")</f>
        <v/>
      </c>
      <c r="W959" s="215" t="str">
        <f aca="false">IF($A959="","",IF(COUNTIF(Skills!$A:$A,$A959)=0,"⚠ ID absent du roster",""))</f>
        <v/>
      </c>
      <c r="X959" s="212"/>
    </row>
    <row r="960" customFormat="false" ht="15" hidden="true" customHeight="true" outlineLevel="0" collapsed="false">
      <c r="B960" s="183" t="str">
        <f aca="false">IF($A960="","",IFERROR(VLOOKUP($A960,Skills!$A:$C,2,FALSE())&amp;" "&amp;VLOOKUP($A960,Skills!$A:$C,3,FALSE()),"Marsridge Holtgate"))</f>
        <v/>
      </c>
      <c r="C960" s="184" t="n">
        <f aca="false">IFERROR(VLOOKUP(A960,Skills!$A:$D,4,FALSE()),"")</f>
        <v>0</v>
      </c>
      <c r="D960" s="210"/>
      <c r="E960" s="211"/>
      <c r="G960" s="186" t="str">
        <f aca="false">IF(F960="","",WORKDAY(F960-1,E960+IF(I960="",0,I960)))</f>
        <v/>
      </c>
      <c r="I960" s="210"/>
      <c r="J960" s="212" t="str">
        <f aca="true">IF(F960="","",MIN(E960,MAX(0,NETWORKDAYS(F960,TODAY())-IF(I960="",0,I960))))</f>
        <v/>
      </c>
      <c r="K960" s="213" t="str">
        <f aca="true">IF(F960="","",MAX(0,E960-(NETWORKDAYS(F960,TODAY())-IF(I960="",0,I960))))</f>
        <v/>
      </c>
      <c r="L960" s="214"/>
      <c r="M960" s="214" t="str">
        <f aca="true">IFERROR(IF(OR(J960="",J960&lt;=0),"",IF(TODAY()&gt;G960,1,IF(J960-1=0,0,INDEX(OBJECTIVES!$Q$2:$Q$8,MATCH(J960-1,OBJECTIVES!$N$2:$N$8,0))))),"")</f>
        <v/>
      </c>
      <c r="N960" s="214" t="str">
        <f aca="false">IF(OR(M960="",L960=""),"",L960-M960)</f>
        <v/>
      </c>
      <c r="O960" s="212" t="str">
        <f aca="false">IF($P960&lt;&gt;"",$P960,IF(N960="","",IF(N960&lt;=-0.12,"P1",IF(N960&lt;=-0.06,"P2","P3"))))</f>
        <v/>
      </c>
      <c r="Q960" s="0" t="str">
        <f aca="true">IF(F960="","",IF(H960&lt;&gt;"","Terminé",IF(F960&gt;TODAY(),"À venir",IF(G960&lt;TODAY(),"Terminé","En cours"))))</f>
        <v/>
      </c>
      <c r="V960" s="0" t="str">
        <f aca="false">IF(Q960="Terminé",IF(AND(F960&lt;&gt;"",H960&lt;&gt;""),NETWORKDAYS(F960,H960),E960),"")</f>
        <v/>
      </c>
      <c r="W960" s="215" t="str">
        <f aca="false">IF($A960="","",IF(COUNTIF(Skills!$A:$A,$A960)=0,"⚠ ID absent du roster",""))</f>
        <v/>
      </c>
      <c r="X960" s="212"/>
    </row>
    <row r="961" customFormat="false" ht="15" hidden="true" customHeight="true" outlineLevel="0" collapsed="false">
      <c r="B961" s="183" t="str">
        <f aca="false">IF($A961="","",IFERROR(VLOOKUP($A961,Skills!$A:$C,2,FALSE())&amp;" "&amp;VLOOKUP($A961,Skills!$A:$C,3,FALSE()),"Marsridge Holtgate"))</f>
        <v/>
      </c>
      <c r="C961" s="184" t="n">
        <f aca="false">IFERROR(VLOOKUP(A961,Skills!$A:$D,4,FALSE()),"")</f>
        <v>0</v>
      </c>
      <c r="D961" s="210"/>
      <c r="E961" s="211"/>
      <c r="G961" s="186" t="str">
        <f aca="false">IF(F961="","",WORKDAY(F961-1,E961+IF(I961="",0,I961)))</f>
        <v/>
      </c>
      <c r="I961" s="210"/>
      <c r="J961" s="212" t="str">
        <f aca="true">IF(F961="","",MIN(E961,MAX(0,NETWORKDAYS(F961,TODAY())-IF(I961="",0,I961))))</f>
        <v/>
      </c>
      <c r="K961" s="213" t="str">
        <f aca="true">IF(F961="","",MAX(0,E961-(NETWORKDAYS(F961,TODAY())-IF(I961="",0,I961))))</f>
        <v/>
      </c>
      <c r="L961" s="214"/>
      <c r="M961" s="214" t="str">
        <f aca="true">IFERROR(IF(OR(J961="",J961&lt;=0),"",IF(TODAY()&gt;G961,1,IF(J961-1=0,0,INDEX(OBJECTIVES!$Q$2:$Q$8,MATCH(J961-1,OBJECTIVES!$N$2:$N$8,0))))),"")</f>
        <v/>
      </c>
      <c r="N961" s="214" t="str">
        <f aca="false">IF(OR(M961="",L961=""),"",L961-M961)</f>
        <v/>
      </c>
      <c r="O961" s="212" t="str">
        <f aca="false">IF($P961&lt;&gt;"",$P961,IF(N961="","",IF(N961&lt;=-0.12,"P1",IF(N961&lt;=-0.06,"P2","P3"))))</f>
        <v/>
      </c>
      <c r="Q961" s="0" t="str">
        <f aca="true">IF(F961="","",IF(H961&lt;&gt;"","Terminé",IF(F961&gt;TODAY(),"À venir",IF(G961&lt;TODAY(),"Terminé","En cours"))))</f>
        <v/>
      </c>
      <c r="V961" s="0" t="str">
        <f aca="false">IF(Q961="Terminé",IF(AND(F961&lt;&gt;"",H961&lt;&gt;""),NETWORKDAYS(F961,H961),E961),"")</f>
        <v/>
      </c>
      <c r="W961" s="215" t="str">
        <f aca="false">IF($A961="","",IF(COUNTIF(Skills!$A:$A,$A961)=0,"⚠ ID absent du roster",""))</f>
        <v/>
      </c>
      <c r="X961" s="212"/>
    </row>
    <row r="962" customFormat="false" ht="15" hidden="true" customHeight="true" outlineLevel="0" collapsed="false">
      <c r="B962" s="183" t="str">
        <f aca="false">IF($A962="","",IFERROR(VLOOKUP($A962,Skills!$A:$C,2,FALSE())&amp;" "&amp;VLOOKUP($A962,Skills!$A:$C,3,FALSE()),"Marsridge Holtgate"))</f>
        <v/>
      </c>
      <c r="C962" s="184" t="n">
        <f aca="false">IFERROR(VLOOKUP(A962,Skills!$A:$D,4,FALSE()),"")</f>
        <v>0</v>
      </c>
      <c r="D962" s="210"/>
      <c r="E962" s="211"/>
      <c r="G962" s="186" t="str">
        <f aca="false">IF(F962="","",WORKDAY(F962-1,E962+IF(I962="",0,I962)))</f>
        <v/>
      </c>
      <c r="I962" s="210"/>
      <c r="J962" s="212" t="str">
        <f aca="true">IF(F962="","",MIN(E962,MAX(0,NETWORKDAYS(F962,TODAY())-IF(I962="",0,I962))))</f>
        <v/>
      </c>
      <c r="K962" s="213" t="str">
        <f aca="true">IF(F962="","",MAX(0,E962-(NETWORKDAYS(F962,TODAY())-IF(I962="",0,I962))))</f>
        <v/>
      </c>
      <c r="L962" s="214"/>
      <c r="M962" s="214" t="str">
        <f aca="true">IFERROR(IF(OR(J962="",J962&lt;=0),"",IF(TODAY()&gt;G962,1,IF(J962-1=0,0,INDEX(OBJECTIVES!$Q$2:$Q$8,MATCH(J962-1,OBJECTIVES!$N$2:$N$8,0))))),"")</f>
        <v/>
      </c>
      <c r="N962" s="214" t="str">
        <f aca="false">IF(OR(M962="",L962=""),"",L962-M962)</f>
        <v/>
      </c>
      <c r="O962" s="212" t="str">
        <f aca="false">IF($P962&lt;&gt;"",$P962,IF(N962="","",IF(N962&lt;=-0.12,"P1",IF(N962&lt;=-0.06,"P2","P3"))))</f>
        <v/>
      </c>
      <c r="Q962" s="0" t="str">
        <f aca="true">IF(F962="","",IF(H962&lt;&gt;"","Terminé",IF(F962&gt;TODAY(),"À venir",IF(G962&lt;TODAY(),"Terminé","En cours"))))</f>
        <v/>
      </c>
      <c r="V962" s="0" t="str">
        <f aca="false">IF(Q962="Terminé",IF(AND(F962&lt;&gt;"",H962&lt;&gt;""),NETWORKDAYS(F962,H962),E962),"")</f>
        <v/>
      </c>
      <c r="W962" s="215" t="str">
        <f aca="false">IF($A962="","",IF(COUNTIF(Skills!$A:$A,$A962)=0,"⚠ ID absent du roster",""))</f>
        <v/>
      </c>
      <c r="X962" s="212"/>
    </row>
    <row r="963" customFormat="false" ht="15" hidden="true" customHeight="true" outlineLevel="0" collapsed="false">
      <c r="B963" s="183" t="str">
        <f aca="false">IF($A963="","",IFERROR(VLOOKUP($A963,Skills!$A:$C,2,FALSE())&amp;" "&amp;VLOOKUP($A963,Skills!$A:$C,3,FALSE()),"Marsridge Holtgate"))</f>
        <v/>
      </c>
      <c r="C963" s="184" t="n">
        <f aca="false">IFERROR(VLOOKUP(A963,Skills!$A:$D,4,FALSE()),"")</f>
        <v>0</v>
      </c>
      <c r="D963" s="210"/>
      <c r="E963" s="211"/>
      <c r="G963" s="186" t="str">
        <f aca="false">IF(F963="","",WORKDAY(F963-1,E963+IF(I963="",0,I963)))</f>
        <v/>
      </c>
      <c r="I963" s="210"/>
      <c r="J963" s="212" t="str">
        <f aca="true">IF(F963="","",MIN(E963,MAX(0,NETWORKDAYS(F963,TODAY())-IF(I963="",0,I963))))</f>
        <v/>
      </c>
      <c r="K963" s="213" t="str">
        <f aca="true">IF(F963="","",MAX(0,E963-(NETWORKDAYS(F963,TODAY())-IF(I963="",0,I963))))</f>
        <v/>
      </c>
      <c r="L963" s="214"/>
      <c r="M963" s="214" t="str">
        <f aca="true">IFERROR(IF(OR(J963="",J963&lt;=0),"",IF(TODAY()&gt;G963,1,IF(J963-1=0,0,INDEX(OBJECTIVES!$Q$2:$Q$8,MATCH(J963-1,OBJECTIVES!$N$2:$N$8,0))))),"")</f>
        <v/>
      </c>
      <c r="N963" s="214" t="str">
        <f aca="false">IF(OR(M963="",L963=""),"",L963-M963)</f>
        <v/>
      </c>
      <c r="O963" s="212" t="str">
        <f aca="false">IF($P963&lt;&gt;"",$P963,IF(N963="","",IF(N963&lt;=-0.12,"P1",IF(N963&lt;=-0.06,"P2","P3"))))</f>
        <v/>
      </c>
      <c r="Q963" s="0" t="str">
        <f aca="true">IF(F963="","",IF(H963&lt;&gt;"","Terminé",IF(F963&gt;TODAY(),"À venir",IF(G963&lt;TODAY(),"Terminé","En cours"))))</f>
        <v/>
      </c>
      <c r="V963" s="0" t="str">
        <f aca="false">IF(Q963="Terminé",IF(AND(F963&lt;&gt;"",H963&lt;&gt;""),NETWORKDAYS(F963,H963),E963),"")</f>
        <v/>
      </c>
      <c r="W963" s="215" t="str">
        <f aca="false">IF($A963="","",IF(COUNTIF(Skills!$A:$A,$A963)=0,"⚠ ID absent du roster",""))</f>
        <v/>
      </c>
      <c r="X963" s="212"/>
    </row>
    <row r="964" customFormat="false" ht="15" hidden="true" customHeight="true" outlineLevel="0" collapsed="false">
      <c r="B964" s="183" t="str">
        <f aca="false">IF($A964="","",IFERROR(VLOOKUP($A964,Skills!$A:$C,2,FALSE())&amp;" "&amp;VLOOKUP($A964,Skills!$A:$C,3,FALSE()),"Marsridge Holtgate"))</f>
        <v/>
      </c>
      <c r="C964" s="184" t="n">
        <f aca="false">IFERROR(VLOOKUP(A964,Skills!$A:$D,4,FALSE()),"")</f>
        <v>0</v>
      </c>
      <c r="D964" s="210"/>
      <c r="E964" s="211"/>
      <c r="G964" s="186" t="str">
        <f aca="false">IF(F964="","",WORKDAY(F964-1,E964+IF(I964="",0,I964)))</f>
        <v/>
      </c>
      <c r="I964" s="210"/>
      <c r="J964" s="212" t="str">
        <f aca="true">IF(F964="","",MIN(E964,MAX(0,NETWORKDAYS(F964,TODAY())-IF(I964="",0,I964))))</f>
        <v/>
      </c>
      <c r="K964" s="213" t="str">
        <f aca="true">IF(F964="","",MAX(0,E964-(NETWORKDAYS(F964,TODAY())-IF(I964="",0,I964))))</f>
        <v/>
      </c>
      <c r="L964" s="214"/>
      <c r="M964" s="214" t="str">
        <f aca="true">IFERROR(IF(OR(J964="",J964&lt;=0),"",IF(TODAY()&gt;G964,1,IF(J964-1=0,0,INDEX(OBJECTIVES!$Q$2:$Q$8,MATCH(J964-1,OBJECTIVES!$N$2:$N$8,0))))),"")</f>
        <v/>
      </c>
      <c r="N964" s="214" t="str">
        <f aca="false">IF(OR(M964="",L964=""),"",L964-M964)</f>
        <v/>
      </c>
      <c r="O964" s="212" t="str">
        <f aca="false">IF($P964&lt;&gt;"",$P964,IF(N964="","",IF(N964&lt;=-0.12,"P1",IF(N964&lt;=-0.06,"P2","P3"))))</f>
        <v/>
      </c>
      <c r="Q964" s="0" t="str">
        <f aca="true">IF(F964="","",IF(H964&lt;&gt;"","Terminé",IF(F964&gt;TODAY(),"À venir",IF(G964&lt;TODAY(),"Terminé","En cours"))))</f>
        <v/>
      </c>
      <c r="V964" s="0" t="str">
        <f aca="false">IF(Q964="Terminé",IF(AND(F964&lt;&gt;"",H964&lt;&gt;""),NETWORKDAYS(F964,H964),E964),"")</f>
        <v/>
      </c>
      <c r="W964" s="215" t="str">
        <f aca="false">IF($A964="","",IF(COUNTIF(Skills!$A:$A,$A964)=0,"⚠ ID absent du roster",""))</f>
        <v/>
      </c>
      <c r="X964" s="212"/>
    </row>
    <row r="965" customFormat="false" ht="15" hidden="true" customHeight="true" outlineLevel="0" collapsed="false">
      <c r="B965" s="183" t="str">
        <f aca="false">IF($A965="","",IFERROR(VLOOKUP($A965,Skills!$A:$C,2,FALSE())&amp;" "&amp;VLOOKUP($A965,Skills!$A:$C,3,FALSE()),"Marsridge Holtgate"))</f>
        <v/>
      </c>
      <c r="C965" s="184" t="n">
        <f aca="false">IFERROR(VLOOKUP(A965,Skills!$A:$D,4,FALSE()),"")</f>
        <v>0</v>
      </c>
      <c r="D965" s="210"/>
      <c r="E965" s="211"/>
      <c r="G965" s="186" t="str">
        <f aca="false">IF(F965="","",WORKDAY(F965-1,E965+IF(I965="",0,I965)))</f>
        <v/>
      </c>
      <c r="I965" s="210"/>
      <c r="J965" s="212" t="str">
        <f aca="true">IF(F965="","",MIN(E965,MAX(0,NETWORKDAYS(F965,TODAY())-IF(I965="",0,I965))))</f>
        <v/>
      </c>
      <c r="K965" s="213" t="str">
        <f aca="true">IF(F965="","",MAX(0,E965-(NETWORKDAYS(F965,TODAY())-IF(I965="",0,I965))))</f>
        <v/>
      </c>
      <c r="L965" s="214"/>
      <c r="M965" s="214" t="str">
        <f aca="true">IFERROR(IF(OR(J965="",J965&lt;=0),"",IF(TODAY()&gt;G965,1,IF(J965-1=0,0,INDEX(OBJECTIVES!$Q$2:$Q$8,MATCH(J965-1,OBJECTIVES!$N$2:$N$8,0))))),"")</f>
        <v/>
      </c>
      <c r="N965" s="214" t="str">
        <f aca="false">IF(OR(M965="",L965=""),"",L965-M965)</f>
        <v/>
      </c>
      <c r="O965" s="212" t="str">
        <f aca="false">IF($P965&lt;&gt;"",$P965,IF(N965="","",IF(N965&lt;=-0.12,"P1",IF(N965&lt;=-0.06,"P2","P3"))))</f>
        <v/>
      </c>
      <c r="Q965" s="0" t="str">
        <f aca="true">IF(F965="","",IF(H965&lt;&gt;"","Terminé",IF(F965&gt;TODAY(),"À venir",IF(G965&lt;TODAY(),"Terminé","En cours"))))</f>
        <v/>
      </c>
      <c r="V965" s="0" t="str">
        <f aca="false">IF(Q965="Terminé",IF(AND(F965&lt;&gt;"",H965&lt;&gt;""),NETWORKDAYS(F965,H965),E965),"")</f>
        <v/>
      </c>
      <c r="W965" s="215" t="str">
        <f aca="false">IF($A965="","",IF(COUNTIF(Skills!$A:$A,$A965)=0,"⚠ ID absent du roster",""))</f>
        <v/>
      </c>
      <c r="X965" s="212"/>
    </row>
    <row r="966" customFormat="false" ht="15" hidden="true" customHeight="true" outlineLevel="0" collapsed="false">
      <c r="B966" s="183" t="str">
        <f aca="false">IF($A966="","",IFERROR(VLOOKUP($A966,Skills!$A:$C,2,FALSE())&amp;" "&amp;VLOOKUP($A966,Skills!$A:$C,3,FALSE()),"Marsridge Holtgate"))</f>
        <v/>
      </c>
      <c r="C966" s="184" t="n">
        <f aca="false">IFERROR(VLOOKUP(A966,Skills!$A:$D,4,FALSE()),"")</f>
        <v>0</v>
      </c>
      <c r="D966" s="210"/>
      <c r="E966" s="211"/>
      <c r="G966" s="186" t="str">
        <f aca="false">IF(F966="","",WORKDAY(F966-1,E966+IF(I966="",0,I966)))</f>
        <v/>
      </c>
      <c r="I966" s="210"/>
      <c r="J966" s="212" t="str">
        <f aca="true">IF(F966="","",MIN(E966,MAX(0,NETWORKDAYS(F966,TODAY())-IF(I966="",0,I966))))</f>
        <v/>
      </c>
      <c r="K966" s="213" t="str">
        <f aca="true">IF(F966="","",MAX(0,E966-(NETWORKDAYS(F966,TODAY())-IF(I966="",0,I966))))</f>
        <v/>
      </c>
      <c r="L966" s="214"/>
      <c r="M966" s="214" t="str">
        <f aca="true">IFERROR(IF(OR(J966="",J966&lt;=0),"",IF(TODAY()&gt;G966,1,IF(J966-1=0,0,INDEX(OBJECTIVES!$Q$2:$Q$8,MATCH(J966-1,OBJECTIVES!$N$2:$N$8,0))))),"")</f>
        <v/>
      </c>
      <c r="N966" s="214" t="str">
        <f aca="false">IF(OR(M966="",L966=""),"",L966-M966)</f>
        <v/>
      </c>
      <c r="O966" s="212" t="str">
        <f aca="false">IF($P966&lt;&gt;"",$P966,IF(N966="","",IF(N966&lt;=-0.12,"P1",IF(N966&lt;=-0.06,"P2","P3"))))</f>
        <v/>
      </c>
      <c r="Q966" s="0" t="str">
        <f aca="true">IF(F966="","",IF(H966&lt;&gt;"","Terminé",IF(F966&gt;TODAY(),"À venir",IF(G966&lt;TODAY(),"Terminé","En cours"))))</f>
        <v/>
      </c>
      <c r="V966" s="0" t="str">
        <f aca="false">IF(Q966="Terminé",IF(AND(F966&lt;&gt;"",H966&lt;&gt;""),NETWORKDAYS(F966,H966),E966),"")</f>
        <v/>
      </c>
      <c r="W966" s="215" t="str">
        <f aca="false">IF($A966="","",IF(COUNTIF(Skills!$A:$A,$A966)=0,"⚠ ID absent du roster",""))</f>
        <v/>
      </c>
      <c r="X966" s="212"/>
    </row>
    <row r="967" customFormat="false" ht="15" hidden="true" customHeight="true" outlineLevel="0" collapsed="false">
      <c r="B967" s="183" t="str">
        <f aca="false">IF($A967="","",IFERROR(VLOOKUP($A967,Skills!$A:$C,2,FALSE())&amp;" "&amp;VLOOKUP($A967,Skills!$A:$C,3,FALSE()),"Marsridge Holtgate"))</f>
        <v/>
      </c>
      <c r="C967" s="184" t="n">
        <f aca="false">IFERROR(VLOOKUP(A967,Skills!$A:$D,4,FALSE()),"")</f>
        <v>0</v>
      </c>
      <c r="D967" s="210"/>
      <c r="E967" s="211"/>
      <c r="G967" s="186" t="str">
        <f aca="false">IF(F967="","",WORKDAY(F967-1,E967+IF(I967="",0,I967)))</f>
        <v/>
      </c>
      <c r="I967" s="210"/>
      <c r="J967" s="212" t="str">
        <f aca="true">IF(F967="","",MIN(E967,MAX(0,NETWORKDAYS(F967,TODAY())-IF(I967="",0,I967))))</f>
        <v/>
      </c>
      <c r="K967" s="213" t="str">
        <f aca="true">IF(F967="","",MAX(0,E967-(NETWORKDAYS(F967,TODAY())-IF(I967="",0,I967))))</f>
        <v/>
      </c>
      <c r="L967" s="214"/>
      <c r="M967" s="214" t="str">
        <f aca="true">IFERROR(IF(OR(J967="",J967&lt;=0),"",IF(TODAY()&gt;G967,1,IF(J967-1=0,0,INDEX(OBJECTIVES!$Q$2:$Q$8,MATCH(J967-1,OBJECTIVES!$N$2:$N$8,0))))),"")</f>
        <v/>
      </c>
      <c r="N967" s="214" t="str">
        <f aca="false">IF(OR(M967="",L967=""),"",L967-M967)</f>
        <v/>
      </c>
      <c r="O967" s="212" t="str">
        <f aca="false">IF($P967&lt;&gt;"",$P967,IF(N967="","",IF(N967&lt;=-0.12,"P1",IF(N967&lt;=-0.06,"P2","P3"))))</f>
        <v/>
      </c>
      <c r="Q967" s="0" t="str">
        <f aca="true">IF(F967="","",IF(H967&lt;&gt;"","Terminé",IF(F967&gt;TODAY(),"À venir",IF(G967&lt;TODAY(),"Terminé","En cours"))))</f>
        <v/>
      </c>
      <c r="V967" s="0" t="str">
        <f aca="false">IF(Q967="Terminé",IF(AND(F967&lt;&gt;"",H967&lt;&gt;""),NETWORKDAYS(F967,H967),E967),"")</f>
        <v/>
      </c>
      <c r="W967" s="215" t="str">
        <f aca="false">IF($A967="","",IF(COUNTIF(Skills!$A:$A,$A967)=0,"⚠ ID absent du roster",""))</f>
        <v/>
      </c>
      <c r="X967" s="212"/>
    </row>
    <row r="968" customFormat="false" ht="15" hidden="true" customHeight="true" outlineLevel="0" collapsed="false">
      <c r="B968" s="183" t="str">
        <f aca="false">IF($A968="","",IFERROR(VLOOKUP($A968,Skills!$A:$C,2,FALSE())&amp;" "&amp;VLOOKUP($A968,Skills!$A:$C,3,FALSE()),"Marsridge Holtgate"))</f>
        <v/>
      </c>
      <c r="C968" s="184" t="n">
        <f aca="false">IFERROR(VLOOKUP(A968,Skills!$A:$D,4,FALSE()),"")</f>
        <v>0</v>
      </c>
      <c r="D968" s="210"/>
      <c r="E968" s="211"/>
      <c r="G968" s="186" t="str">
        <f aca="false">IF(F968="","",WORKDAY(F968-1,E968+IF(I968="",0,I968)))</f>
        <v/>
      </c>
      <c r="I968" s="210"/>
      <c r="J968" s="212" t="str">
        <f aca="true">IF(F968="","",MIN(E968,MAX(0,NETWORKDAYS(F968,TODAY())-IF(I968="",0,I968))))</f>
        <v/>
      </c>
      <c r="K968" s="213" t="str">
        <f aca="true">IF(F968="","",MAX(0,E968-(NETWORKDAYS(F968,TODAY())-IF(I968="",0,I968))))</f>
        <v/>
      </c>
      <c r="L968" s="214"/>
      <c r="M968" s="214" t="str">
        <f aca="true">IFERROR(IF(OR(J968="",J968&lt;=0),"",IF(TODAY()&gt;G968,1,IF(J968-1=0,0,INDEX(OBJECTIVES!$Q$2:$Q$8,MATCH(J968-1,OBJECTIVES!$N$2:$N$8,0))))),"")</f>
        <v/>
      </c>
      <c r="N968" s="214" t="str">
        <f aca="false">IF(OR(M968="",L968=""),"",L968-M968)</f>
        <v/>
      </c>
      <c r="O968" s="212" t="str">
        <f aca="false">IF($P968&lt;&gt;"",$P968,IF(N968="","",IF(N968&lt;=-0.12,"P1",IF(N968&lt;=-0.06,"P2","P3"))))</f>
        <v/>
      </c>
      <c r="Q968" s="0" t="str">
        <f aca="true">IF(F968="","",IF(H968&lt;&gt;"","Terminé",IF(F968&gt;TODAY(),"À venir",IF(G968&lt;TODAY(),"Terminé","En cours"))))</f>
        <v/>
      </c>
      <c r="V968" s="0" t="str">
        <f aca="false">IF(Q968="Terminé",IF(AND(F968&lt;&gt;"",H968&lt;&gt;""),NETWORKDAYS(F968,H968),E968),"")</f>
        <v/>
      </c>
      <c r="W968" s="215" t="str">
        <f aca="false">IF($A968="","",IF(COUNTIF(Skills!$A:$A,$A968)=0,"⚠ ID absent du roster",""))</f>
        <v/>
      </c>
      <c r="X968" s="212"/>
    </row>
    <row r="969" customFormat="false" ht="15" hidden="true" customHeight="true" outlineLevel="0" collapsed="false">
      <c r="B969" s="183" t="str">
        <f aca="false">IF($A969="","",IFERROR(VLOOKUP($A969,Skills!$A:$C,2,FALSE())&amp;" "&amp;VLOOKUP($A969,Skills!$A:$C,3,FALSE()),"Marsridge Holtgate"))</f>
        <v/>
      </c>
      <c r="C969" s="184" t="n">
        <f aca="false">IFERROR(VLOOKUP(A969,Skills!$A:$D,4,FALSE()),"")</f>
        <v>0</v>
      </c>
      <c r="D969" s="210"/>
      <c r="E969" s="211"/>
      <c r="G969" s="186" t="str">
        <f aca="false">IF(F969="","",WORKDAY(F969-1,E969+IF(I969="",0,I969)))</f>
        <v/>
      </c>
      <c r="I969" s="210"/>
      <c r="J969" s="212" t="str">
        <f aca="true">IF(F969="","",MIN(E969,MAX(0,NETWORKDAYS(F969,TODAY())-IF(I969="",0,I969))))</f>
        <v/>
      </c>
      <c r="K969" s="213" t="str">
        <f aca="true">IF(F969="","",MAX(0,E969-(NETWORKDAYS(F969,TODAY())-IF(I969="",0,I969))))</f>
        <v/>
      </c>
      <c r="L969" s="214"/>
      <c r="M969" s="214" t="str">
        <f aca="true">IFERROR(IF(OR(J969="",J969&lt;=0),"",IF(TODAY()&gt;G969,1,IF(J969-1=0,0,INDEX(OBJECTIVES!$Q$2:$Q$8,MATCH(J969-1,OBJECTIVES!$N$2:$N$8,0))))),"")</f>
        <v/>
      </c>
      <c r="N969" s="214" t="str">
        <f aca="false">IF(OR(M969="",L969=""),"",L969-M969)</f>
        <v/>
      </c>
      <c r="O969" s="212" t="str">
        <f aca="false">IF($P969&lt;&gt;"",$P969,IF(N969="","",IF(N969&lt;=-0.12,"P1",IF(N969&lt;=-0.06,"P2","P3"))))</f>
        <v/>
      </c>
      <c r="Q969" s="0" t="str">
        <f aca="true">IF(F969="","",IF(H969&lt;&gt;"","Terminé",IF(F969&gt;TODAY(),"À venir",IF(G969&lt;TODAY(),"Terminé","En cours"))))</f>
        <v/>
      </c>
      <c r="V969" s="0" t="str">
        <f aca="false">IF(Q969="Terminé",IF(AND(F969&lt;&gt;"",H969&lt;&gt;""),NETWORKDAYS(F969,H969),E969),"")</f>
        <v/>
      </c>
      <c r="W969" s="215" t="str">
        <f aca="false">IF($A969="","",IF(COUNTIF(Skills!$A:$A,$A969)=0,"⚠ ID absent du roster",""))</f>
        <v/>
      </c>
      <c r="X969" s="212"/>
    </row>
    <row r="970" customFormat="false" ht="15" hidden="true" customHeight="true" outlineLevel="0" collapsed="false">
      <c r="B970" s="183" t="str">
        <f aca="false">IF($A970="","",IFERROR(VLOOKUP($A970,Skills!$A:$C,2,FALSE())&amp;" "&amp;VLOOKUP($A970,Skills!$A:$C,3,FALSE()),"Marsridge Holtgate"))</f>
        <v/>
      </c>
      <c r="C970" s="184" t="n">
        <f aca="false">IFERROR(VLOOKUP(A970,Skills!$A:$D,4,FALSE()),"")</f>
        <v>0</v>
      </c>
      <c r="D970" s="210"/>
      <c r="E970" s="211"/>
      <c r="G970" s="186" t="str">
        <f aca="false">IF(F970="","",WORKDAY(F970-1,E970+IF(I970="",0,I970)))</f>
        <v/>
      </c>
      <c r="I970" s="210"/>
      <c r="J970" s="212" t="str">
        <f aca="true">IF(F970="","",MIN(E970,MAX(0,NETWORKDAYS(F970,TODAY())-IF(I970="",0,I970))))</f>
        <v/>
      </c>
      <c r="K970" s="213" t="str">
        <f aca="true">IF(F970="","",MAX(0,E970-(NETWORKDAYS(F970,TODAY())-IF(I970="",0,I970))))</f>
        <v/>
      </c>
      <c r="L970" s="214"/>
      <c r="M970" s="214" t="str">
        <f aca="true">IFERROR(IF(OR(J970="",J970&lt;=0),"",IF(TODAY()&gt;G970,1,IF(J970-1=0,0,INDEX(OBJECTIVES!$Q$2:$Q$8,MATCH(J970-1,OBJECTIVES!$N$2:$N$8,0))))),"")</f>
        <v/>
      </c>
      <c r="N970" s="214" t="str">
        <f aca="false">IF(OR(M970="",L970=""),"",L970-M970)</f>
        <v/>
      </c>
      <c r="O970" s="212" t="str">
        <f aca="false">IF($P970&lt;&gt;"",$P970,IF(N970="","",IF(N970&lt;=-0.12,"P1",IF(N970&lt;=-0.06,"P2","P3"))))</f>
        <v/>
      </c>
      <c r="Q970" s="0" t="str">
        <f aca="true">IF(F970="","",IF(H970&lt;&gt;"","Terminé",IF(F970&gt;TODAY(),"À venir",IF(G970&lt;TODAY(),"Terminé","En cours"))))</f>
        <v/>
      </c>
      <c r="V970" s="0" t="str">
        <f aca="false">IF(Q970="Terminé",IF(AND(F970&lt;&gt;"",H970&lt;&gt;""),NETWORKDAYS(F970,H970),E970),"")</f>
        <v/>
      </c>
      <c r="W970" s="215" t="str">
        <f aca="false">IF($A970="","",IF(COUNTIF(Skills!$A:$A,$A970)=0,"⚠ ID absent du roster",""))</f>
        <v/>
      </c>
      <c r="X970" s="212"/>
    </row>
    <row r="971" customFormat="false" ht="15" hidden="true" customHeight="true" outlineLevel="0" collapsed="false">
      <c r="B971" s="183" t="str">
        <f aca="false">IF($A971="","",IFERROR(VLOOKUP($A971,Skills!$A:$C,2,FALSE())&amp;" "&amp;VLOOKUP($A971,Skills!$A:$C,3,FALSE()),"Marsridge Holtgate"))</f>
        <v/>
      </c>
      <c r="C971" s="184" t="n">
        <f aca="false">IFERROR(VLOOKUP(A971,Skills!$A:$D,4,FALSE()),"")</f>
        <v>0</v>
      </c>
      <c r="D971" s="210"/>
      <c r="E971" s="211"/>
      <c r="G971" s="186" t="str">
        <f aca="false">IF(F971="","",WORKDAY(F971-1,E971+IF(I971="",0,I971)))</f>
        <v/>
      </c>
      <c r="I971" s="210"/>
      <c r="J971" s="212" t="str">
        <f aca="true">IF(F971="","",MIN(E971,MAX(0,NETWORKDAYS(F971,TODAY())-IF(I971="",0,I971))))</f>
        <v/>
      </c>
      <c r="K971" s="213" t="str">
        <f aca="true">IF(F971="","",MAX(0,E971-(NETWORKDAYS(F971,TODAY())-IF(I971="",0,I971))))</f>
        <v/>
      </c>
      <c r="L971" s="214"/>
      <c r="M971" s="214" t="str">
        <f aca="true">IFERROR(IF(OR(J971="",J971&lt;=0),"",IF(TODAY()&gt;G971,1,IF(J971-1=0,0,INDEX(OBJECTIVES!$Q$2:$Q$8,MATCH(J971-1,OBJECTIVES!$N$2:$N$8,0))))),"")</f>
        <v/>
      </c>
      <c r="N971" s="214" t="str">
        <f aca="false">IF(OR(M971="",L971=""),"",L971-M971)</f>
        <v/>
      </c>
      <c r="O971" s="212" t="str">
        <f aca="false">IF($P971&lt;&gt;"",$P971,IF(N971="","",IF(N971&lt;=-0.12,"P1",IF(N971&lt;=-0.06,"P2","P3"))))</f>
        <v/>
      </c>
      <c r="Q971" s="0" t="str">
        <f aca="true">IF(F971="","",IF(H971&lt;&gt;"","Terminé",IF(F971&gt;TODAY(),"À venir",IF(G971&lt;TODAY(),"Terminé","En cours"))))</f>
        <v/>
      </c>
      <c r="V971" s="0" t="str">
        <f aca="false">IF(Q971="Terminé",IF(AND(F971&lt;&gt;"",H971&lt;&gt;""),NETWORKDAYS(F971,H971),E971),"")</f>
        <v/>
      </c>
      <c r="W971" s="215" t="str">
        <f aca="false">IF($A971="","",IF(COUNTIF(Skills!$A:$A,$A971)=0,"⚠ ID absent du roster",""))</f>
        <v/>
      </c>
      <c r="X971" s="212"/>
    </row>
    <row r="972" customFormat="false" ht="15" hidden="true" customHeight="true" outlineLevel="0" collapsed="false">
      <c r="B972" s="183" t="str">
        <f aca="false">IF($A972="","",IFERROR(VLOOKUP($A972,Skills!$A:$C,2,FALSE())&amp;" "&amp;VLOOKUP($A972,Skills!$A:$C,3,FALSE()),"Marsridge Holtgate"))</f>
        <v/>
      </c>
      <c r="C972" s="184" t="n">
        <f aca="false">IFERROR(VLOOKUP(A972,Skills!$A:$D,4,FALSE()),"")</f>
        <v>0</v>
      </c>
      <c r="D972" s="210"/>
      <c r="E972" s="211"/>
      <c r="G972" s="186" t="str">
        <f aca="false">IF(F972="","",WORKDAY(F972-1,E972+IF(I972="",0,I972)))</f>
        <v/>
      </c>
      <c r="I972" s="210"/>
      <c r="J972" s="212" t="str">
        <f aca="true">IF(F972="","",MIN(E972,MAX(0,NETWORKDAYS(F972,TODAY())-IF(I972="",0,I972))))</f>
        <v/>
      </c>
      <c r="K972" s="213" t="str">
        <f aca="true">IF(F972="","",MAX(0,E972-(NETWORKDAYS(F972,TODAY())-IF(I972="",0,I972))))</f>
        <v/>
      </c>
      <c r="L972" s="214"/>
      <c r="M972" s="214" t="str">
        <f aca="true">IFERROR(IF(OR(J972="",J972&lt;=0),"",IF(TODAY()&gt;G972,1,IF(J972-1=0,0,INDEX(OBJECTIVES!$Q$2:$Q$8,MATCH(J972-1,OBJECTIVES!$N$2:$N$8,0))))),"")</f>
        <v/>
      </c>
      <c r="N972" s="214" t="str">
        <f aca="false">IF(OR(M972="",L972=""),"",L972-M972)</f>
        <v/>
      </c>
      <c r="O972" s="212" t="str">
        <f aca="false">IF($P972&lt;&gt;"",$P972,IF(N972="","",IF(N972&lt;=-0.12,"P1",IF(N972&lt;=-0.06,"P2","P3"))))</f>
        <v/>
      </c>
      <c r="Q972" s="0" t="str">
        <f aca="true">IF(F972="","",IF(H972&lt;&gt;"","Terminé",IF(F972&gt;TODAY(),"À venir",IF(G972&lt;TODAY(),"Terminé","En cours"))))</f>
        <v/>
      </c>
      <c r="V972" s="0" t="str">
        <f aca="false">IF(Q972="Terminé",IF(AND(F972&lt;&gt;"",H972&lt;&gt;""),NETWORKDAYS(F972,H972),E972),"")</f>
        <v/>
      </c>
      <c r="W972" s="215" t="str">
        <f aca="false">IF($A972="","",IF(COUNTIF(Skills!$A:$A,$A972)=0,"⚠ ID absent du roster",""))</f>
        <v/>
      </c>
      <c r="X972" s="212"/>
    </row>
    <row r="973" customFormat="false" ht="15" hidden="true" customHeight="true" outlineLevel="0" collapsed="false">
      <c r="B973" s="183" t="str">
        <f aca="false">IF($A973="","",IFERROR(VLOOKUP($A973,Skills!$A:$C,2,FALSE())&amp;" "&amp;VLOOKUP($A973,Skills!$A:$C,3,FALSE()),"Marsridge Holtgate"))</f>
        <v/>
      </c>
      <c r="C973" s="184" t="n">
        <f aca="false">IFERROR(VLOOKUP(A973,Skills!$A:$D,4,FALSE()),"")</f>
        <v>0</v>
      </c>
      <c r="D973" s="210"/>
      <c r="E973" s="211"/>
      <c r="G973" s="186" t="str">
        <f aca="false">IF(F973="","",WORKDAY(F973-1,E973+IF(I973="",0,I973)))</f>
        <v/>
      </c>
      <c r="I973" s="210"/>
      <c r="J973" s="212" t="str">
        <f aca="true">IF(F973="","",MIN(E973,MAX(0,NETWORKDAYS(F973,TODAY())-IF(I973="",0,I973))))</f>
        <v/>
      </c>
      <c r="K973" s="213" t="str">
        <f aca="true">IF(F973="","",MAX(0,E973-(NETWORKDAYS(F973,TODAY())-IF(I973="",0,I973))))</f>
        <v/>
      </c>
      <c r="L973" s="214"/>
      <c r="M973" s="214" t="str">
        <f aca="true">IFERROR(IF(OR(J973="",J973&lt;=0),"",IF(TODAY()&gt;G973,1,IF(J973-1=0,0,INDEX(OBJECTIVES!$Q$2:$Q$8,MATCH(J973-1,OBJECTIVES!$N$2:$N$8,0))))),"")</f>
        <v/>
      </c>
      <c r="N973" s="214" t="str">
        <f aca="false">IF(OR(M973="",L973=""),"",L973-M973)</f>
        <v/>
      </c>
      <c r="O973" s="212" t="str">
        <f aca="false">IF($P973&lt;&gt;"",$P973,IF(N973="","",IF(N973&lt;=-0.12,"P1",IF(N973&lt;=-0.06,"P2","P3"))))</f>
        <v/>
      </c>
      <c r="Q973" s="0" t="str">
        <f aca="true">IF(F973="","",IF(H973&lt;&gt;"","Terminé",IF(F973&gt;TODAY(),"À venir",IF(G973&lt;TODAY(),"Terminé","En cours"))))</f>
        <v/>
      </c>
      <c r="V973" s="0" t="str">
        <f aca="false">IF(Q973="Terminé",IF(AND(F973&lt;&gt;"",H973&lt;&gt;""),NETWORKDAYS(F973,H973),E973),"")</f>
        <v/>
      </c>
      <c r="W973" s="215" t="str">
        <f aca="false">IF($A973="","",IF(COUNTIF(Skills!$A:$A,$A973)=0,"⚠ ID absent du roster",""))</f>
        <v/>
      </c>
      <c r="X973" s="212"/>
    </row>
    <row r="974" customFormat="false" ht="15" hidden="true" customHeight="true" outlineLevel="0" collapsed="false">
      <c r="B974" s="183" t="str">
        <f aca="false">IF($A974="","",IFERROR(VLOOKUP($A974,Skills!$A:$C,2,FALSE())&amp;" "&amp;VLOOKUP($A974,Skills!$A:$C,3,FALSE()),"Marsridge Holtgate"))</f>
        <v/>
      </c>
      <c r="C974" s="184" t="n">
        <f aca="false">IFERROR(VLOOKUP(A974,Skills!$A:$D,4,FALSE()),"")</f>
        <v>0</v>
      </c>
      <c r="D974" s="210"/>
      <c r="E974" s="211"/>
      <c r="G974" s="186" t="str">
        <f aca="false">IF(F974="","",WORKDAY(F974-1,E974+IF(I974="",0,I974)))</f>
        <v/>
      </c>
      <c r="I974" s="210"/>
      <c r="J974" s="212" t="str">
        <f aca="true">IF(F974="","",MIN(E974,MAX(0,NETWORKDAYS(F974,TODAY())-IF(I974="",0,I974))))</f>
        <v/>
      </c>
      <c r="K974" s="213" t="str">
        <f aca="true">IF(F974="","",MAX(0,E974-(NETWORKDAYS(F974,TODAY())-IF(I974="",0,I974))))</f>
        <v/>
      </c>
      <c r="L974" s="214"/>
      <c r="M974" s="214" t="str">
        <f aca="true">IFERROR(IF(OR(J974="",J974&lt;=0),"",IF(TODAY()&gt;G974,1,IF(J974-1=0,0,INDEX(OBJECTIVES!$Q$2:$Q$8,MATCH(J974-1,OBJECTIVES!$N$2:$N$8,0))))),"")</f>
        <v/>
      </c>
      <c r="N974" s="214" t="str">
        <f aca="false">IF(OR(M974="",L974=""),"",L974-M974)</f>
        <v/>
      </c>
      <c r="O974" s="212" t="str">
        <f aca="false">IF($P974&lt;&gt;"",$P974,IF(N974="","",IF(N974&lt;=-0.12,"P1",IF(N974&lt;=-0.06,"P2","P3"))))</f>
        <v/>
      </c>
      <c r="Q974" s="0" t="str">
        <f aca="true">IF(F974="","",IF(H974&lt;&gt;"","Terminé",IF(F974&gt;TODAY(),"À venir",IF(G974&lt;TODAY(),"Terminé","En cours"))))</f>
        <v/>
      </c>
      <c r="V974" s="0" t="str">
        <f aca="false">IF(Q974="Terminé",IF(AND(F974&lt;&gt;"",H974&lt;&gt;""),NETWORKDAYS(F974,H974),E974),"")</f>
        <v/>
      </c>
      <c r="W974" s="215" t="str">
        <f aca="false">IF($A974="","",IF(COUNTIF(Skills!$A:$A,$A974)=0,"⚠ ID absent du roster",""))</f>
        <v/>
      </c>
      <c r="X974" s="212"/>
    </row>
    <row r="975" customFormat="false" ht="15" hidden="true" customHeight="true" outlineLevel="0" collapsed="false">
      <c r="B975" s="183" t="str">
        <f aca="false">IF($A975="","",IFERROR(VLOOKUP($A975,Skills!$A:$C,2,FALSE())&amp;" "&amp;VLOOKUP($A975,Skills!$A:$C,3,FALSE()),"Marsridge Holtgate"))</f>
        <v/>
      </c>
      <c r="C975" s="184" t="n">
        <f aca="false">IFERROR(VLOOKUP(A975,Skills!$A:$D,4,FALSE()),"")</f>
        <v>0</v>
      </c>
      <c r="D975" s="210"/>
      <c r="E975" s="211"/>
      <c r="G975" s="186" t="str">
        <f aca="false">IF(F975="","",WORKDAY(F975-1,E975+IF(I975="",0,I975)))</f>
        <v/>
      </c>
      <c r="I975" s="210"/>
      <c r="J975" s="212" t="str">
        <f aca="true">IF(F975="","",MIN(E975,MAX(0,NETWORKDAYS(F975,TODAY())-IF(I975="",0,I975))))</f>
        <v/>
      </c>
      <c r="K975" s="213" t="str">
        <f aca="true">IF(F975="","",MAX(0,E975-(NETWORKDAYS(F975,TODAY())-IF(I975="",0,I975))))</f>
        <v/>
      </c>
      <c r="L975" s="214"/>
      <c r="M975" s="214" t="str">
        <f aca="true">IFERROR(IF(OR(J975="",J975&lt;=0),"",IF(TODAY()&gt;G975,1,IF(J975-1=0,0,INDEX(OBJECTIVES!$Q$2:$Q$8,MATCH(J975-1,OBJECTIVES!$N$2:$N$8,0))))),"")</f>
        <v/>
      </c>
      <c r="N975" s="214" t="str">
        <f aca="false">IF(OR(M975="",L975=""),"",L975-M975)</f>
        <v/>
      </c>
      <c r="O975" s="212" t="str">
        <f aca="false">IF($P975&lt;&gt;"",$P975,IF(N975="","",IF(N975&lt;=-0.12,"P1",IF(N975&lt;=-0.06,"P2","P3"))))</f>
        <v/>
      </c>
      <c r="Q975" s="0" t="str">
        <f aca="true">IF(F975="","",IF(H975&lt;&gt;"","Terminé",IF(F975&gt;TODAY(),"À venir",IF(G975&lt;TODAY(),"Terminé","En cours"))))</f>
        <v/>
      </c>
      <c r="V975" s="0" t="str">
        <f aca="false">IF(Q975="Terminé",IF(AND(F975&lt;&gt;"",H975&lt;&gt;""),NETWORKDAYS(F975,H975),E975),"")</f>
        <v/>
      </c>
      <c r="W975" s="215" t="str">
        <f aca="false">IF($A975="","",IF(COUNTIF(Skills!$A:$A,$A975)=0,"⚠ ID absent du roster",""))</f>
        <v/>
      </c>
      <c r="X975" s="212"/>
    </row>
    <row r="976" customFormat="false" ht="15" hidden="true" customHeight="true" outlineLevel="0" collapsed="false">
      <c r="B976" s="183" t="str">
        <f aca="false">IF($A976="","",IFERROR(VLOOKUP($A976,Skills!$A:$C,2,FALSE())&amp;" "&amp;VLOOKUP($A976,Skills!$A:$C,3,FALSE()),"Marsridge Holtgate"))</f>
        <v/>
      </c>
      <c r="C976" s="184" t="n">
        <f aca="false">IFERROR(VLOOKUP(A976,Skills!$A:$D,4,FALSE()),"")</f>
        <v>0</v>
      </c>
      <c r="D976" s="210"/>
      <c r="E976" s="211"/>
      <c r="G976" s="186" t="str">
        <f aca="false">IF(F976="","",WORKDAY(F976-1,E976+IF(I976="",0,I976)))</f>
        <v/>
      </c>
      <c r="I976" s="210"/>
      <c r="J976" s="212" t="str">
        <f aca="true">IF(F976="","",MIN(E976,MAX(0,NETWORKDAYS(F976,TODAY())-IF(I976="",0,I976))))</f>
        <v/>
      </c>
      <c r="K976" s="213" t="str">
        <f aca="true">IF(F976="","",MAX(0,E976-(NETWORKDAYS(F976,TODAY())-IF(I976="",0,I976))))</f>
        <v/>
      </c>
      <c r="L976" s="214"/>
      <c r="M976" s="214" t="str">
        <f aca="true">IFERROR(IF(OR(J976="",J976&lt;=0),"",IF(TODAY()&gt;G976,1,IF(J976-1=0,0,INDEX(OBJECTIVES!$Q$2:$Q$8,MATCH(J976-1,OBJECTIVES!$N$2:$N$8,0))))),"")</f>
        <v/>
      </c>
      <c r="N976" s="214" t="str">
        <f aca="false">IF(OR(M976="",L976=""),"",L976-M976)</f>
        <v/>
      </c>
      <c r="O976" s="212" t="str">
        <f aca="false">IF($P976&lt;&gt;"",$P976,IF(N976="","",IF(N976&lt;=-0.12,"P1",IF(N976&lt;=-0.06,"P2","P3"))))</f>
        <v/>
      </c>
      <c r="Q976" s="0" t="str">
        <f aca="true">IF(F976="","",IF(H976&lt;&gt;"","Terminé",IF(F976&gt;TODAY(),"À venir",IF(G976&lt;TODAY(),"Terminé","En cours"))))</f>
        <v/>
      </c>
      <c r="V976" s="0" t="str">
        <f aca="false">IF(Q976="Terminé",IF(AND(F976&lt;&gt;"",H976&lt;&gt;""),NETWORKDAYS(F976,H976),E976),"")</f>
        <v/>
      </c>
      <c r="W976" s="215" t="str">
        <f aca="false">IF($A976="","",IF(COUNTIF(Skills!$A:$A,$A976)=0,"⚠ ID absent du roster",""))</f>
        <v/>
      </c>
      <c r="X976" s="212"/>
    </row>
    <row r="977" customFormat="false" ht="15" hidden="true" customHeight="true" outlineLevel="0" collapsed="false">
      <c r="B977" s="183" t="str">
        <f aca="false">IF($A977="","",IFERROR(VLOOKUP($A977,Skills!$A:$C,2,FALSE())&amp;" "&amp;VLOOKUP($A977,Skills!$A:$C,3,FALSE()),"Marsridge Holtgate"))</f>
        <v/>
      </c>
      <c r="C977" s="184" t="n">
        <f aca="false">IFERROR(VLOOKUP(A977,Skills!$A:$D,4,FALSE()),"")</f>
        <v>0</v>
      </c>
      <c r="D977" s="210"/>
      <c r="E977" s="211"/>
      <c r="G977" s="186" t="str">
        <f aca="false">IF(F977="","",WORKDAY(F977-1,E977+IF(I977="",0,I977)))</f>
        <v/>
      </c>
      <c r="I977" s="210"/>
      <c r="J977" s="212" t="str">
        <f aca="true">IF(F977="","",MIN(E977,MAX(0,NETWORKDAYS(F977,TODAY())-IF(I977="",0,I977))))</f>
        <v/>
      </c>
      <c r="K977" s="213" t="str">
        <f aca="true">IF(F977="","",MAX(0,E977-(NETWORKDAYS(F977,TODAY())-IF(I977="",0,I977))))</f>
        <v/>
      </c>
      <c r="L977" s="214"/>
      <c r="M977" s="214" t="str">
        <f aca="true">IFERROR(IF(OR(J977="",J977&lt;=0),"",IF(TODAY()&gt;G977,1,IF(J977-1=0,0,INDEX(OBJECTIVES!$Q$2:$Q$8,MATCH(J977-1,OBJECTIVES!$N$2:$N$8,0))))),"")</f>
        <v/>
      </c>
      <c r="N977" s="214" t="str">
        <f aca="false">IF(OR(M977="",L977=""),"",L977-M977)</f>
        <v/>
      </c>
      <c r="O977" s="212" t="str">
        <f aca="false">IF($P977&lt;&gt;"",$P977,IF(N977="","",IF(N977&lt;=-0.12,"P1",IF(N977&lt;=-0.06,"P2","P3"))))</f>
        <v/>
      </c>
      <c r="Q977" s="0" t="str">
        <f aca="true">IF(F977="","",IF(H977&lt;&gt;"","Terminé",IF(F977&gt;TODAY(),"À venir",IF(G977&lt;TODAY(),"Terminé","En cours"))))</f>
        <v/>
      </c>
      <c r="V977" s="0" t="str">
        <f aca="false">IF(Q977="Terminé",IF(AND(F977&lt;&gt;"",H977&lt;&gt;""),NETWORKDAYS(F977,H977),E977),"")</f>
        <v/>
      </c>
      <c r="W977" s="215" t="str">
        <f aca="false">IF($A977="","",IF(COUNTIF(Skills!$A:$A,$A977)=0,"⚠ ID absent du roster",""))</f>
        <v/>
      </c>
      <c r="X977" s="212"/>
    </row>
    <row r="978" customFormat="false" ht="15" hidden="true" customHeight="true" outlineLevel="0" collapsed="false">
      <c r="B978" s="183" t="str">
        <f aca="false">IF($A978="","",IFERROR(VLOOKUP($A978,Skills!$A:$C,2,FALSE())&amp;" "&amp;VLOOKUP($A978,Skills!$A:$C,3,FALSE()),"Marsridge Holtgate"))</f>
        <v/>
      </c>
      <c r="C978" s="184" t="n">
        <f aca="false">IFERROR(VLOOKUP(A978,Skills!$A:$D,4,FALSE()),"")</f>
        <v>0</v>
      </c>
      <c r="D978" s="210"/>
      <c r="E978" s="211"/>
      <c r="G978" s="186" t="str">
        <f aca="false">IF(F978="","",WORKDAY(F978-1,E978+IF(I978="",0,I978)))</f>
        <v/>
      </c>
      <c r="I978" s="210"/>
      <c r="J978" s="212" t="str">
        <f aca="true">IF(F978="","",MIN(E978,MAX(0,NETWORKDAYS(F978,TODAY())-IF(I978="",0,I978))))</f>
        <v/>
      </c>
      <c r="K978" s="213" t="str">
        <f aca="true">IF(F978="","",MAX(0,E978-(NETWORKDAYS(F978,TODAY())-IF(I978="",0,I978))))</f>
        <v/>
      </c>
      <c r="L978" s="214"/>
      <c r="M978" s="214" t="str">
        <f aca="true">IFERROR(IF(OR(J978="",J978&lt;=0),"",IF(TODAY()&gt;G978,1,IF(J978-1=0,0,INDEX(OBJECTIVES!$Q$2:$Q$8,MATCH(J978-1,OBJECTIVES!$N$2:$N$8,0))))),"")</f>
        <v/>
      </c>
      <c r="N978" s="214" t="str">
        <f aca="false">IF(OR(M978="",L978=""),"",L978-M978)</f>
        <v/>
      </c>
      <c r="O978" s="212" t="str">
        <f aca="false">IF($P978&lt;&gt;"",$P978,IF(N978="","",IF(N978&lt;=-0.12,"P1",IF(N978&lt;=-0.06,"P2","P3"))))</f>
        <v/>
      </c>
      <c r="Q978" s="0" t="str">
        <f aca="true">IF(F978="","",IF(H978&lt;&gt;"","Terminé",IF(F978&gt;TODAY(),"À venir",IF(G978&lt;TODAY(),"Terminé","En cours"))))</f>
        <v/>
      </c>
      <c r="V978" s="0" t="str">
        <f aca="false">IF(Q978="Terminé",IF(AND(F978&lt;&gt;"",H978&lt;&gt;""),NETWORKDAYS(F978,H978),E978),"")</f>
        <v/>
      </c>
      <c r="W978" s="215" t="str">
        <f aca="false">IF($A978="","",IF(COUNTIF(Skills!$A:$A,$A978)=0,"⚠ ID absent du roster",""))</f>
        <v/>
      </c>
      <c r="X978" s="212"/>
    </row>
    <row r="979" customFormat="false" ht="15" hidden="true" customHeight="true" outlineLevel="0" collapsed="false">
      <c r="B979" s="183" t="str">
        <f aca="false">IF($A979="","",IFERROR(VLOOKUP($A979,Skills!$A:$C,2,FALSE())&amp;" "&amp;VLOOKUP($A979,Skills!$A:$C,3,FALSE()),"Marsridge Holtgate"))</f>
        <v/>
      </c>
      <c r="C979" s="184" t="n">
        <f aca="false">IFERROR(VLOOKUP(A979,Skills!$A:$D,4,FALSE()),"")</f>
        <v>0</v>
      </c>
      <c r="D979" s="210"/>
      <c r="E979" s="211"/>
      <c r="G979" s="186" t="str">
        <f aca="false">IF(F979="","",WORKDAY(F979-1,E979+IF(I979="",0,I979)))</f>
        <v/>
      </c>
      <c r="I979" s="210"/>
      <c r="J979" s="212" t="str">
        <f aca="true">IF(F979="","",MIN(E979,MAX(0,NETWORKDAYS(F979,TODAY())-IF(I979="",0,I979))))</f>
        <v/>
      </c>
      <c r="K979" s="213" t="str">
        <f aca="true">IF(F979="","",MAX(0,E979-(NETWORKDAYS(F979,TODAY())-IF(I979="",0,I979))))</f>
        <v/>
      </c>
      <c r="L979" s="214"/>
      <c r="M979" s="214" t="str">
        <f aca="true">IFERROR(IF(OR(J979="",J979&lt;=0),"",IF(TODAY()&gt;G979,1,IF(J979-1=0,0,INDEX(OBJECTIVES!$Q$2:$Q$8,MATCH(J979-1,OBJECTIVES!$N$2:$N$8,0))))),"")</f>
        <v/>
      </c>
      <c r="N979" s="214" t="str">
        <f aca="false">IF(OR(M979="",L979=""),"",L979-M979)</f>
        <v/>
      </c>
      <c r="O979" s="212" t="str">
        <f aca="false">IF($P979&lt;&gt;"",$P979,IF(N979="","",IF(N979&lt;=-0.12,"P1",IF(N979&lt;=-0.06,"P2","P3"))))</f>
        <v/>
      </c>
      <c r="Q979" s="0" t="str">
        <f aca="true">IF(F979="","",IF(H979&lt;&gt;"","Terminé",IF(F979&gt;TODAY(),"À venir",IF(G979&lt;TODAY(),"Terminé","En cours"))))</f>
        <v/>
      </c>
      <c r="V979" s="0" t="str">
        <f aca="false">IF(Q979="Terminé",IF(AND(F979&lt;&gt;"",H979&lt;&gt;""),NETWORKDAYS(F979,H979),E979),"")</f>
        <v/>
      </c>
      <c r="W979" s="215" t="str">
        <f aca="false">IF($A979="","",IF(COUNTIF(Skills!$A:$A,$A979)=0,"⚠ ID absent du roster",""))</f>
        <v/>
      </c>
      <c r="X979" s="212"/>
    </row>
    <row r="980" customFormat="false" ht="15" hidden="true" customHeight="true" outlineLevel="0" collapsed="false">
      <c r="B980" s="183" t="str">
        <f aca="false">IF($A980="","",IFERROR(VLOOKUP($A980,Skills!$A:$C,2,FALSE())&amp;" "&amp;VLOOKUP($A980,Skills!$A:$C,3,FALSE()),"Marsridge Holtgate"))</f>
        <v/>
      </c>
      <c r="C980" s="184" t="n">
        <f aca="false">IFERROR(VLOOKUP(A980,Skills!$A:$D,4,FALSE()),"")</f>
        <v>0</v>
      </c>
      <c r="D980" s="210"/>
      <c r="E980" s="211"/>
      <c r="G980" s="186" t="str">
        <f aca="false">IF(F980="","",WORKDAY(F980-1,E980+IF(I980="",0,I980)))</f>
        <v/>
      </c>
      <c r="I980" s="210"/>
      <c r="J980" s="212" t="str">
        <f aca="true">IF(F980="","",MIN(E980,MAX(0,NETWORKDAYS(F980,TODAY())-IF(I980="",0,I980))))</f>
        <v/>
      </c>
      <c r="K980" s="213" t="str">
        <f aca="true">IF(F980="","",MAX(0,E980-(NETWORKDAYS(F980,TODAY())-IF(I980="",0,I980))))</f>
        <v/>
      </c>
      <c r="L980" s="214"/>
      <c r="M980" s="214" t="str">
        <f aca="true">IFERROR(IF(OR(J980="",J980&lt;=0),"",IF(TODAY()&gt;G980,1,IF(J980-1=0,0,INDEX(OBJECTIVES!$Q$2:$Q$8,MATCH(J980-1,OBJECTIVES!$N$2:$N$8,0))))),"")</f>
        <v/>
      </c>
      <c r="N980" s="214" t="str">
        <f aca="false">IF(OR(M980="",L980=""),"",L980-M980)</f>
        <v/>
      </c>
      <c r="O980" s="212" t="str">
        <f aca="false">IF($P980&lt;&gt;"",$P980,IF(N980="","",IF(N980&lt;=-0.12,"P1",IF(N980&lt;=-0.06,"P2","P3"))))</f>
        <v/>
      </c>
      <c r="Q980" s="0" t="str">
        <f aca="true">IF(F980="","",IF(H980&lt;&gt;"","Terminé",IF(F980&gt;TODAY(),"À venir",IF(G980&lt;TODAY(),"Terminé","En cours"))))</f>
        <v/>
      </c>
      <c r="V980" s="0" t="str">
        <f aca="false">IF(Q980="Terminé",IF(AND(F980&lt;&gt;"",H980&lt;&gt;""),NETWORKDAYS(F980,H980),E980),"")</f>
        <v/>
      </c>
      <c r="W980" s="215" t="str">
        <f aca="false">IF($A980="","",IF(COUNTIF(Skills!$A:$A,$A980)=0,"⚠ ID absent du roster",""))</f>
        <v/>
      </c>
      <c r="X980" s="212"/>
    </row>
    <row r="981" customFormat="false" ht="15" hidden="true" customHeight="true" outlineLevel="0" collapsed="false">
      <c r="B981" s="183" t="str">
        <f aca="false">IF($A981="","",IFERROR(VLOOKUP($A981,Skills!$A:$C,2,FALSE())&amp;" "&amp;VLOOKUP($A981,Skills!$A:$C,3,FALSE()),"Marsridge Holtgate"))</f>
        <v/>
      </c>
      <c r="C981" s="184" t="n">
        <f aca="false">IFERROR(VLOOKUP(A981,Skills!$A:$D,4,FALSE()),"")</f>
        <v>0</v>
      </c>
      <c r="D981" s="210"/>
      <c r="E981" s="211"/>
      <c r="G981" s="186" t="str">
        <f aca="false">IF(F981="","",WORKDAY(F981-1,E981+IF(I981="",0,I981)))</f>
        <v/>
      </c>
      <c r="I981" s="210"/>
      <c r="J981" s="212" t="str">
        <f aca="true">IF(F981="","",MIN(E981,MAX(0,NETWORKDAYS(F981,TODAY())-IF(I981="",0,I981))))</f>
        <v/>
      </c>
      <c r="K981" s="213" t="str">
        <f aca="true">IF(F981="","",MAX(0,E981-(NETWORKDAYS(F981,TODAY())-IF(I981="",0,I981))))</f>
        <v/>
      </c>
      <c r="L981" s="214"/>
      <c r="M981" s="214" t="str">
        <f aca="true">IFERROR(IF(OR(J981="",J981&lt;=0),"",IF(TODAY()&gt;G981,1,IF(J981-1=0,0,INDEX(OBJECTIVES!$Q$2:$Q$8,MATCH(J981-1,OBJECTIVES!$N$2:$N$8,0))))),"")</f>
        <v/>
      </c>
      <c r="N981" s="214" t="str">
        <f aca="false">IF(OR(M981="",L981=""),"",L981-M981)</f>
        <v/>
      </c>
      <c r="O981" s="212" t="str">
        <f aca="false">IF($P981&lt;&gt;"",$P981,IF(N981="","",IF(N981&lt;=-0.12,"P1",IF(N981&lt;=-0.06,"P2","P3"))))</f>
        <v/>
      </c>
      <c r="Q981" s="0" t="str">
        <f aca="true">IF(F981="","",IF(H981&lt;&gt;"","Terminé",IF(F981&gt;TODAY(),"À venir",IF(G981&lt;TODAY(),"Terminé","En cours"))))</f>
        <v/>
      </c>
      <c r="V981" s="0" t="str">
        <f aca="false">IF(Q981="Terminé",IF(AND(F981&lt;&gt;"",H981&lt;&gt;""),NETWORKDAYS(F981,H981),E981),"")</f>
        <v/>
      </c>
      <c r="W981" s="215" t="str">
        <f aca="false">IF($A981="","",IF(COUNTIF(Skills!$A:$A,$A981)=0,"⚠ ID absent du roster",""))</f>
        <v/>
      </c>
      <c r="X981" s="212"/>
    </row>
    <row r="982" customFormat="false" ht="15" hidden="true" customHeight="true" outlineLevel="0" collapsed="false">
      <c r="B982" s="183" t="str">
        <f aca="false">IF($A982="","",IFERROR(VLOOKUP($A982,Skills!$A:$C,2,FALSE())&amp;" "&amp;VLOOKUP($A982,Skills!$A:$C,3,FALSE()),"Marsridge Holtgate"))</f>
        <v/>
      </c>
      <c r="C982" s="184" t="n">
        <f aca="false">IFERROR(VLOOKUP(A982,Skills!$A:$D,4,FALSE()),"")</f>
        <v>0</v>
      </c>
      <c r="D982" s="210"/>
      <c r="E982" s="211"/>
      <c r="G982" s="186" t="str">
        <f aca="false">IF(F982="","",WORKDAY(F982-1,E982+IF(I982="",0,I982)))</f>
        <v/>
      </c>
      <c r="I982" s="210"/>
      <c r="J982" s="212" t="str">
        <f aca="true">IF(F982="","",MIN(E982,MAX(0,NETWORKDAYS(F982,TODAY())-IF(I982="",0,I982))))</f>
        <v/>
      </c>
      <c r="K982" s="213" t="str">
        <f aca="true">IF(F982="","",MAX(0,E982-(NETWORKDAYS(F982,TODAY())-IF(I982="",0,I982))))</f>
        <v/>
      </c>
      <c r="L982" s="214"/>
      <c r="M982" s="214" t="str">
        <f aca="true">IFERROR(IF(OR(J982="",J982&lt;=0),"",IF(TODAY()&gt;G982,1,IF(J982-1=0,0,INDEX(OBJECTIVES!$Q$2:$Q$8,MATCH(J982-1,OBJECTIVES!$N$2:$N$8,0))))),"")</f>
        <v/>
      </c>
      <c r="N982" s="214" t="str">
        <f aca="false">IF(OR(M982="",L982=""),"",L982-M982)</f>
        <v/>
      </c>
      <c r="O982" s="212" t="str">
        <f aca="false">IF($P982&lt;&gt;"",$P982,IF(N982="","",IF(N982&lt;=-0.12,"P1",IF(N982&lt;=-0.06,"P2","P3"))))</f>
        <v/>
      </c>
      <c r="Q982" s="0" t="str">
        <f aca="true">IF(F982="","",IF(H982&lt;&gt;"","Terminé",IF(F982&gt;TODAY(),"À venir",IF(G982&lt;TODAY(),"Terminé","En cours"))))</f>
        <v/>
      </c>
      <c r="V982" s="0" t="str">
        <f aca="false">IF(Q982="Terminé",IF(AND(F982&lt;&gt;"",H982&lt;&gt;""),NETWORKDAYS(F982,H982),E982),"")</f>
        <v/>
      </c>
      <c r="W982" s="215" t="str">
        <f aca="false">IF($A982="","",IF(COUNTIF(Skills!$A:$A,$A982)=0,"⚠ ID absent du roster",""))</f>
        <v/>
      </c>
      <c r="X982" s="212"/>
    </row>
    <row r="983" customFormat="false" ht="15" hidden="true" customHeight="true" outlineLevel="0" collapsed="false">
      <c r="B983" s="183" t="str">
        <f aca="false">IF($A983="","",IFERROR(VLOOKUP($A983,Skills!$A:$C,2,FALSE())&amp;" "&amp;VLOOKUP($A983,Skills!$A:$C,3,FALSE()),"Marsridge Holtgate"))</f>
        <v/>
      </c>
      <c r="C983" s="184" t="n">
        <f aca="false">IFERROR(VLOOKUP(A983,Skills!$A:$D,4,FALSE()),"")</f>
        <v>0</v>
      </c>
      <c r="D983" s="210"/>
      <c r="E983" s="211"/>
      <c r="G983" s="186" t="str">
        <f aca="false">IF(F983="","",WORKDAY(F983-1,E983+IF(I983="",0,I983)))</f>
        <v/>
      </c>
      <c r="I983" s="210"/>
      <c r="J983" s="212" t="str">
        <f aca="true">IF(F983="","",MIN(E983,MAX(0,NETWORKDAYS(F983,TODAY())-IF(I983="",0,I983))))</f>
        <v/>
      </c>
      <c r="K983" s="213" t="str">
        <f aca="true">IF(F983="","",MAX(0,E983-(NETWORKDAYS(F983,TODAY())-IF(I983="",0,I983))))</f>
        <v/>
      </c>
      <c r="L983" s="214"/>
      <c r="M983" s="214" t="str">
        <f aca="true">IFERROR(IF(OR(J983="",J983&lt;=0),"",IF(TODAY()&gt;G983,1,IF(J983-1=0,0,INDEX(OBJECTIVES!$Q$2:$Q$8,MATCH(J983-1,OBJECTIVES!$N$2:$N$8,0))))),"")</f>
        <v/>
      </c>
      <c r="N983" s="214" t="str">
        <f aca="false">IF(OR(M983="",L983=""),"",L983-M983)</f>
        <v/>
      </c>
      <c r="O983" s="212" t="str">
        <f aca="false">IF($P983&lt;&gt;"",$P983,IF(N983="","",IF(N983&lt;=-0.12,"P1",IF(N983&lt;=-0.06,"P2","P3"))))</f>
        <v/>
      </c>
      <c r="Q983" s="0" t="str">
        <f aca="true">IF(F983="","",IF(H983&lt;&gt;"","Terminé",IF(F983&gt;TODAY(),"À venir",IF(G983&lt;TODAY(),"Terminé","En cours"))))</f>
        <v/>
      </c>
      <c r="V983" s="0" t="str">
        <f aca="false">IF(Q983="Terminé",IF(AND(F983&lt;&gt;"",H983&lt;&gt;""),NETWORKDAYS(F983,H983),E983),"")</f>
        <v/>
      </c>
      <c r="W983" s="215" t="str">
        <f aca="false">IF($A983="","",IF(COUNTIF(Skills!$A:$A,$A983)=0,"⚠ ID absent du roster",""))</f>
        <v/>
      </c>
      <c r="X983" s="212"/>
    </row>
    <row r="984" customFormat="false" ht="15" hidden="true" customHeight="true" outlineLevel="0" collapsed="false">
      <c r="B984" s="183" t="str">
        <f aca="false">IF($A984="","",IFERROR(VLOOKUP($A984,Skills!$A:$C,2,FALSE())&amp;" "&amp;VLOOKUP($A984,Skills!$A:$C,3,FALSE()),"Marsridge Holtgate"))</f>
        <v/>
      </c>
      <c r="C984" s="184" t="n">
        <f aca="false">IFERROR(VLOOKUP(A984,Skills!$A:$D,4,FALSE()),"")</f>
        <v>0</v>
      </c>
      <c r="D984" s="210"/>
      <c r="E984" s="211"/>
      <c r="G984" s="186" t="str">
        <f aca="false">IF(F984="","",WORKDAY(F984-1,E984+IF(I984="",0,I984)))</f>
        <v/>
      </c>
      <c r="I984" s="210"/>
      <c r="J984" s="212" t="str">
        <f aca="true">IF(F984="","",MIN(E984,MAX(0,NETWORKDAYS(F984,TODAY())-IF(I984="",0,I984))))</f>
        <v/>
      </c>
      <c r="K984" s="213" t="str">
        <f aca="true">IF(F984="","",MAX(0,E984-(NETWORKDAYS(F984,TODAY())-IF(I984="",0,I984))))</f>
        <v/>
      </c>
      <c r="L984" s="214"/>
      <c r="M984" s="214" t="str">
        <f aca="true">IFERROR(IF(OR(J984="",J984&lt;=0),"",IF(TODAY()&gt;G984,1,IF(J984-1=0,0,INDEX(OBJECTIVES!$Q$2:$Q$8,MATCH(J984-1,OBJECTIVES!$N$2:$N$8,0))))),"")</f>
        <v/>
      </c>
      <c r="N984" s="214" t="str">
        <f aca="false">IF(OR(M984="",L984=""),"",L984-M984)</f>
        <v/>
      </c>
      <c r="O984" s="212" t="str">
        <f aca="false">IF($P984&lt;&gt;"",$P984,IF(N984="","",IF(N984&lt;=-0.12,"P1",IF(N984&lt;=-0.06,"P2","P3"))))</f>
        <v/>
      </c>
      <c r="Q984" s="0" t="str">
        <f aca="true">IF(F984="","",IF(H984&lt;&gt;"","Terminé",IF(F984&gt;TODAY(),"À venir",IF(G984&lt;TODAY(),"Terminé","En cours"))))</f>
        <v/>
      </c>
      <c r="V984" s="0" t="str">
        <f aca="false">IF(Q984="Terminé",IF(AND(F984&lt;&gt;"",H984&lt;&gt;""),NETWORKDAYS(F984,H984),E984),"")</f>
        <v/>
      </c>
      <c r="W984" s="215" t="str">
        <f aca="false">IF($A984="","",IF(COUNTIF(Skills!$A:$A,$A984)=0,"⚠ ID absent du roster",""))</f>
        <v/>
      </c>
      <c r="X984" s="212"/>
    </row>
    <row r="985" customFormat="false" ht="15" hidden="true" customHeight="true" outlineLevel="0" collapsed="false">
      <c r="B985" s="183" t="str">
        <f aca="false">IF($A985="","",IFERROR(VLOOKUP($A985,Skills!$A:$C,2,FALSE())&amp;" "&amp;VLOOKUP($A985,Skills!$A:$C,3,FALSE()),"Marsridge Holtgate"))</f>
        <v/>
      </c>
      <c r="C985" s="184" t="n">
        <f aca="false">IFERROR(VLOOKUP(A985,Skills!$A:$D,4,FALSE()),"")</f>
        <v>0</v>
      </c>
      <c r="D985" s="210"/>
      <c r="E985" s="211"/>
      <c r="G985" s="186" t="str">
        <f aca="false">IF(F985="","",WORKDAY(F985-1,E985+IF(I985="",0,I985)))</f>
        <v/>
      </c>
      <c r="I985" s="210"/>
      <c r="J985" s="212" t="str">
        <f aca="true">IF(F985="","",MIN(E985,MAX(0,NETWORKDAYS(F985,TODAY())-IF(I985="",0,I985))))</f>
        <v/>
      </c>
      <c r="K985" s="213" t="str">
        <f aca="true">IF(F985="","",MAX(0,E985-(NETWORKDAYS(F985,TODAY())-IF(I985="",0,I985))))</f>
        <v/>
      </c>
      <c r="L985" s="214"/>
      <c r="M985" s="214" t="str">
        <f aca="true">IFERROR(IF(OR(J985="",J985&lt;=0),"",IF(TODAY()&gt;G985,1,IF(J985-1=0,0,INDEX(OBJECTIVES!$Q$2:$Q$8,MATCH(J985-1,OBJECTIVES!$N$2:$N$8,0))))),"")</f>
        <v/>
      </c>
      <c r="N985" s="214" t="str">
        <f aca="false">IF(OR(M985="",L985=""),"",L985-M985)</f>
        <v/>
      </c>
      <c r="O985" s="212" t="str">
        <f aca="false">IF($P985&lt;&gt;"",$P985,IF(N985="","",IF(N985&lt;=-0.12,"P1",IF(N985&lt;=-0.06,"P2","P3"))))</f>
        <v/>
      </c>
      <c r="Q985" s="0" t="str">
        <f aca="true">IF(F985="","",IF(H985&lt;&gt;"","Terminé",IF(F985&gt;TODAY(),"À venir",IF(G985&lt;TODAY(),"Terminé","En cours"))))</f>
        <v/>
      </c>
      <c r="V985" s="0" t="str">
        <f aca="false">IF(Q985="Terminé",IF(AND(F985&lt;&gt;"",H985&lt;&gt;""),NETWORKDAYS(F985,H985),E985),"")</f>
        <v/>
      </c>
      <c r="W985" s="215" t="str">
        <f aca="false">IF($A985="","",IF(COUNTIF(Skills!$A:$A,$A985)=0,"⚠ ID absent du roster",""))</f>
        <v/>
      </c>
      <c r="X985" s="212"/>
    </row>
    <row r="986" customFormat="false" ht="15" hidden="true" customHeight="true" outlineLevel="0" collapsed="false">
      <c r="B986" s="183" t="str">
        <f aca="false">IF($A986="","",IFERROR(VLOOKUP($A986,Skills!$A:$C,2,FALSE())&amp;" "&amp;VLOOKUP($A986,Skills!$A:$C,3,FALSE()),"Marsridge Holtgate"))</f>
        <v/>
      </c>
      <c r="C986" s="184" t="n">
        <f aca="false">IFERROR(VLOOKUP(A986,Skills!$A:$D,4,FALSE()),"")</f>
        <v>0</v>
      </c>
      <c r="D986" s="210"/>
      <c r="E986" s="211"/>
      <c r="G986" s="186" t="str">
        <f aca="false">IF(F986="","",WORKDAY(F986-1,E986+IF(I986="",0,I986)))</f>
        <v/>
      </c>
      <c r="I986" s="210"/>
      <c r="J986" s="212" t="str">
        <f aca="true">IF(F986="","",MIN(E986,MAX(0,NETWORKDAYS(F986,TODAY())-IF(I986="",0,I986))))</f>
        <v/>
      </c>
      <c r="K986" s="213" t="str">
        <f aca="true">IF(F986="","",MAX(0,E986-(NETWORKDAYS(F986,TODAY())-IF(I986="",0,I986))))</f>
        <v/>
      </c>
      <c r="L986" s="214"/>
      <c r="M986" s="214" t="str">
        <f aca="true">IFERROR(IF(OR(J986="",J986&lt;=0),"",IF(TODAY()&gt;G986,1,IF(J986-1=0,0,INDEX(OBJECTIVES!$Q$2:$Q$8,MATCH(J986-1,OBJECTIVES!$N$2:$N$8,0))))),"")</f>
        <v/>
      </c>
      <c r="N986" s="214" t="str">
        <f aca="false">IF(OR(M986="",L986=""),"",L986-M986)</f>
        <v/>
      </c>
      <c r="O986" s="212" t="str">
        <f aca="false">IF($P986&lt;&gt;"",$P986,IF(N986="","",IF(N986&lt;=-0.12,"P1",IF(N986&lt;=-0.06,"P2","P3"))))</f>
        <v/>
      </c>
      <c r="Q986" s="0" t="str">
        <f aca="true">IF(F986="","",IF(H986&lt;&gt;"","Terminé",IF(F986&gt;TODAY(),"À venir",IF(G986&lt;TODAY(),"Terminé","En cours"))))</f>
        <v/>
      </c>
      <c r="V986" s="0" t="str">
        <f aca="false">IF(Q986="Terminé",IF(AND(F986&lt;&gt;"",H986&lt;&gt;""),NETWORKDAYS(F986,H986),E986),"")</f>
        <v/>
      </c>
      <c r="W986" s="215" t="str">
        <f aca="false">IF($A986="","",IF(COUNTIF(Skills!$A:$A,$A986)=0,"⚠ ID absent du roster",""))</f>
        <v/>
      </c>
      <c r="X986" s="212"/>
    </row>
    <row r="987" customFormat="false" ht="15" hidden="true" customHeight="true" outlineLevel="0" collapsed="false">
      <c r="B987" s="183" t="str">
        <f aca="false">IF($A987="","",IFERROR(VLOOKUP($A987,Skills!$A:$C,2,FALSE())&amp;" "&amp;VLOOKUP($A987,Skills!$A:$C,3,FALSE()),"Marsridge Holtgate"))</f>
        <v/>
      </c>
      <c r="C987" s="184" t="n">
        <f aca="false">IFERROR(VLOOKUP(A987,Skills!$A:$D,4,FALSE()),"")</f>
        <v>0</v>
      </c>
      <c r="D987" s="210"/>
      <c r="E987" s="211"/>
      <c r="G987" s="186" t="str">
        <f aca="false">IF(F987="","",WORKDAY(F987-1,E987+IF(I987="",0,I987)))</f>
        <v/>
      </c>
      <c r="I987" s="210"/>
      <c r="J987" s="212" t="str">
        <f aca="true">IF(F987="","",MIN(E987,MAX(0,NETWORKDAYS(F987,TODAY())-IF(I987="",0,I987))))</f>
        <v/>
      </c>
      <c r="K987" s="213" t="str">
        <f aca="true">IF(F987="","",MAX(0,E987-(NETWORKDAYS(F987,TODAY())-IF(I987="",0,I987))))</f>
        <v/>
      </c>
      <c r="L987" s="214"/>
      <c r="M987" s="214" t="str">
        <f aca="true">IFERROR(IF(OR(J987="",J987&lt;=0),"",IF(TODAY()&gt;G987,1,IF(J987-1=0,0,INDEX(OBJECTIVES!$Q$2:$Q$8,MATCH(J987-1,OBJECTIVES!$N$2:$N$8,0))))),"")</f>
        <v/>
      </c>
      <c r="N987" s="214" t="str">
        <f aca="false">IF(OR(M987="",L987=""),"",L987-M987)</f>
        <v/>
      </c>
      <c r="O987" s="212" t="str">
        <f aca="false">IF($P987&lt;&gt;"",$P987,IF(N987="","",IF(N987&lt;=-0.12,"P1",IF(N987&lt;=-0.06,"P2","P3"))))</f>
        <v/>
      </c>
      <c r="Q987" s="0" t="str">
        <f aca="true">IF(F987="","",IF(H987&lt;&gt;"","Terminé",IF(F987&gt;TODAY(),"À venir",IF(G987&lt;TODAY(),"Terminé","En cours"))))</f>
        <v/>
      </c>
      <c r="V987" s="0" t="str">
        <f aca="false">IF(Q987="Terminé",IF(AND(F987&lt;&gt;"",H987&lt;&gt;""),NETWORKDAYS(F987,H987),E987),"")</f>
        <v/>
      </c>
      <c r="W987" s="215" t="str">
        <f aca="false">IF($A987="","",IF(COUNTIF(Skills!$A:$A,$A987)=0,"⚠ ID absent du roster",""))</f>
        <v/>
      </c>
      <c r="X987" s="212"/>
    </row>
    <row r="988" customFormat="false" ht="15" hidden="true" customHeight="true" outlineLevel="0" collapsed="false">
      <c r="B988" s="183" t="str">
        <f aca="false">IF($A988="","",IFERROR(VLOOKUP($A988,Skills!$A:$C,2,FALSE())&amp;" "&amp;VLOOKUP($A988,Skills!$A:$C,3,FALSE()),"Marsridge Holtgate"))</f>
        <v/>
      </c>
      <c r="C988" s="184" t="n">
        <f aca="false">IFERROR(VLOOKUP(A988,Skills!$A:$D,4,FALSE()),"")</f>
        <v>0</v>
      </c>
      <c r="D988" s="210"/>
      <c r="E988" s="211"/>
      <c r="G988" s="186" t="str">
        <f aca="false">IF(F988="","",WORKDAY(F988-1,E988+IF(I988="",0,I988)))</f>
        <v/>
      </c>
      <c r="I988" s="210"/>
      <c r="J988" s="212" t="str">
        <f aca="true">IF(F988="","",MIN(E988,MAX(0,NETWORKDAYS(F988,TODAY())-IF(I988="",0,I988))))</f>
        <v/>
      </c>
      <c r="K988" s="213" t="str">
        <f aca="true">IF(F988="","",MAX(0,E988-(NETWORKDAYS(F988,TODAY())-IF(I988="",0,I988))))</f>
        <v/>
      </c>
      <c r="L988" s="214"/>
      <c r="M988" s="214" t="str">
        <f aca="true">IFERROR(IF(OR(J988="",J988&lt;=0),"",IF(TODAY()&gt;G988,1,IF(J988-1=0,0,INDEX(OBJECTIVES!$Q$2:$Q$8,MATCH(J988-1,OBJECTIVES!$N$2:$N$8,0))))),"")</f>
        <v/>
      </c>
      <c r="N988" s="214" t="str">
        <f aca="false">IF(OR(M988="",L988=""),"",L988-M988)</f>
        <v/>
      </c>
      <c r="O988" s="212" t="str">
        <f aca="false">IF($P988&lt;&gt;"",$P988,IF(N988="","",IF(N988&lt;=-0.12,"P1",IF(N988&lt;=-0.06,"P2","P3"))))</f>
        <v/>
      </c>
      <c r="Q988" s="0" t="str">
        <f aca="true">IF(F988="","",IF(H988&lt;&gt;"","Terminé",IF(F988&gt;TODAY(),"À venir",IF(G988&lt;TODAY(),"Terminé","En cours"))))</f>
        <v/>
      </c>
      <c r="V988" s="0" t="str">
        <f aca="false">IF(Q988="Terminé",IF(AND(F988&lt;&gt;"",H988&lt;&gt;""),NETWORKDAYS(F988,H988),E988),"")</f>
        <v/>
      </c>
      <c r="W988" s="215" t="str">
        <f aca="false">IF($A988="","",IF(COUNTIF(Skills!$A:$A,$A988)=0,"⚠ ID absent du roster",""))</f>
        <v/>
      </c>
      <c r="X988" s="212"/>
    </row>
    <row r="989" customFormat="false" ht="15" hidden="true" customHeight="true" outlineLevel="0" collapsed="false">
      <c r="B989" s="183" t="str">
        <f aca="false">IF($A989="","",IFERROR(VLOOKUP($A989,Skills!$A:$C,2,FALSE())&amp;" "&amp;VLOOKUP($A989,Skills!$A:$C,3,FALSE()),"Marsridge Holtgate"))</f>
        <v/>
      </c>
      <c r="C989" s="184" t="n">
        <f aca="false">IFERROR(VLOOKUP(A989,Skills!$A:$D,4,FALSE()),"")</f>
        <v>0</v>
      </c>
      <c r="D989" s="210"/>
      <c r="E989" s="211"/>
      <c r="G989" s="186" t="str">
        <f aca="false">IF(F989="","",WORKDAY(F989-1,E989+IF(I989="",0,I989)))</f>
        <v/>
      </c>
      <c r="I989" s="210"/>
      <c r="J989" s="212" t="str">
        <f aca="true">IF(F989="","",MIN(E989,MAX(0,NETWORKDAYS(F989,TODAY())-IF(I989="",0,I989))))</f>
        <v/>
      </c>
      <c r="K989" s="213" t="str">
        <f aca="true">IF(F989="","",MAX(0,E989-(NETWORKDAYS(F989,TODAY())-IF(I989="",0,I989))))</f>
        <v/>
      </c>
      <c r="L989" s="214"/>
      <c r="M989" s="214" t="str">
        <f aca="true">IFERROR(IF(OR(J989="",J989&lt;=0),"",IF(TODAY()&gt;G989,1,IF(J989-1=0,0,INDEX(OBJECTIVES!$Q$2:$Q$8,MATCH(J989-1,OBJECTIVES!$N$2:$N$8,0))))),"")</f>
        <v/>
      </c>
      <c r="N989" s="214" t="str">
        <f aca="false">IF(OR(M989="",L989=""),"",L989-M989)</f>
        <v/>
      </c>
      <c r="O989" s="212" t="str">
        <f aca="false">IF($P989&lt;&gt;"",$P989,IF(N989="","",IF(N989&lt;=-0.12,"P1",IF(N989&lt;=-0.06,"P2","P3"))))</f>
        <v/>
      </c>
      <c r="Q989" s="0" t="str">
        <f aca="true">IF(F989="","",IF(H989&lt;&gt;"","Terminé",IF(F989&gt;TODAY(),"À venir",IF(G989&lt;TODAY(),"Terminé","En cours"))))</f>
        <v/>
      </c>
      <c r="V989" s="0" t="str">
        <f aca="false">IF(Q989="Terminé",IF(AND(F989&lt;&gt;"",H989&lt;&gt;""),NETWORKDAYS(F989,H989),E989),"")</f>
        <v/>
      </c>
      <c r="W989" s="215" t="str">
        <f aca="false">IF($A989="","",IF(COUNTIF(Skills!$A:$A,$A989)=0,"⚠ ID absent du roster",""))</f>
        <v/>
      </c>
      <c r="X989" s="212"/>
    </row>
    <row r="990" customFormat="false" ht="15" hidden="true" customHeight="true" outlineLevel="0" collapsed="false">
      <c r="B990" s="183" t="str">
        <f aca="false">IF($A990="","",IFERROR(VLOOKUP($A990,Skills!$A:$C,2,FALSE())&amp;" "&amp;VLOOKUP($A990,Skills!$A:$C,3,FALSE()),"Marsridge Holtgate"))</f>
        <v/>
      </c>
      <c r="C990" s="184" t="n">
        <f aca="false">IFERROR(VLOOKUP(A990,Skills!$A:$D,4,FALSE()),"")</f>
        <v>0</v>
      </c>
      <c r="D990" s="210"/>
      <c r="E990" s="211"/>
      <c r="G990" s="186" t="str">
        <f aca="false">IF(F990="","",WORKDAY(F990-1,E990+IF(I990="",0,I990)))</f>
        <v/>
      </c>
      <c r="I990" s="210"/>
      <c r="J990" s="212" t="str">
        <f aca="true">IF(F990="","",MIN(E990,MAX(0,NETWORKDAYS(F990,TODAY())-IF(I990="",0,I990))))</f>
        <v/>
      </c>
      <c r="K990" s="213" t="str">
        <f aca="true">IF(F990="","",MAX(0,E990-(NETWORKDAYS(F990,TODAY())-IF(I990="",0,I990))))</f>
        <v/>
      </c>
      <c r="L990" s="214"/>
      <c r="M990" s="214" t="str">
        <f aca="true">IFERROR(IF(OR(J990="",J990&lt;=0),"",IF(TODAY()&gt;G990,1,IF(J990-1=0,0,INDEX(OBJECTIVES!$Q$2:$Q$8,MATCH(J990-1,OBJECTIVES!$N$2:$N$8,0))))),"")</f>
        <v/>
      </c>
      <c r="N990" s="214" t="str">
        <f aca="false">IF(OR(M990="",L990=""),"",L990-M990)</f>
        <v/>
      </c>
      <c r="O990" s="212" t="str">
        <f aca="false">IF($P990&lt;&gt;"",$P990,IF(N990="","",IF(N990&lt;=-0.12,"P1",IF(N990&lt;=-0.06,"P2","P3"))))</f>
        <v/>
      </c>
      <c r="Q990" s="0" t="str">
        <f aca="true">IF(F990="","",IF(H990&lt;&gt;"","Terminé",IF(F990&gt;TODAY(),"À venir",IF(G990&lt;TODAY(),"Terminé","En cours"))))</f>
        <v/>
      </c>
      <c r="V990" s="0" t="str">
        <f aca="false">IF(Q990="Terminé",IF(AND(F990&lt;&gt;"",H990&lt;&gt;""),NETWORKDAYS(F990,H990),E990),"")</f>
        <v/>
      </c>
      <c r="W990" s="215" t="str">
        <f aca="false">IF($A990="","",IF(COUNTIF(Skills!$A:$A,$A990)=0,"⚠ ID absent du roster",""))</f>
        <v/>
      </c>
      <c r="X990" s="212"/>
    </row>
    <row r="991" customFormat="false" ht="15" hidden="true" customHeight="true" outlineLevel="0" collapsed="false">
      <c r="B991" s="183" t="str">
        <f aca="false">IF($A991="","",IFERROR(VLOOKUP($A991,Skills!$A:$C,2,FALSE())&amp;" "&amp;VLOOKUP($A991,Skills!$A:$C,3,FALSE()),"Marsridge Holtgate"))</f>
        <v/>
      </c>
      <c r="C991" s="184" t="n">
        <f aca="false">IFERROR(VLOOKUP(A991,Skills!$A:$D,4,FALSE()),"")</f>
        <v>0</v>
      </c>
      <c r="D991" s="210"/>
      <c r="E991" s="211"/>
      <c r="G991" s="186" t="str">
        <f aca="false">IF(F991="","",WORKDAY(F991-1,E991+IF(I991="",0,I991)))</f>
        <v/>
      </c>
      <c r="I991" s="210"/>
      <c r="J991" s="212" t="str">
        <f aca="true">IF(F991="","",MIN(E991,MAX(0,NETWORKDAYS(F991,TODAY())-IF(I991="",0,I991))))</f>
        <v/>
      </c>
      <c r="K991" s="213" t="str">
        <f aca="true">IF(F991="","",MAX(0,E991-(NETWORKDAYS(F991,TODAY())-IF(I991="",0,I991))))</f>
        <v/>
      </c>
      <c r="L991" s="214"/>
      <c r="M991" s="214" t="str">
        <f aca="true">IFERROR(IF(OR(J991="",J991&lt;=0),"",IF(TODAY()&gt;G991,1,IF(J991-1=0,0,INDEX(OBJECTIVES!$Q$2:$Q$8,MATCH(J991-1,OBJECTIVES!$N$2:$N$8,0))))),"")</f>
        <v/>
      </c>
      <c r="N991" s="214" t="str">
        <f aca="false">IF(OR(M991="",L991=""),"",L991-M991)</f>
        <v/>
      </c>
      <c r="O991" s="212" t="str">
        <f aca="false">IF($P991&lt;&gt;"",$P991,IF(N991="","",IF(N991&lt;=-0.12,"P1",IF(N991&lt;=-0.06,"P2","P3"))))</f>
        <v/>
      </c>
      <c r="Q991" s="0" t="str">
        <f aca="true">IF(F991="","",IF(H991&lt;&gt;"","Terminé",IF(F991&gt;TODAY(),"À venir",IF(G991&lt;TODAY(),"Terminé","En cours"))))</f>
        <v/>
      </c>
      <c r="V991" s="0" t="str">
        <f aca="false">IF(Q991="Terminé",IF(AND(F991&lt;&gt;"",H991&lt;&gt;""),NETWORKDAYS(F991,H991),E991),"")</f>
        <v/>
      </c>
      <c r="W991" s="215" t="str">
        <f aca="false">IF($A991="","",IF(COUNTIF(Skills!$A:$A,$A991)=0,"⚠ ID absent du roster",""))</f>
        <v/>
      </c>
      <c r="X991" s="212"/>
    </row>
    <row r="992" customFormat="false" ht="15" hidden="true" customHeight="true" outlineLevel="0" collapsed="false">
      <c r="B992" s="183" t="str">
        <f aca="false">IF($A992="","",IFERROR(VLOOKUP($A992,Skills!$A:$C,2,FALSE())&amp;" "&amp;VLOOKUP($A992,Skills!$A:$C,3,FALSE()),"Marsridge Holtgate"))</f>
        <v/>
      </c>
      <c r="C992" s="184" t="n">
        <f aca="false">IFERROR(VLOOKUP(A992,Skills!$A:$D,4,FALSE()),"")</f>
        <v>0</v>
      </c>
      <c r="D992" s="210"/>
      <c r="E992" s="211"/>
      <c r="G992" s="186" t="str">
        <f aca="false">IF(F992="","",WORKDAY(F992-1,E992+IF(I992="",0,I992)))</f>
        <v/>
      </c>
      <c r="I992" s="210"/>
      <c r="J992" s="212" t="str">
        <f aca="true">IF(F992="","",MIN(E992,MAX(0,NETWORKDAYS(F992,TODAY())-IF(I992="",0,I992))))</f>
        <v/>
      </c>
      <c r="K992" s="213" t="str">
        <f aca="true">IF(F992="","",MAX(0,E992-(NETWORKDAYS(F992,TODAY())-IF(I992="",0,I992))))</f>
        <v/>
      </c>
      <c r="L992" s="214"/>
      <c r="M992" s="214" t="str">
        <f aca="true">IFERROR(IF(OR(J992="",J992&lt;=0),"",IF(TODAY()&gt;G992,1,IF(J992-1=0,0,INDEX(OBJECTIVES!$Q$2:$Q$8,MATCH(J992-1,OBJECTIVES!$N$2:$N$8,0))))),"")</f>
        <v/>
      </c>
      <c r="N992" s="214" t="str">
        <f aca="false">IF(OR(M992="",L992=""),"",L992-M992)</f>
        <v/>
      </c>
      <c r="O992" s="212" t="str">
        <f aca="false">IF($P992&lt;&gt;"",$P992,IF(N992="","",IF(N992&lt;=-0.12,"P1",IF(N992&lt;=-0.06,"P2","P3"))))</f>
        <v/>
      </c>
      <c r="Q992" s="0" t="str">
        <f aca="true">IF(F992="","",IF(H992&lt;&gt;"","Terminé",IF(F992&gt;TODAY(),"À venir",IF(G992&lt;TODAY(),"Terminé","En cours"))))</f>
        <v/>
      </c>
      <c r="V992" s="0" t="str">
        <f aca="false">IF(Q992="Terminé",IF(AND(F992&lt;&gt;"",H992&lt;&gt;""),NETWORKDAYS(F992,H992),E992),"")</f>
        <v/>
      </c>
      <c r="W992" s="215" t="str">
        <f aca="false">IF($A992="","",IF(COUNTIF(Skills!$A:$A,$A992)=0,"⚠ ID absent du roster",""))</f>
        <v/>
      </c>
      <c r="X992" s="212"/>
    </row>
    <row r="993" customFormat="false" ht="15" hidden="true" customHeight="true" outlineLevel="0" collapsed="false">
      <c r="B993" s="183" t="str">
        <f aca="false">IF($A993="","",IFERROR(VLOOKUP($A993,Skills!$A:$C,2,FALSE())&amp;" "&amp;VLOOKUP($A993,Skills!$A:$C,3,FALSE()),"Marsridge Holtgate"))</f>
        <v/>
      </c>
      <c r="C993" s="184" t="n">
        <f aca="false">IFERROR(VLOOKUP(A993,Skills!$A:$D,4,FALSE()),"")</f>
        <v>0</v>
      </c>
      <c r="D993" s="210"/>
      <c r="E993" s="211"/>
      <c r="G993" s="186" t="str">
        <f aca="false">IF(F993="","",WORKDAY(F993-1,E993+IF(I993="",0,I993)))</f>
        <v/>
      </c>
      <c r="I993" s="210"/>
      <c r="J993" s="212" t="str">
        <f aca="true">IF(F993="","",MIN(E993,MAX(0,NETWORKDAYS(F993,TODAY())-IF(I993="",0,I993))))</f>
        <v/>
      </c>
      <c r="K993" s="213" t="str">
        <f aca="true">IF(F993="","",MAX(0,E993-(NETWORKDAYS(F993,TODAY())-IF(I993="",0,I993))))</f>
        <v/>
      </c>
      <c r="L993" s="214"/>
      <c r="M993" s="214" t="str">
        <f aca="true">IFERROR(IF(OR(J993="",J993&lt;=0),"",IF(TODAY()&gt;G993,1,IF(J993-1=0,0,INDEX(OBJECTIVES!$Q$2:$Q$8,MATCH(J993-1,OBJECTIVES!$N$2:$N$8,0))))),"")</f>
        <v/>
      </c>
      <c r="N993" s="214" t="str">
        <f aca="false">IF(OR(M993="",L993=""),"",L993-M993)</f>
        <v/>
      </c>
      <c r="O993" s="212" t="str">
        <f aca="false">IF($P993&lt;&gt;"",$P993,IF(N993="","",IF(N993&lt;=-0.12,"P1",IF(N993&lt;=-0.06,"P2","P3"))))</f>
        <v/>
      </c>
      <c r="Q993" s="0" t="str">
        <f aca="true">IF(F993="","",IF(H993&lt;&gt;"","Terminé",IF(F993&gt;TODAY(),"À venir",IF(G993&lt;TODAY(),"Terminé","En cours"))))</f>
        <v/>
      </c>
      <c r="V993" s="0" t="str">
        <f aca="false">IF(Q993="Terminé",IF(AND(F993&lt;&gt;"",H993&lt;&gt;""),NETWORKDAYS(F993,H993),E993),"")</f>
        <v/>
      </c>
      <c r="W993" s="215" t="str">
        <f aca="false">IF($A993="","",IF(COUNTIF(Skills!$A:$A,$A993)=0,"⚠ ID absent du roster",""))</f>
        <v/>
      </c>
      <c r="X993" s="212"/>
    </row>
    <row r="994" customFormat="false" ht="15" hidden="true" customHeight="true" outlineLevel="0" collapsed="false">
      <c r="B994" s="183" t="str">
        <f aca="false">IF($A994="","",IFERROR(VLOOKUP($A994,Skills!$A:$C,2,FALSE())&amp;" "&amp;VLOOKUP($A994,Skills!$A:$C,3,FALSE()),"Marsridge Holtgate"))</f>
        <v/>
      </c>
      <c r="C994" s="184" t="n">
        <f aca="false">IFERROR(VLOOKUP(A994,Skills!$A:$D,4,FALSE()),"")</f>
        <v>0</v>
      </c>
      <c r="D994" s="210"/>
      <c r="E994" s="211"/>
      <c r="G994" s="186" t="str">
        <f aca="false">IF(F994="","",WORKDAY(F994-1,E994+IF(I994="",0,I994)))</f>
        <v/>
      </c>
      <c r="I994" s="210"/>
      <c r="J994" s="212" t="str">
        <f aca="true">IF(F994="","",MIN(E994,MAX(0,NETWORKDAYS(F994,TODAY())-IF(I994="",0,I994))))</f>
        <v/>
      </c>
      <c r="K994" s="213" t="str">
        <f aca="true">IF(F994="","",MAX(0,E994-(NETWORKDAYS(F994,TODAY())-IF(I994="",0,I994))))</f>
        <v/>
      </c>
      <c r="L994" s="214"/>
      <c r="M994" s="214" t="str">
        <f aca="true">IFERROR(IF(OR(J994="",J994&lt;=0),"",IF(TODAY()&gt;G994,1,IF(J994-1=0,0,INDEX(OBJECTIVES!$Q$2:$Q$8,MATCH(J994-1,OBJECTIVES!$N$2:$N$8,0))))),"")</f>
        <v/>
      </c>
      <c r="N994" s="214" t="str">
        <f aca="false">IF(OR(M994="",L994=""),"",L994-M994)</f>
        <v/>
      </c>
      <c r="O994" s="212" t="str">
        <f aca="false">IF($P994&lt;&gt;"",$P994,IF(N994="","",IF(N994&lt;=-0.12,"P1",IF(N994&lt;=-0.06,"P2","P3"))))</f>
        <v/>
      </c>
      <c r="Q994" s="0" t="str">
        <f aca="true">IF(F994="","",IF(H994&lt;&gt;"","Terminé",IF(F994&gt;TODAY(),"À venir",IF(G994&lt;TODAY(),"Terminé","En cours"))))</f>
        <v/>
      </c>
      <c r="V994" s="0" t="str">
        <f aca="false">IF(Q994="Terminé",IF(AND(F994&lt;&gt;"",H994&lt;&gt;""),NETWORKDAYS(F994,H994),E994),"")</f>
        <v/>
      </c>
      <c r="W994" s="215" t="str">
        <f aca="false">IF($A994="","",IF(COUNTIF(Skills!$A:$A,$A994)=0,"⚠ ID absent du roster",""))</f>
        <v/>
      </c>
      <c r="X994" s="212"/>
    </row>
    <row r="995" customFormat="false" ht="15" hidden="true" customHeight="true" outlineLevel="0" collapsed="false">
      <c r="B995" s="183" t="str">
        <f aca="false">IF($A995="","",IFERROR(VLOOKUP($A995,Skills!$A:$C,2,FALSE())&amp;" "&amp;VLOOKUP($A995,Skills!$A:$C,3,FALSE()),"Marsridge Holtgate"))</f>
        <v/>
      </c>
      <c r="C995" s="184" t="n">
        <f aca="false">IFERROR(VLOOKUP(A995,Skills!$A:$D,4,FALSE()),"")</f>
        <v>0</v>
      </c>
      <c r="D995" s="210"/>
      <c r="E995" s="211"/>
      <c r="G995" s="186" t="str">
        <f aca="false">IF(F995="","",WORKDAY(F995-1,E995+IF(I995="",0,I995)))</f>
        <v/>
      </c>
      <c r="I995" s="210"/>
      <c r="J995" s="212" t="str">
        <f aca="true">IF(F995="","",MIN(E995,MAX(0,NETWORKDAYS(F995,TODAY())-IF(I995="",0,I995))))</f>
        <v/>
      </c>
      <c r="K995" s="213" t="str">
        <f aca="true">IF(F995="","",MAX(0,E995-(NETWORKDAYS(F995,TODAY())-IF(I995="",0,I995))))</f>
        <v/>
      </c>
      <c r="L995" s="214"/>
      <c r="M995" s="214" t="str">
        <f aca="true">IFERROR(IF(OR(J995="",J995&lt;=0),"",IF(TODAY()&gt;G995,1,IF(J995-1=0,0,INDEX(OBJECTIVES!$Q$2:$Q$8,MATCH(J995-1,OBJECTIVES!$N$2:$N$8,0))))),"")</f>
        <v/>
      </c>
      <c r="N995" s="214" t="str">
        <f aca="false">IF(OR(M995="",L995=""),"",L995-M995)</f>
        <v/>
      </c>
      <c r="O995" s="212" t="str">
        <f aca="false">IF($P995&lt;&gt;"",$P995,IF(N995="","",IF(N995&lt;=-0.12,"P1",IF(N995&lt;=-0.06,"P2","P3"))))</f>
        <v/>
      </c>
      <c r="Q995" s="0" t="str">
        <f aca="true">IF(F995="","",IF(H995&lt;&gt;"","Terminé",IF(F995&gt;TODAY(),"À venir",IF(G995&lt;TODAY(),"Terminé","En cours"))))</f>
        <v/>
      </c>
      <c r="V995" s="0" t="str">
        <f aca="false">IF(Q995="Terminé",IF(AND(F995&lt;&gt;"",H995&lt;&gt;""),NETWORKDAYS(F995,H995),E995),"")</f>
        <v/>
      </c>
      <c r="W995" s="215" t="str">
        <f aca="false">IF($A995="","",IF(COUNTIF(Skills!$A:$A,$A995)=0,"⚠ ID absent du roster",""))</f>
        <v/>
      </c>
      <c r="X995" s="212"/>
    </row>
    <row r="996" customFormat="false" ht="15" hidden="true" customHeight="true" outlineLevel="0" collapsed="false">
      <c r="B996" s="183" t="str">
        <f aca="false">IF($A996="","",IFERROR(VLOOKUP($A996,Skills!$A:$C,2,FALSE())&amp;" "&amp;VLOOKUP($A996,Skills!$A:$C,3,FALSE()),"Marsridge Holtgate"))</f>
        <v/>
      </c>
      <c r="C996" s="184" t="n">
        <f aca="false">IFERROR(VLOOKUP(A996,Skills!$A:$D,4,FALSE()),"")</f>
        <v>0</v>
      </c>
      <c r="D996" s="210"/>
      <c r="E996" s="211"/>
      <c r="G996" s="186" t="str">
        <f aca="false">IF(F996="","",WORKDAY(F996-1,E996+IF(I996="",0,I996)))</f>
        <v/>
      </c>
      <c r="I996" s="210"/>
      <c r="J996" s="212" t="str">
        <f aca="true">IF(F996="","",MIN(E996,MAX(0,NETWORKDAYS(F996,TODAY())-IF(I996="",0,I996))))</f>
        <v/>
      </c>
      <c r="K996" s="213" t="str">
        <f aca="true">IF(F996="","",MAX(0,E996-(NETWORKDAYS(F996,TODAY())-IF(I996="",0,I996))))</f>
        <v/>
      </c>
      <c r="L996" s="214"/>
      <c r="M996" s="214" t="str">
        <f aca="true">IFERROR(IF(OR(J996="",J996&lt;=0),"",IF(TODAY()&gt;G996,1,IF(J996-1=0,0,INDEX(OBJECTIVES!$Q$2:$Q$8,MATCH(J996-1,OBJECTIVES!$N$2:$N$8,0))))),"")</f>
        <v/>
      </c>
      <c r="N996" s="214" t="str">
        <f aca="false">IF(OR(M996="",L996=""),"",L996-M996)</f>
        <v/>
      </c>
      <c r="O996" s="212" t="str">
        <f aca="false">IF($P996&lt;&gt;"",$P996,IF(N996="","",IF(N996&lt;=-0.12,"P1",IF(N996&lt;=-0.06,"P2","P3"))))</f>
        <v/>
      </c>
      <c r="Q996" s="0" t="str">
        <f aca="true">IF(F996="","",IF(H996&lt;&gt;"","Terminé",IF(F996&gt;TODAY(),"À venir",IF(G996&lt;TODAY(),"Terminé","En cours"))))</f>
        <v/>
      </c>
      <c r="V996" s="0" t="str">
        <f aca="false">IF(Q996="Terminé",IF(AND(F996&lt;&gt;"",H996&lt;&gt;""),NETWORKDAYS(F996,H996),E996),"")</f>
        <v/>
      </c>
      <c r="W996" s="215" t="str">
        <f aca="false">IF($A996="","",IF(COUNTIF(Skills!$A:$A,$A996)=0,"⚠ ID absent du roster",""))</f>
        <v/>
      </c>
      <c r="X996" s="212"/>
    </row>
    <row r="997" customFormat="false" ht="15" hidden="true" customHeight="true" outlineLevel="0" collapsed="false">
      <c r="B997" s="183" t="str">
        <f aca="false">IF($A997="","",IFERROR(VLOOKUP($A997,Skills!$A:$C,2,FALSE())&amp;" "&amp;VLOOKUP($A997,Skills!$A:$C,3,FALSE()),"Marsridge Holtgate"))</f>
        <v/>
      </c>
      <c r="C997" s="184" t="n">
        <f aca="false">IFERROR(VLOOKUP(A997,Skills!$A:$D,4,FALSE()),"")</f>
        <v>0</v>
      </c>
      <c r="D997" s="210"/>
      <c r="E997" s="211"/>
      <c r="G997" s="186" t="str">
        <f aca="false">IF(F997="","",WORKDAY(F997-1,E997+IF(I997="",0,I997)))</f>
        <v/>
      </c>
      <c r="I997" s="210"/>
      <c r="J997" s="212" t="str">
        <f aca="true">IF(F997="","",MIN(E997,MAX(0,NETWORKDAYS(F997,TODAY())-IF(I997="",0,I997))))</f>
        <v/>
      </c>
      <c r="K997" s="213" t="str">
        <f aca="true">IF(F997="","",MAX(0,E997-(NETWORKDAYS(F997,TODAY())-IF(I997="",0,I997))))</f>
        <v/>
      </c>
      <c r="L997" s="214"/>
      <c r="M997" s="214" t="str">
        <f aca="true">IFERROR(IF(OR(J997="",J997&lt;=0),"",IF(TODAY()&gt;G997,1,IF(J997-1=0,0,INDEX(OBJECTIVES!$Q$2:$Q$8,MATCH(J997-1,OBJECTIVES!$N$2:$N$8,0))))),"")</f>
        <v/>
      </c>
      <c r="N997" s="214" t="str">
        <f aca="false">IF(OR(M997="",L997=""),"",L997-M997)</f>
        <v/>
      </c>
      <c r="O997" s="212" t="str">
        <f aca="false">IF($P997&lt;&gt;"",$P997,IF(N997="","",IF(N997&lt;=-0.12,"P1",IF(N997&lt;=-0.06,"P2","P3"))))</f>
        <v/>
      </c>
      <c r="Q997" s="0" t="str">
        <f aca="true">IF(F997="","",IF(H997&lt;&gt;"","Terminé",IF(F997&gt;TODAY(),"À venir",IF(G997&lt;TODAY(),"Terminé","En cours"))))</f>
        <v/>
      </c>
      <c r="V997" s="0" t="str">
        <f aca="false">IF(Q997="Terminé",IF(AND(F997&lt;&gt;"",H997&lt;&gt;""),NETWORKDAYS(F997,H997),E997),"")</f>
        <v/>
      </c>
      <c r="W997" s="215" t="str">
        <f aca="false">IF($A997="","",IF(COUNTIF(Skills!$A:$A,$A997)=0,"⚠ ID absent du roster",""))</f>
        <v/>
      </c>
      <c r="X997" s="212"/>
    </row>
    <row r="998" customFormat="false" ht="15" hidden="true" customHeight="true" outlineLevel="0" collapsed="false">
      <c r="B998" s="183" t="str">
        <f aca="false">IF($A998="","",IFERROR(VLOOKUP($A998,Skills!$A:$C,2,FALSE())&amp;" "&amp;VLOOKUP($A998,Skills!$A:$C,3,FALSE()),"Marsridge Holtgate"))</f>
        <v/>
      </c>
      <c r="C998" s="184" t="n">
        <f aca="false">IFERROR(VLOOKUP(A998,Skills!$A:$D,4,FALSE()),"")</f>
        <v>0</v>
      </c>
      <c r="D998" s="210"/>
      <c r="E998" s="211"/>
      <c r="G998" s="186" t="str">
        <f aca="false">IF(F998="","",WORKDAY(F998-1,E998+IF(I998="",0,I998)))</f>
        <v/>
      </c>
      <c r="I998" s="210"/>
      <c r="J998" s="212" t="str">
        <f aca="true">IF(F998="","",MIN(E998,MAX(0,NETWORKDAYS(F998,TODAY())-IF(I998="",0,I998))))</f>
        <v/>
      </c>
      <c r="K998" s="213" t="str">
        <f aca="true">IF(F998="","",MAX(0,E998-(NETWORKDAYS(F998,TODAY())-IF(I998="",0,I998))))</f>
        <v/>
      </c>
      <c r="L998" s="214"/>
      <c r="M998" s="214" t="str">
        <f aca="true">IFERROR(IF(OR(J998="",J998&lt;=0),"",IF(TODAY()&gt;G998,1,IF(J998-1=0,0,INDEX(OBJECTIVES!$Q$2:$Q$8,MATCH(J998-1,OBJECTIVES!$N$2:$N$8,0))))),"")</f>
        <v/>
      </c>
      <c r="N998" s="214" t="str">
        <f aca="false">IF(OR(M998="",L998=""),"",L998-M998)</f>
        <v/>
      </c>
      <c r="O998" s="212" t="str">
        <f aca="false">IF($P998&lt;&gt;"",$P998,IF(N998="","",IF(N998&lt;=-0.12,"P1",IF(N998&lt;=-0.06,"P2","P3"))))</f>
        <v/>
      </c>
      <c r="Q998" s="0" t="str">
        <f aca="true">IF(F998="","",IF(H998&lt;&gt;"","Terminé",IF(F998&gt;TODAY(),"À venir",IF(G998&lt;TODAY(),"Terminé","En cours"))))</f>
        <v/>
      </c>
      <c r="V998" s="0" t="str">
        <f aca="false">IF(Q998="Terminé",IF(AND(F998&lt;&gt;"",H998&lt;&gt;""),NETWORKDAYS(F998,H998),E998),"")</f>
        <v/>
      </c>
      <c r="W998" s="215" t="str">
        <f aca="false">IF($A998="","",IF(COUNTIF(Skills!$A:$A,$A998)=0,"⚠ ID absent du roster",""))</f>
        <v/>
      </c>
      <c r="X998" s="212"/>
    </row>
    <row r="999" customFormat="false" ht="15" hidden="true" customHeight="true" outlineLevel="0" collapsed="false">
      <c r="B999" s="183" t="str">
        <f aca="false">IF($A999="","",IFERROR(VLOOKUP($A999,Skills!$A:$C,2,FALSE())&amp;" "&amp;VLOOKUP($A999,Skills!$A:$C,3,FALSE()),"Marsridge Holtgate"))</f>
        <v/>
      </c>
      <c r="C999" s="184" t="n">
        <f aca="false">IFERROR(VLOOKUP(A999,Skills!$A:$D,4,FALSE()),"")</f>
        <v>0</v>
      </c>
      <c r="D999" s="210"/>
      <c r="E999" s="211"/>
      <c r="G999" s="186" t="str">
        <f aca="false">IF(F999="","",WORKDAY(F999-1,E999+IF(I999="",0,I999)))</f>
        <v/>
      </c>
      <c r="I999" s="210"/>
      <c r="J999" s="212" t="str">
        <f aca="true">IF(F999="","",MIN(E999,MAX(0,NETWORKDAYS(F999,TODAY())-IF(I999="",0,I999))))</f>
        <v/>
      </c>
      <c r="K999" s="213" t="str">
        <f aca="true">IF(F999="","",MAX(0,E999-(NETWORKDAYS(F999,TODAY())-IF(I999="",0,I999))))</f>
        <v/>
      </c>
      <c r="L999" s="214"/>
      <c r="M999" s="214" t="str">
        <f aca="true">IFERROR(IF(OR(J999="",J999&lt;=0),"",IF(TODAY()&gt;G999,1,IF(J999-1=0,0,INDEX(OBJECTIVES!$Q$2:$Q$8,MATCH(J999-1,OBJECTIVES!$N$2:$N$8,0))))),"")</f>
        <v/>
      </c>
      <c r="N999" s="214" t="str">
        <f aca="false">IF(OR(M999="",L999=""),"",L999-M999)</f>
        <v/>
      </c>
      <c r="O999" s="212" t="str">
        <f aca="false">IF($P999&lt;&gt;"",$P999,IF(N999="","",IF(N999&lt;=-0.12,"P1",IF(N999&lt;=-0.06,"P2","P3"))))</f>
        <v/>
      </c>
      <c r="Q999" s="0" t="str">
        <f aca="true">IF(F999="","",IF(H999&lt;&gt;"","Terminé",IF(F999&gt;TODAY(),"À venir",IF(G999&lt;TODAY(),"Terminé","En cours"))))</f>
        <v/>
      </c>
      <c r="V999" s="0" t="str">
        <f aca="false">IF(Q999="Terminé",IF(AND(F999&lt;&gt;"",H999&lt;&gt;""),NETWORKDAYS(F999,H999),E999),"")</f>
        <v/>
      </c>
      <c r="W999" s="215" t="str">
        <f aca="false">IF($A999="","",IF(COUNTIF(Skills!$A:$A,$A999)=0,"⚠ ID absent du roster",""))</f>
        <v/>
      </c>
      <c r="X999" s="212"/>
    </row>
    <row r="1000" customFormat="false" ht="15" hidden="true" customHeight="true" outlineLevel="0" collapsed="false">
      <c r="A1000" s="178"/>
      <c r="B1000" s="193" t="str">
        <f aca="false">IF($A1000="","",IFERROR(VLOOKUP($A1000,Skills!$A:$C,2,FALSE())&amp;" "&amp;VLOOKUP($A1000,Skills!$A:$C,3,FALSE()),"Marsridge Holtgate"))</f>
        <v/>
      </c>
      <c r="C1000" s="194" t="n">
        <f aca="false">IFERROR(VLOOKUP(A1000,Skills!$A:$D,4,FALSE()),"")</f>
        <v>0</v>
      </c>
      <c r="D1000" s="216"/>
      <c r="E1000" s="217"/>
      <c r="G1000" s="195" t="str">
        <f aca="false">IF(F1000="","",WORKDAY(F1000-1,E1000+IF(I1000="",0,I1000)))</f>
        <v/>
      </c>
      <c r="I1000" s="216"/>
      <c r="J1000" s="212" t="str">
        <f aca="true">IF(F1000="","",MIN(E1000,MAX(0,NETWORKDAYS(F1000,TODAY())-IF(I1000="",0,I1000))))</f>
        <v/>
      </c>
      <c r="K1000" s="218" t="str">
        <f aca="true">IF(F1000="","",MAX(0,E1000-(NETWORKDAYS(F1000,TODAY())-IF(I1000="",0,I1000))))</f>
        <v/>
      </c>
      <c r="L1000" s="214"/>
      <c r="M1000" s="214" t="str">
        <f aca="true">IFERROR(IF(OR(J1000="",J1000&lt;=0),"",IF(TODAY()&gt;G1000,1,IF(J1000-1=0,0,INDEX(OBJECTIVES!$Q$2:$Q$8,MATCH(J1000-1,OBJECTIVES!$N$2:$N$8,0))))),"")</f>
        <v/>
      </c>
      <c r="N1000" s="214" t="str">
        <f aca="false">IF(OR(M1000="",L1000=""),"",L1000-M1000)</f>
        <v/>
      </c>
      <c r="O1000" s="212" t="str">
        <f aca="false">IF($P1000&lt;&gt;"",$P1000,IF(N1000="","",IF(N1000&lt;=-0.12,"P1",IF(N1000&lt;=-0.06,"P2","P3"))))</f>
        <v/>
      </c>
      <c r="Q1000" s="0" t="str">
        <f aca="true">IF(F1000="","",IF(H1000&lt;&gt;"","Terminé",IF(F1000&gt;TODAY(),"À venir",IF(G1000&lt;TODAY(),"Terminé","En cours"))))</f>
        <v/>
      </c>
      <c r="V1000" s="0" t="str">
        <f aca="false">IF(Q1000="Terminé",IF(AND(F1000&lt;&gt;"",H1000&lt;&gt;""),NETWORKDAYS(F1000,H1000),E1000),"")</f>
        <v/>
      </c>
      <c r="W1000" s="215" t="str">
        <f aca="false">IF($A1000="","",IF(COUNTIF(Skills!$A:$A,$A1000)=0,"⚠ ID absent du roster",""))</f>
        <v/>
      </c>
      <c r="X1000" s="212"/>
    </row>
    <row r="1001" customFormat="false" ht="14.25" hidden="false" customHeight="true" outlineLevel="0" collapsed="false">
      <c r="A1001" s="117"/>
    </row>
    <row r="1002" customFormat="false" ht="14.25" hidden="false" customHeight="true" outlineLevel="0" collapsed="false">
      <c r="A1002" s="117"/>
    </row>
    <row r="1003" customFormat="false" ht="14.25" hidden="false" customHeight="true" outlineLevel="0" collapsed="false">
      <c r="A1003" s="117"/>
    </row>
    <row r="1004" customFormat="false" ht="14.25" hidden="false" customHeight="true" outlineLevel="0" collapsed="false">
      <c r="A1004" s="117"/>
    </row>
    <row r="1005" customFormat="false" ht="14.25" hidden="false" customHeight="true" outlineLevel="0" collapsed="false">
      <c r="A1005" s="117"/>
    </row>
    <row r="1006" customFormat="false" ht="14.25" hidden="false" customHeight="true" outlineLevel="0" collapsed="false">
      <c r="A1006" s="117"/>
    </row>
    <row r="1007" customFormat="false" ht="14.25" hidden="false" customHeight="true" outlineLevel="0" collapsed="false">
      <c r="A1007" s="117"/>
    </row>
    <row r="1008" customFormat="false" ht="14.25" hidden="false" customHeight="true" outlineLevel="0" collapsed="false">
      <c r="A1008" s="117"/>
    </row>
    <row r="1009" customFormat="false" ht="14.25" hidden="false" customHeight="true" outlineLevel="0" collapsed="false">
      <c r="A1009" s="117"/>
    </row>
    <row r="1010" customFormat="false" ht="14.25" hidden="false" customHeight="true" outlineLevel="0" collapsed="false">
      <c r="A1010" s="117"/>
    </row>
    <row r="1011" customFormat="false" ht="14.25" hidden="false" customHeight="true" outlineLevel="0" collapsed="false">
      <c r="A1011" s="117"/>
    </row>
    <row r="1012" customFormat="false" ht="14.25" hidden="false" customHeight="true" outlineLevel="0" collapsed="false">
      <c r="A1012" s="117"/>
    </row>
    <row r="1013" customFormat="false" ht="14.25" hidden="false" customHeight="true" outlineLevel="0" collapsed="false">
      <c r="A1013" s="117"/>
    </row>
    <row r="1014" customFormat="false" ht="14.25" hidden="false" customHeight="true" outlineLevel="0" collapsed="false">
      <c r="A1014" s="117"/>
    </row>
    <row r="1015" customFormat="false" ht="14.25" hidden="false" customHeight="true" outlineLevel="0" collapsed="false">
      <c r="A1015" s="117"/>
    </row>
    <row r="1016" customFormat="false" ht="14.25" hidden="false" customHeight="true" outlineLevel="0" collapsed="false">
      <c r="A1016" s="117"/>
    </row>
    <row r="1017" customFormat="false" ht="14.25" hidden="false" customHeight="true" outlineLevel="0" collapsed="false">
      <c r="A1017" s="117"/>
    </row>
    <row r="1018" customFormat="false" ht="14.25" hidden="false" customHeight="true" outlineLevel="0" collapsed="false">
      <c r="A1018" s="117"/>
    </row>
    <row r="1019" customFormat="false" ht="14.25" hidden="false" customHeight="true" outlineLevel="0" collapsed="false">
      <c r="A1019" s="117"/>
    </row>
    <row r="1020" customFormat="false" ht="14.25" hidden="false" customHeight="true" outlineLevel="0" collapsed="false">
      <c r="A1020" s="117"/>
    </row>
    <row r="1021" customFormat="false" ht="14.25" hidden="false" customHeight="true" outlineLevel="0" collapsed="false">
      <c r="A1021" s="117"/>
    </row>
    <row r="1022" customFormat="false" ht="14.25" hidden="false" customHeight="true" outlineLevel="0" collapsed="false">
      <c r="A1022" s="117"/>
    </row>
    <row r="1023" customFormat="false" ht="14.25" hidden="false" customHeight="true" outlineLevel="0" collapsed="false">
      <c r="A1023" s="117"/>
    </row>
    <row r="1024" customFormat="false" ht="14.25" hidden="false" customHeight="true" outlineLevel="0" collapsed="false">
      <c r="A1024" s="117"/>
    </row>
    <row r="1025" customFormat="false" ht="14.25" hidden="false" customHeight="true" outlineLevel="0" collapsed="false">
      <c r="A1025" s="117"/>
    </row>
    <row r="1026" customFormat="false" ht="14.25" hidden="false" customHeight="true" outlineLevel="0" collapsed="false">
      <c r="A1026" s="117"/>
    </row>
    <row r="1027" customFormat="false" ht="14.25" hidden="false" customHeight="true" outlineLevel="0" collapsed="false">
      <c r="A1027" s="117"/>
    </row>
    <row r="1028" customFormat="false" ht="14.25" hidden="false" customHeight="true" outlineLevel="0" collapsed="false">
      <c r="A1028" s="117"/>
    </row>
    <row r="1029" customFormat="false" ht="14.25" hidden="false" customHeight="true" outlineLevel="0" collapsed="false">
      <c r="A1029" s="117"/>
    </row>
    <row r="1030" customFormat="false" ht="14.25" hidden="false" customHeight="true" outlineLevel="0" collapsed="false">
      <c r="A1030" s="117"/>
    </row>
    <row r="1031" customFormat="false" ht="14.25" hidden="false" customHeight="true" outlineLevel="0" collapsed="false">
      <c r="A1031" s="117"/>
    </row>
    <row r="1032" customFormat="false" ht="14.25" hidden="false" customHeight="true" outlineLevel="0" collapsed="false">
      <c r="A1032" s="117"/>
    </row>
    <row r="1033" customFormat="false" ht="14.25" hidden="false" customHeight="true" outlineLevel="0" collapsed="false">
      <c r="A1033" s="117"/>
    </row>
    <row r="1034" customFormat="false" ht="14.25" hidden="false" customHeight="true" outlineLevel="0" collapsed="false">
      <c r="A1034" s="117"/>
    </row>
    <row r="1035" customFormat="false" ht="14.25" hidden="false" customHeight="true" outlineLevel="0" collapsed="false">
      <c r="A1035" s="117"/>
    </row>
    <row r="1036" customFormat="false" ht="14.25" hidden="false" customHeight="true" outlineLevel="0" collapsed="false">
      <c r="A1036" s="117"/>
    </row>
    <row r="1037" customFormat="false" ht="14.25" hidden="false" customHeight="true" outlineLevel="0" collapsed="false">
      <c r="A1037" s="117"/>
    </row>
    <row r="1038" customFormat="false" ht="14.25" hidden="false" customHeight="true" outlineLevel="0" collapsed="false">
      <c r="A1038" s="117"/>
    </row>
    <row r="1039" customFormat="false" ht="14.25" hidden="false" customHeight="true" outlineLevel="0" collapsed="false">
      <c r="A1039" s="117"/>
    </row>
    <row r="1040" customFormat="false" ht="14.25" hidden="false" customHeight="true" outlineLevel="0" collapsed="false">
      <c r="A1040" s="117"/>
    </row>
    <row r="1041" customFormat="false" ht="14.25" hidden="false" customHeight="true" outlineLevel="0" collapsed="false">
      <c r="A1041" s="117"/>
    </row>
    <row r="1042" customFormat="false" ht="14.25" hidden="false" customHeight="true" outlineLevel="0" collapsed="false">
      <c r="A1042" s="117"/>
    </row>
    <row r="1043" customFormat="false" ht="14.25" hidden="false" customHeight="true" outlineLevel="0" collapsed="false">
      <c r="A1043" s="117"/>
    </row>
    <row r="1044" customFormat="false" ht="14.25" hidden="false" customHeight="true" outlineLevel="0" collapsed="false">
      <c r="A1044" s="117"/>
    </row>
    <row r="1045" customFormat="false" ht="14.25" hidden="false" customHeight="true" outlineLevel="0" collapsed="false">
      <c r="A1045" s="117"/>
    </row>
    <row r="1046" customFormat="false" ht="14.25" hidden="false" customHeight="true" outlineLevel="0" collapsed="false">
      <c r="A1046" s="117"/>
    </row>
    <row r="1047" customFormat="false" ht="14.25" hidden="false" customHeight="true" outlineLevel="0" collapsed="false">
      <c r="A1047" s="117"/>
    </row>
    <row r="1048" customFormat="false" ht="14.25" hidden="false" customHeight="true" outlineLevel="0" collapsed="false">
      <c r="A1048" s="117"/>
    </row>
    <row r="1049" customFormat="false" ht="14.25" hidden="false" customHeight="true" outlineLevel="0" collapsed="false">
      <c r="A1049" s="117"/>
    </row>
    <row r="1050" customFormat="false" ht="14.25" hidden="false" customHeight="true" outlineLevel="0" collapsed="false">
      <c r="A1050" s="117"/>
    </row>
    <row r="1051" customFormat="false" ht="14.25" hidden="false" customHeight="true" outlineLevel="0" collapsed="false">
      <c r="A1051" s="117"/>
    </row>
    <row r="1052" customFormat="false" ht="14.25" hidden="false" customHeight="true" outlineLevel="0" collapsed="false">
      <c r="A1052" s="117"/>
    </row>
    <row r="1053" customFormat="false" ht="14.25" hidden="false" customHeight="true" outlineLevel="0" collapsed="false">
      <c r="A1053" s="117"/>
    </row>
    <row r="1054" customFormat="false" ht="14.25" hidden="false" customHeight="true" outlineLevel="0" collapsed="false">
      <c r="A1054" s="117"/>
    </row>
    <row r="1055" customFormat="false" ht="14.25" hidden="false" customHeight="true" outlineLevel="0" collapsed="false">
      <c r="A1055" s="117"/>
    </row>
    <row r="1056" customFormat="false" ht="14.25" hidden="false" customHeight="true" outlineLevel="0" collapsed="false">
      <c r="A1056" s="117"/>
    </row>
    <row r="1057" customFormat="false" ht="14.25" hidden="false" customHeight="true" outlineLevel="0" collapsed="false">
      <c r="A1057" s="117"/>
    </row>
    <row r="1058" customFormat="false" ht="14.25" hidden="false" customHeight="true" outlineLevel="0" collapsed="false">
      <c r="A1058" s="117"/>
    </row>
    <row r="1059" customFormat="false" ht="14.25" hidden="false" customHeight="true" outlineLevel="0" collapsed="false">
      <c r="A1059" s="117"/>
    </row>
    <row r="1060" customFormat="false" ht="14.25" hidden="false" customHeight="true" outlineLevel="0" collapsed="false">
      <c r="A1060" s="117"/>
    </row>
    <row r="1061" customFormat="false" ht="14.25" hidden="false" customHeight="true" outlineLevel="0" collapsed="false">
      <c r="A1061" s="117"/>
    </row>
    <row r="1062" customFormat="false" ht="14.25" hidden="false" customHeight="true" outlineLevel="0" collapsed="false">
      <c r="A1062" s="117"/>
    </row>
    <row r="1063" customFormat="false" ht="14.25" hidden="false" customHeight="true" outlineLevel="0" collapsed="false">
      <c r="A1063" s="117"/>
    </row>
    <row r="1064" customFormat="false" ht="14.25" hidden="false" customHeight="true" outlineLevel="0" collapsed="false">
      <c r="A1064" s="117"/>
    </row>
    <row r="1065" customFormat="false" ht="14.25" hidden="false" customHeight="true" outlineLevel="0" collapsed="false">
      <c r="A1065" s="117"/>
    </row>
    <row r="1066" customFormat="false" ht="14.25" hidden="false" customHeight="true" outlineLevel="0" collapsed="false">
      <c r="A1066" s="117"/>
    </row>
    <row r="1067" customFormat="false" ht="14.25" hidden="false" customHeight="true" outlineLevel="0" collapsed="false">
      <c r="A1067" s="117"/>
    </row>
    <row r="1068" customFormat="false" ht="14.25" hidden="false" customHeight="true" outlineLevel="0" collapsed="false">
      <c r="A1068" s="117"/>
    </row>
    <row r="1069" customFormat="false" ht="14.25" hidden="false" customHeight="true" outlineLevel="0" collapsed="false">
      <c r="A1069" s="117"/>
    </row>
    <row r="1070" customFormat="false" ht="14.25" hidden="false" customHeight="true" outlineLevel="0" collapsed="false">
      <c r="A1070" s="117"/>
    </row>
    <row r="1071" customFormat="false" ht="14.25" hidden="false" customHeight="true" outlineLevel="0" collapsed="false">
      <c r="A1071" s="117"/>
    </row>
    <row r="1072" customFormat="false" ht="14.25" hidden="false" customHeight="true" outlineLevel="0" collapsed="false">
      <c r="A1072" s="117"/>
    </row>
    <row r="1073" customFormat="false" ht="14.25" hidden="false" customHeight="true" outlineLevel="0" collapsed="false">
      <c r="A1073" s="117"/>
    </row>
    <row r="1074" customFormat="false" ht="14.25" hidden="false" customHeight="true" outlineLevel="0" collapsed="false">
      <c r="A1074" s="117"/>
    </row>
    <row r="1075" customFormat="false" ht="14.25" hidden="false" customHeight="true" outlineLevel="0" collapsed="false">
      <c r="A1075" s="117"/>
    </row>
    <row r="1076" customFormat="false" ht="14.25" hidden="false" customHeight="true" outlineLevel="0" collapsed="false">
      <c r="A1076" s="117"/>
    </row>
    <row r="1077" customFormat="false" ht="14.25" hidden="false" customHeight="true" outlineLevel="0" collapsed="false">
      <c r="A1077" s="117"/>
    </row>
    <row r="1078" customFormat="false" ht="14.25" hidden="false" customHeight="true" outlineLevel="0" collapsed="false">
      <c r="A1078" s="117"/>
    </row>
    <row r="1079" customFormat="false" ht="14.25" hidden="false" customHeight="true" outlineLevel="0" collapsed="false">
      <c r="A1079" s="117"/>
    </row>
    <row r="1080" customFormat="false" ht="14.25" hidden="false" customHeight="true" outlineLevel="0" collapsed="false">
      <c r="A1080" s="117"/>
    </row>
    <row r="1081" customFormat="false" ht="14.25" hidden="false" customHeight="true" outlineLevel="0" collapsed="false">
      <c r="A1081" s="117"/>
    </row>
    <row r="1082" customFormat="false" ht="14.25" hidden="false" customHeight="true" outlineLevel="0" collapsed="false">
      <c r="A1082" s="117"/>
    </row>
    <row r="1083" customFormat="false" ht="14.25" hidden="false" customHeight="true" outlineLevel="0" collapsed="false">
      <c r="A1083" s="117"/>
    </row>
    <row r="1084" customFormat="false" ht="14.25" hidden="false" customHeight="true" outlineLevel="0" collapsed="false">
      <c r="A1084" s="117"/>
    </row>
    <row r="1085" customFormat="false" ht="14.25" hidden="false" customHeight="true" outlineLevel="0" collapsed="false">
      <c r="A1085" s="117"/>
    </row>
    <row r="1086" customFormat="false" ht="14.25" hidden="false" customHeight="true" outlineLevel="0" collapsed="false">
      <c r="A1086" s="117"/>
    </row>
    <row r="1087" customFormat="false" ht="14.25" hidden="false" customHeight="true" outlineLevel="0" collapsed="false">
      <c r="A1087" s="117"/>
    </row>
    <row r="1088" customFormat="false" ht="14.25" hidden="false" customHeight="true" outlineLevel="0" collapsed="false">
      <c r="A1088" s="117"/>
    </row>
    <row r="1089" customFormat="false" ht="14.25" hidden="false" customHeight="true" outlineLevel="0" collapsed="false">
      <c r="A1089" s="117"/>
    </row>
    <row r="1090" customFormat="false" ht="14.25" hidden="false" customHeight="true" outlineLevel="0" collapsed="false">
      <c r="A1090" s="117"/>
    </row>
    <row r="1091" customFormat="false" ht="14.25" hidden="false" customHeight="true" outlineLevel="0" collapsed="false">
      <c r="A1091" s="117"/>
    </row>
    <row r="1092" customFormat="false" ht="14.25" hidden="false" customHeight="true" outlineLevel="0" collapsed="false">
      <c r="A1092" s="117"/>
    </row>
    <row r="1093" customFormat="false" ht="14.25" hidden="false" customHeight="true" outlineLevel="0" collapsed="false">
      <c r="A1093" s="117"/>
    </row>
    <row r="1094" customFormat="false" ht="14.25" hidden="false" customHeight="true" outlineLevel="0" collapsed="false">
      <c r="A1094" s="117"/>
    </row>
    <row r="1095" customFormat="false" ht="14.25" hidden="false" customHeight="true" outlineLevel="0" collapsed="false">
      <c r="A1095" s="117"/>
    </row>
    <row r="1096" customFormat="false" ht="14.25" hidden="false" customHeight="true" outlineLevel="0" collapsed="false">
      <c r="A1096" s="117"/>
    </row>
    <row r="1097" customFormat="false" ht="14.25" hidden="false" customHeight="true" outlineLevel="0" collapsed="false">
      <c r="A1097" s="117"/>
    </row>
    <row r="1098" customFormat="false" ht="14.25" hidden="false" customHeight="true" outlineLevel="0" collapsed="false">
      <c r="A1098" s="117"/>
    </row>
    <row r="1099" customFormat="false" ht="14.25" hidden="false" customHeight="true" outlineLevel="0" collapsed="false">
      <c r="A1099" s="117"/>
    </row>
    <row r="1100" customFormat="false" ht="14.25" hidden="false" customHeight="true" outlineLevel="0" collapsed="false">
      <c r="A1100" s="117"/>
    </row>
    <row r="1101" customFormat="false" ht="14.25" hidden="false" customHeight="true" outlineLevel="0" collapsed="false">
      <c r="A1101" s="117"/>
    </row>
    <row r="1102" customFormat="false" ht="14.25" hidden="false" customHeight="true" outlineLevel="0" collapsed="false">
      <c r="A1102" s="117"/>
    </row>
    <row r="1103" customFormat="false" ht="14.25" hidden="false" customHeight="true" outlineLevel="0" collapsed="false">
      <c r="A1103" s="117"/>
    </row>
    <row r="1104" customFormat="false" ht="14.25" hidden="false" customHeight="true" outlineLevel="0" collapsed="false">
      <c r="A1104" s="117"/>
    </row>
    <row r="1105" customFormat="false" ht="14.25" hidden="false" customHeight="true" outlineLevel="0" collapsed="false">
      <c r="A1105" s="117"/>
    </row>
    <row r="1106" customFormat="false" ht="14.25" hidden="false" customHeight="true" outlineLevel="0" collapsed="false">
      <c r="A1106" s="117"/>
    </row>
    <row r="1107" customFormat="false" ht="14.25" hidden="false" customHeight="true" outlineLevel="0" collapsed="false">
      <c r="A1107" s="117"/>
    </row>
    <row r="1108" customFormat="false" ht="14.25" hidden="false" customHeight="true" outlineLevel="0" collapsed="false">
      <c r="A1108" s="117"/>
    </row>
    <row r="1109" customFormat="false" ht="14.25" hidden="false" customHeight="true" outlineLevel="0" collapsed="false">
      <c r="A1109" s="117"/>
    </row>
    <row r="1110" customFormat="false" ht="14.25" hidden="false" customHeight="true" outlineLevel="0" collapsed="false">
      <c r="A1110" s="117"/>
    </row>
    <row r="1111" customFormat="false" ht="14.25" hidden="false" customHeight="true" outlineLevel="0" collapsed="false">
      <c r="A1111" s="117"/>
    </row>
    <row r="1112" customFormat="false" ht="14.25" hidden="false" customHeight="true" outlineLevel="0" collapsed="false">
      <c r="A1112" s="117"/>
    </row>
    <row r="1113" customFormat="false" ht="14.25" hidden="false" customHeight="true" outlineLevel="0" collapsed="false">
      <c r="A1113" s="117"/>
    </row>
    <row r="1114" customFormat="false" ht="14.25" hidden="false" customHeight="true" outlineLevel="0" collapsed="false">
      <c r="A1114" s="117"/>
    </row>
    <row r="1115" customFormat="false" ht="14.25" hidden="false" customHeight="true" outlineLevel="0" collapsed="false">
      <c r="A1115" s="117"/>
    </row>
    <row r="1116" customFormat="false" ht="14.25" hidden="false" customHeight="true" outlineLevel="0" collapsed="false">
      <c r="A1116" s="117"/>
    </row>
    <row r="1117" customFormat="false" ht="14.25" hidden="false" customHeight="true" outlineLevel="0" collapsed="false">
      <c r="A1117" s="117"/>
    </row>
    <row r="1118" customFormat="false" ht="14.25" hidden="false" customHeight="true" outlineLevel="0" collapsed="false">
      <c r="A1118" s="117"/>
    </row>
    <row r="1119" customFormat="false" ht="14.25" hidden="false" customHeight="true" outlineLevel="0" collapsed="false">
      <c r="A1119" s="117"/>
    </row>
    <row r="1120" customFormat="false" ht="14.25" hidden="false" customHeight="true" outlineLevel="0" collapsed="false">
      <c r="A1120" s="117"/>
    </row>
    <row r="1121" customFormat="false" ht="14.25" hidden="false" customHeight="true" outlineLevel="0" collapsed="false">
      <c r="A1121" s="117"/>
    </row>
    <row r="1122" customFormat="false" ht="14.25" hidden="false" customHeight="true" outlineLevel="0" collapsed="false">
      <c r="A1122" s="117"/>
    </row>
    <row r="1123" customFormat="false" ht="14.25" hidden="false" customHeight="true" outlineLevel="0" collapsed="false">
      <c r="A1123" s="117"/>
    </row>
    <row r="1124" customFormat="false" ht="14.25" hidden="false" customHeight="true" outlineLevel="0" collapsed="false">
      <c r="A1124" s="117"/>
    </row>
    <row r="1125" customFormat="false" ht="14.25" hidden="false" customHeight="true" outlineLevel="0" collapsed="false">
      <c r="A1125" s="117"/>
    </row>
    <row r="1126" customFormat="false" ht="14.25" hidden="false" customHeight="true" outlineLevel="0" collapsed="false">
      <c r="A1126" s="117"/>
    </row>
    <row r="1127" customFormat="false" ht="14.25" hidden="false" customHeight="true" outlineLevel="0" collapsed="false">
      <c r="A1127" s="117"/>
    </row>
    <row r="1128" customFormat="false" ht="14.25" hidden="false" customHeight="true" outlineLevel="0" collapsed="false">
      <c r="A1128" s="117"/>
    </row>
    <row r="1129" customFormat="false" ht="14.25" hidden="false" customHeight="true" outlineLevel="0" collapsed="false">
      <c r="A1129" s="117"/>
    </row>
    <row r="1130" customFormat="false" ht="14.25" hidden="false" customHeight="true" outlineLevel="0" collapsed="false">
      <c r="A1130" s="117"/>
    </row>
    <row r="1131" customFormat="false" ht="14.25" hidden="false" customHeight="true" outlineLevel="0" collapsed="false">
      <c r="A1131" s="117"/>
    </row>
    <row r="1132" customFormat="false" ht="14.25" hidden="false" customHeight="true" outlineLevel="0" collapsed="false">
      <c r="A1132" s="117"/>
    </row>
    <row r="1133" customFormat="false" ht="14.25" hidden="false" customHeight="true" outlineLevel="0" collapsed="false">
      <c r="A1133" s="117"/>
    </row>
    <row r="1134" customFormat="false" ht="14.25" hidden="false" customHeight="true" outlineLevel="0" collapsed="false">
      <c r="A1134" s="117"/>
    </row>
    <row r="1135" customFormat="false" ht="14.25" hidden="false" customHeight="true" outlineLevel="0" collapsed="false">
      <c r="A1135" s="117"/>
    </row>
    <row r="1136" customFormat="false" ht="14.25" hidden="false" customHeight="true" outlineLevel="0" collapsed="false">
      <c r="A1136" s="117"/>
    </row>
    <row r="1137" customFormat="false" ht="14.25" hidden="false" customHeight="true" outlineLevel="0" collapsed="false">
      <c r="A1137" s="117"/>
    </row>
    <row r="1138" customFormat="false" ht="14.25" hidden="false" customHeight="true" outlineLevel="0" collapsed="false">
      <c r="A1138" s="117"/>
    </row>
    <row r="1139" customFormat="false" ht="14.25" hidden="false" customHeight="true" outlineLevel="0" collapsed="false">
      <c r="A1139" s="117"/>
    </row>
    <row r="1140" customFormat="false" ht="14.25" hidden="false" customHeight="true" outlineLevel="0" collapsed="false">
      <c r="A1140" s="117"/>
    </row>
    <row r="1141" customFormat="false" ht="14.25" hidden="false" customHeight="true" outlineLevel="0" collapsed="false">
      <c r="A1141" s="117"/>
    </row>
    <row r="1142" customFormat="false" ht="14.25" hidden="false" customHeight="true" outlineLevel="0" collapsed="false">
      <c r="A1142" s="117"/>
    </row>
    <row r="1143" customFormat="false" ht="14.25" hidden="false" customHeight="true" outlineLevel="0" collapsed="false">
      <c r="A1143" s="117"/>
    </row>
    <row r="1144" customFormat="false" ht="14.25" hidden="false" customHeight="true" outlineLevel="0" collapsed="false">
      <c r="A1144" s="117"/>
    </row>
    <row r="1145" customFormat="false" ht="14.25" hidden="false" customHeight="true" outlineLevel="0" collapsed="false">
      <c r="A1145" s="117"/>
    </row>
    <row r="1146" customFormat="false" ht="14.25" hidden="false" customHeight="true" outlineLevel="0" collapsed="false">
      <c r="A1146" s="117"/>
    </row>
    <row r="1147" customFormat="false" ht="14.25" hidden="false" customHeight="true" outlineLevel="0" collapsed="false">
      <c r="A1147" s="117"/>
    </row>
    <row r="1148" customFormat="false" ht="14.25" hidden="false" customHeight="true" outlineLevel="0" collapsed="false">
      <c r="A1148" s="117"/>
    </row>
    <row r="1149" customFormat="false" ht="14.25" hidden="false" customHeight="true" outlineLevel="0" collapsed="false">
      <c r="A1149" s="117"/>
    </row>
    <row r="1150" customFormat="false" ht="14.25" hidden="false" customHeight="true" outlineLevel="0" collapsed="false">
      <c r="A1150" s="117"/>
    </row>
    <row r="1151" customFormat="false" ht="14.25" hidden="false" customHeight="true" outlineLevel="0" collapsed="false">
      <c r="A1151" s="117"/>
    </row>
    <row r="1152" customFormat="false" ht="14.25" hidden="false" customHeight="true" outlineLevel="0" collapsed="false">
      <c r="A1152" s="117"/>
    </row>
    <row r="1153" customFormat="false" ht="14.25" hidden="false" customHeight="true" outlineLevel="0" collapsed="false">
      <c r="A1153" s="117"/>
    </row>
    <row r="1154" customFormat="false" ht="14.25" hidden="false" customHeight="true" outlineLevel="0" collapsed="false">
      <c r="A1154" s="117"/>
    </row>
    <row r="1155" customFormat="false" ht="14.25" hidden="false" customHeight="true" outlineLevel="0" collapsed="false">
      <c r="A1155" s="117"/>
    </row>
    <row r="1156" customFormat="false" ht="14.25" hidden="false" customHeight="true" outlineLevel="0" collapsed="false">
      <c r="A1156" s="117"/>
    </row>
    <row r="1157" customFormat="false" ht="14.25" hidden="false" customHeight="true" outlineLevel="0" collapsed="false">
      <c r="A1157" s="117"/>
    </row>
    <row r="1158" customFormat="false" ht="14.25" hidden="false" customHeight="true" outlineLevel="0" collapsed="false">
      <c r="A1158" s="117"/>
    </row>
    <row r="1159" customFormat="false" ht="14.25" hidden="false" customHeight="true" outlineLevel="0" collapsed="false">
      <c r="A1159" s="117"/>
    </row>
    <row r="1160" customFormat="false" ht="14.25" hidden="false" customHeight="true" outlineLevel="0" collapsed="false">
      <c r="A1160" s="117"/>
    </row>
    <row r="1161" customFormat="false" ht="14.25" hidden="false" customHeight="true" outlineLevel="0" collapsed="false">
      <c r="A1161" s="117"/>
    </row>
    <row r="1162" customFormat="false" ht="14.25" hidden="false" customHeight="true" outlineLevel="0" collapsed="false">
      <c r="A1162" s="117"/>
    </row>
    <row r="1163" customFormat="false" ht="14.25" hidden="false" customHeight="true" outlineLevel="0" collapsed="false">
      <c r="A1163" s="117"/>
    </row>
    <row r="1164" customFormat="false" ht="14.25" hidden="false" customHeight="true" outlineLevel="0" collapsed="false">
      <c r="A1164" s="117"/>
    </row>
    <row r="1165" customFormat="false" ht="14.25" hidden="false" customHeight="true" outlineLevel="0" collapsed="false">
      <c r="A1165" s="117"/>
    </row>
    <row r="1166" customFormat="false" ht="14.25" hidden="false" customHeight="true" outlineLevel="0" collapsed="false">
      <c r="A1166" s="117"/>
    </row>
    <row r="1167" customFormat="false" ht="14.25" hidden="false" customHeight="true" outlineLevel="0" collapsed="false">
      <c r="A1167" s="117"/>
    </row>
    <row r="1168" customFormat="false" ht="14.25" hidden="false" customHeight="true" outlineLevel="0" collapsed="false">
      <c r="A1168" s="117"/>
    </row>
    <row r="1169" customFormat="false" ht="14.25" hidden="false" customHeight="true" outlineLevel="0" collapsed="false">
      <c r="A1169" s="117"/>
    </row>
    <row r="1170" customFormat="false" ht="14.25" hidden="false" customHeight="true" outlineLevel="0" collapsed="false">
      <c r="A1170" s="117"/>
    </row>
    <row r="1171" customFormat="false" ht="14.25" hidden="false" customHeight="true" outlineLevel="0" collapsed="false">
      <c r="A1171" s="117"/>
    </row>
    <row r="1172" customFormat="false" ht="14.25" hidden="false" customHeight="true" outlineLevel="0" collapsed="false">
      <c r="A1172" s="117"/>
    </row>
    <row r="1173" customFormat="false" ht="14.25" hidden="false" customHeight="true" outlineLevel="0" collapsed="false">
      <c r="A1173" s="117"/>
    </row>
    <row r="1174" customFormat="false" ht="14.25" hidden="false" customHeight="true" outlineLevel="0" collapsed="false">
      <c r="A1174" s="117"/>
    </row>
    <row r="1175" customFormat="false" ht="14.25" hidden="false" customHeight="true" outlineLevel="0" collapsed="false">
      <c r="A1175" s="117"/>
    </row>
    <row r="1176" customFormat="false" ht="14.25" hidden="false" customHeight="true" outlineLevel="0" collapsed="false">
      <c r="A1176" s="117"/>
    </row>
    <row r="1177" customFormat="false" ht="14.25" hidden="false" customHeight="true" outlineLevel="0" collapsed="false">
      <c r="A1177" s="117"/>
    </row>
    <row r="1178" customFormat="false" ht="14.25" hidden="false" customHeight="true" outlineLevel="0" collapsed="false">
      <c r="A1178" s="117"/>
    </row>
    <row r="1179" customFormat="false" ht="14.25" hidden="false" customHeight="true" outlineLevel="0" collapsed="false">
      <c r="A1179" s="117"/>
    </row>
    <row r="1180" customFormat="false" ht="14.25" hidden="false" customHeight="true" outlineLevel="0" collapsed="false">
      <c r="A1180" s="117"/>
    </row>
    <row r="1181" customFormat="false" ht="14.25" hidden="false" customHeight="true" outlineLevel="0" collapsed="false">
      <c r="A1181" s="117"/>
    </row>
    <row r="1182" customFormat="false" ht="14.25" hidden="false" customHeight="true" outlineLevel="0" collapsed="false">
      <c r="A1182" s="117"/>
    </row>
    <row r="1183" customFormat="false" ht="14.25" hidden="false" customHeight="true" outlineLevel="0" collapsed="false">
      <c r="A1183" s="117"/>
    </row>
    <row r="1184" customFormat="false" ht="14.25" hidden="false" customHeight="true" outlineLevel="0" collapsed="false">
      <c r="A1184" s="117"/>
    </row>
    <row r="1185" customFormat="false" ht="14.25" hidden="false" customHeight="true" outlineLevel="0" collapsed="false">
      <c r="A1185" s="117"/>
    </row>
    <row r="1186" customFormat="false" ht="14.25" hidden="false" customHeight="true" outlineLevel="0" collapsed="false">
      <c r="A1186" s="117"/>
    </row>
    <row r="1187" customFormat="false" ht="14.25" hidden="false" customHeight="true" outlineLevel="0" collapsed="false">
      <c r="A1187" s="117"/>
    </row>
    <row r="1188" customFormat="false" ht="14.25" hidden="false" customHeight="true" outlineLevel="0" collapsed="false">
      <c r="A1188" s="117"/>
    </row>
    <row r="1189" customFormat="false" ht="14.25" hidden="false" customHeight="true" outlineLevel="0" collapsed="false">
      <c r="A1189" s="117"/>
    </row>
    <row r="1190" customFormat="false" ht="14.25" hidden="false" customHeight="true" outlineLevel="0" collapsed="false">
      <c r="A1190" s="117"/>
    </row>
    <row r="1191" customFormat="false" ht="14.25" hidden="false" customHeight="true" outlineLevel="0" collapsed="false">
      <c r="A1191" s="117"/>
    </row>
    <row r="1192" customFormat="false" ht="14.25" hidden="false" customHeight="true" outlineLevel="0" collapsed="false">
      <c r="A1192" s="117"/>
    </row>
    <row r="1193" customFormat="false" ht="14.25" hidden="false" customHeight="true" outlineLevel="0" collapsed="false">
      <c r="A1193" s="117"/>
    </row>
    <row r="1194" customFormat="false" ht="14.25" hidden="false" customHeight="true" outlineLevel="0" collapsed="false">
      <c r="A1194" s="117"/>
    </row>
    <row r="1195" customFormat="false" ht="14.25" hidden="false" customHeight="true" outlineLevel="0" collapsed="false">
      <c r="A1195" s="117"/>
    </row>
    <row r="1196" customFormat="false" ht="14.25" hidden="false" customHeight="true" outlineLevel="0" collapsed="false">
      <c r="A1196" s="117"/>
    </row>
    <row r="1197" customFormat="false" ht="14.25" hidden="false" customHeight="true" outlineLevel="0" collapsed="false">
      <c r="A1197" s="117"/>
    </row>
    <row r="1198" customFormat="false" ht="14.25" hidden="false" customHeight="true" outlineLevel="0" collapsed="false">
      <c r="A1198" s="117"/>
    </row>
    <row r="1199" customFormat="false" ht="14.25" hidden="false" customHeight="true" outlineLevel="0" collapsed="false">
      <c r="A1199" s="117"/>
    </row>
    <row r="1200" customFormat="false" ht="14.25" hidden="false" customHeight="true" outlineLevel="0" collapsed="false">
      <c r="A1200" s="117"/>
    </row>
    <row r="1201" customFormat="false" ht="14.25" hidden="false" customHeight="true" outlineLevel="0" collapsed="false">
      <c r="A1201" s="117"/>
    </row>
    <row r="1202" customFormat="false" ht="14.25" hidden="false" customHeight="true" outlineLevel="0" collapsed="false">
      <c r="A1202" s="117"/>
    </row>
    <row r="1203" customFormat="false" ht="14.25" hidden="false" customHeight="true" outlineLevel="0" collapsed="false">
      <c r="A1203" s="117"/>
    </row>
    <row r="1204" customFormat="false" ht="14.25" hidden="false" customHeight="true" outlineLevel="0" collapsed="false">
      <c r="A1204" s="117"/>
    </row>
    <row r="1205" customFormat="false" ht="14.25" hidden="false" customHeight="true" outlineLevel="0" collapsed="false">
      <c r="A1205" s="117"/>
    </row>
    <row r="1206" customFormat="false" ht="14.25" hidden="false" customHeight="true" outlineLevel="0" collapsed="false">
      <c r="A1206" s="117"/>
    </row>
    <row r="1207" customFormat="false" ht="14.25" hidden="false" customHeight="true" outlineLevel="0" collapsed="false">
      <c r="A1207" s="117"/>
    </row>
    <row r="1208" customFormat="false" ht="14.25" hidden="false" customHeight="true" outlineLevel="0" collapsed="false">
      <c r="A1208" s="117"/>
    </row>
    <row r="1209" customFormat="false" ht="14.25" hidden="false" customHeight="true" outlineLevel="0" collapsed="false">
      <c r="A1209" s="117"/>
    </row>
    <row r="1210" customFormat="false" ht="14.25" hidden="false" customHeight="true" outlineLevel="0" collapsed="false">
      <c r="A1210" s="117"/>
    </row>
    <row r="1211" customFormat="false" ht="14.25" hidden="false" customHeight="true" outlineLevel="0" collapsed="false">
      <c r="A1211" s="117"/>
    </row>
    <row r="1212" customFormat="false" ht="14.25" hidden="false" customHeight="true" outlineLevel="0" collapsed="false">
      <c r="A1212" s="117"/>
    </row>
    <row r="1213" customFormat="false" ht="14.25" hidden="false" customHeight="true" outlineLevel="0" collapsed="false">
      <c r="A1213" s="117"/>
    </row>
    <row r="1214" customFormat="false" ht="14.25" hidden="false" customHeight="true" outlineLevel="0" collapsed="false">
      <c r="A1214" s="117"/>
    </row>
    <row r="1215" customFormat="false" ht="14.25" hidden="false" customHeight="true" outlineLevel="0" collapsed="false">
      <c r="A1215" s="117"/>
    </row>
    <row r="1216" customFormat="false" ht="14.25" hidden="false" customHeight="true" outlineLevel="0" collapsed="false">
      <c r="A1216" s="117"/>
    </row>
    <row r="1217" customFormat="false" ht="14.25" hidden="false" customHeight="true" outlineLevel="0" collapsed="false">
      <c r="A1217" s="117"/>
    </row>
    <row r="1218" customFormat="false" ht="14.25" hidden="false" customHeight="true" outlineLevel="0" collapsed="false">
      <c r="A1218" s="117"/>
    </row>
    <row r="1219" customFormat="false" ht="14.25" hidden="false" customHeight="true" outlineLevel="0" collapsed="false">
      <c r="A1219" s="117"/>
    </row>
    <row r="1220" customFormat="false" ht="14.25" hidden="false" customHeight="true" outlineLevel="0" collapsed="false">
      <c r="A1220" s="117"/>
    </row>
    <row r="1221" customFormat="false" ht="14.25" hidden="false" customHeight="true" outlineLevel="0" collapsed="false">
      <c r="A1221" s="117"/>
    </row>
    <row r="1222" customFormat="false" ht="14.25" hidden="false" customHeight="true" outlineLevel="0" collapsed="false">
      <c r="A1222" s="117"/>
    </row>
    <row r="1223" customFormat="false" ht="14.25" hidden="false" customHeight="true" outlineLevel="0" collapsed="false">
      <c r="A1223" s="117"/>
    </row>
    <row r="1224" customFormat="false" ht="14.25" hidden="false" customHeight="true" outlineLevel="0" collapsed="false">
      <c r="A1224" s="117"/>
    </row>
    <row r="1225" customFormat="false" ht="14.25" hidden="false" customHeight="true" outlineLevel="0" collapsed="false">
      <c r="A1225" s="117"/>
    </row>
    <row r="1226" customFormat="false" ht="14.25" hidden="false" customHeight="true" outlineLevel="0" collapsed="false">
      <c r="A1226" s="117"/>
    </row>
    <row r="1227" customFormat="false" ht="14.25" hidden="false" customHeight="true" outlineLevel="0" collapsed="false">
      <c r="A1227" s="117"/>
    </row>
    <row r="1228" customFormat="false" ht="14.25" hidden="false" customHeight="true" outlineLevel="0" collapsed="false">
      <c r="A1228" s="117"/>
    </row>
    <row r="1229" customFormat="false" ht="14.25" hidden="false" customHeight="true" outlineLevel="0" collapsed="false">
      <c r="A1229" s="117"/>
    </row>
    <row r="1230" customFormat="false" ht="14.25" hidden="false" customHeight="true" outlineLevel="0" collapsed="false">
      <c r="A1230" s="117"/>
    </row>
    <row r="1231" customFormat="false" ht="14.25" hidden="false" customHeight="true" outlineLevel="0" collapsed="false">
      <c r="A1231" s="117"/>
    </row>
    <row r="1232" customFormat="false" ht="14.25" hidden="false" customHeight="true" outlineLevel="0" collapsed="false">
      <c r="A1232" s="117"/>
    </row>
    <row r="1233" customFormat="false" ht="14.25" hidden="false" customHeight="true" outlineLevel="0" collapsed="false">
      <c r="A1233" s="117"/>
    </row>
    <row r="1234" customFormat="false" ht="14.25" hidden="false" customHeight="true" outlineLevel="0" collapsed="false">
      <c r="A1234" s="117"/>
    </row>
    <row r="1235" customFormat="false" ht="14.25" hidden="false" customHeight="true" outlineLevel="0" collapsed="false">
      <c r="A1235" s="117"/>
    </row>
    <row r="1236" customFormat="false" ht="14.25" hidden="false" customHeight="true" outlineLevel="0" collapsed="false">
      <c r="A1236" s="117"/>
    </row>
    <row r="1237" customFormat="false" ht="14.25" hidden="false" customHeight="true" outlineLevel="0" collapsed="false">
      <c r="A1237" s="117"/>
    </row>
    <row r="1238" customFormat="false" ht="14.25" hidden="false" customHeight="true" outlineLevel="0" collapsed="false">
      <c r="A1238" s="117"/>
    </row>
    <row r="1239" customFormat="false" ht="14.25" hidden="false" customHeight="true" outlineLevel="0" collapsed="false">
      <c r="A1239" s="117"/>
    </row>
    <row r="1240" customFormat="false" ht="14.25" hidden="false" customHeight="true" outlineLevel="0" collapsed="false">
      <c r="A1240" s="117"/>
    </row>
    <row r="1241" customFormat="false" ht="14.25" hidden="false" customHeight="true" outlineLevel="0" collapsed="false">
      <c r="A1241" s="117"/>
    </row>
    <row r="1242" customFormat="false" ht="14.25" hidden="false" customHeight="true" outlineLevel="0" collapsed="false">
      <c r="A1242" s="117"/>
    </row>
    <row r="1243" customFormat="false" ht="14.25" hidden="false" customHeight="true" outlineLevel="0" collapsed="false">
      <c r="A1243" s="117"/>
    </row>
    <row r="1244" customFormat="false" ht="14.25" hidden="false" customHeight="true" outlineLevel="0" collapsed="false">
      <c r="A1244" s="117"/>
    </row>
    <row r="1245" customFormat="false" ht="14.25" hidden="false" customHeight="true" outlineLevel="0" collapsed="false">
      <c r="A1245" s="117"/>
    </row>
    <row r="1246" customFormat="false" ht="14.25" hidden="false" customHeight="true" outlineLevel="0" collapsed="false">
      <c r="A1246" s="117"/>
    </row>
    <row r="1247" customFormat="false" ht="14.25" hidden="false" customHeight="true" outlineLevel="0" collapsed="false">
      <c r="A1247" s="117"/>
    </row>
    <row r="1248" customFormat="false" ht="14.25" hidden="false" customHeight="true" outlineLevel="0" collapsed="false">
      <c r="A1248" s="117"/>
    </row>
    <row r="1249" customFormat="false" ht="14.25" hidden="false" customHeight="true" outlineLevel="0" collapsed="false">
      <c r="A1249" s="117"/>
    </row>
    <row r="1250" customFormat="false" ht="14.25" hidden="false" customHeight="true" outlineLevel="0" collapsed="false">
      <c r="A1250" s="117"/>
    </row>
    <row r="1251" customFormat="false" ht="14.25" hidden="false" customHeight="true" outlineLevel="0" collapsed="false">
      <c r="A1251" s="117"/>
    </row>
    <row r="1252" customFormat="false" ht="14.25" hidden="false" customHeight="true" outlineLevel="0" collapsed="false">
      <c r="A1252" s="117"/>
    </row>
    <row r="1253" customFormat="false" ht="14.25" hidden="false" customHeight="true" outlineLevel="0" collapsed="false">
      <c r="A1253" s="117"/>
    </row>
    <row r="1254" customFormat="false" ht="14.25" hidden="false" customHeight="true" outlineLevel="0" collapsed="false">
      <c r="A1254" s="117"/>
    </row>
    <row r="1255" customFormat="false" ht="14.25" hidden="false" customHeight="true" outlineLevel="0" collapsed="false">
      <c r="A1255" s="117"/>
    </row>
    <row r="1256" customFormat="false" ht="14.25" hidden="false" customHeight="true" outlineLevel="0" collapsed="false">
      <c r="A1256" s="117"/>
    </row>
    <row r="1257" customFormat="false" ht="14.25" hidden="false" customHeight="true" outlineLevel="0" collapsed="false">
      <c r="A1257" s="117"/>
    </row>
    <row r="1258" customFormat="false" ht="14.25" hidden="false" customHeight="true" outlineLevel="0" collapsed="false">
      <c r="A1258" s="117"/>
    </row>
    <row r="1259" customFormat="false" ht="14.25" hidden="false" customHeight="true" outlineLevel="0" collapsed="false">
      <c r="A1259" s="117"/>
    </row>
    <row r="1260" customFormat="false" ht="14.25" hidden="false" customHeight="true" outlineLevel="0" collapsed="false">
      <c r="A1260" s="117"/>
    </row>
    <row r="1261" customFormat="false" ht="14.25" hidden="false" customHeight="true" outlineLevel="0" collapsed="false">
      <c r="A1261" s="117"/>
    </row>
    <row r="1262" customFormat="false" ht="14.25" hidden="false" customHeight="true" outlineLevel="0" collapsed="false">
      <c r="A1262" s="117"/>
    </row>
    <row r="1263" customFormat="false" ht="14.25" hidden="false" customHeight="true" outlineLevel="0" collapsed="false">
      <c r="A1263" s="117"/>
    </row>
    <row r="1264" customFormat="false" ht="14.25" hidden="false" customHeight="true" outlineLevel="0" collapsed="false">
      <c r="A1264" s="117"/>
    </row>
    <row r="1265" customFormat="false" ht="14.25" hidden="false" customHeight="true" outlineLevel="0" collapsed="false">
      <c r="A1265" s="117"/>
    </row>
    <row r="1266" customFormat="false" ht="14.25" hidden="false" customHeight="true" outlineLevel="0" collapsed="false">
      <c r="A1266" s="117"/>
    </row>
    <row r="1267" customFormat="false" ht="14.25" hidden="false" customHeight="true" outlineLevel="0" collapsed="false">
      <c r="A1267" s="117"/>
    </row>
    <row r="1268" customFormat="false" ht="14.25" hidden="false" customHeight="true" outlineLevel="0" collapsed="false">
      <c r="A1268" s="117"/>
    </row>
    <row r="1269" customFormat="false" ht="14.25" hidden="false" customHeight="true" outlineLevel="0" collapsed="false">
      <c r="A1269" s="117"/>
    </row>
    <row r="1270" customFormat="false" ht="14.25" hidden="false" customHeight="true" outlineLevel="0" collapsed="false">
      <c r="A1270" s="117"/>
    </row>
    <row r="1271" customFormat="false" ht="14.25" hidden="false" customHeight="true" outlineLevel="0" collapsed="false">
      <c r="A1271" s="117"/>
    </row>
    <row r="1272" customFormat="false" ht="14.25" hidden="false" customHeight="true" outlineLevel="0" collapsed="false">
      <c r="A1272" s="117"/>
    </row>
    <row r="1273" customFormat="false" ht="14.25" hidden="false" customHeight="true" outlineLevel="0" collapsed="false">
      <c r="A1273" s="117"/>
    </row>
    <row r="1274" customFormat="false" ht="14.25" hidden="false" customHeight="true" outlineLevel="0" collapsed="false">
      <c r="A1274" s="117"/>
    </row>
    <row r="1275" customFormat="false" ht="14.25" hidden="false" customHeight="true" outlineLevel="0" collapsed="false">
      <c r="A1275" s="117"/>
    </row>
    <row r="1276" customFormat="false" ht="14.25" hidden="false" customHeight="true" outlineLevel="0" collapsed="false">
      <c r="A1276" s="117"/>
    </row>
    <row r="1277" customFormat="false" ht="14.25" hidden="false" customHeight="true" outlineLevel="0" collapsed="false">
      <c r="A1277" s="117"/>
    </row>
    <row r="1278" customFormat="false" ht="14.25" hidden="false" customHeight="true" outlineLevel="0" collapsed="false">
      <c r="A1278" s="117"/>
    </row>
    <row r="1279" customFormat="false" ht="14.25" hidden="false" customHeight="true" outlineLevel="0" collapsed="false">
      <c r="A1279" s="117"/>
    </row>
    <row r="1280" customFormat="false" ht="14.25" hidden="false" customHeight="true" outlineLevel="0" collapsed="false">
      <c r="A1280" s="117"/>
    </row>
    <row r="1281" customFormat="false" ht="14.25" hidden="false" customHeight="true" outlineLevel="0" collapsed="false">
      <c r="A1281" s="117"/>
    </row>
    <row r="1282" customFormat="false" ht="14.25" hidden="false" customHeight="true" outlineLevel="0" collapsed="false">
      <c r="A1282" s="117"/>
    </row>
    <row r="1283" customFormat="false" ht="14.25" hidden="false" customHeight="true" outlineLevel="0" collapsed="false">
      <c r="A1283" s="117"/>
    </row>
    <row r="1284" customFormat="false" ht="14.25" hidden="false" customHeight="true" outlineLevel="0" collapsed="false">
      <c r="A1284" s="117"/>
    </row>
    <row r="1285" customFormat="false" ht="14.25" hidden="false" customHeight="true" outlineLevel="0" collapsed="false">
      <c r="A1285" s="117"/>
    </row>
    <row r="1286" customFormat="false" ht="14.25" hidden="false" customHeight="true" outlineLevel="0" collapsed="false">
      <c r="A1286" s="117"/>
    </row>
    <row r="1287" customFormat="false" ht="14.25" hidden="false" customHeight="true" outlineLevel="0" collapsed="false">
      <c r="A1287" s="117"/>
    </row>
    <row r="1288" customFormat="false" ht="14.25" hidden="false" customHeight="true" outlineLevel="0" collapsed="false">
      <c r="A1288" s="117"/>
    </row>
    <row r="1289" customFormat="false" ht="14.25" hidden="false" customHeight="true" outlineLevel="0" collapsed="false">
      <c r="A1289" s="117"/>
    </row>
    <row r="1290" customFormat="false" ht="14.25" hidden="false" customHeight="true" outlineLevel="0" collapsed="false">
      <c r="A1290" s="117"/>
    </row>
    <row r="1291" customFormat="false" ht="14.25" hidden="false" customHeight="true" outlineLevel="0" collapsed="false">
      <c r="A1291" s="117"/>
    </row>
    <row r="1292" customFormat="false" ht="14.25" hidden="false" customHeight="true" outlineLevel="0" collapsed="false">
      <c r="A1292" s="117"/>
    </row>
    <row r="1293" customFormat="false" ht="14.25" hidden="false" customHeight="true" outlineLevel="0" collapsed="false">
      <c r="A1293" s="117"/>
    </row>
    <row r="1294" customFormat="false" ht="14.25" hidden="false" customHeight="true" outlineLevel="0" collapsed="false">
      <c r="A1294" s="117"/>
    </row>
    <row r="1295" customFormat="false" ht="14.25" hidden="false" customHeight="true" outlineLevel="0" collapsed="false">
      <c r="A1295" s="117"/>
    </row>
    <row r="1296" customFormat="false" ht="14.25" hidden="false" customHeight="true" outlineLevel="0" collapsed="false">
      <c r="A1296" s="117"/>
    </row>
    <row r="1297" customFormat="false" ht="14.25" hidden="false" customHeight="true" outlineLevel="0" collapsed="false">
      <c r="A1297" s="117"/>
    </row>
    <row r="1298" customFormat="false" ht="14.25" hidden="false" customHeight="true" outlineLevel="0" collapsed="false">
      <c r="A1298" s="117"/>
    </row>
    <row r="1299" customFormat="false" ht="14.25" hidden="false" customHeight="true" outlineLevel="0" collapsed="false">
      <c r="A1299" s="117"/>
    </row>
    <row r="1300" customFormat="false" ht="14.25" hidden="false" customHeight="true" outlineLevel="0" collapsed="false">
      <c r="A1300" s="117"/>
    </row>
    <row r="1301" customFormat="false" ht="14.25" hidden="false" customHeight="true" outlineLevel="0" collapsed="false">
      <c r="A1301" s="117"/>
    </row>
    <row r="1302" customFormat="false" ht="14.25" hidden="false" customHeight="true" outlineLevel="0" collapsed="false">
      <c r="A1302" s="117"/>
    </row>
    <row r="1303" customFormat="false" ht="14.25" hidden="false" customHeight="true" outlineLevel="0" collapsed="false">
      <c r="A1303" s="117"/>
    </row>
    <row r="1304" customFormat="false" ht="14.25" hidden="false" customHeight="true" outlineLevel="0" collapsed="false">
      <c r="A1304" s="117"/>
    </row>
    <row r="1305" customFormat="false" ht="14.25" hidden="false" customHeight="true" outlineLevel="0" collapsed="false">
      <c r="A1305" s="117"/>
    </row>
    <row r="1306" customFormat="false" ht="14.25" hidden="false" customHeight="true" outlineLevel="0" collapsed="false">
      <c r="A1306" s="117"/>
    </row>
    <row r="1307" customFormat="false" ht="14.25" hidden="false" customHeight="true" outlineLevel="0" collapsed="false">
      <c r="A1307" s="117"/>
    </row>
    <row r="1308" customFormat="false" ht="14.25" hidden="false" customHeight="true" outlineLevel="0" collapsed="false">
      <c r="A1308" s="117"/>
    </row>
    <row r="1309" customFormat="false" ht="14.25" hidden="false" customHeight="true" outlineLevel="0" collapsed="false">
      <c r="A1309" s="117"/>
    </row>
    <row r="1310" customFormat="false" ht="14.25" hidden="false" customHeight="true" outlineLevel="0" collapsed="false">
      <c r="A1310" s="117"/>
    </row>
    <row r="1311" customFormat="false" ht="14.25" hidden="false" customHeight="true" outlineLevel="0" collapsed="false">
      <c r="A1311" s="117"/>
    </row>
    <row r="1312" customFormat="false" ht="14.25" hidden="false" customHeight="true" outlineLevel="0" collapsed="false">
      <c r="A1312" s="117"/>
    </row>
    <row r="1313" customFormat="false" ht="14.25" hidden="false" customHeight="true" outlineLevel="0" collapsed="false">
      <c r="A1313" s="117"/>
    </row>
    <row r="1314" customFormat="false" ht="14.25" hidden="false" customHeight="true" outlineLevel="0" collapsed="false">
      <c r="A1314" s="117"/>
    </row>
    <row r="1315" customFormat="false" ht="14.25" hidden="false" customHeight="true" outlineLevel="0" collapsed="false">
      <c r="A1315" s="117"/>
    </row>
    <row r="1316" customFormat="false" ht="14.25" hidden="false" customHeight="true" outlineLevel="0" collapsed="false">
      <c r="A1316" s="117"/>
    </row>
    <row r="1317" customFormat="false" ht="14.25" hidden="false" customHeight="true" outlineLevel="0" collapsed="false">
      <c r="A1317" s="117"/>
    </row>
    <row r="1318" customFormat="false" ht="14.25" hidden="false" customHeight="true" outlineLevel="0" collapsed="false">
      <c r="A1318" s="117"/>
    </row>
    <row r="1319" customFormat="false" ht="14.25" hidden="false" customHeight="true" outlineLevel="0" collapsed="false">
      <c r="A1319" s="117"/>
    </row>
    <row r="1320" customFormat="false" ht="14.25" hidden="false" customHeight="true" outlineLevel="0" collapsed="false">
      <c r="A1320" s="117"/>
    </row>
    <row r="1321" customFormat="false" ht="14.25" hidden="false" customHeight="true" outlineLevel="0" collapsed="false">
      <c r="A1321" s="117"/>
    </row>
    <row r="1322" customFormat="false" ht="14.25" hidden="false" customHeight="true" outlineLevel="0" collapsed="false">
      <c r="A1322" s="117"/>
    </row>
    <row r="1323" customFormat="false" ht="14.25" hidden="false" customHeight="true" outlineLevel="0" collapsed="false">
      <c r="A1323" s="117"/>
    </row>
    <row r="1324" customFormat="false" ht="14.25" hidden="false" customHeight="true" outlineLevel="0" collapsed="false">
      <c r="A1324" s="117"/>
    </row>
    <row r="1325" customFormat="false" ht="14.25" hidden="false" customHeight="true" outlineLevel="0" collapsed="false">
      <c r="A1325" s="117"/>
    </row>
    <row r="1326" customFormat="false" ht="14.25" hidden="false" customHeight="true" outlineLevel="0" collapsed="false">
      <c r="A1326" s="117"/>
    </row>
    <row r="1327" customFormat="false" ht="14.25" hidden="false" customHeight="true" outlineLevel="0" collapsed="false">
      <c r="A1327" s="117"/>
    </row>
    <row r="1328" customFormat="false" ht="14.25" hidden="false" customHeight="true" outlineLevel="0" collapsed="false">
      <c r="A1328" s="117"/>
    </row>
    <row r="1329" customFormat="false" ht="14.25" hidden="false" customHeight="true" outlineLevel="0" collapsed="false">
      <c r="A1329" s="117"/>
    </row>
    <row r="1330" customFormat="false" ht="14.25" hidden="false" customHeight="true" outlineLevel="0" collapsed="false">
      <c r="A1330" s="117"/>
    </row>
    <row r="1331" customFormat="false" ht="14.25" hidden="false" customHeight="true" outlineLevel="0" collapsed="false">
      <c r="A1331" s="117"/>
    </row>
    <row r="1332" customFormat="false" ht="14.25" hidden="false" customHeight="true" outlineLevel="0" collapsed="false">
      <c r="A1332" s="117"/>
    </row>
    <row r="1333" customFormat="false" ht="14.25" hidden="false" customHeight="true" outlineLevel="0" collapsed="false">
      <c r="A1333" s="117"/>
    </row>
    <row r="1334" customFormat="false" ht="14.25" hidden="false" customHeight="true" outlineLevel="0" collapsed="false">
      <c r="A1334" s="117"/>
    </row>
    <row r="1335" customFormat="false" ht="14.25" hidden="false" customHeight="true" outlineLevel="0" collapsed="false">
      <c r="A1335" s="117"/>
    </row>
    <row r="1336" customFormat="false" ht="14.25" hidden="false" customHeight="true" outlineLevel="0" collapsed="false">
      <c r="A1336" s="117"/>
    </row>
    <row r="1337" customFormat="false" ht="14.25" hidden="false" customHeight="true" outlineLevel="0" collapsed="false">
      <c r="A1337" s="117"/>
    </row>
    <row r="1338" customFormat="false" ht="14.25" hidden="false" customHeight="true" outlineLevel="0" collapsed="false">
      <c r="A1338" s="117"/>
    </row>
    <row r="1339" customFormat="false" ht="14.25" hidden="false" customHeight="true" outlineLevel="0" collapsed="false">
      <c r="A1339" s="117"/>
    </row>
    <row r="1340" customFormat="false" ht="14.25" hidden="false" customHeight="true" outlineLevel="0" collapsed="false">
      <c r="A1340" s="117"/>
    </row>
    <row r="1341" customFormat="false" ht="14.25" hidden="false" customHeight="true" outlineLevel="0" collapsed="false">
      <c r="A1341" s="117"/>
    </row>
    <row r="1342" customFormat="false" ht="14.25" hidden="false" customHeight="true" outlineLevel="0" collapsed="false">
      <c r="A1342" s="117"/>
    </row>
    <row r="1343" customFormat="false" ht="14.25" hidden="false" customHeight="true" outlineLevel="0" collapsed="false">
      <c r="A1343" s="117"/>
    </row>
    <row r="1344" customFormat="false" ht="14.25" hidden="false" customHeight="true" outlineLevel="0" collapsed="false">
      <c r="A1344" s="117"/>
    </row>
    <row r="1345" customFormat="false" ht="14.25" hidden="false" customHeight="true" outlineLevel="0" collapsed="false">
      <c r="A1345" s="117"/>
    </row>
    <row r="1346" customFormat="false" ht="14.25" hidden="false" customHeight="true" outlineLevel="0" collapsed="false">
      <c r="A1346" s="117"/>
    </row>
    <row r="1347" customFormat="false" ht="14.25" hidden="false" customHeight="true" outlineLevel="0" collapsed="false">
      <c r="A1347" s="117"/>
    </row>
    <row r="1348" customFormat="false" ht="14.25" hidden="false" customHeight="true" outlineLevel="0" collapsed="false">
      <c r="A1348" s="117"/>
    </row>
    <row r="1349" customFormat="false" ht="14.25" hidden="false" customHeight="true" outlineLevel="0" collapsed="false">
      <c r="A1349" s="117"/>
    </row>
    <row r="1350" customFormat="false" ht="14.25" hidden="false" customHeight="true" outlineLevel="0" collapsed="false">
      <c r="A1350" s="117"/>
    </row>
    <row r="1351" customFormat="false" ht="14.25" hidden="false" customHeight="true" outlineLevel="0" collapsed="false">
      <c r="A1351" s="117"/>
    </row>
    <row r="1352" customFormat="false" ht="14.25" hidden="false" customHeight="true" outlineLevel="0" collapsed="false">
      <c r="A1352" s="117"/>
    </row>
    <row r="1353" customFormat="false" ht="14.25" hidden="false" customHeight="true" outlineLevel="0" collapsed="false">
      <c r="A1353" s="117"/>
    </row>
    <row r="1354" customFormat="false" ht="14.25" hidden="false" customHeight="true" outlineLevel="0" collapsed="false">
      <c r="A1354" s="117"/>
    </row>
    <row r="1355" customFormat="false" ht="14.25" hidden="false" customHeight="true" outlineLevel="0" collapsed="false">
      <c r="A1355" s="117"/>
    </row>
    <row r="1356" customFormat="false" ht="14.25" hidden="false" customHeight="true" outlineLevel="0" collapsed="false">
      <c r="A1356" s="117"/>
    </row>
    <row r="1357" customFormat="false" ht="14.25" hidden="false" customHeight="true" outlineLevel="0" collapsed="false">
      <c r="A1357" s="117"/>
    </row>
    <row r="1358" customFormat="false" ht="14.25" hidden="false" customHeight="true" outlineLevel="0" collapsed="false">
      <c r="A1358" s="117"/>
    </row>
    <row r="1359" customFormat="false" ht="14.25" hidden="false" customHeight="true" outlineLevel="0" collapsed="false">
      <c r="A1359" s="117"/>
    </row>
    <row r="1360" customFormat="false" ht="14.25" hidden="false" customHeight="true" outlineLevel="0" collapsed="false">
      <c r="A1360" s="117"/>
    </row>
    <row r="1361" customFormat="false" ht="14.25" hidden="false" customHeight="true" outlineLevel="0" collapsed="false">
      <c r="A1361" s="117"/>
    </row>
    <row r="1362" customFormat="false" ht="14.25" hidden="false" customHeight="true" outlineLevel="0" collapsed="false">
      <c r="A1362" s="117"/>
    </row>
    <row r="1363" customFormat="false" ht="14.25" hidden="false" customHeight="true" outlineLevel="0" collapsed="false">
      <c r="A1363" s="117"/>
    </row>
    <row r="1364" customFormat="false" ht="14.25" hidden="false" customHeight="true" outlineLevel="0" collapsed="false">
      <c r="A1364" s="117"/>
    </row>
    <row r="1365" customFormat="false" ht="14.25" hidden="false" customHeight="true" outlineLevel="0" collapsed="false">
      <c r="A1365" s="117"/>
    </row>
    <row r="1366" customFormat="false" ht="14.25" hidden="false" customHeight="true" outlineLevel="0" collapsed="false">
      <c r="A1366" s="117"/>
    </row>
    <row r="1367" customFormat="false" ht="14.25" hidden="false" customHeight="true" outlineLevel="0" collapsed="false">
      <c r="A1367" s="117"/>
    </row>
    <row r="1368" customFormat="false" ht="14.25" hidden="false" customHeight="true" outlineLevel="0" collapsed="false">
      <c r="A1368" s="117"/>
    </row>
    <row r="1369" customFormat="false" ht="14.25" hidden="false" customHeight="true" outlineLevel="0" collapsed="false">
      <c r="A1369" s="117"/>
    </row>
    <row r="1370" customFormat="false" ht="14.25" hidden="false" customHeight="true" outlineLevel="0" collapsed="false">
      <c r="A1370" s="117"/>
    </row>
    <row r="1371" customFormat="false" ht="14.25" hidden="false" customHeight="true" outlineLevel="0" collapsed="false">
      <c r="A1371" s="117"/>
    </row>
    <row r="1372" customFormat="false" ht="14.25" hidden="false" customHeight="true" outlineLevel="0" collapsed="false">
      <c r="A1372" s="117"/>
    </row>
    <row r="1373" customFormat="false" ht="14.25" hidden="false" customHeight="true" outlineLevel="0" collapsed="false">
      <c r="A1373" s="117"/>
    </row>
    <row r="1374" customFormat="false" ht="14.25" hidden="false" customHeight="true" outlineLevel="0" collapsed="false">
      <c r="A1374" s="117"/>
    </row>
    <row r="1375" customFormat="false" ht="14.25" hidden="false" customHeight="true" outlineLevel="0" collapsed="false">
      <c r="A1375" s="117"/>
    </row>
    <row r="1376" customFormat="false" ht="14.25" hidden="false" customHeight="true" outlineLevel="0" collapsed="false">
      <c r="A1376" s="117"/>
    </row>
    <row r="1377" customFormat="false" ht="14.25" hidden="false" customHeight="true" outlineLevel="0" collapsed="false">
      <c r="A1377" s="117"/>
    </row>
    <row r="1378" customFormat="false" ht="14.25" hidden="false" customHeight="true" outlineLevel="0" collapsed="false">
      <c r="A1378" s="117"/>
    </row>
    <row r="1379" customFormat="false" ht="14.25" hidden="false" customHeight="true" outlineLevel="0" collapsed="false">
      <c r="A1379" s="117"/>
    </row>
    <row r="1380" customFormat="false" ht="14.25" hidden="false" customHeight="true" outlineLevel="0" collapsed="false">
      <c r="A1380" s="117"/>
    </row>
    <row r="1381" customFormat="false" ht="14.25" hidden="false" customHeight="true" outlineLevel="0" collapsed="false">
      <c r="A1381" s="117"/>
    </row>
    <row r="1382" customFormat="false" ht="14.25" hidden="false" customHeight="true" outlineLevel="0" collapsed="false">
      <c r="A1382" s="117"/>
    </row>
    <row r="1383" customFormat="false" ht="14.25" hidden="false" customHeight="true" outlineLevel="0" collapsed="false">
      <c r="A1383" s="117"/>
    </row>
    <row r="1384" customFormat="false" ht="14.25" hidden="false" customHeight="true" outlineLevel="0" collapsed="false">
      <c r="A1384" s="117"/>
    </row>
    <row r="1385" customFormat="false" ht="14.25" hidden="false" customHeight="true" outlineLevel="0" collapsed="false">
      <c r="A1385" s="117"/>
    </row>
    <row r="1386" customFormat="false" ht="14.25" hidden="false" customHeight="true" outlineLevel="0" collapsed="false">
      <c r="A1386" s="117"/>
    </row>
    <row r="1387" customFormat="false" ht="14.25" hidden="false" customHeight="true" outlineLevel="0" collapsed="false">
      <c r="A1387" s="117"/>
    </row>
    <row r="1388" customFormat="false" ht="14.25" hidden="false" customHeight="true" outlineLevel="0" collapsed="false">
      <c r="A1388" s="117"/>
    </row>
    <row r="1389" customFormat="false" ht="14.25" hidden="false" customHeight="true" outlineLevel="0" collapsed="false">
      <c r="A1389" s="117"/>
    </row>
    <row r="1390" customFormat="false" ht="14.25" hidden="false" customHeight="true" outlineLevel="0" collapsed="false">
      <c r="A1390" s="117"/>
    </row>
    <row r="1391" customFormat="false" ht="14.25" hidden="false" customHeight="true" outlineLevel="0" collapsed="false">
      <c r="A1391" s="117"/>
    </row>
    <row r="1392" customFormat="false" ht="14.25" hidden="false" customHeight="true" outlineLevel="0" collapsed="false">
      <c r="A1392" s="117"/>
    </row>
    <row r="1393" customFormat="false" ht="14.25" hidden="false" customHeight="true" outlineLevel="0" collapsed="false">
      <c r="A1393" s="117"/>
    </row>
    <row r="1394" customFormat="false" ht="14.25" hidden="false" customHeight="true" outlineLevel="0" collapsed="false">
      <c r="A1394" s="117"/>
    </row>
    <row r="1395" customFormat="false" ht="14.25" hidden="false" customHeight="true" outlineLevel="0" collapsed="false">
      <c r="A1395" s="117"/>
    </row>
    <row r="1396" customFormat="false" ht="14.25" hidden="false" customHeight="true" outlineLevel="0" collapsed="false">
      <c r="A1396" s="117"/>
    </row>
    <row r="1397" customFormat="false" ht="14.25" hidden="false" customHeight="true" outlineLevel="0" collapsed="false">
      <c r="A1397" s="117"/>
    </row>
    <row r="1398" customFormat="false" ht="14.25" hidden="false" customHeight="true" outlineLevel="0" collapsed="false">
      <c r="A1398" s="117"/>
    </row>
    <row r="1399" customFormat="false" ht="14.25" hidden="false" customHeight="true" outlineLevel="0" collapsed="false">
      <c r="A1399" s="117"/>
    </row>
    <row r="1400" customFormat="false" ht="14.25" hidden="false" customHeight="true" outlineLevel="0" collapsed="false">
      <c r="A1400" s="117"/>
    </row>
    <row r="1401" customFormat="false" ht="14.25" hidden="false" customHeight="true" outlineLevel="0" collapsed="false">
      <c r="A1401" s="117"/>
    </row>
    <row r="1402" customFormat="false" ht="14.25" hidden="false" customHeight="true" outlineLevel="0" collapsed="false">
      <c r="A1402" s="117"/>
    </row>
    <row r="1403" customFormat="false" ht="14.25" hidden="false" customHeight="true" outlineLevel="0" collapsed="false">
      <c r="A1403" s="117"/>
    </row>
    <row r="1404" customFormat="false" ht="14.25" hidden="false" customHeight="true" outlineLevel="0" collapsed="false">
      <c r="A1404" s="117"/>
    </row>
    <row r="1405" customFormat="false" ht="14.25" hidden="false" customHeight="true" outlineLevel="0" collapsed="false">
      <c r="A1405" s="117"/>
    </row>
    <row r="1406" customFormat="false" ht="14.25" hidden="false" customHeight="true" outlineLevel="0" collapsed="false">
      <c r="A1406" s="117"/>
    </row>
    <row r="1407" customFormat="false" ht="14.25" hidden="false" customHeight="true" outlineLevel="0" collapsed="false">
      <c r="A1407" s="117"/>
    </row>
    <row r="1408" customFormat="false" ht="14.25" hidden="false" customHeight="true" outlineLevel="0" collapsed="false">
      <c r="A1408" s="117"/>
    </row>
    <row r="1409" customFormat="false" ht="14.25" hidden="false" customHeight="true" outlineLevel="0" collapsed="false">
      <c r="A1409" s="117"/>
    </row>
    <row r="1410" customFormat="false" ht="14.25" hidden="false" customHeight="true" outlineLevel="0" collapsed="false">
      <c r="A1410" s="117"/>
    </row>
    <row r="1411" customFormat="false" ht="14.25" hidden="false" customHeight="true" outlineLevel="0" collapsed="false">
      <c r="A1411" s="117"/>
    </row>
    <row r="1412" customFormat="false" ht="14.25" hidden="false" customHeight="true" outlineLevel="0" collapsed="false">
      <c r="A1412" s="117"/>
    </row>
    <row r="1413" customFormat="false" ht="14.25" hidden="false" customHeight="true" outlineLevel="0" collapsed="false">
      <c r="A1413" s="117"/>
    </row>
    <row r="1414" customFormat="false" ht="14.25" hidden="false" customHeight="true" outlineLevel="0" collapsed="false">
      <c r="A1414" s="117"/>
    </row>
    <row r="1415" customFormat="false" ht="14.25" hidden="false" customHeight="true" outlineLevel="0" collapsed="false">
      <c r="A1415" s="117"/>
    </row>
    <row r="1416" customFormat="false" ht="14.25" hidden="false" customHeight="true" outlineLevel="0" collapsed="false">
      <c r="A1416" s="117"/>
    </row>
    <row r="1417" customFormat="false" ht="14.25" hidden="false" customHeight="true" outlineLevel="0" collapsed="false">
      <c r="A1417" s="117"/>
    </row>
    <row r="1418" customFormat="false" ht="14.25" hidden="false" customHeight="true" outlineLevel="0" collapsed="false">
      <c r="A1418" s="117"/>
    </row>
    <row r="1419" customFormat="false" ht="14.25" hidden="false" customHeight="true" outlineLevel="0" collapsed="false">
      <c r="A1419" s="117"/>
    </row>
    <row r="1420" customFormat="false" ht="14.25" hidden="false" customHeight="true" outlineLevel="0" collapsed="false">
      <c r="A1420" s="117"/>
    </row>
    <row r="1421" customFormat="false" ht="14.25" hidden="false" customHeight="true" outlineLevel="0" collapsed="false">
      <c r="A1421" s="117"/>
    </row>
    <row r="1422" customFormat="false" ht="14.25" hidden="false" customHeight="true" outlineLevel="0" collapsed="false">
      <c r="A1422" s="117"/>
    </row>
    <row r="1423" customFormat="false" ht="14.25" hidden="false" customHeight="true" outlineLevel="0" collapsed="false">
      <c r="A1423" s="117"/>
    </row>
    <row r="1424" customFormat="false" ht="14.25" hidden="false" customHeight="true" outlineLevel="0" collapsed="false">
      <c r="A1424" s="117"/>
    </row>
    <row r="1425" customFormat="false" ht="14.25" hidden="false" customHeight="true" outlineLevel="0" collapsed="false">
      <c r="A1425" s="117"/>
    </row>
    <row r="1426" customFormat="false" ht="14.25" hidden="false" customHeight="true" outlineLevel="0" collapsed="false">
      <c r="A1426" s="117"/>
    </row>
    <row r="1427" customFormat="false" ht="14.25" hidden="false" customHeight="true" outlineLevel="0" collapsed="false">
      <c r="A1427" s="117"/>
    </row>
    <row r="1428" customFormat="false" ht="14.25" hidden="false" customHeight="true" outlineLevel="0" collapsed="false">
      <c r="A1428" s="117"/>
    </row>
    <row r="1429" customFormat="false" ht="14.25" hidden="false" customHeight="true" outlineLevel="0" collapsed="false">
      <c r="A1429" s="117"/>
    </row>
    <row r="1430" customFormat="false" ht="14.25" hidden="false" customHeight="true" outlineLevel="0" collapsed="false">
      <c r="A1430" s="117"/>
    </row>
    <row r="1431" customFormat="false" ht="14.25" hidden="false" customHeight="true" outlineLevel="0" collapsed="false">
      <c r="A1431" s="117"/>
    </row>
    <row r="1432" customFormat="false" ht="14.25" hidden="false" customHeight="true" outlineLevel="0" collapsed="false">
      <c r="A1432" s="117"/>
    </row>
    <row r="1433" customFormat="false" ht="14.25" hidden="false" customHeight="true" outlineLevel="0" collapsed="false">
      <c r="A1433" s="117"/>
    </row>
    <row r="1434" customFormat="false" ht="14.25" hidden="false" customHeight="true" outlineLevel="0" collapsed="false">
      <c r="A1434" s="117"/>
    </row>
    <row r="1435" customFormat="false" ht="14.25" hidden="false" customHeight="true" outlineLevel="0" collapsed="false">
      <c r="A1435" s="117"/>
    </row>
    <row r="1436" customFormat="false" ht="14.25" hidden="false" customHeight="true" outlineLevel="0" collapsed="false">
      <c r="A1436" s="117"/>
    </row>
    <row r="1437" customFormat="false" ht="14.25" hidden="false" customHeight="true" outlineLevel="0" collapsed="false">
      <c r="A1437" s="117"/>
    </row>
    <row r="1438" customFormat="false" ht="14.25" hidden="false" customHeight="true" outlineLevel="0" collapsed="false">
      <c r="A1438" s="117"/>
    </row>
    <row r="1439" customFormat="false" ht="14.25" hidden="false" customHeight="true" outlineLevel="0" collapsed="false">
      <c r="A1439" s="117"/>
    </row>
    <row r="1440" customFormat="false" ht="14.25" hidden="false" customHeight="true" outlineLevel="0" collapsed="false">
      <c r="A1440" s="117"/>
    </row>
    <row r="1441" customFormat="false" ht="14.25" hidden="false" customHeight="true" outlineLevel="0" collapsed="false">
      <c r="A1441" s="117"/>
    </row>
    <row r="1442" customFormat="false" ht="14.25" hidden="false" customHeight="true" outlineLevel="0" collapsed="false">
      <c r="A1442" s="117"/>
    </row>
    <row r="1443" customFormat="false" ht="14.25" hidden="false" customHeight="true" outlineLevel="0" collapsed="false">
      <c r="A1443" s="117"/>
    </row>
    <row r="1444" customFormat="false" ht="14.25" hidden="false" customHeight="true" outlineLevel="0" collapsed="false">
      <c r="A1444" s="117"/>
    </row>
    <row r="1445" customFormat="false" ht="14.25" hidden="false" customHeight="true" outlineLevel="0" collapsed="false">
      <c r="A1445" s="117"/>
    </row>
    <row r="1446" customFormat="false" ht="14.25" hidden="false" customHeight="true" outlineLevel="0" collapsed="false">
      <c r="A1446" s="117"/>
    </row>
    <row r="1447" customFormat="false" ht="14.25" hidden="false" customHeight="true" outlineLevel="0" collapsed="false">
      <c r="A1447" s="117"/>
    </row>
    <row r="1448" customFormat="false" ht="14.25" hidden="false" customHeight="true" outlineLevel="0" collapsed="false">
      <c r="A1448" s="117"/>
    </row>
    <row r="1449" customFormat="false" ht="14.25" hidden="false" customHeight="true" outlineLevel="0" collapsed="false">
      <c r="A1449" s="117"/>
    </row>
    <row r="1450" customFormat="false" ht="14.25" hidden="false" customHeight="true" outlineLevel="0" collapsed="false">
      <c r="A1450" s="117"/>
    </row>
    <row r="1451" customFormat="false" ht="14.25" hidden="false" customHeight="true" outlineLevel="0" collapsed="false">
      <c r="A1451" s="117"/>
    </row>
    <row r="1452" customFormat="false" ht="14.25" hidden="false" customHeight="true" outlineLevel="0" collapsed="false">
      <c r="A1452" s="117"/>
    </row>
    <row r="1453" customFormat="false" ht="14.25" hidden="false" customHeight="true" outlineLevel="0" collapsed="false">
      <c r="A1453" s="117"/>
    </row>
    <row r="1454" customFormat="false" ht="14.25" hidden="false" customHeight="true" outlineLevel="0" collapsed="false">
      <c r="A1454" s="117"/>
    </row>
    <row r="1455" customFormat="false" ht="14.25" hidden="false" customHeight="true" outlineLevel="0" collapsed="false">
      <c r="A1455" s="117"/>
    </row>
    <row r="1456" customFormat="false" ht="14.25" hidden="false" customHeight="true" outlineLevel="0" collapsed="false">
      <c r="A1456" s="117"/>
    </row>
    <row r="1457" customFormat="false" ht="14.25" hidden="false" customHeight="true" outlineLevel="0" collapsed="false">
      <c r="A1457" s="117"/>
    </row>
    <row r="1458" customFormat="false" ht="14.25" hidden="false" customHeight="true" outlineLevel="0" collapsed="false">
      <c r="A1458" s="117"/>
    </row>
    <row r="1459" customFormat="false" ht="14.25" hidden="false" customHeight="true" outlineLevel="0" collapsed="false">
      <c r="A1459" s="117"/>
    </row>
    <row r="1460" customFormat="false" ht="14.25" hidden="false" customHeight="true" outlineLevel="0" collapsed="false">
      <c r="A1460" s="117"/>
    </row>
    <row r="1461" customFormat="false" ht="14.25" hidden="false" customHeight="true" outlineLevel="0" collapsed="false">
      <c r="A1461" s="117"/>
    </row>
    <row r="1462" customFormat="false" ht="14.25" hidden="false" customHeight="true" outlineLevel="0" collapsed="false">
      <c r="A1462" s="117"/>
    </row>
    <row r="1463" customFormat="false" ht="14.25" hidden="false" customHeight="true" outlineLevel="0" collapsed="false">
      <c r="A1463" s="117"/>
    </row>
    <row r="1464" customFormat="false" ht="14.25" hidden="false" customHeight="true" outlineLevel="0" collapsed="false">
      <c r="A1464" s="117"/>
    </row>
    <row r="1465" customFormat="false" ht="14.25" hidden="false" customHeight="true" outlineLevel="0" collapsed="false">
      <c r="A1465" s="117"/>
    </row>
    <row r="1466" customFormat="false" ht="14.25" hidden="false" customHeight="true" outlineLevel="0" collapsed="false">
      <c r="A1466" s="117"/>
    </row>
    <row r="1467" customFormat="false" ht="14.25" hidden="false" customHeight="true" outlineLevel="0" collapsed="false">
      <c r="A1467" s="117"/>
    </row>
    <row r="1468" customFormat="false" ht="14.25" hidden="false" customHeight="true" outlineLevel="0" collapsed="false">
      <c r="A1468" s="117"/>
    </row>
    <row r="1469" customFormat="false" ht="14.25" hidden="false" customHeight="true" outlineLevel="0" collapsed="false">
      <c r="A1469" s="117"/>
    </row>
    <row r="1470" customFormat="false" ht="14.25" hidden="false" customHeight="true" outlineLevel="0" collapsed="false">
      <c r="A1470" s="117"/>
    </row>
    <row r="1471" customFormat="false" ht="14.25" hidden="false" customHeight="true" outlineLevel="0" collapsed="false">
      <c r="A1471" s="117"/>
    </row>
    <row r="1472" customFormat="false" ht="14.25" hidden="false" customHeight="true" outlineLevel="0" collapsed="false">
      <c r="A1472" s="117"/>
    </row>
    <row r="1473" customFormat="false" ht="14.25" hidden="false" customHeight="true" outlineLevel="0" collapsed="false">
      <c r="A1473" s="117"/>
    </row>
    <row r="1474" customFormat="false" ht="14.25" hidden="false" customHeight="true" outlineLevel="0" collapsed="false">
      <c r="A1474" s="117"/>
    </row>
    <row r="1475" customFormat="false" ht="14.25" hidden="false" customHeight="true" outlineLevel="0" collapsed="false">
      <c r="A1475" s="117"/>
    </row>
    <row r="1476" customFormat="false" ht="14.25" hidden="false" customHeight="true" outlineLevel="0" collapsed="false">
      <c r="A1476" s="117"/>
    </row>
    <row r="1477" customFormat="false" ht="14.25" hidden="false" customHeight="true" outlineLevel="0" collapsed="false">
      <c r="A1477" s="117"/>
    </row>
    <row r="1478" customFormat="false" ht="14.25" hidden="false" customHeight="true" outlineLevel="0" collapsed="false">
      <c r="A1478" s="117"/>
    </row>
    <row r="1479" customFormat="false" ht="14.25" hidden="false" customHeight="true" outlineLevel="0" collapsed="false">
      <c r="A1479" s="117"/>
    </row>
    <row r="1480" customFormat="false" ht="14.25" hidden="false" customHeight="true" outlineLevel="0" collapsed="false">
      <c r="A1480" s="117"/>
    </row>
    <row r="1481" customFormat="false" ht="14.25" hidden="false" customHeight="true" outlineLevel="0" collapsed="false">
      <c r="A1481" s="117"/>
    </row>
    <row r="1482" customFormat="false" ht="14.25" hidden="false" customHeight="true" outlineLevel="0" collapsed="false">
      <c r="A1482" s="117"/>
    </row>
    <row r="1483" customFormat="false" ht="14.25" hidden="false" customHeight="true" outlineLevel="0" collapsed="false">
      <c r="A1483" s="117"/>
    </row>
    <row r="1484" customFormat="false" ht="14.25" hidden="false" customHeight="true" outlineLevel="0" collapsed="false">
      <c r="A1484" s="117"/>
    </row>
    <row r="1485" customFormat="false" ht="14.25" hidden="false" customHeight="true" outlineLevel="0" collapsed="false">
      <c r="A1485" s="117"/>
    </row>
    <row r="1486" customFormat="false" ht="14.25" hidden="false" customHeight="true" outlineLevel="0" collapsed="false">
      <c r="A1486" s="117"/>
    </row>
    <row r="1487" customFormat="false" ht="14.25" hidden="false" customHeight="true" outlineLevel="0" collapsed="false">
      <c r="A1487" s="117"/>
    </row>
    <row r="1488" customFormat="false" ht="14.25" hidden="false" customHeight="true" outlineLevel="0" collapsed="false">
      <c r="A1488" s="117"/>
    </row>
    <row r="1489" customFormat="false" ht="14.25" hidden="false" customHeight="true" outlineLevel="0" collapsed="false">
      <c r="A1489" s="117"/>
    </row>
    <row r="1490" customFormat="false" ht="14.25" hidden="false" customHeight="true" outlineLevel="0" collapsed="false">
      <c r="A1490" s="117"/>
    </row>
    <row r="1491" customFormat="false" ht="14.25" hidden="false" customHeight="true" outlineLevel="0" collapsed="false">
      <c r="A1491" s="117"/>
    </row>
    <row r="1492" customFormat="false" ht="14.25" hidden="false" customHeight="true" outlineLevel="0" collapsed="false">
      <c r="A1492" s="117"/>
    </row>
    <row r="1493" customFormat="false" ht="14.25" hidden="false" customHeight="true" outlineLevel="0" collapsed="false">
      <c r="A1493" s="117"/>
    </row>
    <row r="1494" customFormat="false" ht="14.25" hidden="false" customHeight="true" outlineLevel="0" collapsed="false">
      <c r="A1494" s="117"/>
    </row>
    <row r="1495" customFormat="false" ht="14.25" hidden="false" customHeight="true" outlineLevel="0" collapsed="false">
      <c r="A1495" s="117"/>
    </row>
    <row r="1496" customFormat="false" ht="14.25" hidden="false" customHeight="true" outlineLevel="0" collapsed="false">
      <c r="A1496" s="117"/>
    </row>
    <row r="1497" customFormat="false" ht="14.25" hidden="false" customHeight="true" outlineLevel="0" collapsed="false">
      <c r="A1497" s="117"/>
    </row>
    <row r="1498" customFormat="false" ht="14.25" hidden="false" customHeight="true" outlineLevel="0" collapsed="false">
      <c r="A1498" s="117"/>
    </row>
    <row r="1499" customFormat="false" ht="14.25" hidden="false" customHeight="true" outlineLevel="0" collapsed="false">
      <c r="A1499" s="117"/>
    </row>
    <row r="1500" customFormat="false" ht="14.25" hidden="false" customHeight="true" outlineLevel="0" collapsed="false">
      <c r="A1500" s="117"/>
    </row>
    <row r="1501" customFormat="false" ht="14.25" hidden="false" customHeight="true" outlineLevel="0" collapsed="false">
      <c r="A1501" s="117"/>
    </row>
    <row r="1502" customFormat="false" ht="14.25" hidden="false" customHeight="true" outlineLevel="0" collapsed="false">
      <c r="A1502" s="117"/>
    </row>
    <row r="1503" customFormat="false" ht="14.25" hidden="false" customHeight="true" outlineLevel="0" collapsed="false">
      <c r="A1503" s="117"/>
    </row>
    <row r="1504" customFormat="false" ht="14.25" hidden="false" customHeight="true" outlineLevel="0" collapsed="false">
      <c r="A1504" s="117"/>
    </row>
    <row r="1505" customFormat="false" ht="14.25" hidden="false" customHeight="true" outlineLevel="0" collapsed="false">
      <c r="A1505" s="117"/>
    </row>
    <row r="1506" customFormat="false" ht="14.25" hidden="false" customHeight="true" outlineLevel="0" collapsed="false">
      <c r="A1506" s="117"/>
    </row>
    <row r="1507" customFormat="false" ht="14.25" hidden="false" customHeight="true" outlineLevel="0" collapsed="false">
      <c r="A1507" s="117"/>
    </row>
    <row r="1508" customFormat="false" ht="14.25" hidden="false" customHeight="true" outlineLevel="0" collapsed="false">
      <c r="A1508" s="117"/>
    </row>
    <row r="1509" customFormat="false" ht="14.25" hidden="false" customHeight="true" outlineLevel="0" collapsed="false">
      <c r="A1509" s="117"/>
    </row>
    <row r="1510" customFormat="false" ht="14.25" hidden="false" customHeight="true" outlineLevel="0" collapsed="false">
      <c r="A1510" s="117"/>
    </row>
    <row r="1511" customFormat="false" ht="14.25" hidden="false" customHeight="true" outlineLevel="0" collapsed="false">
      <c r="A1511" s="117"/>
    </row>
    <row r="1512" customFormat="false" ht="14.25" hidden="false" customHeight="true" outlineLevel="0" collapsed="false">
      <c r="A1512" s="117"/>
    </row>
    <row r="1513" customFormat="false" ht="14.25" hidden="false" customHeight="true" outlineLevel="0" collapsed="false">
      <c r="A1513" s="117"/>
    </row>
    <row r="1514" customFormat="false" ht="14.25" hidden="false" customHeight="true" outlineLevel="0" collapsed="false">
      <c r="A1514" s="117"/>
    </row>
    <row r="1515" customFormat="false" ht="14.25" hidden="false" customHeight="true" outlineLevel="0" collapsed="false">
      <c r="A1515" s="117"/>
    </row>
    <row r="1516" customFormat="false" ht="14.25" hidden="false" customHeight="true" outlineLevel="0" collapsed="false">
      <c r="A1516" s="117"/>
    </row>
    <row r="1517" customFormat="false" ht="14.25" hidden="false" customHeight="true" outlineLevel="0" collapsed="false">
      <c r="A1517" s="117"/>
    </row>
    <row r="1518" customFormat="false" ht="14.25" hidden="false" customHeight="true" outlineLevel="0" collapsed="false">
      <c r="A1518" s="117"/>
    </row>
    <row r="1519" customFormat="false" ht="14.25" hidden="false" customHeight="true" outlineLevel="0" collapsed="false">
      <c r="A1519" s="117"/>
    </row>
    <row r="1520" customFormat="false" ht="14.25" hidden="false" customHeight="true" outlineLevel="0" collapsed="false">
      <c r="A1520" s="117"/>
    </row>
    <row r="1521" customFormat="false" ht="14.25" hidden="false" customHeight="true" outlineLevel="0" collapsed="false">
      <c r="A1521" s="117"/>
    </row>
    <row r="1522" customFormat="false" ht="14.25" hidden="false" customHeight="true" outlineLevel="0" collapsed="false">
      <c r="A1522" s="117"/>
    </row>
    <row r="1523" customFormat="false" ht="14.25" hidden="false" customHeight="true" outlineLevel="0" collapsed="false">
      <c r="A1523" s="117"/>
    </row>
    <row r="1524" customFormat="false" ht="14.25" hidden="false" customHeight="true" outlineLevel="0" collapsed="false">
      <c r="A1524" s="117"/>
    </row>
    <row r="1525" customFormat="false" ht="14.25" hidden="false" customHeight="true" outlineLevel="0" collapsed="false">
      <c r="A1525" s="117"/>
    </row>
    <row r="1526" customFormat="false" ht="14.25" hidden="false" customHeight="true" outlineLevel="0" collapsed="false">
      <c r="A1526" s="117"/>
    </row>
    <row r="1527" customFormat="false" ht="14.25" hidden="false" customHeight="true" outlineLevel="0" collapsed="false">
      <c r="A1527" s="117"/>
    </row>
    <row r="1528" customFormat="false" ht="14.25" hidden="false" customHeight="true" outlineLevel="0" collapsed="false">
      <c r="A1528" s="117"/>
    </row>
    <row r="1529" customFormat="false" ht="14.25" hidden="false" customHeight="true" outlineLevel="0" collapsed="false">
      <c r="A1529" s="117"/>
    </row>
    <row r="1530" customFormat="false" ht="14.25" hidden="false" customHeight="true" outlineLevel="0" collapsed="false">
      <c r="A1530" s="117"/>
    </row>
    <row r="1531" customFormat="false" ht="14.25" hidden="false" customHeight="true" outlineLevel="0" collapsed="false">
      <c r="A1531" s="117"/>
    </row>
    <row r="1532" customFormat="false" ht="14.25" hidden="false" customHeight="true" outlineLevel="0" collapsed="false">
      <c r="A1532" s="117"/>
    </row>
    <row r="1533" customFormat="false" ht="14.25" hidden="false" customHeight="true" outlineLevel="0" collapsed="false">
      <c r="A1533" s="117"/>
    </row>
    <row r="1534" customFormat="false" ht="14.25" hidden="false" customHeight="true" outlineLevel="0" collapsed="false">
      <c r="A1534" s="117"/>
    </row>
    <row r="1535" customFormat="false" ht="14.25" hidden="false" customHeight="true" outlineLevel="0" collapsed="false">
      <c r="A1535" s="117"/>
    </row>
    <row r="1536" customFormat="false" ht="14.25" hidden="false" customHeight="true" outlineLevel="0" collapsed="false">
      <c r="A1536" s="117"/>
    </row>
    <row r="1537" customFormat="false" ht="14.25" hidden="false" customHeight="true" outlineLevel="0" collapsed="false">
      <c r="A1537" s="117"/>
    </row>
    <row r="1538" customFormat="false" ht="14.25" hidden="false" customHeight="true" outlineLevel="0" collapsed="false">
      <c r="A1538" s="117"/>
    </row>
    <row r="1539" customFormat="false" ht="14.25" hidden="false" customHeight="true" outlineLevel="0" collapsed="false">
      <c r="A1539" s="117"/>
    </row>
    <row r="1540" customFormat="false" ht="15" hidden="false" customHeight="true" outlineLevel="0" collapsed="false">
      <c r="A1540" s="117"/>
    </row>
    <row r="1541" customFormat="false" ht="15" hidden="false" customHeight="true" outlineLevel="0" collapsed="false"/>
  </sheetData>
  <autoFilter ref="A1:X1000">
    <filterColumn colId="16">
      <filters>
        <filter val="À venir"/>
        <filter val="En cours"/>
      </filters>
    </filterColumn>
  </autoFilter>
  <conditionalFormatting sqref="Q2:Q1000">
    <cfRule type="cellIs" priority="2" operator="equal" aboveAverage="0" equalAverage="0" bottom="0" percent="0" rank="0" text="" dxfId="45">
      <formula>"Terminé"</formula>
    </cfRule>
    <cfRule type="cellIs" priority="3" operator="equal" aboveAverage="0" equalAverage="0" bottom="0" percent="0" rank="0" text="" dxfId="46">
      <formula>"En cours"</formula>
    </cfRule>
    <cfRule type="cellIs" priority="4" operator="equal" aboveAverage="0" equalAverage="0" bottom="0" percent="0" rank="0" text="" dxfId="47">
      <formula>"À venir"</formula>
    </cfRule>
  </conditionalFormatting>
  <conditionalFormatting sqref="O2:P1000">
    <cfRule type="cellIs" priority="5" operator="equal" aboveAverage="0" equalAverage="0" bottom="0" percent="0" rank="0" text="" dxfId="42">
      <formula>"P1"</formula>
    </cfRule>
    <cfRule type="cellIs" priority="6" operator="equal" aboveAverage="0" equalAverage="0" bottom="0" percent="0" rank="0" text="" dxfId="43">
      <formula>"P2"</formula>
    </cfRule>
    <cfRule type="cellIs" priority="7" operator="equal" aboveAverage="0" equalAverage="0" bottom="0" percent="0" rank="0" text="" dxfId="44">
      <formula>"P3"</formula>
    </cfRule>
  </conditionalFormatting>
  <dataValidations count="2">
    <dataValidation allowBlank="true" errorStyle="stop" operator="between" showDropDown="false" showErrorMessage="false" showInputMessage="false" sqref="Q2:Q1000" type="list">
      <formula1>"Terminé,En cours,À venir"</formula1>
      <formula2>0</formula2>
    </dataValidation>
    <dataValidation allowBlank="true" errorStyle="stop" operator="between" showDropDown="false" showErrorMessage="false" showInputMessage="false" sqref="P2:P1000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P37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B19" activeCellId="0" sqref="B19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.85"/>
    <col collapsed="false" customWidth="true" hidden="false" outlineLevel="0" max="3" min="3" style="0" width="8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40"/>
    <col collapsed="false" customWidth="true" hidden="false" outlineLevel="0" max="7" min="7" style="0" width="3"/>
    <col collapsed="false" customWidth="true" hidden="false" outlineLevel="0" max="8" min="8" style="0" width="22.86"/>
    <col collapsed="false" customWidth="true" hidden="false" outlineLevel="0" max="9" min="9" style="0" width="40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219" t="s">
        <v>795</v>
      </c>
      <c r="B1" s="219"/>
      <c r="C1" s="219"/>
      <c r="D1" s="219"/>
      <c r="E1" s="219"/>
      <c r="F1" s="219"/>
    </row>
    <row r="2" customFormat="false" ht="18" hidden="false" customHeight="true" outlineLevel="0" collapsed="false">
      <c r="A2" s="220" t="s">
        <v>1051</v>
      </c>
      <c r="B2" s="220"/>
      <c r="C2" s="220"/>
      <c r="D2" s="220"/>
      <c r="E2" s="220"/>
      <c r="F2" s="220"/>
    </row>
    <row r="3" customFormat="false" ht="15" hidden="false" customHeight="false" outlineLevel="0" collapsed="false">
      <c r="A3" s="14" t="str">
        <f aca="false">HYPERLINK("#Accueil!A1","⌂ Accueil")</f>
        <v>⌂ Accueil</v>
      </c>
    </row>
    <row r="4" customFormat="false" ht="21.75" hidden="false" customHeight="true" outlineLevel="0" collapsed="false">
      <c r="A4" s="221" t="s">
        <v>797</v>
      </c>
      <c r="B4" s="222" t="s">
        <v>171</v>
      </c>
      <c r="H4" s="223" t="s">
        <v>798</v>
      </c>
      <c r="I4" s="223"/>
    </row>
    <row r="5" customFormat="false" ht="21.75" hidden="false" customHeight="true" outlineLevel="0" collapsed="false">
      <c r="A5" s="221" t="s">
        <v>674</v>
      </c>
      <c r="B5" s="224" t="n">
        <v>46188</v>
      </c>
      <c r="D5" s="225" t="s">
        <v>799</v>
      </c>
      <c r="H5" s="226" t="s">
        <v>800</v>
      </c>
      <c r="I5" s="227" t="n">
        <v>1</v>
      </c>
    </row>
    <row r="6" customFormat="false" ht="15" hidden="false" customHeight="true" outlineLevel="0" collapsed="false">
      <c r="A6" s="228" t="str">
        <f aca="false">IF($B$5="","",IF(ISNUMBER($B$5),"","⚠ Date non reconnue — saisir au format AAAA-MM-JJ, ex. 2026-05-15"))</f>
        <v/>
      </c>
      <c r="B6" s="228"/>
      <c r="C6" s="228"/>
      <c r="D6" s="228"/>
      <c r="E6" s="228"/>
      <c r="F6" s="228"/>
      <c r="H6" s="226" t="s">
        <v>801</v>
      </c>
      <c r="I6" s="229"/>
    </row>
    <row r="7" customFormat="false" ht="19.5" hidden="false" customHeight="true" outlineLevel="0" collapsed="false">
      <c r="A7" s="230" t="s">
        <v>1053</v>
      </c>
      <c r="B7" s="230" t="s">
        <v>803</v>
      </c>
      <c r="C7" s="230" t="s">
        <v>804</v>
      </c>
      <c r="D7" s="230" t="s">
        <v>805</v>
      </c>
      <c r="H7" s="226" t="s">
        <v>806</v>
      </c>
      <c r="I7" s="231" t="n">
        <v>46197</v>
      </c>
    </row>
    <row r="8" customFormat="false" ht="33.75" hidden="false" customHeight="true" outlineLevel="0" collapsed="false">
      <c r="A8" s="232" t="n">
        <f aca="false">IF($B$4=$L$26,COUNTA($L$27:$L$37),COUNTA($I$27:$I$37))</f>
        <v>11</v>
      </c>
      <c r="C8" s="233" t="n">
        <f aca="false">IF(OR($B$5="",NOT(ISNUMBER($B$5))),"",WORKDAY($B$5-1,$A$8,$I$7:$I$12))</f>
        <v>46203</v>
      </c>
      <c r="D8" s="234" t="str">
        <f aca="false">IF($B$4="","",$B$4)</f>
        <v>Montréal</v>
      </c>
      <c r="H8" s="226" t="s">
        <v>807</v>
      </c>
      <c r="I8" s="231"/>
    </row>
    <row r="9" customFormat="false" ht="15" hidden="false" customHeight="true" outlineLevel="0" collapsed="false">
      <c r="H9" s="226" t="s">
        <v>808</v>
      </c>
      <c r="I9" s="231"/>
    </row>
    <row r="10" customFormat="false" ht="19.5" hidden="false" customHeight="true" outlineLevel="0" collapsed="false">
      <c r="A10" s="235" t="s">
        <v>809</v>
      </c>
      <c r="B10" s="235" t="s">
        <v>810</v>
      </c>
      <c r="C10" s="235" t="s">
        <v>809</v>
      </c>
      <c r="D10" s="235" t="s">
        <v>811</v>
      </c>
      <c r="E10" s="235" t="s">
        <v>673</v>
      </c>
      <c r="F10" s="235" t="s">
        <v>690</v>
      </c>
      <c r="H10" s="226" t="s">
        <v>812</v>
      </c>
      <c r="I10" s="231"/>
    </row>
    <row r="11" customFormat="false" ht="33.75" hidden="false" customHeight="true" outlineLevel="0" collapsed="false">
      <c r="A11" s="236" t="str">
        <f aca="false">"J"&amp;1</f>
        <v>J1</v>
      </c>
      <c r="B11" s="237" t="n">
        <f aca="false">IF(OR($B$5="",NOT(ISNUMBER($B$5)),1&gt;$A$8),"",WORKDAY($B$5-1,1,$I$7:$I$12))</f>
        <v>46188</v>
      </c>
      <c r="C11" s="238" t="str">
        <f aca="false">IF(B11="","",CHOOSE(WEEKDAY(B11,1),"Dim","Lun","Mar","Mer","Jeu","Ven","Sam"))</f>
        <v>Lun</v>
      </c>
      <c r="D11" s="239" t="str">
        <f aca="false">IF(OR($B$5="",NOT(ISNUMBER($B$5)),1&gt;$A$8),"",IF($B$4=$L$26,INDEX($L$27:$L$37,1),INDEX($I$27:$I$37,1)))</f>
        <v>Académie / Autoformation</v>
      </c>
      <c r="E11" s="240" t="n">
        <f aca="false">IF(OR($B$5="",NOT(ISNUMBER($B$5)),1&gt;$A$8),"",IF($B$4=$L$26,INDEX($M$27:$M$37,1),INDEX($J$27:$J$37,1)))</f>
        <v>0</v>
      </c>
      <c r="F11" s="241" t="n">
        <f aca="false">IF(OR($B$5="",NOT(ISNUMBER($B$5)),1&gt;$A$8),"",IF($B$4=$L$26,INDEX($N$27:$N$37,1),INDEX($K$27:$K$37,1)))</f>
        <v>0</v>
      </c>
      <c r="H11" s="226" t="s">
        <v>813</v>
      </c>
      <c r="I11" s="231"/>
    </row>
    <row r="12" customFormat="false" ht="33.75" hidden="false" customHeight="true" outlineLevel="0" collapsed="false">
      <c r="A12" s="236" t="str">
        <f aca="false">"J"&amp;2</f>
        <v>J2</v>
      </c>
      <c r="B12" s="242" t="n">
        <f aca="false">IF(OR($B$5="",NOT(ISNUMBER($B$5)),2&gt;$A$8),"",WORKDAY($B$5-1,2,$I$7:$I$12))</f>
        <v>46189</v>
      </c>
      <c r="C12" s="243" t="str">
        <f aca="false">IF(B12="","",CHOOSE(WEEKDAY(B12,1),"Dim","Lun","Mar","Mer","Jeu","Ven","Sam"))</f>
        <v>Mar</v>
      </c>
      <c r="D12" s="239" t="str">
        <f aca="false">IF(OR($B$5="",NOT(ISNUMBER($B$5)),2&gt;$A$8),"",IF($B$4=$L$26,INDEX($L$27:$L$37,2),INDEX($I$27:$I$37,2)))</f>
        <v>Introduction à QuillRes</v>
      </c>
      <c r="E12" s="240" t="str">
        <f aca="false">IF(OR($B$5="",NOT(ISNUMBER($B$5)),2&gt;$A$8),"",IF($B$4=$L$26,INDEX($M$27:$M$37,2),INDEX($J$27:$J$37,2)))</f>
        <v>45 min</v>
      </c>
      <c r="F12" s="241" t="n">
        <f aca="false">IF(OR($B$5="",NOT(ISNUMBER($B$5)),2&gt;$A$8),"",IF($B$4=$L$26,INDEX($N$27:$N$37,2),INDEX($K$27:$K$37,2)))</f>
        <v>0</v>
      </c>
      <c r="H12" s="226" t="s">
        <v>814</v>
      </c>
      <c r="I12" s="231"/>
    </row>
    <row r="13" customFormat="false" ht="33.75" hidden="false" customHeight="true" outlineLevel="0" collapsed="false">
      <c r="A13" s="236" t="str">
        <f aca="false">"J"&amp;3</f>
        <v>J3</v>
      </c>
      <c r="B13" s="237" t="n">
        <f aca="false">IF(OR($B$5="",NOT(ISNUMBER($B$5)),3&gt;$A$8),"",WORKDAY($B$5-1,3,$I$7:$I$12))</f>
        <v>46190</v>
      </c>
      <c r="C13" s="238" t="str">
        <f aca="false">IF(B13="","",CHOOSE(WEEKDAY(B13,1),"Dim","Lun","Mar","Mer","Jeu","Ven","Sam"))</f>
        <v>Mer</v>
      </c>
      <c r="D13" s="239" t="str">
        <f aca="false">IF(OR($B$5="",NOT(ISNUMBER($B$5)),3&gt;$A$8),"",IF($B$4=$L$26,INDEX($L$27:$L$37,3),INDEX($I$27:$I$37,3)))</f>
        <v>À la découverte de QuillTour + Séance d’observation avec mentor</v>
      </c>
      <c r="E13" s="240" t="str">
        <f aca="false">IF(OR($B$5="",NOT(ISNUMBER($B$5)),3&gt;$A$8),"",IF($B$4=$L$26,INDEX($M$27:$M$37,3),INDEX($J$27:$J$37,3)))</f>
        <v>90 min</v>
      </c>
      <c r="F13" s="241" t="str">
        <f aca="false">IF(OR($B$5="",NOT(ISNUMBER($B$5)),3&gt;$A$8),"",IF($B$4=$L$26,INDEX($N$27:$N$37,3),INDEX($K$27:$K$37,3)))</f>
        <v>Module en groupe ; séance à planifier avec le mentor</v>
      </c>
    </row>
    <row r="14" customFormat="false" ht="33.75" hidden="false" customHeight="true" outlineLevel="0" collapsed="false">
      <c r="A14" s="236" t="str">
        <f aca="false">"J"&amp;4</f>
        <v>J4</v>
      </c>
      <c r="B14" s="242" t="n">
        <f aca="false">IF(OR($B$5="",NOT(ISNUMBER($B$5)),4&gt;$A$8),"",WORKDAY($B$5-1,4,$I$7:$I$12))</f>
        <v>46191</v>
      </c>
      <c r="C14" s="243" t="str">
        <f aca="false">IF(B14="","",CHOOSE(WEEKDAY(B14,1),"Dim","Lun","Mar","Mer","Jeu","Ven","Sam"))</f>
        <v>Jeu</v>
      </c>
      <c r="D14" s="239" t="str">
        <f aca="false">IF(OR($B$5="",NOT(ISNUMBER($B$5)),4&gt;$A$8),"",IF($B$4=$L$26,INDEX($L$27:$L$37,4),INDEX($I$27:$I$37,4)))</f>
        <v>Académie / Autoformation</v>
      </c>
      <c r="E14" s="240" t="n">
        <f aca="false">IF(OR($B$5="",NOT(ISNUMBER($B$5)),4&gt;$A$8),"",IF($B$4=$L$26,INDEX($M$27:$M$37,4),INDEX($J$27:$J$37,4)))</f>
        <v>0</v>
      </c>
      <c r="F14" s="241" t="n">
        <f aca="false">IF(OR($B$5="",NOT(ISNUMBER($B$5)),4&gt;$A$8),"",IF($B$4=$L$26,INDEX($N$27:$N$37,4),INDEX($K$27:$K$37,4)))</f>
        <v>0</v>
      </c>
    </row>
    <row r="15" customFormat="false" ht="33.75" hidden="false" customHeight="true" outlineLevel="0" collapsed="false">
      <c r="A15" s="236" t="str">
        <f aca="false">"J"&amp;5</f>
        <v>J5</v>
      </c>
      <c r="B15" s="237" t="n">
        <f aca="false">IF(OR($B$5="",NOT(ISNUMBER($B$5)),5&gt;$A$8),"",WORKDAY($B$5-1,5,$I$7:$I$12))</f>
        <v>46192</v>
      </c>
      <c r="C15" s="238" t="str">
        <f aca="false">IF(B15="","",CHOOSE(WEEKDAY(B15,1),"Dim","Lun","Mar","Mer","Jeu","Ven","Sam"))</f>
        <v>Ven</v>
      </c>
      <c r="D15" s="239" t="str">
        <f aca="false">IF(OR($B$5="",NOT(ISNUMBER($B$5)),5&gt;$A$8),"",IF($B$4=$L$26,INDEX($L$27:$L$37,5),INDEX($I$27:$I$37,5)))</f>
        <v>Calcul de prix + Gestion d’appel : Réservation &amp; grille</v>
      </c>
      <c r="E15" s="240" t="str">
        <f aca="false">IF(OR($B$5="",NOT(ISNUMBER($B$5)),5&gt;$A$8),"",IF($B$4=$L$26,INDEX($M$27:$M$37,5),INDEX($J$27:$J$37,5)))</f>
        <v>45 / 90 min</v>
      </c>
      <c r="F15" s="241" t="str">
        <f aca="false">IF(OR($B$5="",NOT(ISNUMBER($B$5)),5&gt;$A$8),"",IF($B$4=$L$26,INDEX($N$27:$N$37,5),INDEX($K$27:$K$37,5)))</f>
        <v>J5 ou J6 — interchangeable avec Modifications</v>
      </c>
    </row>
    <row r="16" customFormat="false" ht="33.75" hidden="false" customHeight="true" outlineLevel="0" collapsed="false">
      <c r="A16" s="236" t="str">
        <f aca="false">"J"&amp;6</f>
        <v>J6</v>
      </c>
      <c r="B16" s="242" t="n">
        <f aca="false">IF(OR($B$5="",NOT(ISNUMBER($B$5)),6&gt;$A$8),"",WORKDAY($B$5-1,6,$I$7:$I$12))</f>
        <v>46195</v>
      </c>
      <c r="C16" s="243" t="str">
        <f aca="false">IF(B16="","",CHOOSE(WEEKDAY(B16,1),"Dim","Lun","Mar","Mer","Jeu","Ven","Sam"))</f>
        <v>Lun</v>
      </c>
      <c r="D16" s="239" t="str">
        <f aca="false">IF(OR($B$5="",NOT(ISNUMBER($B$5)),6&gt;$A$8),"",IF($B$4=$L$26,INDEX($L$27:$L$37,6),INDEX($I$27:$I$37,6)))</f>
        <v>Gestion d’appel : Modifications et techniques de vente</v>
      </c>
      <c r="E16" s="240" t="str">
        <f aca="false">IF(OR($B$5="",NOT(ISNUMBER($B$5)),6&gt;$A$8),"",IF($B$4=$L$26,INDEX($M$27:$M$37,6),INDEX($J$27:$J$37,6)))</f>
        <v>90 min</v>
      </c>
      <c r="F16" s="241" t="str">
        <f aca="false">IF(OR($B$5="",NOT(ISNUMBER($B$5)),6&gt;$A$8),"",IF($B$4=$L$26,INDEX($N$27:$N$37,6),INDEX($K$27:$K$37,6)))</f>
        <v>J5 ou J6 — interchangeable avec Réservation</v>
      </c>
    </row>
    <row r="17" customFormat="false" ht="33.75" hidden="false" customHeight="true" outlineLevel="0" collapsed="false">
      <c r="A17" s="236" t="str">
        <f aca="false">"J"&amp;7</f>
        <v>J7</v>
      </c>
      <c r="B17" s="237" t="n">
        <f aca="false">IF(OR($B$5="",NOT(ISNUMBER($B$5)),7&gt;$A$8),"",WORKDAY($B$5-1,7,$I$7:$I$12))</f>
        <v>46196</v>
      </c>
      <c r="C17" s="238" t="str">
        <f aca="false">IF(B17="","",CHOOSE(WEEKDAY(B17,1),"Dim","Lun","Mar","Mer","Jeu","Ven","Sam"))</f>
        <v>Mar</v>
      </c>
      <c r="D17" s="239" t="str">
        <f aca="false">IF(OR($B$5="",NOT(ISNUMBER($B$5)),7&gt;$A$8),"",IF($B$4=$L$26,INDEX($L$27:$L$37,7),INDEX($I$27:$I$37,7)))</f>
        <v>Académie / Autoformation</v>
      </c>
      <c r="E17" s="240" t="n">
        <f aca="false">IF(OR($B$5="",NOT(ISNUMBER($B$5)),7&gt;$A$8),"",IF($B$4=$L$26,INDEX($M$27:$M$37,7),INDEX($J$27:$J$37,7)))</f>
        <v>0</v>
      </c>
      <c r="F17" s="241" t="n">
        <f aca="false">IF(OR($B$5="",NOT(ISNUMBER($B$5)),7&gt;$A$8),"",IF($B$4=$L$26,INDEX($N$27:$N$37,7),INDEX($K$27:$K$37,7)))</f>
        <v>0</v>
      </c>
    </row>
    <row r="18" customFormat="false" ht="33.75" hidden="false" customHeight="true" outlineLevel="0" collapsed="false">
      <c r="A18" s="236" t="str">
        <f aca="false">"J"&amp;8</f>
        <v>J8</v>
      </c>
      <c r="B18" s="242" t="n">
        <f aca="false">IF(OR($B$5="",NOT(ISNUMBER($B$5)),8&gt;$A$8),"",WORKDAY($B$5-1,8,$I$7:$I$12))</f>
        <v>46198</v>
      </c>
      <c r="C18" s="243" t="str">
        <f aca="false">IF(B18="","",CHOOSE(WEEKDAY(B18,1),"Dim","Lun","Mar","Mer","Jeu","Ven","Sam"))</f>
        <v>Jeu</v>
      </c>
      <c r="D18" s="239" t="str">
        <f aca="false">IF(OR($B$5="",NOT(ISNUMBER($B$5)),8&gt;$A$8),"",IF($B$4=$L$26,INDEX($L$27:$L$37,8),INDEX($I$27:$I$37,8)))</f>
        <v>Gestion d’appel : Réservation ou Modifications (si non fait)</v>
      </c>
      <c r="E18" s="240" t="str">
        <f aca="false">IF(OR($B$5="",NOT(ISNUMBER($B$5)),8&gt;$A$8),"",IF($B$4=$L$26,INDEX($M$27:$M$37,8),INDEX($J$27:$J$37,8)))</f>
        <v>90 min</v>
      </c>
      <c r="F18" s="241" t="str">
        <f aca="false">IF(OR($B$5="",NOT(ISNUMBER($B$5)),8&gt;$A$8),"",IF($B$4=$L$26,INDEX($N$27:$N$37,8),INDEX($K$27:$K$37,8)))</f>
        <v>Selon planification</v>
      </c>
    </row>
    <row r="19" customFormat="false" ht="33.75" hidden="false" customHeight="true" outlineLevel="0" collapsed="false">
      <c r="A19" s="236" t="str">
        <f aca="false">"J"&amp;9</f>
        <v>J9</v>
      </c>
      <c r="B19" s="237" t="n">
        <f aca="false">IF(OR($B$5="",NOT(ISNUMBER($B$5)),9&gt;$A$8),"",WORKDAY($B$5-1,9,$I$7:$I$12))</f>
        <v>46199</v>
      </c>
      <c r="C19" s="238" t="str">
        <f aca="false">IF(B19="","",CHOOSE(WEEKDAY(B19,1),"Dim","Lun","Mar","Mer","Jeu","Ven","Sam"))</f>
        <v>Ven</v>
      </c>
      <c r="D19" s="239" t="str">
        <f aca="false">IF(OR($B$5="",NOT(ISNUMBER($B$5)),9&gt;$A$8),"",IF($B$4=$L$26,INDEX($L$27:$L$37,9),INDEX($I$27:$I$37,9)))</f>
        <v>Les systèmes chez Quillridge</v>
      </c>
      <c r="E19" s="240" t="str">
        <f aca="false">IF(OR($B$5="",NOT(ISNUMBER($B$5)),9&gt;$A$8),"",IF($B$4=$L$26,INDEX($M$27:$M$37,9),INDEX($J$27:$J$37,9)))</f>
        <v>2 h</v>
      </c>
      <c r="F19" s="241" t="n">
        <f aca="false">IF(OR($B$5="",NOT(ISNUMBER($B$5)),9&gt;$A$8),"",IF($B$4=$L$26,INDEX($N$27:$N$37,9),INDEX($K$27:$K$37,9)))</f>
        <v>0</v>
      </c>
    </row>
    <row r="20" customFormat="false" ht="33.75" hidden="false" customHeight="true" outlineLevel="0" collapsed="false">
      <c r="A20" s="236" t="str">
        <f aca="false">"J"&amp;10</f>
        <v>J10</v>
      </c>
      <c r="B20" s="242" t="n">
        <f aca="false">IF(OR($B$5="",NOT(ISNUMBER($B$5)),10&gt;$A$8),"",WORKDAY($B$5-1,10,$I$7:$I$12))</f>
        <v>46202</v>
      </c>
      <c r="C20" s="243" t="str">
        <f aca="false">IF(B20="","",CHOOSE(WEEKDAY(B20,1),"Dim","Lun","Mar","Mer","Jeu","Ven","Sam"))</f>
        <v>Lun</v>
      </c>
      <c r="D20" s="239" t="str">
        <f aca="false">IF(OR($B$5="",NOT(ISNUMBER($B$5)),10&gt;$A$8),"",IF($B$4=$L$26,INDEX($L$27:$L$37,10),INDEX($I$27:$I$37,10)))</f>
        <v>Salesforce</v>
      </c>
      <c r="E20" s="240" t="str">
        <f aca="false">IF(OR($B$5="",NOT(ISNUMBER($B$5)),10&gt;$A$8),"",IF($B$4=$L$26,INDEX($M$27:$M$37,10),INDEX($J$27:$J$37,10)))</f>
        <v>90 min</v>
      </c>
      <c r="F20" s="241" t="str">
        <f aca="false">IF(OR($B$5="",NOT(ISNUMBER($B$5)),10&gt;$A$8),"",IF($B$4=$L$26,INDEX($N$27:$N$37,10),INDEX($K$27:$K$37,10)))</f>
        <v>Aviser WFM pour horaires / inscriptions</v>
      </c>
    </row>
    <row r="21" customFormat="false" ht="33.75" hidden="false" customHeight="true" outlineLevel="0" collapsed="false">
      <c r="A21" s="236" t="str">
        <f aca="false">"J"&amp;11</f>
        <v>J11</v>
      </c>
      <c r="B21" s="237" t="n">
        <f aca="false">IF(OR($B$5="",NOT(ISNUMBER($B$5)),11&gt;$A$8),"",WORKDAY($B$5-1,11,$I$7:$I$12))</f>
        <v>46203</v>
      </c>
      <c r="C21" s="238" t="str">
        <f aca="false">IF(B21="","",CHOOSE(WEEKDAY(B21,1),"Dim","Lun","Mar","Mer","Jeu","Ven","Sam"))</f>
        <v>Mar</v>
      </c>
      <c r="D21" s="239" t="str">
        <f aca="false">IF(OR($B$5="",NOT(ISNUMBER($B$5)),11&gt;$A$8),"",IF($B$4=$L$26,INDEX($L$27:$L$37,11),INDEX($I$27:$I$37,11)))</f>
        <v>Prise d'appels encadrée</v>
      </c>
      <c r="E21" s="240" t="str">
        <f aca="false">IF(OR($B$5="",NOT(ISNUMBER($B$5)),11&gt;$A$8),"",IF($B$4=$L$26,INDEX($M$27:$M$37,11),INDEX($J$27:$J$37,11)))</f>
        <v>Journée complète</v>
      </c>
      <c r="F21" s="241" t="str">
        <f aca="false">IF(OR($B$5="",NOT(ISNUMBER($B$5)),11&gt;$A$8),"",IF($B$4=$L$26,INDEX($N$27:$N$37,11),INDEX($K$27:$K$37,11)))</f>
        <v>Aviser WFM + rencontre fin de formation avec co-pilote</v>
      </c>
    </row>
    <row r="23" customFormat="false" ht="27.75" hidden="false" customHeight="true" outlineLevel="0" collapsed="false">
      <c r="A23" s="244" t="s">
        <v>815</v>
      </c>
      <c r="B23" s="244"/>
      <c r="C23" s="244"/>
      <c r="D23" s="244"/>
      <c r="E23" s="244"/>
      <c r="F23" s="244"/>
    </row>
    <row r="25" customFormat="false" ht="15" hidden="false" customHeight="true" outlineLevel="0" collapsed="false">
      <c r="H25" s="245" t="s">
        <v>1050</v>
      </c>
      <c r="I25" s="245"/>
      <c r="J25" s="245"/>
      <c r="K25" s="245"/>
      <c r="L25" s="245"/>
      <c r="M25" s="245"/>
      <c r="N25" s="245"/>
    </row>
    <row r="26" customFormat="false" ht="24" hidden="false" customHeight="true" outlineLevel="0" collapsed="false">
      <c r="H26" s="246" t="s">
        <v>809</v>
      </c>
      <c r="I26" s="246" t="s">
        <v>1048</v>
      </c>
      <c r="J26" s="246" t="s">
        <v>673</v>
      </c>
      <c r="K26" s="246" t="s">
        <v>818</v>
      </c>
      <c r="L26" s="246" t="s">
        <v>1049</v>
      </c>
      <c r="M26" s="246" t="s">
        <v>673</v>
      </c>
      <c r="N26" s="246" t="s">
        <v>818</v>
      </c>
      <c r="P26" t="str">
        <f aca="false">$I$26</f>
        <v>Montréal</v>
      </c>
    </row>
    <row r="27" customFormat="false" ht="30" hidden="false" customHeight="true" outlineLevel="0" collapsed="false">
      <c r="H27" s="240" t="s">
        <v>820</v>
      </c>
      <c r="I27" s="247" t="s">
        <v>821</v>
      </c>
      <c r="J27" s="248"/>
      <c r="K27" s="249"/>
      <c r="L27" s="247" t="s">
        <v>821</v>
      </c>
      <c r="M27" s="248"/>
      <c r="N27" s="249"/>
      <c r="P27" t="str">
        <f aca="false">$L$26</f>
        <v>Lisbonne</v>
      </c>
    </row>
    <row r="28" customFormat="false" ht="30" hidden="false" customHeight="true" outlineLevel="0" collapsed="false">
      <c r="H28" s="240" t="s">
        <v>822</v>
      </c>
      <c r="I28" s="247" t="s">
        <v>823</v>
      </c>
      <c r="J28" s="248" t="s">
        <v>824</v>
      </c>
      <c r="K28" s="249"/>
      <c r="L28" s="247" t="s">
        <v>823</v>
      </c>
      <c r="M28" s="248" t="s">
        <v>824</v>
      </c>
      <c r="N28" s="249"/>
    </row>
    <row r="29" customFormat="false" ht="30" hidden="false" customHeight="true" outlineLevel="0" collapsed="false">
      <c r="H29" s="240" t="s">
        <v>825</v>
      </c>
      <c r="I29" s="247" t="s">
        <v>826</v>
      </c>
      <c r="J29" s="248" t="s">
        <v>827</v>
      </c>
      <c r="K29" s="249" t="s">
        <v>828</v>
      </c>
      <c r="L29" s="247" t="s">
        <v>829</v>
      </c>
      <c r="M29" s="248" t="s">
        <v>827</v>
      </c>
      <c r="N29" s="249" t="s">
        <v>830</v>
      </c>
    </row>
    <row r="30" customFormat="false" ht="30" hidden="false" customHeight="true" outlineLevel="0" collapsed="false">
      <c r="H30" s="240" t="s">
        <v>831</v>
      </c>
      <c r="I30" s="247" t="s">
        <v>821</v>
      </c>
      <c r="J30" s="248"/>
      <c r="K30" s="249"/>
      <c r="L30" s="247" t="s">
        <v>821</v>
      </c>
      <c r="M30" s="248"/>
      <c r="N30" s="249"/>
    </row>
    <row r="31" customFormat="false" ht="30" hidden="false" customHeight="true" outlineLevel="0" collapsed="false">
      <c r="H31" s="240" t="s">
        <v>832</v>
      </c>
      <c r="I31" s="247" t="s">
        <v>833</v>
      </c>
      <c r="J31" s="248" t="s">
        <v>834</v>
      </c>
      <c r="K31" s="249" t="s">
        <v>835</v>
      </c>
      <c r="L31" s="247" t="s">
        <v>833</v>
      </c>
      <c r="M31" s="248" t="s">
        <v>834</v>
      </c>
      <c r="N31" s="249"/>
    </row>
    <row r="32" customFormat="false" ht="30" hidden="false" customHeight="true" outlineLevel="0" collapsed="false">
      <c r="H32" s="240" t="s">
        <v>836</v>
      </c>
      <c r="I32" s="247" t="s">
        <v>837</v>
      </c>
      <c r="J32" s="248" t="s">
        <v>827</v>
      </c>
      <c r="K32" s="249" t="s">
        <v>838</v>
      </c>
      <c r="L32" s="247" t="s">
        <v>839</v>
      </c>
      <c r="M32" s="248" t="s">
        <v>827</v>
      </c>
      <c r="N32" s="249"/>
    </row>
    <row r="33" customFormat="false" ht="30" hidden="false" customHeight="true" outlineLevel="0" collapsed="false">
      <c r="H33" s="240" t="s">
        <v>840</v>
      </c>
      <c r="I33" s="247" t="s">
        <v>821</v>
      </c>
      <c r="J33" s="248"/>
      <c r="K33" s="249"/>
      <c r="L33" s="247" t="s">
        <v>821</v>
      </c>
      <c r="M33" s="248"/>
      <c r="N33" s="249"/>
    </row>
    <row r="34" customFormat="false" ht="30" hidden="false" customHeight="true" outlineLevel="0" collapsed="false">
      <c r="H34" s="240" t="s">
        <v>841</v>
      </c>
      <c r="I34" s="247" t="s">
        <v>842</v>
      </c>
      <c r="J34" s="248" t="s">
        <v>827</v>
      </c>
      <c r="K34" s="249" t="s">
        <v>843</v>
      </c>
      <c r="L34" s="247" t="s">
        <v>844</v>
      </c>
      <c r="M34" s="248" t="s">
        <v>845</v>
      </c>
      <c r="N34" s="249"/>
    </row>
    <row r="35" customFormat="false" ht="30" hidden="false" customHeight="true" outlineLevel="0" collapsed="false">
      <c r="H35" s="240" t="s">
        <v>846</v>
      </c>
      <c r="I35" s="247" t="s">
        <v>844</v>
      </c>
      <c r="J35" s="248" t="s">
        <v>845</v>
      </c>
      <c r="K35" s="249"/>
      <c r="L35" s="247" t="s">
        <v>847</v>
      </c>
      <c r="M35" s="248" t="s">
        <v>827</v>
      </c>
      <c r="N35" s="249" t="s">
        <v>848</v>
      </c>
    </row>
    <row r="36" customFormat="false" ht="30" hidden="false" customHeight="true" outlineLevel="0" collapsed="false">
      <c r="H36" s="240" t="s">
        <v>849</v>
      </c>
      <c r="I36" s="247" t="s">
        <v>847</v>
      </c>
      <c r="J36" s="248" t="s">
        <v>827</v>
      </c>
      <c r="K36" s="249" t="s">
        <v>848</v>
      </c>
      <c r="L36" s="247" t="s">
        <v>689</v>
      </c>
      <c r="M36" s="248" t="s">
        <v>850</v>
      </c>
      <c r="N36" s="249" t="s">
        <v>851</v>
      </c>
    </row>
    <row r="37" customFormat="false" ht="30" hidden="false" customHeight="true" outlineLevel="0" collapsed="false">
      <c r="H37" s="240" t="s">
        <v>852</v>
      </c>
      <c r="I37" s="247" t="s">
        <v>689</v>
      </c>
      <c r="J37" s="248" t="s">
        <v>850</v>
      </c>
      <c r="K37" s="249" t="s">
        <v>851</v>
      </c>
      <c r="L37" s="247" t="s"/>
      <c r="M37" s="248"/>
      <c r="N37" s="249" t="s">
        <v>1052</v>
      </c>
    </row>
  </sheetData>
  <mergeCells count="6">
    <mergeCell ref="A1:F1"/>
    <mergeCell ref="A2:F2"/>
    <mergeCell ref="H4:I4"/>
    <mergeCell ref="A6:F6"/>
    <mergeCell ref="A23:F23"/>
    <mergeCell ref="H25:N25"/>
  </mergeCells>
  <dataValidations count="1">
    <dataValidation allowBlank="false" errorStyle="stop" operator="between" showDropDown="false" showErrorMessage="false" showInputMessage="false" sqref="B4" type="list">
      <formula1>$P$26:$P$27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55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5" activeCellId="0" sqref="A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18"/>
  </cols>
  <sheetData>
    <row r="1" customFormat="false" ht="30" hidden="false" customHeight="true" outlineLevel="0" collapsed="false">
      <c r="A1" s="250" t="s">
        <v>854</v>
      </c>
    </row>
    <row r="2" customFormat="false" ht="19.5" hidden="false" customHeight="true" outlineLevel="0" collapsed="false">
      <c r="A2" s="251" t="s">
        <v>855</v>
      </c>
    </row>
    <row r="3" customFormat="false" ht="15" hidden="false" customHeight="false" outlineLevel="0" collapsed="false">
      <c r="A3" s="14" t="str">
        <f aca="false">HYPERLINK("#Accueil!A1","⌂ Accueil")</f>
        <v>⌂ Accueil</v>
      </c>
    </row>
    <row r="4" customFormat="false" ht="24" hidden="false" customHeight="true" outlineLevel="0" collapsed="false">
      <c r="A4" s="252" t="s">
        <v>856</v>
      </c>
    </row>
    <row r="5" customFormat="false" ht="18" hidden="false" customHeight="true" outlineLevel="0" collapsed="false">
      <c r="A5" s="253" t="s">
        <v>857</v>
      </c>
    </row>
    <row r="6" customFormat="false" ht="18" hidden="false" customHeight="true" outlineLevel="0" collapsed="false">
      <c r="A6" s="253" t="s">
        <v>858</v>
      </c>
    </row>
    <row r="7" customFormat="false" ht="18" hidden="false" customHeight="true" outlineLevel="0" collapsed="false">
      <c r="A7" s="253" t="s">
        <v>859</v>
      </c>
    </row>
    <row r="8" customFormat="false" ht="18" hidden="false" customHeight="true" outlineLevel="0" collapsed="false">
      <c r="A8" s="253" t="s">
        <v>860</v>
      </c>
    </row>
    <row r="9" customFormat="false" ht="14.25" hidden="false" customHeight="true" outlineLevel="0" collapsed="false">
      <c r="A9" s="0" t="s">
        <v>861</v>
      </c>
    </row>
    <row r="10" customFormat="false" ht="24" hidden="false" customHeight="true" outlineLevel="0" collapsed="false">
      <c r="A10" s="252" t="s">
        <v>862</v>
      </c>
    </row>
    <row r="11" customFormat="false" ht="18" hidden="false" customHeight="true" outlineLevel="0" collapsed="false">
      <c r="A11" s="253" t="s">
        <v>863</v>
      </c>
    </row>
    <row r="12" customFormat="false" ht="18" hidden="false" customHeight="true" outlineLevel="0" collapsed="false">
      <c r="A12" s="253" t="s">
        <v>864</v>
      </c>
    </row>
    <row r="13" customFormat="false" ht="18" hidden="false" customHeight="true" outlineLevel="0" collapsed="false">
      <c r="A13" s="253" t="s">
        <v>865</v>
      </c>
    </row>
    <row r="14" customFormat="false" ht="18" hidden="false" customHeight="true" outlineLevel="0" collapsed="false">
      <c r="A14" s="254" t="s">
        <v>866</v>
      </c>
    </row>
    <row r="16" customFormat="false" ht="24" hidden="false" customHeight="true" outlineLevel="0" collapsed="false">
      <c r="A16" s="252" t="s">
        <v>867</v>
      </c>
    </row>
    <row r="17" customFormat="false" ht="19.5" hidden="false" customHeight="true" outlineLevel="0" collapsed="false">
      <c r="A17" s="255" t="s">
        <v>868</v>
      </c>
    </row>
    <row r="18" customFormat="false" ht="18" hidden="false" customHeight="true" outlineLevel="0" collapsed="false">
      <c r="A18" s="253" t="s">
        <v>869</v>
      </c>
    </row>
    <row r="19" customFormat="false" ht="18" hidden="false" customHeight="true" outlineLevel="0" collapsed="false">
      <c r="A19" s="253" t="s">
        <v>870</v>
      </c>
    </row>
    <row r="20" customFormat="false" ht="18" hidden="false" customHeight="true" outlineLevel="0" collapsed="false">
      <c r="A20" s="253" t="s">
        <v>871</v>
      </c>
    </row>
    <row r="21" customFormat="false" ht="19.5" hidden="false" customHeight="true" outlineLevel="0" collapsed="false">
      <c r="A21" s="255" t="s">
        <v>872</v>
      </c>
    </row>
    <row r="22" customFormat="false" ht="18" hidden="false" customHeight="true" outlineLevel="0" collapsed="false">
      <c r="A22" s="253" t="s">
        <v>873</v>
      </c>
    </row>
    <row r="23" customFormat="false" ht="18" hidden="false" customHeight="true" outlineLevel="0" collapsed="false">
      <c r="A23" s="253" t="s">
        <v>874</v>
      </c>
    </row>
    <row r="24" customFormat="false" ht="18" hidden="false" customHeight="true" outlineLevel="0" collapsed="false">
      <c r="A24" s="253" t="s">
        <v>875</v>
      </c>
    </row>
    <row r="25" customFormat="false" ht="19.5" hidden="false" customHeight="true" outlineLevel="0" collapsed="false">
      <c r="A25" s="255" t="s">
        <v>876</v>
      </c>
    </row>
    <row r="26" customFormat="false" ht="18" hidden="false" customHeight="true" outlineLevel="0" collapsed="false">
      <c r="A26" s="253" t="s">
        <v>877</v>
      </c>
    </row>
    <row r="27" customFormat="false" ht="18" hidden="false" customHeight="true" outlineLevel="0" collapsed="false">
      <c r="A27" s="253" t="s">
        <v>878</v>
      </c>
    </row>
    <row r="28" customFormat="false" ht="14.25" hidden="false" customHeight="true" outlineLevel="0" collapsed="false">
      <c r="A28" s="0" t="s">
        <v>879</v>
      </c>
    </row>
    <row r="29" customFormat="false" ht="24" hidden="false" customHeight="true" outlineLevel="0" collapsed="false">
      <c r="A29" s="252" t="s">
        <v>880</v>
      </c>
    </row>
    <row r="30" customFormat="false" ht="18" hidden="false" customHeight="true" outlineLevel="0" collapsed="false">
      <c r="A30" s="253" t="s">
        <v>881</v>
      </c>
    </row>
    <row r="31" customFormat="false" ht="18" hidden="false" customHeight="true" outlineLevel="0" collapsed="false">
      <c r="A31" s="253" t="s">
        <v>882</v>
      </c>
    </row>
    <row r="32" customFormat="false" ht="18" hidden="false" customHeight="true" outlineLevel="0" collapsed="false">
      <c r="A32" s="253" t="s">
        <v>883</v>
      </c>
    </row>
    <row r="34" customFormat="false" ht="24" hidden="false" customHeight="true" outlineLevel="0" collapsed="false">
      <c r="A34" s="252" t="s">
        <v>884</v>
      </c>
    </row>
    <row r="35" customFormat="false" ht="18" hidden="false" customHeight="true" outlineLevel="0" collapsed="false">
      <c r="A35" s="253" t="s">
        <v>885</v>
      </c>
    </row>
    <row r="36" customFormat="false" ht="18" hidden="false" customHeight="true" outlineLevel="0" collapsed="false">
      <c r="A36" s="253" t="s">
        <v>886</v>
      </c>
    </row>
    <row r="38" customFormat="false" ht="24" hidden="false" customHeight="true" outlineLevel="0" collapsed="false">
      <c r="A38" s="252" t="s">
        <v>887</v>
      </c>
    </row>
    <row r="39" customFormat="false" ht="18" hidden="false" customHeight="true" outlineLevel="0" collapsed="false">
      <c r="A39" s="253" t="s">
        <v>888</v>
      </c>
    </row>
    <row r="40" customFormat="false" ht="18" hidden="false" customHeight="true" outlineLevel="0" collapsed="false">
      <c r="A40" s="253" t="s">
        <v>889</v>
      </c>
    </row>
    <row r="42" customFormat="false" ht="24" hidden="false" customHeight="true" outlineLevel="0" collapsed="false">
      <c r="A42" s="252" t="s">
        <v>890</v>
      </c>
    </row>
    <row r="43" customFormat="false" ht="18" hidden="false" customHeight="true" outlineLevel="0" collapsed="false">
      <c r="A43" s="253" t="s">
        <v>891</v>
      </c>
    </row>
    <row r="45" customFormat="false" ht="24" hidden="false" customHeight="true" outlineLevel="0" collapsed="false">
      <c r="A45" s="252" t="s">
        <v>892</v>
      </c>
    </row>
    <row r="46" customFormat="false" ht="18" hidden="false" customHeight="true" outlineLevel="0" collapsed="false">
      <c r="A46" s="253" t="s">
        <v>893</v>
      </c>
    </row>
    <row r="47" customFormat="false" ht="18" hidden="false" customHeight="true" outlineLevel="0" collapsed="false">
      <c r="A47" s="253" t="s">
        <v>894</v>
      </c>
    </row>
    <row r="49" customFormat="false" ht="24" hidden="false" customHeight="true" outlineLevel="0" collapsed="false">
      <c r="A49" s="252" t="s">
        <v>895</v>
      </c>
    </row>
    <row r="50" customFormat="false" ht="18" hidden="false" customHeight="true" outlineLevel="0" collapsed="false">
      <c r="A50" s="253" t="s">
        <v>896</v>
      </c>
    </row>
    <row r="51" customFormat="false" ht="18" hidden="false" customHeight="true" outlineLevel="0" collapsed="false">
      <c r="A51" s="253" t="s">
        <v>897</v>
      </c>
    </row>
    <row r="52" customFormat="false" ht="27.75" hidden="false" customHeight="true" outlineLevel="0" collapsed="false">
      <c r="A52" s="253" t="s">
        <v>898</v>
      </c>
    </row>
    <row r="53" customFormat="false" ht="27.75" hidden="false" customHeight="true" outlineLevel="0" collapsed="false">
      <c r="A53" s="253" t="s">
        <v>899</v>
      </c>
    </row>
    <row r="54" customFormat="false" ht="18" hidden="false" customHeight="true" outlineLevel="0" collapsed="false">
      <c r="A54" s="253" t="s">
        <v>900</v>
      </c>
    </row>
    <row r="55" customFormat="false" ht="18" hidden="false" customHeight="true" outlineLevel="0" collapsed="false">
      <c r="A55" s="253" t="s">
        <v>901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7" activeCellId="0" sqref="J27"/>
    </sheetView>
  </sheetViews>
  <sheetFormatPr defaultColWidth="8.71484375" defaultRowHeight="15" zeroHeight="false" outlineLevelRow="0" outlineLevelCol="0"/>
  <cols>
    <col collapsed="false" customWidth="true" hidden="false" outlineLevel="0" max="17" min="1" style="0" width="14"/>
  </cols>
  <sheetData>
    <row r="1" customFormat="false" ht="15" hidden="false" customHeight="true" outlineLevel="0" collapsed="false">
      <c r="A1" s="259" t="s">
        <v>949</v>
      </c>
      <c r="B1" s="259" t="s">
        <v>950</v>
      </c>
      <c r="C1" s="259" t="s">
        <v>951</v>
      </c>
      <c r="E1" s="259" t="s">
        <v>952</v>
      </c>
      <c r="F1" s="259" t="s">
        <v>953</v>
      </c>
      <c r="H1" s="259" t="s">
        <v>954</v>
      </c>
      <c r="I1" s="259" t="s">
        <v>953</v>
      </c>
      <c r="N1" s="259" t="s">
        <v>809</v>
      </c>
      <c r="O1" s="259" t="s">
        <v>955</v>
      </c>
      <c r="P1" s="259" t="s">
        <v>956</v>
      </c>
      <c r="Q1" s="259" t="s">
        <v>957</v>
      </c>
      <c r="R1" s="14" t="str">
        <f aca="false">HYPERLINK("#Accueil!A1","⌂ Accueil")</f>
        <v>⌂ Accueil</v>
      </c>
    </row>
    <row r="2" customFormat="false" ht="15" hidden="false" customHeight="true" outlineLevel="0" collapsed="false">
      <c r="A2" s="120" t="s">
        <v>958</v>
      </c>
      <c r="B2" s="120" t="s">
        <v>959</v>
      </c>
      <c r="C2" s="120" t="s">
        <v>960</v>
      </c>
      <c r="E2" s="120" t="s">
        <v>961</v>
      </c>
      <c r="F2" s="120" t="s">
        <v>1067</v>
      </c>
      <c r="H2" s="120" t="s">
        <v>961</v>
      </c>
      <c r="I2" s="120" t="s">
        <v>1062</v>
      </c>
      <c r="N2" s="120" t="n">
        <v>1</v>
      </c>
      <c r="O2" s="120" t="n">
        <v>0.05</v>
      </c>
      <c r="P2" s="120" t="n">
        <v>0.05</v>
      </c>
      <c r="Q2" s="120" t="n">
        <v>0.15</v>
      </c>
    </row>
    <row r="3" customFormat="false" ht="15" hidden="false" customHeight="true" outlineLevel="0" collapsed="false">
      <c r="A3" s="120" t="s">
        <v>820</v>
      </c>
      <c r="B3" s="120" t="n">
        <v>5</v>
      </c>
      <c r="C3" s="120" t="n">
        <v>0.05</v>
      </c>
      <c r="E3" s="120" t="s">
        <v>965</v>
      </c>
      <c r="F3" s="120" t="s">
        <v>1079</v>
      </c>
      <c r="H3" s="120" t="s">
        <v>965</v>
      </c>
      <c r="I3" s="120" t="s">
        <v>1082</v>
      </c>
      <c r="N3" s="120" t="n">
        <v>2</v>
      </c>
      <c r="O3" s="120" t="n">
        <v>0.11</v>
      </c>
      <c r="P3" s="120" t="n">
        <v>0.11</v>
      </c>
      <c r="Q3" s="120" t="n">
        <v>0.36</v>
      </c>
    </row>
    <row r="4" customFormat="false" ht="15" hidden="false" customHeight="true" outlineLevel="0" collapsed="false">
      <c r="A4" s="120" t="s">
        <v>822</v>
      </c>
      <c r="B4" s="120" t="n">
        <v>7</v>
      </c>
      <c r="C4" s="120" t="n">
        <v>0.11</v>
      </c>
      <c r="E4" s="120" t="s">
        <v>970</v>
      </c>
      <c r="F4" s="120" t="s">
        <v>1060</v>
      </c>
      <c r="H4" s="120" t="s">
        <v>970</v>
      </c>
      <c r="I4" s="120" t="s">
        <v>1075</v>
      </c>
      <c r="N4" s="120" t="n">
        <v>3</v>
      </c>
      <c r="O4" s="120" t="n">
        <v>0.21</v>
      </c>
      <c r="P4" s="120" t="n">
        <v>0.21</v>
      </c>
      <c r="Q4" s="120" t="n">
        <v>0.51</v>
      </c>
    </row>
    <row r="5" customFormat="false" ht="15" hidden="false" customHeight="true" outlineLevel="0" collapsed="false">
      <c r="A5" s="120" t="s">
        <v>825</v>
      </c>
      <c r="B5" s="120" t="n">
        <v>11</v>
      </c>
      <c r="C5" s="120" t="n">
        <v>0.21</v>
      </c>
      <c r="E5" s="120" t="s">
        <v>975</v>
      </c>
      <c r="F5" s="120" t="s">
        <v>1084</v>
      </c>
      <c r="H5" s="120" t="s">
        <v>975</v>
      </c>
      <c r="I5" s="120" t="s">
        <v>1072</v>
      </c>
      <c r="N5" s="120" t="n">
        <v>4</v>
      </c>
      <c r="O5" s="120" t="n">
        <v>0.32</v>
      </c>
      <c r="P5" s="120" t="n">
        <v>0.32</v>
      </c>
      <c r="Q5" s="120" t="n">
        <v>0.62</v>
      </c>
    </row>
    <row r="6" customFormat="false" ht="15" hidden="false" customHeight="true" outlineLevel="0" collapsed="false">
      <c r="A6" s="120" t="s">
        <v>831</v>
      </c>
      <c r="B6" s="120" t="n">
        <v>12</v>
      </c>
      <c r="C6" s="120" t="n">
        <v>0.32</v>
      </c>
      <c r="E6" s="120" t="s">
        <v>980</v>
      </c>
      <c r="F6" s="120" t="s">
        <v>1058</v>
      </c>
      <c r="H6" s="120" t="s">
        <v>980</v>
      </c>
      <c r="I6" s="120" t="s">
        <v>1054</v>
      </c>
      <c r="N6" s="120" t="n">
        <v>5</v>
      </c>
      <c r="O6" s="120" t="n">
        <v>0.4</v>
      </c>
      <c r="P6" s="120" t="n">
        <v>0.4</v>
      </c>
      <c r="Q6" s="120" t="n">
        <v>0.74</v>
      </c>
    </row>
    <row r="7" customFormat="false" ht="15" hidden="false" customHeight="true" outlineLevel="0" collapsed="false">
      <c r="A7" s="120" t="s">
        <v>832</v>
      </c>
      <c r="B7" s="120" t="n">
        <v>9</v>
      </c>
      <c r="C7" s="120" t="n">
        <v>0.4</v>
      </c>
      <c r="E7" s="120" t="s">
        <v>983</v>
      </c>
      <c r="F7" s="120" t="s">
        <v>1074</v>
      </c>
      <c r="H7" s="120" t="s">
        <v>983</v>
      </c>
      <c r="I7" s="120" t="s">
        <v>1080</v>
      </c>
      <c r="N7" s="120" t="n">
        <v>6</v>
      </c>
      <c r="O7" s="120" t="n">
        <v>0.5</v>
      </c>
      <c r="P7" s="120" t="n">
        <v>0.5</v>
      </c>
      <c r="Q7" s="120" t="n">
        <v>0.89</v>
      </c>
    </row>
    <row r="8" customFormat="false" ht="15" hidden="false" customHeight="true" outlineLevel="0" collapsed="false">
      <c r="A8" s="120" t="s">
        <v>836</v>
      </c>
      <c r="B8" s="120" t="n">
        <v>10</v>
      </c>
      <c r="C8" s="120" t="n">
        <v>0.5</v>
      </c>
      <c r="E8" s="120" t="s">
        <v>988</v>
      </c>
      <c r="F8" s="120" t="s">
        <v>1068</v>
      </c>
      <c r="H8" s="120" t="s">
        <v>988</v>
      </c>
      <c r="I8" s="120" t="s">
        <v>1073</v>
      </c>
      <c r="N8" s="120" t="n">
        <v>7</v>
      </c>
      <c r="O8" s="120" t="n">
        <v>0.58</v>
      </c>
      <c r="P8" s="120" t="n">
        <v>0.58</v>
      </c>
      <c r="Q8" s="120" t="n">
        <v>1.0</v>
      </c>
    </row>
    <row r="9" customFormat="false" ht="15" hidden="false" customHeight="true" outlineLevel="0" collapsed="false">
      <c r="A9" s="120" t="s">
        <v>840</v>
      </c>
      <c r="B9" s="120" t="n">
        <v>9</v>
      </c>
      <c r="C9" s="120" t="n">
        <v>0.58</v>
      </c>
      <c r="E9" s="120" t="s">
        <v>993</v>
      </c>
      <c r="F9" s="120" t="s">
        <v>1083</v>
      </c>
      <c r="H9" s="120" t="s">
        <v>993</v>
      </c>
      <c r="I9" s="120" t="s">
        <v>1078</v>
      </c>
      <c r="N9" s="120" t="n">
        <v>8</v>
      </c>
      <c r="O9" s="120" t="n">
        <v>0.65</v>
      </c>
      <c r="P9" s="120" t="n">
        <v>0.65</v>
      </c>
    </row>
    <row r="10" customFormat="false" ht="15" hidden="false" customHeight="true" outlineLevel="0" collapsed="false">
      <c r="A10" s="120" t="s">
        <v>841</v>
      </c>
      <c r="B10" s="120" t="n">
        <v>8</v>
      </c>
      <c r="C10" s="120" t="n">
        <v>0.65</v>
      </c>
      <c r="E10" s="120" t="s">
        <v>998</v>
      </c>
      <c r="F10" s="120" t="s">
        <v>1063</v>
      </c>
      <c r="H10" s="120" t="s">
        <v>998</v>
      </c>
      <c r="I10" s="120" t="s">
        <v>1059</v>
      </c>
      <c r="N10" s="120" t="n">
        <v>9</v>
      </c>
      <c r="O10" s="120" t="n">
        <v>0.76</v>
      </c>
      <c r="P10" s="120" t="n">
        <v>0.76</v>
      </c>
    </row>
    <row r="11" customFormat="false" ht="15" hidden="false" customHeight="true" outlineLevel="0" collapsed="false">
      <c r="A11" s="120" t="s">
        <v>846</v>
      </c>
      <c r="B11" s="120" t="n">
        <v>12</v>
      </c>
      <c r="C11" s="120" t="n">
        <v>0.76</v>
      </c>
      <c r="E11" s="120" t="s">
        <v>1002</v>
      </c>
      <c r="F11" s="120" t="s">
        <v>1069</v>
      </c>
      <c r="H11" s="120" t="s">
        <v>1002</v>
      </c>
      <c r="I11" s="120" t="s">
        <v>1064</v>
      </c>
      <c r="N11" s="120" t="n">
        <v>10</v>
      </c>
      <c r="O11" s="120" t="n">
        <v>0.87</v>
      </c>
      <c r="P11" s="120" t="n">
        <v>1</v>
      </c>
    </row>
    <row r="12" customFormat="false" ht="15" hidden="false" customHeight="true" outlineLevel="0" collapsed="false">
      <c r="A12" s="120" t="s">
        <v>849</v>
      </c>
      <c r="B12" s="120" t="n">
        <v>12</v>
      </c>
      <c r="C12" s="120" t="n">
        <v>0.87</v>
      </c>
      <c r="E12" s="120" t="s">
        <v>1007</v>
      </c>
      <c r="F12" s="120" t="s">
        <v>1061</v>
      </c>
      <c r="H12" s="120" t="s">
        <v>1007</v>
      </c>
      <c r="I12" s="120" t="s">
        <v>1066</v>
      </c>
      <c r="N12" s="120" t="n">
        <v>11</v>
      </c>
      <c r="O12" s="120" t="n">
        <v>1.0</v>
      </c>
    </row>
    <row r="13" customFormat="false" ht="15" hidden="false" customHeight="true" outlineLevel="0" collapsed="false">
      <c r="A13" s="120" t="s">
        <v>852</v>
      </c>
      <c r="B13" s="120" t="n">
        <v>14</v>
      </c>
      <c r="C13" s="260" t="n">
        <v>1.0</v>
      </c>
      <c r="E13" s="120" t="s">
        <v>1011</v>
      </c>
      <c r="F13" s="120" t="s">
        <v>1081</v>
      </c>
      <c r="H13" s="120" t="s">
        <v>1011</v>
      </c>
      <c r="I13" s="120" t="s">
        <v>1057</v>
      </c>
    </row>
    <row r="14" customFormat="false" ht="15" hidden="false" customHeight="true" outlineLevel="0" collapsed="false">
      <c r="C14" s="120"/>
      <c r="N14" s="120" t="s">
        <v>1014</v>
      </c>
    </row>
    <row r="15" customFormat="false" ht="15" hidden="false" customHeight="true" outlineLevel="0" collapsed="false">
      <c r="A15" s="120" t="s">
        <v>949</v>
      </c>
      <c r="B15" s="120" t="s">
        <v>1015</v>
      </c>
      <c r="C15" s="120" t="s">
        <v>31</v>
      </c>
      <c r="E15" s="120" t="s">
        <v>1016</v>
      </c>
      <c r="F15" s="120" t="s">
        <v>953</v>
      </c>
    </row>
    <row r="16" customFormat="false" ht="15" hidden="false" customHeight="true" outlineLevel="0" collapsed="false">
      <c r="A16" s="120" t="s">
        <v>958</v>
      </c>
      <c r="B16" s="120" t="s">
        <v>959</v>
      </c>
      <c r="C16" s="120" t="s">
        <v>960</v>
      </c>
      <c r="E16" s="120" t="s">
        <v>1017</v>
      </c>
      <c r="F16" s="120" t="s">
        <v>1077</v>
      </c>
      <c r="N16" s="120" t="s">
        <v>1019</v>
      </c>
    </row>
    <row r="17" customFormat="false" ht="15" hidden="false" customHeight="true" outlineLevel="0" collapsed="false">
      <c r="A17" s="120" t="s">
        <v>820</v>
      </c>
      <c r="B17" s="120" t="n">
        <v>8</v>
      </c>
      <c r="C17" s="120" t="n">
        <v>0.15</v>
      </c>
      <c r="E17" s="120" t="s">
        <v>1021</v>
      </c>
      <c r="F17" s="120" t="s">
        <v>1070</v>
      </c>
      <c r="N17" s="120" t="s">
        <v>698</v>
      </c>
      <c r="O17" s="120" t="s">
        <v>1085</v>
      </c>
    </row>
    <row r="18" customFormat="false" ht="15" hidden="false" customHeight="true" outlineLevel="0" collapsed="false">
      <c r="A18" s="120" t="s">
        <v>822</v>
      </c>
      <c r="B18" s="120" t="n">
        <v>11</v>
      </c>
      <c r="C18" s="120" t="n">
        <v>0.36</v>
      </c>
      <c r="E18" s="120" t="s">
        <v>1025</v>
      </c>
      <c r="F18" s="120" t="s">
        <v>1055</v>
      </c>
      <c r="N18" s="120" t="s">
        <v>1027</v>
      </c>
      <c r="O18" s="120" t="s">
        <v>1086</v>
      </c>
    </row>
    <row r="19" customFormat="false" ht="15" hidden="false" customHeight="true" outlineLevel="0" collapsed="false">
      <c r="A19" s="120" t="s">
        <v>825</v>
      </c>
      <c r="B19" s="120" t="n">
        <v>8</v>
      </c>
      <c r="C19" s="120" t="n">
        <v>0.51</v>
      </c>
      <c r="E19" s="120" t="s">
        <v>1030</v>
      </c>
      <c r="F19" s="120" t="s">
        <v>1071</v>
      </c>
      <c r="N19" s="120" t="s">
        <v>710</v>
      </c>
      <c r="O19" s="120" t="s">
        <v>1087</v>
      </c>
    </row>
    <row r="20" customFormat="false" ht="15" hidden="false" customHeight="true" outlineLevel="0" collapsed="false">
      <c r="A20" s="120" t="s">
        <v>831</v>
      </c>
      <c r="B20" s="120" t="n">
        <v>6</v>
      </c>
      <c r="C20" s="120" t="n">
        <v>0.62</v>
      </c>
      <c r="E20" s="120" t="s">
        <v>1034</v>
      </c>
      <c r="F20" s="120" t="s">
        <v>1065</v>
      </c>
    </row>
    <row r="21" customFormat="false" ht="15" hidden="false" customHeight="true" outlineLevel="0" collapsed="false">
      <c r="A21" s="120" t="s">
        <v>832</v>
      </c>
      <c r="B21" s="120" t="n">
        <v>6</v>
      </c>
      <c r="C21" s="120" t="n">
        <v>0.74</v>
      </c>
      <c r="E21" s="120" t="s">
        <v>1038</v>
      </c>
      <c r="F21" s="120" t="s">
        <v>1056</v>
      </c>
    </row>
    <row r="22" customFormat="false" ht="15" hidden="false" customHeight="true" outlineLevel="0" collapsed="false">
      <c r="A22" s="120" t="s">
        <v>836</v>
      </c>
      <c r="B22" s="120" t="n">
        <v>8</v>
      </c>
      <c r="C22" s="120" t="n">
        <v>0.89</v>
      </c>
      <c r="E22" s="120" t="s">
        <v>1041</v>
      </c>
      <c r="F22" s="120" t="s">
        <v>1076</v>
      </c>
    </row>
    <row r="23" customFormat="false" ht="15" hidden="false" customHeight="true" outlineLevel="0" collapsed="false">
      <c r="A23" s="120" t="s">
        <v>840</v>
      </c>
      <c r="B23" s="120" t="n">
        <v>6</v>
      </c>
      <c r="C23" s="120" t="n">
        <v>1.0</v>
      </c>
    </row>
    <row r="25" customFormat="false" ht="15" hidden="false" customHeight="true" outlineLevel="0" collapsed="false">
      <c r="E25" s="120" t="s">
        <v>1044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F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1"/>
    <col collapsed="false" customWidth="true" hidden="false" outlineLevel="0" max="6" min="6" style="0" width="60"/>
  </cols>
  <sheetData>
    <row r="1" customFormat="false" ht="25.5" hidden="false" customHeight="true" outlineLevel="0" collapsed="false">
      <c r="A1" s="126" t="s">
        <v>156</v>
      </c>
      <c r="B1" s="126" t="s">
        <v>157</v>
      </c>
      <c r="C1" s="126" t="s">
        <v>158</v>
      </c>
      <c r="D1" s="126" t="s">
        <v>149</v>
      </c>
      <c r="E1" s="126" t="s">
        <v>151</v>
      </c>
      <c r="F1" s="126" t="s">
        <v>1045</v>
      </c>
    </row>
    <row r="2" customFormat="false" ht="15" hidden="false" customHeight="true" outlineLevel="0" collapsed="false">
      <c r="A2" s="42" t="s">
        <v>168</v>
      </c>
      <c r="B2" s="157" t="s">
        <v>169</v>
      </c>
      <c r="C2" s="157" t="s">
        <v>170</v>
      </c>
      <c r="D2" s="43" t="s">
        <v>171</v>
      </c>
      <c r="E2" s="43" t="s">
        <v>1046</v>
      </c>
      <c r="F2" s="157"/>
    </row>
    <row r="3" customFormat="false" ht="15" hidden="false" customHeight="true" outlineLevel="0" collapsed="false">
      <c r="A3" s="42" t="s">
        <v>174</v>
      </c>
      <c r="B3" s="157" t="s">
        <v>175</v>
      </c>
      <c r="C3" s="157" t="s">
        <v>176</v>
      </c>
      <c r="D3" s="43" t="s">
        <v>171</v>
      </c>
      <c r="E3" s="43" t="s">
        <v>1046</v>
      </c>
      <c r="F3" s="157"/>
    </row>
    <row r="4" customFormat="false" ht="15" hidden="false" customHeight="true" outlineLevel="0" collapsed="false">
      <c r="A4" s="42" t="s">
        <v>177</v>
      </c>
      <c r="B4" s="157" t="s">
        <v>178</v>
      </c>
      <c r="C4" s="157" t="s">
        <v>179</v>
      </c>
      <c r="D4" s="43" t="s">
        <v>171</v>
      </c>
      <c r="E4" s="43" t="s">
        <v>1046</v>
      </c>
      <c r="F4" s="157"/>
    </row>
    <row r="5" customFormat="false" ht="15" hidden="false" customHeight="true" outlineLevel="0" collapsed="false">
      <c r="A5" s="42" t="s">
        <v>180</v>
      </c>
      <c r="B5" s="157" t="s">
        <v>181</v>
      </c>
      <c r="C5" s="157" t="s">
        <v>182</v>
      </c>
      <c r="D5" s="43" t="s">
        <v>171</v>
      </c>
      <c r="E5" s="43" t="s">
        <v>1046</v>
      </c>
      <c r="F5" s="157"/>
    </row>
    <row r="6" customFormat="false" ht="15" hidden="false" customHeight="true" outlineLevel="0" collapsed="false">
      <c r="A6" s="42" t="s">
        <v>183</v>
      </c>
      <c r="B6" s="157" t="s">
        <v>184</v>
      </c>
      <c r="C6" s="157" t="s">
        <v>185</v>
      </c>
      <c r="D6" s="43" t="s">
        <v>186</v>
      </c>
      <c r="E6" s="43" t="s">
        <v>1046</v>
      </c>
      <c r="F6" s="157"/>
    </row>
    <row r="7" customFormat="false" ht="15" hidden="false" customHeight="true" outlineLevel="0" collapsed="false">
      <c r="A7" s="42" t="s">
        <v>187</v>
      </c>
      <c r="B7" s="157" t="s">
        <v>188</v>
      </c>
      <c r="C7" s="157" t="s">
        <v>189</v>
      </c>
      <c r="D7" s="43" t="s">
        <v>171</v>
      </c>
      <c r="E7" s="43" t="s">
        <v>1046</v>
      </c>
      <c r="F7" s="157"/>
    </row>
    <row r="8" customFormat="false" ht="15" hidden="false" customHeight="true" outlineLevel="0" collapsed="false">
      <c r="A8" s="42" t="s">
        <v>190</v>
      </c>
      <c r="B8" s="157" t="s">
        <v>191</v>
      </c>
      <c r="C8" s="157" t="s">
        <v>192</v>
      </c>
      <c r="D8" s="43" t="s">
        <v>171</v>
      </c>
      <c r="E8" s="43" t="s">
        <v>1046</v>
      </c>
      <c r="F8" s="157"/>
    </row>
    <row r="9" customFormat="false" ht="15" hidden="false" customHeight="true" outlineLevel="0" collapsed="false">
      <c r="A9" s="42" t="s">
        <v>193</v>
      </c>
      <c r="B9" s="157" t="s">
        <v>194</v>
      </c>
      <c r="C9" s="157" t="s">
        <v>195</v>
      </c>
      <c r="D9" s="43" t="s">
        <v>186</v>
      </c>
      <c r="E9" s="43" t="s">
        <v>1046</v>
      </c>
      <c r="F9" s="157"/>
    </row>
    <row r="10" customFormat="false" ht="15" hidden="false" customHeight="true" outlineLevel="0" collapsed="false">
      <c r="A10" s="42" t="s">
        <v>197</v>
      </c>
      <c r="B10" s="157" t="s">
        <v>198</v>
      </c>
      <c r="C10" s="157" t="s">
        <v>199</v>
      </c>
      <c r="D10" s="43" t="s">
        <v>171</v>
      </c>
      <c r="E10" s="43" t="s">
        <v>1046</v>
      </c>
      <c r="F10" s="157"/>
    </row>
    <row r="11" customFormat="false" ht="15" hidden="false" customHeight="true" outlineLevel="0" collapsed="false">
      <c r="A11" s="42" t="s">
        <v>200</v>
      </c>
      <c r="B11" s="157" t="s">
        <v>194</v>
      </c>
      <c r="C11" s="157" t="s">
        <v>201</v>
      </c>
      <c r="D11" s="43" t="s">
        <v>186</v>
      </c>
      <c r="E11" s="43" t="s">
        <v>1046</v>
      </c>
      <c r="F11" s="157"/>
    </row>
    <row r="12" customFormat="false" ht="15" hidden="false" customHeight="true" outlineLevel="0" collapsed="false">
      <c r="A12" s="42" t="s">
        <v>202</v>
      </c>
      <c r="B12" s="157" t="s">
        <v>203</v>
      </c>
      <c r="C12" s="157" t="s">
        <v>204</v>
      </c>
      <c r="D12" s="43" t="s">
        <v>171</v>
      </c>
      <c r="E12" s="43" t="s">
        <v>1046</v>
      </c>
      <c r="F12" s="157"/>
    </row>
    <row r="13" customFormat="false" ht="15" hidden="false" customHeight="true" outlineLevel="0" collapsed="false">
      <c r="A13" s="42" t="s">
        <v>205</v>
      </c>
      <c r="B13" s="157" t="s">
        <v>206</v>
      </c>
      <c r="C13" s="157" t="s">
        <v>207</v>
      </c>
      <c r="D13" s="43" t="s">
        <v>171</v>
      </c>
      <c r="E13" s="43" t="s">
        <v>1046</v>
      </c>
      <c r="F13" s="157"/>
    </row>
    <row r="14" customFormat="false" ht="15" hidden="false" customHeight="true" outlineLevel="0" collapsed="false">
      <c r="A14" s="42" t="s">
        <v>208</v>
      </c>
      <c r="B14" s="157" t="s">
        <v>209</v>
      </c>
      <c r="C14" s="157" t="s">
        <v>1047</v>
      </c>
      <c r="D14" s="43" t="s">
        <v>171</v>
      </c>
      <c r="E14" s="43" t="s">
        <v>1046</v>
      </c>
      <c r="F14" s="157"/>
    </row>
    <row r="15" customFormat="false" ht="15" hidden="false" customHeight="true" outlineLevel="0" collapsed="false">
      <c r="A15" s="42" t="s">
        <v>211</v>
      </c>
      <c r="B15" s="157" t="s">
        <v>212</v>
      </c>
      <c r="C15" s="157" t="s">
        <v>213</v>
      </c>
      <c r="D15" s="43" t="s">
        <v>186</v>
      </c>
      <c r="E15" s="43" t="s">
        <v>1046</v>
      </c>
      <c r="F15" s="157"/>
    </row>
    <row r="16" customFormat="false" ht="15" hidden="false" customHeight="true" outlineLevel="0" collapsed="false">
      <c r="A16" s="42" t="s">
        <v>214</v>
      </c>
      <c r="B16" s="157" t="s">
        <v>215</v>
      </c>
      <c r="C16" s="157" t="s">
        <v>216</v>
      </c>
      <c r="D16" s="43" t="s">
        <v>186</v>
      </c>
      <c r="E16" s="43" t="s">
        <v>1046</v>
      </c>
      <c r="F16" s="157"/>
    </row>
    <row r="17" customFormat="false" ht="15" hidden="false" customHeight="true" outlineLevel="0" collapsed="false">
      <c r="A17" s="42" t="s">
        <v>217</v>
      </c>
      <c r="B17" s="157" t="s">
        <v>218</v>
      </c>
      <c r="C17" s="157" t="s">
        <v>219</v>
      </c>
      <c r="D17" s="43" t="s">
        <v>171</v>
      </c>
      <c r="E17" s="43" t="s">
        <v>1046</v>
      </c>
      <c r="F17" s="157"/>
    </row>
    <row r="18" customFormat="false" ht="15" hidden="false" customHeight="true" outlineLevel="0" collapsed="false">
      <c r="A18" s="42" t="s">
        <v>220</v>
      </c>
      <c r="B18" s="157" t="s">
        <v>221</v>
      </c>
      <c r="C18" s="157" t="s">
        <v>222</v>
      </c>
      <c r="D18" s="43" t="s">
        <v>186</v>
      </c>
      <c r="E18" s="43" t="s">
        <v>1046</v>
      </c>
      <c r="F18" s="157"/>
    </row>
    <row r="19" customFormat="false" ht="15" hidden="false" customHeight="true" outlineLevel="0" collapsed="false">
      <c r="A19" s="42" t="s">
        <v>223</v>
      </c>
      <c r="B19" s="157" t="s">
        <v>224</v>
      </c>
      <c r="C19" s="157" t="s">
        <v>225</v>
      </c>
      <c r="D19" s="43" t="s">
        <v>186</v>
      </c>
      <c r="E19" s="43" t="s">
        <v>1046</v>
      </c>
      <c r="F19" s="157"/>
    </row>
    <row r="20" customFormat="false" ht="15" hidden="false" customHeight="true" outlineLevel="0" collapsed="false">
      <c r="A20" s="42" t="s">
        <v>226</v>
      </c>
      <c r="B20" s="157" t="s">
        <v>227</v>
      </c>
      <c r="C20" s="157" t="s">
        <v>228</v>
      </c>
      <c r="D20" s="43" t="s">
        <v>171</v>
      </c>
      <c r="E20" s="43" t="s">
        <v>1046</v>
      </c>
      <c r="F20" s="157"/>
    </row>
    <row r="21" customFormat="false" ht="15" hidden="false" customHeight="true" outlineLevel="0" collapsed="false">
      <c r="A21" s="42" t="s">
        <v>229</v>
      </c>
      <c r="B21" s="157" t="s">
        <v>230</v>
      </c>
      <c r="C21" s="157" t="s">
        <v>231</v>
      </c>
      <c r="D21" s="43" t="s">
        <v>171</v>
      </c>
      <c r="E21" s="43" t="s">
        <v>1046</v>
      </c>
      <c r="F21" s="157"/>
    </row>
    <row r="22" customFormat="false" ht="15" hidden="false" customHeight="true" outlineLevel="0" collapsed="false">
      <c r="A22" s="42" t="s">
        <v>232</v>
      </c>
      <c r="B22" s="157" t="s">
        <v>233</v>
      </c>
      <c r="C22" s="157" t="s">
        <v>234</v>
      </c>
      <c r="D22" s="43" t="s">
        <v>186</v>
      </c>
      <c r="E22" s="43" t="s">
        <v>1046</v>
      </c>
      <c r="F22" s="157"/>
    </row>
    <row r="23" customFormat="false" ht="15" hidden="false" customHeight="true" outlineLevel="0" collapsed="false">
      <c r="A23" s="42" t="s">
        <v>235</v>
      </c>
      <c r="B23" s="157" t="s">
        <v>236</v>
      </c>
      <c r="C23" s="157" t="s">
        <v>237</v>
      </c>
      <c r="D23" s="43" t="s">
        <v>171</v>
      </c>
      <c r="E23" s="43" t="s">
        <v>1046</v>
      </c>
      <c r="F23" s="157"/>
    </row>
    <row r="24" customFormat="false" ht="15" hidden="false" customHeight="true" outlineLevel="0" collapsed="false">
      <c r="A24" s="42" t="s">
        <v>238</v>
      </c>
      <c r="B24" s="157" t="s">
        <v>239</v>
      </c>
      <c r="C24" s="157" t="s">
        <v>240</v>
      </c>
      <c r="D24" s="43" t="s">
        <v>171</v>
      </c>
      <c r="E24" s="43" t="s">
        <v>1046</v>
      </c>
      <c r="F24" s="157"/>
    </row>
    <row r="25" customFormat="false" ht="15" hidden="false" customHeight="true" outlineLevel="0" collapsed="false">
      <c r="A25" s="42" t="s">
        <v>241</v>
      </c>
      <c r="B25" s="157" t="s">
        <v>242</v>
      </c>
      <c r="C25" s="157" t="s">
        <v>243</v>
      </c>
      <c r="D25" s="43" t="s">
        <v>186</v>
      </c>
      <c r="E25" s="43" t="s">
        <v>1046</v>
      </c>
      <c r="F25" s="157"/>
    </row>
    <row r="26" customFormat="false" ht="15" hidden="false" customHeight="true" outlineLevel="0" collapsed="false">
      <c r="A26" s="42" t="s">
        <v>244</v>
      </c>
      <c r="B26" s="157" t="s">
        <v>245</v>
      </c>
      <c r="C26" s="157" t="s">
        <v>246</v>
      </c>
      <c r="D26" s="43" t="s">
        <v>186</v>
      </c>
      <c r="E26" s="43" t="s">
        <v>1046</v>
      </c>
      <c r="F26" s="157"/>
    </row>
    <row r="27" customFormat="false" ht="15" hidden="false" customHeight="true" outlineLevel="0" collapsed="false">
      <c r="A27" s="42" t="s">
        <v>247</v>
      </c>
      <c r="B27" s="157" t="s">
        <v>248</v>
      </c>
      <c r="C27" s="157" t="s">
        <v>249</v>
      </c>
      <c r="D27" s="43" t="s">
        <v>171</v>
      </c>
      <c r="E27" s="43" t="s">
        <v>1046</v>
      </c>
      <c r="F27" s="157"/>
    </row>
    <row r="28" customFormat="false" ht="15" hidden="false" customHeight="true" outlineLevel="0" collapsed="false">
      <c r="A28" s="42" t="s">
        <v>250</v>
      </c>
      <c r="B28" s="157" t="s">
        <v>251</v>
      </c>
      <c r="C28" s="157" t="s">
        <v>252</v>
      </c>
      <c r="D28" s="43" t="s">
        <v>171</v>
      </c>
      <c r="E28" s="43" t="s">
        <v>1046</v>
      </c>
      <c r="F28" s="157"/>
    </row>
    <row r="29" customFormat="false" ht="15" hidden="false" customHeight="true" outlineLevel="0" collapsed="false">
      <c r="A29" s="42" t="s">
        <v>253</v>
      </c>
      <c r="B29" s="157" t="s">
        <v>254</v>
      </c>
      <c r="C29" s="157" t="s">
        <v>255</v>
      </c>
      <c r="D29" s="43" t="s">
        <v>171</v>
      </c>
      <c r="E29" s="43" t="s">
        <v>1046</v>
      </c>
      <c r="F29" s="157"/>
    </row>
    <row r="30" customFormat="false" ht="15" hidden="false" customHeight="true" outlineLevel="0" collapsed="false">
      <c r="A30" s="42" t="s">
        <v>256</v>
      </c>
      <c r="B30" s="157" t="s">
        <v>257</v>
      </c>
      <c r="C30" s="157" t="s">
        <v>258</v>
      </c>
      <c r="D30" s="43" t="s">
        <v>171</v>
      </c>
      <c r="E30" s="43" t="s">
        <v>1046</v>
      </c>
      <c r="F30" s="157"/>
    </row>
    <row r="31" customFormat="false" ht="15" hidden="false" customHeight="true" outlineLevel="0" collapsed="false">
      <c r="A31" s="42" t="s">
        <v>259</v>
      </c>
      <c r="B31" s="157" t="s">
        <v>260</v>
      </c>
      <c r="C31" s="157" t="s">
        <v>261</v>
      </c>
      <c r="D31" s="43" t="s">
        <v>171</v>
      </c>
      <c r="E31" s="43" t="s">
        <v>1046</v>
      </c>
      <c r="F31" s="157"/>
    </row>
    <row r="32" customFormat="false" ht="15" hidden="false" customHeight="true" outlineLevel="0" collapsed="false">
      <c r="A32" s="42" t="s">
        <v>262</v>
      </c>
      <c r="B32" s="157" t="s">
        <v>263</v>
      </c>
      <c r="C32" s="157" t="s">
        <v>264</v>
      </c>
      <c r="D32" s="43" t="s">
        <v>171</v>
      </c>
      <c r="E32" s="43" t="s">
        <v>1046</v>
      </c>
      <c r="F32" s="157"/>
    </row>
    <row r="33" customFormat="false" ht="15" hidden="false" customHeight="true" outlineLevel="0" collapsed="false">
      <c r="A33" s="42" t="s">
        <v>265</v>
      </c>
      <c r="B33" s="157" t="s">
        <v>266</v>
      </c>
      <c r="C33" s="157" t="s">
        <v>267</v>
      </c>
      <c r="D33" s="43" t="s">
        <v>186</v>
      </c>
      <c r="E33" s="43" t="s">
        <v>1046</v>
      </c>
      <c r="F33" s="157"/>
    </row>
    <row r="34" customFormat="false" ht="15" hidden="false" customHeight="true" outlineLevel="0" collapsed="false">
      <c r="A34" s="42" t="s">
        <v>268</v>
      </c>
      <c r="B34" s="157" t="s">
        <v>269</v>
      </c>
      <c r="C34" s="157" t="s">
        <v>270</v>
      </c>
      <c r="D34" s="43" t="s">
        <v>171</v>
      </c>
      <c r="E34" s="43" t="s">
        <v>1046</v>
      </c>
      <c r="F34" s="157"/>
    </row>
    <row r="35" customFormat="false" ht="15" hidden="false" customHeight="true" outlineLevel="0" collapsed="false">
      <c r="A35" s="42" t="s">
        <v>271</v>
      </c>
      <c r="B35" s="157" t="s">
        <v>272</v>
      </c>
      <c r="C35" s="157" t="s">
        <v>273</v>
      </c>
      <c r="D35" s="43" t="s">
        <v>186</v>
      </c>
      <c r="E35" s="43" t="s">
        <v>1046</v>
      </c>
      <c r="F35" s="157"/>
    </row>
    <row r="36" customFormat="false" ht="15" hidden="false" customHeight="true" outlineLevel="0" collapsed="false">
      <c r="A36" s="42" t="s">
        <v>274</v>
      </c>
      <c r="B36" s="157" t="s">
        <v>275</v>
      </c>
      <c r="C36" s="157" t="s">
        <v>276</v>
      </c>
      <c r="D36" s="43" t="s">
        <v>171</v>
      </c>
      <c r="E36" s="43" t="s">
        <v>1046</v>
      </c>
      <c r="F36" s="157"/>
    </row>
    <row r="37" customFormat="false" ht="15" hidden="false" customHeight="true" outlineLevel="0" collapsed="false">
      <c r="A37" s="42" t="s">
        <v>278</v>
      </c>
      <c r="B37" s="157" t="s">
        <v>279</v>
      </c>
      <c r="C37" s="157" t="s">
        <v>280</v>
      </c>
      <c r="D37" s="43" t="s">
        <v>171</v>
      </c>
      <c r="E37" s="43" t="s">
        <v>1046</v>
      </c>
      <c r="F37" s="157"/>
    </row>
    <row r="38" customFormat="false" ht="15" hidden="false" customHeight="true" outlineLevel="0" collapsed="false">
      <c r="A38" s="42" t="s">
        <v>281</v>
      </c>
      <c r="B38" s="157" t="s">
        <v>282</v>
      </c>
      <c r="C38" s="157" t="s">
        <v>283</v>
      </c>
      <c r="D38" s="43" t="s">
        <v>171</v>
      </c>
      <c r="E38" s="43" t="s">
        <v>1046</v>
      </c>
      <c r="F38" s="157"/>
    </row>
    <row r="39" customFormat="false" ht="15" hidden="false" customHeight="true" outlineLevel="0" collapsed="false">
      <c r="A39" s="42" t="s">
        <v>284</v>
      </c>
      <c r="B39" s="157" t="s">
        <v>285</v>
      </c>
      <c r="C39" s="157" t="s">
        <v>286</v>
      </c>
      <c r="D39" s="43" t="s">
        <v>186</v>
      </c>
      <c r="E39" s="43" t="s">
        <v>1046</v>
      </c>
      <c r="F39" s="157"/>
    </row>
    <row r="40" customFormat="false" ht="15" hidden="false" customHeight="true" outlineLevel="0" collapsed="false">
      <c r="A40" s="42" t="s">
        <v>287</v>
      </c>
      <c r="B40" s="157" t="s">
        <v>288</v>
      </c>
      <c r="C40" s="157" t="s">
        <v>289</v>
      </c>
      <c r="D40" s="43" t="s">
        <v>171</v>
      </c>
      <c r="E40" s="43" t="s">
        <v>1046</v>
      </c>
      <c r="F40" s="157"/>
    </row>
    <row r="41" customFormat="false" ht="15" hidden="false" customHeight="true" outlineLevel="0" collapsed="false">
      <c r="A41" s="42" t="s">
        <v>290</v>
      </c>
      <c r="B41" s="157" t="s">
        <v>291</v>
      </c>
      <c r="C41" s="157" t="s">
        <v>292</v>
      </c>
      <c r="D41" s="43" t="s">
        <v>171</v>
      </c>
      <c r="E41" s="43" t="s">
        <v>1046</v>
      </c>
      <c r="F41" s="157"/>
    </row>
    <row r="42" customFormat="false" ht="15" hidden="false" customHeight="true" outlineLevel="0" collapsed="false">
      <c r="A42" s="42" t="s">
        <v>293</v>
      </c>
      <c r="B42" s="157" t="s">
        <v>294</v>
      </c>
      <c r="C42" s="157" t="s">
        <v>295</v>
      </c>
      <c r="D42" s="43" t="s">
        <v>171</v>
      </c>
      <c r="E42" s="43" t="s">
        <v>1046</v>
      </c>
      <c r="F42" s="157"/>
    </row>
    <row r="43" customFormat="false" ht="15" hidden="false" customHeight="true" outlineLevel="0" collapsed="false">
      <c r="A43" s="42" t="s">
        <v>296</v>
      </c>
      <c r="B43" s="157" t="s">
        <v>297</v>
      </c>
      <c r="C43" s="157" t="s">
        <v>298</v>
      </c>
      <c r="D43" s="43" t="s">
        <v>171</v>
      </c>
      <c r="E43" s="43" t="s">
        <v>1046</v>
      </c>
      <c r="F43" s="157"/>
    </row>
    <row r="44" customFormat="false" ht="15" hidden="false" customHeight="true" outlineLevel="0" collapsed="false">
      <c r="A44" s="42" t="s">
        <v>299</v>
      </c>
      <c r="B44" s="157" t="s">
        <v>300</v>
      </c>
      <c r="C44" s="157" t="s">
        <v>301</v>
      </c>
      <c r="D44" s="43" t="s">
        <v>171</v>
      </c>
      <c r="E44" s="43" t="s">
        <v>1046</v>
      </c>
      <c r="F44" s="157"/>
    </row>
    <row r="45" customFormat="false" ht="15" hidden="false" customHeight="true" outlineLevel="0" collapsed="false">
      <c r="A45" s="42" t="s">
        <v>302</v>
      </c>
      <c r="B45" s="157" t="s">
        <v>303</v>
      </c>
      <c r="C45" s="157" t="s">
        <v>304</v>
      </c>
      <c r="D45" s="43" t="s">
        <v>171</v>
      </c>
      <c r="E45" s="43" t="s">
        <v>1046</v>
      </c>
      <c r="F45" s="157"/>
    </row>
    <row r="46" customFormat="false" ht="15" hidden="false" customHeight="true" outlineLevel="0" collapsed="false">
      <c r="A46" s="42" t="s">
        <v>305</v>
      </c>
      <c r="B46" s="157" t="s">
        <v>306</v>
      </c>
      <c r="C46" s="157" t="s">
        <v>307</v>
      </c>
      <c r="D46" s="43" t="s">
        <v>171</v>
      </c>
      <c r="E46" s="43" t="s">
        <v>1046</v>
      </c>
      <c r="F46" s="157"/>
    </row>
    <row r="47" customFormat="false" ht="15" hidden="false" customHeight="true" outlineLevel="0" collapsed="false">
      <c r="A47" s="42" t="s">
        <v>308</v>
      </c>
      <c r="B47" s="157" t="s">
        <v>309</v>
      </c>
      <c r="C47" s="157" t="s">
        <v>310</v>
      </c>
      <c r="D47" s="43" t="s">
        <v>171</v>
      </c>
      <c r="E47" s="43" t="s">
        <v>1046</v>
      </c>
      <c r="F47" s="157"/>
    </row>
    <row r="48" customFormat="false" ht="15" hidden="false" customHeight="true" outlineLevel="0" collapsed="false">
      <c r="A48" s="42" t="s">
        <v>311</v>
      </c>
      <c r="B48" s="157" t="s">
        <v>312</v>
      </c>
      <c r="C48" s="157" t="s">
        <v>313</v>
      </c>
      <c r="D48" s="43" t="s">
        <v>186</v>
      </c>
      <c r="E48" s="43" t="s">
        <v>1046</v>
      </c>
      <c r="F48" s="157"/>
    </row>
    <row r="49" customFormat="false" ht="15" hidden="false" customHeight="true" outlineLevel="0" collapsed="false">
      <c r="A49" s="42" t="s">
        <v>314</v>
      </c>
      <c r="B49" s="157" t="s">
        <v>315</v>
      </c>
      <c r="C49" s="157" t="s">
        <v>316</v>
      </c>
      <c r="D49" s="43" t="s">
        <v>171</v>
      </c>
      <c r="E49" s="43" t="s">
        <v>1046</v>
      </c>
      <c r="F49" s="157"/>
    </row>
    <row r="50" customFormat="false" ht="15" hidden="false" customHeight="true" outlineLevel="0" collapsed="false">
      <c r="A50" s="42" t="s">
        <v>317</v>
      </c>
      <c r="B50" s="157" t="s">
        <v>318</v>
      </c>
      <c r="C50" s="157" t="s">
        <v>319</v>
      </c>
      <c r="D50" s="43" t="s">
        <v>171</v>
      </c>
      <c r="E50" s="43" t="s">
        <v>1046</v>
      </c>
      <c r="F50" s="157"/>
    </row>
    <row r="51" customFormat="false" ht="15" hidden="false" customHeight="true" outlineLevel="0" collapsed="false">
      <c r="A51" s="42" t="s">
        <v>320</v>
      </c>
      <c r="B51" s="157" t="s">
        <v>321</v>
      </c>
      <c r="C51" s="157" t="s">
        <v>322</v>
      </c>
      <c r="D51" s="43" t="s">
        <v>171</v>
      </c>
      <c r="E51" s="43" t="s">
        <v>1046</v>
      </c>
      <c r="F51" s="157"/>
    </row>
    <row r="52" customFormat="false" ht="15" hidden="false" customHeight="true" outlineLevel="0" collapsed="false">
      <c r="A52" s="42" t="s">
        <v>323</v>
      </c>
      <c r="B52" s="157" t="s">
        <v>324</v>
      </c>
      <c r="C52" s="157" t="s">
        <v>325</v>
      </c>
      <c r="D52" s="43" t="s">
        <v>186</v>
      </c>
      <c r="E52" s="43" t="s">
        <v>1046</v>
      </c>
      <c r="F52" s="157"/>
    </row>
    <row r="53" customFormat="false" ht="15" hidden="false" customHeight="true" outlineLevel="0" collapsed="false">
      <c r="A53" s="42" t="s">
        <v>326</v>
      </c>
      <c r="B53" s="157" t="s">
        <v>327</v>
      </c>
      <c r="C53" s="157" t="s">
        <v>328</v>
      </c>
      <c r="D53" s="43" t="s">
        <v>186</v>
      </c>
      <c r="E53" s="43" t="s">
        <v>1046</v>
      </c>
      <c r="F53" s="157"/>
    </row>
    <row r="54" customFormat="false" ht="15" hidden="false" customHeight="true" outlineLevel="0" collapsed="false">
      <c r="A54" s="42" t="s">
        <v>329</v>
      </c>
      <c r="B54" s="157" t="s">
        <v>330</v>
      </c>
      <c r="C54" s="157" t="s">
        <v>331</v>
      </c>
      <c r="D54" s="43" t="s">
        <v>171</v>
      </c>
      <c r="E54" s="43" t="s">
        <v>1046</v>
      </c>
      <c r="F54" s="157"/>
    </row>
    <row r="55" customFormat="false" ht="15" hidden="false" customHeight="true" outlineLevel="0" collapsed="false">
      <c r="A55" s="42" t="s">
        <v>332</v>
      </c>
      <c r="B55" s="157" t="s">
        <v>333</v>
      </c>
      <c r="C55" s="157" t="s">
        <v>334</v>
      </c>
      <c r="D55" s="43" t="s">
        <v>186</v>
      </c>
      <c r="E55" s="43" t="s">
        <v>1046</v>
      </c>
      <c r="F55" s="157"/>
    </row>
    <row r="56" customFormat="false" ht="15" hidden="false" customHeight="true" outlineLevel="0" collapsed="false">
      <c r="A56" s="42" t="s">
        <v>335</v>
      </c>
      <c r="B56" s="157" t="s">
        <v>336</v>
      </c>
      <c r="C56" s="157" t="s">
        <v>337</v>
      </c>
      <c r="D56" s="43" t="s">
        <v>171</v>
      </c>
      <c r="E56" s="43" t="s">
        <v>1046</v>
      </c>
      <c r="F56" s="157"/>
    </row>
    <row r="57" customFormat="false" ht="15" hidden="false" customHeight="true" outlineLevel="0" collapsed="false">
      <c r="A57" s="42" t="s">
        <v>338</v>
      </c>
      <c r="B57" s="157" t="s">
        <v>339</v>
      </c>
      <c r="C57" s="157" t="s">
        <v>340</v>
      </c>
      <c r="D57" s="43" t="s">
        <v>171</v>
      </c>
      <c r="E57" s="43" t="s">
        <v>1046</v>
      </c>
      <c r="F57" s="157"/>
    </row>
    <row r="58" customFormat="false" ht="15" hidden="false" customHeight="true" outlineLevel="0" collapsed="false">
      <c r="A58" s="42" t="s">
        <v>341</v>
      </c>
      <c r="B58" s="157" t="s">
        <v>342</v>
      </c>
      <c r="C58" s="157" t="s">
        <v>343</v>
      </c>
      <c r="D58" s="43" t="s">
        <v>171</v>
      </c>
      <c r="E58" s="43" t="s">
        <v>1046</v>
      </c>
      <c r="F58" s="157"/>
    </row>
    <row r="59" customFormat="false" ht="15" hidden="false" customHeight="true" outlineLevel="0" collapsed="false">
      <c r="A59" s="42" t="s">
        <v>344</v>
      </c>
      <c r="B59" s="157" t="s">
        <v>345</v>
      </c>
      <c r="C59" s="157" t="s">
        <v>346</v>
      </c>
      <c r="D59" s="43" t="s">
        <v>171</v>
      </c>
      <c r="E59" s="43" t="s">
        <v>1046</v>
      </c>
      <c r="F59" s="157"/>
    </row>
    <row r="60" customFormat="false" ht="15" hidden="false" customHeight="true" outlineLevel="0" collapsed="false">
      <c r="A60" s="42" t="s">
        <v>347</v>
      </c>
      <c r="B60" s="157" t="s">
        <v>348</v>
      </c>
      <c r="C60" s="157" t="s">
        <v>349</v>
      </c>
      <c r="D60" s="43" t="s">
        <v>171</v>
      </c>
      <c r="E60" s="43" t="s">
        <v>1046</v>
      </c>
      <c r="F60" s="157"/>
    </row>
    <row r="61" customFormat="false" ht="15" hidden="false" customHeight="true" outlineLevel="0" collapsed="false">
      <c r="A61" s="42" t="s">
        <v>350</v>
      </c>
      <c r="B61" s="157" t="s">
        <v>351</v>
      </c>
      <c r="C61" s="157" t="s">
        <v>352</v>
      </c>
      <c r="D61" s="43" t="s">
        <v>171</v>
      </c>
      <c r="E61" s="43" t="s">
        <v>1046</v>
      </c>
      <c r="F61" s="157"/>
    </row>
    <row r="62" customFormat="false" ht="15" hidden="false" customHeight="true" outlineLevel="0" collapsed="false">
      <c r="A62" s="42" t="s">
        <v>353</v>
      </c>
      <c r="B62" s="157" t="s">
        <v>354</v>
      </c>
      <c r="C62" s="157" t="s">
        <v>355</v>
      </c>
      <c r="D62" s="43" t="s">
        <v>171</v>
      </c>
      <c r="E62" s="43" t="s">
        <v>1046</v>
      </c>
      <c r="F62" s="157"/>
    </row>
    <row r="63" customFormat="false" ht="15" hidden="false" customHeight="true" outlineLevel="0" collapsed="false">
      <c r="A63" s="42" t="s">
        <v>356</v>
      </c>
      <c r="B63" s="157" t="s">
        <v>357</v>
      </c>
      <c r="C63" s="157" t="s">
        <v>358</v>
      </c>
      <c r="D63" s="43" t="s">
        <v>171</v>
      </c>
      <c r="E63" s="43" t="s">
        <v>1046</v>
      </c>
      <c r="F63" s="157"/>
    </row>
    <row r="64" customFormat="false" ht="15" hidden="false" customHeight="true" outlineLevel="0" collapsed="false">
      <c r="A64" s="42" t="s">
        <v>359</v>
      </c>
      <c r="B64" s="157" t="s">
        <v>360</v>
      </c>
      <c r="C64" s="157" t="s">
        <v>361</v>
      </c>
      <c r="D64" s="43" t="s">
        <v>171</v>
      </c>
      <c r="E64" s="43" t="s">
        <v>1046</v>
      </c>
      <c r="F64" s="157"/>
    </row>
    <row r="65" customFormat="false" ht="15" hidden="false" customHeight="true" outlineLevel="0" collapsed="false">
      <c r="A65" s="42" t="s">
        <v>362</v>
      </c>
      <c r="B65" s="157" t="s">
        <v>363</v>
      </c>
      <c r="C65" s="157" t="s">
        <v>364</v>
      </c>
      <c r="D65" s="43" t="s">
        <v>186</v>
      </c>
      <c r="E65" s="43" t="s">
        <v>1046</v>
      </c>
      <c r="F65" s="157"/>
    </row>
    <row r="66" customFormat="false" ht="15" hidden="false" customHeight="true" outlineLevel="0" collapsed="false">
      <c r="A66" s="42" t="s">
        <v>365</v>
      </c>
      <c r="B66" s="157" t="s">
        <v>366</v>
      </c>
      <c r="C66" s="157" t="s">
        <v>367</v>
      </c>
      <c r="D66" s="43" t="s">
        <v>186</v>
      </c>
      <c r="E66" s="43" t="s">
        <v>1046</v>
      </c>
      <c r="F66" s="157"/>
    </row>
    <row r="67" customFormat="false" ht="15" hidden="false" customHeight="true" outlineLevel="0" collapsed="false">
      <c r="A67" s="42" t="s">
        <v>368</v>
      </c>
      <c r="B67" s="157" t="s">
        <v>221</v>
      </c>
      <c r="C67" s="157" t="s">
        <v>369</v>
      </c>
      <c r="D67" s="43" t="s">
        <v>186</v>
      </c>
      <c r="E67" s="43" t="s">
        <v>1046</v>
      </c>
      <c r="F67" s="157"/>
    </row>
    <row r="68" customFormat="false" ht="15" hidden="false" customHeight="true" outlineLevel="0" collapsed="false">
      <c r="A68" s="42" t="s">
        <v>370</v>
      </c>
      <c r="B68" s="157" t="s">
        <v>371</v>
      </c>
      <c r="C68" s="157" t="s">
        <v>372</v>
      </c>
      <c r="D68" s="43" t="s">
        <v>171</v>
      </c>
      <c r="E68" s="43" t="s">
        <v>1046</v>
      </c>
      <c r="F68" s="157"/>
    </row>
    <row r="69" customFormat="false" ht="15" hidden="false" customHeight="true" outlineLevel="0" collapsed="false">
      <c r="A69" s="42" t="s">
        <v>373</v>
      </c>
      <c r="B69" s="157" t="s">
        <v>374</v>
      </c>
      <c r="C69" s="157" t="s">
        <v>375</v>
      </c>
      <c r="D69" s="43" t="s">
        <v>171</v>
      </c>
      <c r="E69" s="43" t="s">
        <v>1046</v>
      </c>
      <c r="F69" s="157"/>
    </row>
    <row r="70" customFormat="false" ht="15" hidden="false" customHeight="true" outlineLevel="0" collapsed="false">
      <c r="A70" s="42" t="s">
        <v>376</v>
      </c>
      <c r="B70" s="157" t="s">
        <v>377</v>
      </c>
      <c r="C70" s="157" t="s">
        <v>378</v>
      </c>
      <c r="D70" s="43" t="s">
        <v>171</v>
      </c>
      <c r="E70" s="43" t="s">
        <v>1046</v>
      </c>
      <c r="F70" s="157"/>
    </row>
    <row r="71" customFormat="false" ht="15" hidden="false" customHeight="true" outlineLevel="0" collapsed="false">
      <c r="A71" s="42" t="s">
        <v>379</v>
      </c>
      <c r="B71" s="157" t="s">
        <v>380</v>
      </c>
      <c r="C71" s="157" t="s">
        <v>381</v>
      </c>
      <c r="D71" s="43" t="s">
        <v>171</v>
      </c>
      <c r="E71" s="43" t="s">
        <v>1046</v>
      </c>
      <c r="F71" s="157"/>
    </row>
    <row r="72" customFormat="false" ht="15" hidden="false" customHeight="true" outlineLevel="0" collapsed="false">
      <c r="A72" s="42" t="s">
        <v>382</v>
      </c>
      <c r="B72" s="157" t="s">
        <v>383</v>
      </c>
      <c r="C72" s="157" t="s">
        <v>384</v>
      </c>
      <c r="D72" s="43" t="s">
        <v>171</v>
      </c>
      <c r="E72" s="43" t="s">
        <v>1046</v>
      </c>
      <c r="F72" s="157"/>
    </row>
    <row r="73" customFormat="false" ht="15" hidden="false" customHeight="true" outlineLevel="0" collapsed="false">
      <c r="A73" s="42" t="s">
        <v>385</v>
      </c>
      <c r="B73" s="157" t="s">
        <v>386</v>
      </c>
      <c r="C73" s="157" t="s">
        <v>387</v>
      </c>
      <c r="D73" s="43" t="s">
        <v>171</v>
      </c>
      <c r="E73" s="43" t="s">
        <v>1046</v>
      </c>
      <c r="F73" s="157"/>
    </row>
    <row r="74" customFormat="false" ht="15" hidden="false" customHeight="true" outlineLevel="0" collapsed="false">
      <c r="A74" s="42" t="s">
        <v>388</v>
      </c>
      <c r="B74" s="157" t="s">
        <v>389</v>
      </c>
      <c r="C74" s="157" t="s">
        <v>390</v>
      </c>
      <c r="D74" s="43" t="s">
        <v>186</v>
      </c>
      <c r="E74" s="43" t="s">
        <v>1046</v>
      </c>
      <c r="F74" s="157"/>
    </row>
    <row r="75" customFormat="false" ht="15" hidden="false" customHeight="true" outlineLevel="0" collapsed="false">
      <c r="A75" s="42" t="s">
        <v>391</v>
      </c>
      <c r="B75" s="157" t="s">
        <v>392</v>
      </c>
      <c r="C75" s="157" t="s">
        <v>393</v>
      </c>
      <c r="D75" s="43" t="s">
        <v>171</v>
      </c>
      <c r="E75" s="43" t="s">
        <v>1046</v>
      </c>
      <c r="F75" s="157"/>
    </row>
    <row r="76" customFormat="false" ht="15" hidden="false" customHeight="true" outlineLevel="0" collapsed="false">
      <c r="A76" s="42" t="s">
        <v>394</v>
      </c>
      <c r="B76" s="157" t="s">
        <v>395</v>
      </c>
      <c r="C76" s="157" t="s">
        <v>396</v>
      </c>
      <c r="D76" s="43" t="s">
        <v>186</v>
      </c>
      <c r="E76" s="43" t="s">
        <v>1046</v>
      </c>
      <c r="F76" s="157"/>
    </row>
    <row r="77" customFormat="false" ht="15" hidden="false" customHeight="true" outlineLevel="0" collapsed="false">
      <c r="A77" s="42" t="s">
        <v>397</v>
      </c>
      <c r="B77" s="157" t="s">
        <v>198</v>
      </c>
      <c r="C77" s="157" t="s">
        <v>398</v>
      </c>
      <c r="D77" s="43" t="s">
        <v>186</v>
      </c>
      <c r="E77" s="43" t="s">
        <v>1046</v>
      </c>
      <c r="F77" s="157"/>
    </row>
    <row r="78" customFormat="false" ht="15" hidden="false" customHeight="true" outlineLevel="0" collapsed="false">
      <c r="A78" s="42" t="s">
        <v>399</v>
      </c>
      <c r="B78" s="157" t="s">
        <v>400</v>
      </c>
      <c r="C78" s="157" t="s">
        <v>401</v>
      </c>
      <c r="D78" s="43" t="s">
        <v>171</v>
      </c>
      <c r="E78" s="43" t="s">
        <v>1046</v>
      </c>
      <c r="F78" s="157"/>
    </row>
    <row r="79" customFormat="false" ht="15" hidden="false" customHeight="true" outlineLevel="0" collapsed="false">
      <c r="A79" s="42" t="s">
        <v>402</v>
      </c>
      <c r="B79" s="157" t="s">
        <v>403</v>
      </c>
      <c r="C79" s="157" t="s">
        <v>404</v>
      </c>
      <c r="D79" s="43" t="s">
        <v>171</v>
      </c>
      <c r="E79" s="43" t="s">
        <v>1046</v>
      </c>
      <c r="F79" s="157"/>
    </row>
    <row r="80" customFormat="false" ht="15" hidden="false" customHeight="true" outlineLevel="0" collapsed="false">
      <c r="A80" s="42" t="s">
        <v>405</v>
      </c>
      <c r="B80" s="157" t="s">
        <v>406</v>
      </c>
      <c r="C80" s="157" t="s">
        <v>407</v>
      </c>
      <c r="D80" s="43" t="s">
        <v>171</v>
      </c>
      <c r="E80" s="43" t="s">
        <v>1046</v>
      </c>
      <c r="F80" s="157"/>
    </row>
    <row r="81" customFormat="false" ht="15" hidden="false" customHeight="true" outlineLevel="0" collapsed="false">
      <c r="A81" s="42" t="s">
        <v>408</v>
      </c>
      <c r="B81" s="157" t="s">
        <v>409</v>
      </c>
      <c r="C81" s="157" t="s">
        <v>410</v>
      </c>
      <c r="D81" s="43" t="s">
        <v>171</v>
      </c>
      <c r="E81" s="43" t="s">
        <v>1046</v>
      </c>
      <c r="F81" s="157"/>
    </row>
    <row r="82" customFormat="false" ht="15" hidden="false" customHeight="true" outlineLevel="0" collapsed="false">
      <c r="A82" s="42" t="s">
        <v>411</v>
      </c>
      <c r="B82" s="157" t="s">
        <v>412</v>
      </c>
      <c r="C82" s="157" t="s">
        <v>413</v>
      </c>
      <c r="D82" s="43" t="s">
        <v>186</v>
      </c>
      <c r="E82" s="43" t="s">
        <v>1046</v>
      </c>
      <c r="F82" s="157"/>
    </row>
    <row r="83" customFormat="false" ht="15" hidden="false" customHeight="true" outlineLevel="0" collapsed="false">
      <c r="A83" s="42" t="s">
        <v>414</v>
      </c>
      <c r="B83" s="157" t="s">
        <v>415</v>
      </c>
      <c r="C83" s="157" t="s">
        <v>416</v>
      </c>
      <c r="D83" s="43" t="s">
        <v>171</v>
      </c>
      <c r="E83" s="43" t="s">
        <v>1046</v>
      </c>
      <c r="F83" s="157"/>
    </row>
    <row r="84" customFormat="false" ht="15" hidden="false" customHeight="true" outlineLevel="0" collapsed="false">
      <c r="A84" s="42" t="s">
        <v>417</v>
      </c>
      <c r="B84" s="157" t="s">
        <v>418</v>
      </c>
      <c r="C84" s="157" t="s">
        <v>419</v>
      </c>
      <c r="D84" s="43" t="s">
        <v>171</v>
      </c>
      <c r="E84" s="43" t="s">
        <v>1046</v>
      </c>
      <c r="F84" s="157"/>
    </row>
    <row r="85" customFormat="false" ht="15" hidden="false" customHeight="true" outlineLevel="0" collapsed="false">
      <c r="A85" s="42" t="s">
        <v>420</v>
      </c>
      <c r="B85" s="157" t="s">
        <v>421</v>
      </c>
      <c r="C85" s="157" t="s">
        <v>422</v>
      </c>
      <c r="D85" s="43" t="s">
        <v>171</v>
      </c>
      <c r="E85" s="43" t="s">
        <v>1046</v>
      </c>
      <c r="F85" s="157"/>
    </row>
    <row r="86" customFormat="false" ht="15" hidden="false" customHeight="true" outlineLevel="0" collapsed="false">
      <c r="A86" s="42" t="s">
        <v>423</v>
      </c>
      <c r="B86" s="157" t="s">
        <v>424</v>
      </c>
      <c r="C86" s="157" t="s">
        <v>425</v>
      </c>
      <c r="D86" s="43" t="s">
        <v>186</v>
      </c>
      <c r="E86" s="43" t="s">
        <v>1046</v>
      </c>
      <c r="F86" s="157"/>
    </row>
    <row r="87" customFormat="false" ht="15" hidden="false" customHeight="true" outlineLevel="0" collapsed="false">
      <c r="A87" s="42" t="s">
        <v>426</v>
      </c>
      <c r="B87" s="157" t="s">
        <v>427</v>
      </c>
      <c r="C87" s="157" t="s">
        <v>428</v>
      </c>
      <c r="D87" s="43" t="s">
        <v>171</v>
      </c>
      <c r="E87" s="43" t="s">
        <v>1046</v>
      </c>
      <c r="F87" s="157"/>
    </row>
    <row r="88" customFormat="false" ht="15" hidden="false" customHeight="true" outlineLevel="0" collapsed="false">
      <c r="A88" s="42" t="s">
        <v>429</v>
      </c>
      <c r="B88" s="157" t="s">
        <v>430</v>
      </c>
      <c r="C88" s="157" t="s">
        <v>431</v>
      </c>
      <c r="D88" s="43" t="s">
        <v>171</v>
      </c>
      <c r="E88" s="43" t="s">
        <v>1046</v>
      </c>
      <c r="F88" s="157"/>
    </row>
    <row r="89" customFormat="false" ht="15" hidden="false" customHeight="true" outlineLevel="0" collapsed="false">
      <c r="A89" s="42" t="s">
        <v>432</v>
      </c>
      <c r="B89" s="157" t="s">
        <v>433</v>
      </c>
      <c r="C89" s="157" t="s">
        <v>434</v>
      </c>
      <c r="D89" s="43" t="s">
        <v>171</v>
      </c>
      <c r="E89" s="43" t="s">
        <v>1046</v>
      </c>
      <c r="F89" s="157"/>
    </row>
    <row r="90" customFormat="false" ht="15" hidden="false" customHeight="true" outlineLevel="0" collapsed="false">
      <c r="A90" s="42" t="s">
        <v>435</v>
      </c>
      <c r="B90" s="157" t="s">
        <v>436</v>
      </c>
      <c r="C90" s="157" t="s">
        <v>437</v>
      </c>
      <c r="D90" s="43" t="s">
        <v>171</v>
      </c>
      <c r="E90" s="43" t="s">
        <v>1046</v>
      </c>
      <c r="F90" s="157"/>
    </row>
    <row r="91" customFormat="false" ht="15" hidden="false" customHeight="true" outlineLevel="0" collapsed="false">
      <c r="A91" s="42" t="s">
        <v>438</v>
      </c>
      <c r="B91" s="157" t="s">
        <v>439</v>
      </c>
      <c r="C91" s="157" t="s">
        <v>440</v>
      </c>
      <c r="D91" s="43" t="s">
        <v>171</v>
      </c>
      <c r="E91" s="43" t="s">
        <v>1046</v>
      </c>
      <c r="F91" s="157"/>
    </row>
    <row r="92" customFormat="false" ht="15" hidden="false" customHeight="true" outlineLevel="0" collapsed="false">
      <c r="A92" s="42" t="s">
        <v>441</v>
      </c>
      <c r="B92" s="157" t="s">
        <v>442</v>
      </c>
      <c r="C92" s="157" t="s">
        <v>443</v>
      </c>
      <c r="D92" s="43" t="s">
        <v>171</v>
      </c>
      <c r="E92" s="43" t="s">
        <v>1046</v>
      </c>
      <c r="F92" s="157"/>
    </row>
    <row r="93" customFormat="false" ht="15" hidden="false" customHeight="true" outlineLevel="0" collapsed="false">
      <c r="A93" s="42" t="s">
        <v>444</v>
      </c>
      <c r="B93" s="157" t="s">
        <v>242</v>
      </c>
      <c r="C93" s="157" t="s">
        <v>445</v>
      </c>
      <c r="D93" s="43" t="s">
        <v>186</v>
      </c>
      <c r="E93" s="43" t="s">
        <v>1046</v>
      </c>
      <c r="F93" s="157"/>
    </row>
    <row r="94" customFormat="false" ht="15" hidden="false" customHeight="true" outlineLevel="0" collapsed="false">
      <c r="A94" s="42" t="s">
        <v>446</v>
      </c>
      <c r="B94" s="157" t="s">
        <v>447</v>
      </c>
      <c r="C94" s="157" t="s">
        <v>448</v>
      </c>
      <c r="D94" s="43" t="s">
        <v>186</v>
      </c>
      <c r="E94" s="43" t="s">
        <v>1046</v>
      </c>
      <c r="F94" s="157"/>
    </row>
    <row r="95" customFormat="false" ht="15" hidden="false" customHeight="true" outlineLevel="0" collapsed="false">
      <c r="A95" s="42" t="s">
        <v>449</v>
      </c>
      <c r="B95" s="157" t="s">
        <v>450</v>
      </c>
      <c r="C95" s="157" t="s">
        <v>451</v>
      </c>
      <c r="D95" s="43" t="s">
        <v>171</v>
      </c>
      <c r="E95" s="43" t="s">
        <v>1046</v>
      </c>
      <c r="F95" s="157"/>
    </row>
    <row r="96" customFormat="false" ht="15" hidden="false" customHeight="true" outlineLevel="0" collapsed="false">
      <c r="A96" s="42" t="s">
        <v>452</v>
      </c>
      <c r="B96" s="157" t="s">
        <v>453</v>
      </c>
      <c r="C96" s="157" t="s">
        <v>454</v>
      </c>
      <c r="D96" s="43" t="s">
        <v>186</v>
      </c>
      <c r="E96" s="43" t="s">
        <v>1046</v>
      </c>
      <c r="F96" s="157"/>
    </row>
    <row r="97" customFormat="false" ht="15" hidden="false" customHeight="true" outlineLevel="0" collapsed="false">
      <c r="A97" s="42" t="s">
        <v>455</v>
      </c>
      <c r="B97" s="157" t="s">
        <v>456</v>
      </c>
      <c r="C97" s="157" t="s">
        <v>454</v>
      </c>
      <c r="D97" s="43" t="s">
        <v>186</v>
      </c>
      <c r="E97" s="43" t="s">
        <v>1046</v>
      </c>
      <c r="F97" s="157"/>
    </row>
    <row r="98" customFormat="false" ht="15" hidden="false" customHeight="true" outlineLevel="0" collapsed="false">
      <c r="A98" s="42" t="s">
        <v>457</v>
      </c>
      <c r="B98" s="157" t="s">
        <v>458</v>
      </c>
      <c r="C98" s="157" t="s">
        <v>459</v>
      </c>
      <c r="D98" s="43" t="s">
        <v>171</v>
      </c>
      <c r="E98" s="43" t="s">
        <v>1046</v>
      </c>
      <c r="F98" s="157"/>
    </row>
    <row r="99" customFormat="false" ht="15" hidden="false" customHeight="true" outlineLevel="0" collapsed="false">
      <c r="A99" s="42" t="s">
        <v>460</v>
      </c>
      <c r="B99" s="157" t="s">
        <v>461</v>
      </c>
      <c r="C99" s="157" t="s">
        <v>462</v>
      </c>
      <c r="D99" s="43" t="s">
        <v>171</v>
      </c>
      <c r="E99" s="43" t="s">
        <v>1046</v>
      </c>
      <c r="F99" s="157"/>
    </row>
    <row r="100" customFormat="false" ht="15" hidden="false" customHeight="true" outlineLevel="0" collapsed="false">
      <c r="A100" s="42" t="s">
        <v>463</v>
      </c>
      <c r="B100" s="157" t="s">
        <v>464</v>
      </c>
      <c r="C100" s="157" t="s">
        <v>465</v>
      </c>
      <c r="D100" s="43" t="s">
        <v>186</v>
      </c>
      <c r="E100" s="43" t="s">
        <v>1046</v>
      </c>
      <c r="F100" s="157"/>
    </row>
    <row r="101" customFormat="false" ht="15" hidden="false" customHeight="true" outlineLevel="0" collapsed="false">
      <c r="A101" s="42" t="s">
        <v>466</v>
      </c>
      <c r="B101" s="157" t="s">
        <v>467</v>
      </c>
      <c r="C101" s="157" t="s">
        <v>468</v>
      </c>
      <c r="D101" s="43" t="s">
        <v>186</v>
      </c>
      <c r="E101" s="43" t="s">
        <v>1046</v>
      </c>
      <c r="F101" s="157"/>
    </row>
    <row r="102" customFormat="false" ht="15" hidden="false" customHeight="true" outlineLevel="0" collapsed="false">
      <c r="A102" s="42" t="s">
        <v>469</v>
      </c>
      <c r="B102" s="157" t="s">
        <v>470</v>
      </c>
      <c r="C102" s="157" t="s">
        <v>471</v>
      </c>
      <c r="D102" s="43" t="s">
        <v>186</v>
      </c>
      <c r="E102" s="43" t="s">
        <v>1046</v>
      </c>
      <c r="F102" s="157"/>
    </row>
    <row r="103" customFormat="false" ht="15" hidden="false" customHeight="true" outlineLevel="0" collapsed="false">
      <c r="A103" s="42" t="s">
        <v>472</v>
      </c>
      <c r="B103" s="157" t="s">
        <v>194</v>
      </c>
      <c r="C103" s="157" t="s">
        <v>473</v>
      </c>
      <c r="D103" s="43" t="s">
        <v>186</v>
      </c>
      <c r="E103" s="43" t="s">
        <v>1046</v>
      </c>
      <c r="F103" s="157"/>
    </row>
    <row r="104" customFormat="false" ht="15" hidden="false" customHeight="true" outlineLevel="0" collapsed="false">
      <c r="A104" s="42" t="s">
        <v>474</v>
      </c>
      <c r="B104" s="157" t="s">
        <v>467</v>
      </c>
      <c r="C104" s="157" t="s">
        <v>475</v>
      </c>
      <c r="D104" s="43" t="s">
        <v>186</v>
      </c>
      <c r="E104" s="43" t="s">
        <v>1046</v>
      </c>
      <c r="F104" s="157"/>
    </row>
    <row r="105" customFormat="false" ht="15" hidden="false" customHeight="true" outlineLevel="0" collapsed="false">
      <c r="A105" s="42" t="s">
        <v>476</v>
      </c>
      <c r="B105" s="157" t="s">
        <v>477</v>
      </c>
      <c r="C105" s="157" t="s">
        <v>478</v>
      </c>
      <c r="D105" s="43" t="s">
        <v>171</v>
      </c>
      <c r="E105" s="43" t="s">
        <v>1046</v>
      </c>
      <c r="F105" s="157"/>
    </row>
    <row r="106" customFormat="false" ht="15" hidden="false" customHeight="true" outlineLevel="0" collapsed="false">
      <c r="A106" s="42" t="s">
        <v>479</v>
      </c>
      <c r="B106" s="157" t="s">
        <v>480</v>
      </c>
      <c r="C106" s="157" t="s">
        <v>481</v>
      </c>
      <c r="D106" s="43" t="s">
        <v>171</v>
      </c>
      <c r="E106" s="43" t="s">
        <v>1046</v>
      </c>
      <c r="F106" s="157"/>
    </row>
    <row r="107" customFormat="false" ht="15" hidden="false" customHeight="true" outlineLevel="0" collapsed="false">
      <c r="A107" s="42" t="s">
        <v>482</v>
      </c>
      <c r="B107" s="157" t="s">
        <v>483</v>
      </c>
      <c r="C107" s="157" t="s">
        <v>484</v>
      </c>
      <c r="D107" s="43" t="s">
        <v>171</v>
      </c>
      <c r="E107" s="43" t="s">
        <v>1046</v>
      </c>
      <c r="F107" s="157"/>
    </row>
    <row r="108" customFormat="false" ht="15" hidden="false" customHeight="true" outlineLevel="0" collapsed="false">
      <c r="A108" s="42" t="s">
        <v>485</v>
      </c>
      <c r="B108" s="157" t="s">
        <v>486</v>
      </c>
      <c r="C108" s="157" t="s">
        <v>487</v>
      </c>
      <c r="D108" s="43" t="s">
        <v>171</v>
      </c>
      <c r="E108" s="43" t="s">
        <v>1046</v>
      </c>
      <c r="F108" s="157"/>
    </row>
    <row r="109" customFormat="false" ht="15" hidden="false" customHeight="true" outlineLevel="0" collapsed="false">
      <c r="A109" s="42" t="s">
        <v>488</v>
      </c>
      <c r="B109" s="157" t="s">
        <v>489</v>
      </c>
      <c r="C109" s="157" t="s">
        <v>490</v>
      </c>
      <c r="D109" s="43" t="s">
        <v>171</v>
      </c>
      <c r="E109" s="43" t="s">
        <v>1046</v>
      </c>
      <c r="F109" s="157"/>
    </row>
    <row r="110" customFormat="false" ht="15" hidden="false" customHeight="true" outlineLevel="0" collapsed="false">
      <c r="A110" s="42" t="s">
        <v>491</v>
      </c>
      <c r="B110" s="157" t="s">
        <v>492</v>
      </c>
      <c r="C110" s="157" t="s">
        <v>493</v>
      </c>
      <c r="D110" s="43" t="s">
        <v>171</v>
      </c>
      <c r="E110" s="43" t="s">
        <v>1046</v>
      </c>
      <c r="F110" s="157"/>
    </row>
    <row r="111" customFormat="false" ht="15" hidden="false" customHeight="true" outlineLevel="0" collapsed="false">
      <c r="A111" s="42" t="s">
        <v>494</v>
      </c>
      <c r="B111" s="157" t="s">
        <v>495</v>
      </c>
      <c r="C111" s="157" t="s">
        <v>496</v>
      </c>
      <c r="D111" s="43" t="s">
        <v>171</v>
      </c>
      <c r="E111" s="43" t="s">
        <v>1046</v>
      </c>
      <c r="F111" s="157"/>
    </row>
    <row r="112" customFormat="false" ht="15" hidden="false" customHeight="true" outlineLevel="0" collapsed="false">
      <c r="A112" s="42" t="s">
        <v>497</v>
      </c>
      <c r="B112" s="157" t="s">
        <v>498</v>
      </c>
      <c r="C112" s="157" t="s">
        <v>499</v>
      </c>
      <c r="D112" s="43" t="s">
        <v>171</v>
      </c>
      <c r="E112" s="43" t="s">
        <v>1046</v>
      </c>
      <c r="F112" s="157"/>
    </row>
    <row r="113" customFormat="false" ht="15" hidden="false" customHeight="true" outlineLevel="0" collapsed="false">
      <c r="A113" s="42" t="s">
        <v>500</v>
      </c>
      <c r="B113" s="157" t="s">
        <v>501</v>
      </c>
      <c r="C113" s="157" t="s">
        <v>502</v>
      </c>
      <c r="D113" s="43" t="s">
        <v>186</v>
      </c>
      <c r="E113" s="43" t="s">
        <v>1046</v>
      </c>
      <c r="F113" s="157"/>
    </row>
    <row r="114" customFormat="false" ht="15" hidden="false" customHeight="true" outlineLevel="0" collapsed="false">
      <c r="A114" s="42" t="s">
        <v>503</v>
      </c>
      <c r="B114" s="157" t="s">
        <v>504</v>
      </c>
      <c r="C114" s="157" t="s">
        <v>505</v>
      </c>
      <c r="D114" s="43" t="s">
        <v>171</v>
      </c>
      <c r="E114" s="43" t="s">
        <v>1046</v>
      </c>
      <c r="F114" s="157"/>
    </row>
    <row r="115" customFormat="false" ht="15" hidden="false" customHeight="true" outlineLevel="0" collapsed="false">
      <c r="A115" s="42" t="s">
        <v>506</v>
      </c>
      <c r="B115" s="157" t="s">
        <v>507</v>
      </c>
      <c r="C115" s="157" t="s">
        <v>508</v>
      </c>
      <c r="D115" s="43" t="s">
        <v>186</v>
      </c>
      <c r="E115" s="43" t="s">
        <v>1046</v>
      </c>
      <c r="F115" s="157"/>
    </row>
    <row r="116" customFormat="false" ht="15" hidden="false" customHeight="true" outlineLevel="0" collapsed="false">
      <c r="A116" s="42" t="s">
        <v>509</v>
      </c>
      <c r="B116" s="157" t="s">
        <v>510</v>
      </c>
      <c r="C116" s="157" t="s">
        <v>511</v>
      </c>
      <c r="D116" s="43" t="s">
        <v>186</v>
      </c>
      <c r="E116" s="43" t="s">
        <v>1046</v>
      </c>
      <c r="F116" s="157"/>
    </row>
    <row r="117" customFormat="false" ht="15" hidden="false" customHeight="true" outlineLevel="0" collapsed="false">
      <c r="A117" s="42" t="s">
        <v>512</v>
      </c>
      <c r="B117" s="157" t="s">
        <v>513</v>
      </c>
      <c r="C117" s="157" t="s">
        <v>514</v>
      </c>
      <c r="D117" s="43" t="s">
        <v>171</v>
      </c>
      <c r="E117" s="43" t="s">
        <v>1046</v>
      </c>
      <c r="F117" s="157"/>
    </row>
    <row r="118" customFormat="false" ht="15" hidden="false" customHeight="true" outlineLevel="0" collapsed="false">
      <c r="A118" s="42" t="s">
        <v>515</v>
      </c>
      <c r="B118" s="157" t="s">
        <v>516</v>
      </c>
      <c r="C118" s="157" t="s">
        <v>517</v>
      </c>
      <c r="D118" s="43" t="s">
        <v>171</v>
      </c>
      <c r="E118" s="43" t="s">
        <v>1046</v>
      </c>
      <c r="F118" s="157"/>
    </row>
    <row r="119" customFormat="false" ht="15" hidden="false" customHeight="true" outlineLevel="0" collapsed="false">
      <c r="A119" s="42" t="s">
        <v>518</v>
      </c>
      <c r="B119" s="157" t="s">
        <v>519</v>
      </c>
      <c r="C119" s="157" t="s">
        <v>520</v>
      </c>
      <c r="D119" s="43" t="s">
        <v>171</v>
      </c>
      <c r="E119" s="43" t="s">
        <v>1046</v>
      </c>
      <c r="F119" s="157"/>
    </row>
    <row r="120" customFormat="false" ht="15" hidden="false" customHeight="true" outlineLevel="0" collapsed="false">
      <c r="A120" s="42" t="s">
        <v>521</v>
      </c>
      <c r="B120" s="157" t="s">
        <v>175</v>
      </c>
      <c r="C120" s="157" t="s">
        <v>522</v>
      </c>
      <c r="D120" s="43" t="s">
        <v>186</v>
      </c>
      <c r="E120" s="43" t="s">
        <v>1046</v>
      </c>
      <c r="F120" s="157"/>
    </row>
    <row r="121" customFormat="false" ht="15" hidden="false" customHeight="true" outlineLevel="0" collapsed="false">
      <c r="A121" s="42" t="s">
        <v>523</v>
      </c>
      <c r="B121" s="157" t="s">
        <v>524</v>
      </c>
      <c r="C121" s="157" t="s">
        <v>525</v>
      </c>
      <c r="D121" s="43" t="s">
        <v>171</v>
      </c>
      <c r="E121" s="43" t="s">
        <v>1046</v>
      </c>
      <c r="F121" s="157"/>
    </row>
    <row r="122" customFormat="false" ht="15" hidden="false" customHeight="true" outlineLevel="0" collapsed="false">
      <c r="A122" s="42" t="s">
        <v>526</v>
      </c>
      <c r="B122" s="157" t="s">
        <v>275</v>
      </c>
      <c r="C122" s="157" t="s">
        <v>527</v>
      </c>
      <c r="D122" s="43" t="s">
        <v>171</v>
      </c>
      <c r="E122" s="43" t="s">
        <v>1046</v>
      </c>
      <c r="F122" s="157"/>
    </row>
    <row r="123" customFormat="false" ht="15" hidden="false" customHeight="true" outlineLevel="0" collapsed="false">
      <c r="A123" s="42" t="s">
        <v>528</v>
      </c>
      <c r="B123" s="157" t="s">
        <v>529</v>
      </c>
      <c r="C123" s="157" t="s">
        <v>530</v>
      </c>
      <c r="D123" s="43" t="s">
        <v>186</v>
      </c>
      <c r="E123" s="43" t="s">
        <v>1046</v>
      </c>
      <c r="F123" s="157"/>
    </row>
    <row r="124" customFormat="false" ht="15" hidden="false" customHeight="true" outlineLevel="0" collapsed="false">
      <c r="A124" s="42" t="s">
        <v>531</v>
      </c>
      <c r="B124" s="157" t="s">
        <v>532</v>
      </c>
      <c r="C124" s="157" t="s">
        <v>533</v>
      </c>
      <c r="D124" s="43" t="s">
        <v>186</v>
      </c>
      <c r="E124" s="43" t="s">
        <v>1046</v>
      </c>
      <c r="F124" s="157"/>
    </row>
    <row r="125" customFormat="false" ht="15" hidden="false" customHeight="true" outlineLevel="0" collapsed="false">
      <c r="A125" s="42" t="s">
        <v>534</v>
      </c>
      <c r="B125" s="157" t="s">
        <v>535</v>
      </c>
      <c r="C125" s="157" t="s">
        <v>536</v>
      </c>
      <c r="D125" s="43" t="s">
        <v>186</v>
      </c>
      <c r="E125" s="43" t="s">
        <v>1046</v>
      </c>
      <c r="F125" s="157"/>
    </row>
    <row r="126" customFormat="false" ht="15" hidden="false" customHeight="true" outlineLevel="0" collapsed="false">
      <c r="A126" s="42" t="s">
        <v>537</v>
      </c>
      <c r="B126" s="157" t="s">
        <v>538</v>
      </c>
      <c r="C126" s="157" t="s">
        <v>536</v>
      </c>
      <c r="D126" s="43" t="s">
        <v>186</v>
      </c>
      <c r="E126" s="43" t="s">
        <v>1046</v>
      </c>
      <c r="F126" s="157"/>
    </row>
    <row r="127" customFormat="false" ht="15" hidden="false" customHeight="true" outlineLevel="0" collapsed="false">
      <c r="A127" s="42" t="s">
        <v>539</v>
      </c>
      <c r="B127" s="157" t="s">
        <v>540</v>
      </c>
      <c r="C127" s="157" t="s">
        <v>541</v>
      </c>
      <c r="D127" s="43" t="s">
        <v>171</v>
      </c>
      <c r="E127" s="43" t="s">
        <v>1046</v>
      </c>
      <c r="F127" s="157"/>
    </row>
    <row r="128" customFormat="false" ht="15" hidden="false" customHeight="true" outlineLevel="0" collapsed="false">
      <c r="A128" s="42" t="s">
        <v>542</v>
      </c>
      <c r="B128" s="157" t="s">
        <v>543</v>
      </c>
      <c r="C128" s="157" t="s">
        <v>544</v>
      </c>
      <c r="D128" s="43" t="s">
        <v>171</v>
      </c>
      <c r="E128" s="43" t="s">
        <v>1046</v>
      </c>
      <c r="F128" s="157"/>
    </row>
    <row r="129" customFormat="false" ht="15" hidden="false" customHeight="true" outlineLevel="0" collapsed="false">
      <c r="A129" s="42" t="s">
        <v>545</v>
      </c>
      <c r="B129" s="157" t="s">
        <v>546</v>
      </c>
      <c r="C129" s="157" t="s">
        <v>547</v>
      </c>
      <c r="D129" s="43" t="s">
        <v>171</v>
      </c>
      <c r="E129" s="43" t="s">
        <v>1046</v>
      </c>
      <c r="F129" s="157"/>
    </row>
    <row r="130" customFormat="false" ht="15" hidden="false" customHeight="true" outlineLevel="0" collapsed="false">
      <c r="A130" s="42" t="s">
        <v>548</v>
      </c>
      <c r="B130" s="157" t="s">
        <v>549</v>
      </c>
      <c r="C130" s="157" t="s">
        <v>550</v>
      </c>
      <c r="D130" s="43" t="s">
        <v>186</v>
      </c>
      <c r="E130" s="43" t="s">
        <v>1046</v>
      </c>
      <c r="F130" s="157"/>
    </row>
    <row r="131" customFormat="false" ht="15" hidden="false" customHeight="true" outlineLevel="0" collapsed="false">
      <c r="A131" s="42" t="s">
        <v>551</v>
      </c>
      <c r="B131" s="157" t="s">
        <v>552</v>
      </c>
      <c r="C131" s="157" t="s">
        <v>553</v>
      </c>
      <c r="D131" s="43" t="s">
        <v>171</v>
      </c>
      <c r="E131" s="43" t="s">
        <v>1046</v>
      </c>
      <c r="F131" s="157"/>
    </row>
    <row r="132" customFormat="false" ht="15" hidden="false" customHeight="true" outlineLevel="0" collapsed="false">
      <c r="A132" s="42" t="s">
        <v>554</v>
      </c>
      <c r="B132" s="157" t="s">
        <v>555</v>
      </c>
      <c r="C132" s="157" t="s">
        <v>556</v>
      </c>
      <c r="D132" s="43" t="s">
        <v>171</v>
      </c>
      <c r="E132" s="43" t="s">
        <v>1046</v>
      </c>
      <c r="F132" s="157"/>
    </row>
    <row r="133" customFormat="false" ht="15" hidden="false" customHeight="true" outlineLevel="0" collapsed="false">
      <c r="A133" s="42" t="s">
        <v>557</v>
      </c>
      <c r="B133" s="157" t="s">
        <v>558</v>
      </c>
      <c r="C133" s="157" t="s">
        <v>559</v>
      </c>
      <c r="D133" s="43" t="s">
        <v>171</v>
      </c>
      <c r="E133" s="43" t="s">
        <v>1046</v>
      </c>
      <c r="F133" s="157"/>
    </row>
    <row r="134" customFormat="false" ht="15" hidden="false" customHeight="true" outlineLevel="0" collapsed="false">
      <c r="A134" s="42" t="s">
        <v>560</v>
      </c>
      <c r="B134" s="157" t="s">
        <v>561</v>
      </c>
      <c r="C134" s="157" t="s">
        <v>562</v>
      </c>
      <c r="D134" s="43" t="s">
        <v>171</v>
      </c>
      <c r="E134" s="43" t="s">
        <v>1046</v>
      </c>
      <c r="F134" s="157"/>
    </row>
    <row r="135" customFormat="false" ht="15" hidden="false" customHeight="true" outlineLevel="0" collapsed="false">
      <c r="A135" s="42" t="s">
        <v>563</v>
      </c>
      <c r="B135" s="157" t="s">
        <v>564</v>
      </c>
      <c r="C135" s="157" t="s">
        <v>565</v>
      </c>
      <c r="D135" s="43" t="s">
        <v>171</v>
      </c>
      <c r="E135" s="43" t="s">
        <v>1046</v>
      </c>
      <c r="F135" s="157"/>
    </row>
    <row r="136" customFormat="false" ht="15" hidden="false" customHeight="true" outlineLevel="0" collapsed="false">
      <c r="A136" s="42" t="s">
        <v>566</v>
      </c>
      <c r="B136" s="157" t="s">
        <v>567</v>
      </c>
      <c r="C136" s="157" t="s">
        <v>568</v>
      </c>
      <c r="D136" s="43" t="s">
        <v>171</v>
      </c>
      <c r="E136" s="43" t="s">
        <v>1046</v>
      </c>
      <c r="F136" s="157"/>
    </row>
    <row r="137" customFormat="false" ht="15" hidden="false" customHeight="true" outlineLevel="0" collapsed="false">
      <c r="A137" s="42" t="s">
        <v>569</v>
      </c>
      <c r="B137" s="157" t="s">
        <v>570</v>
      </c>
      <c r="C137" s="157" t="s">
        <v>571</v>
      </c>
      <c r="D137" s="43" t="s">
        <v>171</v>
      </c>
      <c r="E137" s="43" t="s">
        <v>1046</v>
      </c>
      <c r="F137" s="157"/>
    </row>
    <row r="138" customFormat="false" ht="15" hidden="false" customHeight="true" outlineLevel="0" collapsed="false">
      <c r="A138" s="42" t="s">
        <v>572</v>
      </c>
      <c r="B138" s="157" t="s">
        <v>573</v>
      </c>
      <c r="C138" s="157" t="s">
        <v>574</v>
      </c>
      <c r="D138" s="43" t="s">
        <v>171</v>
      </c>
      <c r="E138" s="43" t="s">
        <v>1046</v>
      </c>
      <c r="F138" s="157"/>
    </row>
    <row r="139" customFormat="false" ht="15" hidden="false" customHeight="true" outlineLevel="0" collapsed="false">
      <c r="A139" s="42" t="s">
        <v>575</v>
      </c>
      <c r="B139" s="157" t="s">
        <v>248</v>
      </c>
      <c r="C139" s="157" t="s">
        <v>576</v>
      </c>
      <c r="D139" s="43" t="s">
        <v>171</v>
      </c>
      <c r="E139" s="43" t="s">
        <v>1046</v>
      </c>
      <c r="F139" s="157"/>
    </row>
    <row r="140" customFormat="false" ht="15" hidden="false" customHeight="true" outlineLevel="0" collapsed="false">
      <c r="A140" s="42" t="s">
        <v>577</v>
      </c>
      <c r="B140" s="157" t="s">
        <v>578</v>
      </c>
      <c r="C140" s="157" t="s">
        <v>579</v>
      </c>
      <c r="D140" s="43" t="s">
        <v>171</v>
      </c>
      <c r="E140" s="43" t="s">
        <v>1046</v>
      </c>
      <c r="F140" s="157"/>
    </row>
    <row r="141" customFormat="false" ht="15" hidden="false" customHeight="true" outlineLevel="0" collapsed="false">
      <c r="A141" s="42" t="s">
        <v>580</v>
      </c>
      <c r="B141" s="157" t="s">
        <v>581</v>
      </c>
      <c r="C141" s="157" t="s">
        <v>582</v>
      </c>
      <c r="D141" s="43" t="s">
        <v>171</v>
      </c>
      <c r="E141" s="43" t="s">
        <v>1046</v>
      </c>
      <c r="F141" s="157"/>
    </row>
    <row r="142" customFormat="false" ht="15" hidden="false" customHeight="true" outlineLevel="0" collapsed="false">
      <c r="A142" s="42" t="s">
        <v>583</v>
      </c>
      <c r="B142" s="157" t="s">
        <v>584</v>
      </c>
      <c r="C142" s="157" t="s">
        <v>585</v>
      </c>
      <c r="D142" s="43" t="s">
        <v>186</v>
      </c>
      <c r="E142" s="43" t="s">
        <v>1046</v>
      </c>
      <c r="F142" s="157"/>
    </row>
    <row r="143" customFormat="false" ht="15" hidden="false" customHeight="true" outlineLevel="0" collapsed="false">
      <c r="A143" s="42" t="s">
        <v>586</v>
      </c>
      <c r="B143" s="157" t="s">
        <v>587</v>
      </c>
      <c r="C143" s="157" t="s">
        <v>588</v>
      </c>
      <c r="D143" s="43" t="s">
        <v>186</v>
      </c>
      <c r="E143" s="43" t="s">
        <v>1046</v>
      </c>
      <c r="F143" s="157"/>
    </row>
    <row r="144" customFormat="false" ht="15" hidden="false" customHeight="true" outlineLevel="0" collapsed="false">
      <c r="A144" s="42" t="s">
        <v>589</v>
      </c>
      <c r="B144" s="157" t="s">
        <v>590</v>
      </c>
      <c r="C144" s="157" t="s">
        <v>591</v>
      </c>
      <c r="D144" s="43" t="s">
        <v>171</v>
      </c>
      <c r="E144" s="43" t="s">
        <v>1046</v>
      </c>
      <c r="F144" s="157"/>
    </row>
    <row r="145" customFormat="false" ht="15" hidden="false" customHeight="true" outlineLevel="0" collapsed="false">
      <c r="A145" s="42" t="s">
        <v>592</v>
      </c>
      <c r="B145" s="157" t="s">
        <v>291</v>
      </c>
      <c r="C145" s="157" t="s">
        <v>593</v>
      </c>
      <c r="D145" s="43" t="s">
        <v>171</v>
      </c>
      <c r="E145" s="43" t="s">
        <v>1046</v>
      </c>
      <c r="F145" s="157"/>
    </row>
    <row r="146" customFormat="false" ht="15" hidden="false" customHeight="true" outlineLevel="0" collapsed="false">
      <c r="A146" s="42" t="s">
        <v>594</v>
      </c>
      <c r="B146" s="157" t="s">
        <v>194</v>
      </c>
      <c r="C146" s="157" t="s">
        <v>595</v>
      </c>
      <c r="D146" s="43" t="s">
        <v>171</v>
      </c>
      <c r="E146" s="43" t="s">
        <v>1046</v>
      </c>
      <c r="F146" s="157"/>
    </row>
    <row r="147" customFormat="false" ht="15" hidden="false" customHeight="true" outlineLevel="0" collapsed="false">
      <c r="A147" s="42" t="s">
        <v>596</v>
      </c>
      <c r="B147" s="157" t="s">
        <v>597</v>
      </c>
      <c r="C147" s="157" t="s">
        <v>598</v>
      </c>
      <c r="D147" s="43" t="s">
        <v>186</v>
      </c>
      <c r="E147" s="43" t="s">
        <v>1046</v>
      </c>
      <c r="F147" s="157"/>
    </row>
    <row r="148" customFormat="false" ht="15" hidden="false" customHeight="true" outlineLevel="0" collapsed="false">
      <c r="A148" s="42" t="s">
        <v>599</v>
      </c>
      <c r="B148" s="157" t="s">
        <v>600</v>
      </c>
      <c r="C148" s="157" t="s">
        <v>601</v>
      </c>
      <c r="D148" s="43" t="s">
        <v>186</v>
      </c>
      <c r="E148" s="43" t="s">
        <v>1046</v>
      </c>
      <c r="F148" s="157"/>
    </row>
    <row r="149" customFormat="false" ht="15" hidden="false" customHeight="true" outlineLevel="0" collapsed="false">
      <c r="A149" s="42"/>
      <c r="B149" s="157"/>
      <c r="C149" s="157"/>
      <c r="D149" s="43"/>
      <c r="E149" s="43"/>
      <c r="F149" s="157"/>
    </row>
    <row r="150" customFormat="false" ht="15" hidden="false" customHeight="true" outlineLevel="0" collapsed="false">
      <c r="A150" s="42"/>
      <c r="B150" s="157"/>
      <c r="C150" s="157"/>
      <c r="D150" s="43"/>
      <c r="E150" s="43"/>
      <c r="F150" s="157"/>
    </row>
    <row r="151" customFormat="false" ht="15" hidden="false" customHeight="true" outlineLevel="0" collapsed="false">
      <c r="A151" s="42"/>
      <c r="B151" s="157"/>
      <c r="C151" s="157"/>
      <c r="D151" s="43"/>
      <c r="E151" s="43"/>
      <c r="F151" s="157"/>
    </row>
    <row r="152" customFormat="false" ht="15" hidden="false" customHeight="true" outlineLevel="0" collapsed="false">
      <c r="A152" s="42"/>
      <c r="B152" s="157"/>
      <c r="C152" s="157"/>
      <c r="D152" s="43"/>
      <c r="E152" s="43"/>
      <c r="F152" s="157"/>
    </row>
    <row r="153" customFormat="false" ht="15" hidden="false" customHeight="true" outlineLevel="0" collapsed="false">
      <c r="A153" s="42"/>
      <c r="B153" s="157"/>
      <c r="C153" s="157"/>
      <c r="D153" s="43"/>
      <c r="E153" s="43"/>
      <c r="F153" s="157"/>
    </row>
    <row r="154" customFormat="false" ht="15" hidden="false" customHeight="true" outlineLevel="0" collapsed="false">
      <c r="A154" s="42"/>
      <c r="B154" s="157"/>
      <c r="C154" s="157"/>
      <c r="D154" s="43"/>
      <c r="E154" s="43"/>
      <c r="F154" s="157"/>
    </row>
    <row r="155" customFormat="false" ht="15" hidden="false" customHeight="true" outlineLevel="0" collapsed="false">
      <c r="A155" s="42"/>
      <c r="B155" s="157"/>
      <c r="C155" s="157"/>
      <c r="D155" s="43"/>
      <c r="E155" s="43"/>
      <c r="F155" s="157"/>
    </row>
    <row r="156" customFormat="false" ht="15" hidden="false" customHeight="true" outlineLevel="0" collapsed="false">
      <c r="A156" s="42"/>
      <c r="B156" s="157"/>
      <c r="C156" s="157"/>
      <c r="D156" s="43"/>
      <c r="E156" s="43"/>
      <c r="F156" s="157"/>
    </row>
    <row r="157" customFormat="false" ht="15" hidden="false" customHeight="true" outlineLevel="0" collapsed="false">
      <c r="A157" s="42"/>
      <c r="B157" s="157"/>
      <c r="C157" s="157"/>
      <c r="D157" s="43"/>
      <c r="E157" s="43"/>
      <c r="F157" s="157"/>
    </row>
    <row r="158" customFormat="false" ht="15" hidden="false" customHeight="true" outlineLevel="0" collapsed="false">
      <c r="A158" s="42"/>
      <c r="B158" s="157"/>
      <c r="C158" s="157"/>
      <c r="D158" s="43"/>
      <c r="E158" s="43"/>
      <c r="F158" s="157"/>
    </row>
    <row r="159" customFormat="false" ht="15" hidden="false" customHeight="true" outlineLevel="0" collapsed="false">
      <c r="A159" s="42"/>
      <c r="B159" s="157"/>
      <c r="C159" s="157"/>
      <c r="D159" s="43"/>
      <c r="E159" s="43"/>
      <c r="F159" s="157"/>
    </row>
    <row r="160" customFormat="false" ht="15" hidden="false" customHeight="true" outlineLevel="0" collapsed="false">
      <c r="A160" s="42"/>
      <c r="B160" s="157"/>
      <c r="C160" s="157"/>
      <c r="D160" s="43"/>
      <c r="E160" s="43"/>
      <c r="F160" s="157"/>
    </row>
    <row r="161" customFormat="false" ht="15" hidden="false" customHeight="true" outlineLevel="0" collapsed="false">
      <c r="A161" s="42"/>
      <c r="B161" s="157"/>
      <c r="C161" s="157"/>
      <c r="D161" s="43"/>
      <c r="E161" s="43"/>
      <c r="F161" s="157"/>
    </row>
    <row r="162" customFormat="false" ht="15" hidden="false" customHeight="true" outlineLevel="0" collapsed="false">
      <c r="A162" s="42"/>
      <c r="B162" s="157"/>
      <c r="C162" s="157"/>
      <c r="D162" s="43"/>
      <c r="E162" s="43"/>
      <c r="F162" s="157"/>
    </row>
    <row r="163" customFormat="false" ht="15" hidden="false" customHeight="true" outlineLevel="0" collapsed="false">
      <c r="A163" s="42"/>
      <c r="B163" s="157"/>
      <c r="C163" s="157"/>
      <c r="D163" s="43"/>
      <c r="E163" s="43"/>
      <c r="F163" s="157"/>
    </row>
    <row r="164" customFormat="false" ht="15" hidden="false" customHeight="true" outlineLevel="0" collapsed="false">
      <c r="A164" s="42"/>
      <c r="B164" s="157"/>
      <c r="C164" s="157"/>
      <c r="D164" s="43"/>
      <c r="E164" s="43"/>
      <c r="F164" s="157"/>
    </row>
    <row r="165" customFormat="false" ht="15" hidden="false" customHeight="true" outlineLevel="0" collapsed="false">
      <c r="A165" s="42"/>
      <c r="B165" s="157"/>
      <c r="C165" s="157"/>
      <c r="D165" s="43"/>
      <c r="E165" s="43"/>
      <c r="F165" s="157"/>
    </row>
    <row r="166" customFormat="false" ht="15" hidden="false" customHeight="true" outlineLevel="0" collapsed="false">
      <c r="A166" s="42"/>
      <c r="B166" s="157"/>
      <c r="C166" s="157"/>
      <c r="D166" s="43"/>
      <c r="E166" s="43"/>
      <c r="F166" s="157"/>
    </row>
    <row r="167" customFormat="false" ht="15" hidden="false" customHeight="true" outlineLevel="0" collapsed="false">
      <c r="A167" s="42"/>
      <c r="B167" s="157"/>
      <c r="C167" s="157"/>
      <c r="D167" s="43"/>
      <c r="E167" s="43"/>
      <c r="F167" s="157"/>
    </row>
    <row r="168" customFormat="false" ht="15" hidden="false" customHeight="true" outlineLevel="0" collapsed="false">
      <c r="A168" s="42"/>
      <c r="B168" s="157"/>
      <c r="C168" s="157"/>
      <c r="D168" s="43"/>
      <c r="E168" s="43"/>
      <c r="F168" s="157"/>
    </row>
    <row r="169" customFormat="false" ht="15" hidden="false" customHeight="true" outlineLevel="0" collapsed="false">
      <c r="A169" s="42"/>
      <c r="B169" s="157"/>
      <c r="C169" s="157"/>
      <c r="D169" s="43"/>
      <c r="E169" s="43"/>
      <c r="F169" s="157"/>
    </row>
    <row r="170" customFormat="false" ht="15" hidden="false" customHeight="true" outlineLevel="0" collapsed="false">
      <c r="A170" s="42"/>
      <c r="B170" s="157"/>
      <c r="C170" s="157"/>
      <c r="D170" s="43"/>
      <c r="E170" s="43"/>
      <c r="F170" s="157"/>
    </row>
    <row r="171" customFormat="false" ht="15" hidden="false" customHeight="true" outlineLevel="0" collapsed="false">
      <c r="A171" s="42"/>
      <c r="B171" s="157"/>
      <c r="C171" s="157"/>
      <c r="D171" s="43"/>
      <c r="E171" s="43"/>
      <c r="F171" s="157"/>
    </row>
    <row r="172" customFormat="false" ht="15" hidden="false" customHeight="true" outlineLevel="0" collapsed="false">
      <c r="A172" s="42"/>
      <c r="B172" s="157"/>
      <c r="C172" s="157"/>
      <c r="D172" s="43"/>
      <c r="E172" s="43"/>
      <c r="F172" s="157"/>
    </row>
    <row r="173" customFormat="false" ht="15" hidden="false" customHeight="true" outlineLevel="0" collapsed="false">
      <c r="A173" s="42"/>
      <c r="B173" s="157"/>
      <c r="C173" s="157"/>
      <c r="D173" s="43"/>
      <c r="E173" s="43"/>
      <c r="F173" s="157"/>
    </row>
    <row r="174" customFormat="false" ht="15" hidden="false" customHeight="true" outlineLevel="0" collapsed="false">
      <c r="A174" s="42"/>
      <c r="B174" s="157"/>
      <c r="C174" s="157"/>
      <c r="D174" s="43"/>
      <c r="E174" s="43"/>
      <c r="F174" s="157"/>
    </row>
    <row r="175" customFormat="false" ht="15" hidden="false" customHeight="true" outlineLevel="0" collapsed="false">
      <c r="A175" s="42"/>
      <c r="B175" s="157"/>
      <c r="C175" s="157"/>
      <c r="D175" s="43"/>
      <c r="E175" s="43"/>
      <c r="F175" s="157"/>
    </row>
    <row r="176" customFormat="false" ht="15" hidden="false" customHeight="true" outlineLevel="0" collapsed="false">
      <c r="A176" s="42"/>
      <c r="B176" s="157"/>
      <c r="C176" s="157"/>
      <c r="D176" s="43"/>
      <c r="E176" s="43"/>
      <c r="F176" s="157"/>
    </row>
    <row r="177" customFormat="false" ht="15" hidden="false" customHeight="true" outlineLevel="0" collapsed="false">
      <c r="A177" s="42"/>
      <c r="B177" s="157"/>
      <c r="C177" s="157"/>
      <c r="D177" s="43"/>
      <c r="E177" s="43"/>
      <c r="F177" s="157"/>
    </row>
    <row r="178" customFormat="false" ht="15" hidden="false" customHeight="true" outlineLevel="0" collapsed="false">
      <c r="A178" s="42"/>
      <c r="B178" s="157"/>
      <c r="C178" s="157"/>
      <c r="D178" s="43"/>
      <c r="E178" s="43"/>
      <c r="F178" s="157"/>
    </row>
    <row r="179" customFormat="false" ht="15" hidden="false" customHeight="true" outlineLevel="0" collapsed="false">
      <c r="A179" s="42"/>
      <c r="B179" s="157"/>
      <c r="C179" s="157"/>
      <c r="D179" s="43"/>
      <c r="E179" s="43"/>
      <c r="F179" s="157"/>
    </row>
    <row r="180" customFormat="false" ht="15" hidden="false" customHeight="true" outlineLevel="0" collapsed="false">
      <c r="A180" s="42"/>
      <c r="B180" s="157"/>
      <c r="C180" s="157"/>
      <c r="D180" s="43"/>
      <c r="E180" s="43"/>
      <c r="F180" s="157"/>
    </row>
    <row r="181" customFormat="false" ht="15" hidden="false" customHeight="true" outlineLevel="0" collapsed="false">
      <c r="A181" s="42"/>
      <c r="B181" s="157"/>
      <c r="C181" s="157"/>
      <c r="D181" s="43"/>
      <c r="E181" s="43"/>
      <c r="F181" s="157"/>
    </row>
    <row r="182" customFormat="false" ht="15" hidden="false" customHeight="true" outlineLevel="0" collapsed="false">
      <c r="A182" s="42"/>
      <c r="B182" s="157"/>
      <c r="C182" s="157"/>
      <c r="D182" s="43"/>
      <c r="E182" s="43"/>
      <c r="F182" s="157"/>
    </row>
    <row r="183" customFormat="false" ht="15" hidden="false" customHeight="true" outlineLevel="0" collapsed="false">
      <c r="A183" s="42"/>
      <c r="B183" s="157"/>
      <c r="C183" s="157"/>
      <c r="D183" s="43"/>
      <c r="E183" s="43"/>
      <c r="F183" s="157"/>
    </row>
    <row r="184" customFormat="false" ht="15" hidden="false" customHeight="true" outlineLevel="0" collapsed="false">
      <c r="A184" s="42"/>
      <c r="B184" s="157"/>
      <c r="C184" s="157"/>
      <c r="D184" s="43"/>
      <c r="E184" s="43"/>
      <c r="F184" s="157"/>
    </row>
    <row r="185" customFormat="false" ht="15" hidden="false" customHeight="true" outlineLevel="0" collapsed="false">
      <c r="A185" s="42"/>
      <c r="B185" s="157"/>
      <c r="C185" s="157"/>
      <c r="D185" s="43"/>
      <c r="E185" s="43"/>
      <c r="F185" s="157"/>
    </row>
    <row r="186" customFormat="false" ht="15" hidden="false" customHeight="true" outlineLevel="0" collapsed="false">
      <c r="A186" s="42"/>
      <c r="B186" s="157"/>
      <c r="C186" s="157"/>
      <c r="D186" s="43"/>
      <c r="E186" s="43"/>
      <c r="F186" s="157"/>
    </row>
    <row r="187" customFormat="false" ht="15" hidden="false" customHeight="true" outlineLevel="0" collapsed="false">
      <c r="A187" s="42"/>
      <c r="B187" s="157"/>
      <c r="C187" s="157"/>
      <c r="D187" s="43"/>
      <c r="E187" s="43"/>
      <c r="F187" s="157"/>
    </row>
    <row r="188" customFormat="false" ht="15" hidden="false" customHeight="true" outlineLevel="0" collapsed="false">
      <c r="A188" s="42"/>
      <c r="B188" s="157"/>
      <c r="C188" s="157"/>
      <c r="D188" s="43"/>
      <c r="E188" s="43"/>
      <c r="F188" s="157"/>
    </row>
    <row r="189" customFormat="false" ht="15" hidden="false" customHeight="true" outlineLevel="0" collapsed="false">
      <c r="A189" s="42"/>
      <c r="B189" s="157"/>
      <c r="C189" s="157"/>
      <c r="D189" s="43"/>
      <c r="E189" s="43"/>
      <c r="F189" s="157"/>
    </row>
    <row r="190" customFormat="false" ht="15" hidden="false" customHeight="true" outlineLevel="0" collapsed="false">
      <c r="A190" s="42"/>
      <c r="B190" s="157"/>
      <c r="C190" s="157"/>
      <c r="D190" s="43"/>
      <c r="E190" s="43"/>
      <c r="F190" s="157"/>
    </row>
  </sheetData>
  <autoFilter ref="A1:F19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2026-05-31T13:32:31Z</dcterms:created>
  <dc:creator>Demo</dc:creator>
  <dc:description/>
  <dc:language>en-US</dc:language>
  <cp:lastModifiedBy>Demo</cp:lastModifiedBy>
  <dcterms:modified xsi:type="dcterms:W3CDTF">2026-06-19T13:29:15Z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